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CCBC0BD-9017-4A29-92C5-F904BAF9A32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ily Sales" sheetId="1" r:id="rId1"/>
    <sheet name="GL" sheetId="2" r:id="rId2"/>
    <sheet name="TB" sheetId="4" r:id="rId3"/>
    <sheet name="PL" sheetId="6" r:id="rId4"/>
    <sheet name="BS" sheetId="7" r:id="rId5"/>
    <sheet name="COS" sheetId="3" r:id="rId6"/>
    <sheet name="Month on Month" sheetId="8" r:id="rId7"/>
    <sheet name="BEP Monthly" sheetId="9" r:id="rId8"/>
    <sheet name="Monthly Variance" sheetId="10" r:id="rId9"/>
    <sheet name="SUMPL" sheetId="11" r:id="rId10"/>
    <sheet name="SumBS" sheetId="12" r:id="rId11"/>
  </sheets>
  <definedNames>
    <definedName name="_xlnm._FilterDatabase" localSheetId="5" hidden="1">COS!$B$6:$R$1051</definedName>
    <definedName name="_xlnm._FilterDatabase" localSheetId="1" hidden="1">GL!$A$5:$X$6119</definedName>
  </definedNames>
  <calcPr calcId="181029"/>
</workbook>
</file>

<file path=xl/calcChain.xml><?xml version="1.0" encoding="utf-8"?>
<calcChain xmlns="http://schemas.openxmlformats.org/spreadsheetml/2006/main">
  <c r="I156" i="12" l="1"/>
  <c r="I160" i="12" s="1"/>
  <c r="H156" i="12"/>
  <c r="H160" i="12" s="1"/>
  <c r="G156" i="12"/>
  <c r="G160" i="12" s="1"/>
  <c r="F156" i="12"/>
  <c r="F160" i="12" s="1"/>
  <c r="E156" i="12"/>
  <c r="E160" i="12" s="1"/>
  <c r="D156" i="12"/>
  <c r="D160" i="12" s="1"/>
  <c r="I143" i="12"/>
  <c r="I145" i="12" s="1"/>
  <c r="H143" i="12"/>
  <c r="H145" i="12" s="1"/>
  <c r="G143" i="12"/>
  <c r="G145" i="12" s="1"/>
  <c r="F143" i="12"/>
  <c r="F145" i="12" s="1"/>
  <c r="E143" i="12"/>
  <c r="E145" i="12" s="1"/>
  <c r="D143" i="12"/>
  <c r="D145" i="12" s="1"/>
  <c r="I134" i="12"/>
  <c r="H134" i="12"/>
  <c r="G134" i="12"/>
  <c r="F134" i="12"/>
  <c r="E134" i="12"/>
  <c r="D134" i="12"/>
  <c r="I125" i="12"/>
  <c r="H125" i="12"/>
  <c r="G125" i="12"/>
  <c r="F125" i="12"/>
  <c r="E125" i="12"/>
  <c r="D125" i="12"/>
  <c r="I110" i="12"/>
  <c r="H110" i="12"/>
  <c r="G110" i="12"/>
  <c r="F110" i="12"/>
  <c r="E110" i="12"/>
  <c r="D110" i="12"/>
  <c r="I99" i="12"/>
  <c r="I101" i="12" s="1"/>
  <c r="H99" i="12"/>
  <c r="H101" i="12" s="1"/>
  <c r="G99" i="12"/>
  <c r="G101" i="12" s="1"/>
  <c r="F99" i="12"/>
  <c r="F101" i="12" s="1"/>
  <c r="E99" i="12"/>
  <c r="E101" i="12" s="1"/>
  <c r="D99" i="12"/>
  <c r="D101" i="12" s="1"/>
  <c r="I94" i="12"/>
  <c r="H94" i="12"/>
  <c r="G94" i="12"/>
  <c r="F94" i="12"/>
  <c r="E94" i="12"/>
  <c r="D94" i="12"/>
  <c r="I84" i="12"/>
  <c r="H84" i="12"/>
  <c r="G84" i="12"/>
  <c r="F84" i="12"/>
  <c r="E84" i="12"/>
  <c r="D84" i="12"/>
  <c r="I62" i="12"/>
  <c r="H62" i="12"/>
  <c r="G62" i="12"/>
  <c r="F62" i="12"/>
  <c r="E62" i="12"/>
  <c r="D62" i="12"/>
  <c r="I49" i="12"/>
  <c r="H49" i="12"/>
  <c r="G49" i="12"/>
  <c r="F49" i="12"/>
  <c r="E49" i="12"/>
  <c r="D49" i="12"/>
  <c r="C39" i="12"/>
  <c r="I38" i="12"/>
  <c r="I40" i="12" s="1"/>
  <c r="I29" i="12"/>
  <c r="H29" i="12"/>
  <c r="H40" i="12" s="1"/>
  <c r="G29" i="12"/>
  <c r="G40" i="12" s="1"/>
  <c r="F29" i="12"/>
  <c r="F40" i="12" s="1"/>
  <c r="E29" i="12"/>
  <c r="E40" i="12" s="1"/>
  <c r="D29" i="12"/>
  <c r="D40" i="12" s="1"/>
  <c r="I24" i="12"/>
  <c r="H24" i="12"/>
  <c r="G24" i="12"/>
  <c r="F24" i="12"/>
  <c r="E24" i="12"/>
  <c r="D24" i="12"/>
  <c r="C20" i="12"/>
  <c r="B20" i="12"/>
  <c r="C13" i="12"/>
  <c r="I11" i="12"/>
  <c r="I22" i="12" s="1"/>
  <c r="H11" i="12"/>
  <c r="H22" i="12" s="1"/>
  <c r="G11" i="12"/>
  <c r="G22" i="12" s="1"/>
  <c r="F11" i="12"/>
  <c r="F22" i="12" s="1"/>
  <c r="E11" i="12"/>
  <c r="E22" i="12" s="1"/>
  <c r="D11" i="12"/>
  <c r="D22" i="12" s="1"/>
  <c r="I7" i="12"/>
  <c r="H7" i="12"/>
  <c r="G7" i="12"/>
  <c r="F7" i="12"/>
  <c r="E7" i="12"/>
  <c r="D7" i="12"/>
  <c r="C2" i="12"/>
  <c r="C1" i="12"/>
  <c r="X135" i="11"/>
  <c r="V135" i="11"/>
  <c r="T135" i="11"/>
  <c r="P135" i="11"/>
  <c r="N135" i="11"/>
  <c r="L135" i="11"/>
  <c r="M135" i="11" s="1"/>
  <c r="J135" i="11"/>
  <c r="K135" i="11" s="1"/>
  <c r="H135" i="11"/>
  <c r="I135" i="11" s="1"/>
  <c r="F135" i="11"/>
  <c r="G135" i="11" s="1"/>
  <c r="D135" i="11"/>
  <c r="E135" i="11" s="1"/>
  <c r="Z129" i="11"/>
  <c r="Z128" i="11"/>
  <c r="X127" i="11"/>
  <c r="V127" i="11"/>
  <c r="T127" i="11"/>
  <c r="P127" i="11"/>
  <c r="N127" i="11"/>
  <c r="O127" i="11" s="1"/>
  <c r="L127" i="11"/>
  <c r="M127" i="11" s="1"/>
  <c r="J127" i="11"/>
  <c r="K127" i="11" s="1"/>
  <c r="H127" i="11"/>
  <c r="I127" i="11" s="1"/>
  <c r="F127" i="11"/>
  <c r="G127" i="11" s="1"/>
  <c r="D127" i="11"/>
  <c r="E127" i="11" s="1"/>
  <c r="Z121" i="11"/>
  <c r="Z120" i="11"/>
  <c r="X119" i="11"/>
  <c r="V119" i="11"/>
  <c r="T119" i="11"/>
  <c r="P119" i="11"/>
  <c r="N119" i="11"/>
  <c r="O119" i="11" s="1"/>
  <c r="L119" i="11"/>
  <c r="M119" i="11" s="1"/>
  <c r="J119" i="11"/>
  <c r="K119" i="11" s="1"/>
  <c r="H119" i="11"/>
  <c r="I119" i="11" s="1"/>
  <c r="F119" i="11"/>
  <c r="G119" i="11" s="1"/>
  <c r="D119" i="11"/>
  <c r="E119" i="11" s="1"/>
  <c r="Z110" i="11"/>
  <c r="Z109" i="11"/>
  <c r="X106" i="11"/>
  <c r="V106" i="11"/>
  <c r="T106" i="11"/>
  <c r="P106" i="11"/>
  <c r="N106" i="11"/>
  <c r="O106" i="11" s="1"/>
  <c r="L106" i="11"/>
  <c r="M106" i="11" s="1"/>
  <c r="J106" i="11"/>
  <c r="K106" i="11" s="1"/>
  <c r="H106" i="11"/>
  <c r="I106" i="11" s="1"/>
  <c r="F106" i="11"/>
  <c r="G106" i="11" s="1"/>
  <c r="D106" i="11"/>
  <c r="E106" i="11" s="1"/>
  <c r="Z98" i="11"/>
  <c r="Z97" i="11"/>
  <c r="X96" i="11"/>
  <c r="V96" i="11"/>
  <c r="T96" i="11"/>
  <c r="P96" i="11"/>
  <c r="N96" i="11"/>
  <c r="O96" i="11" s="1"/>
  <c r="L96" i="11"/>
  <c r="M96" i="11" s="1"/>
  <c r="J96" i="11"/>
  <c r="K96" i="11" s="1"/>
  <c r="H96" i="11"/>
  <c r="I96" i="11" s="1"/>
  <c r="F96" i="11"/>
  <c r="G96" i="11" s="1"/>
  <c r="D96" i="11"/>
  <c r="E96" i="11" s="1"/>
  <c r="Z90" i="11"/>
  <c r="Z89" i="11"/>
  <c r="X88" i="11"/>
  <c r="V88" i="11"/>
  <c r="T88" i="11"/>
  <c r="P88" i="11"/>
  <c r="N88" i="11"/>
  <c r="O88" i="11" s="1"/>
  <c r="L88" i="11"/>
  <c r="M88" i="11" s="1"/>
  <c r="J88" i="11"/>
  <c r="K88" i="11" s="1"/>
  <c r="H88" i="11"/>
  <c r="I88" i="11" s="1"/>
  <c r="F88" i="11"/>
  <c r="G88" i="11" s="1"/>
  <c r="D88" i="11"/>
  <c r="E88" i="11" s="1"/>
  <c r="Z75" i="11"/>
  <c r="Z74" i="11"/>
  <c r="X73" i="11"/>
  <c r="V73" i="11"/>
  <c r="T73" i="11"/>
  <c r="P73" i="11"/>
  <c r="N73" i="11"/>
  <c r="O73" i="11" s="1"/>
  <c r="L73" i="11"/>
  <c r="M73" i="11" s="1"/>
  <c r="J73" i="11"/>
  <c r="K73" i="11" s="1"/>
  <c r="H73" i="11"/>
  <c r="I73" i="11" s="1"/>
  <c r="F73" i="11"/>
  <c r="G73" i="11" s="1"/>
  <c r="D73" i="11"/>
  <c r="E73" i="11" s="1"/>
  <c r="Z55" i="11"/>
  <c r="Z54" i="11"/>
  <c r="Z53" i="11"/>
  <c r="Z52" i="11"/>
  <c r="X51" i="11"/>
  <c r="V51" i="11"/>
  <c r="T51" i="11"/>
  <c r="P51" i="11"/>
  <c r="L51" i="11"/>
  <c r="M51" i="11" s="1"/>
  <c r="J51" i="11"/>
  <c r="K51" i="11" s="1"/>
  <c r="H51" i="11"/>
  <c r="I51" i="11" s="1"/>
  <c r="F51" i="11"/>
  <c r="G51" i="11" s="1"/>
  <c r="D51" i="11"/>
  <c r="E51" i="11" s="1"/>
  <c r="Z45" i="11"/>
  <c r="Z44" i="11"/>
  <c r="X43" i="11"/>
  <c r="V43" i="11"/>
  <c r="T43" i="11"/>
  <c r="P43" i="11"/>
  <c r="N43" i="11"/>
  <c r="O43" i="11" s="1"/>
  <c r="L43" i="11"/>
  <c r="M43" i="11" s="1"/>
  <c r="J43" i="11"/>
  <c r="K43" i="11" s="1"/>
  <c r="H43" i="11"/>
  <c r="I43" i="11" s="1"/>
  <c r="F43" i="11"/>
  <c r="G43" i="11" s="1"/>
  <c r="D43" i="11"/>
  <c r="E43" i="11" s="1"/>
  <c r="AB37" i="11"/>
  <c r="Z32" i="11"/>
  <c r="Z31" i="11"/>
  <c r="Z30" i="11"/>
  <c r="Z29" i="11"/>
  <c r="X28" i="11"/>
  <c r="V28" i="11"/>
  <c r="T28" i="11"/>
  <c r="P28" i="11"/>
  <c r="N28" i="11"/>
  <c r="O28" i="11" s="1"/>
  <c r="L28" i="11"/>
  <c r="M28" i="11" s="1"/>
  <c r="J28" i="11"/>
  <c r="K28" i="11" s="1"/>
  <c r="H28" i="11"/>
  <c r="I28" i="11" s="1"/>
  <c r="F28" i="11"/>
  <c r="G28" i="11" s="1"/>
  <c r="D28" i="11"/>
  <c r="E28" i="11" s="1"/>
  <c r="O22" i="11"/>
  <c r="M22" i="11"/>
  <c r="K22" i="11"/>
  <c r="I22" i="11"/>
  <c r="G22" i="11"/>
  <c r="E22" i="11"/>
  <c r="O21" i="11"/>
  <c r="M21" i="11"/>
  <c r="K21" i="11"/>
  <c r="I21" i="11"/>
  <c r="G21" i="11"/>
  <c r="E21" i="11"/>
  <c r="O20" i="11"/>
  <c r="M20" i="11"/>
  <c r="K20" i="11"/>
  <c r="I20" i="11"/>
  <c r="G20" i="11"/>
  <c r="E20" i="11"/>
  <c r="O19" i="11"/>
  <c r="M19" i="11"/>
  <c r="K19" i="11"/>
  <c r="I19" i="11"/>
  <c r="G19" i="11"/>
  <c r="E19" i="11"/>
  <c r="Z18" i="11"/>
  <c r="Z17" i="11"/>
  <c r="AA16" i="11"/>
  <c r="X16" i="11"/>
  <c r="X108" i="11" s="1"/>
  <c r="X137" i="11" s="1"/>
  <c r="V16" i="11"/>
  <c r="V108" i="11" s="1"/>
  <c r="V137" i="11" s="1"/>
  <c r="T16" i="11"/>
  <c r="T108" i="11" s="1"/>
  <c r="T137" i="11" s="1"/>
  <c r="P16" i="11"/>
  <c r="P108" i="11" s="1"/>
  <c r="P137" i="11" s="1"/>
  <c r="O16" i="11"/>
  <c r="N16" i="11"/>
  <c r="M16" i="11"/>
  <c r="L16" i="11"/>
  <c r="J16" i="11"/>
  <c r="H16" i="11"/>
  <c r="F16" i="11"/>
  <c r="D16" i="11"/>
  <c r="B2" i="11"/>
  <c r="B1" i="11"/>
  <c r="B6" i="10"/>
  <c r="B5" i="10"/>
  <c r="B3" i="10"/>
  <c r="B2" i="10"/>
  <c r="R11" i="9"/>
  <c r="R12" i="9" s="1"/>
  <c r="P11" i="9"/>
  <c r="P12" i="9" s="1"/>
  <c r="O11" i="9"/>
  <c r="O12" i="9" s="1"/>
  <c r="N11" i="9"/>
  <c r="N12" i="9" s="1"/>
  <c r="M11" i="9"/>
  <c r="M12" i="9" s="1"/>
  <c r="L11" i="9"/>
  <c r="L12" i="9" s="1"/>
  <c r="K11" i="9"/>
  <c r="K12" i="9" s="1"/>
  <c r="J11" i="9"/>
  <c r="J12" i="9" s="1"/>
  <c r="I11" i="9"/>
  <c r="I12" i="9" s="1"/>
  <c r="H11" i="9"/>
  <c r="H12" i="9" s="1"/>
  <c r="G11" i="9"/>
  <c r="G12" i="9" s="1"/>
  <c r="F11" i="9"/>
  <c r="F12" i="9" s="1"/>
  <c r="E11" i="9"/>
  <c r="E12" i="9" s="1"/>
  <c r="D11" i="9"/>
  <c r="D12" i="9" s="1"/>
  <c r="C11" i="9"/>
  <c r="C12" i="9" s="1"/>
  <c r="B11" i="9"/>
  <c r="B12" i="9" s="1"/>
  <c r="R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Q7" i="9"/>
  <c r="Q6" i="9"/>
  <c r="Q11" i="9" s="1"/>
  <c r="Q5" i="9"/>
  <c r="Q10" i="9" s="1"/>
  <c r="Q4" i="9"/>
  <c r="S3" i="9"/>
  <c r="C1" i="10" s="1"/>
  <c r="D135" i="8"/>
  <c r="H134" i="8"/>
  <c r="H133" i="8"/>
  <c r="H132" i="8"/>
  <c r="F129" i="8"/>
  <c r="F128" i="8"/>
  <c r="D127" i="8"/>
  <c r="H126" i="8"/>
  <c r="H125" i="8"/>
  <c r="H123" i="8"/>
  <c r="F121" i="8"/>
  <c r="F120" i="8"/>
  <c r="D119" i="8"/>
  <c r="H115" i="8"/>
  <c r="F110" i="8"/>
  <c r="F109" i="8"/>
  <c r="D106" i="8"/>
  <c r="H106" i="8" s="1"/>
  <c r="H105" i="8"/>
  <c r="H104" i="8"/>
  <c r="H103" i="8"/>
  <c r="H102" i="8"/>
  <c r="H101" i="8"/>
  <c r="H100" i="8"/>
  <c r="H99" i="8"/>
  <c r="F98" i="8"/>
  <c r="F97" i="8"/>
  <c r="D96" i="8"/>
  <c r="H91" i="8"/>
  <c r="F90" i="8"/>
  <c r="F89" i="8"/>
  <c r="D88" i="8"/>
  <c r="H85" i="8"/>
  <c r="H84" i="8"/>
  <c r="H83" i="8"/>
  <c r="H81" i="8"/>
  <c r="H79" i="8"/>
  <c r="F75" i="8"/>
  <c r="F74" i="8"/>
  <c r="D73" i="8"/>
  <c r="H72" i="8"/>
  <c r="H67" i="8"/>
  <c r="H66" i="8"/>
  <c r="H63" i="8"/>
  <c r="H57" i="8"/>
  <c r="H56" i="8"/>
  <c r="F55" i="8"/>
  <c r="F54" i="8"/>
  <c r="F53" i="8"/>
  <c r="F52" i="8"/>
  <c r="D51" i="8"/>
  <c r="H50" i="8"/>
  <c r="F45" i="8"/>
  <c r="F44" i="8"/>
  <c r="D43" i="8"/>
  <c r="H37" i="8"/>
  <c r="H35" i="8"/>
  <c r="F32" i="8"/>
  <c r="F31" i="8"/>
  <c r="F30" i="8"/>
  <c r="F29" i="8"/>
  <c r="D28" i="8"/>
  <c r="H24" i="8"/>
  <c r="F18" i="8"/>
  <c r="F17" i="8"/>
  <c r="G16" i="8"/>
  <c r="D16" i="8"/>
  <c r="H14" i="8"/>
  <c r="H13" i="8"/>
  <c r="H11" i="8"/>
  <c r="B2" i="8"/>
  <c r="B1" i="8"/>
  <c r="C143" i="7"/>
  <c r="C142" i="12" s="1"/>
  <c r="B143" i="7"/>
  <c r="B142" i="12" s="1"/>
  <c r="C142" i="7"/>
  <c r="C141" i="12" s="1"/>
  <c r="B142" i="7"/>
  <c r="B141" i="12" s="1"/>
  <c r="C141" i="7"/>
  <c r="C140" i="12" s="1"/>
  <c r="B141" i="7"/>
  <c r="B140" i="12" s="1"/>
  <c r="C140" i="7"/>
  <c r="C139" i="12" s="1"/>
  <c r="C139" i="7"/>
  <c r="C138" i="12" s="1"/>
  <c r="C138" i="7"/>
  <c r="C137" i="12" s="1"/>
  <c r="C125" i="7"/>
  <c r="C124" i="12" s="1"/>
  <c r="B125" i="7"/>
  <c r="B124" i="12" s="1"/>
  <c r="C124" i="7"/>
  <c r="C123" i="12" s="1"/>
  <c r="B124" i="7"/>
  <c r="B123" i="12" s="1"/>
  <c r="C123" i="7"/>
  <c r="C122" i="12" s="1"/>
  <c r="B123" i="7"/>
  <c r="B122" i="12" s="1"/>
  <c r="C122" i="7"/>
  <c r="C121" i="12" s="1"/>
  <c r="B122" i="7"/>
  <c r="B121" i="12" s="1"/>
  <c r="C121" i="7"/>
  <c r="C120" i="12" s="1"/>
  <c r="B121" i="7"/>
  <c r="B120" i="12" s="1"/>
  <c r="C120" i="7"/>
  <c r="C119" i="12" s="1"/>
  <c r="B120" i="7"/>
  <c r="B119" i="12" s="1"/>
  <c r="C119" i="7"/>
  <c r="C118" i="12" s="1"/>
  <c r="B119" i="7"/>
  <c r="B118" i="12" s="1"/>
  <c r="C118" i="7"/>
  <c r="C117" i="12" s="1"/>
  <c r="B118" i="7"/>
  <c r="B117" i="12" s="1"/>
  <c r="C117" i="7"/>
  <c r="C116" i="12" s="1"/>
  <c r="B117" i="7"/>
  <c r="B116" i="12" s="1"/>
  <c r="C116" i="7"/>
  <c r="C115" i="12" s="1"/>
  <c r="B116" i="7"/>
  <c r="B115" i="12" s="1"/>
  <c r="C115" i="7"/>
  <c r="C114" i="12" s="1"/>
  <c r="B115" i="7"/>
  <c r="B114" i="12" s="1"/>
  <c r="C114" i="7"/>
  <c r="C113" i="12" s="1"/>
  <c r="B114" i="7"/>
  <c r="B113" i="12" s="1"/>
  <c r="C40" i="7"/>
  <c r="C38" i="7"/>
  <c r="C21" i="7"/>
  <c r="B21" i="7"/>
  <c r="C18" i="7"/>
  <c r="C17" i="12" s="1"/>
  <c r="W1051" i="4"/>
  <c r="V1051" i="4"/>
  <c r="U1051" i="4"/>
  <c r="T1051" i="4"/>
  <c r="Q1050" i="4"/>
  <c r="P1050" i="4"/>
  <c r="Q1049" i="4"/>
  <c r="P1049" i="4"/>
  <c r="Q1048" i="4"/>
  <c r="P1048" i="4"/>
  <c r="Q1047" i="4"/>
  <c r="P1047" i="4"/>
  <c r="Q1046" i="4"/>
  <c r="P1046" i="4"/>
  <c r="W1043" i="4"/>
  <c r="V1043" i="4"/>
  <c r="U1043" i="4"/>
  <c r="T1043" i="4"/>
  <c r="K1043" i="4"/>
  <c r="Q1042" i="4"/>
  <c r="P1042" i="4"/>
  <c r="Q1041" i="4"/>
  <c r="P1041" i="4"/>
  <c r="Q1040" i="4"/>
  <c r="P1040" i="4"/>
  <c r="Q1039" i="4"/>
  <c r="P1039" i="4"/>
  <c r="Q1038" i="4"/>
  <c r="P1038" i="4"/>
  <c r="W1034" i="4"/>
  <c r="V1034" i="4"/>
  <c r="U1034" i="4"/>
  <c r="T1034" i="4"/>
  <c r="K1034" i="4"/>
  <c r="H1034" i="4"/>
  <c r="G1034" i="4"/>
  <c r="Q1033" i="4"/>
  <c r="P1033" i="4"/>
  <c r="Q1032" i="4"/>
  <c r="P1032" i="4"/>
  <c r="Q1031" i="4"/>
  <c r="P1031" i="4"/>
  <c r="Q1030" i="4"/>
  <c r="P1030" i="4"/>
  <c r="Q1029" i="4"/>
  <c r="P1029" i="4"/>
  <c r="Q1028" i="4"/>
  <c r="P1028" i="4"/>
  <c r="Q1027" i="4"/>
  <c r="P1027" i="4"/>
  <c r="Q1026" i="4"/>
  <c r="P1026" i="4"/>
  <c r="W1021" i="4"/>
  <c r="V1021" i="4"/>
  <c r="U1021" i="4"/>
  <c r="T1021" i="4"/>
  <c r="M1021" i="4"/>
  <c r="L1021" i="4"/>
  <c r="K1021" i="4"/>
  <c r="H1021" i="4"/>
  <c r="G1021" i="4"/>
  <c r="Q1020" i="4"/>
  <c r="P1020" i="4"/>
  <c r="Q1019" i="4"/>
  <c r="P1019" i="4"/>
  <c r="Q1018" i="4"/>
  <c r="P1018" i="4"/>
  <c r="Q1017" i="4"/>
  <c r="P1017" i="4"/>
  <c r="Q1016" i="4"/>
  <c r="P1016" i="4"/>
  <c r="Q1015" i="4"/>
  <c r="P1015" i="4"/>
  <c r="Q1014" i="4"/>
  <c r="P1014" i="4"/>
  <c r="W1011" i="4"/>
  <c r="V1011" i="4"/>
  <c r="U1011" i="4"/>
  <c r="T1011" i="4"/>
  <c r="Q1010" i="4"/>
  <c r="P1010" i="4"/>
  <c r="Q1009" i="4"/>
  <c r="P1009" i="4"/>
  <c r="Q1008" i="4"/>
  <c r="P1008" i="4"/>
  <c r="Q1007" i="4"/>
  <c r="P1007" i="4"/>
  <c r="Q1006" i="4"/>
  <c r="P1006" i="4"/>
  <c r="W1003" i="4"/>
  <c r="V1003" i="4"/>
  <c r="U1003" i="4"/>
  <c r="T1003" i="4"/>
  <c r="K1003" i="4"/>
  <c r="Q1002" i="4"/>
  <c r="P1002" i="4"/>
  <c r="Q1001" i="4"/>
  <c r="P1001" i="4"/>
  <c r="Q1000" i="4"/>
  <c r="P1000" i="4"/>
  <c r="Q999" i="4"/>
  <c r="P999" i="4"/>
  <c r="Q998" i="4"/>
  <c r="P998" i="4"/>
  <c r="Q997" i="4"/>
  <c r="P997" i="4"/>
  <c r="Q996" i="4"/>
  <c r="P996" i="4"/>
  <c r="Q995" i="4"/>
  <c r="P995" i="4"/>
  <c r="Q994" i="4"/>
  <c r="P994" i="4"/>
  <c r="Q993" i="4"/>
  <c r="P993" i="4"/>
  <c r="Q992" i="4"/>
  <c r="P992" i="4"/>
  <c r="Q991" i="4"/>
  <c r="P991" i="4"/>
  <c r="W988" i="4"/>
  <c r="V988" i="4"/>
  <c r="U988" i="4"/>
  <c r="T988" i="4"/>
  <c r="K988" i="4"/>
  <c r="Q987" i="4"/>
  <c r="P987" i="4"/>
  <c r="Q986" i="4"/>
  <c r="P986" i="4"/>
  <c r="Q985" i="4"/>
  <c r="P985" i="4"/>
  <c r="Q984" i="4"/>
  <c r="P984" i="4"/>
  <c r="Q983" i="4"/>
  <c r="P983" i="4"/>
  <c r="Q982" i="4"/>
  <c r="P982" i="4"/>
  <c r="Q981" i="4"/>
  <c r="P981" i="4"/>
  <c r="Q980" i="4"/>
  <c r="P980" i="4"/>
  <c r="Q979" i="4"/>
  <c r="P979" i="4"/>
  <c r="Q978" i="4"/>
  <c r="P978" i="4"/>
  <c r="Q977" i="4"/>
  <c r="P977" i="4"/>
  <c r="Q976" i="4"/>
  <c r="P976" i="4"/>
  <c r="Q975" i="4"/>
  <c r="P975" i="4"/>
  <c r="Q974" i="4"/>
  <c r="P974" i="4"/>
  <c r="Q973" i="4"/>
  <c r="P973" i="4"/>
  <c r="Q972" i="4"/>
  <c r="P972" i="4"/>
  <c r="Q971" i="4"/>
  <c r="P971" i="4"/>
  <c r="W966" i="4"/>
  <c r="V966" i="4"/>
  <c r="U966" i="4"/>
  <c r="T966" i="4"/>
  <c r="H966" i="4"/>
  <c r="G966" i="4"/>
  <c r="Q965" i="4"/>
  <c r="P965" i="4"/>
  <c r="Q964" i="4"/>
  <c r="P964" i="4"/>
  <c r="Q963" i="4"/>
  <c r="P963" i="4"/>
  <c r="Q962" i="4"/>
  <c r="P962" i="4"/>
  <c r="Q961" i="4"/>
  <c r="P961" i="4"/>
  <c r="W958" i="4"/>
  <c r="V958" i="4"/>
  <c r="U958" i="4"/>
  <c r="T958" i="4"/>
  <c r="K958" i="4"/>
  <c r="H958" i="4"/>
  <c r="G958" i="4"/>
  <c r="Q957" i="4"/>
  <c r="P957" i="4"/>
  <c r="Q956" i="4"/>
  <c r="P956" i="4"/>
  <c r="Q955" i="4"/>
  <c r="P955" i="4"/>
  <c r="Q954" i="4"/>
  <c r="P954" i="4"/>
  <c r="Q953" i="4"/>
  <c r="P953" i="4"/>
  <c r="Q952" i="4"/>
  <c r="P952" i="4"/>
  <c r="Q951" i="4"/>
  <c r="P951" i="4"/>
  <c r="Q950" i="4"/>
  <c r="P950" i="4"/>
  <c r="Q949" i="4"/>
  <c r="P949" i="4"/>
  <c r="Q948" i="4"/>
  <c r="P948" i="4"/>
  <c r="W943" i="4"/>
  <c r="V943" i="4"/>
  <c r="U943" i="4"/>
  <c r="T943" i="4"/>
  <c r="M943" i="4"/>
  <c r="L943" i="4"/>
  <c r="K943" i="4"/>
  <c r="K1053" i="4" s="1"/>
  <c r="H943" i="4"/>
  <c r="G943" i="4"/>
  <c r="Q942" i="4"/>
  <c r="P942" i="4"/>
  <c r="Q941" i="4"/>
  <c r="P941" i="4"/>
  <c r="Q940" i="4"/>
  <c r="P940" i="4"/>
  <c r="Q939" i="4"/>
  <c r="P939" i="4"/>
  <c r="Q938" i="4"/>
  <c r="P938" i="4"/>
  <c r="AB937" i="4"/>
  <c r="Q937" i="4"/>
  <c r="P937" i="4"/>
  <c r="Q936" i="4"/>
  <c r="P936" i="4"/>
  <c r="Q935" i="4"/>
  <c r="P935" i="4"/>
  <c r="Q934" i="4"/>
  <c r="P934" i="4"/>
  <c r="W931" i="4"/>
  <c r="V931" i="4"/>
  <c r="U931" i="4"/>
  <c r="T931" i="4"/>
  <c r="Q930" i="4"/>
  <c r="P930" i="4"/>
  <c r="Q929" i="4"/>
  <c r="P929" i="4"/>
  <c r="Q928" i="4"/>
  <c r="P928" i="4"/>
  <c r="Q927" i="4"/>
  <c r="P927" i="4"/>
  <c r="Q926" i="4"/>
  <c r="P926" i="4"/>
  <c r="Q925" i="4"/>
  <c r="P925" i="4"/>
  <c r="Q924" i="4"/>
  <c r="P924" i="4"/>
  <c r="Q923" i="4"/>
  <c r="P923" i="4"/>
  <c r="Q922" i="4"/>
  <c r="P922" i="4"/>
  <c r="Q921" i="4"/>
  <c r="P921" i="4"/>
  <c r="Q916" i="4"/>
  <c r="P916" i="4"/>
  <c r="Q915" i="4"/>
  <c r="P915" i="4"/>
  <c r="Q914" i="4"/>
  <c r="P914" i="4"/>
  <c r="W913" i="4"/>
  <c r="W917" i="4" s="1"/>
  <c r="V913" i="4"/>
  <c r="V917" i="4" s="1"/>
  <c r="U913" i="4"/>
  <c r="U917" i="4" s="1"/>
  <c r="T913" i="4"/>
  <c r="T917" i="4" s="1"/>
  <c r="Q913" i="4"/>
  <c r="Q917" i="4" s="1"/>
  <c r="P913" i="4"/>
  <c r="P917" i="4" s="1"/>
  <c r="M913" i="4"/>
  <c r="L913" i="4"/>
  <c r="L917" i="4" s="1"/>
  <c r="K913" i="4"/>
  <c r="H913" i="4"/>
  <c r="G913" i="4"/>
  <c r="Q912" i="4"/>
  <c r="P912" i="4"/>
  <c r="Q911" i="4"/>
  <c r="P911" i="4"/>
  <c r="Q910" i="4"/>
  <c r="P910" i="4"/>
  <c r="Q909" i="4"/>
  <c r="P909" i="4"/>
  <c r="M909" i="4"/>
  <c r="Q908" i="4"/>
  <c r="P908" i="4"/>
  <c r="Q907" i="4"/>
  <c r="P907" i="4"/>
  <c r="Q906" i="4"/>
  <c r="P906" i="4"/>
  <c r="W905" i="4"/>
  <c r="V905" i="4"/>
  <c r="U905" i="4"/>
  <c r="T905" i="4"/>
  <c r="P905" i="4"/>
  <c r="M905" i="4"/>
  <c r="L905" i="4"/>
  <c r="W901" i="4"/>
  <c r="W903" i="4" s="1"/>
  <c r="V901" i="4"/>
  <c r="V903" i="4" s="1"/>
  <c r="U901" i="4"/>
  <c r="U903" i="4" s="1"/>
  <c r="T901" i="4"/>
  <c r="T903" i="4" s="1"/>
  <c r="M901" i="4"/>
  <c r="L901" i="4"/>
  <c r="L903" i="4" s="1"/>
  <c r="K901" i="4"/>
  <c r="H901" i="4"/>
  <c r="H903" i="4" s="1"/>
  <c r="G901" i="4"/>
  <c r="G903" i="4" s="1"/>
  <c r="Q900" i="4"/>
  <c r="P900" i="4"/>
  <c r="Q899" i="4"/>
  <c r="P899" i="4"/>
  <c r="Q898" i="4"/>
  <c r="P898" i="4"/>
  <c r="Q897" i="4"/>
  <c r="P897" i="4"/>
  <c r="Q896" i="4"/>
  <c r="P896" i="4"/>
  <c r="Q895" i="4"/>
  <c r="P895" i="4"/>
  <c r="W892" i="4"/>
  <c r="V892" i="4"/>
  <c r="U892" i="4"/>
  <c r="T892" i="4"/>
  <c r="M892" i="4"/>
  <c r="L892" i="4"/>
  <c r="K892" i="4"/>
  <c r="Q891" i="4"/>
  <c r="P891" i="4"/>
  <c r="Q890" i="4"/>
  <c r="P890" i="4"/>
  <c r="Q889" i="4"/>
  <c r="P889" i="4"/>
  <c r="Q888" i="4"/>
  <c r="P888" i="4"/>
  <c r="Q887" i="4"/>
  <c r="P887" i="4"/>
  <c r="Q886" i="4"/>
  <c r="P886" i="4"/>
  <c r="W883" i="4"/>
  <c r="V883" i="4"/>
  <c r="U883" i="4"/>
  <c r="T883" i="4"/>
  <c r="M883" i="4"/>
  <c r="L883" i="4"/>
  <c r="K883" i="4"/>
  <c r="H883" i="4"/>
  <c r="G883" i="4"/>
  <c r="Q882" i="4"/>
  <c r="P882" i="4"/>
  <c r="Q881" i="4"/>
  <c r="P881" i="4"/>
  <c r="Q880" i="4"/>
  <c r="P880" i="4"/>
  <c r="Q879" i="4"/>
  <c r="P879" i="4"/>
  <c r="Q878" i="4"/>
  <c r="P878" i="4"/>
  <c r="Q877" i="4"/>
  <c r="P877" i="4"/>
  <c r="Q876" i="4"/>
  <c r="P876" i="4"/>
  <c r="Q875" i="4"/>
  <c r="P875" i="4"/>
  <c r="Q874" i="4"/>
  <c r="P874" i="4"/>
  <c r="Q873" i="4"/>
  <c r="P873" i="4"/>
  <c r="Q872" i="4"/>
  <c r="P872" i="4"/>
  <c r="Q871" i="4"/>
  <c r="P871" i="4"/>
  <c r="W868" i="4"/>
  <c r="V868" i="4"/>
  <c r="U868" i="4"/>
  <c r="T868" i="4"/>
  <c r="M868" i="4"/>
  <c r="M903" i="4" s="1"/>
  <c r="L868" i="4"/>
  <c r="K868" i="4"/>
  <c r="H868" i="4"/>
  <c r="G868" i="4"/>
  <c r="Q866" i="4"/>
  <c r="P866" i="4"/>
  <c r="Q865" i="4"/>
  <c r="P865" i="4"/>
  <c r="Q861" i="4"/>
  <c r="P861" i="4"/>
  <c r="Q859" i="4"/>
  <c r="P859" i="4"/>
  <c r="W857" i="4"/>
  <c r="V857" i="4"/>
  <c r="U857" i="4"/>
  <c r="T857" i="4"/>
  <c r="M857" i="4"/>
  <c r="L857" i="4"/>
  <c r="Q856" i="4"/>
  <c r="P856" i="4"/>
  <c r="Q855" i="4"/>
  <c r="P855" i="4"/>
  <c r="Q852" i="4"/>
  <c r="P852" i="4"/>
  <c r="M852" i="4"/>
  <c r="L852" i="4"/>
  <c r="K852" i="4"/>
  <c r="H852" i="4"/>
  <c r="G852" i="4"/>
  <c r="Q851" i="4"/>
  <c r="P851" i="4"/>
  <c r="Q850" i="4"/>
  <c r="P850" i="4"/>
  <c r="Q849" i="4"/>
  <c r="P849" i="4"/>
  <c r="Q848" i="4"/>
  <c r="P848" i="4"/>
  <c r="Q847" i="4"/>
  <c r="P847" i="4"/>
  <c r="Q846" i="4"/>
  <c r="P846" i="4"/>
  <c r="Q845" i="4"/>
  <c r="P845" i="4"/>
  <c r="Q844" i="4"/>
  <c r="P844" i="4"/>
  <c r="W842" i="4"/>
  <c r="V842" i="4"/>
  <c r="U842" i="4"/>
  <c r="T842" i="4"/>
  <c r="M842" i="4"/>
  <c r="L842" i="4"/>
  <c r="L859" i="4" s="1"/>
  <c r="K842" i="4"/>
  <c r="H842" i="4"/>
  <c r="G842" i="4"/>
  <c r="Q841" i="4"/>
  <c r="P841" i="4"/>
  <c r="Q840" i="4"/>
  <c r="P840" i="4"/>
  <c r="Q839" i="4"/>
  <c r="P839" i="4"/>
  <c r="Q838" i="4"/>
  <c r="P838" i="4"/>
  <c r="Q837" i="4"/>
  <c r="P837" i="4"/>
  <c r="Q836" i="4"/>
  <c r="P836" i="4"/>
  <c r="Q835" i="4"/>
  <c r="P835" i="4"/>
  <c r="Q834" i="4"/>
  <c r="P834" i="4"/>
  <c r="W827" i="4"/>
  <c r="V827" i="4"/>
  <c r="U827" i="4"/>
  <c r="T827" i="4"/>
  <c r="L827" i="4"/>
  <c r="Q826" i="4"/>
  <c r="P826" i="4"/>
  <c r="Q825" i="4"/>
  <c r="P825" i="4"/>
  <c r="Q824" i="4"/>
  <c r="P824" i="4"/>
  <c r="Q823" i="4"/>
  <c r="P823" i="4"/>
  <c r="W820" i="4"/>
  <c r="V820" i="4"/>
  <c r="U820" i="4"/>
  <c r="T820" i="4"/>
  <c r="M820" i="4"/>
  <c r="L820" i="4"/>
  <c r="Q819" i="4"/>
  <c r="P819" i="4"/>
  <c r="Q818" i="4"/>
  <c r="P818" i="4"/>
  <c r="Q817" i="4"/>
  <c r="P817" i="4"/>
  <c r="Q816" i="4"/>
  <c r="P816" i="4"/>
  <c r="Q815" i="4"/>
  <c r="P815" i="4"/>
  <c r="Q814" i="4"/>
  <c r="P814" i="4"/>
  <c r="Q813" i="4"/>
  <c r="P813" i="4"/>
  <c r="Q812" i="4"/>
  <c r="P812" i="4"/>
  <c r="Q811" i="4"/>
  <c r="P811" i="4"/>
  <c r="Q810" i="4"/>
  <c r="P810" i="4"/>
  <c r="W807" i="4"/>
  <c r="V807" i="4"/>
  <c r="U807" i="4"/>
  <c r="T807" i="4"/>
  <c r="M807" i="4"/>
  <c r="L807" i="4"/>
  <c r="K807" i="4"/>
  <c r="K829" i="4" s="1"/>
  <c r="H807" i="4"/>
  <c r="H829" i="4" s="1"/>
  <c r="H861" i="4" s="1"/>
  <c r="G807" i="4"/>
  <c r="G829" i="4" s="1"/>
  <c r="G861" i="4" s="1"/>
  <c r="P805" i="4"/>
  <c r="AA804" i="4"/>
  <c r="Q803" i="4"/>
  <c r="P803" i="4"/>
  <c r="Q802" i="4"/>
  <c r="P802" i="4"/>
  <c r="Q801" i="4"/>
  <c r="P801" i="4"/>
  <c r="Q800" i="4"/>
  <c r="P800" i="4"/>
  <c r="Q799" i="4"/>
  <c r="P799" i="4"/>
  <c r="Q798" i="4"/>
  <c r="P798" i="4"/>
  <c r="Q797" i="4"/>
  <c r="P797" i="4"/>
  <c r="Q796" i="4"/>
  <c r="P796" i="4"/>
  <c r="Q795" i="4"/>
  <c r="P795" i="4"/>
  <c r="Q794" i="4"/>
  <c r="P794" i="4"/>
  <c r="Q793" i="4"/>
  <c r="P793" i="4"/>
  <c r="Q792" i="4"/>
  <c r="P792" i="4"/>
  <c r="Q791" i="4"/>
  <c r="P791" i="4"/>
  <c r="Q790" i="4"/>
  <c r="P790" i="4"/>
  <c r="Q789" i="4"/>
  <c r="P789" i="4"/>
  <c r="Q788" i="4"/>
  <c r="P788" i="4"/>
  <c r="Q787" i="4"/>
  <c r="P787" i="4"/>
  <c r="Q786" i="4"/>
  <c r="P786" i="4"/>
  <c r="Q785" i="4"/>
  <c r="P785" i="4"/>
  <c r="Q784" i="4"/>
  <c r="P784" i="4"/>
  <c r="Q783" i="4"/>
  <c r="P783" i="4"/>
  <c r="Q782" i="4"/>
  <c r="P782" i="4"/>
  <c r="Q781" i="4"/>
  <c r="P781" i="4"/>
  <c r="Q780" i="4"/>
  <c r="P780" i="4"/>
  <c r="Q779" i="4"/>
  <c r="P779" i="4"/>
  <c r="Q778" i="4"/>
  <c r="P778" i="4"/>
  <c r="Q777" i="4"/>
  <c r="P777" i="4"/>
  <c r="Q776" i="4"/>
  <c r="P776" i="4"/>
  <c r="Q775" i="4"/>
  <c r="P775" i="4"/>
  <c r="Q774" i="4"/>
  <c r="P774" i="4"/>
  <c r="Q773" i="4"/>
  <c r="P773" i="4"/>
  <c r="Q772" i="4"/>
  <c r="P772" i="4"/>
  <c r="Q771" i="4"/>
  <c r="P771" i="4"/>
  <c r="Q770" i="4"/>
  <c r="P770" i="4"/>
  <c r="Q769" i="4"/>
  <c r="P769" i="4"/>
  <c r="Q768" i="4"/>
  <c r="P768" i="4"/>
  <c r="Q767" i="4"/>
  <c r="P767" i="4"/>
  <c r="Q766" i="4"/>
  <c r="P766" i="4"/>
  <c r="Q765" i="4"/>
  <c r="P765" i="4"/>
  <c r="Q764" i="4"/>
  <c r="P764" i="4"/>
  <c r="Q763" i="4"/>
  <c r="P763" i="4"/>
  <c r="Q762" i="4"/>
  <c r="P762" i="4"/>
  <c r="Q761" i="4"/>
  <c r="P761" i="4"/>
  <c r="Q760" i="4"/>
  <c r="P760" i="4"/>
  <c r="Q759" i="4"/>
  <c r="P759" i="4"/>
  <c r="Q758" i="4"/>
  <c r="P758" i="4"/>
  <c r="P757" i="4"/>
  <c r="M757" i="4"/>
  <c r="K757" i="4"/>
  <c r="H757" i="4"/>
  <c r="G757" i="4"/>
  <c r="Q755" i="4"/>
  <c r="P755" i="4"/>
  <c r="Q754" i="4"/>
  <c r="P754" i="4"/>
  <c r="Q753" i="4"/>
  <c r="P753" i="4"/>
  <c r="Q752" i="4"/>
  <c r="P752" i="4"/>
  <c r="Q751" i="4"/>
  <c r="P751" i="4"/>
  <c r="Q750" i="4"/>
  <c r="P750" i="4"/>
  <c r="Q749" i="4"/>
  <c r="P749" i="4"/>
  <c r="Q748" i="4"/>
  <c r="P748" i="4"/>
  <c r="Q747" i="4"/>
  <c r="P747" i="4"/>
  <c r="Q746" i="4"/>
  <c r="P746" i="4"/>
  <c r="Q745" i="4"/>
  <c r="P745" i="4"/>
  <c r="Q744" i="4"/>
  <c r="P744" i="4"/>
  <c r="Q743" i="4"/>
  <c r="P743" i="4"/>
  <c r="Q742" i="4"/>
  <c r="P742" i="4"/>
  <c r="Q741" i="4"/>
  <c r="P741" i="4"/>
  <c r="Q740" i="4"/>
  <c r="P740" i="4"/>
  <c r="Q739" i="4"/>
  <c r="P739" i="4"/>
  <c r="Q738" i="4"/>
  <c r="P738" i="4"/>
  <c r="Q737" i="4"/>
  <c r="P737" i="4"/>
  <c r="Q736" i="4"/>
  <c r="P736" i="4"/>
  <c r="Q735" i="4"/>
  <c r="P735" i="4"/>
  <c r="Q734" i="4"/>
  <c r="P734" i="4"/>
  <c r="Q733" i="4"/>
  <c r="P733" i="4"/>
  <c r="Q732" i="4"/>
  <c r="P732" i="4"/>
  <c r="Q731" i="4"/>
  <c r="P731" i="4"/>
  <c r="Q730" i="4"/>
  <c r="P730" i="4"/>
  <c r="Q729" i="4"/>
  <c r="P729" i="4"/>
  <c r="Q728" i="4"/>
  <c r="P728" i="4"/>
  <c r="Q727" i="4"/>
  <c r="P727" i="4"/>
  <c r="Q726" i="4"/>
  <c r="P726" i="4"/>
  <c r="Q725" i="4"/>
  <c r="P725" i="4"/>
  <c r="Q724" i="4"/>
  <c r="P724" i="4"/>
  <c r="Q723" i="4"/>
  <c r="P723" i="4"/>
  <c r="Q722" i="4"/>
  <c r="P722" i="4"/>
  <c r="Q721" i="4"/>
  <c r="P721" i="4"/>
  <c r="Q720" i="4"/>
  <c r="P720" i="4"/>
  <c r="Q719" i="4"/>
  <c r="P719" i="4"/>
  <c r="Q718" i="4"/>
  <c r="P718" i="4"/>
  <c r="Q717" i="4"/>
  <c r="P717" i="4"/>
  <c r="Q716" i="4"/>
  <c r="P716" i="4"/>
  <c r="Q715" i="4"/>
  <c r="P715" i="4"/>
  <c r="P714" i="4"/>
  <c r="M714" i="4"/>
  <c r="K714" i="4"/>
  <c r="H714" i="4"/>
  <c r="G714" i="4"/>
  <c r="Q710" i="4"/>
  <c r="P710" i="4"/>
  <c r="Q709" i="4"/>
  <c r="P709" i="4"/>
  <c r="Q708" i="4"/>
  <c r="P708" i="4"/>
  <c r="Q707" i="4"/>
  <c r="P707" i="4"/>
  <c r="Q706" i="4"/>
  <c r="P706" i="4"/>
  <c r="Q705" i="4"/>
  <c r="P705" i="4"/>
  <c r="Q704" i="4"/>
  <c r="P704" i="4"/>
  <c r="Q703" i="4"/>
  <c r="P703" i="4"/>
  <c r="Q702" i="4"/>
  <c r="P702" i="4"/>
  <c r="Q701" i="4"/>
  <c r="P701" i="4"/>
  <c r="Q700" i="4"/>
  <c r="P700" i="4"/>
  <c r="Q699" i="4"/>
  <c r="P699" i="4"/>
  <c r="Q698" i="4"/>
  <c r="P698" i="4"/>
  <c r="Q697" i="4"/>
  <c r="P697" i="4"/>
  <c r="Q696" i="4"/>
  <c r="P696" i="4"/>
  <c r="Q695" i="4"/>
  <c r="P695" i="4"/>
  <c r="Q694" i="4"/>
  <c r="P694" i="4"/>
  <c r="Q693" i="4"/>
  <c r="P693" i="4"/>
  <c r="Q692" i="4"/>
  <c r="P692" i="4"/>
  <c r="Q691" i="4"/>
  <c r="P691" i="4"/>
  <c r="Q690" i="4"/>
  <c r="P690" i="4"/>
  <c r="Q689" i="4"/>
  <c r="P689" i="4"/>
  <c r="Q688" i="4"/>
  <c r="P688" i="4"/>
  <c r="Q687" i="4"/>
  <c r="P687" i="4"/>
  <c r="Q686" i="4"/>
  <c r="P686" i="4"/>
  <c r="Q685" i="4"/>
  <c r="P685" i="4"/>
  <c r="Q684" i="4"/>
  <c r="P684" i="4"/>
  <c r="Q683" i="4"/>
  <c r="P683" i="4"/>
  <c r="Q682" i="4"/>
  <c r="P682" i="4"/>
  <c r="Q681" i="4"/>
  <c r="P681" i="4"/>
  <c r="Q680" i="4"/>
  <c r="P680" i="4"/>
  <c r="Q679" i="4"/>
  <c r="P679" i="4"/>
  <c r="Q678" i="4"/>
  <c r="P678" i="4"/>
  <c r="Q677" i="4"/>
  <c r="P677" i="4"/>
  <c r="Q676" i="4"/>
  <c r="P676" i="4"/>
  <c r="Q675" i="4"/>
  <c r="P675" i="4"/>
  <c r="Q674" i="4"/>
  <c r="P674" i="4"/>
  <c r="P673" i="4"/>
  <c r="K673" i="4"/>
  <c r="H673" i="4"/>
  <c r="G673" i="4"/>
  <c r="Q672" i="4"/>
  <c r="P672" i="4"/>
  <c r="Q671" i="4"/>
  <c r="P671" i="4"/>
  <c r="Q670" i="4"/>
  <c r="P670" i="4"/>
  <c r="Q669" i="4"/>
  <c r="P669" i="4"/>
  <c r="Q668" i="4"/>
  <c r="P668" i="4"/>
  <c r="Q667" i="4"/>
  <c r="P667" i="4"/>
  <c r="Q666" i="4"/>
  <c r="P666" i="4"/>
  <c r="Q665" i="4"/>
  <c r="P665" i="4"/>
  <c r="Q664" i="4"/>
  <c r="P664" i="4"/>
  <c r="Q663" i="4"/>
  <c r="P663" i="4"/>
  <c r="Q662" i="4"/>
  <c r="P662" i="4"/>
  <c r="Q661" i="4"/>
  <c r="P661" i="4"/>
  <c r="Q660" i="4"/>
  <c r="P660" i="4"/>
  <c r="Q659" i="4"/>
  <c r="P659" i="4"/>
  <c r="Q658" i="4"/>
  <c r="P658" i="4"/>
  <c r="Q657" i="4"/>
  <c r="P657" i="4"/>
  <c r="Q656" i="4"/>
  <c r="P656" i="4"/>
  <c r="Q655" i="4"/>
  <c r="P655" i="4"/>
  <c r="Q654" i="4"/>
  <c r="P654" i="4"/>
  <c r="Q653" i="4"/>
  <c r="P653" i="4"/>
  <c r="Q652" i="4"/>
  <c r="P652" i="4"/>
  <c r="Q651" i="4"/>
  <c r="P651" i="4"/>
  <c r="Q650" i="4"/>
  <c r="P650" i="4"/>
  <c r="Q649" i="4"/>
  <c r="P649" i="4"/>
  <c r="Q648" i="4"/>
  <c r="P648" i="4"/>
  <c r="Q647" i="4"/>
  <c r="P647" i="4"/>
  <c r="Q646" i="4"/>
  <c r="P646" i="4"/>
  <c r="Q645" i="4"/>
  <c r="P645" i="4"/>
  <c r="Q644" i="4"/>
  <c r="P644" i="4"/>
  <c r="Q643" i="4"/>
  <c r="P643" i="4"/>
  <c r="Q642" i="4"/>
  <c r="P642" i="4"/>
  <c r="Q641" i="4"/>
  <c r="P641" i="4"/>
  <c r="Q640" i="4"/>
  <c r="P640" i="4"/>
  <c r="Q639" i="4"/>
  <c r="P639" i="4"/>
  <c r="Q638" i="4"/>
  <c r="P638" i="4"/>
  <c r="Q637" i="4"/>
  <c r="P637" i="4"/>
  <c r="Q636" i="4"/>
  <c r="P636" i="4"/>
  <c r="Q635" i="4"/>
  <c r="P635" i="4"/>
  <c r="Q634" i="4"/>
  <c r="P634" i="4"/>
  <c r="Q633" i="4"/>
  <c r="P633" i="4"/>
  <c r="Q632" i="4"/>
  <c r="P632" i="4"/>
  <c r="Q631" i="4"/>
  <c r="P631" i="4"/>
  <c r="Q630" i="4"/>
  <c r="P630" i="4"/>
  <c r="Q629" i="4"/>
  <c r="P629" i="4"/>
  <c r="Q628" i="4"/>
  <c r="P628" i="4"/>
  <c r="Q627" i="4"/>
  <c r="P627" i="4"/>
  <c r="Q626" i="4"/>
  <c r="P626" i="4"/>
  <c r="Q625" i="4"/>
  <c r="P625" i="4"/>
  <c r="Q624" i="4"/>
  <c r="P624" i="4"/>
  <c r="Q623" i="4"/>
  <c r="P623" i="4"/>
  <c r="Q622" i="4"/>
  <c r="P622" i="4"/>
  <c r="Q621" i="4"/>
  <c r="P621" i="4"/>
  <c r="Q620" i="4"/>
  <c r="P620" i="4"/>
  <c r="Q619" i="4"/>
  <c r="P619" i="4"/>
  <c r="Q618" i="4"/>
  <c r="P618" i="4"/>
  <c r="Q617" i="4"/>
  <c r="P617" i="4"/>
  <c r="Q616" i="4"/>
  <c r="P616" i="4"/>
  <c r="Q615" i="4"/>
  <c r="P615" i="4"/>
  <c r="Q614" i="4"/>
  <c r="P614" i="4"/>
  <c r="Q613" i="4"/>
  <c r="P613" i="4"/>
  <c r="Q612" i="4"/>
  <c r="P612" i="4"/>
  <c r="Q611" i="4"/>
  <c r="P611" i="4"/>
  <c r="Q610" i="4"/>
  <c r="P610" i="4"/>
  <c r="Q609" i="4"/>
  <c r="P609" i="4"/>
  <c r="Q608" i="4"/>
  <c r="P608" i="4"/>
  <c r="Q607" i="4"/>
  <c r="P607" i="4"/>
  <c r="Q606" i="4"/>
  <c r="P606" i="4"/>
  <c r="Q605" i="4"/>
  <c r="P605" i="4"/>
  <c r="Q604" i="4"/>
  <c r="P604" i="4"/>
  <c r="Q603" i="4"/>
  <c r="P603" i="4"/>
  <c r="Q602" i="4"/>
  <c r="P602" i="4"/>
  <c r="Q601" i="4"/>
  <c r="P601" i="4"/>
  <c r="Q600" i="4"/>
  <c r="P600" i="4"/>
  <c r="Q599" i="4"/>
  <c r="P599" i="4"/>
  <c r="Q598" i="4"/>
  <c r="P598" i="4"/>
  <c r="Q597" i="4"/>
  <c r="P597" i="4"/>
  <c r="Q596" i="4"/>
  <c r="P596" i="4"/>
  <c r="Q595" i="4"/>
  <c r="P595" i="4"/>
  <c r="Q594" i="4"/>
  <c r="P594" i="4"/>
  <c r="Q593" i="4"/>
  <c r="P593" i="4"/>
  <c r="Q592" i="4"/>
  <c r="P592" i="4"/>
  <c r="Q591" i="4"/>
  <c r="P591" i="4"/>
  <c r="Q590" i="4"/>
  <c r="P590" i="4"/>
  <c r="Q589" i="4"/>
  <c r="P589" i="4"/>
  <c r="Q588" i="4"/>
  <c r="P588" i="4"/>
  <c r="Q587" i="4"/>
  <c r="P587" i="4"/>
  <c r="Q586" i="4"/>
  <c r="P586" i="4"/>
  <c r="Q585" i="4"/>
  <c r="P585" i="4"/>
  <c r="Q584" i="4"/>
  <c r="P584" i="4"/>
  <c r="Q583" i="4"/>
  <c r="P583" i="4"/>
  <c r="Q582" i="4"/>
  <c r="P582" i="4"/>
  <c r="Q581" i="4"/>
  <c r="P581" i="4"/>
  <c r="Q580" i="4"/>
  <c r="P580" i="4"/>
  <c r="Q579" i="4"/>
  <c r="P579" i="4"/>
  <c r="Q578" i="4"/>
  <c r="P578" i="4"/>
  <c r="Q577" i="4"/>
  <c r="P577" i="4"/>
  <c r="Q576" i="4"/>
  <c r="P576" i="4"/>
  <c r="Q575" i="4"/>
  <c r="P575" i="4"/>
  <c r="Q574" i="4"/>
  <c r="P574" i="4"/>
  <c r="Q573" i="4"/>
  <c r="P573" i="4"/>
  <c r="Q572" i="4"/>
  <c r="P572" i="4"/>
  <c r="Q571" i="4"/>
  <c r="P571" i="4"/>
  <c r="Q570" i="4"/>
  <c r="P570" i="4"/>
  <c r="Q569" i="4"/>
  <c r="P569" i="4"/>
  <c r="Q568" i="4"/>
  <c r="P568" i="4"/>
  <c r="Q567" i="4"/>
  <c r="P567" i="4"/>
  <c r="Q566" i="4"/>
  <c r="P566" i="4"/>
  <c r="Q565" i="4"/>
  <c r="P565" i="4"/>
  <c r="Q564" i="4"/>
  <c r="P564" i="4"/>
  <c r="Q563" i="4"/>
  <c r="P563" i="4"/>
  <c r="Q562" i="4"/>
  <c r="P562" i="4"/>
  <c r="Q561" i="4"/>
  <c r="P561" i="4"/>
  <c r="Q560" i="4"/>
  <c r="P560" i="4"/>
  <c r="Q559" i="4"/>
  <c r="P559" i="4"/>
  <c r="Q558" i="4"/>
  <c r="P558" i="4"/>
  <c r="Q557" i="4"/>
  <c r="P557" i="4"/>
  <c r="Q556" i="4"/>
  <c r="P556" i="4"/>
  <c r="Q555" i="4"/>
  <c r="P555" i="4"/>
  <c r="Q554" i="4"/>
  <c r="P554" i="4"/>
  <c r="Q553" i="4"/>
  <c r="P553" i="4"/>
  <c r="Q552" i="4"/>
  <c r="P552" i="4"/>
  <c r="Q551" i="4"/>
  <c r="P551" i="4"/>
  <c r="Q550" i="4"/>
  <c r="P550" i="4"/>
  <c r="Q549" i="4"/>
  <c r="P549" i="4"/>
  <c r="Q548" i="4"/>
  <c r="P548" i="4"/>
  <c r="Q547" i="4"/>
  <c r="P547" i="4"/>
  <c r="Q546" i="4"/>
  <c r="P546" i="4"/>
  <c r="Q545" i="4"/>
  <c r="P545" i="4"/>
  <c r="Q544" i="4"/>
  <c r="P544" i="4"/>
  <c r="Q543" i="4"/>
  <c r="P543" i="4"/>
  <c r="Q542" i="4"/>
  <c r="P542" i="4"/>
  <c r="Q541" i="4"/>
  <c r="P541" i="4"/>
  <c r="Q540" i="4"/>
  <c r="P540" i="4"/>
  <c r="Q539" i="4"/>
  <c r="P539" i="4"/>
  <c r="Q538" i="4"/>
  <c r="P538" i="4"/>
  <c r="Q537" i="4"/>
  <c r="P537" i="4"/>
  <c r="Q536" i="4"/>
  <c r="P536" i="4"/>
  <c r="Q535" i="4"/>
  <c r="P535" i="4"/>
  <c r="Q534" i="4"/>
  <c r="P534" i="4"/>
  <c r="Q533" i="4"/>
  <c r="P533" i="4"/>
  <c r="Q532" i="4"/>
  <c r="P532" i="4"/>
  <c r="Q531" i="4"/>
  <c r="P531" i="4"/>
  <c r="Q530" i="4"/>
  <c r="P530" i="4"/>
  <c r="Q529" i="4"/>
  <c r="P529" i="4"/>
  <c r="Q528" i="4"/>
  <c r="P528" i="4"/>
  <c r="Q527" i="4"/>
  <c r="P527" i="4"/>
  <c r="Q526" i="4"/>
  <c r="P526" i="4"/>
  <c r="Q525" i="4"/>
  <c r="P525" i="4"/>
  <c r="Q524" i="4"/>
  <c r="P524" i="4"/>
  <c r="Q523" i="4"/>
  <c r="P523" i="4"/>
  <c r="Q522" i="4"/>
  <c r="P522" i="4"/>
  <c r="Q521" i="4"/>
  <c r="P521" i="4"/>
  <c r="Q520" i="4"/>
  <c r="P520" i="4"/>
  <c r="Q519" i="4"/>
  <c r="P519" i="4"/>
  <c r="Q518" i="4"/>
  <c r="P518" i="4"/>
  <c r="Q517" i="4"/>
  <c r="P517" i="4"/>
  <c r="Q516" i="4"/>
  <c r="P516" i="4"/>
  <c r="Q515" i="4"/>
  <c r="P515" i="4"/>
  <c r="Q514" i="4"/>
  <c r="P514" i="4"/>
  <c r="Q513" i="4"/>
  <c r="P513" i="4"/>
  <c r="Q512" i="4"/>
  <c r="P512" i="4"/>
  <c r="Q511" i="4"/>
  <c r="P511" i="4"/>
  <c r="Q510" i="4"/>
  <c r="P510" i="4"/>
  <c r="Q509" i="4"/>
  <c r="P509" i="4"/>
  <c r="Q508" i="4"/>
  <c r="P508" i="4"/>
  <c r="Q507" i="4"/>
  <c r="P507" i="4"/>
  <c r="Q506" i="4"/>
  <c r="P506" i="4"/>
  <c r="Q505" i="4"/>
  <c r="P505" i="4"/>
  <c r="Q504" i="4"/>
  <c r="P504" i="4"/>
  <c r="Q503" i="4"/>
  <c r="P503" i="4"/>
  <c r="Q502" i="4"/>
  <c r="P502" i="4"/>
  <c r="Q501" i="4"/>
  <c r="P501" i="4"/>
  <c r="Q500" i="4"/>
  <c r="P500" i="4"/>
  <c r="Q499" i="4"/>
  <c r="P499" i="4"/>
  <c r="Q498" i="4"/>
  <c r="P498" i="4"/>
  <c r="Q497" i="4"/>
  <c r="P497" i="4"/>
  <c r="Q496" i="4"/>
  <c r="P496" i="4"/>
  <c r="Q495" i="4"/>
  <c r="P495" i="4"/>
  <c r="Q494" i="4"/>
  <c r="P494" i="4"/>
  <c r="Q493" i="4"/>
  <c r="P493" i="4"/>
  <c r="Q492" i="4"/>
  <c r="P492" i="4"/>
  <c r="Q491" i="4"/>
  <c r="P491" i="4"/>
  <c r="Q490" i="4"/>
  <c r="P490" i="4"/>
  <c r="Q489" i="4"/>
  <c r="P489" i="4"/>
  <c r="Q488" i="4"/>
  <c r="P488" i="4"/>
  <c r="Q487" i="4"/>
  <c r="P487" i="4"/>
  <c r="Q486" i="4"/>
  <c r="P486" i="4"/>
  <c r="Q485" i="4"/>
  <c r="P485" i="4"/>
  <c r="Q484" i="4"/>
  <c r="P484" i="4"/>
  <c r="Q483" i="4"/>
  <c r="P483" i="4"/>
  <c r="Q482" i="4"/>
  <c r="P482" i="4"/>
  <c r="Q481" i="4"/>
  <c r="P481" i="4"/>
  <c r="Q480" i="4"/>
  <c r="P480" i="4"/>
  <c r="Q479" i="4"/>
  <c r="P479" i="4"/>
  <c r="Q478" i="4"/>
  <c r="P478" i="4"/>
  <c r="Q477" i="4"/>
  <c r="P477" i="4"/>
  <c r="Q476" i="4"/>
  <c r="P476" i="4"/>
  <c r="Q475" i="4"/>
  <c r="P475" i="4"/>
  <c r="Q474" i="4"/>
  <c r="P474" i="4"/>
  <c r="Q473" i="4"/>
  <c r="P473" i="4"/>
  <c r="Q472" i="4"/>
  <c r="P472" i="4"/>
  <c r="Q471" i="4"/>
  <c r="P471" i="4"/>
  <c r="Q470" i="4"/>
  <c r="P470" i="4"/>
  <c r="Q469" i="4"/>
  <c r="P469" i="4"/>
  <c r="Q468" i="4"/>
  <c r="P468" i="4"/>
  <c r="Q467" i="4"/>
  <c r="P467" i="4"/>
  <c r="Q466" i="4"/>
  <c r="P466" i="4"/>
  <c r="Q465" i="4"/>
  <c r="P465" i="4"/>
  <c r="Q464" i="4"/>
  <c r="P464" i="4"/>
  <c r="Q463" i="4"/>
  <c r="P463" i="4"/>
  <c r="Q462" i="4"/>
  <c r="P462" i="4"/>
  <c r="Q461" i="4"/>
  <c r="P461" i="4"/>
  <c r="Q460" i="4"/>
  <c r="P460" i="4"/>
  <c r="Q459" i="4"/>
  <c r="P459" i="4"/>
  <c r="Q458" i="4"/>
  <c r="P458" i="4"/>
  <c r="Q457" i="4"/>
  <c r="P457" i="4"/>
  <c r="Q456" i="4"/>
  <c r="P456" i="4"/>
  <c r="Q455" i="4"/>
  <c r="P455" i="4"/>
  <c r="Q454" i="4"/>
  <c r="P454" i="4"/>
  <c r="Q453" i="4"/>
  <c r="P453" i="4"/>
  <c r="Q452" i="4"/>
  <c r="P452" i="4"/>
  <c r="Q451" i="4"/>
  <c r="P451" i="4"/>
  <c r="Q450" i="4"/>
  <c r="P450" i="4"/>
  <c r="Q449" i="4"/>
  <c r="P449" i="4"/>
  <c r="Q448" i="4"/>
  <c r="P448" i="4"/>
  <c r="Q447" i="4"/>
  <c r="P447" i="4"/>
  <c r="Q446" i="4"/>
  <c r="P446" i="4"/>
  <c r="Q445" i="4"/>
  <c r="P445" i="4"/>
  <c r="Q444" i="4"/>
  <c r="P444" i="4"/>
  <c r="Q443" i="4"/>
  <c r="P443" i="4"/>
  <c r="Q442" i="4"/>
  <c r="P442" i="4"/>
  <c r="Q441" i="4"/>
  <c r="P441" i="4"/>
  <c r="Q440" i="4"/>
  <c r="P440" i="4"/>
  <c r="Q439" i="4"/>
  <c r="P439" i="4"/>
  <c r="Q438" i="4"/>
  <c r="P438" i="4"/>
  <c r="Q437" i="4"/>
  <c r="P437" i="4"/>
  <c r="Q436" i="4"/>
  <c r="P436" i="4"/>
  <c r="Q435" i="4"/>
  <c r="P435" i="4"/>
  <c r="Q434" i="4"/>
  <c r="P434" i="4"/>
  <c r="Q433" i="4"/>
  <c r="P433" i="4"/>
  <c r="Q432" i="4"/>
  <c r="P432" i="4"/>
  <c r="Q431" i="4"/>
  <c r="P431" i="4"/>
  <c r="Q430" i="4"/>
  <c r="P430" i="4"/>
  <c r="Q429" i="4"/>
  <c r="P429" i="4"/>
  <c r="Q428" i="4"/>
  <c r="P428" i="4"/>
  <c r="Q427" i="4"/>
  <c r="P427" i="4"/>
  <c r="Q426" i="4"/>
  <c r="P426" i="4"/>
  <c r="Q425" i="4"/>
  <c r="P425" i="4"/>
  <c r="Q424" i="4"/>
  <c r="P424" i="4"/>
  <c r="Q423" i="4"/>
  <c r="P423" i="4"/>
  <c r="Q422" i="4"/>
  <c r="P422" i="4"/>
  <c r="Q421" i="4"/>
  <c r="P421" i="4"/>
  <c r="Q420" i="4"/>
  <c r="P420" i="4"/>
  <c r="Q419" i="4"/>
  <c r="P419" i="4"/>
  <c r="Q418" i="4"/>
  <c r="P418" i="4"/>
  <c r="Q417" i="4"/>
  <c r="P417" i="4"/>
  <c r="Q416" i="4"/>
  <c r="P416" i="4"/>
  <c r="Q415" i="4"/>
  <c r="P415" i="4"/>
  <c r="Q414" i="4"/>
  <c r="P414" i="4"/>
  <c r="Q413" i="4"/>
  <c r="P413" i="4"/>
  <c r="Q412" i="4"/>
  <c r="P412" i="4"/>
  <c r="Q411" i="4"/>
  <c r="P411" i="4"/>
  <c r="Q410" i="4"/>
  <c r="P410" i="4"/>
  <c r="Q409" i="4"/>
  <c r="P409" i="4"/>
  <c r="Q408" i="4"/>
  <c r="P408" i="4"/>
  <c r="Q407" i="4"/>
  <c r="P407" i="4"/>
  <c r="Q406" i="4"/>
  <c r="P406" i="4"/>
  <c r="Q405" i="4"/>
  <c r="P405" i="4"/>
  <c r="Q404" i="4"/>
  <c r="P404" i="4"/>
  <c r="Q403" i="4"/>
  <c r="P403" i="4"/>
  <c r="Q402" i="4"/>
  <c r="P402" i="4"/>
  <c r="Q401" i="4"/>
  <c r="P401" i="4"/>
  <c r="Q400" i="4"/>
  <c r="P400" i="4"/>
  <c r="Q399" i="4"/>
  <c r="P399" i="4"/>
  <c r="Q398" i="4"/>
  <c r="P398" i="4"/>
  <c r="Q397" i="4"/>
  <c r="P397" i="4"/>
  <c r="Q396" i="4"/>
  <c r="P396" i="4"/>
  <c r="Q395" i="4"/>
  <c r="P395" i="4"/>
  <c r="Q394" i="4"/>
  <c r="P394" i="4"/>
  <c r="Q393" i="4"/>
  <c r="P393" i="4"/>
  <c r="Q392" i="4"/>
  <c r="P392" i="4"/>
  <c r="Q391" i="4"/>
  <c r="P391" i="4"/>
  <c r="Q390" i="4"/>
  <c r="P390" i="4"/>
  <c r="Q389" i="4"/>
  <c r="P389" i="4"/>
  <c r="Q388" i="4"/>
  <c r="P388" i="4"/>
  <c r="Q387" i="4"/>
  <c r="P387" i="4"/>
  <c r="Q386" i="4"/>
  <c r="P386" i="4"/>
  <c r="Q385" i="4"/>
  <c r="P385" i="4"/>
  <c r="Q384" i="4"/>
  <c r="P384" i="4"/>
  <c r="Q383" i="4"/>
  <c r="P383" i="4"/>
  <c r="Q382" i="4"/>
  <c r="P382" i="4"/>
  <c r="Q381" i="4"/>
  <c r="P381" i="4"/>
  <c r="Q380" i="4"/>
  <c r="P380" i="4"/>
  <c r="Q379" i="4"/>
  <c r="P379" i="4"/>
  <c r="Q378" i="4"/>
  <c r="P378" i="4"/>
  <c r="Q377" i="4"/>
  <c r="P377" i="4"/>
  <c r="Q376" i="4"/>
  <c r="P376" i="4"/>
  <c r="Q375" i="4"/>
  <c r="P375" i="4"/>
  <c r="Q374" i="4"/>
  <c r="P374" i="4"/>
  <c r="Q373" i="4"/>
  <c r="P373" i="4"/>
  <c r="Q372" i="4"/>
  <c r="P372" i="4"/>
  <c r="Q371" i="4"/>
  <c r="P371" i="4"/>
  <c r="Q370" i="4"/>
  <c r="P370" i="4"/>
  <c r="Q369" i="4"/>
  <c r="P369" i="4"/>
  <c r="Q368" i="4"/>
  <c r="P368" i="4"/>
  <c r="Q367" i="4"/>
  <c r="P367" i="4"/>
  <c r="Q366" i="4"/>
  <c r="P366" i="4"/>
  <c r="Q365" i="4"/>
  <c r="P365" i="4"/>
  <c r="Q364" i="4"/>
  <c r="P364" i="4"/>
  <c r="Q363" i="4"/>
  <c r="P363" i="4"/>
  <c r="Q362" i="4"/>
  <c r="P362" i="4"/>
  <c r="Q361" i="4"/>
  <c r="P361" i="4"/>
  <c r="Q360" i="4"/>
  <c r="P360" i="4"/>
  <c r="Q359" i="4"/>
  <c r="P359" i="4"/>
  <c r="Q358" i="4"/>
  <c r="P358" i="4"/>
  <c r="Q357" i="4"/>
  <c r="P357" i="4"/>
  <c r="Q356" i="4"/>
  <c r="P356" i="4"/>
  <c r="Q355" i="4"/>
  <c r="P355" i="4"/>
  <c r="Q354" i="4"/>
  <c r="P354" i="4"/>
  <c r="Q353" i="4"/>
  <c r="P353" i="4"/>
  <c r="Q352" i="4"/>
  <c r="P352" i="4"/>
  <c r="Q351" i="4"/>
  <c r="P351" i="4"/>
  <c r="Q350" i="4"/>
  <c r="P350" i="4"/>
  <c r="Q349" i="4"/>
  <c r="P349" i="4"/>
  <c r="Q348" i="4"/>
  <c r="P348" i="4"/>
  <c r="Q347" i="4"/>
  <c r="P347" i="4"/>
  <c r="Q346" i="4"/>
  <c r="P346" i="4"/>
  <c r="Q345" i="4"/>
  <c r="P345" i="4"/>
  <c r="Q344" i="4"/>
  <c r="P344" i="4"/>
  <c r="Q343" i="4"/>
  <c r="P343" i="4"/>
  <c r="Q342" i="4"/>
  <c r="P342" i="4"/>
  <c r="Q341" i="4"/>
  <c r="P341" i="4"/>
  <c r="Q340" i="4"/>
  <c r="P340" i="4"/>
  <c r="Q339" i="4"/>
  <c r="P339" i="4"/>
  <c r="Q338" i="4"/>
  <c r="P338" i="4"/>
  <c r="Q337" i="4"/>
  <c r="P337" i="4"/>
  <c r="Q336" i="4"/>
  <c r="P336" i="4"/>
  <c r="Q335" i="4"/>
  <c r="P335" i="4"/>
  <c r="P334" i="4"/>
  <c r="M334" i="4"/>
  <c r="K334" i="4"/>
  <c r="H334" i="4"/>
  <c r="G334" i="4"/>
  <c r="Q333" i="4"/>
  <c r="P333" i="4"/>
  <c r="Q332" i="4"/>
  <c r="P332" i="4"/>
  <c r="Q331" i="4"/>
  <c r="P331" i="4"/>
  <c r="Q330" i="4"/>
  <c r="P330" i="4"/>
  <c r="Q329" i="4"/>
  <c r="P329" i="4"/>
  <c r="Q328" i="4"/>
  <c r="P328" i="4"/>
  <c r="Q327" i="4"/>
  <c r="P327" i="4"/>
  <c r="Q326" i="4"/>
  <c r="P326" i="4"/>
  <c r="Q325" i="4"/>
  <c r="P325" i="4"/>
  <c r="Q324" i="4"/>
  <c r="P324" i="4"/>
  <c r="Q323" i="4"/>
  <c r="P323" i="4"/>
  <c r="Q322" i="4"/>
  <c r="P322" i="4"/>
  <c r="Q321" i="4"/>
  <c r="P321" i="4"/>
  <c r="Q320" i="4"/>
  <c r="P320" i="4"/>
  <c r="Q319" i="4"/>
  <c r="P319" i="4"/>
  <c r="Q318" i="4"/>
  <c r="P318" i="4"/>
  <c r="Q317" i="4"/>
  <c r="P317" i="4"/>
  <c r="Q316" i="4"/>
  <c r="P316" i="4"/>
  <c r="Q315" i="4"/>
  <c r="P315" i="4"/>
  <c r="Q314" i="4"/>
  <c r="P314" i="4"/>
  <c r="Q313" i="4"/>
  <c r="P313" i="4"/>
  <c r="Q312" i="4"/>
  <c r="P312" i="4"/>
  <c r="Q311" i="4"/>
  <c r="P311" i="4"/>
  <c r="Q310" i="4"/>
  <c r="P310" i="4"/>
  <c r="Q309" i="4"/>
  <c r="P309" i="4"/>
  <c r="Q308" i="4"/>
  <c r="P308" i="4"/>
  <c r="Q307" i="4"/>
  <c r="P307" i="4"/>
  <c r="Q306" i="4"/>
  <c r="P306" i="4"/>
  <c r="Q305" i="4"/>
  <c r="P305" i="4"/>
  <c r="Q304" i="4"/>
  <c r="P304" i="4"/>
  <c r="Q303" i="4"/>
  <c r="P303" i="4"/>
  <c r="Q302" i="4"/>
  <c r="P302" i="4"/>
  <c r="Q301" i="4"/>
  <c r="P301" i="4"/>
  <c r="Q300" i="4"/>
  <c r="P300" i="4"/>
  <c r="Q299" i="4"/>
  <c r="P299" i="4"/>
  <c r="Q298" i="4"/>
  <c r="P298" i="4"/>
  <c r="Q297" i="4"/>
  <c r="P297" i="4"/>
  <c r="Q296" i="4"/>
  <c r="P296" i="4"/>
  <c r="Q295" i="4"/>
  <c r="P295" i="4"/>
  <c r="Q294" i="4"/>
  <c r="P294" i="4"/>
  <c r="Q293" i="4"/>
  <c r="P293" i="4"/>
  <c r="Q292" i="4"/>
  <c r="P292" i="4"/>
  <c r="Q291" i="4"/>
  <c r="P291" i="4"/>
  <c r="Q290" i="4"/>
  <c r="P290" i="4"/>
  <c r="Q289" i="4"/>
  <c r="P289" i="4"/>
  <c r="Q288" i="4"/>
  <c r="P288" i="4"/>
  <c r="Q287" i="4"/>
  <c r="P287" i="4"/>
  <c r="Q286" i="4"/>
  <c r="P286" i="4"/>
  <c r="Q285" i="4"/>
  <c r="P285" i="4"/>
  <c r="Q284" i="4"/>
  <c r="P284" i="4"/>
  <c r="Q283" i="4"/>
  <c r="P283" i="4"/>
  <c r="Q282" i="4"/>
  <c r="P282" i="4"/>
  <c r="Q281" i="4"/>
  <c r="P281" i="4"/>
  <c r="Q280" i="4"/>
  <c r="P280" i="4"/>
  <c r="Q279" i="4"/>
  <c r="P279" i="4"/>
  <c r="Q278" i="4"/>
  <c r="P278" i="4"/>
  <c r="Q277" i="4"/>
  <c r="P277" i="4"/>
  <c r="Q276" i="4"/>
  <c r="P276" i="4"/>
  <c r="Q275" i="4"/>
  <c r="P275" i="4"/>
  <c r="Q274" i="4"/>
  <c r="P274" i="4"/>
  <c r="Q273" i="4"/>
  <c r="P273" i="4"/>
  <c r="Q272" i="4"/>
  <c r="P272" i="4"/>
  <c r="Q271" i="4"/>
  <c r="P271" i="4"/>
  <c r="Q270" i="4"/>
  <c r="P270" i="4"/>
  <c r="Q269" i="4"/>
  <c r="P269" i="4"/>
  <c r="Q268" i="4"/>
  <c r="P268" i="4"/>
  <c r="Q267" i="4"/>
  <c r="P267" i="4"/>
  <c r="Q266" i="4"/>
  <c r="P266" i="4"/>
  <c r="Q265" i="4"/>
  <c r="P265" i="4"/>
  <c r="Q264" i="4"/>
  <c r="P264" i="4"/>
  <c r="Q263" i="4"/>
  <c r="P263" i="4"/>
  <c r="Q262" i="4"/>
  <c r="P262" i="4"/>
  <c r="Q261" i="4"/>
  <c r="P261" i="4"/>
  <c r="Q260" i="4"/>
  <c r="P260" i="4"/>
  <c r="Q259" i="4"/>
  <c r="P259" i="4"/>
  <c r="Q258" i="4"/>
  <c r="P258" i="4"/>
  <c r="Q257" i="4"/>
  <c r="P257" i="4"/>
  <c r="Q256" i="4"/>
  <c r="P256" i="4"/>
  <c r="Q255" i="4"/>
  <c r="P255" i="4"/>
  <c r="Q254" i="4"/>
  <c r="P254" i="4"/>
  <c r="Q253" i="4"/>
  <c r="P253" i="4"/>
  <c r="Q252" i="4"/>
  <c r="P252" i="4"/>
  <c r="Q251" i="4"/>
  <c r="P251" i="4"/>
  <c r="Q250" i="4"/>
  <c r="P250" i="4"/>
  <c r="Q249" i="4"/>
  <c r="P249" i="4"/>
  <c r="Q248" i="4"/>
  <c r="P248" i="4"/>
  <c r="Q247" i="4"/>
  <c r="P247" i="4"/>
  <c r="Q246" i="4"/>
  <c r="P246" i="4"/>
  <c r="Q245" i="4"/>
  <c r="P245" i="4"/>
  <c r="Q244" i="4"/>
  <c r="P244" i="4"/>
  <c r="Q243" i="4"/>
  <c r="P243" i="4"/>
  <c r="Q242" i="4"/>
  <c r="P242" i="4"/>
  <c r="Q241" i="4"/>
  <c r="P241" i="4"/>
  <c r="Q240" i="4"/>
  <c r="P240" i="4"/>
  <c r="Q239" i="4"/>
  <c r="P239" i="4"/>
  <c r="Q238" i="4"/>
  <c r="P238" i="4"/>
  <c r="Q237" i="4"/>
  <c r="P237" i="4"/>
  <c r="Q236" i="4"/>
  <c r="P236" i="4"/>
  <c r="Q235" i="4"/>
  <c r="P235" i="4"/>
  <c r="Q234" i="4"/>
  <c r="P234" i="4"/>
  <c r="Q233" i="4"/>
  <c r="P233" i="4"/>
  <c r="Q232" i="4"/>
  <c r="P232" i="4"/>
  <c r="Q231" i="4"/>
  <c r="P231" i="4"/>
  <c r="Q230" i="4"/>
  <c r="P230" i="4"/>
  <c r="Q229" i="4"/>
  <c r="P229" i="4"/>
  <c r="Q228" i="4"/>
  <c r="P228" i="4"/>
  <c r="Q227" i="4"/>
  <c r="P227" i="4"/>
  <c r="Q226" i="4"/>
  <c r="P226" i="4"/>
  <c r="Q225" i="4"/>
  <c r="P225" i="4"/>
  <c r="Q224" i="4"/>
  <c r="P224" i="4"/>
  <c r="Q223" i="4"/>
  <c r="P223" i="4"/>
  <c r="Q222" i="4"/>
  <c r="P222" i="4"/>
  <c r="Q221" i="4"/>
  <c r="P221" i="4"/>
  <c r="Q220" i="4"/>
  <c r="P220" i="4"/>
  <c r="Q219" i="4"/>
  <c r="P219" i="4"/>
  <c r="Q218" i="4"/>
  <c r="P218" i="4"/>
  <c r="Q217" i="4"/>
  <c r="P217" i="4"/>
  <c r="Q216" i="4"/>
  <c r="P216" i="4"/>
  <c r="Q215" i="4"/>
  <c r="P215" i="4"/>
  <c r="Q214" i="4"/>
  <c r="P214" i="4"/>
  <c r="Q213" i="4"/>
  <c r="P213" i="4"/>
  <c r="Q212" i="4"/>
  <c r="P212" i="4"/>
  <c r="Q211" i="4"/>
  <c r="P211" i="4"/>
  <c r="Q210" i="4"/>
  <c r="P210" i="4"/>
  <c r="Q209" i="4"/>
  <c r="P209" i="4"/>
  <c r="Q208" i="4"/>
  <c r="P208" i="4"/>
  <c r="Q207" i="4"/>
  <c r="P207" i="4"/>
  <c r="Q206" i="4"/>
  <c r="P206" i="4"/>
  <c r="Q205" i="4"/>
  <c r="P205" i="4"/>
  <c r="Q204" i="4"/>
  <c r="P204" i="4"/>
  <c r="Q203" i="4"/>
  <c r="P203" i="4"/>
  <c r="Q202" i="4"/>
  <c r="P202" i="4"/>
  <c r="Q201" i="4"/>
  <c r="P201" i="4"/>
  <c r="Q200" i="4"/>
  <c r="P200" i="4"/>
  <c r="Q199" i="4"/>
  <c r="P199" i="4"/>
  <c r="Q198" i="4"/>
  <c r="P198" i="4"/>
  <c r="Q197" i="4"/>
  <c r="P197" i="4"/>
  <c r="Q196" i="4"/>
  <c r="P196" i="4"/>
  <c r="Q195" i="4"/>
  <c r="P195" i="4"/>
  <c r="Q194" i="4"/>
  <c r="P194" i="4"/>
  <c r="Q193" i="4"/>
  <c r="P193" i="4"/>
  <c r="Q192" i="4"/>
  <c r="P192" i="4"/>
  <c r="Q191" i="4"/>
  <c r="P191" i="4"/>
  <c r="Q190" i="4"/>
  <c r="P190" i="4"/>
  <c r="Q189" i="4"/>
  <c r="P189" i="4"/>
  <c r="Q188" i="4"/>
  <c r="P188" i="4"/>
  <c r="Q187" i="4"/>
  <c r="P187" i="4"/>
  <c r="Q186" i="4"/>
  <c r="P186" i="4"/>
  <c r="Q185" i="4"/>
  <c r="P185" i="4"/>
  <c r="Q184" i="4"/>
  <c r="P184" i="4"/>
  <c r="Q183" i="4"/>
  <c r="P183" i="4"/>
  <c r="Q182" i="4"/>
  <c r="P182" i="4"/>
  <c r="Q181" i="4"/>
  <c r="P181" i="4"/>
  <c r="Q180" i="4"/>
  <c r="P180" i="4"/>
  <c r="Q179" i="4"/>
  <c r="P179" i="4"/>
  <c r="Q178" i="4"/>
  <c r="P178" i="4"/>
  <c r="Q177" i="4"/>
  <c r="P177" i="4"/>
  <c r="Q176" i="4"/>
  <c r="P176" i="4"/>
  <c r="Q175" i="4"/>
  <c r="P175" i="4"/>
  <c r="Q174" i="4"/>
  <c r="P174" i="4"/>
  <c r="Q173" i="4"/>
  <c r="P173" i="4"/>
  <c r="Q172" i="4"/>
  <c r="P172" i="4"/>
  <c r="Q171" i="4"/>
  <c r="P171" i="4"/>
  <c r="Q170" i="4"/>
  <c r="P170" i="4"/>
  <c r="Q169" i="4"/>
  <c r="P169" i="4"/>
  <c r="Q168" i="4"/>
  <c r="P168" i="4"/>
  <c r="Q167" i="4"/>
  <c r="P167" i="4"/>
  <c r="Q166" i="4"/>
  <c r="P166" i="4"/>
  <c r="Q165" i="4"/>
  <c r="P165" i="4"/>
  <c r="Q164" i="4"/>
  <c r="P164" i="4"/>
  <c r="Q163" i="4"/>
  <c r="P163" i="4"/>
  <c r="Q162" i="4"/>
  <c r="P162" i="4"/>
  <c r="Q161" i="4"/>
  <c r="P161" i="4"/>
  <c r="Q160" i="4"/>
  <c r="P160" i="4"/>
  <c r="Q159" i="4"/>
  <c r="P159" i="4"/>
  <c r="Q158" i="4"/>
  <c r="P158" i="4"/>
  <c r="Q157" i="4"/>
  <c r="P157" i="4"/>
  <c r="Q156" i="4"/>
  <c r="P156" i="4"/>
  <c r="Q155" i="4"/>
  <c r="P155" i="4"/>
  <c r="Q154" i="4"/>
  <c r="P154" i="4"/>
  <c r="Q153" i="4"/>
  <c r="P153" i="4"/>
  <c r="Q152" i="4"/>
  <c r="P152" i="4"/>
  <c r="Q151" i="4"/>
  <c r="P151" i="4"/>
  <c r="Q150" i="4"/>
  <c r="P150" i="4"/>
  <c r="Q149" i="4"/>
  <c r="P149" i="4"/>
  <c r="Q148" i="4"/>
  <c r="P148" i="4"/>
  <c r="Q147" i="4"/>
  <c r="P147" i="4"/>
  <c r="Q146" i="4"/>
  <c r="P146" i="4"/>
  <c r="Q145" i="4"/>
  <c r="P145" i="4"/>
  <c r="Q144" i="4"/>
  <c r="P144" i="4"/>
  <c r="Q143" i="4"/>
  <c r="P143" i="4"/>
  <c r="Q142" i="4"/>
  <c r="P142" i="4"/>
  <c r="Q141" i="4"/>
  <c r="P141" i="4"/>
  <c r="Q140" i="4"/>
  <c r="P140" i="4"/>
  <c r="Q139" i="4"/>
  <c r="P139" i="4"/>
  <c r="Q138" i="4"/>
  <c r="P138" i="4"/>
  <c r="Q137" i="4"/>
  <c r="P137" i="4"/>
  <c r="Q136" i="4"/>
  <c r="P136" i="4"/>
  <c r="Q135" i="4"/>
  <c r="P135" i="4"/>
  <c r="Q134" i="4"/>
  <c r="P134" i="4"/>
  <c r="Q133" i="4"/>
  <c r="P133" i="4"/>
  <c r="Q132" i="4"/>
  <c r="P132" i="4"/>
  <c r="Q131" i="4"/>
  <c r="P131" i="4"/>
  <c r="Q130" i="4"/>
  <c r="P130" i="4"/>
  <c r="Q129" i="4"/>
  <c r="P129" i="4"/>
  <c r="Q128" i="4"/>
  <c r="P128" i="4"/>
  <c r="Q127" i="4"/>
  <c r="P127" i="4"/>
  <c r="Q126" i="4"/>
  <c r="P126" i="4"/>
  <c r="Q125" i="4"/>
  <c r="P125" i="4"/>
  <c r="Q124" i="4"/>
  <c r="P124" i="4"/>
  <c r="Q123" i="4"/>
  <c r="P123" i="4"/>
  <c r="Q122" i="4"/>
  <c r="P122" i="4"/>
  <c r="Q121" i="4"/>
  <c r="P121" i="4"/>
  <c r="Q120" i="4"/>
  <c r="P120" i="4"/>
  <c r="Q119" i="4"/>
  <c r="P119" i="4"/>
  <c r="Q118" i="4"/>
  <c r="P118" i="4"/>
  <c r="Q117" i="4"/>
  <c r="P117" i="4"/>
  <c r="Q116" i="4"/>
  <c r="P116" i="4"/>
  <c r="Q115" i="4"/>
  <c r="P115" i="4"/>
  <c r="Q114" i="4"/>
  <c r="P114" i="4"/>
  <c r="Q113" i="4"/>
  <c r="P113" i="4"/>
  <c r="Q112" i="4"/>
  <c r="P112" i="4"/>
  <c r="Q111" i="4"/>
  <c r="P111" i="4"/>
  <c r="Q110" i="4"/>
  <c r="P110" i="4"/>
  <c r="Q109" i="4"/>
  <c r="P109" i="4"/>
  <c r="Q108" i="4"/>
  <c r="P108" i="4"/>
  <c r="Q107" i="4"/>
  <c r="P107" i="4"/>
  <c r="Q106" i="4"/>
  <c r="P106" i="4"/>
  <c r="Q105" i="4"/>
  <c r="P105" i="4"/>
  <c r="Q104" i="4"/>
  <c r="P104" i="4"/>
  <c r="Q103" i="4"/>
  <c r="P103" i="4"/>
  <c r="Q102" i="4"/>
  <c r="P102" i="4"/>
  <c r="Q101" i="4"/>
  <c r="P101" i="4"/>
  <c r="Q100" i="4"/>
  <c r="P100" i="4"/>
  <c r="Q99" i="4"/>
  <c r="P99" i="4"/>
  <c r="Q98" i="4"/>
  <c r="P98" i="4"/>
  <c r="Q97" i="4"/>
  <c r="P97" i="4"/>
  <c r="Q96" i="4"/>
  <c r="P96" i="4"/>
  <c r="Q95" i="4"/>
  <c r="P95" i="4"/>
  <c r="Q94" i="4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9" i="4"/>
  <c r="P79" i="4"/>
  <c r="Q78" i="4"/>
  <c r="P78" i="4"/>
  <c r="Q77" i="4"/>
  <c r="P77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P44" i="4"/>
  <c r="K44" i="4"/>
  <c r="H44" i="4"/>
  <c r="G44" i="4"/>
  <c r="Q40" i="4"/>
  <c r="P40" i="4"/>
  <c r="W39" i="4"/>
  <c r="W41" i="4" s="1"/>
  <c r="V39" i="4"/>
  <c r="V41" i="4" s="1"/>
  <c r="U39" i="4"/>
  <c r="U41" i="4" s="1"/>
  <c r="T39" i="4"/>
  <c r="T41" i="4" s="1"/>
  <c r="Q39" i="4"/>
  <c r="Q41" i="4" s="1"/>
  <c r="P39" i="4"/>
  <c r="P41" i="4" s="1"/>
  <c r="M39" i="4"/>
  <c r="M41" i="4" s="1"/>
  <c r="L39" i="4"/>
  <c r="L41" i="4" s="1"/>
  <c r="K39" i="4"/>
  <c r="K41" i="4" s="1"/>
  <c r="H39" i="4"/>
  <c r="H41" i="4" s="1"/>
  <c r="G39" i="4"/>
  <c r="G41" i="4" s="1"/>
  <c r="Q37" i="4"/>
  <c r="P37" i="4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W29" i="4"/>
  <c r="V29" i="4"/>
  <c r="U29" i="4"/>
  <c r="T29" i="4"/>
  <c r="Q29" i="4"/>
  <c r="P29" i="4"/>
  <c r="M29" i="4"/>
  <c r="L29" i="4"/>
  <c r="K29" i="4"/>
  <c r="H29" i="4"/>
  <c r="G29" i="4"/>
  <c r="Q28" i="4"/>
  <c r="P28" i="4"/>
  <c r="Q27" i="4"/>
  <c r="P27" i="4"/>
  <c r="Q26" i="4"/>
  <c r="P26" i="4"/>
  <c r="W25" i="4"/>
  <c r="V25" i="4"/>
  <c r="U25" i="4"/>
  <c r="T25" i="4"/>
  <c r="Q25" i="4"/>
  <c r="P25" i="4"/>
  <c r="M25" i="4"/>
  <c r="L25" i="4"/>
  <c r="K25" i="4"/>
  <c r="H25" i="4"/>
  <c r="G25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AA14" i="4"/>
  <c r="Q14" i="4"/>
  <c r="P14" i="4"/>
  <c r="Q13" i="4"/>
  <c r="P13" i="4"/>
  <c r="W12" i="4"/>
  <c r="W23" i="4" s="1"/>
  <c r="V12" i="4"/>
  <c r="V23" i="4" s="1"/>
  <c r="U12" i="4"/>
  <c r="U23" i="4" s="1"/>
  <c r="T12" i="4"/>
  <c r="T23" i="4" s="1"/>
  <c r="Q12" i="4"/>
  <c r="Q23" i="4" s="1"/>
  <c r="P12" i="4"/>
  <c r="P23" i="4" s="1"/>
  <c r="M12" i="4"/>
  <c r="L12" i="4"/>
  <c r="K12" i="4"/>
  <c r="H12" i="4"/>
  <c r="G12" i="4"/>
  <c r="Q11" i="4"/>
  <c r="P11" i="4"/>
  <c r="Q10" i="4"/>
  <c r="P10" i="4"/>
  <c r="W9" i="4"/>
  <c r="V9" i="4"/>
  <c r="U9" i="4"/>
  <c r="T9" i="4"/>
  <c r="Q9" i="4"/>
  <c r="P9" i="4"/>
  <c r="M9" i="4"/>
  <c r="M23" i="4" s="1"/>
  <c r="L9" i="4"/>
  <c r="L23" i="4" s="1"/>
  <c r="K9" i="4"/>
  <c r="B3" i="4"/>
  <c r="B2" i="4"/>
  <c r="P771" i="3"/>
  <c r="Q771" i="3" s="1"/>
  <c r="P770" i="3"/>
  <c r="Q770" i="3" s="1"/>
  <c r="P769" i="3"/>
  <c r="Q769" i="3" s="1"/>
  <c r="P768" i="3"/>
  <c r="Q768" i="3" s="1"/>
  <c r="P767" i="3"/>
  <c r="Q767" i="3" s="1"/>
  <c r="P766" i="3"/>
  <c r="Q766" i="3" s="1"/>
  <c r="P765" i="3"/>
  <c r="Q765" i="3" s="1"/>
  <c r="P764" i="3"/>
  <c r="Q764" i="3" s="1"/>
  <c r="P763" i="3"/>
  <c r="Q763" i="3" s="1"/>
  <c r="P762" i="3"/>
  <c r="Q762" i="3" s="1"/>
  <c r="P761" i="3"/>
  <c r="Q761" i="3" s="1"/>
  <c r="P760" i="3"/>
  <c r="Q760" i="3" s="1"/>
  <c r="P751" i="3"/>
  <c r="Q751" i="3" s="1"/>
  <c r="P750" i="3"/>
  <c r="Q750" i="3" s="1"/>
  <c r="P749" i="3"/>
  <c r="Q749" i="3" s="1"/>
  <c r="P748" i="3"/>
  <c r="Q748" i="3" s="1"/>
  <c r="P727" i="3"/>
  <c r="Q727" i="3" s="1"/>
  <c r="Q726" i="3" s="1"/>
  <c r="P726" i="3"/>
  <c r="O726" i="3"/>
  <c r="M726" i="3"/>
  <c r="K726" i="3"/>
  <c r="J726" i="3"/>
  <c r="I726" i="3"/>
  <c r="S724" i="3"/>
  <c r="P723" i="3"/>
  <c r="Q723" i="3" s="1"/>
  <c r="B723" i="3"/>
  <c r="P722" i="3"/>
  <c r="Q722" i="3" s="1"/>
  <c r="B722" i="3"/>
  <c r="P721" i="3"/>
  <c r="Q721" i="3" s="1"/>
  <c r="C721" i="3"/>
  <c r="B721" i="3"/>
  <c r="P720" i="3"/>
  <c r="Q720" i="3" s="1"/>
  <c r="C720" i="3"/>
  <c r="B720" i="3"/>
  <c r="P719" i="3"/>
  <c r="Q719" i="3" s="1"/>
  <c r="C719" i="3"/>
  <c r="B719" i="3"/>
  <c r="P718" i="3"/>
  <c r="Q718" i="3" s="1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P711" i="3"/>
  <c r="Q711" i="3" s="1"/>
  <c r="C711" i="3"/>
  <c r="B711" i="3"/>
  <c r="P710" i="3"/>
  <c r="Q710" i="3" s="1"/>
  <c r="C710" i="3"/>
  <c r="B710" i="3"/>
  <c r="P709" i="3"/>
  <c r="Q709" i="3" s="1"/>
  <c r="C709" i="3"/>
  <c r="B709" i="3"/>
  <c r="P708" i="3"/>
  <c r="Q708" i="3" s="1"/>
  <c r="C708" i="3"/>
  <c r="B708" i="3"/>
  <c r="P707" i="3"/>
  <c r="Q707" i="3" s="1"/>
  <c r="C707" i="3"/>
  <c r="B707" i="3"/>
  <c r="P706" i="3"/>
  <c r="Q706" i="3" s="1"/>
  <c r="C706" i="3"/>
  <c r="B706" i="3"/>
  <c r="P705" i="3"/>
  <c r="Q705" i="3" s="1"/>
  <c r="C705" i="3"/>
  <c r="B705" i="3"/>
  <c r="P704" i="3"/>
  <c r="Q704" i="3" s="1"/>
  <c r="C704" i="3"/>
  <c r="B704" i="3"/>
  <c r="P703" i="3"/>
  <c r="Q703" i="3" s="1"/>
  <c r="C703" i="3"/>
  <c r="B703" i="3"/>
  <c r="P702" i="3"/>
  <c r="Q702" i="3" s="1"/>
  <c r="C702" i="3"/>
  <c r="B702" i="3"/>
  <c r="P701" i="3"/>
  <c r="Q701" i="3" s="1"/>
  <c r="C701" i="3"/>
  <c r="B701" i="3"/>
  <c r="C700" i="3"/>
  <c r="B700" i="3"/>
  <c r="P699" i="3"/>
  <c r="Q699" i="3" s="1"/>
  <c r="C699" i="3"/>
  <c r="B699" i="3"/>
  <c r="C698" i="3"/>
  <c r="B698" i="3"/>
  <c r="P697" i="3"/>
  <c r="Q697" i="3" s="1"/>
  <c r="C697" i="3"/>
  <c r="B697" i="3"/>
  <c r="C696" i="3"/>
  <c r="B696" i="3"/>
  <c r="C695" i="3"/>
  <c r="B695" i="3"/>
  <c r="C694" i="3"/>
  <c r="B694" i="3"/>
  <c r="C693" i="3"/>
  <c r="B693" i="3"/>
  <c r="C692" i="3"/>
  <c r="B692" i="3"/>
  <c r="C691" i="3"/>
  <c r="B691" i="3"/>
  <c r="P690" i="3"/>
  <c r="Q690" i="3" s="1"/>
  <c r="C690" i="3"/>
  <c r="B690" i="3"/>
  <c r="P689" i="3"/>
  <c r="Q689" i="3" s="1"/>
  <c r="C689" i="3"/>
  <c r="B689" i="3"/>
  <c r="P688" i="3"/>
  <c r="Q688" i="3" s="1"/>
  <c r="C688" i="3"/>
  <c r="B688" i="3"/>
  <c r="P687" i="3"/>
  <c r="Q687" i="3" s="1"/>
  <c r="C687" i="3"/>
  <c r="B687" i="3"/>
  <c r="C686" i="3"/>
  <c r="B686" i="3"/>
  <c r="C685" i="3"/>
  <c r="B685" i="3"/>
  <c r="C684" i="3"/>
  <c r="B684" i="3"/>
  <c r="C683" i="3"/>
  <c r="B683" i="3"/>
  <c r="O682" i="3"/>
  <c r="K682" i="3"/>
  <c r="J682" i="3"/>
  <c r="I682" i="3"/>
  <c r="P679" i="3"/>
  <c r="Q679" i="3" s="1"/>
  <c r="N679" i="3"/>
  <c r="R679" i="3" s="1"/>
  <c r="C679" i="3"/>
  <c r="B679" i="3"/>
  <c r="P678" i="3"/>
  <c r="Q678" i="3" s="1"/>
  <c r="N678" i="3"/>
  <c r="R678" i="3" s="1"/>
  <c r="C678" i="3"/>
  <c r="S678" i="3" s="1"/>
  <c r="B678" i="3"/>
  <c r="P677" i="3"/>
  <c r="Q677" i="3" s="1"/>
  <c r="N677" i="3"/>
  <c r="R677" i="3" s="1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T665" i="3"/>
  <c r="P665" i="3"/>
  <c r="Q665" i="3" s="1"/>
  <c r="C665" i="3"/>
  <c r="B665" i="3"/>
  <c r="T664" i="3"/>
  <c r="P664" i="3"/>
  <c r="Q664" i="3" s="1"/>
  <c r="C664" i="3"/>
  <c r="B664" i="3"/>
  <c r="T663" i="3"/>
  <c r="P663" i="3"/>
  <c r="Q663" i="3" s="1"/>
  <c r="C663" i="3"/>
  <c r="B663" i="3"/>
  <c r="C662" i="3"/>
  <c r="B662" i="3"/>
  <c r="C661" i="3"/>
  <c r="B661" i="3"/>
  <c r="T660" i="3"/>
  <c r="P660" i="3"/>
  <c r="Q660" i="3" s="1"/>
  <c r="C660" i="3"/>
  <c r="B660" i="3"/>
  <c r="C659" i="3"/>
  <c r="B659" i="3"/>
  <c r="O658" i="3"/>
  <c r="C658" i="3"/>
  <c r="B658" i="3"/>
  <c r="C657" i="3"/>
  <c r="B657" i="3"/>
  <c r="T656" i="3"/>
  <c r="P656" i="3"/>
  <c r="Q656" i="3" s="1"/>
  <c r="C656" i="3"/>
  <c r="B656" i="3"/>
  <c r="C655" i="3"/>
  <c r="B655" i="3"/>
  <c r="T654" i="3"/>
  <c r="P654" i="3"/>
  <c r="Q654" i="3" s="1"/>
  <c r="C654" i="3"/>
  <c r="B654" i="3"/>
  <c r="C653" i="3"/>
  <c r="B653" i="3"/>
  <c r="T652" i="3"/>
  <c r="P652" i="3"/>
  <c r="Q652" i="3" s="1"/>
  <c r="C652" i="3"/>
  <c r="B652" i="3"/>
  <c r="T651" i="3"/>
  <c r="P651" i="3"/>
  <c r="Q651" i="3" s="1"/>
  <c r="C651" i="3"/>
  <c r="B651" i="3"/>
  <c r="C650" i="3"/>
  <c r="B650" i="3"/>
  <c r="T649" i="3"/>
  <c r="P649" i="3"/>
  <c r="Q649" i="3" s="1"/>
  <c r="C649" i="3"/>
  <c r="B649" i="3"/>
  <c r="T648" i="3"/>
  <c r="P648" i="3"/>
  <c r="Q648" i="3" s="1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P640" i="3"/>
  <c r="Q640" i="3" s="1"/>
  <c r="C640" i="3"/>
  <c r="B640" i="3"/>
  <c r="O639" i="3"/>
  <c r="K639" i="3"/>
  <c r="J639" i="3"/>
  <c r="I639" i="3"/>
  <c r="T637" i="3"/>
  <c r="P637" i="3"/>
  <c r="Q637" i="3" s="1"/>
  <c r="C636" i="3"/>
  <c r="B636" i="3"/>
  <c r="T635" i="3"/>
  <c r="P635" i="3"/>
  <c r="Q635" i="3" s="1"/>
  <c r="C635" i="3"/>
  <c r="B635" i="3"/>
  <c r="T634" i="3"/>
  <c r="P634" i="3"/>
  <c r="Q634" i="3" s="1"/>
  <c r="T633" i="3"/>
  <c r="P633" i="3"/>
  <c r="Q633" i="3" s="1"/>
  <c r="T632" i="3"/>
  <c r="P632" i="3"/>
  <c r="Q632" i="3" s="1"/>
  <c r="C632" i="3"/>
  <c r="B632" i="3"/>
  <c r="C631" i="3"/>
  <c r="B631" i="3"/>
  <c r="T630" i="3"/>
  <c r="P630" i="3"/>
  <c r="Q630" i="3" s="1"/>
  <c r="C630" i="3"/>
  <c r="B630" i="3"/>
  <c r="C629" i="3"/>
  <c r="B629" i="3"/>
  <c r="T628" i="3"/>
  <c r="Q628" i="3"/>
  <c r="C628" i="3"/>
  <c r="B628" i="3"/>
  <c r="C627" i="3"/>
  <c r="B627" i="3"/>
  <c r="T626" i="3"/>
  <c r="P626" i="3"/>
  <c r="Q626" i="3" s="1"/>
  <c r="C626" i="3"/>
  <c r="B626" i="3"/>
  <c r="T625" i="3"/>
  <c r="P625" i="3"/>
  <c r="Q625" i="3" s="1"/>
  <c r="C625" i="3"/>
  <c r="B625" i="3"/>
  <c r="T624" i="3"/>
  <c r="P624" i="3"/>
  <c r="Q624" i="3" s="1"/>
  <c r="C624" i="3"/>
  <c r="B624" i="3"/>
  <c r="C623" i="3"/>
  <c r="B623" i="3"/>
  <c r="C622" i="3"/>
  <c r="B622" i="3"/>
  <c r="T621" i="3"/>
  <c r="P621" i="3"/>
  <c r="Q621" i="3" s="1"/>
  <c r="C621" i="3"/>
  <c r="B621" i="3"/>
  <c r="T620" i="3"/>
  <c r="P620" i="3"/>
  <c r="Q620" i="3" s="1"/>
  <c r="C620" i="3"/>
  <c r="B620" i="3"/>
  <c r="T619" i="3"/>
  <c r="P619" i="3"/>
  <c r="Q619" i="3" s="1"/>
  <c r="C619" i="3"/>
  <c r="B619" i="3"/>
  <c r="C618" i="3"/>
  <c r="B618" i="3"/>
  <c r="T617" i="3"/>
  <c r="P617" i="3"/>
  <c r="Q617" i="3" s="1"/>
  <c r="C617" i="3"/>
  <c r="B617" i="3"/>
  <c r="T616" i="3"/>
  <c r="P616" i="3"/>
  <c r="Q616" i="3" s="1"/>
  <c r="C616" i="3"/>
  <c r="B616" i="3"/>
  <c r="C615" i="3"/>
  <c r="B615" i="3"/>
  <c r="C614" i="3"/>
  <c r="B614" i="3"/>
  <c r="T613" i="3"/>
  <c r="P613" i="3"/>
  <c r="Q613" i="3" s="1"/>
  <c r="C613" i="3"/>
  <c r="B613" i="3"/>
  <c r="C612" i="3"/>
  <c r="B612" i="3"/>
  <c r="T611" i="3"/>
  <c r="P611" i="3"/>
  <c r="Q611" i="3" s="1"/>
  <c r="C611" i="3"/>
  <c r="B611" i="3"/>
  <c r="T610" i="3"/>
  <c r="P610" i="3"/>
  <c r="Q610" i="3" s="1"/>
  <c r="C610" i="3"/>
  <c r="B610" i="3"/>
  <c r="T609" i="3"/>
  <c r="P609" i="3"/>
  <c r="Q609" i="3" s="1"/>
  <c r="C609" i="3"/>
  <c r="B609" i="3"/>
  <c r="T608" i="3"/>
  <c r="P608" i="3"/>
  <c r="Q608" i="3" s="1"/>
  <c r="C608" i="3"/>
  <c r="B608" i="3"/>
  <c r="C607" i="3"/>
  <c r="B607" i="3"/>
  <c r="C606" i="3"/>
  <c r="B606" i="3"/>
  <c r="T605" i="3"/>
  <c r="P605" i="3"/>
  <c r="Q605" i="3" s="1"/>
  <c r="C605" i="3"/>
  <c r="B605" i="3"/>
  <c r="C604" i="3"/>
  <c r="B604" i="3"/>
  <c r="C603" i="3"/>
  <c r="B603" i="3"/>
  <c r="T602" i="3"/>
  <c r="P602" i="3"/>
  <c r="Q602" i="3" s="1"/>
  <c r="C602" i="3"/>
  <c r="B602" i="3"/>
  <c r="T601" i="3"/>
  <c r="P601" i="3"/>
  <c r="Q601" i="3" s="1"/>
  <c r="C601" i="3"/>
  <c r="B601" i="3"/>
  <c r="C600" i="3"/>
  <c r="B600" i="3"/>
  <c r="T599" i="3"/>
  <c r="P599" i="3"/>
  <c r="Q599" i="3" s="1"/>
  <c r="C599" i="3"/>
  <c r="B599" i="3"/>
  <c r="C598" i="3"/>
  <c r="B598" i="3"/>
  <c r="T597" i="3"/>
  <c r="P597" i="3"/>
  <c r="Q597" i="3" s="1"/>
  <c r="C597" i="3"/>
  <c r="B597" i="3"/>
  <c r="T596" i="3"/>
  <c r="P596" i="3"/>
  <c r="Q596" i="3" s="1"/>
  <c r="C596" i="3"/>
  <c r="B596" i="3"/>
  <c r="T595" i="3"/>
  <c r="P595" i="3"/>
  <c r="Q595" i="3" s="1"/>
  <c r="C595" i="3"/>
  <c r="B595" i="3"/>
  <c r="T594" i="3"/>
  <c r="P594" i="3"/>
  <c r="Q594" i="3" s="1"/>
  <c r="C594" i="3"/>
  <c r="B594" i="3"/>
  <c r="T593" i="3"/>
  <c r="P593" i="3"/>
  <c r="Q593" i="3" s="1"/>
  <c r="C593" i="3"/>
  <c r="B593" i="3"/>
  <c r="T592" i="3"/>
  <c r="P592" i="3"/>
  <c r="Q592" i="3" s="1"/>
  <c r="C592" i="3"/>
  <c r="B592" i="3"/>
  <c r="C591" i="3"/>
  <c r="B591" i="3"/>
  <c r="T590" i="3"/>
  <c r="P590" i="3"/>
  <c r="Q590" i="3" s="1"/>
  <c r="C590" i="3"/>
  <c r="B590" i="3"/>
  <c r="C589" i="3"/>
  <c r="B589" i="3"/>
  <c r="C588" i="3"/>
  <c r="B588" i="3"/>
  <c r="C587" i="3"/>
  <c r="B587" i="3"/>
  <c r="C586" i="3"/>
  <c r="B586" i="3"/>
  <c r="T585" i="3"/>
  <c r="P585" i="3"/>
  <c r="Q585" i="3" s="1"/>
  <c r="T584" i="3"/>
  <c r="P584" i="3"/>
  <c r="Q584" i="3" s="1"/>
  <c r="T583" i="3"/>
  <c r="P583" i="3"/>
  <c r="Q583" i="3" s="1"/>
  <c r="C583" i="3"/>
  <c r="B583" i="3"/>
  <c r="C582" i="3"/>
  <c r="B582" i="3"/>
  <c r="C581" i="3"/>
  <c r="B581" i="3"/>
  <c r="C580" i="3"/>
  <c r="B580" i="3"/>
  <c r="C579" i="3"/>
  <c r="B579" i="3"/>
  <c r="T578" i="3"/>
  <c r="P578" i="3"/>
  <c r="Q578" i="3" s="1"/>
  <c r="T577" i="3"/>
  <c r="P577" i="3"/>
  <c r="Q577" i="3" s="1"/>
  <c r="C577" i="3"/>
  <c r="B577" i="3"/>
  <c r="T576" i="3"/>
  <c r="P576" i="3"/>
  <c r="Q576" i="3" s="1"/>
  <c r="C576" i="3"/>
  <c r="B576" i="3"/>
  <c r="T575" i="3"/>
  <c r="P575" i="3"/>
  <c r="Q575" i="3" s="1"/>
  <c r="C575" i="3"/>
  <c r="B575" i="3"/>
  <c r="T574" i="3"/>
  <c r="P574" i="3"/>
  <c r="Q574" i="3" s="1"/>
  <c r="C574" i="3"/>
  <c r="B574" i="3"/>
  <c r="T573" i="3"/>
  <c r="P573" i="3"/>
  <c r="Q573" i="3" s="1"/>
  <c r="C573" i="3"/>
  <c r="B573" i="3"/>
  <c r="T572" i="3"/>
  <c r="P572" i="3"/>
  <c r="Q572" i="3" s="1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T565" i="3"/>
  <c r="P565" i="3"/>
  <c r="Q565" i="3" s="1"/>
  <c r="C565" i="3"/>
  <c r="B565" i="3"/>
  <c r="C564" i="3"/>
  <c r="B564" i="3"/>
  <c r="T563" i="3"/>
  <c r="P563" i="3"/>
  <c r="Q563" i="3" s="1"/>
  <c r="C563" i="3"/>
  <c r="B563" i="3"/>
  <c r="T562" i="3"/>
  <c r="P562" i="3"/>
  <c r="Q562" i="3" s="1"/>
  <c r="C562" i="3"/>
  <c r="B562" i="3"/>
  <c r="T561" i="3"/>
  <c r="P561" i="3"/>
  <c r="Q561" i="3" s="1"/>
  <c r="C561" i="3"/>
  <c r="B561" i="3"/>
  <c r="T560" i="3"/>
  <c r="P560" i="3"/>
  <c r="Q560" i="3" s="1"/>
  <c r="C560" i="3"/>
  <c r="B560" i="3"/>
  <c r="C559" i="3"/>
  <c r="B559" i="3"/>
  <c r="T558" i="3"/>
  <c r="P558" i="3"/>
  <c r="Q558" i="3" s="1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T551" i="3"/>
  <c r="P551" i="3"/>
  <c r="Q551" i="3" s="1"/>
  <c r="C551" i="3"/>
  <c r="B551" i="3"/>
  <c r="C550" i="3"/>
  <c r="B550" i="3"/>
  <c r="C549" i="3"/>
  <c r="B549" i="3"/>
  <c r="T548" i="3"/>
  <c r="P548" i="3"/>
  <c r="Q548" i="3" s="1"/>
  <c r="T547" i="3"/>
  <c r="P547" i="3"/>
  <c r="Q547" i="3" s="1"/>
  <c r="T546" i="3"/>
  <c r="P546" i="3"/>
  <c r="Q546" i="3" s="1"/>
  <c r="T545" i="3"/>
  <c r="P545" i="3"/>
  <c r="Q545" i="3" s="1"/>
  <c r="C545" i="3"/>
  <c r="B545" i="3"/>
  <c r="T544" i="3"/>
  <c r="P544" i="3"/>
  <c r="Q544" i="3" s="1"/>
  <c r="C544" i="3"/>
  <c r="B544" i="3"/>
  <c r="C543" i="3"/>
  <c r="B543" i="3"/>
  <c r="C542" i="3"/>
  <c r="B542" i="3"/>
  <c r="C541" i="3"/>
  <c r="B541" i="3"/>
  <c r="T540" i="3"/>
  <c r="P540" i="3"/>
  <c r="Q540" i="3" s="1"/>
  <c r="C540" i="3"/>
  <c r="B540" i="3"/>
  <c r="C539" i="3"/>
  <c r="B539" i="3"/>
  <c r="T538" i="3"/>
  <c r="P538" i="3"/>
  <c r="Q538" i="3" s="1"/>
  <c r="C538" i="3"/>
  <c r="B538" i="3"/>
  <c r="T537" i="3"/>
  <c r="P537" i="3"/>
  <c r="Q537" i="3" s="1"/>
  <c r="C537" i="3"/>
  <c r="B537" i="3"/>
  <c r="C536" i="3"/>
  <c r="B536" i="3"/>
  <c r="T535" i="3"/>
  <c r="P535" i="3"/>
  <c r="Q535" i="3" s="1"/>
  <c r="T534" i="3"/>
  <c r="P534" i="3"/>
  <c r="Q534" i="3" s="1"/>
  <c r="T533" i="3"/>
  <c r="P533" i="3"/>
  <c r="Q533" i="3" s="1"/>
  <c r="T532" i="3"/>
  <c r="P532" i="3"/>
  <c r="Q532" i="3" s="1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T523" i="3"/>
  <c r="P523" i="3"/>
  <c r="Q523" i="3" s="1"/>
  <c r="C523" i="3"/>
  <c r="B523" i="3"/>
  <c r="C522" i="3"/>
  <c r="B522" i="3"/>
  <c r="C521" i="3"/>
  <c r="B521" i="3"/>
  <c r="C520" i="3"/>
  <c r="B520" i="3"/>
  <c r="C519" i="3"/>
  <c r="B519" i="3"/>
  <c r="C518" i="3"/>
  <c r="B518" i="3"/>
  <c r="T517" i="3"/>
  <c r="P517" i="3"/>
  <c r="Q517" i="3" s="1"/>
  <c r="C517" i="3"/>
  <c r="B517" i="3"/>
  <c r="T516" i="3"/>
  <c r="P516" i="3"/>
  <c r="Q516" i="3" s="1"/>
  <c r="C516" i="3"/>
  <c r="B516" i="3"/>
  <c r="T515" i="3"/>
  <c r="P515" i="3"/>
  <c r="Q515" i="3" s="1"/>
  <c r="C515" i="3"/>
  <c r="B515" i="3"/>
  <c r="T514" i="3"/>
  <c r="P514" i="3"/>
  <c r="Q514" i="3" s="1"/>
  <c r="C514" i="3"/>
  <c r="B514" i="3"/>
  <c r="C513" i="3"/>
  <c r="B513" i="3"/>
  <c r="C512" i="3"/>
  <c r="B512" i="3"/>
  <c r="T511" i="3"/>
  <c r="P511" i="3"/>
  <c r="Q511" i="3" s="1"/>
  <c r="C511" i="3"/>
  <c r="B511" i="3"/>
  <c r="T510" i="3"/>
  <c r="P510" i="3"/>
  <c r="Q510" i="3" s="1"/>
  <c r="C510" i="3"/>
  <c r="B510" i="3"/>
  <c r="C509" i="3"/>
  <c r="B509" i="3"/>
  <c r="T508" i="3"/>
  <c r="P508" i="3"/>
  <c r="Q508" i="3" s="1"/>
  <c r="C508" i="3"/>
  <c r="B508" i="3"/>
  <c r="T507" i="3"/>
  <c r="P507" i="3"/>
  <c r="Q507" i="3" s="1"/>
  <c r="C507" i="3"/>
  <c r="B507" i="3"/>
  <c r="T506" i="3"/>
  <c r="P506" i="3"/>
  <c r="Q506" i="3" s="1"/>
  <c r="C506" i="3"/>
  <c r="B506" i="3"/>
  <c r="T505" i="3"/>
  <c r="P505" i="3"/>
  <c r="Q505" i="3" s="1"/>
  <c r="C505" i="3"/>
  <c r="B505" i="3"/>
  <c r="T504" i="3"/>
  <c r="P504" i="3"/>
  <c r="Q504" i="3" s="1"/>
  <c r="T503" i="3"/>
  <c r="P503" i="3"/>
  <c r="Q503" i="3" s="1"/>
  <c r="T502" i="3"/>
  <c r="P502" i="3"/>
  <c r="Q502" i="3" s="1"/>
  <c r="C502" i="3"/>
  <c r="B502" i="3"/>
  <c r="T501" i="3"/>
  <c r="P501" i="3"/>
  <c r="Q501" i="3" s="1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T493" i="3"/>
  <c r="P493" i="3"/>
  <c r="Q493" i="3" s="1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T484" i="3"/>
  <c r="P484" i="3"/>
  <c r="Q484" i="3" s="1"/>
  <c r="C484" i="3"/>
  <c r="B484" i="3"/>
  <c r="C483" i="3"/>
  <c r="B483" i="3"/>
  <c r="C482" i="3"/>
  <c r="B482" i="3"/>
  <c r="T481" i="3"/>
  <c r="P481" i="3"/>
  <c r="Q481" i="3" s="1"/>
  <c r="C481" i="3"/>
  <c r="B481" i="3"/>
  <c r="C480" i="3"/>
  <c r="B480" i="3"/>
  <c r="C479" i="3"/>
  <c r="B479" i="3"/>
  <c r="C478" i="3"/>
  <c r="B478" i="3"/>
  <c r="T477" i="3"/>
  <c r="P477" i="3"/>
  <c r="Q477" i="3" s="1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T470" i="3"/>
  <c r="P470" i="3"/>
  <c r="Q470" i="3" s="1"/>
  <c r="T469" i="3"/>
  <c r="P469" i="3"/>
  <c r="Q469" i="3" s="1"/>
  <c r="T468" i="3"/>
  <c r="P468" i="3"/>
  <c r="Q468" i="3" s="1"/>
  <c r="T467" i="3"/>
  <c r="P467" i="3"/>
  <c r="Q467" i="3" s="1"/>
  <c r="C466" i="3"/>
  <c r="B466" i="3"/>
  <c r="C465" i="3"/>
  <c r="B465" i="3"/>
  <c r="T464" i="3"/>
  <c r="P464" i="3"/>
  <c r="Q464" i="3" s="1"/>
  <c r="C464" i="3"/>
  <c r="B464" i="3"/>
  <c r="T463" i="3"/>
  <c r="P463" i="3"/>
  <c r="Q463" i="3" s="1"/>
  <c r="C463" i="3"/>
  <c r="B463" i="3"/>
  <c r="T462" i="3"/>
  <c r="Q462" i="3"/>
  <c r="C462" i="3"/>
  <c r="B462" i="3"/>
  <c r="T461" i="3"/>
  <c r="P461" i="3"/>
  <c r="Q461" i="3" s="1"/>
  <c r="C461" i="3"/>
  <c r="B461" i="3"/>
  <c r="T460" i="3"/>
  <c r="P460" i="3"/>
  <c r="Q460" i="3" s="1"/>
  <c r="C460" i="3"/>
  <c r="B460" i="3"/>
  <c r="T459" i="3"/>
  <c r="P459" i="3"/>
  <c r="Q459" i="3" s="1"/>
  <c r="C459" i="3"/>
  <c r="B459" i="3"/>
  <c r="T458" i="3"/>
  <c r="P458" i="3"/>
  <c r="Q458" i="3" s="1"/>
  <c r="C458" i="3"/>
  <c r="B458" i="3"/>
  <c r="T457" i="3"/>
  <c r="P457" i="3"/>
  <c r="Q457" i="3" s="1"/>
  <c r="C457" i="3"/>
  <c r="B457" i="3"/>
  <c r="T456" i="3"/>
  <c r="P456" i="3"/>
  <c r="Q456" i="3" s="1"/>
  <c r="C456" i="3"/>
  <c r="B456" i="3"/>
  <c r="T455" i="3"/>
  <c r="P455" i="3"/>
  <c r="Q455" i="3" s="1"/>
  <c r="C455" i="3"/>
  <c r="B455" i="3"/>
  <c r="C454" i="3"/>
  <c r="B454" i="3"/>
  <c r="T453" i="3"/>
  <c r="P453" i="3"/>
  <c r="Q453" i="3" s="1"/>
  <c r="C453" i="3"/>
  <c r="B453" i="3"/>
  <c r="T452" i="3"/>
  <c r="P452" i="3"/>
  <c r="Q452" i="3" s="1"/>
  <c r="C452" i="3"/>
  <c r="B452" i="3"/>
  <c r="T451" i="3"/>
  <c r="P451" i="3"/>
  <c r="Q451" i="3" s="1"/>
  <c r="T450" i="3"/>
  <c r="P450" i="3"/>
  <c r="Q450" i="3" s="1"/>
  <c r="T449" i="3"/>
  <c r="P449" i="3"/>
  <c r="Q449" i="3" s="1"/>
  <c r="T448" i="3"/>
  <c r="P448" i="3"/>
  <c r="Q448" i="3" s="1"/>
  <c r="T447" i="3"/>
  <c r="P447" i="3"/>
  <c r="Q447" i="3" s="1"/>
  <c r="C447" i="3"/>
  <c r="B447" i="3"/>
  <c r="C446" i="3"/>
  <c r="B446" i="3"/>
  <c r="C445" i="3"/>
  <c r="B445" i="3"/>
  <c r="C444" i="3"/>
  <c r="B444" i="3"/>
  <c r="C443" i="3"/>
  <c r="B443" i="3"/>
  <c r="T442" i="3"/>
  <c r="P442" i="3"/>
  <c r="Q442" i="3" s="1"/>
  <c r="C442" i="3"/>
  <c r="B442" i="3"/>
  <c r="C441" i="3"/>
  <c r="B441" i="3"/>
  <c r="C440" i="3"/>
  <c r="B440" i="3"/>
  <c r="C439" i="3"/>
  <c r="B439" i="3"/>
  <c r="C438" i="3"/>
  <c r="B438" i="3"/>
  <c r="T437" i="3"/>
  <c r="P437" i="3"/>
  <c r="Q437" i="3" s="1"/>
  <c r="C437" i="3"/>
  <c r="B437" i="3"/>
  <c r="C436" i="3"/>
  <c r="B436" i="3"/>
  <c r="T435" i="3"/>
  <c r="P435" i="3"/>
  <c r="Q435" i="3" s="1"/>
  <c r="C435" i="3"/>
  <c r="B435" i="3"/>
  <c r="C434" i="3"/>
  <c r="B434" i="3"/>
  <c r="C433" i="3"/>
  <c r="B433" i="3"/>
  <c r="T432" i="3"/>
  <c r="P432" i="3"/>
  <c r="Q432" i="3" s="1"/>
  <c r="C432" i="3"/>
  <c r="B432" i="3"/>
  <c r="T431" i="3"/>
  <c r="P431" i="3"/>
  <c r="Q431" i="3" s="1"/>
  <c r="C431" i="3"/>
  <c r="B431" i="3"/>
  <c r="C430" i="3"/>
  <c r="B430" i="3"/>
  <c r="T429" i="3"/>
  <c r="P429" i="3"/>
  <c r="Q429" i="3" s="1"/>
  <c r="C429" i="3"/>
  <c r="B429" i="3"/>
  <c r="C428" i="3"/>
  <c r="B428" i="3"/>
  <c r="T427" i="3"/>
  <c r="P427" i="3"/>
  <c r="Q427" i="3" s="1"/>
  <c r="T426" i="3"/>
  <c r="P426" i="3"/>
  <c r="Q426" i="3" s="1"/>
  <c r="T425" i="3"/>
  <c r="P425" i="3"/>
  <c r="Q425" i="3" s="1"/>
  <c r="T424" i="3"/>
  <c r="P424" i="3"/>
  <c r="Q424" i="3" s="1"/>
  <c r="C423" i="3"/>
  <c r="B423" i="3"/>
  <c r="C422" i="3"/>
  <c r="B422" i="3"/>
  <c r="T421" i="3"/>
  <c r="P421" i="3"/>
  <c r="Q421" i="3" s="1"/>
  <c r="C421" i="3"/>
  <c r="B421" i="3"/>
  <c r="C420" i="3"/>
  <c r="B420" i="3"/>
  <c r="C419" i="3"/>
  <c r="B419" i="3"/>
  <c r="C418" i="3"/>
  <c r="B418" i="3"/>
  <c r="T417" i="3"/>
  <c r="P417" i="3"/>
  <c r="Q417" i="3" s="1"/>
  <c r="C417" i="3"/>
  <c r="B417" i="3"/>
  <c r="C416" i="3"/>
  <c r="B416" i="3"/>
  <c r="T415" i="3"/>
  <c r="P415" i="3"/>
  <c r="Q415" i="3" s="1"/>
  <c r="C415" i="3"/>
  <c r="B415" i="3"/>
  <c r="C414" i="3"/>
  <c r="B414" i="3"/>
  <c r="C413" i="3"/>
  <c r="B413" i="3"/>
  <c r="C412" i="3"/>
  <c r="B412" i="3"/>
  <c r="C411" i="3"/>
  <c r="B411" i="3"/>
  <c r="C410" i="3"/>
  <c r="B410" i="3"/>
  <c r="T409" i="3"/>
  <c r="P409" i="3"/>
  <c r="Q409" i="3" s="1"/>
  <c r="C409" i="3"/>
  <c r="B409" i="3"/>
  <c r="T408" i="3"/>
  <c r="P408" i="3"/>
  <c r="Q408" i="3" s="1"/>
  <c r="C408" i="3"/>
  <c r="B408" i="3"/>
  <c r="T407" i="3"/>
  <c r="P407" i="3"/>
  <c r="Q407" i="3" s="1"/>
  <c r="C407" i="3"/>
  <c r="B407" i="3"/>
  <c r="T406" i="3"/>
  <c r="P406" i="3"/>
  <c r="Q406" i="3" s="1"/>
  <c r="T405" i="3"/>
  <c r="P405" i="3"/>
  <c r="Q405" i="3" s="1"/>
  <c r="T404" i="3"/>
  <c r="P404" i="3"/>
  <c r="Q404" i="3" s="1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T388" i="3"/>
  <c r="P388" i="3"/>
  <c r="Q388" i="3" s="1"/>
  <c r="C388" i="3"/>
  <c r="B388" i="3"/>
  <c r="C387" i="3"/>
  <c r="B387" i="3"/>
  <c r="C386" i="3"/>
  <c r="B386" i="3"/>
  <c r="C385" i="3"/>
  <c r="B385" i="3"/>
  <c r="C384" i="3"/>
  <c r="B384" i="3"/>
  <c r="T383" i="3"/>
  <c r="P383" i="3"/>
  <c r="Q383" i="3" s="1"/>
  <c r="C383" i="3"/>
  <c r="B383" i="3"/>
  <c r="T382" i="3"/>
  <c r="P382" i="3"/>
  <c r="Q382" i="3" s="1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T375" i="3"/>
  <c r="P375" i="3"/>
  <c r="Q375" i="3" s="1"/>
  <c r="C375" i="3"/>
  <c r="B375" i="3"/>
  <c r="T374" i="3"/>
  <c r="P374" i="3"/>
  <c r="Q374" i="3" s="1"/>
  <c r="C374" i="3"/>
  <c r="B374" i="3"/>
  <c r="C373" i="3"/>
  <c r="B373" i="3"/>
  <c r="T372" i="3"/>
  <c r="P372" i="3"/>
  <c r="Q372" i="3" s="1"/>
  <c r="C372" i="3"/>
  <c r="B372" i="3"/>
  <c r="T371" i="3"/>
  <c r="P371" i="3"/>
  <c r="Q371" i="3" s="1"/>
  <c r="C371" i="3"/>
  <c r="B371" i="3"/>
  <c r="T370" i="3"/>
  <c r="P370" i="3"/>
  <c r="Q370" i="3" s="1"/>
  <c r="C370" i="3"/>
  <c r="B370" i="3"/>
  <c r="C369" i="3"/>
  <c r="B369" i="3"/>
  <c r="C368" i="3"/>
  <c r="B368" i="3"/>
  <c r="T367" i="3"/>
  <c r="P367" i="3"/>
  <c r="Q367" i="3" s="1"/>
  <c r="C367" i="3"/>
  <c r="B367" i="3"/>
  <c r="C366" i="3"/>
  <c r="B366" i="3"/>
  <c r="C365" i="3"/>
  <c r="B365" i="3"/>
  <c r="C364" i="3"/>
  <c r="B364" i="3"/>
  <c r="C363" i="3"/>
  <c r="B363" i="3"/>
  <c r="C362" i="3"/>
  <c r="B362" i="3"/>
  <c r="T361" i="3"/>
  <c r="P361" i="3"/>
  <c r="Q361" i="3" s="1"/>
  <c r="C361" i="3"/>
  <c r="B361" i="3"/>
  <c r="C360" i="3"/>
  <c r="B360" i="3"/>
  <c r="C359" i="3"/>
  <c r="B359" i="3"/>
  <c r="C358" i="3"/>
  <c r="B358" i="3"/>
  <c r="T357" i="3"/>
  <c r="P357" i="3"/>
  <c r="Q357" i="3" s="1"/>
  <c r="C357" i="3"/>
  <c r="B357" i="3"/>
  <c r="C356" i="3"/>
  <c r="B356" i="3"/>
  <c r="C355" i="3"/>
  <c r="B355" i="3"/>
  <c r="T354" i="3"/>
  <c r="P354" i="3"/>
  <c r="Q354" i="3" s="1"/>
  <c r="C354" i="3"/>
  <c r="B354" i="3"/>
  <c r="C353" i="3"/>
  <c r="B353" i="3"/>
  <c r="C352" i="3"/>
  <c r="B352" i="3"/>
  <c r="C351" i="3"/>
  <c r="B351" i="3"/>
  <c r="C350" i="3"/>
  <c r="B350" i="3"/>
  <c r="P349" i="3"/>
  <c r="Q349" i="3" s="1"/>
  <c r="C349" i="3"/>
  <c r="B349" i="3"/>
  <c r="T348" i="3"/>
  <c r="P348" i="3"/>
  <c r="Q348" i="3" s="1"/>
  <c r="C348" i="3"/>
  <c r="B348" i="3"/>
  <c r="C347" i="3"/>
  <c r="B347" i="3"/>
  <c r="C346" i="3"/>
  <c r="B346" i="3"/>
  <c r="C345" i="3"/>
  <c r="B345" i="3"/>
  <c r="T344" i="3"/>
  <c r="P344" i="3"/>
  <c r="Q344" i="3" s="1"/>
  <c r="C344" i="3"/>
  <c r="B344" i="3"/>
  <c r="C343" i="3"/>
  <c r="B343" i="3"/>
  <c r="C342" i="3"/>
  <c r="B342" i="3"/>
  <c r="C341" i="3"/>
  <c r="B341" i="3"/>
  <c r="C340" i="3"/>
  <c r="B340" i="3"/>
  <c r="T339" i="3"/>
  <c r="P339" i="3"/>
  <c r="Q339" i="3" s="1"/>
  <c r="C339" i="3"/>
  <c r="B339" i="3"/>
  <c r="T338" i="3"/>
  <c r="P338" i="3"/>
  <c r="Q338" i="3" s="1"/>
  <c r="C338" i="3"/>
  <c r="B338" i="3"/>
  <c r="T337" i="3"/>
  <c r="P337" i="3"/>
  <c r="Q337" i="3" s="1"/>
  <c r="C337" i="3"/>
  <c r="B337" i="3"/>
  <c r="T336" i="3"/>
  <c r="P336" i="3"/>
  <c r="Q336" i="3" s="1"/>
  <c r="C336" i="3"/>
  <c r="B336" i="3"/>
  <c r="C335" i="3"/>
  <c r="B335" i="3"/>
  <c r="T334" i="3"/>
  <c r="P334" i="3"/>
  <c r="Q334" i="3" s="1"/>
  <c r="C334" i="3"/>
  <c r="B334" i="3"/>
  <c r="T333" i="3"/>
  <c r="P333" i="3"/>
  <c r="Q333" i="3" s="1"/>
  <c r="C333" i="3"/>
  <c r="B333" i="3"/>
  <c r="T332" i="3"/>
  <c r="P332" i="3"/>
  <c r="Q332" i="3" s="1"/>
  <c r="C332" i="3"/>
  <c r="B332" i="3"/>
  <c r="C331" i="3"/>
  <c r="B331" i="3"/>
  <c r="T330" i="3"/>
  <c r="P330" i="3"/>
  <c r="Q330" i="3" s="1"/>
  <c r="C330" i="3"/>
  <c r="B330" i="3"/>
  <c r="C329" i="3"/>
  <c r="B329" i="3"/>
  <c r="T328" i="3"/>
  <c r="P328" i="3"/>
  <c r="Q328" i="3" s="1"/>
  <c r="C328" i="3"/>
  <c r="B328" i="3"/>
  <c r="T327" i="3"/>
  <c r="P327" i="3"/>
  <c r="Q327" i="3" s="1"/>
  <c r="C327" i="3"/>
  <c r="B327" i="3"/>
  <c r="T326" i="3"/>
  <c r="P326" i="3"/>
  <c r="Q326" i="3" s="1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T315" i="3"/>
  <c r="P315" i="3"/>
  <c r="Q315" i="3" s="1"/>
  <c r="C315" i="3"/>
  <c r="B315" i="3"/>
  <c r="C314" i="3"/>
  <c r="B314" i="3"/>
  <c r="T313" i="3"/>
  <c r="P313" i="3"/>
  <c r="Q313" i="3" s="1"/>
  <c r="C313" i="3"/>
  <c r="B313" i="3"/>
  <c r="C312" i="3"/>
  <c r="B312" i="3"/>
  <c r="C311" i="3"/>
  <c r="B311" i="3"/>
  <c r="C310" i="3"/>
  <c r="B310" i="3"/>
  <c r="C309" i="3"/>
  <c r="B309" i="3"/>
  <c r="C308" i="3"/>
  <c r="B308" i="3"/>
  <c r="O307" i="3"/>
  <c r="C307" i="3"/>
  <c r="B307" i="3"/>
  <c r="T306" i="3"/>
  <c r="P306" i="3"/>
  <c r="Q306" i="3" s="1"/>
  <c r="C306" i="3"/>
  <c r="B306" i="3"/>
  <c r="T305" i="3"/>
  <c r="P305" i="3"/>
  <c r="Q305" i="3" s="1"/>
  <c r="C305" i="3"/>
  <c r="B305" i="3"/>
  <c r="C304" i="3"/>
  <c r="B304" i="3"/>
  <c r="C303" i="3"/>
  <c r="B303" i="3"/>
  <c r="C302" i="3"/>
  <c r="B302" i="3"/>
  <c r="C301" i="3"/>
  <c r="B301" i="3"/>
  <c r="C300" i="3"/>
  <c r="B300" i="3"/>
  <c r="P299" i="3"/>
  <c r="Q299" i="3" s="1"/>
  <c r="C299" i="3"/>
  <c r="B299" i="3"/>
  <c r="P298" i="3"/>
  <c r="Q298" i="3" s="1"/>
  <c r="N298" i="3"/>
  <c r="R298" i="3" s="1"/>
  <c r="O297" i="3"/>
  <c r="K297" i="3"/>
  <c r="J297" i="3"/>
  <c r="I297" i="3"/>
  <c r="T295" i="3"/>
  <c r="S295" i="3"/>
  <c r="P295" i="3"/>
  <c r="Q295" i="3" s="1"/>
  <c r="T294" i="3"/>
  <c r="P294" i="3"/>
  <c r="Q294" i="3" s="1"/>
  <c r="C294" i="3"/>
  <c r="B294" i="3"/>
  <c r="C293" i="3"/>
  <c r="B293" i="3"/>
  <c r="T292" i="3"/>
  <c r="P292" i="3"/>
  <c r="Q292" i="3" s="1"/>
  <c r="C292" i="3"/>
  <c r="B292" i="3"/>
  <c r="T291" i="3"/>
  <c r="P291" i="3"/>
  <c r="Q291" i="3" s="1"/>
  <c r="C291" i="3"/>
  <c r="B291" i="3"/>
  <c r="T290" i="3"/>
  <c r="P290" i="3"/>
  <c r="Q290" i="3" s="1"/>
  <c r="C290" i="3"/>
  <c r="B290" i="3"/>
  <c r="T289" i="3"/>
  <c r="P289" i="3"/>
  <c r="Q289" i="3" s="1"/>
  <c r="C289" i="3"/>
  <c r="B289" i="3"/>
  <c r="T288" i="3"/>
  <c r="P288" i="3"/>
  <c r="Q288" i="3" s="1"/>
  <c r="C288" i="3"/>
  <c r="B288" i="3"/>
  <c r="T287" i="3"/>
  <c r="P287" i="3"/>
  <c r="Q287" i="3" s="1"/>
  <c r="C287" i="3"/>
  <c r="B287" i="3"/>
  <c r="T286" i="3"/>
  <c r="P286" i="3"/>
  <c r="Q286" i="3" s="1"/>
  <c r="C286" i="3"/>
  <c r="B286" i="3"/>
  <c r="T285" i="3"/>
  <c r="P285" i="3"/>
  <c r="Q285" i="3" s="1"/>
  <c r="C285" i="3"/>
  <c r="B285" i="3"/>
  <c r="C284" i="3"/>
  <c r="B284" i="3"/>
  <c r="C283" i="3"/>
  <c r="B283" i="3"/>
  <c r="T282" i="3"/>
  <c r="P282" i="3"/>
  <c r="Q282" i="3" s="1"/>
  <c r="C282" i="3"/>
  <c r="B282" i="3"/>
  <c r="T281" i="3"/>
  <c r="P281" i="3"/>
  <c r="Q281" i="3" s="1"/>
  <c r="C281" i="3"/>
  <c r="B281" i="3"/>
  <c r="T280" i="3"/>
  <c r="P280" i="3"/>
  <c r="Q280" i="3" s="1"/>
  <c r="C280" i="3"/>
  <c r="B280" i="3"/>
  <c r="AC279" i="3"/>
  <c r="C279" i="3"/>
  <c r="B279" i="3"/>
  <c r="C278" i="3"/>
  <c r="B278" i="3"/>
  <c r="T277" i="3"/>
  <c r="P277" i="3"/>
  <c r="Q277" i="3" s="1"/>
  <c r="C277" i="3"/>
  <c r="B277" i="3"/>
  <c r="T276" i="3"/>
  <c r="P276" i="3"/>
  <c r="Q276" i="3" s="1"/>
  <c r="C276" i="3"/>
  <c r="B276" i="3"/>
  <c r="C275" i="3"/>
  <c r="B275" i="3"/>
  <c r="T274" i="3"/>
  <c r="P274" i="3"/>
  <c r="Q274" i="3" s="1"/>
  <c r="C274" i="3"/>
  <c r="B274" i="3"/>
  <c r="C273" i="3"/>
  <c r="B273" i="3"/>
  <c r="C272" i="3"/>
  <c r="B272" i="3"/>
  <c r="T271" i="3"/>
  <c r="P271" i="3"/>
  <c r="Q271" i="3" s="1"/>
  <c r="C271" i="3"/>
  <c r="B271" i="3"/>
  <c r="T270" i="3"/>
  <c r="P270" i="3"/>
  <c r="Q270" i="3" s="1"/>
  <c r="C270" i="3"/>
  <c r="B270" i="3"/>
  <c r="C269" i="3"/>
  <c r="B269" i="3"/>
  <c r="T268" i="3"/>
  <c r="P268" i="3"/>
  <c r="Q268" i="3" s="1"/>
  <c r="C268" i="3"/>
  <c r="B268" i="3"/>
  <c r="T267" i="3"/>
  <c r="P267" i="3"/>
  <c r="Q267" i="3" s="1"/>
  <c r="C267" i="3"/>
  <c r="B267" i="3"/>
  <c r="C266" i="3"/>
  <c r="B266" i="3"/>
  <c r="C265" i="3"/>
  <c r="B265" i="3"/>
  <c r="T264" i="3"/>
  <c r="P264" i="3"/>
  <c r="Q264" i="3" s="1"/>
  <c r="C264" i="3"/>
  <c r="B264" i="3"/>
  <c r="T263" i="3"/>
  <c r="P263" i="3"/>
  <c r="Q263" i="3" s="1"/>
  <c r="C263" i="3"/>
  <c r="B263" i="3"/>
  <c r="T262" i="3"/>
  <c r="P262" i="3"/>
  <c r="Q262" i="3" s="1"/>
  <c r="C262" i="3"/>
  <c r="B262" i="3"/>
  <c r="C261" i="3"/>
  <c r="B261" i="3"/>
  <c r="C260" i="3"/>
  <c r="B260" i="3"/>
  <c r="T259" i="3"/>
  <c r="P259" i="3"/>
  <c r="Q259" i="3" s="1"/>
  <c r="C259" i="3"/>
  <c r="B259" i="3"/>
  <c r="T258" i="3"/>
  <c r="P258" i="3"/>
  <c r="Q258" i="3" s="1"/>
  <c r="C258" i="3"/>
  <c r="B258" i="3"/>
  <c r="C257" i="3"/>
  <c r="B257" i="3"/>
  <c r="T256" i="3"/>
  <c r="P256" i="3"/>
  <c r="Q256" i="3" s="1"/>
  <c r="C256" i="3"/>
  <c r="B256" i="3"/>
  <c r="T255" i="3"/>
  <c r="P255" i="3"/>
  <c r="Q255" i="3" s="1"/>
  <c r="C255" i="3"/>
  <c r="B255" i="3"/>
  <c r="C254" i="3"/>
  <c r="B254" i="3"/>
  <c r="T253" i="3"/>
  <c r="P253" i="3"/>
  <c r="Q253" i="3" s="1"/>
  <c r="C253" i="3"/>
  <c r="B253" i="3"/>
  <c r="T252" i="3"/>
  <c r="P252" i="3"/>
  <c r="Q252" i="3" s="1"/>
  <c r="C252" i="3"/>
  <c r="B252" i="3"/>
  <c r="C251" i="3"/>
  <c r="B251" i="3"/>
  <c r="C250" i="3"/>
  <c r="B250" i="3"/>
  <c r="C249" i="3"/>
  <c r="B249" i="3"/>
  <c r="C248" i="3"/>
  <c r="B248" i="3"/>
  <c r="T247" i="3"/>
  <c r="P247" i="3"/>
  <c r="Q247" i="3" s="1"/>
  <c r="C247" i="3"/>
  <c r="B247" i="3"/>
  <c r="C246" i="3"/>
  <c r="B246" i="3"/>
  <c r="T245" i="3"/>
  <c r="P245" i="3"/>
  <c r="Q245" i="3" s="1"/>
  <c r="C245" i="3"/>
  <c r="B245" i="3"/>
  <c r="C244" i="3"/>
  <c r="B244" i="3"/>
  <c r="T243" i="3"/>
  <c r="P243" i="3"/>
  <c r="Q243" i="3" s="1"/>
  <c r="C243" i="3"/>
  <c r="B243" i="3"/>
  <c r="T242" i="3"/>
  <c r="P242" i="3"/>
  <c r="Q242" i="3" s="1"/>
  <c r="C242" i="3"/>
  <c r="B242" i="3"/>
  <c r="C241" i="3"/>
  <c r="B241" i="3"/>
  <c r="C240" i="3"/>
  <c r="B240" i="3"/>
  <c r="T239" i="3"/>
  <c r="P239" i="3"/>
  <c r="Q239" i="3" s="1"/>
  <c r="C239" i="3"/>
  <c r="B239" i="3"/>
  <c r="T238" i="3"/>
  <c r="P238" i="3"/>
  <c r="Q238" i="3" s="1"/>
  <c r="C238" i="3"/>
  <c r="B238" i="3"/>
  <c r="T237" i="3"/>
  <c r="P237" i="3"/>
  <c r="Q237" i="3" s="1"/>
  <c r="C237" i="3"/>
  <c r="B237" i="3"/>
  <c r="T236" i="3"/>
  <c r="P236" i="3"/>
  <c r="Q236" i="3" s="1"/>
  <c r="C236" i="3"/>
  <c r="B236" i="3"/>
  <c r="T235" i="3"/>
  <c r="P235" i="3"/>
  <c r="Q235" i="3" s="1"/>
  <c r="C235" i="3"/>
  <c r="B235" i="3"/>
  <c r="C234" i="3"/>
  <c r="B234" i="3"/>
  <c r="T233" i="3"/>
  <c r="P233" i="3"/>
  <c r="Q233" i="3" s="1"/>
  <c r="C233" i="3"/>
  <c r="B233" i="3"/>
  <c r="C232" i="3"/>
  <c r="B232" i="3"/>
  <c r="C231" i="3"/>
  <c r="B231" i="3"/>
  <c r="T230" i="3"/>
  <c r="P230" i="3"/>
  <c r="Q230" i="3" s="1"/>
  <c r="C230" i="3"/>
  <c r="B230" i="3"/>
  <c r="C229" i="3"/>
  <c r="B229" i="3"/>
  <c r="C228" i="3"/>
  <c r="B228" i="3"/>
  <c r="T227" i="3"/>
  <c r="P227" i="3"/>
  <c r="Q227" i="3" s="1"/>
  <c r="C227" i="3"/>
  <c r="B227" i="3"/>
  <c r="T226" i="3"/>
  <c r="P226" i="3"/>
  <c r="Q226" i="3" s="1"/>
  <c r="C226" i="3"/>
  <c r="B226" i="3"/>
  <c r="C225" i="3"/>
  <c r="B225" i="3"/>
  <c r="C224" i="3"/>
  <c r="B224" i="3"/>
  <c r="T223" i="3"/>
  <c r="P223" i="3"/>
  <c r="Q223" i="3" s="1"/>
  <c r="C223" i="3"/>
  <c r="B223" i="3"/>
  <c r="P222" i="3"/>
  <c r="Q222" i="3" s="1"/>
  <c r="C222" i="3"/>
  <c r="B222" i="3"/>
  <c r="T221" i="3"/>
  <c r="P221" i="3"/>
  <c r="Q221" i="3" s="1"/>
  <c r="C221" i="3"/>
  <c r="B221" i="3"/>
  <c r="C220" i="3"/>
  <c r="B220" i="3"/>
  <c r="T219" i="3"/>
  <c r="P219" i="3"/>
  <c r="Q219" i="3" s="1"/>
  <c r="C219" i="3"/>
  <c r="B219" i="3"/>
  <c r="C218" i="3"/>
  <c r="B218" i="3"/>
  <c r="T217" i="3"/>
  <c r="P217" i="3"/>
  <c r="Q217" i="3" s="1"/>
  <c r="C217" i="3"/>
  <c r="B217" i="3"/>
  <c r="T216" i="3"/>
  <c r="P216" i="3"/>
  <c r="Q216" i="3" s="1"/>
  <c r="C216" i="3"/>
  <c r="B216" i="3"/>
  <c r="T215" i="3"/>
  <c r="P215" i="3"/>
  <c r="Q215" i="3" s="1"/>
  <c r="C215" i="3"/>
  <c r="B215" i="3"/>
  <c r="T214" i="3"/>
  <c r="P214" i="3"/>
  <c r="Q214" i="3" s="1"/>
  <c r="C214" i="3"/>
  <c r="B214" i="3"/>
  <c r="C213" i="3"/>
  <c r="B213" i="3"/>
  <c r="T212" i="3"/>
  <c r="P212" i="3"/>
  <c r="Q212" i="3" s="1"/>
  <c r="C212" i="3"/>
  <c r="B212" i="3"/>
  <c r="T211" i="3"/>
  <c r="P211" i="3"/>
  <c r="Q211" i="3" s="1"/>
  <c r="C211" i="3"/>
  <c r="B211" i="3"/>
  <c r="T210" i="3"/>
  <c r="P210" i="3"/>
  <c r="Q210" i="3" s="1"/>
  <c r="C210" i="3"/>
  <c r="B210" i="3"/>
  <c r="C209" i="3"/>
  <c r="B209" i="3"/>
  <c r="T208" i="3"/>
  <c r="P208" i="3"/>
  <c r="Q208" i="3" s="1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T200" i="3"/>
  <c r="P200" i="3"/>
  <c r="Q200" i="3" s="1"/>
  <c r="C200" i="3"/>
  <c r="B200" i="3"/>
  <c r="T199" i="3"/>
  <c r="P199" i="3"/>
  <c r="Q199" i="3" s="1"/>
  <c r="C199" i="3"/>
  <c r="B199" i="3"/>
  <c r="C198" i="3"/>
  <c r="B198" i="3"/>
  <c r="C197" i="3"/>
  <c r="B197" i="3"/>
  <c r="C196" i="3"/>
  <c r="B196" i="3"/>
  <c r="T195" i="3"/>
  <c r="P195" i="3"/>
  <c r="Q195" i="3" s="1"/>
  <c r="C195" i="3"/>
  <c r="B195" i="3"/>
  <c r="T194" i="3"/>
  <c r="P194" i="3"/>
  <c r="Q194" i="3" s="1"/>
  <c r="C194" i="3"/>
  <c r="B194" i="3"/>
  <c r="T193" i="3"/>
  <c r="P193" i="3"/>
  <c r="Q193" i="3" s="1"/>
  <c r="C193" i="3"/>
  <c r="B193" i="3"/>
  <c r="T192" i="3"/>
  <c r="P192" i="3"/>
  <c r="Q192" i="3" s="1"/>
  <c r="C192" i="3"/>
  <c r="B192" i="3"/>
  <c r="C191" i="3"/>
  <c r="B191" i="3"/>
  <c r="T190" i="3"/>
  <c r="P190" i="3"/>
  <c r="Q190" i="3" s="1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T180" i="3"/>
  <c r="P180" i="3"/>
  <c r="Q180" i="3" s="1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T167" i="3"/>
  <c r="P167" i="3"/>
  <c r="Q167" i="3" s="1"/>
  <c r="C167" i="3"/>
  <c r="B167" i="3"/>
  <c r="C166" i="3"/>
  <c r="B166" i="3"/>
  <c r="T165" i="3"/>
  <c r="P165" i="3"/>
  <c r="Q165" i="3" s="1"/>
  <c r="C165" i="3"/>
  <c r="B165" i="3"/>
  <c r="C164" i="3"/>
  <c r="B164" i="3"/>
  <c r="T163" i="3"/>
  <c r="P163" i="3"/>
  <c r="Q163" i="3" s="1"/>
  <c r="C163" i="3"/>
  <c r="B163" i="3"/>
  <c r="C162" i="3"/>
  <c r="B162" i="3"/>
  <c r="T161" i="3"/>
  <c r="P161" i="3"/>
  <c r="Q161" i="3" s="1"/>
  <c r="T160" i="3"/>
  <c r="P160" i="3"/>
  <c r="Q160" i="3" s="1"/>
  <c r="T159" i="3"/>
  <c r="P159" i="3"/>
  <c r="Q159" i="3" s="1"/>
  <c r="T158" i="3"/>
  <c r="P158" i="3"/>
  <c r="Q158" i="3" s="1"/>
  <c r="T157" i="3"/>
  <c r="P157" i="3"/>
  <c r="Q157" i="3" s="1"/>
  <c r="T156" i="3"/>
  <c r="P156" i="3"/>
  <c r="Q156" i="3" s="1"/>
  <c r="T155" i="3"/>
  <c r="P155" i="3"/>
  <c r="Q155" i="3" s="1"/>
  <c r="T154" i="3"/>
  <c r="P154" i="3"/>
  <c r="Q154" i="3" s="1"/>
  <c r="T153" i="3"/>
  <c r="P153" i="3"/>
  <c r="Q153" i="3" s="1"/>
  <c r="T152" i="3"/>
  <c r="P152" i="3"/>
  <c r="Q152" i="3" s="1"/>
  <c r="T151" i="3"/>
  <c r="P151" i="3"/>
  <c r="Q151" i="3" s="1"/>
  <c r="C151" i="3"/>
  <c r="B151" i="3"/>
  <c r="C150" i="3"/>
  <c r="B150" i="3"/>
  <c r="T149" i="3"/>
  <c r="P149" i="3"/>
  <c r="Q149" i="3" s="1"/>
  <c r="C149" i="3"/>
  <c r="B149" i="3"/>
  <c r="T148" i="3"/>
  <c r="P148" i="3"/>
  <c r="Q148" i="3" s="1"/>
  <c r="C148" i="3"/>
  <c r="B148" i="3"/>
  <c r="T147" i="3"/>
  <c r="P147" i="3"/>
  <c r="Q147" i="3" s="1"/>
  <c r="C147" i="3"/>
  <c r="B147" i="3"/>
  <c r="T146" i="3"/>
  <c r="P146" i="3"/>
  <c r="Q146" i="3" s="1"/>
  <c r="C146" i="3"/>
  <c r="B146" i="3"/>
  <c r="T145" i="3"/>
  <c r="P145" i="3"/>
  <c r="Q145" i="3" s="1"/>
  <c r="C145" i="3"/>
  <c r="B145" i="3"/>
  <c r="C144" i="3"/>
  <c r="B144" i="3"/>
  <c r="T143" i="3"/>
  <c r="P143" i="3"/>
  <c r="Q143" i="3" s="1"/>
  <c r="C143" i="3"/>
  <c r="B143" i="3"/>
  <c r="T142" i="3"/>
  <c r="P142" i="3"/>
  <c r="Q142" i="3" s="1"/>
  <c r="C142" i="3"/>
  <c r="B142" i="3"/>
  <c r="C141" i="3"/>
  <c r="B141" i="3"/>
  <c r="T140" i="3"/>
  <c r="P140" i="3"/>
  <c r="Q140" i="3" s="1"/>
  <c r="C140" i="3"/>
  <c r="B140" i="3"/>
  <c r="C139" i="3"/>
  <c r="B139" i="3"/>
  <c r="T138" i="3"/>
  <c r="P138" i="3"/>
  <c r="Q138" i="3" s="1"/>
  <c r="C138" i="3"/>
  <c r="B138" i="3"/>
  <c r="T137" i="3"/>
  <c r="P137" i="3"/>
  <c r="Q137" i="3" s="1"/>
  <c r="C137" i="3"/>
  <c r="B137" i="3"/>
  <c r="T136" i="3"/>
  <c r="P136" i="3"/>
  <c r="Q136" i="3" s="1"/>
  <c r="C136" i="3"/>
  <c r="B136" i="3"/>
  <c r="C135" i="3"/>
  <c r="B135" i="3"/>
  <c r="T134" i="3"/>
  <c r="P134" i="3"/>
  <c r="Q134" i="3" s="1"/>
  <c r="C134" i="3"/>
  <c r="B134" i="3"/>
  <c r="C133" i="3"/>
  <c r="B133" i="3"/>
  <c r="T132" i="3"/>
  <c r="P132" i="3"/>
  <c r="Q132" i="3" s="1"/>
  <c r="C132" i="3"/>
  <c r="B132" i="3"/>
  <c r="T131" i="3"/>
  <c r="P131" i="3"/>
  <c r="Q131" i="3" s="1"/>
  <c r="C131" i="3"/>
  <c r="B131" i="3"/>
  <c r="T130" i="3"/>
  <c r="P130" i="3"/>
  <c r="Q130" i="3" s="1"/>
  <c r="C130" i="3"/>
  <c r="B130" i="3"/>
  <c r="T129" i="3"/>
  <c r="P129" i="3"/>
  <c r="Q129" i="3" s="1"/>
  <c r="C129" i="3"/>
  <c r="B129" i="3"/>
  <c r="T128" i="3"/>
  <c r="P128" i="3"/>
  <c r="Q128" i="3" s="1"/>
  <c r="C128" i="3"/>
  <c r="B128" i="3"/>
  <c r="T127" i="3"/>
  <c r="P127" i="3"/>
  <c r="Q127" i="3" s="1"/>
  <c r="C127" i="3"/>
  <c r="B127" i="3"/>
  <c r="T126" i="3"/>
  <c r="P126" i="3"/>
  <c r="Q126" i="3" s="1"/>
  <c r="C126" i="3"/>
  <c r="B126" i="3"/>
  <c r="T125" i="3"/>
  <c r="P125" i="3"/>
  <c r="Q125" i="3" s="1"/>
  <c r="C125" i="3"/>
  <c r="B125" i="3"/>
  <c r="C124" i="3"/>
  <c r="B124" i="3"/>
  <c r="T123" i="3"/>
  <c r="P123" i="3"/>
  <c r="Q123" i="3" s="1"/>
  <c r="C123" i="3"/>
  <c r="B123" i="3"/>
  <c r="C122" i="3"/>
  <c r="B122" i="3"/>
  <c r="C121" i="3"/>
  <c r="B121" i="3"/>
  <c r="C120" i="3"/>
  <c r="B120" i="3"/>
  <c r="C119" i="3"/>
  <c r="B119" i="3"/>
  <c r="T118" i="3"/>
  <c r="P118" i="3"/>
  <c r="Q118" i="3" s="1"/>
  <c r="C118" i="3"/>
  <c r="B118" i="3"/>
  <c r="C117" i="3"/>
  <c r="B117" i="3"/>
  <c r="C116" i="3"/>
  <c r="B116" i="3"/>
  <c r="C115" i="3"/>
  <c r="B115" i="3"/>
  <c r="T114" i="3"/>
  <c r="P114" i="3"/>
  <c r="Q114" i="3" s="1"/>
  <c r="C114" i="3"/>
  <c r="B114" i="3"/>
  <c r="C113" i="3"/>
  <c r="B113" i="3"/>
  <c r="C112" i="3"/>
  <c r="B112" i="3"/>
  <c r="C111" i="3"/>
  <c r="B111" i="3"/>
  <c r="C110" i="3"/>
  <c r="B110" i="3"/>
  <c r="T109" i="3"/>
  <c r="P109" i="3"/>
  <c r="Q109" i="3" s="1"/>
  <c r="C109" i="3"/>
  <c r="B109" i="3"/>
  <c r="T108" i="3"/>
  <c r="P108" i="3"/>
  <c r="Q108" i="3" s="1"/>
  <c r="C108" i="3"/>
  <c r="B108" i="3"/>
  <c r="T107" i="3"/>
  <c r="P107" i="3"/>
  <c r="Q107" i="3" s="1"/>
  <c r="C107" i="3"/>
  <c r="B107" i="3"/>
  <c r="T106" i="3"/>
  <c r="P106" i="3"/>
  <c r="Q106" i="3" s="1"/>
  <c r="C106" i="3"/>
  <c r="B106" i="3"/>
  <c r="C105" i="3"/>
  <c r="B105" i="3"/>
  <c r="T104" i="3"/>
  <c r="P104" i="3"/>
  <c r="Q104" i="3" s="1"/>
  <c r="C104" i="3"/>
  <c r="B104" i="3"/>
  <c r="C103" i="3"/>
  <c r="B103" i="3"/>
  <c r="T102" i="3"/>
  <c r="P102" i="3"/>
  <c r="Q102" i="3" s="1"/>
  <c r="C102" i="3"/>
  <c r="B102" i="3"/>
  <c r="C101" i="3"/>
  <c r="B101" i="3"/>
  <c r="C100" i="3"/>
  <c r="B100" i="3"/>
  <c r="T99" i="3"/>
  <c r="P99" i="3"/>
  <c r="Q99" i="3" s="1"/>
  <c r="C99" i="3"/>
  <c r="B99" i="3"/>
  <c r="T98" i="3"/>
  <c r="P98" i="3"/>
  <c r="Q98" i="3" s="1"/>
  <c r="C98" i="3"/>
  <c r="B98" i="3"/>
  <c r="T97" i="3"/>
  <c r="P97" i="3"/>
  <c r="Q97" i="3" s="1"/>
  <c r="C97" i="3"/>
  <c r="B97" i="3"/>
  <c r="C96" i="3"/>
  <c r="B96" i="3"/>
  <c r="C95" i="3"/>
  <c r="B95" i="3"/>
  <c r="T94" i="3"/>
  <c r="P94" i="3"/>
  <c r="Q94" i="3" s="1"/>
  <c r="C94" i="3"/>
  <c r="B94" i="3"/>
  <c r="T93" i="3"/>
  <c r="P93" i="3"/>
  <c r="Q93" i="3" s="1"/>
  <c r="C93" i="3"/>
  <c r="B93" i="3"/>
  <c r="T92" i="3"/>
  <c r="P92" i="3"/>
  <c r="Q92" i="3" s="1"/>
  <c r="C92" i="3"/>
  <c r="B92" i="3"/>
  <c r="C91" i="3"/>
  <c r="B91" i="3"/>
  <c r="C90" i="3"/>
  <c r="B90" i="3"/>
  <c r="C89" i="3"/>
  <c r="B89" i="3"/>
  <c r="C88" i="3"/>
  <c r="B88" i="3"/>
  <c r="T87" i="3"/>
  <c r="P87" i="3"/>
  <c r="Q87" i="3" s="1"/>
  <c r="C87" i="3"/>
  <c r="B87" i="3"/>
  <c r="C86" i="3"/>
  <c r="B86" i="3"/>
  <c r="T85" i="3"/>
  <c r="P85" i="3"/>
  <c r="Q85" i="3" s="1"/>
  <c r="C85" i="3"/>
  <c r="B85" i="3"/>
  <c r="C84" i="3"/>
  <c r="B84" i="3"/>
  <c r="T83" i="3"/>
  <c r="P83" i="3"/>
  <c r="Q83" i="3" s="1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T67" i="3"/>
  <c r="P67" i="3"/>
  <c r="Q67" i="3" s="1"/>
  <c r="T66" i="3"/>
  <c r="P66" i="3"/>
  <c r="Q66" i="3" s="1"/>
  <c r="T65" i="3"/>
  <c r="P65" i="3"/>
  <c r="Q65" i="3" s="1"/>
  <c r="T64" i="3"/>
  <c r="P64" i="3"/>
  <c r="Q64" i="3" s="1"/>
  <c r="C64" i="3"/>
  <c r="B64" i="3"/>
  <c r="C63" i="3"/>
  <c r="B63" i="3"/>
  <c r="T62" i="3"/>
  <c r="P62" i="3"/>
  <c r="Q62" i="3" s="1"/>
  <c r="C62" i="3"/>
  <c r="B62" i="3"/>
  <c r="T61" i="3"/>
  <c r="P61" i="3"/>
  <c r="Q61" i="3" s="1"/>
  <c r="C61" i="3"/>
  <c r="B61" i="3"/>
  <c r="T60" i="3"/>
  <c r="P60" i="3"/>
  <c r="Q60" i="3" s="1"/>
  <c r="C60" i="3"/>
  <c r="B60" i="3"/>
  <c r="T59" i="3"/>
  <c r="P59" i="3"/>
  <c r="Q59" i="3" s="1"/>
  <c r="C59" i="3"/>
  <c r="B59" i="3"/>
  <c r="C58" i="3"/>
  <c r="B58" i="3"/>
  <c r="C57" i="3"/>
  <c r="B57" i="3"/>
  <c r="C56" i="3"/>
  <c r="B56" i="3"/>
  <c r="T55" i="3"/>
  <c r="P55" i="3"/>
  <c r="Q55" i="3" s="1"/>
  <c r="C55" i="3"/>
  <c r="B55" i="3"/>
  <c r="C54" i="3"/>
  <c r="B54" i="3"/>
  <c r="T53" i="3"/>
  <c r="P53" i="3"/>
  <c r="Q53" i="3" s="1"/>
  <c r="C53" i="3"/>
  <c r="B53" i="3"/>
  <c r="C52" i="3"/>
  <c r="B52" i="3"/>
  <c r="T51" i="3"/>
  <c r="P51" i="3"/>
  <c r="Q51" i="3" s="1"/>
  <c r="C51" i="3"/>
  <c r="B51" i="3"/>
  <c r="C50" i="3"/>
  <c r="B50" i="3"/>
  <c r="C49" i="3"/>
  <c r="B49" i="3"/>
  <c r="C48" i="3"/>
  <c r="B48" i="3"/>
  <c r="T47" i="3"/>
  <c r="P47" i="3"/>
  <c r="Q47" i="3" s="1"/>
  <c r="C47" i="3"/>
  <c r="B47" i="3"/>
  <c r="T46" i="3"/>
  <c r="P46" i="3"/>
  <c r="Q46" i="3" s="1"/>
  <c r="C46" i="3"/>
  <c r="B46" i="3"/>
  <c r="T45" i="3"/>
  <c r="P45" i="3"/>
  <c r="Q45" i="3" s="1"/>
  <c r="C45" i="3"/>
  <c r="B45" i="3"/>
  <c r="T44" i="3"/>
  <c r="P44" i="3"/>
  <c r="Q44" i="3" s="1"/>
  <c r="C44" i="3"/>
  <c r="B44" i="3"/>
  <c r="C43" i="3"/>
  <c r="B43" i="3"/>
  <c r="C42" i="3"/>
  <c r="B42" i="3"/>
  <c r="T41" i="3"/>
  <c r="P41" i="3"/>
  <c r="Q41" i="3" s="1"/>
  <c r="C41" i="3"/>
  <c r="B41" i="3"/>
  <c r="C40" i="3"/>
  <c r="B40" i="3"/>
  <c r="T39" i="3"/>
  <c r="P39" i="3"/>
  <c r="Q39" i="3" s="1"/>
  <c r="C39" i="3"/>
  <c r="B39" i="3"/>
  <c r="C38" i="3"/>
  <c r="B38" i="3"/>
  <c r="C37" i="3"/>
  <c r="B37" i="3"/>
  <c r="T36" i="3"/>
  <c r="P36" i="3"/>
  <c r="Q36" i="3" s="1"/>
  <c r="C36" i="3"/>
  <c r="B36" i="3"/>
  <c r="T35" i="3"/>
  <c r="P35" i="3"/>
  <c r="Q35" i="3" s="1"/>
  <c r="C35" i="3"/>
  <c r="B35" i="3"/>
  <c r="C34" i="3"/>
  <c r="B34" i="3"/>
  <c r="C33" i="3"/>
  <c r="B33" i="3"/>
  <c r="C32" i="3"/>
  <c r="B32" i="3"/>
  <c r="T31" i="3"/>
  <c r="P31" i="3"/>
  <c r="Q31" i="3" s="1"/>
  <c r="C31" i="3"/>
  <c r="B31" i="3"/>
  <c r="C30" i="3"/>
  <c r="B30" i="3"/>
  <c r="T29" i="3"/>
  <c r="P29" i="3"/>
  <c r="Q29" i="3" s="1"/>
  <c r="C29" i="3"/>
  <c r="B29" i="3"/>
  <c r="C28" i="3"/>
  <c r="B28" i="3"/>
  <c r="C27" i="3"/>
  <c r="B27" i="3"/>
  <c r="C26" i="3"/>
  <c r="B26" i="3"/>
  <c r="C25" i="3"/>
  <c r="B25" i="3"/>
  <c r="T24" i="3"/>
  <c r="P24" i="3"/>
  <c r="Q24" i="3" s="1"/>
  <c r="C24" i="3"/>
  <c r="B24" i="3"/>
  <c r="C23" i="3"/>
  <c r="B23" i="3"/>
  <c r="C22" i="3"/>
  <c r="B22" i="3"/>
  <c r="C21" i="3"/>
  <c r="B21" i="3"/>
  <c r="T20" i="3"/>
  <c r="P20" i="3"/>
  <c r="Q20" i="3" s="1"/>
  <c r="C20" i="3"/>
  <c r="B20" i="3"/>
  <c r="T19" i="3"/>
  <c r="P19" i="3"/>
  <c r="Q19" i="3" s="1"/>
  <c r="C19" i="3"/>
  <c r="B19" i="3"/>
  <c r="T18" i="3"/>
  <c r="P18" i="3"/>
  <c r="Q18" i="3" s="1"/>
  <c r="C18" i="3"/>
  <c r="B18" i="3"/>
  <c r="T17" i="3"/>
  <c r="P17" i="3"/>
  <c r="Q17" i="3" s="1"/>
  <c r="C17" i="3"/>
  <c r="B17" i="3"/>
  <c r="C16" i="3"/>
  <c r="B16" i="3"/>
  <c r="T15" i="3"/>
  <c r="P15" i="3"/>
  <c r="Q15" i="3" s="1"/>
  <c r="C15" i="3"/>
  <c r="B15" i="3"/>
  <c r="C14" i="3"/>
  <c r="B14" i="3"/>
  <c r="C13" i="3"/>
  <c r="B13" i="3"/>
  <c r="T12" i="3"/>
  <c r="P12" i="3"/>
  <c r="Q12" i="3" s="1"/>
  <c r="C12" i="3"/>
  <c r="B12" i="3"/>
  <c r="T11" i="3"/>
  <c r="P11" i="3"/>
  <c r="Q11" i="3" s="1"/>
  <c r="C11" i="3"/>
  <c r="B11" i="3"/>
  <c r="T10" i="3"/>
  <c r="P10" i="3"/>
  <c r="Q10" i="3" s="1"/>
  <c r="C10" i="3"/>
  <c r="B10" i="3"/>
  <c r="C9" i="3"/>
  <c r="B9" i="3"/>
  <c r="P8" i="3"/>
  <c r="Q8" i="3" s="1"/>
  <c r="N8" i="3"/>
  <c r="O7" i="3"/>
  <c r="K7" i="3"/>
  <c r="J7" i="3"/>
  <c r="I7" i="3"/>
  <c r="B3" i="3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I6098" i="2"/>
  <c r="E6098" i="2"/>
  <c r="H6097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I6015" i="2"/>
  <c r="E6015" i="2"/>
  <c r="H6014" i="2"/>
  <c r="E6014" i="2"/>
  <c r="E6013" i="2"/>
  <c r="I6012" i="2"/>
  <c r="E6012" i="2"/>
  <c r="H6011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H5896" i="2"/>
  <c r="E5895" i="2"/>
  <c r="E5894" i="2"/>
  <c r="H5893" i="2"/>
  <c r="I5894" i="2" s="1"/>
  <c r="E5893" i="2"/>
  <c r="E5892" i="2"/>
  <c r="E5891" i="2"/>
  <c r="E5890" i="2"/>
  <c r="E5889" i="2"/>
  <c r="E5888" i="2"/>
  <c r="E5887" i="2"/>
  <c r="E5886" i="2"/>
  <c r="E5885" i="2"/>
  <c r="I5884" i="2"/>
  <c r="E5884" i="2"/>
  <c r="I5883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I5868" i="2"/>
  <c r="E5868" i="2"/>
  <c r="I5867" i="2"/>
  <c r="E5867" i="2"/>
  <c r="I5866" i="2"/>
  <c r="E5866" i="2"/>
  <c r="I5865" i="2"/>
  <c r="E5865" i="2"/>
  <c r="I5864" i="2"/>
  <c r="E5864" i="2"/>
  <c r="I5863" i="2"/>
  <c r="E5863" i="2"/>
  <c r="I5862" i="2"/>
  <c r="E5862" i="2"/>
  <c r="I5861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G5674" i="2"/>
  <c r="E5674" i="2"/>
  <c r="G5673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H5511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H5469" i="2"/>
  <c r="E5469" i="2"/>
  <c r="E5468" i="2"/>
  <c r="E5467" i="2"/>
  <c r="E5466" i="2"/>
  <c r="E5465" i="2"/>
  <c r="E5464" i="2"/>
  <c r="E5463" i="2"/>
  <c r="E5462" i="2"/>
  <c r="E5461" i="2"/>
  <c r="E5460" i="2"/>
  <c r="E5459" i="2"/>
  <c r="I5458" i="2"/>
  <c r="E5458" i="2"/>
  <c r="E5457" i="2"/>
  <c r="E5456" i="2"/>
  <c r="E5455" i="2"/>
  <c r="I5454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I5390" i="2"/>
  <c r="E5390" i="2"/>
  <c r="E5389" i="2"/>
  <c r="E5388" i="2"/>
  <c r="E5387" i="2"/>
  <c r="E5386" i="2"/>
  <c r="E5385" i="2"/>
  <c r="E5384" i="2"/>
  <c r="E5383" i="2"/>
  <c r="E5382" i="2"/>
  <c r="E5381" i="2"/>
  <c r="E5380" i="2"/>
  <c r="I5379" i="2"/>
  <c r="E5379" i="2"/>
  <c r="E5378" i="2"/>
  <c r="E5377" i="2"/>
  <c r="E5376" i="2"/>
  <c r="E5375" i="2"/>
  <c r="E5374" i="2"/>
  <c r="E5373" i="2"/>
  <c r="E5372" i="2"/>
  <c r="I5371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H5200" i="2"/>
  <c r="E5200" i="2"/>
  <c r="G5199" i="2"/>
  <c r="E5199" i="2"/>
  <c r="G5198" i="2"/>
  <c r="E5198" i="2"/>
  <c r="G5197" i="2"/>
  <c r="E5197" i="2"/>
  <c r="G5196" i="2"/>
  <c r="E5196" i="2"/>
  <c r="G5195" i="2"/>
  <c r="E5195" i="2"/>
  <c r="E5194" i="2"/>
  <c r="E5193" i="2"/>
  <c r="K5192" i="2"/>
  <c r="E5192" i="2"/>
  <c r="K5191" i="2"/>
  <c r="E5191" i="2"/>
  <c r="E5190" i="2"/>
  <c r="E5189" i="2"/>
  <c r="G5188" i="2"/>
  <c r="E5188" i="2"/>
  <c r="E5187" i="2"/>
  <c r="E5186" i="2"/>
  <c r="E5185" i="2"/>
  <c r="E5184" i="2"/>
  <c r="E5183" i="2"/>
  <c r="E5182" i="2"/>
  <c r="E5181" i="2"/>
  <c r="E5180" i="2"/>
  <c r="E5179" i="2"/>
  <c r="E5178" i="2"/>
  <c r="K5177" i="2"/>
  <c r="E5177" i="2"/>
  <c r="K5176" i="2"/>
  <c r="E5176" i="2"/>
  <c r="E5175" i="2"/>
  <c r="E5174" i="2"/>
  <c r="E5173" i="2"/>
  <c r="E5172" i="2"/>
  <c r="E5171" i="2"/>
  <c r="E5170" i="2"/>
  <c r="E5169" i="2"/>
  <c r="E5168" i="2"/>
  <c r="E5167" i="2"/>
  <c r="K5166" i="2"/>
  <c r="E5166" i="2"/>
  <c r="K5165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K5147" i="2"/>
  <c r="L5147" i="2" s="1"/>
  <c r="E5147" i="2"/>
  <c r="E5146" i="2"/>
  <c r="E5145" i="2"/>
  <c r="G5144" i="2"/>
  <c r="K5144" i="2" s="1"/>
  <c r="E5144" i="2"/>
  <c r="E5143" i="2"/>
  <c r="E5142" i="2"/>
  <c r="E5141" i="2"/>
  <c r="E5140" i="2"/>
  <c r="E5139" i="2"/>
  <c r="K5138" i="2"/>
  <c r="L5138" i="2" s="1"/>
  <c r="E5138" i="2"/>
  <c r="K5137" i="2"/>
  <c r="L5137" i="2" s="1"/>
  <c r="E5137" i="2"/>
  <c r="G5136" i="2"/>
  <c r="K5136" i="2" s="1"/>
  <c r="L5136" i="2" s="1"/>
  <c r="E5136" i="2"/>
  <c r="K5135" i="2"/>
  <c r="L5135" i="2" s="1"/>
  <c r="G5135" i="2"/>
  <c r="E5135" i="2"/>
  <c r="E5134" i="2"/>
  <c r="E5133" i="2"/>
  <c r="K5132" i="2"/>
  <c r="E5132" i="2"/>
  <c r="E5131" i="2"/>
  <c r="E5130" i="2"/>
  <c r="K5129" i="2"/>
  <c r="E5129" i="2"/>
  <c r="E5128" i="2"/>
  <c r="E5127" i="2"/>
  <c r="E5126" i="2"/>
  <c r="E5125" i="2"/>
  <c r="E5124" i="2"/>
  <c r="E5123" i="2"/>
  <c r="E5122" i="2"/>
  <c r="E5121" i="2"/>
  <c r="K5120" i="2"/>
  <c r="E5120" i="2"/>
  <c r="E5119" i="2"/>
  <c r="E5118" i="2"/>
  <c r="E5117" i="2"/>
  <c r="E5116" i="2"/>
  <c r="E5115" i="2"/>
  <c r="K5114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K5102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G5082" i="2"/>
  <c r="E5082" i="2"/>
  <c r="E5081" i="2"/>
  <c r="E5080" i="2"/>
  <c r="E5079" i="2"/>
  <c r="E5078" i="2"/>
  <c r="E5077" i="2"/>
  <c r="K5076" i="2"/>
  <c r="E5076" i="2"/>
  <c r="E5075" i="2"/>
  <c r="E5074" i="2"/>
  <c r="K5073" i="2"/>
  <c r="E5073" i="2"/>
  <c r="E5072" i="2"/>
  <c r="E5071" i="2"/>
  <c r="K5070" i="2"/>
  <c r="E5070" i="2"/>
  <c r="E5069" i="2"/>
  <c r="E5068" i="2"/>
  <c r="K5067" i="2"/>
  <c r="E5067" i="2"/>
  <c r="E5066" i="2"/>
  <c r="E5065" i="2"/>
  <c r="K5064" i="2"/>
  <c r="E5064" i="2"/>
  <c r="E5063" i="2"/>
  <c r="E5062" i="2"/>
  <c r="K5061" i="2"/>
  <c r="E5061" i="2"/>
  <c r="E5060" i="2"/>
  <c r="I5059" i="2"/>
  <c r="E5059" i="2"/>
  <c r="H5058" i="2"/>
  <c r="K5058" i="2" s="1"/>
  <c r="E5058" i="2"/>
  <c r="E5057" i="2"/>
  <c r="E5056" i="2"/>
  <c r="E5055" i="2"/>
  <c r="E5054" i="2"/>
  <c r="E5053" i="2"/>
  <c r="E5052" i="2"/>
  <c r="E5051" i="2"/>
  <c r="K5050" i="2"/>
  <c r="E5050" i="2"/>
  <c r="E5049" i="2"/>
  <c r="K5048" i="2"/>
  <c r="E5048" i="2"/>
  <c r="E5047" i="2"/>
  <c r="E5046" i="2"/>
  <c r="K5045" i="2"/>
  <c r="E5045" i="2"/>
  <c r="E5044" i="2"/>
  <c r="E5043" i="2"/>
  <c r="E5042" i="2"/>
  <c r="E5041" i="2"/>
  <c r="E5040" i="2"/>
  <c r="E5039" i="2"/>
  <c r="E5038" i="2"/>
  <c r="K5037" i="2"/>
  <c r="E5037" i="2"/>
  <c r="K5036" i="2"/>
  <c r="E5036" i="2"/>
  <c r="K5035" i="2"/>
  <c r="E5035" i="2"/>
  <c r="E5034" i="2"/>
  <c r="E5033" i="2"/>
  <c r="K5032" i="2"/>
  <c r="E5032" i="2"/>
  <c r="E5031" i="2"/>
  <c r="E5030" i="2"/>
  <c r="K5029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K5014" i="2"/>
  <c r="E5014" i="2"/>
  <c r="E5013" i="2"/>
  <c r="E5012" i="2"/>
  <c r="E5011" i="2"/>
  <c r="K5010" i="2"/>
  <c r="E5010" i="2"/>
  <c r="E5009" i="2"/>
  <c r="E5008" i="2"/>
  <c r="E5007" i="2"/>
  <c r="E5006" i="2"/>
  <c r="E5005" i="2"/>
  <c r="E5004" i="2"/>
  <c r="E5003" i="2"/>
  <c r="E5002" i="2"/>
  <c r="E5001" i="2"/>
  <c r="G5000" i="2"/>
  <c r="E5000" i="2"/>
  <c r="E4999" i="2"/>
  <c r="E4998" i="2"/>
  <c r="K4997" i="2"/>
  <c r="L4997" i="2" s="1"/>
  <c r="E4997" i="2"/>
  <c r="K4996" i="2"/>
  <c r="L4996" i="2" s="1"/>
  <c r="E4996" i="2"/>
  <c r="E4995" i="2"/>
  <c r="E4994" i="2"/>
  <c r="K4993" i="2"/>
  <c r="L4993" i="2" s="1"/>
  <c r="E4993" i="2"/>
  <c r="K4992" i="2"/>
  <c r="L4992" i="2" s="1"/>
  <c r="E4992" i="2"/>
  <c r="K4991" i="2"/>
  <c r="L4991" i="2" s="1"/>
  <c r="E4991" i="2"/>
  <c r="E4990" i="2"/>
  <c r="E4989" i="2"/>
  <c r="E4988" i="2"/>
  <c r="E4987" i="2"/>
  <c r="E4986" i="2"/>
  <c r="K4985" i="2"/>
  <c r="L4985" i="2" s="1"/>
  <c r="E4985" i="2"/>
  <c r="K4984" i="2"/>
  <c r="L4984" i="2" s="1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K4932" i="2"/>
  <c r="E4932" i="2"/>
  <c r="E4931" i="2"/>
  <c r="E4930" i="2"/>
  <c r="E4929" i="2"/>
  <c r="E4928" i="2"/>
  <c r="E4927" i="2"/>
  <c r="E4926" i="2"/>
  <c r="E4925" i="2"/>
  <c r="E4924" i="2"/>
  <c r="G4923" i="2"/>
  <c r="E4923" i="2"/>
  <c r="E4922" i="2"/>
  <c r="E4921" i="2"/>
  <c r="E4920" i="2"/>
  <c r="K4919" i="2"/>
  <c r="E4919" i="2"/>
  <c r="E4918" i="2"/>
  <c r="E4917" i="2"/>
  <c r="K4916" i="2"/>
  <c r="E4916" i="2"/>
  <c r="E4915" i="2"/>
  <c r="K4914" i="2"/>
  <c r="E4914" i="2"/>
  <c r="E4913" i="2"/>
  <c r="E4912" i="2"/>
  <c r="K4911" i="2"/>
  <c r="E4911" i="2"/>
  <c r="K4910" i="2"/>
  <c r="E4910" i="2"/>
  <c r="E4909" i="2"/>
  <c r="E4908" i="2"/>
  <c r="E4907" i="2"/>
  <c r="K4906" i="2"/>
  <c r="E4906" i="2"/>
  <c r="E4905" i="2"/>
  <c r="E4904" i="2"/>
  <c r="E4903" i="2"/>
  <c r="K4902" i="2"/>
  <c r="E4902" i="2"/>
  <c r="E4901" i="2"/>
  <c r="E4900" i="2"/>
  <c r="E4899" i="2"/>
  <c r="K4898" i="2"/>
  <c r="E4898" i="2"/>
  <c r="E4897" i="2"/>
  <c r="E4896" i="2"/>
  <c r="E4895" i="2"/>
  <c r="E4894" i="2"/>
  <c r="E4893" i="2"/>
  <c r="E4892" i="2"/>
  <c r="E4891" i="2"/>
  <c r="E4890" i="2"/>
  <c r="K4889" i="2"/>
  <c r="L4889" i="2" s="1"/>
  <c r="E4889" i="2"/>
  <c r="K4888" i="2"/>
  <c r="L4888" i="2" s="1"/>
  <c r="E4888" i="2"/>
  <c r="E4887" i="2"/>
  <c r="E4886" i="2"/>
  <c r="K4885" i="2"/>
  <c r="L4885" i="2" s="1"/>
  <c r="E4885" i="2"/>
  <c r="K4884" i="2"/>
  <c r="L4884" i="2" s="1"/>
  <c r="E4884" i="2"/>
  <c r="K4883" i="2"/>
  <c r="L4883" i="2" s="1"/>
  <c r="E4883" i="2"/>
  <c r="E4882" i="2"/>
  <c r="E4881" i="2"/>
  <c r="E4880" i="2"/>
  <c r="E4879" i="2"/>
  <c r="E4878" i="2"/>
  <c r="K4877" i="2"/>
  <c r="L4877" i="2" s="1"/>
  <c r="E4877" i="2"/>
  <c r="K4876" i="2"/>
  <c r="L4876" i="2" s="1"/>
  <c r="E4876" i="2"/>
  <c r="E4875" i="2"/>
  <c r="E4874" i="2"/>
  <c r="E4873" i="2"/>
  <c r="E4872" i="2"/>
  <c r="E4871" i="2"/>
  <c r="G4870" i="2"/>
  <c r="E4870" i="2"/>
  <c r="E4869" i="2"/>
  <c r="E4868" i="2"/>
  <c r="G4867" i="2"/>
  <c r="E4867" i="2"/>
  <c r="E4866" i="2"/>
  <c r="E4865" i="2"/>
  <c r="K4864" i="2"/>
  <c r="L4864" i="2" s="1"/>
  <c r="G4864" i="2"/>
  <c r="E4864" i="2"/>
  <c r="K4863" i="2"/>
  <c r="L4863" i="2" s="1"/>
  <c r="G4863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K4838" i="2"/>
  <c r="E4838" i="2"/>
  <c r="E4837" i="2"/>
  <c r="E4836" i="2"/>
  <c r="G4835" i="2"/>
  <c r="E4835" i="2"/>
  <c r="G4834" i="2"/>
  <c r="E4834" i="2"/>
  <c r="E4833" i="2"/>
  <c r="E4832" i="2"/>
  <c r="G4831" i="2"/>
  <c r="E4831" i="2"/>
  <c r="E4830" i="2"/>
  <c r="E4829" i="2"/>
  <c r="G4828" i="2"/>
  <c r="E4828" i="2"/>
  <c r="E4827" i="2"/>
  <c r="E4826" i="2"/>
  <c r="G4825" i="2"/>
  <c r="E4825" i="2"/>
  <c r="G4824" i="2"/>
  <c r="E4824" i="2"/>
  <c r="E4823" i="2"/>
  <c r="E4822" i="2"/>
  <c r="K4821" i="2"/>
  <c r="E4821" i="2"/>
  <c r="E4820" i="2"/>
  <c r="E4819" i="2"/>
  <c r="K4818" i="2"/>
  <c r="E4818" i="2"/>
  <c r="K4817" i="2"/>
  <c r="E4817" i="2"/>
  <c r="K4816" i="2"/>
  <c r="E4816" i="2"/>
  <c r="E4815" i="2"/>
  <c r="E4814" i="2"/>
  <c r="K4813" i="2"/>
  <c r="E4813" i="2"/>
  <c r="E4812" i="2"/>
  <c r="E4811" i="2"/>
  <c r="K4810" i="2"/>
  <c r="E4810" i="2"/>
  <c r="E4809" i="2"/>
  <c r="E4808" i="2"/>
  <c r="E4807" i="2"/>
  <c r="E4806" i="2"/>
  <c r="E4805" i="2"/>
  <c r="K4804" i="2"/>
  <c r="E4804" i="2"/>
  <c r="E4803" i="2"/>
  <c r="E4802" i="2"/>
  <c r="E4801" i="2"/>
  <c r="E4800" i="2"/>
  <c r="E4799" i="2"/>
  <c r="E4798" i="2"/>
  <c r="E4797" i="2"/>
  <c r="G4796" i="2"/>
  <c r="E4796" i="2"/>
  <c r="G4795" i="2"/>
  <c r="E4795" i="2"/>
  <c r="G4794" i="2"/>
  <c r="E4794" i="2"/>
  <c r="G4793" i="2"/>
  <c r="E4793" i="2"/>
  <c r="G4792" i="2"/>
  <c r="E4792" i="2"/>
  <c r="E4791" i="2"/>
  <c r="E4790" i="2"/>
  <c r="G4789" i="2"/>
  <c r="E4789" i="2"/>
  <c r="G4788" i="2"/>
  <c r="E4788" i="2"/>
  <c r="G4787" i="2"/>
  <c r="E4787" i="2"/>
  <c r="G4786" i="2"/>
  <c r="E4786" i="2"/>
  <c r="E4785" i="2"/>
  <c r="E4784" i="2"/>
  <c r="G4783" i="2"/>
  <c r="E4783" i="2"/>
  <c r="G4782" i="2"/>
  <c r="E4782" i="2"/>
  <c r="G4781" i="2"/>
  <c r="E4781" i="2"/>
  <c r="G4780" i="2"/>
  <c r="E4780" i="2"/>
  <c r="G4779" i="2"/>
  <c r="E4779" i="2"/>
  <c r="E4778" i="2"/>
  <c r="E4777" i="2"/>
  <c r="G4776" i="2"/>
  <c r="E4776" i="2"/>
  <c r="G4775" i="2"/>
  <c r="E4775" i="2"/>
  <c r="G4774" i="2"/>
  <c r="E4774" i="2"/>
  <c r="G4773" i="2"/>
  <c r="E4773" i="2"/>
  <c r="E4772" i="2"/>
  <c r="E4771" i="2"/>
  <c r="G4770" i="2"/>
  <c r="E4770" i="2"/>
  <c r="G4769" i="2"/>
  <c r="E4769" i="2"/>
  <c r="G4768" i="2"/>
  <c r="E4768" i="2"/>
  <c r="G4767" i="2"/>
  <c r="E4767" i="2"/>
  <c r="G4766" i="2"/>
  <c r="E4766" i="2"/>
  <c r="E4765" i="2"/>
  <c r="E4764" i="2"/>
  <c r="G4763" i="2"/>
  <c r="K4763" i="2" s="1"/>
  <c r="E4763" i="2"/>
  <c r="G4762" i="2"/>
  <c r="E4762" i="2"/>
  <c r="G4761" i="2"/>
  <c r="E4761" i="2"/>
  <c r="E4760" i="2"/>
  <c r="E4759" i="2"/>
  <c r="G4758" i="2"/>
  <c r="K4758" i="2" s="1"/>
  <c r="E4758" i="2"/>
  <c r="E4757" i="2"/>
  <c r="G4756" i="2"/>
  <c r="E4756" i="2"/>
  <c r="G4755" i="2"/>
  <c r="E4755" i="2"/>
  <c r="G4754" i="2"/>
  <c r="E4754" i="2"/>
  <c r="E4753" i="2"/>
  <c r="E4752" i="2"/>
  <c r="G4751" i="2"/>
  <c r="K4751" i="2" s="1"/>
  <c r="E4751" i="2"/>
  <c r="G4750" i="2"/>
  <c r="E4750" i="2"/>
  <c r="G4749" i="2"/>
  <c r="E4749" i="2"/>
  <c r="E4748" i="2"/>
  <c r="E4747" i="2"/>
  <c r="G4746" i="2"/>
  <c r="K4746" i="2" s="1"/>
  <c r="E4746" i="2"/>
  <c r="G4745" i="2"/>
  <c r="E4745" i="2"/>
  <c r="G4744" i="2"/>
  <c r="E4744" i="2"/>
  <c r="G4743" i="2"/>
  <c r="E4743" i="2"/>
  <c r="E4742" i="2"/>
  <c r="E4741" i="2"/>
  <c r="G4740" i="2"/>
  <c r="K4740" i="2" s="1"/>
  <c r="E4740" i="2"/>
  <c r="G4739" i="2"/>
  <c r="E4739" i="2"/>
  <c r="G4738" i="2"/>
  <c r="E4738" i="2"/>
  <c r="G4737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K4703" i="2"/>
  <c r="L4703" i="2" s="1"/>
  <c r="E4703" i="2"/>
  <c r="K4702" i="2"/>
  <c r="L4702" i="2" s="1"/>
  <c r="G4702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H4681" i="2"/>
  <c r="E4681" i="2"/>
  <c r="H4680" i="2"/>
  <c r="K4680" i="2" s="1"/>
  <c r="E4680" i="2"/>
  <c r="H4679" i="2"/>
  <c r="K4679" i="2" s="1"/>
  <c r="E4679" i="2"/>
  <c r="H4678" i="2"/>
  <c r="K4678" i="2" s="1"/>
  <c r="E4678" i="2"/>
  <c r="E4677" i="2"/>
  <c r="E4676" i="2"/>
  <c r="H4675" i="2"/>
  <c r="K4675" i="2" s="1"/>
  <c r="E4675" i="2"/>
  <c r="H4674" i="2"/>
  <c r="K4674" i="2" s="1"/>
  <c r="G4674" i="2"/>
  <c r="E4674" i="2"/>
  <c r="K4673" i="2"/>
  <c r="E4673" i="2"/>
  <c r="E4672" i="2"/>
  <c r="H4671" i="2"/>
  <c r="E4671" i="2"/>
  <c r="H4670" i="2"/>
  <c r="K4670" i="2" s="1"/>
  <c r="E4670" i="2"/>
  <c r="H4669" i="2"/>
  <c r="K4669" i="2" s="1"/>
  <c r="E4669" i="2"/>
  <c r="H4668" i="2"/>
  <c r="K4668" i="2" s="1"/>
  <c r="E4668" i="2"/>
  <c r="H4667" i="2"/>
  <c r="K4667" i="2" s="1"/>
  <c r="E4667" i="2"/>
  <c r="H4666" i="2"/>
  <c r="K4666" i="2" s="1"/>
  <c r="E4666" i="2"/>
  <c r="H4665" i="2"/>
  <c r="K4665" i="2" s="1"/>
  <c r="E4665" i="2"/>
  <c r="H4664" i="2"/>
  <c r="K4664" i="2" s="1"/>
  <c r="E4664" i="2"/>
  <c r="K4663" i="2"/>
  <c r="E4663" i="2"/>
  <c r="K4662" i="2"/>
  <c r="E4662" i="2"/>
  <c r="H4661" i="2"/>
  <c r="K4661" i="2" s="1"/>
  <c r="E4661" i="2"/>
  <c r="H4660" i="2"/>
  <c r="K4660" i="2" s="1"/>
  <c r="E4660" i="2"/>
  <c r="H4659" i="2"/>
  <c r="K4659" i="2" s="1"/>
  <c r="E4659" i="2"/>
  <c r="H4658" i="2"/>
  <c r="K4658" i="2" s="1"/>
  <c r="E4658" i="2"/>
  <c r="E4657" i="2"/>
  <c r="E4656" i="2"/>
  <c r="H4655" i="2"/>
  <c r="K4655" i="2" s="1"/>
  <c r="E4655" i="2"/>
  <c r="H4654" i="2"/>
  <c r="K4654" i="2" s="1"/>
  <c r="E4654" i="2"/>
  <c r="H4653" i="2"/>
  <c r="K4653" i="2" s="1"/>
  <c r="E4653" i="2"/>
  <c r="H4652" i="2"/>
  <c r="K4652" i="2" s="1"/>
  <c r="E4652" i="2"/>
  <c r="H4651" i="2"/>
  <c r="K4651" i="2" s="1"/>
  <c r="E4651" i="2"/>
  <c r="H4650" i="2"/>
  <c r="K4650" i="2" s="1"/>
  <c r="E4650" i="2"/>
  <c r="H4649" i="2"/>
  <c r="K4649" i="2" s="1"/>
  <c r="E4649" i="2"/>
  <c r="K4648" i="2"/>
  <c r="E4648" i="2"/>
  <c r="H4647" i="2"/>
  <c r="K4647" i="2" s="1"/>
  <c r="E4647" i="2"/>
  <c r="H4646" i="2"/>
  <c r="K4646" i="2" s="1"/>
  <c r="E4646" i="2"/>
  <c r="E4645" i="2"/>
  <c r="E4644" i="2"/>
  <c r="K4643" i="2"/>
  <c r="E4643" i="2"/>
  <c r="H4642" i="2"/>
  <c r="K4642" i="2" s="1"/>
  <c r="E4642" i="2"/>
  <c r="H4641" i="2"/>
  <c r="K4641" i="2" s="1"/>
  <c r="E4641" i="2"/>
  <c r="H4640" i="2"/>
  <c r="K4640" i="2" s="1"/>
  <c r="E4640" i="2"/>
  <c r="H4639" i="2"/>
  <c r="K4639" i="2" s="1"/>
  <c r="E4639" i="2"/>
  <c r="H4638" i="2"/>
  <c r="K4638" i="2" s="1"/>
  <c r="E4638" i="2"/>
  <c r="H4637" i="2"/>
  <c r="K4637" i="2" s="1"/>
  <c r="E4637" i="2"/>
  <c r="H4636" i="2"/>
  <c r="K4636" i="2" s="1"/>
  <c r="E4636" i="2"/>
  <c r="K4635" i="2"/>
  <c r="E4635" i="2"/>
  <c r="H4634" i="2"/>
  <c r="K4634" i="2" s="1"/>
  <c r="E4634" i="2"/>
  <c r="H4633" i="2"/>
  <c r="K4633" i="2" s="1"/>
  <c r="E4633" i="2"/>
  <c r="H4632" i="2"/>
  <c r="K4632" i="2" s="1"/>
  <c r="E4632" i="2"/>
  <c r="H4631" i="2"/>
  <c r="K4631" i="2" s="1"/>
  <c r="E4631" i="2"/>
  <c r="E4630" i="2"/>
  <c r="E4629" i="2"/>
  <c r="H4628" i="2"/>
  <c r="K4628" i="2" s="1"/>
  <c r="E4628" i="2"/>
  <c r="H4627" i="2"/>
  <c r="K4627" i="2" s="1"/>
  <c r="E4627" i="2"/>
  <c r="H4626" i="2"/>
  <c r="K4626" i="2" s="1"/>
  <c r="E4626" i="2"/>
  <c r="H4625" i="2"/>
  <c r="K4625" i="2" s="1"/>
  <c r="E4625" i="2"/>
  <c r="H4624" i="2"/>
  <c r="K4624" i="2" s="1"/>
  <c r="E4624" i="2"/>
  <c r="H4623" i="2"/>
  <c r="K4623" i="2" s="1"/>
  <c r="E4623" i="2"/>
  <c r="K4622" i="2"/>
  <c r="E4622" i="2"/>
  <c r="H4621" i="2"/>
  <c r="K4621" i="2" s="1"/>
  <c r="E4621" i="2"/>
  <c r="H4620" i="2"/>
  <c r="K4620" i="2" s="1"/>
  <c r="E4620" i="2"/>
  <c r="H4619" i="2"/>
  <c r="K4619" i="2" s="1"/>
  <c r="E4619" i="2"/>
  <c r="H4618" i="2"/>
  <c r="K4618" i="2" s="1"/>
  <c r="E4618" i="2"/>
  <c r="H4617" i="2"/>
  <c r="K4617" i="2" s="1"/>
  <c r="E4617" i="2"/>
  <c r="H4616" i="2"/>
  <c r="K4616" i="2" s="1"/>
  <c r="E4616" i="2"/>
  <c r="H4615" i="2"/>
  <c r="K4615" i="2" s="1"/>
  <c r="E4615" i="2"/>
  <c r="H4614" i="2"/>
  <c r="K4614" i="2" s="1"/>
  <c r="E4614" i="2"/>
  <c r="H4613" i="2"/>
  <c r="K4613" i="2" s="1"/>
  <c r="E4613" i="2"/>
  <c r="H4612" i="2"/>
  <c r="K4612" i="2" s="1"/>
  <c r="E4612" i="2"/>
  <c r="H4611" i="2"/>
  <c r="K4611" i="2" s="1"/>
  <c r="E4611" i="2"/>
  <c r="E4610" i="2"/>
  <c r="E4609" i="2"/>
  <c r="H4608" i="2"/>
  <c r="K4608" i="2" s="1"/>
  <c r="E4608" i="2"/>
  <c r="H4607" i="2"/>
  <c r="K4607" i="2" s="1"/>
  <c r="E4607" i="2"/>
  <c r="H4606" i="2"/>
  <c r="K4606" i="2" s="1"/>
  <c r="E4606" i="2"/>
  <c r="E4605" i="2"/>
  <c r="E4604" i="2"/>
  <c r="H4603" i="2"/>
  <c r="K4603" i="2" s="1"/>
  <c r="E4603" i="2"/>
  <c r="H4602" i="2"/>
  <c r="K4602" i="2" s="1"/>
  <c r="E4602" i="2"/>
  <c r="H4601" i="2"/>
  <c r="K4601" i="2" s="1"/>
  <c r="E4601" i="2"/>
  <c r="H4600" i="2"/>
  <c r="K4600" i="2" s="1"/>
  <c r="E4600" i="2"/>
  <c r="H4599" i="2"/>
  <c r="K4599" i="2" s="1"/>
  <c r="E4599" i="2"/>
  <c r="H4598" i="2"/>
  <c r="K4598" i="2" s="1"/>
  <c r="E4598" i="2"/>
  <c r="K4597" i="2"/>
  <c r="E4597" i="2"/>
  <c r="H4596" i="2"/>
  <c r="K4596" i="2" s="1"/>
  <c r="E4596" i="2"/>
  <c r="H4595" i="2"/>
  <c r="K4595" i="2" s="1"/>
  <c r="E4595" i="2"/>
  <c r="H4594" i="2"/>
  <c r="K4594" i="2" s="1"/>
  <c r="E4594" i="2"/>
  <c r="H4593" i="2"/>
  <c r="K4593" i="2" s="1"/>
  <c r="E4593" i="2"/>
  <c r="H4592" i="2"/>
  <c r="K4592" i="2" s="1"/>
  <c r="E4592" i="2"/>
  <c r="E4591" i="2"/>
  <c r="E4590" i="2"/>
  <c r="H4589" i="2"/>
  <c r="K4589" i="2" s="1"/>
  <c r="E4589" i="2"/>
  <c r="H4588" i="2"/>
  <c r="K4588" i="2" s="1"/>
  <c r="E4588" i="2"/>
  <c r="H4587" i="2"/>
  <c r="K4587" i="2" s="1"/>
  <c r="E4587" i="2"/>
  <c r="H4586" i="2"/>
  <c r="K4586" i="2" s="1"/>
  <c r="E4586" i="2"/>
  <c r="K4585" i="2"/>
  <c r="E4585" i="2"/>
  <c r="E4584" i="2"/>
  <c r="E4583" i="2"/>
  <c r="H4582" i="2"/>
  <c r="K4582" i="2" s="1"/>
  <c r="G4582" i="2"/>
  <c r="E4582" i="2"/>
  <c r="E4581" i="2"/>
  <c r="E4580" i="2"/>
  <c r="H4579" i="2"/>
  <c r="K4579" i="2" s="1"/>
  <c r="E4579" i="2"/>
  <c r="H4578" i="2"/>
  <c r="K4578" i="2" s="1"/>
  <c r="E4578" i="2"/>
  <c r="H4577" i="2"/>
  <c r="K4577" i="2" s="1"/>
  <c r="E4577" i="2"/>
  <c r="H4576" i="2"/>
  <c r="K4576" i="2" s="1"/>
  <c r="E4576" i="2"/>
  <c r="K4575" i="2"/>
  <c r="E4575" i="2"/>
  <c r="H4574" i="2"/>
  <c r="K4574" i="2" s="1"/>
  <c r="E4574" i="2"/>
  <c r="H4573" i="2"/>
  <c r="K4573" i="2" s="1"/>
  <c r="E4573" i="2"/>
  <c r="H4572" i="2"/>
  <c r="K4572" i="2" s="1"/>
  <c r="E4572" i="2"/>
  <c r="H4571" i="2"/>
  <c r="K4571" i="2" s="1"/>
  <c r="E4571" i="2"/>
  <c r="H4570" i="2"/>
  <c r="K4570" i="2" s="1"/>
  <c r="E4570" i="2"/>
  <c r="H4569" i="2"/>
  <c r="K4569" i="2" s="1"/>
  <c r="E4569" i="2"/>
  <c r="H4568" i="2"/>
  <c r="K4568" i="2" s="1"/>
  <c r="E4568" i="2"/>
  <c r="H4567" i="2"/>
  <c r="K4567" i="2" s="1"/>
  <c r="E4567" i="2"/>
  <c r="K4566" i="2"/>
  <c r="E4566" i="2"/>
  <c r="H4565" i="2"/>
  <c r="K4565" i="2" s="1"/>
  <c r="E4565" i="2"/>
  <c r="H4564" i="2"/>
  <c r="K4564" i="2" s="1"/>
  <c r="E4564" i="2"/>
  <c r="H4563" i="2"/>
  <c r="K4563" i="2" s="1"/>
  <c r="E4563" i="2"/>
  <c r="H4562" i="2"/>
  <c r="K4562" i="2" s="1"/>
  <c r="E4562" i="2"/>
  <c r="E4561" i="2"/>
  <c r="E4560" i="2"/>
  <c r="H4559" i="2"/>
  <c r="G4559" i="2"/>
  <c r="E4559" i="2"/>
  <c r="H4558" i="2"/>
  <c r="K4558" i="2" s="1"/>
  <c r="E4558" i="2"/>
  <c r="H4557" i="2"/>
  <c r="K4557" i="2" s="1"/>
  <c r="E4557" i="2"/>
  <c r="H4556" i="2"/>
  <c r="K4556" i="2" s="1"/>
  <c r="E4556" i="2"/>
  <c r="H4555" i="2"/>
  <c r="K4555" i="2" s="1"/>
  <c r="E4555" i="2"/>
  <c r="H4554" i="2"/>
  <c r="K4554" i="2" s="1"/>
  <c r="E4554" i="2"/>
  <c r="H4553" i="2"/>
  <c r="K4553" i="2" s="1"/>
  <c r="E4553" i="2"/>
  <c r="E4552" i="2"/>
  <c r="E4551" i="2"/>
  <c r="K4550" i="2"/>
  <c r="E4550" i="2"/>
  <c r="H4549" i="2"/>
  <c r="K4549" i="2" s="1"/>
  <c r="E4549" i="2"/>
  <c r="H4548" i="2"/>
  <c r="K4548" i="2" s="1"/>
  <c r="E4548" i="2"/>
  <c r="H4547" i="2"/>
  <c r="K4547" i="2" s="1"/>
  <c r="E4547" i="2"/>
  <c r="H4546" i="2"/>
  <c r="K4546" i="2" s="1"/>
  <c r="E4546" i="2"/>
  <c r="H4545" i="2"/>
  <c r="K4545" i="2" s="1"/>
  <c r="E4545" i="2"/>
  <c r="K4544" i="2"/>
  <c r="E4544" i="2"/>
  <c r="H4543" i="2"/>
  <c r="K4543" i="2" s="1"/>
  <c r="E4543" i="2"/>
  <c r="K4542" i="2"/>
  <c r="E4542" i="2"/>
  <c r="K4541" i="2"/>
  <c r="E4541" i="2"/>
  <c r="G4540" i="2"/>
  <c r="K4540" i="2" s="1"/>
  <c r="E4540" i="2"/>
  <c r="H4539" i="2"/>
  <c r="K4539" i="2" s="1"/>
  <c r="E4539" i="2"/>
  <c r="E4538" i="2"/>
  <c r="E4537" i="2"/>
  <c r="H4536" i="2"/>
  <c r="K4536" i="2" s="1"/>
  <c r="E4536" i="2"/>
  <c r="H4535" i="2"/>
  <c r="K4535" i="2" s="1"/>
  <c r="E4535" i="2"/>
  <c r="K4534" i="2"/>
  <c r="E4534" i="2"/>
  <c r="H4533" i="2"/>
  <c r="K4533" i="2" s="1"/>
  <c r="E4533" i="2"/>
  <c r="H4532" i="2"/>
  <c r="K4532" i="2" s="1"/>
  <c r="E4532" i="2"/>
  <c r="H4531" i="2"/>
  <c r="K4531" i="2" s="1"/>
  <c r="E4531" i="2"/>
  <c r="H4530" i="2"/>
  <c r="E4530" i="2"/>
  <c r="K4529" i="2"/>
  <c r="E4529" i="2"/>
  <c r="K4528" i="2"/>
  <c r="E4528" i="2"/>
  <c r="H4527" i="2"/>
  <c r="K4527" i="2" s="1"/>
  <c r="E4527" i="2"/>
  <c r="H4526" i="2"/>
  <c r="K4526" i="2" s="1"/>
  <c r="E4526" i="2"/>
  <c r="H4525" i="2"/>
  <c r="K4525" i="2" s="1"/>
  <c r="E4525" i="2"/>
  <c r="E4524" i="2"/>
  <c r="E4523" i="2"/>
  <c r="E4522" i="2"/>
  <c r="E4521" i="2"/>
  <c r="H4520" i="2"/>
  <c r="K4520" i="2" s="1"/>
  <c r="E4520" i="2"/>
  <c r="E4519" i="2"/>
  <c r="H4518" i="2"/>
  <c r="K4518" i="2" s="1"/>
  <c r="E4518" i="2"/>
  <c r="H4517" i="2"/>
  <c r="K4517" i="2" s="1"/>
  <c r="E4517" i="2"/>
  <c r="H4516" i="2"/>
  <c r="K4516" i="2" s="1"/>
  <c r="E4516" i="2"/>
  <c r="H4515" i="2"/>
  <c r="K4515" i="2" s="1"/>
  <c r="E4515" i="2"/>
  <c r="H4514" i="2"/>
  <c r="E4514" i="2"/>
  <c r="H4513" i="2"/>
  <c r="K4513" i="2" s="1"/>
  <c r="E4513" i="2"/>
  <c r="H4512" i="2"/>
  <c r="K4512" i="2" s="1"/>
  <c r="E4512" i="2"/>
  <c r="H4511" i="2"/>
  <c r="K4511" i="2" s="1"/>
  <c r="E4511" i="2"/>
  <c r="E4510" i="2"/>
  <c r="E4509" i="2"/>
  <c r="H4508" i="2"/>
  <c r="K4508" i="2" s="1"/>
  <c r="E4508" i="2"/>
  <c r="H4507" i="2"/>
  <c r="K4507" i="2" s="1"/>
  <c r="E4507" i="2"/>
  <c r="H4506" i="2"/>
  <c r="K4506" i="2" s="1"/>
  <c r="E4506" i="2"/>
  <c r="H4505" i="2"/>
  <c r="K4505" i="2" s="1"/>
  <c r="E4505" i="2"/>
  <c r="H4504" i="2"/>
  <c r="K4504" i="2" s="1"/>
  <c r="E4504" i="2"/>
  <c r="H4503" i="2"/>
  <c r="K4503" i="2" s="1"/>
  <c r="E4503" i="2"/>
  <c r="H4502" i="2"/>
  <c r="K4502" i="2" s="1"/>
  <c r="E4502" i="2"/>
  <c r="H4501" i="2"/>
  <c r="K4501" i="2" s="1"/>
  <c r="E4501" i="2"/>
  <c r="H4500" i="2"/>
  <c r="K4500" i="2" s="1"/>
  <c r="E4500" i="2"/>
  <c r="H4499" i="2"/>
  <c r="K4499" i="2" s="1"/>
  <c r="E4499" i="2"/>
  <c r="H4498" i="2"/>
  <c r="K4498" i="2" s="1"/>
  <c r="E4498" i="2"/>
  <c r="H4497" i="2"/>
  <c r="K4497" i="2" s="1"/>
  <c r="E4497" i="2"/>
  <c r="K4496" i="2"/>
  <c r="E4496" i="2"/>
  <c r="E4495" i="2"/>
  <c r="E4494" i="2"/>
  <c r="H4493" i="2"/>
  <c r="K4493" i="2" s="1"/>
  <c r="E4493" i="2"/>
  <c r="H4492" i="2"/>
  <c r="K4492" i="2" s="1"/>
  <c r="E4492" i="2"/>
  <c r="H4491" i="2"/>
  <c r="K4491" i="2" s="1"/>
  <c r="E4491" i="2"/>
  <c r="H4490" i="2"/>
  <c r="K4490" i="2" s="1"/>
  <c r="E4490" i="2"/>
  <c r="H4489" i="2"/>
  <c r="K4489" i="2" s="1"/>
  <c r="E4489" i="2"/>
  <c r="H4488" i="2"/>
  <c r="K4488" i="2" s="1"/>
  <c r="E4488" i="2"/>
  <c r="H4487" i="2"/>
  <c r="K4487" i="2" s="1"/>
  <c r="E4487" i="2"/>
  <c r="H4486" i="2"/>
  <c r="K4486" i="2" s="1"/>
  <c r="E4486" i="2"/>
  <c r="H4485" i="2"/>
  <c r="K4485" i="2" s="1"/>
  <c r="E4485" i="2"/>
  <c r="H4484" i="2"/>
  <c r="K4484" i="2" s="1"/>
  <c r="E4484" i="2"/>
  <c r="H4483" i="2"/>
  <c r="K4483" i="2" s="1"/>
  <c r="E4483" i="2"/>
  <c r="H4482" i="2"/>
  <c r="K4482" i="2" s="1"/>
  <c r="E4482" i="2"/>
  <c r="H4481" i="2"/>
  <c r="K4481" i="2" s="1"/>
  <c r="E4481" i="2"/>
  <c r="H4480" i="2"/>
  <c r="K4480" i="2" s="1"/>
  <c r="E4480" i="2"/>
  <c r="H4479" i="2"/>
  <c r="K4479" i="2" s="1"/>
  <c r="E4479" i="2"/>
  <c r="H4478" i="2"/>
  <c r="K4478" i="2" s="1"/>
  <c r="E4478" i="2"/>
  <c r="H4477" i="2"/>
  <c r="K4477" i="2" s="1"/>
  <c r="E4477" i="2"/>
  <c r="H4476" i="2"/>
  <c r="K4476" i="2" s="1"/>
  <c r="E4476" i="2"/>
  <c r="E4475" i="2"/>
  <c r="E4474" i="2"/>
  <c r="K4473" i="2"/>
  <c r="E4473" i="2"/>
  <c r="K4472" i="2"/>
  <c r="E4472" i="2"/>
  <c r="H4471" i="2"/>
  <c r="K4471" i="2" s="1"/>
  <c r="G4471" i="2"/>
  <c r="E4471" i="2"/>
  <c r="E4470" i="2"/>
  <c r="E4469" i="2"/>
  <c r="H4468" i="2"/>
  <c r="K4468" i="2" s="1"/>
  <c r="E4468" i="2"/>
  <c r="H4467" i="2"/>
  <c r="K4467" i="2" s="1"/>
  <c r="E4467" i="2"/>
  <c r="H4466" i="2"/>
  <c r="K4466" i="2" s="1"/>
  <c r="E4466" i="2"/>
  <c r="H4465" i="2"/>
  <c r="K4465" i="2" s="1"/>
  <c r="E4465" i="2"/>
  <c r="H4464" i="2"/>
  <c r="K4464" i="2" s="1"/>
  <c r="E4464" i="2"/>
  <c r="K4463" i="2"/>
  <c r="E4463" i="2"/>
  <c r="K4462" i="2"/>
  <c r="E4462" i="2"/>
  <c r="H4461" i="2"/>
  <c r="K4461" i="2" s="1"/>
  <c r="E4461" i="2"/>
  <c r="H4460" i="2"/>
  <c r="K4460" i="2" s="1"/>
  <c r="E4460" i="2"/>
  <c r="H4459" i="2"/>
  <c r="K4459" i="2" s="1"/>
  <c r="E4459" i="2"/>
  <c r="H4458" i="2"/>
  <c r="K4458" i="2" s="1"/>
  <c r="E4458" i="2"/>
  <c r="K4457" i="2"/>
  <c r="E4457" i="2"/>
  <c r="H4456" i="2"/>
  <c r="K4456" i="2" s="1"/>
  <c r="E4456" i="2"/>
  <c r="K4455" i="2"/>
  <c r="E4455" i="2"/>
  <c r="H4454" i="2"/>
  <c r="K4454" i="2" s="1"/>
  <c r="E4454" i="2"/>
  <c r="K4453" i="2"/>
  <c r="E4453" i="2"/>
  <c r="H4452" i="2"/>
  <c r="K4452" i="2" s="1"/>
  <c r="G4452" i="2"/>
  <c r="E4452" i="2"/>
  <c r="H4451" i="2"/>
  <c r="K4451" i="2" s="1"/>
  <c r="E4451" i="2"/>
  <c r="E4450" i="2"/>
  <c r="E4449" i="2"/>
  <c r="H4448" i="2"/>
  <c r="K4448" i="2" s="1"/>
  <c r="E4448" i="2"/>
  <c r="K4447" i="2"/>
  <c r="E4447" i="2"/>
  <c r="H4446" i="2"/>
  <c r="K4446" i="2" s="1"/>
  <c r="E4446" i="2"/>
  <c r="H4445" i="2"/>
  <c r="K4445" i="2" s="1"/>
  <c r="E4445" i="2"/>
  <c r="H4444" i="2"/>
  <c r="K4444" i="2" s="1"/>
  <c r="E4444" i="2"/>
  <c r="H4443" i="2"/>
  <c r="K4443" i="2" s="1"/>
  <c r="E4443" i="2"/>
  <c r="H4442" i="2"/>
  <c r="K4442" i="2" s="1"/>
  <c r="E4442" i="2"/>
  <c r="E4441" i="2"/>
  <c r="E4440" i="2"/>
  <c r="K4439" i="2"/>
  <c r="E4439" i="2"/>
  <c r="K4438" i="2"/>
  <c r="E4438" i="2"/>
  <c r="H4437" i="2"/>
  <c r="K4437" i="2" s="1"/>
  <c r="E4437" i="2"/>
  <c r="H4436" i="2"/>
  <c r="K4436" i="2" s="1"/>
  <c r="E4436" i="2"/>
  <c r="H4435" i="2"/>
  <c r="K4435" i="2" s="1"/>
  <c r="E4435" i="2"/>
  <c r="H4434" i="2"/>
  <c r="K4434" i="2" s="1"/>
  <c r="E4434" i="2"/>
  <c r="K4433" i="2"/>
  <c r="E4433" i="2"/>
  <c r="K4432" i="2"/>
  <c r="E4432" i="2"/>
  <c r="H4431" i="2"/>
  <c r="K4431" i="2" s="1"/>
  <c r="E4431" i="2"/>
  <c r="H4430" i="2"/>
  <c r="K4430" i="2" s="1"/>
  <c r="E4430" i="2"/>
  <c r="H4429" i="2"/>
  <c r="K4429" i="2" s="1"/>
  <c r="E4429" i="2"/>
  <c r="H4428" i="2"/>
  <c r="K4428" i="2" s="1"/>
  <c r="E4428" i="2"/>
  <c r="H4427" i="2"/>
  <c r="K4427" i="2" s="1"/>
  <c r="E4427" i="2"/>
  <c r="H4426" i="2"/>
  <c r="K4426" i="2" s="1"/>
  <c r="E4426" i="2"/>
  <c r="H4425" i="2"/>
  <c r="K4425" i="2" s="1"/>
  <c r="E4425" i="2"/>
  <c r="H4424" i="2"/>
  <c r="K4424" i="2" s="1"/>
  <c r="E4424" i="2"/>
  <c r="H4423" i="2"/>
  <c r="K4423" i="2" s="1"/>
  <c r="E4423" i="2"/>
  <c r="E4422" i="2"/>
  <c r="E4421" i="2"/>
  <c r="H4420" i="2"/>
  <c r="K4420" i="2" s="1"/>
  <c r="E4420" i="2"/>
  <c r="K4419" i="2"/>
  <c r="E4419" i="2"/>
  <c r="H4418" i="2"/>
  <c r="K4418" i="2" s="1"/>
  <c r="E4418" i="2"/>
  <c r="H4417" i="2"/>
  <c r="K4417" i="2" s="1"/>
  <c r="E4417" i="2"/>
  <c r="H4416" i="2"/>
  <c r="K4416" i="2" s="1"/>
  <c r="E4416" i="2"/>
  <c r="K4415" i="2"/>
  <c r="E4415" i="2"/>
  <c r="K4414" i="2"/>
  <c r="E4414" i="2"/>
  <c r="H4413" i="2"/>
  <c r="K4413" i="2" s="1"/>
  <c r="E4413" i="2"/>
  <c r="H4412" i="2"/>
  <c r="K4412" i="2" s="1"/>
  <c r="E4412" i="2"/>
  <c r="K4411" i="2"/>
  <c r="E4411" i="2"/>
  <c r="H4410" i="2"/>
  <c r="K4410" i="2" s="1"/>
  <c r="E4410" i="2"/>
  <c r="K4409" i="2"/>
  <c r="E4409" i="2"/>
  <c r="E4408" i="2"/>
  <c r="E4407" i="2"/>
  <c r="H4406" i="2"/>
  <c r="K4406" i="2" s="1"/>
  <c r="E4406" i="2"/>
  <c r="H4405" i="2"/>
  <c r="K4405" i="2" s="1"/>
  <c r="E4405" i="2"/>
  <c r="H4404" i="2"/>
  <c r="K4404" i="2" s="1"/>
  <c r="E4404" i="2"/>
  <c r="E4403" i="2"/>
  <c r="E4402" i="2"/>
  <c r="K4401" i="2"/>
  <c r="E4401" i="2"/>
  <c r="H4400" i="2"/>
  <c r="K4400" i="2" s="1"/>
  <c r="E4400" i="2"/>
  <c r="H4399" i="2"/>
  <c r="K4399" i="2" s="1"/>
  <c r="E4399" i="2"/>
  <c r="H4398" i="2"/>
  <c r="K4398" i="2" s="1"/>
  <c r="E4398" i="2"/>
  <c r="H4397" i="2"/>
  <c r="K4397" i="2" s="1"/>
  <c r="E4397" i="2"/>
  <c r="H4396" i="2"/>
  <c r="K4396" i="2" s="1"/>
  <c r="E4396" i="2"/>
  <c r="H4395" i="2"/>
  <c r="K4395" i="2" s="1"/>
  <c r="E4395" i="2"/>
  <c r="H4394" i="2"/>
  <c r="K4394" i="2" s="1"/>
  <c r="E4394" i="2"/>
  <c r="H4393" i="2"/>
  <c r="K4393" i="2" s="1"/>
  <c r="E4393" i="2"/>
  <c r="H4392" i="2"/>
  <c r="K4392" i="2" s="1"/>
  <c r="E4392" i="2"/>
  <c r="H4391" i="2"/>
  <c r="K4391" i="2" s="1"/>
  <c r="E4391" i="2"/>
  <c r="H4390" i="2"/>
  <c r="K4390" i="2" s="1"/>
  <c r="E4390" i="2"/>
  <c r="H4389" i="2"/>
  <c r="K4389" i="2" s="1"/>
  <c r="E4389" i="2"/>
  <c r="H4388" i="2"/>
  <c r="K4388" i="2" s="1"/>
  <c r="E4388" i="2"/>
  <c r="H4387" i="2"/>
  <c r="K4387" i="2" s="1"/>
  <c r="E4387" i="2"/>
  <c r="H4386" i="2"/>
  <c r="K4386" i="2" s="1"/>
  <c r="E4386" i="2"/>
  <c r="H4385" i="2"/>
  <c r="K4385" i="2" s="1"/>
  <c r="E4385" i="2"/>
  <c r="H4384" i="2"/>
  <c r="K4384" i="2" s="1"/>
  <c r="E4384" i="2"/>
  <c r="E4383" i="2"/>
  <c r="E4382" i="2"/>
  <c r="H4381" i="2"/>
  <c r="K4381" i="2" s="1"/>
  <c r="E4381" i="2"/>
  <c r="E4380" i="2"/>
  <c r="H4379" i="2"/>
  <c r="K4379" i="2" s="1"/>
  <c r="E4379" i="2"/>
  <c r="H4378" i="2"/>
  <c r="K4378" i="2" s="1"/>
  <c r="E4378" i="2"/>
  <c r="H4377" i="2"/>
  <c r="K4377" i="2" s="1"/>
  <c r="E4377" i="2"/>
  <c r="H4376" i="2"/>
  <c r="K4376" i="2" s="1"/>
  <c r="E4376" i="2"/>
  <c r="H4375" i="2"/>
  <c r="K4375" i="2" s="1"/>
  <c r="E4375" i="2"/>
  <c r="H4374" i="2"/>
  <c r="K4374" i="2" s="1"/>
  <c r="E4374" i="2"/>
  <c r="H4373" i="2"/>
  <c r="K4373" i="2" s="1"/>
  <c r="E4373" i="2"/>
  <c r="H4372" i="2"/>
  <c r="K4372" i="2" s="1"/>
  <c r="E4372" i="2"/>
  <c r="H4371" i="2"/>
  <c r="K4371" i="2" s="1"/>
  <c r="E4371" i="2"/>
  <c r="H4370" i="2"/>
  <c r="K4370" i="2" s="1"/>
  <c r="E4370" i="2"/>
  <c r="K4369" i="2"/>
  <c r="E4369" i="2"/>
  <c r="H4368" i="2"/>
  <c r="K4368" i="2" s="1"/>
  <c r="E4368" i="2"/>
  <c r="K4367" i="2"/>
  <c r="E4367" i="2"/>
  <c r="E4366" i="2"/>
  <c r="E4365" i="2"/>
  <c r="H4364" i="2"/>
  <c r="K4364" i="2" s="1"/>
  <c r="E4364" i="2"/>
  <c r="H4363" i="2"/>
  <c r="K4363" i="2" s="1"/>
  <c r="E4363" i="2"/>
  <c r="H4362" i="2"/>
  <c r="K4362" i="2" s="1"/>
  <c r="E4362" i="2"/>
  <c r="H4361" i="2"/>
  <c r="K4361" i="2" s="1"/>
  <c r="E4361" i="2"/>
  <c r="H4360" i="2"/>
  <c r="K4360" i="2" s="1"/>
  <c r="E4360" i="2"/>
  <c r="H4359" i="2"/>
  <c r="K4359" i="2" s="1"/>
  <c r="E4359" i="2"/>
  <c r="K4358" i="2"/>
  <c r="E4358" i="2"/>
  <c r="H4357" i="2"/>
  <c r="K4357" i="2" s="1"/>
  <c r="E4357" i="2"/>
  <c r="H4356" i="2"/>
  <c r="K4356" i="2" s="1"/>
  <c r="E4356" i="2"/>
  <c r="E4355" i="2"/>
  <c r="E4354" i="2"/>
  <c r="H4353" i="2"/>
  <c r="K4353" i="2" s="1"/>
  <c r="E4353" i="2"/>
  <c r="H4352" i="2"/>
  <c r="K4352" i="2" s="1"/>
  <c r="E4352" i="2"/>
  <c r="H4351" i="2"/>
  <c r="K4351" i="2" s="1"/>
  <c r="E4351" i="2"/>
  <c r="H4350" i="2"/>
  <c r="K4350" i="2" s="1"/>
  <c r="E4350" i="2"/>
  <c r="H4349" i="2"/>
  <c r="K4349" i="2" s="1"/>
  <c r="E4349" i="2"/>
  <c r="E4348" i="2"/>
  <c r="E4347" i="2"/>
  <c r="H4346" i="2"/>
  <c r="K4346" i="2" s="1"/>
  <c r="E4346" i="2"/>
  <c r="H4345" i="2"/>
  <c r="K4345" i="2" s="1"/>
  <c r="E4345" i="2"/>
  <c r="H4344" i="2"/>
  <c r="K4344" i="2" s="1"/>
  <c r="E4344" i="2"/>
  <c r="H4343" i="2"/>
  <c r="K4343" i="2" s="1"/>
  <c r="E4343" i="2"/>
  <c r="K4342" i="2"/>
  <c r="E4342" i="2"/>
  <c r="H4341" i="2"/>
  <c r="K4341" i="2" s="1"/>
  <c r="E4341" i="2"/>
  <c r="H4340" i="2"/>
  <c r="K4340" i="2" s="1"/>
  <c r="E4340" i="2"/>
  <c r="H4339" i="2"/>
  <c r="K4339" i="2" s="1"/>
  <c r="E4339" i="2"/>
  <c r="H4338" i="2"/>
  <c r="K4338" i="2" s="1"/>
  <c r="E4338" i="2"/>
  <c r="H4337" i="2"/>
  <c r="K4337" i="2" s="1"/>
  <c r="E4337" i="2"/>
  <c r="H4336" i="2"/>
  <c r="K4336" i="2" s="1"/>
  <c r="E4336" i="2"/>
  <c r="H4335" i="2"/>
  <c r="K4335" i="2" s="1"/>
  <c r="E4335" i="2"/>
  <c r="H4334" i="2"/>
  <c r="K4334" i="2" s="1"/>
  <c r="E4334" i="2"/>
  <c r="H4333" i="2"/>
  <c r="K4333" i="2" s="1"/>
  <c r="E4333" i="2"/>
  <c r="K4332" i="2"/>
  <c r="E4332" i="2"/>
  <c r="E4331" i="2"/>
  <c r="E4330" i="2"/>
  <c r="H4329" i="2"/>
  <c r="K4329" i="2" s="1"/>
  <c r="G4329" i="2"/>
  <c r="E4329" i="2"/>
  <c r="H4328" i="2"/>
  <c r="K4328" i="2" s="1"/>
  <c r="E4328" i="2"/>
  <c r="E4327" i="2"/>
  <c r="E4326" i="2"/>
  <c r="H4325" i="2"/>
  <c r="K4325" i="2" s="1"/>
  <c r="E4325" i="2"/>
  <c r="H4324" i="2"/>
  <c r="K4324" i="2" s="1"/>
  <c r="E4324" i="2"/>
  <c r="K4323" i="2"/>
  <c r="E4323" i="2"/>
  <c r="E4322" i="2"/>
  <c r="E4321" i="2"/>
  <c r="H4320" i="2"/>
  <c r="K4320" i="2" s="1"/>
  <c r="E4320" i="2"/>
  <c r="K4319" i="2"/>
  <c r="E4319" i="2"/>
  <c r="K4318" i="2"/>
  <c r="E4318" i="2"/>
  <c r="K4317" i="2"/>
  <c r="E4317" i="2"/>
  <c r="K4316" i="2"/>
  <c r="E4316" i="2"/>
  <c r="H4315" i="2"/>
  <c r="K4315" i="2" s="1"/>
  <c r="E4315" i="2"/>
  <c r="H4314" i="2"/>
  <c r="K4314" i="2" s="1"/>
  <c r="E4314" i="2"/>
  <c r="H4313" i="2"/>
  <c r="K4313" i="2" s="1"/>
  <c r="E4313" i="2"/>
  <c r="H4312" i="2"/>
  <c r="K4312" i="2" s="1"/>
  <c r="E4312" i="2"/>
  <c r="K4311" i="2"/>
  <c r="E4311" i="2"/>
  <c r="H4310" i="2"/>
  <c r="K4310" i="2" s="1"/>
  <c r="E4310" i="2"/>
  <c r="H4309" i="2"/>
  <c r="K4309" i="2" s="1"/>
  <c r="E4309" i="2"/>
  <c r="H4308" i="2"/>
  <c r="K4308" i="2" s="1"/>
  <c r="E4308" i="2"/>
  <c r="H4307" i="2"/>
  <c r="K4307" i="2" s="1"/>
  <c r="E4307" i="2"/>
  <c r="H4306" i="2"/>
  <c r="K4306" i="2" s="1"/>
  <c r="E4306" i="2"/>
  <c r="H4305" i="2"/>
  <c r="K4305" i="2" s="1"/>
  <c r="E4305" i="2"/>
  <c r="E4304" i="2"/>
  <c r="E4303" i="2"/>
  <c r="K4302" i="2"/>
  <c r="E4302" i="2"/>
  <c r="H4301" i="2"/>
  <c r="K4301" i="2" s="1"/>
  <c r="E4301" i="2"/>
  <c r="E4300" i="2"/>
  <c r="E4299" i="2"/>
  <c r="H4298" i="2"/>
  <c r="K4298" i="2" s="1"/>
  <c r="E4298" i="2"/>
  <c r="H4297" i="2"/>
  <c r="K4297" i="2" s="1"/>
  <c r="E4297" i="2"/>
  <c r="H4296" i="2"/>
  <c r="K4296" i="2" s="1"/>
  <c r="E4296" i="2"/>
  <c r="H4295" i="2"/>
  <c r="K4295" i="2" s="1"/>
  <c r="E4295" i="2"/>
  <c r="H4294" i="2"/>
  <c r="K4294" i="2" s="1"/>
  <c r="E4294" i="2"/>
  <c r="H4293" i="2"/>
  <c r="K4293" i="2" s="1"/>
  <c r="E4293" i="2"/>
  <c r="H4292" i="2"/>
  <c r="K4292" i="2" s="1"/>
  <c r="E4292" i="2"/>
  <c r="H4291" i="2"/>
  <c r="K4291" i="2" s="1"/>
  <c r="E4291" i="2"/>
  <c r="H4290" i="2"/>
  <c r="K4290" i="2" s="1"/>
  <c r="E4290" i="2"/>
  <c r="H4289" i="2"/>
  <c r="K4289" i="2" s="1"/>
  <c r="E4289" i="2"/>
  <c r="K4288" i="2"/>
  <c r="E4288" i="2"/>
  <c r="H4287" i="2"/>
  <c r="K4287" i="2" s="1"/>
  <c r="E4287" i="2"/>
  <c r="H4286" i="2"/>
  <c r="K4286" i="2" s="1"/>
  <c r="E4286" i="2"/>
  <c r="H4285" i="2"/>
  <c r="K4285" i="2" s="1"/>
  <c r="E4285" i="2"/>
  <c r="H4284" i="2"/>
  <c r="K4284" i="2" s="1"/>
  <c r="E4284" i="2"/>
  <c r="H4283" i="2"/>
  <c r="K4283" i="2" s="1"/>
  <c r="E4283" i="2"/>
  <c r="H4282" i="2"/>
  <c r="K4282" i="2" s="1"/>
  <c r="E4282" i="2"/>
  <c r="K4281" i="2"/>
  <c r="E4281" i="2"/>
  <c r="E4280" i="2"/>
  <c r="E4279" i="2"/>
  <c r="K4278" i="2"/>
  <c r="E4278" i="2"/>
  <c r="H4277" i="2"/>
  <c r="K4277" i="2" s="1"/>
  <c r="E4277" i="2"/>
  <c r="H4276" i="2"/>
  <c r="K4276" i="2" s="1"/>
  <c r="E4276" i="2"/>
  <c r="E4275" i="2"/>
  <c r="E4274" i="2"/>
  <c r="H4273" i="2"/>
  <c r="K4273" i="2" s="1"/>
  <c r="E4273" i="2"/>
  <c r="H4272" i="2"/>
  <c r="K4272" i="2" s="1"/>
  <c r="E4272" i="2"/>
  <c r="H4271" i="2"/>
  <c r="K4271" i="2" s="1"/>
  <c r="E4271" i="2"/>
  <c r="H4270" i="2"/>
  <c r="K4270" i="2" s="1"/>
  <c r="E4270" i="2"/>
  <c r="K4269" i="2"/>
  <c r="E4269" i="2"/>
  <c r="H4268" i="2"/>
  <c r="K4268" i="2" s="1"/>
  <c r="E4268" i="2"/>
  <c r="H4267" i="2"/>
  <c r="K4267" i="2" s="1"/>
  <c r="E4267" i="2"/>
  <c r="H4266" i="2"/>
  <c r="K4266" i="2" s="1"/>
  <c r="E4266" i="2"/>
  <c r="K4265" i="2"/>
  <c r="E4265" i="2"/>
  <c r="K4264" i="2"/>
  <c r="E4264" i="2"/>
  <c r="H4263" i="2"/>
  <c r="K4263" i="2" s="1"/>
  <c r="E4263" i="2"/>
  <c r="K4262" i="2"/>
  <c r="E4262" i="2"/>
  <c r="H4261" i="2"/>
  <c r="K4261" i="2" s="1"/>
  <c r="E4261" i="2"/>
  <c r="H4260" i="2"/>
  <c r="K4260" i="2" s="1"/>
  <c r="E4260" i="2"/>
  <c r="H4259" i="2"/>
  <c r="K4259" i="2" s="1"/>
  <c r="E4259" i="2"/>
  <c r="H4258" i="2"/>
  <c r="K4258" i="2" s="1"/>
  <c r="E4258" i="2"/>
  <c r="H4257" i="2"/>
  <c r="K4257" i="2" s="1"/>
  <c r="E4257" i="2"/>
  <c r="H4256" i="2"/>
  <c r="K4256" i="2" s="1"/>
  <c r="E4256" i="2"/>
  <c r="E4255" i="2"/>
  <c r="E4254" i="2"/>
  <c r="H4253" i="2"/>
  <c r="K4253" i="2" s="1"/>
  <c r="E4253" i="2"/>
  <c r="H4252" i="2"/>
  <c r="K4252" i="2" s="1"/>
  <c r="E4252" i="2"/>
  <c r="H4251" i="2"/>
  <c r="K4251" i="2" s="1"/>
  <c r="E4251" i="2"/>
  <c r="H4250" i="2"/>
  <c r="K4250" i="2" s="1"/>
  <c r="E4250" i="2"/>
  <c r="K4249" i="2"/>
  <c r="E4249" i="2"/>
  <c r="H4248" i="2"/>
  <c r="K4248" i="2" s="1"/>
  <c r="E4248" i="2"/>
  <c r="H4247" i="2"/>
  <c r="K4247" i="2" s="1"/>
  <c r="G4247" i="2"/>
  <c r="E4247" i="2"/>
  <c r="H4246" i="2"/>
  <c r="K4246" i="2" s="1"/>
  <c r="E4246" i="2"/>
  <c r="H4245" i="2"/>
  <c r="K4245" i="2" s="1"/>
  <c r="E4245" i="2"/>
  <c r="H4244" i="2"/>
  <c r="K4244" i="2" s="1"/>
  <c r="E4244" i="2"/>
  <c r="H4243" i="2"/>
  <c r="K4243" i="2" s="1"/>
  <c r="E4243" i="2"/>
  <c r="K4242" i="2"/>
  <c r="E4242" i="2"/>
  <c r="H4241" i="2"/>
  <c r="K4241" i="2" s="1"/>
  <c r="E4241" i="2"/>
  <c r="H4240" i="2"/>
  <c r="K4240" i="2" s="1"/>
  <c r="E4240" i="2"/>
  <c r="H4239" i="2"/>
  <c r="K4239" i="2" s="1"/>
  <c r="E4239" i="2"/>
  <c r="H4238" i="2"/>
  <c r="K4238" i="2" s="1"/>
  <c r="E4238" i="2"/>
  <c r="E4237" i="2"/>
  <c r="E4236" i="2"/>
  <c r="H4235" i="2"/>
  <c r="K4235" i="2" s="1"/>
  <c r="E4235" i="2"/>
  <c r="H4234" i="2"/>
  <c r="K4234" i="2" s="1"/>
  <c r="E4234" i="2"/>
  <c r="H4233" i="2"/>
  <c r="K4233" i="2" s="1"/>
  <c r="E4233" i="2"/>
  <c r="H4232" i="2"/>
  <c r="K4232" i="2" s="1"/>
  <c r="E4232" i="2"/>
  <c r="K4231" i="2"/>
  <c r="E4231" i="2"/>
  <c r="H4230" i="2"/>
  <c r="K4230" i="2" s="1"/>
  <c r="E4230" i="2"/>
  <c r="H4229" i="2"/>
  <c r="K4229" i="2" s="1"/>
  <c r="E4229" i="2"/>
  <c r="H4228" i="2"/>
  <c r="K4228" i="2" s="1"/>
  <c r="E4228" i="2"/>
  <c r="H4227" i="2"/>
  <c r="K4227" i="2" s="1"/>
  <c r="E4227" i="2"/>
  <c r="H4226" i="2"/>
  <c r="K4226" i="2" s="1"/>
  <c r="E4226" i="2"/>
  <c r="H4225" i="2"/>
  <c r="K4225" i="2" s="1"/>
  <c r="E4225" i="2"/>
  <c r="E4224" i="2"/>
  <c r="E4223" i="2"/>
  <c r="H4222" i="2"/>
  <c r="K4222" i="2" s="1"/>
  <c r="E4222" i="2"/>
  <c r="H4221" i="2"/>
  <c r="K4221" i="2" s="1"/>
  <c r="E4221" i="2"/>
  <c r="H4220" i="2"/>
  <c r="K4220" i="2" s="1"/>
  <c r="E4220" i="2"/>
  <c r="K4219" i="2"/>
  <c r="E4219" i="2"/>
  <c r="H4218" i="2"/>
  <c r="K4218" i="2" s="1"/>
  <c r="E4218" i="2"/>
  <c r="H4217" i="2"/>
  <c r="K4217" i="2" s="1"/>
  <c r="E4217" i="2"/>
  <c r="H4216" i="2"/>
  <c r="K4216" i="2" s="1"/>
  <c r="E4216" i="2"/>
  <c r="H4215" i="2"/>
  <c r="K4215" i="2" s="1"/>
  <c r="E4215" i="2"/>
  <c r="H4214" i="2"/>
  <c r="K4214" i="2" s="1"/>
  <c r="E4214" i="2"/>
  <c r="K4213" i="2"/>
  <c r="E4213" i="2"/>
  <c r="K4212" i="2"/>
  <c r="E4212" i="2"/>
  <c r="H4211" i="2"/>
  <c r="K4211" i="2" s="1"/>
  <c r="E4211" i="2"/>
  <c r="E4210" i="2"/>
  <c r="E4209" i="2"/>
  <c r="H4208" i="2"/>
  <c r="K4208" i="2" s="1"/>
  <c r="E4208" i="2"/>
  <c r="H4207" i="2"/>
  <c r="K4207" i="2" s="1"/>
  <c r="G4207" i="2"/>
  <c r="E4207" i="2"/>
  <c r="E4206" i="2"/>
  <c r="E4205" i="2"/>
  <c r="K4204" i="2"/>
  <c r="E4204" i="2"/>
  <c r="K4203" i="2"/>
  <c r="E4203" i="2"/>
  <c r="H4202" i="2"/>
  <c r="K4202" i="2" s="1"/>
  <c r="E4202" i="2"/>
  <c r="K4201" i="2"/>
  <c r="E4201" i="2"/>
  <c r="H4200" i="2"/>
  <c r="K4200" i="2" s="1"/>
  <c r="E4200" i="2"/>
  <c r="H4199" i="2"/>
  <c r="K4199" i="2" s="1"/>
  <c r="E4199" i="2"/>
  <c r="H4198" i="2"/>
  <c r="K4198" i="2" s="1"/>
  <c r="E4198" i="2"/>
  <c r="H4197" i="2"/>
  <c r="K4197" i="2" s="1"/>
  <c r="E4197" i="2"/>
  <c r="H4196" i="2"/>
  <c r="K4196" i="2" s="1"/>
  <c r="E4196" i="2"/>
  <c r="K4195" i="2"/>
  <c r="E4195" i="2"/>
  <c r="E4194" i="2"/>
  <c r="E4193" i="2"/>
  <c r="H4192" i="2"/>
  <c r="K4192" i="2" s="1"/>
  <c r="E4192" i="2"/>
  <c r="H4191" i="2"/>
  <c r="K4191" i="2" s="1"/>
  <c r="E4191" i="2"/>
  <c r="H4190" i="2"/>
  <c r="K4190" i="2" s="1"/>
  <c r="E4190" i="2"/>
  <c r="E4189" i="2"/>
  <c r="E4188" i="2"/>
  <c r="H4187" i="2"/>
  <c r="K4187" i="2" s="1"/>
  <c r="E4187" i="2"/>
  <c r="E4186" i="2"/>
  <c r="E4185" i="2"/>
  <c r="H4184" i="2"/>
  <c r="K4184" i="2" s="1"/>
  <c r="E4184" i="2"/>
  <c r="H4183" i="2"/>
  <c r="K4183" i="2" s="1"/>
  <c r="E4183" i="2"/>
  <c r="H4182" i="2"/>
  <c r="K4182" i="2" s="1"/>
  <c r="E4182" i="2"/>
  <c r="H4181" i="2"/>
  <c r="K4181" i="2" s="1"/>
  <c r="E4181" i="2"/>
  <c r="H4180" i="2"/>
  <c r="K4180" i="2" s="1"/>
  <c r="E4180" i="2"/>
  <c r="H4179" i="2"/>
  <c r="K4179" i="2" s="1"/>
  <c r="E4179" i="2"/>
  <c r="H4178" i="2"/>
  <c r="K4178" i="2" s="1"/>
  <c r="E4178" i="2"/>
  <c r="H4177" i="2"/>
  <c r="K4177" i="2" s="1"/>
  <c r="E4177" i="2"/>
  <c r="K4176" i="2"/>
  <c r="E4176" i="2"/>
  <c r="H4175" i="2"/>
  <c r="K4175" i="2" s="1"/>
  <c r="E4175" i="2"/>
  <c r="H4174" i="2"/>
  <c r="K4174" i="2" s="1"/>
  <c r="E4174" i="2"/>
  <c r="H4173" i="2"/>
  <c r="K4173" i="2" s="1"/>
  <c r="E4173" i="2"/>
  <c r="K4172" i="2"/>
  <c r="E4172" i="2"/>
  <c r="H4171" i="2"/>
  <c r="K4171" i="2" s="1"/>
  <c r="E4171" i="2"/>
  <c r="H4170" i="2"/>
  <c r="K4170" i="2" s="1"/>
  <c r="E4170" i="2"/>
  <c r="H4169" i="2"/>
  <c r="K4169" i="2" s="1"/>
  <c r="E4169" i="2"/>
  <c r="H4168" i="2"/>
  <c r="K4168" i="2" s="1"/>
  <c r="E4168" i="2"/>
  <c r="H4167" i="2"/>
  <c r="K4167" i="2" s="1"/>
  <c r="E4167" i="2"/>
  <c r="E4166" i="2"/>
  <c r="E4165" i="2"/>
  <c r="H4164" i="2"/>
  <c r="K4164" i="2" s="1"/>
  <c r="E4164" i="2"/>
  <c r="H4163" i="2"/>
  <c r="K4163" i="2" s="1"/>
  <c r="E4163" i="2"/>
  <c r="H4162" i="2"/>
  <c r="K4162" i="2" s="1"/>
  <c r="E4162" i="2"/>
  <c r="H4161" i="2"/>
  <c r="K4161" i="2" s="1"/>
  <c r="E4161" i="2"/>
  <c r="H4160" i="2"/>
  <c r="K4160" i="2" s="1"/>
  <c r="E4160" i="2"/>
  <c r="K4159" i="2"/>
  <c r="E4159" i="2"/>
  <c r="K4158" i="2"/>
  <c r="E4158" i="2"/>
  <c r="H4157" i="2"/>
  <c r="K4157" i="2" s="1"/>
  <c r="E4157" i="2"/>
  <c r="H4156" i="2"/>
  <c r="K4156" i="2" s="1"/>
  <c r="E4156" i="2"/>
  <c r="H4155" i="2"/>
  <c r="K4155" i="2" s="1"/>
  <c r="E4155" i="2"/>
  <c r="K4154" i="2"/>
  <c r="E4154" i="2"/>
  <c r="H4153" i="2"/>
  <c r="K4153" i="2" s="1"/>
  <c r="E4153" i="2"/>
  <c r="H4152" i="2"/>
  <c r="K4152" i="2" s="1"/>
  <c r="E4152" i="2"/>
  <c r="H4151" i="2"/>
  <c r="K4151" i="2" s="1"/>
  <c r="E4151" i="2"/>
  <c r="H4150" i="2"/>
  <c r="K4150" i="2" s="1"/>
  <c r="E4150" i="2"/>
  <c r="H4149" i="2"/>
  <c r="K4149" i="2" s="1"/>
  <c r="E4149" i="2"/>
  <c r="H4148" i="2"/>
  <c r="K4148" i="2" s="1"/>
  <c r="E4148" i="2"/>
  <c r="E4147" i="2"/>
  <c r="E4146" i="2"/>
  <c r="E4145" i="2"/>
  <c r="E4144" i="2"/>
  <c r="E4143" i="2"/>
  <c r="K4142" i="2"/>
  <c r="E4142" i="2"/>
  <c r="K4141" i="2"/>
  <c r="E4141" i="2"/>
  <c r="E4140" i="2"/>
  <c r="E4139" i="2"/>
  <c r="E4138" i="2"/>
  <c r="E4137" i="2"/>
  <c r="E4136" i="2"/>
  <c r="E4135" i="2"/>
  <c r="E4134" i="2"/>
  <c r="E4133" i="2"/>
  <c r="E4132" i="2"/>
  <c r="E4131" i="2"/>
  <c r="K4130" i="2"/>
  <c r="E4130" i="2"/>
  <c r="E4129" i="2"/>
  <c r="E4128" i="2"/>
  <c r="E4127" i="2"/>
  <c r="E4126" i="2"/>
  <c r="K4125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K4111" i="2"/>
  <c r="E4111" i="2"/>
  <c r="E4110" i="2"/>
  <c r="K4109" i="2"/>
  <c r="E4109" i="2"/>
  <c r="K4108" i="2"/>
  <c r="E4108" i="2"/>
  <c r="E4107" i="2"/>
  <c r="K4106" i="2"/>
  <c r="E4106" i="2"/>
  <c r="E4105" i="2"/>
  <c r="E4104" i="2"/>
  <c r="E4103" i="2"/>
  <c r="E4102" i="2"/>
  <c r="K4101" i="2"/>
  <c r="E4101" i="2"/>
  <c r="E4100" i="2"/>
  <c r="E4099" i="2"/>
  <c r="E4098" i="2"/>
  <c r="E4097" i="2"/>
  <c r="K4096" i="2"/>
  <c r="E4096" i="2"/>
  <c r="E4095" i="2"/>
  <c r="E4094" i="2"/>
  <c r="E4093" i="2"/>
  <c r="E4092" i="2"/>
  <c r="K4091" i="2"/>
  <c r="E4091" i="2"/>
  <c r="E4090" i="2"/>
  <c r="E4089" i="2"/>
  <c r="E4088" i="2"/>
  <c r="E4087" i="2"/>
  <c r="E4086" i="2"/>
  <c r="E4085" i="2"/>
  <c r="E4084" i="2"/>
  <c r="E4083" i="2"/>
  <c r="K4082" i="2"/>
  <c r="E4082" i="2"/>
  <c r="E4081" i="2"/>
  <c r="E4080" i="2"/>
  <c r="E4079" i="2"/>
  <c r="E4078" i="2"/>
  <c r="E4077" i="2"/>
  <c r="E4076" i="2"/>
  <c r="E4075" i="2"/>
  <c r="K4074" i="2"/>
  <c r="E4074" i="2"/>
  <c r="K4073" i="2"/>
  <c r="E4073" i="2"/>
  <c r="E4072" i="2"/>
  <c r="E4071" i="2"/>
  <c r="E4070" i="2"/>
  <c r="E4069" i="2"/>
  <c r="E4068" i="2"/>
  <c r="E4067" i="2"/>
  <c r="E4066" i="2"/>
  <c r="K4065" i="2"/>
  <c r="E4065" i="2"/>
  <c r="G4064" i="2"/>
  <c r="E4064" i="2"/>
  <c r="G4063" i="2"/>
  <c r="K4063" i="2" s="1"/>
  <c r="E4063" i="2"/>
  <c r="E4062" i="2"/>
  <c r="E4061" i="2"/>
  <c r="E4060" i="2"/>
  <c r="E4059" i="2"/>
  <c r="E4058" i="2"/>
  <c r="E4057" i="2"/>
  <c r="E4056" i="2"/>
  <c r="E4055" i="2"/>
  <c r="K4054" i="2"/>
  <c r="E4054" i="2"/>
  <c r="E4053" i="2"/>
  <c r="E4052" i="2"/>
  <c r="E4051" i="2"/>
  <c r="E4050" i="2"/>
  <c r="K4049" i="2"/>
  <c r="E4049" i="2"/>
  <c r="H4048" i="2"/>
  <c r="G4048" i="2"/>
  <c r="E4048" i="2"/>
  <c r="E4047" i="2"/>
  <c r="E4046" i="2"/>
  <c r="E4045" i="2"/>
  <c r="E4044" i="2"/>
  <c r="E4043" i="2"/>
  <c r="K4042" i="2"/>
  <c r="E4042" i="2"/>
  <c r="E4041" i="2"/>
  <c r="E4040" i="2"/>
  <c r="E4039" i="2"/>
  <c r="E4038" i="2"/>
  <c r="E4037" i="2"/>
  <c r="E4036" i="2"/>
  <c r="E4035" i="2"/>
  <c r="E4034" i="2"/>
  <c r="E4033" i="2"/>
  <c r="K4032" i="2"/>
  <c r="E4032" i="2"/>
  <c r="E4031" i="2"/>
  <c r="K4030" i="2"/>
  <c r="E4030" i="2"/>
  <c r="K4029" i="2"/>
  <c r="E4029" i="2"/>
  <c r="E4028" i="2"/>
  <c r="E4027" i="2"/>
  <c r="E4026" i="2"/>
  <c r="E4025" i="2"/>
  <c r="E4024" i="2"/>
  <c r="E4023" i="2"/>
  <c r="K4022" i="2"/>
  <c r="E4022" i="2"/>
  <c r="E4021" i="2"/>
  <c r="E4020" i="2"/>
  <c r="K4019" i="2"/>
  <c r="E4019" i="2"/>
  <c r="G4018" i="2"/>
  <c r="K4018" i="2" s="1"/>
  <c r="E4018" i="2"/>
  <c r="K4017" i="2"/>
  <c r="E4017" i="2"/>
  <c r="E4016" i="2"/>
  <c r="E4015" i="2"/>
  <c r="E4014" i="2"/>
  <c r="E4013" i="2"/>
  <c r="K4012" i="2"/>
  <c r="E4012" i="2"/>
  <c r="E4011" i="2"/>
  <c r="E4010" i="2"/>
  <c r="E4009" i="2"/>
  <c r="E4008" i="2"/>
  <c r="K4007" i="2"/>
  <c r="E4007" i="2"/>
  <c r="H4006" i="2"/>
  <c r="G4006" i="2"/>
  <c r="E4006" i="2"/>
  <c r="K4005" i="2"/>
  <c r="E4005" i="2"/>
  <c r="E4004" i="2"/>
  <c r="E4003" i="2"/>
  <c r="E4002" i="2"/>
  <c r="E4001" i="2"/>
  <c r="E4000" i="2"/>
  <c r="E3999" i="2"/>
  <c r="E3998" i="2"/>
  <c r="K3997" i="2"/>
  <c r="E3997" i="2"/>
  <c r="K3996" i="2"/>
  <c r="E3996" i="2"/>
  <c r="K3995" i="2"/>
  <c r="E3995" i="2"/>
  <c r="K3994" i="2"/>
  <c r="E3994" i="2"/>
  <c r="K3993" i="2"/>
  <c r="E3993" i="2"/>
  <c r="K3992" i="2"/>
  <c r="E3992" i="2"/>
  <c r="E3991" i="2"/>
  <c r="E3990" i="2"/>
  <c r="E3989" i="2"/>
  <c r="E3988" i="2"/>
  <c r="K3987" i="2"/>
  <c r="E3987" i="2"/>
  <c r="K3986" i="2"/>
  <c r="E3986" i="2"/>
  <c r="E3985" i="2"/>
  <c r="E3984" i="2"/>
  <c r="E3983" i="2"/>
  <c r="E3982" i="2"/>
  <c r="E3981" i="2"/>
  <c r="E3980" i="2"/>
  <c r="E3979" i="2"/>
  <c r="K3978" i="2"/>
  <c r="E3978" i="2"/>
  <c r="K3977" i="2"/>
  <c r="E3977" i="2"/>
  <c r="K3976" i="2"/>
  <c r="E3976" i="2"/>
  <c r="K3975" i="2"/>
  <c r="E3975" i="2"/>
  <c r="E3974" i="2"/>
  <c r="K3973" i="2"/>
  <c r="E3973" i="2"/>
  <c r="E3972" i="2"/>
  <c r="E3971" i="2"/>
  <c r="E3970" i="2"/>
  <c r="E3969" i="2"/>
  <c r="E3968" i="2"/>
  <c r="E3967" i="2"/>
  <c r="K3966" i="2"/>
  <c r="E3966" i="2"/>
  <c r="K3965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G3953" i="2"/>
  <c r="E3953" i="2"/>
  <c r="E3952" i="2"/>
  <c r="K3951" i="2"/>
  <c r="E3951" i="2"/>
  <c r="K3950" i="2"/>
  <c r="E3950" i="2"/>
  <c r="K3949" i="2"/>
  <c r="E3949" i="2"/>
  <c r="G3948" i="2"/>
  <c r="K3948" i="2" s="1"/>
  <c r="E3948" i="2"/>
  <c r="E3947" i="2"/>
  <c r="G3946" i="2"/>
  <c r="K3946" i="2" s="1"/>
  <c r="E3946" i="2"/>
  <c r="E3945" i="2"/>
  <c r="E3944" i="2"/>
  <c r="K3943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K3929" i="2"/>
  <c r="E3929" i="2"/>
  <c r="K3928" i="2"/>
  <c r="E3928" i="2"/>
  <c r="K3927" i="2"/>
  <c r="E3927" i="2"/>
  <c r="K3926" i="2"/>
  <c r="E3926" i="2"/>
  <c r="E3925" i="2"/>
  <c r="E3924" i="2"/>
  <c r="E3923" i="2"/>
  <c r="E3922" i="2"/>
  <c r="E3921" i="2"/>
  <c r="E3920" i="2"/>
  <c r="E3919" i="2"/>
  <c r="E3918" i="2"/>
  <c r="K3917" i="2"/>
  <c r="E3917" i="2"/>
  <c r="K3916" i="2"/>
  <c r="E3916" i="2"/>
  <c r="K3915" i="2"/>
  <c r="E3915" i="2"/>
  <c r="E3914" i="2"/>
  <c r="E3913" i="2"/>
  <c r="E3912" i="2"/>
  <c r="E3911" i="2"/>
  <c r="G3910" i="2"/>
  <c r="E3910" i="2"/>
  <c r="E3909" i="2"/>
  <c r="K3908" i="2"/>
  <c r="E3908" i="2"/>
  <c r="K3907" i="2"/>
  <c r="E3907" i="2"/>
  <c r="E3906" i="2"/>
  <c r="E3905" i="2"/>
  <c r="E3904" i="2"/>
  <c r="E3903" i="2"/>
  <c r="E3902" i="2"/>
  <c r="E3901" i="2"/>
  <c r="E3900" i="2"/>
  <c r="E3899" i="2"/>
  <c r="K3898" i="2"/>
  <c r="E3898" i="2"/>
  <c r="E3897" i="2"/>
  <c r="E3896" i="2"/>
  <c r="E3895" i="2"/>
  <c r="E3894" i="2"/>
  <c r="K3893" i="2"/>
  <c r="E3893" i="2"/>
  <c r="K3892" i="2"/>
  <c r="L3892" i="2" s="1"/>
  <c r="G3892" i="2"/>
  <c r="E3892" i="2"/>
  <c r="K3891" i="2"/>
  <c r="L3891" i="2" s="1"/>
  <c r="G3891" i="2"/>
  <c r="E3891" i="2"/>
  <c r="K3890" i="2"/>
  <c r="E3890" i="2"/>
  <c r="G3889" i="2"/>
  <c r="E3889" i="2"/>
  <c r="K3888" i="2"/>
  <c r="E3888" i="2"/>
  <c r="E3887" i="2"/>
  <c r="E3886" i="2"/>
  <c r="E3885" i="2"/>
  <c r="E3884" i="2"/>
  <c r="K3883" i="2"/>
  <c r="E3883" i="2"/>
  <c r="E3882" i="2"/>
  <c r="E3881" i="2"/>
  <c r="E3880" i="2"/>
  <c r="E3879" i="2"/>
  <c r="E3878" i="2"/>
  <c r="E3877" i="2"/>
  <c r="K3876" i="2"/>
  <c r="E3876" i="2"/>
  <c r="G3875" i="2"/>
  <c r="K3875" i="2" s="1"/>
  <c r="E3875" i="2"/>
  <c r="E3874" i="2"/>
  <c r="E3873" i="2"/>
  <c r="E3872" i="2"/>
  <c r="E3871" i="2"/>
  <c r="E3870" i="2"/>
  <c r="E3869" i="2"/>
  <c r="E3868" i="2"/>
  <c r="K3867" i="2"/>
  <c r="E3867" i="2"/>
  <c r="E3866" i="2"/>
  <c r="K3865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K3851" i="2"/>
  <c r="E3851" i="2"/>
  <c r="E3850" i="2"/>
  <c r="K3849" i="2"/>
  <c r="E3849" i="2"/>
  <c r="E3848" i="2"/>
  <c r="E3847" i="2"/>
  <c r="E3846" i="2"/>
  <c r="E3845" i="2"/>
  <c r="E3844" i="2"/>
  <c r="E3843" i="2"/>
  <c r="E3842" i="2"/>
  <c r="E3841" i="2"/>
  <c r="K3840" i="2"/>
  <c r="E3840" i="2"/>
  <c r="E3839" i="2"/>
  <c r="E3838" i="2"/>
  <c r="E3837" i="2"/>
  <c r="E3836" i="2"/>
  <c r="K3835" i="2"/>
  <c r="E3835" i="2"/>
  <c r="E3834" i="2"/>
  <c r="E3833" i="2"/>
  <c r="E3832" i="2"/>
  <c r="E3831" i="2"/>
  <c r="K3830" i="2"/>
  <c r="E3830" i="2"/>
  <c r="E3829" i="2"/>
  <c r="E3828" i="2"/>
  <c r="E3827" i="2"/>
  <c r="E3826" i="2"/>
  <c r="K3825" i="2"/>
  <c r="E3825" i="2"/>
  <c r="E3824" i="2"/>
  <c r="K3823" i="2"/>
  <c r="E3823" i="2"/>
  <c r="E3822" i="2"/>
  <c r="E3821" i="2"/>
  <c r="E3820" i="2"/>
  <c r="K3819" i="2"/>
  <c r="E3819" i="2"/>
  <c r="E3818" i="2"/>
  <c r="K3817" i="2"/>
  <c r="E3817" i="2"/>
  <c r="E3816" i="2"/>
  <c r="E3815" i="2"/>
  <c r="E3814" i="2"/>
  <c r="E3813" i="2"/>
  <c r="K3812" i="2"/>
  <c r="E3812" i="2"/>
  <c r="E3811" i="2"/>
  <c r="K3810" i="2"/>
  <c r="E3810" i="2"/>
  <c r="K3809" i="2"/>
  <c r="E3809" i="2"/>
  <c r="E3808" i="2"/>
  <c r="E3807" i="2"/>
  <c r="E3806" i="2"/>
  <c r="E3805" i="2"/>
  <c r="G3804" i="2"/>
  <c r="E3804" i="2"/>
  <c r="K3803" i="2"/>
  <c r="E3803" i="2"/>
  <c r="K3802" i="2"/>
  <c r="E3802" i="2"/>
  <c r="E3801" i="2"/>
  <c r="E3800" i="2"/>
  <c r="E3799" i="2"/>
  <c r="E3798" i="2"/>
  <c r="E3797" i="2"/>
  <c r="E3796" i="2"/>
  <c r="E3795" i="2"/>
  <c r="E3794" i="2"/>
  <c r="K3793" i="2"/>
  <c r="E3793" i="2"/>
  <c r="K3792" i="2"/>
  <c r="E3792" i="2"/>
  <c r="K3791" i="2"/>
  <c r="E3791" i="2"/>
  <c r="K3790" i="2"/>
  <c r="E3790" i="2"/>
  <c r="K3789" i="2"/>
  <c r="E3789" i="2"/>
  <c r="E3788" i="2"/>
  <c r="E3787" i="2"/>
  <c r="E3786" i="2"/>
  <c r="E3785" i="2"/>
  <c r="E3784" i="2"/>
  <c r="K3783" i="2"/>
  <c r="E3783" i="2"/>
  <c r="E3782" i="2"/>
  <c r="K3781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I3756" i="2"/>
  <c r="E3756" i="2"/>
  <c r="H3755" i="2"/>
  <c r="E3755" i="2"/>
  <c r="E3754" i="2"/>
  <c r="I3753" i="2"/>
  <c r="E3753" i="2"/>
  <c r="H3752" i="2"/>
  <c r="E3752" i="2"/>
  <c r="E3751" i="2"/>
  <c r="E3750" i="2"/>
  <c r="H3749" i="2"/>
  <c r="E3749" i="2"/>
  <c r="E3748" i="2"/>
  <c r="E3747" i="2"/>
  <c r="E3746" i="2"/>
  <c r="H3745" i="2"/>
  <c r="E3745" i="2"/>
  <c r="E3744" i="2"/>
  <c r="E3743" i="2"/>
  <c r="E3742" i="2"/>
  <c r="E3741" i="2"/>
  <c r="E3740" i="2"/>
  <c r="E3739" i="2"/>
  <c r="H3738" i="2"/>
  <c r="E3738" i="2"/>
  <c r="E3737" i="2"/>
  <c r="E3736" i="2"/>
  <c r="E3735" i="2"/>
  <c r="E3734" i="2"/>
  <c r="E3733" i="2"/>
  <c r="E3732" i="2"/>
  <c r="H3731" i="2"/>
  <c r="E3731" i="2"/>
  <c r="E3730" i="2"/>
  <c r="E3729" i="2"/>
  <c r="E3728" i="2"/>
  <c r="H3727" i="2"/>
  <c r="E3727" i="2"/>
  <c r="E3726" i="2"/>
  <c r="E3725" i="2"/>
  <c r="E3724" i="2"/>
  <c r="E3723" i="2"/>
  <c r="E3722" i="2"/>
  <c r="E3721" i="2"/>
  <c r="E3720" i="2"/>
  <c r="E3719" i="2"/>
  <c r="E3718" i="2"/>
  <c r="E3717" i="2"/>
  <c r="I3716" i="2"/>
  <c r="E3716" i="2"/>
  <c r="H3715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H3701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H3686" i="2"/>
  <c r="E3686" i="2"/>
  <c r="E3685" i="2"/>
  <c r="E3684" i="2"/>
  <c r="E3683" i="2"/>
  <c r="H3682" i="2"/>
  <c r="E3682" i="2"/>
  <c r="E3681" i="2"/>
  <c r="E3680" i="2"/>
  <c r="E3679" i="2"/>
  <c r="H3678" i="2"/>
  <c r="E3678" i="2"/>
  <c r="E3677" i="2"/>
  <c r="E3676" i="2"/>
  <c r="E3675" i="2"/>
  <c r="H3674" i="2"/>
  <c r="E3674" i="2"/>
  <c r="E3673" i="2"/>
  <c r="I3672" i="2"/>
  <c r="E3672" i="2"/>
  <c r="E3671" i="2"/>
  <c r="I3670" i="2"/>
  <c r="E3670" i="2"/>
  <c r="I3669" i="2"/>
  <c r="E3669" i="2"/>
  <c r="I3668" i="2"/>
  <c r="E3668" i="2"/>
  <c r="E3667" i="2"/>
  <c r="I3666" i="2"/>
  <c r="E3666" i="2"/>
  <c r="I3665" i="2"/>
  <c r="E3665" i="2"/>
  <c r="I3664" i="2"/>
  <c r="E3664" i="2"/>
  <c r="E3663" i="2"/>
  <c r="I3662" i="2"/>
  <c r="E3662" i="2"/>
  <c r="I3661" i="2"/>
  <c r="E3661" i="2"/>
  <c r="I3660" i="2"/>
  <c r="E3660" i="2"/>
  <c r="E3659" i="2"/>
  <c r="I3658" i="2"/>
  <c r="E3658" i="2"/>
  <c r="I3657" i="2"/>
  <c r="E3657" i="2"/>
  <c r="I3656" i="2"/>
  <c r="E3656" i="2"/>
  <c r="I3655" i="2"/>
  <c r="E3655" i="2"/>
  <c r="I3654" i="2"/>
  <c r="E3654" i="2"/>
  <c r="I3653" i="2"/>
  <c r="E3653" i="2"/>
  <c r="I3652" i="2"/>
  <c r="E3652" i="2"/>
  <c r="I3651" i="2"/>
  <c r="E3651" i="2"/>
  <c r="I3650" i="2"/>
  <c r="E3650" i="2"/>
  <c r="I3649" i="2"/>
  <c r="E3649" i="2"/>
  <c r="I3648" i="2"/>
  <c r="E3648" i="2"/>
  <c r="I3647" i="2"/>
  <c r="E3647" i="2"/>
  <c r="I3646" i="2"/>
  <c r="E3646" i="2"/>
  <c r="I3645" i="2"/>
  <c r="E3645" i="2"/>
  <c r="I3644" i="2"/>
  <c r="E3644" i="2"/>
  <c r="I3643" i="2"/>
  <c r="E3643" i="2"/>
  <c r="I3642" i="2"/>
  <c r="E3642" i="2"/>
  <c r="I3641" i="2"/>
  <c r="E3641" i="2"/>
  <c r="I3640" i="2"/>
  <c r="E3640" i="2"/>
  <c r="I3639" i="2"/>
  <c r="E3639" i="2"/>
  <c r="I3638" i="2"/>
  <c r="E3638" i="2"/>
  <c r="I3637" i="2"/>
  <c r="E3637" i="2"/>
  <c r="I3636" i="2"/>
  <c r="E3636" i="2"/>
  <c r="I3635" i="2"/>
  <c r="E3635" i="2"/>
  <c r="E3634" i="2"/>
  <c r="I3633" i="2"/>
  <c r="E3633" i="2"/>
  <c r="I3632" i="2"/>
  <c r="E3632" i="2"/>
  <c r="I3631" i="2"/>
  <c r="E3631" i="2"/>
  <c r="I3630" i="2"/>
  <c r="E3630" i="2"/>
  <c r="I3629" i="2"/>
  <c r="E3629" i="2"/>
  <c r="I3628" i="2"/>
  <c r="E3628" i="2"/>
  <c r="I3627" i="2"/>
  <c r="E3627" i="2"/>
  <c r="E3626" i="2"/>
  <c r="E3625" i="2"/>
  <c r="E3624" i="2"/>
  <c r="I3623" i="2"/>
  <c r="E3623" i="2"/>
  <c r="E3622" i="2"/>
  <c r="H3621" i="2"/>
  <c r="E3621" i="2"/>
  <c r="H3620" i="2"/>
  <c r="E3620" i="2"/>
  <c r="E3619" i="2"/>
  <c r="E3618" i="2"/>
  <c r="H3617" i="2"/>
  <c r="E3617" i="2"/>
  <c r="H3616" i="2"/>
  <c r="E3616" i="2"/>
  <c r="E3615" i="2"/>
  <c r="E3614" i="2"/>
  <c r="H3613" i="2"/>
  <c r="E3613" i="2"/>
  <c r="H3612" i="2"/>
  <c r="E3612" i="2"/>
  <c r="E3611" i="2"/>
  <c r="E3610" i="2"/>
  <c r="H3609" i="2"/>
  <c r="E3609" i="2"/>
  <c r="H3608" i="2"/>
  <c r="E3608" i="2"/>
  <c r="E3607" i="2"/>
  <c r="E3606" i="2"/>
  <c r="H3605" i="2"/>
  <c r="E3605" i="2"/>
  <c r="H3604" i="2"/>
  <c r="E3604" i="2"/>
  <c r="E3603" i="2"/>
  <c r="E3602" i="2"/>
  <c r="H3601" i="2"/>
  <c r="E3601" i="2"/>
  <c r="H3600" i="2"/>
  <c r="E3600" i="2"/>
  <c r="E3599" i="2"/>
  <c r="E3598" i="2"/>
  <c r="H3597" i="2"/>
  <c r="E3597" i="2"/>
  <c r="H3596" i="2"/>
  <c r="E3596" i="2"/>
  <c r="E3595" i="2"/>
  <c r="E3594" i="2"/>
  <c r="H3593" i="2"/>
  <c r="E3593" i="2"/>
  <c r="H3592" i="2"/>
  <c r="E3592" i="2"/>
  <c r="E3591" i="2"/>
  <c r="E3590" i="2"/>
  <c r="H3589" i="2"/>
  <c r="E3589" i="2"/>
  <c r="H3588" i="2"/>
  <c r="E3588" i="2"/>
  <c r="E3587" i="2"/>
  <c r="E3586" i="2"/>
  <c r="H3585" i="2"/>
  <c r="E3585" i="2"/>
  <c r="I3584" i="2"/>
  <c r="H3584" i="2"/>
  <c r="E3584" i="2"/>
  <c r="I3583" i="2"/>
  <c r="E3583" i="2"/>
  <c r="E3582" i="2"/>
  <c r="H3581" i="2"/>
  <c r="E3581" i="2"/>
  <c r="I3580" i="2"/>
  <c r="H3580" i="2"/>
  <c r="E3580" i="2"/>
  <c r="I3579" i="2"/>
  <c r="E3579" i="2"/>
  <c r="I3578" i="2"/>
  <c r="E3578" i="2"/>
  <c r="E3577" i="2"/>
  <c r="I3576" i="2"/>
  <c r="E3576" i="2"/>
  <c r="I3575" i="2"/>
  <c r="E3575" i="2"/>
  <c r="I3574" i="2"/>
  <c r="E3574" i="2"/>
  <c r="I3573" i="2"/>
  <c r="E3573" i="2"/>
  <c r="I3572" i="2"/>
  <c r="E3572" i="2"/>
  <c r="I3571" i="2"/>
  <c r="E3571" i="2"/>
  <c r="I3570" i="2"/>
  <c r="E3570" i="2"/>
  <c r="I3569" i="2"/>
  <c r="E3569" i="2"/>
  <c r="I3568" i="2"/>
  <c r="E3568" i="2"/>
  <c r="I3567" i="2"/>
  <c r="E3567" i="2"/>
  <c r="I3566" i="2"/>
  <c r="E3566" i="2"/>
  <c r="I3565" i="2"/>
  <c r="E3565" i="2"/>
  <c r="I3564" i="2"/>
  <c r="E3564" i="2"/>
  <c r="I3563" i="2"/>
  <c r="E3563" i="2"/>
  <c r="I3562" i="2"/>
  <c r="E3562" i="2"/>
  <c r="I3561" i="2"/>
  <c r="E3561" i="2"/>
  <c r="I3560" i="2"/>
  <c r="E3560" i="2"/>
  <c r="I3559" i="2"/>
  <c r="E3559" i="2"/>
  <c r="I3558" i="2"/>
  <c r="E3558" i="2"/>
  <c r="I3557" i="2"/>
  <c r="E3557" i="2"/>
  <c r="I3556" i="2"/>
  <c r="E3556" i="2"/>
  <c r="I3555" i="2"/>
  <c r="E3555" i="2"/>
  <c r="I3554" i="2"/>
  <c r="E3554" i="2"/>
  <c r="I3553" i="2"/>
  <c r="E3553" i="2"/>
  <c r="I3552" i="2"/>
  <c r="E3552" i="2"/>
  <c r="I3551" i="2"/>
  <c r="E3551" i="2"/>
  <c r="I3550" i="2"/>
  <c r="E3550" i="2"/>
  <c r="I3549" i="2"/>
  <c r="E3549" i="2"/>
  <c r="I3548" i="2"/>
  <c r="E3548" i="2"/>
  <c r="I3547" i="2"/>
  <c r="E3547" i="2"/>
  <c r="I3546" i="2"/>
  <c r="E3546" i="2"/>
  <c r="I3545" i="2"/>
  <c r="E3545" i="2"/>
  <c r="I3544" i="2"/>
  <c r="E3544" i="2"/>
  <c r="I3543" i="2"/>
  <c r="E3543" i="2"/>
  <c r="I3542" i="2"/>
  <c r="E3542" i="2"/>
  <c r="I3541" i="2"/>
  <c r="E3541" i="2"/>
  <c r="I3540" i="2"/>
  <c r="E3540" i="2"/>
  <c r="I3539" i="2"/>
  <c r="E3539" i="2"/>
  <c r="I3538" i="2"/>
  <c r="E3538" i="2"/>
  <c r="I3537" i="2"/>
  <c r="E3537" i="2"/>
  <c r="I3536" i="2"/>
  <c r="E3536" i="2"/>
  <c r="I3535" i="2"/>
  <c r="E3535" i="2"/>
  <c r="I3534" i="2"/>
  <c r="E3534" i="2"/>
  <c r="I3533" i="2"/>
  <c r="E3533" i="2"/>
  <c r="I3532" i="2"/>
  <c r="E3532" i="2"/>
  <c r="I3531" i="2"/>
  <c r="E3531" i="2"/>
  <c r="I3530" i="2"/>
  <c r="E3530" i="2"/>
  <c r="I3529" i="2"/>
  <c r="E3529" i="2"/>
  <c r="I3528" i="2"/>
  <c r="E3528" i="2"/>
  <c r="I3527" i="2"/>
  <c r="E3527" i="2"/>
  <c r="I3526" i="2"/>
  <c r="E3526" i="2"/>
  <c r="I3525" i="2"/>
  <c r="E3525" i="2"/>
  <c r="I3524" i="2"/>
  <c r="E3524" i="2"/>
  <c r="I3523" i="2"/>
  <c r="E3523" i="2"/>
  <c r="I3522" i="2"/>
  <c r="E3522" i="2"/>
  <c r="I3521" i="2"/>
  <c r="E3521" i="2"/>
  <c r="I3520" i="2"/>
  <c r="E3520" i="2"/>
  <c r="I3519" i="2"/>
  <c r="E3519" i="2"/>
  <c r="I3518" i="2"/>
  <c r="E3518" i="2"/>
  <c r="I3517" i="2"/>
  <c r="E3517" i="2"/>
  <c r="I3516" i="2"/>
  <c r="E3516" i="2"/>
  <c r="I3515" i="2"/>
  <c r="E3515" i="2"/>
  <c r="I3514" i="2"/>
  <c r="E3514" i="2"/>
  <c r="I3513" i="2"/>
  <c r="E3513" i="2"/>
  <c r="I3512" i="2"/>
  <c r="E3512" i="2"/>
  <c r="I3511" i="2"/>
  <c r="E3511" i="2"/>
  <c r="I3510" i="2"/>
  <c r="E3510" i="2"/>
  <c r="I3509" i="2"/>
  <c r="E3509" i="2"/>
  <c r="I3508" i="2"/>
  <c r="E3508" i="2"/>
  <c r="I3507" i="2"/>
  <c r="E3507" i="2"/>
  <c r="I3506" i="2"/>
  <c r="E3506" i="2"/>
  <c r="I3505" i="2"/>
  <c r="E3505" i="2"/>
  <c r="I3504" i="2"/>
  <c r="E3504" i="2"/>
  <c r="I3503" i="2"/>
  <c r="E3503" i="2"/>
  <c r="E3502" i="2"/>
  <c r="H3501" i="2"/>
  <c r="E3501" i="2"/>
  <c r="H3500" i="2"/>
  <c r="E3500" i="2"/>
  <c r="E3499" i="2"/>
  <c r="E3498" i="2"/>
  <c r="H3497" i="2"/>
  <c r="E3497" i="2"/>
  <c r="H3496" i="2"/>
  <c r="E3496" i="2"/>
  <c r="E3495" i="2"/>
  <c r="E3494" i="2"/>
  <c r="H3493" i="2"/>
  <c r="E3493" i="2"/>
  <c r="H3492" i="2"/>
  <c r="E3492" i="2"/>
  <c r="E3491" i="2"/>
  <c r="E3490" i="2"/>
  <c r="H3489" i="2"/>
  <c r="E3489" i="2"/>
  <c r="H3488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I3469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I3431" i="2"/>
  <c r="H3431" i="2"/>
  <c r="E3431" i="2"/>
  <c r="I3430" i="2"/>
  <c r="E3430" i="2"/>
  <c r="I3429" i="2"/>
  <c r="F3429" i="2"/>
  <c r="E3429" i="2"/>
  <c r="I3428" i="2"/>
  <c r="E3428" i="2"/>
  <c r="I3427" i="2"/>
  <c r="E3427" i="2"/>
  <c r="I3426" i="2"/>
  <c r="F3426" i="2"/>
  <c r="E3426" i="2"/>
  <c r="I3425" i="2"/>
  <c r="E3425" i="2"/>
  <c r="I3424" i="2"/>
  <c r="E3424" i="2"/>
  <c r="I3423" i="2"/>
  <c r="F3423" i="2"/>
  <c r="E3423" i="2"/>
  <c r="I3422" i="2"/>
  <c r="E3422" i="2"/>
  <c r="I3421" i="2"/>
  <c r="E3421" i="2"/>
  <c r="E3420" i="2"/>
  <c r="H3419" i="2"/>
  <c r="F3419" i="2"/>
  <c r="F3420" i="2" s="1"/>
  <c r="E3419" i="2"/>
  <c r="H3418" i="2"/>
  <c r="E3418" i="2"/>
  <c r="E3417" i="2"/>
  <c r="E3416" i="2"/>
  <c r="H3415" i="2"/>
  <c r="F3415" i="2"/>
  <c r="F3416" i="2" s="1"/>
  <c r="E3415" i="2"/>
  <c r="H3414" i="2"/>
  <c r="E3414" i="2"/>
  <c r="E3413" i="2"/>
  <c r="E3412" i="2"/>
  <c r="H3411" i="2"/>
  <c r="F3411" i="2"/>
  <c r="F3412" i="2" s="1"/>
  <c r="E3411" i="2"/>
  <c r="H3410" i="2"/>
  <c r="E3410" i="2"/>
  <c r="E3409" i="2"/>
  <c r="E3408" i="2"/>
  <c r="H3407" i="2"/>
  <c r="F3407" i="2"/>
  <c r="F3408" i="2" s="1"/>
  <c r="E3407" i="2"/>
  <c r="H3406" i="2"/>
  <c r="E3406" i="2"/>
  <c r="I3405" i="2"/>
  <c r="E3405" i="2"/>
  <c r="I3404" i="2"/>
  <c r="F3404" i="2"/>
  <c r="E3404" i="2"/>
  <c r="I3403" i="2"/>
  <c r="E3403" i="2"/>
  <c r="I3402" i="2"/>
  <c r="E3402" i="2"/>
  <c r="I3401" i="2"/>
  <c r="F3401" i="2"/>
  <c r="E3401" i="2"/>
  <c r="I3400" i="2"/>
  <c r="E3400" i="2"/>
  <c r="I3399" i="2"/>
  <c r="E3399" i="2"/>
  <c r="E3398" i="2"/>
  <c r="H3397" i="2"/>
  <c r="F3397" i="2"/>
  <c r="F3398" i="2" s="1"/>
  <c r="E3397" i="2"/>
  <c r="H3396" i="2"/>
  <c r="E3396" i="2"/>
  <c r="E3395" i="2"/>
  <c r="E3394" i="2"/>
  <c r="H3393" i="2"/>
  <c r="F3393" i="2"/>
  <c r="F3394" i="2" s="1"/>
  <c r="E3393" i="2"/>
  <c r="H3392" i="2"/>
  <c r="E3392" i="2"/>
  <c r="E3391" i="2"/>
  <c r="E3390" i="2"/>
  <c r="H3389" i="2"/>
  <c r="F3389" i="2"/>
  <c r="F3390" i="2" s="1"/>
  <c r="E3389" i="2"/>
  <c r="H3388" i="2"/>
  <c r="E3388" i="2"/>
  <c r="E3387" i="2"/>
  <c r="E3386" i="2"/>
  <c r="H3385" i="2"/>
  <c r="F3385" i="2"/>
  <c r="F3386" i="2" s="1"/>
  <c r="E3385" i="2"/>
  <c r="H3384" i="2"/>
  <c r="E3384" i="2"/>
  <c r="I3383" i="2"/>
  <c r="E3383" i="2"/>
  <c r="E3382" i="2"/>
  <c r="H3381" i="2"/>
  <c r="F3381" i="2"/>
  <c r="F3382" i="2" s="1"/>
  <c r="E3381" i="2"/>
  <c r="H3380" i="2"/>
  <c r="E3380" i="2"/>
  <c r="E3379" i="2"/>
  <c r="E3378" i="2"/>
  <c r="H3377" i="2"/>
  <c r="F3377" i="2"/>
  <c r="F3378" i="2" s="1"/>
  <c r="E3377" i="2"/>
  <c r="H3376" i="2"/>
  <c r="E3376" i="2"/>
  <c r="E3375" i="2"/>
  <c r="E3374" i="2"/>
  <c r="H3373" i="2"/>
  <c r="F3373" i="2"/>
  <c r="F3374" i="2" s="1"/>
  <c r="E3373" i="2"/>
  <c r="H3372" i="2"/>
  <c r="E3372" i="2"/>
  <c r="E3371" i="2"/>
  <c r="E3370" i="2"/>
  <c r="H3369" i="2"/>
  <c r="F3369" i="2"/>
  <c r="F3370" i="2" s="1"/>
  <c r="E3369" i="2"/>
  <c r="H3368" i="2"/>
  <c r="E3368" i="2"/>
  <c r="E3367" i="2"/>
  <c r="I3366" i="2"/>
  <c r="E3366" i="2"/>
  <c r="E3365" i="2"/>
  <c r="E3364" i="2"/>
  <c r="E3363" i="2"/>
  <c r="I3362" i="2"/>
  <c r="E3362" i="2"/>
  <c r="E3361" i="2"/>
  <c r="E3360" i="2"/>
  <c r="I3359" i="2"/>
  <c r="E3359" i="2"/>
  <c r="I3358" i="2"/>
  <c r="F3358" i="2"/>
  <c r="E3358" i="2"/>
  <c r="I3357" i="2"/>
  <c r="E3357" i="2"/>
  <c r="I3356" i="2"/>
  <c r="E3356" i="2"/>
  <c r="E3355" i="2"/>
  <c r="H3354" i="2"/>
  <c r="F3354" i="2"/>
  <c r="F3355" i="2" s="1"/>
  <c r="E3354" i="2"/>
  <c r="H3353" i="2"/>
  <c r="E3353" i="2"/>
  <c r="E3352" i="2"/>
  <c r="E3351" i="2"/>
  <c r="H3350" i="2"/>
  <c r="F3350" i="2"/>
  <c r="F3351" i="2" s="1"/>
  <c r="E3350" i="2"/>
  <c r="H3349" i="2"/>
  <c r="E3349" i="2"/>
  <c r="E3348" i="2"/>
  <c r="E3347" i="2"/>
  <c r="H3346" i="2"/>
  <c r="F3346" i="2"/>
  <c r="F3347" i="2" s="1"/>
  <c r="E3346" i="2"/>
  <c r="H3345" i="2"/>
  <c r="E3345" i="2"/>
  <c r="E3344" i="2"/>
  <c r="E3343" i="2"/>
  <c r="H3342" i="2"/>
  <c r="F3342" i="2"/>
  <c r="F3343" i="2" s="1"/>
  <c r="E3342" i="2"/>
  <c r="H3341" i="2"/>
  <c r="E3341" i="2"/>
  <c r="E3340" i="2"/>
  <c r="E3339" i="2"/>
  <c r="H3338" i="2"/>
  <c r="F3338" i="2"/>
  <c r="F3339" i="2" s="1"/>
  <c r="E3338" i="2"/>
  <c r="H3337" i="2"/>
  <c r="E3337" i="2"/>
  <c r="E3336" i="2"/>
  <c r="E3335" i="2"/>
  <c r="H3334" i="2"/>
  <c r="F3334" i="2"/>
  <c r="F3335" i="2" s="1"/>
  <c r="E3334" i="2"/>
  <c r="H3333" i="2"/>
  <c r="E3333" i="2"/>
  <c r="E3332" i="2"/>
  <c r="E3331" i="2"/>
  <c r="H3330" i="2"/>
  <c r="F3330" i="2"/>
  <c r="F3331" i="2" s="1"/>
  <c r="E3330" i="2"/>
  <c r="H3329" i="2"/>
  <c r="E3329" i="2"/>
  <c r="E3328" i="2"/>
  <c r="E3327" i="2"/>
  <c r="H3326" i="2"/>
  <c r="F3326" i="2"/>
  <c r="F3327" i="2" s="1"/>
  <c r="E3326" i="2"/>
  <c r="H3325" i="2"/>
  <c r="E3325" i="2"/>
  <c r="E3324" i="2"/>
  <c r="E3323" i="2"/>
  <c r="H3322" i="2"/>
  <c r="F3322" i="2"/>
  <c r="F3323" i="2" s="1"/>
  <c r="E3322" i="2"/>
  <c r="H3321" i="2"/>
  <c r="E3321" i="2"/>
  <c r="E3320" i="2"/>
  <c r="E3319" i="2"/>
  <c r="H3318" i="2"/>
  <c r="F3318" i="2"/>
  <c r="F3319" i="2" s="1"/>
  <c r="E3318" i="2"/>
  <c r="H3317" i="2"/>
  <c r="E3317" i="2"/>
  <c r="E3316" i="2"/>
  <c r="E3315" i="2"/>
  <c r="H3314" i="2"/>
  <c r="F3314" i="2"/>
  <c r="F3315" i="2" s="1"/>
  <c r="E3314" i="2"/>
  <c r="H3313" i="2"/>
  <c r="E3313" i="2"/>
  <c r="E3312" i="2"/>
  <c r="I3311" i="2"/>
  <c r="F3311" i="2"/>
  <c r="E3311" i="2"/>
  <c r="E3310" i="2"/>
  <c r="E3309" i="2"/>
  <c r="F3308" i="2"/>
  <c r="E3308" i="2"/>
  <c r="E3307" i="2"/>
  <c r="E3306" i="2"/>
  <c r="E3305" i="2"/>
  <c r="H3304" i="2"/>
  <c r="F3304" i="2"/>
  <c r="F3305" i="2" s="1"/>
  <c r="E3304" i="2"/>
  <c r="H3303" i="2"/>
  <c r="E3303" i="2"/>
  <c r="E3302" i="2"/>
  <c r="E3301" i="2"/>
  <c r="H3300" i="2"/>
  <c r="F3300" i="2"/>
  <c r="F3301" i="2" s="1"/>
  <c r="E3300" i="2"/>
  <c r="H3299" i="2"/>
  <c r="E3299" i="2"/>
  <c r="E3298" i="2"/>
  <c r="E3297" i="2"/>
  <c r="H3296" i="2"/>
  <c r="F3296" i="2"/>
  <c r="F3297" i="2" s="1"/>
  <c r="E3296" i="2"/>
  <c r="H3295" i="2"/>
  <c r="E3295" i="2"/>
  <c r="E3294" i="2"/>
  <c r="E3293" i="2"/>
  <c r="H3292" i="2"/>
  <c r="F3292" i="2"/>
  <c r="F3293" i="2" s="1"/>
  <c r="E3292" i="2"/>
  <c r="H3291" i="2"/>
  <c r="E3291" i="2"/>
  <c r="E3290" i="2"/>
  <c r="E3289" i="2"/>
  <c r="H3288" i="2"/>
  <c r="F3288" i="2"/>
  <c r="F3289" i="2" s="1"/>
  <c r="E3288" i="2"/>
  <c r="H3287" i="2"/>
  <c r="E3287" i="2"/>
  <c r="E3286" i="2"/>
  <c r="E3285" i="2"/>
  <c r="H3284" i="2"/>
  <c r="F3284" i="2"/>
  <c r="F3285" i="2" s="1"/>
  <c r="E3284" i="2"/>
  <c r="H3283" i="2"/>
  <c r="E3283" i="2"/>
  <c r="E3282" i="2"/>
  <c r="E3281" i="2"/>
  <c r="H3280" i="2"/>
  <c r="F3280" i="2"/>
  <c r="F3281" i="2" s="1"/>
  <c r="E3280" i="2"/>
  <c r="H3279" i="2"/>
  <c r="E3279" i="2"/>
  <c r="E3278" i="2"/>
  <c r="E3277" i="2"/>
  <c r="H3276" i="2"/>
  <c r="F3276" i="2"/>
  <c r="F3277" i="2" s="1"/>
  <c r="E3276" i="2"/>
  <c r="H3275" i="2"/>
  <c r="E3275" i="2"/>
  <c r="E3274" i="2"/>
  <c r="E3273" i="2"/>
  <c r="H3272" i="2"/>
  <c r="F3272" i="2"/>
  <c r="F3273" i="2" s="1"/>
  <c r="E3272" i="2"/>
  <c r="H3271" i="2"/>
  <c r="E3271" i="2"/>
  <c r="E3270" i="2"/>
  <c r="E3269" i="2"/>
  <c r="H3268" i="2"/>
  <c r="F3268" i="2"/>
  <c r="F3269" i="2" s="1"/>
  <c r="E3268" i="2"/>
  <c r="H3267" i="2"/>
  <c r="E3267" i="2"/>
  <c r="E3266" i="2"/>
  <c r="E3265" i="2"/>
  <c r="H3264" i="2"/>
  <c r="F3264" i="2"/>
  <c r="F3265" i="2" s="1"/>
  <c r="E3264" i="2"/>
  <c r="H3263" i="2"/>
  <c r="E3263" i="2"/>
  <c r="E3262" i="2"/>
  <c r="I3261" i="2"/>
  <c r="E3261" i="2"/>
  <c r="E3260" i="2"/>
  <c r="E3259" i="2"/>
  <c r="E3258" i="2"/>
  <c r="I3257" i="2"/>
  <c r="E3257" i="2"/>
  <c r="E3256" i="2"/>
  <c r="E3255" i="2"/>
  <c r="E3254" i="2"/>
  <c r="I3253" i="2"/>
  <c r="E3253" i="2"/>
  <c r="E3252" i="2"/>
  <c r="E3251" i="2"/>
  <c r="E3250" i="2"/>
  <c r="E3249" i="2"/>
  <c r="E3248" i="2"/>
  <c r="E3247" i="2"/>
  <c r="E3246" i="2"/>
  <c r="E3245" i="2"/>
  <c r="E3244" i="2"/>
  <c r="E3243" i="2"/>
  <c r="H3242" i="2"/>
  <c r="F3242" i="2"/>
  <c r="F3243" i="2" s="1"/>
  <c r="E3242" i="2"/>
  <c r="H3241" i="2"/>
  <c r="E3241" i="2"/>
  <c r="E3240" i="2"/>
  <c r="E3239" i="2"/>
  <c r="H3238" i="2"/>
  <c r="F3238" i="2"/>
  <c r="F3239" i="2" s="1"/>
  <c r="E3238" i="2"/>
  <c r="H3237" i="2"/>
  <c r="E3237" i="2"/>
  <c r="E3236" i="2"/>
  <c r="E3235" i="2"/>
  <c r="H3234" i="2"/>
  <c r="F3234" i="2"/>
  <c r="F3235" i="2" s="1"/>
  <c r="E3234" i="2"/>
  <c r="H3233" i="2"/>
  <c r="E3233" i="2"/>
  <c r="E3232" i="2"/>
  <c r="E3231" i="2"/>
  <c r="H3230" i="2"/>
  <c r="F3230" i="2"/>
  <c r="F3231" i="2" s="1"/>
  <c r="E3230" i="2"/>
  <c r="H3229" i="2"/>
  <c r="E3229" i="2"/>
  <c r="E3228" i="2"/>
  <c r="E3227" i="2"/>
  <c r="H3226" i="2"/>
  <c r="F3226" i="2"/>
  <c r="F3227" i="2" s="1"/>
  <c r="E3226" i="2"/>
  <c r="H3225" i="2"/>
  <c r="E3225" i="2"/>
  <c r="E3224" i="2"/>
  <c r="E3223" i="2"/>
  <c r="H3222" i="2"/>
  <c r="F3222" i="2"/>
  <c r="F3223" i="2" s="1"/>
  <c r="E3222" i="2"/>
  <c r="H3221" i="2"/>
  <c r="E3221" i="2"/>
  <c r="E3220" i="2"/>
  <c r="E3219" i="2"/>
  <c r="H3218" i="2"/>
  <c r="F3218" i="2"/>
  <c r="F3219" i="2" s="1"/>
  <c r="E3218" i="2"/>
  <c r="H3217" i="2"/>
  <c r="E3217" i="2"/>
  <c r="E3216" i="2"/>
  <c r="E3215" i="2"/>
  <c r="H3214" i="2"/>
  <c r="F3214" i="2"/>
  <c r="F3215" i="2" s="1"/>
  <c r="E3214" i="2"/>
  <c r="H3213" i="2"/>
  <c r="E3213" i="2"/>
  <c r="E3212" i="2"/>
  <c r="E3211" i="2"/>
  <c r="H3210" i="2"/>
  <c r="F3210" i="2"/>
  <c r="F3211" i="2" s="1"/>
  <c r="E3210" i="2"/>
  <c r="H3209" i="2"/>
  <c r="E3209" i="2"/>
  <c r="E3208" i="2"/>
  <c r="E3207" i="2"/>
  <c r="H3206" i="2"/>
  <c r="F3206" i="2"/>
  <c r="F3207" i="2" s="1"/>
  <c r="E3206" i="2"/>
  <c r="H3205" i="2"/>
  <c r="E3205" i="2"/>
  <c r="E3204" i="2"/>
  <c r="E3203" i="2"/>
  <c r="H3202" i="2"/>
  <c r="F3202" i="2"/>
  <c r="F3203" i="2" s="1"/>
  <c r="E3202" i="2"/>
  <c r="H3201" i="2"/>
  <c r="E3201" i="2"/>
  <c r="E3200" i="2"/>
  <c r="E3199" i="2"/>
  <c r="H3198" i="2"/>
  <c r="F3198" i="2"/>
  <c r="F3199" i="2" s="1"/>
  <c r="E3198" i="2"/>
  <c r="H3197" i="2"/>
  <c r="E3197" i="2"/>
  <c r="E3196" i="2"/>
  <c r="E3195" i="2"/>
  <c r="H3194" i="2"/>
  <c r="F3194" i="2"/>
  <c r="F3195" i="2" s="1"/>
  <c r="E3194" i="2"/>
  <c r="H3193" i="2"/>
  <c r="E3193" i="2"/>
  <c r="E3192" i="2"/>
  <c r="E3191" i="2"/>
  <c r="H3190" i="2"/>
  <c r="F3190" i="2"/>
  <c r="F3191" i="2" s="1"/>
  <c r="E3190" i="2"/>
  <c r="H3189" i="2"/>
  <c r="E3189" i="2"/>
  <c r="E3188" i="2"/>
  <c r="E3187" i="2"/>
  <c r="H3186" i="2"/>
  <c r="F3186" i="2"/>
  <c r="F3187" i="2" s="1"/>
  <c r="E3186" i="2"/>
  <c r="H3185" i="2"/>
  <c r="E3185" i="2"/>
  <c r="E3184" i="2"/>
  <c r="E3183" i="2"/>
  <c r="H3182" i="2"/>
  <c r="F3182" i="2"/>
  <c r="F3183" i="2" s="1"/>
  <c r="E3182" i="2"/>
  <c r="H3181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H3145" i="2"/>
  <c r="E3145" i="2"/>
  <c r="E3144" i="2"/>
  <c r="E3143" i="2"/>
  <c r="E3142" i="2"/>
  <c r="H3141" i="2"/>
  <c r="E3141" i="2"/>
  <c r="E3140" i="2"/>
  <c r="E3139" i="2"/>
  <c r="E3138" i="2"/>
  <c r="H3137" i="2"/>
  <c r="E3137" i="2"/>
  <c r="E3136" i="2"/>
  <c r="E3135" i="2"/>
  <c r="E3134" i="2"/>
  <c r="H3133" i="2"/>
  <c r="E3133" i="2"/>
  <c r="E3132" i="2"/>
  <c r="E3131" i="2"/>
  <c r="E3130" i="2"/>
  <c r="H3129" i="2"/>
  <c r="E3129" i="2"/>
  <c r="E3128" i="2"/>
  <c r="E3127" i="2"/>
  <c r="E3126" i="2"/>
  <c r="E3125" i="2"/>
  <c r="E3124" i="2"/>
  <c r="E3123" i="2"/>
  <c r="E3122" i="2"/>
  <c r="E3121" i="2"/>
  <c r="E3120" i="2"/>
  <c r="E3119" i="2"/>
  <c r="H3118" i="2"/>
  <c r="E3118" i="2"/>
  <c r="E3117" i="2"/>
  <c r="E3116" i="2"/>
  <c r="E3115" i="2"/>
  <c r="H3114" i="2"/>
  <c r="E3114" i="2"/>
  <c r="E3113" i="2"/>
  <c r="E3112" i="2"/>
  <c r="E3111" i="2"/>
  <c r="H3110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H3098" i="2"/>
  <c r="E3098" i="2"/>
  <c r="E3097" i="2"/>
  <c r="E3096" i="2"/>
  <c r="E3095" i="2"/>
  <c r="H3094" i="2"/>
  <c r="E3094" i="2"/>
  <c r="E3093" i="2"/>
  <c r="E3092" i="2"/>
  <c r="E3091" i="2"/>
  <c r="H3090" i="2"/>
  <c r="E3090" i="2"/>
  <c r="E3089" i="2"/>
  <c r="E3088" i="2"/>
  <c r="E3087" i="2"/>
  <c r="H3086" i="2"/>
  <c r="E3086" i="2"/>
  <c r="E3085" i="2"/>
  <c r="E3084" i="2"/>
  <c r="E3083" i="2"/>
  <c r="H3082" i="2"/>
  <c r="E3082" i="2"/>
  <c r="E3081" i="2"/>
  <c r="E3080" i="2"/>
  <c r="E3079" i="2"/>
  <c r="H3078" i="2"/>
  <c r="E3078" i="2"/>
  <c r="E3077" i="2"/>
  <c r="E3076" i="2"/>
  <c r="E3075" i="2"/>
  <c r="H3074" i="2"/>
  <c r="E3074" i="2"/>
  <c r="E3073" i="2"/>
  <c r="E3072" i="2"/>
  <c r="E3071" i="2"/>
  <c r="H3070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H3022" i="2"/>
  <c r="E3022" i="2"/>
  <c r="E3021" i="2"/>
  <c r="E3020" i="2"/>
  <c r="E3019" i="2"/>
  <c r="H3018" i="2"/>
  <c r="E3018" i="2"/>
  <c r="E3017" i="2"/>
  <c r="E3016" i="2"/>
  <c r="E3015" i="2"/>
  <c r="H3014" i="2"/>
  <c r="E3014" i="2"/>
  <c r="E3013" i="2"/>
  <c r="E3012" i="2"/>
  <c r="E3011" i="2"/>
  <c r="H3010" i="2"/>
  <c r="E3010" i="2"/>
  <c r="E3009" i="2"/>
  <c r="E3008" i="2"/>
  <c r="E3007" i="2"/>
  <c r="H3006" i="2"/>
  <c r="E3006" i="2"/>
  <c r="E3005" i="2"/>
  <c r="E3004" i="2"/>
  <c r="E3003" i="2"/>
  <c r="H3002" i="2"/>
  <c r="E3002" i="2"/>
  <c r="E3001" i="2"/>
  <c r="E3000" i="2"/>
  <c r="E2999" i="2"/>
  <c r="H2998" i="2"/>
  <c r="E2998" i="2"/>
  <c r="E2997" i="2"/>
  <c r="E2996" i="2"/>
  <c r="E2995" i="2"/>
  <c r="H2994" i="2"/>
  <c r="E2994" i="2"/>
  <c r="E2993" i="2"/>
  <c r="E2992" i="2"/>
  <c r="E2991" i="2"/>
  <c r="H2990" i="2"/>
  <c r="E2990" i="2"/>
  <c r="E2989" i="2"/>
  <c r="E2988" i="2"/>
  <c r="E2987" i="2"/>
  <c r="H2986" i="2"/>
  <c r="E2986" i="2"/>
  <c r="E2985" i="2"/>
  <c r="E2984" i="2"/>
  <c r="E2983" i="2"/>
  <c r="H2982" i="2"/>
  <c r="E2982" i="2"/>
  <c r="E2981" i="2"/>
  <c r="E2980" i="2"/>
  <c r="E2979" i="2"/>
  <c r="H2978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H2961" i="2"/>
  <c r="E2961" i="2"/>
  <c r="E2960" i="2"/>
  <c r="E2959" i="2"/>
  <c r="E2958" i="2"/>
  <c r="H2957" i="2"/>
  <c r="E2957" i="2"/>
  <c r="E2956" i="2"/>
  <c r="E2955" i="2"/>
  <c r="E2954" i="2"/>
  <c r="H2953" i="2"/>
  <c r="E2953" i="2"/>
  <c r="E2952" i="2"/>
  <c r="E2951" i="2"/>
  <c r="E2950" i="2"/>
  <c r="H2949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H2890" i="2"/>
  <c r="E2890" i="2"/>
  <c r="E2889" i="2"/>
  <c r="E2888" i="2"/>
  <c r="E2887" i="2"/>
  <c r="H2886" i="2"/>
  <c r="E2886" i="2"/>
  <c r="E2885" i="2"/>
  <c r="E2884" i="2"/>
  <c r="E2883" i="2"/>
  <c r="H2882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H2862" i="2"/>
  <c r="E2862" i="2"/>
  <c r="E2861" i="2"/>
  <c r="E2860" i="2"/>
  <c r="E2859" i="2"/>
  <c r="H2858" i="2"/>
  <c r="E2858" i="2"/>
  <c r="E2857" i="2"/>
  <c r="E2856" i="2"/>
  <c r="E2855" i="2"/>
  <c r="H2854" i="2"/>
  <c r="E2854" i="2"/>
  <c r="E2853" i="2"/>
  <c r="E2852" i="2"/>
  <c r="E2851" i="2"/>
  <c r="H2850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H2807" i="2"/>
  <c r="E2807" i="2"/>
  <c r="E2806" i="2"/>
  <c r="E2805" i="2"/>
  <c r="E2804" i="2"/>
  <c r="H2803" i="2"/>
  <c r="E2803" i="2"/>
  <c r="E2802" i="2"/>
  <c r="E2801" i="2"/>
  <c r="E2800" i="2"/>
  <c r="H2799" i="2"/>
  <c r="E2799" i="2"/>
  <c r="E2798" i="2"/>
  <c r="E2797" i="2"/>
  <c r="E2796" i="2"/>
  <c r="H2795" i="2"/>
  <c r="E2795" i="2"/>
  <c r="E2794" i="2"/>
  <c r="E2793" i="2"/>
  <c r="E2792" i="2"/>
  <c r="H2791" i="2"/>
  <c r="E2791" i="2"/>
  <c r="E2790" i="2"/>
  <c r="E2789" i="2"/>
  <c r="E2788" i="2"/>
  <c r="H2787" i="2"/>
  <c r="E2787" i="2"/>
  <c r="E2786" i="2"/>
  <c r="E2785" i="2"/>
  <c r="E2784" i="2"/>
  <c r="H2783" i="2"/>
  <c r="E2783" i="2"/>
  <c r="E2782" i="2"/>
  <c r="E2781" i="2"/>
  <c r="E2780" i="2"/>
  <c r="E2779" i="2"/>
  <c r="E2778" i="2"/>
  <c r="E2777" i="2"/>
  <c r="I2776" i="2"/>
  <c r="E2776" i="2"/>
  <c r="H2775" i="2"/>
  <c r="E2775" i="2"/>
  <c r="E2774" i="2"/>
  <c r="E2773" i="2"/>
  <c r="E2772" i="2"/>
  <c r="E2771" i="2"/>
  <c r="E2770" i="2"/>
  <c r="E2769" i="2"/>
  <c r="E2768" i="2"/>
  <c r="H2767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I2694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I2681" i="2"/>
  <c r="E2681" i="2"/>
  <c r="E2680" i="2"/>
  <c r="E2679" i="2"/>
  <c r="E2678" i="2"/>
  <c r="I2677" i="2"/>
  <c r="E2677" i="2"/>
  <c r="E2676" i="2"/>
  <c r="E2675" i="2"/>
  <c r="E2674" i="2"/>
  <c r="I2673" i="2"/>
  <c r="E2673" i="2"/>
  <c r="E2672" i="2"/>
  <c r="E2671" i="2"/>
  <c r="E2670" i="2"/>
  <c r="I2669" i="2"/>
  <c r="E2669" i="2"/>
  <c r="E2668" i="2"/>
  <c r="E2667" i="2"/>
  <c r="E2666" i="2"/>
  <c r="E2665" i="2"/>
  <c r="E2664" i="2"/>
  <c r="E2663" i="2"/>
  <c r="E2662" i="2"/>
  <c r="E2661" i="2"/>
  <c r="E2660" i="2"/>
  <c r="I2659" i="2"/>
  <c r="E2659" i="2"/>
  <c r="E2658" i="2"/>
  <c r="E2657" i="2"/>
  <c r="E2656" i="2"/>
  <c r="I2655" i="2"/>
  <c r="E2655" i="2"/>
  <c r="E2654" i="2"/>
  <c r="E2653" i="2"/>
  <c r="E2652" i="2"/>
  <c r="I2651" i="2"/>
  <c r="E2651" i="2"/>
  <c r="E2650" i="2"/>
  <c r="E2649" i="2"/>
  <c r="E2648" i="2"/>
  <c r="E2647" i="2"/>
  <c r="E2646" i="2"/>
  <c r="E2645" i="2"/>
  <c r="I2644" i="2"/>
  <c r="E2644" i="2"/>
  <c r="E2643" i="2"/>
  <c r="E2642" i="2"/>
  <c r="E2641" i="2"/>
  <c r="I2640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H2572" i="2"/>
  <c r="E2572" i="2"/>
  <c r="H2571" i="2"/>
  <c r="E2571" i="2"/>
  <c r="E2570" i="2"/>
  <c r="E2569" i="2"/>
  <c r="H2568" i="2"/>
  <c r="E2568" i="2"/>
  <c r="H2567" i="2"/>
  <c r="E2567" i="2"/>
  <c r="E2566" i="2"/>
  <c r="E2565" i="2"/>
  <c r="H2564" i="2"/>
  <c r="E2564" i="2"/>
  <c r="H2563" i="2"/>
  <c r="E2563" i="2"/>
  <c r="E2562" i="2"/>
  <c r="E2561" i="2"/>
  <c r="H2560" i="2"/>
  <c r="E2560" i="2"/>
  <c r="H2559" i="2"/>
  <c r="E2559" i="2"/>
  <c r="E2558" i="2"/>
  <c r="E2557" i="2"/>
  <c r="H2556" i="2"/>
  <c r="E2556" i="2"/>
  <c r="H2555" i="2"/>
  <c r="E2555" i="2"/>
  <c r="E2554" i="2"/>
  <c r="E2553" i="2"/>
  <c r="H2552" i="2"/>
  <c r="E2552" i="2"/>
  <c r="H2551" i="2"/>
  <c r="E2551" i="2"/>
  <c r="E2550" i="2"/>
  <c r="E2549" i="2"/>
  <c r="H2548" i="2"/>
  <c r="E2548" i="2"/>
  <c r="H2547" i="2"/>
  <c r="E2547" i="2"/>
  <c r="E2546" i="2"/>
  <c r="E2545" i="2"/>
  <c r="H2544" i="2"/>
  <c r="E2544" i="2"/>
  <c r="H2543" i="2"/>
  <c r="E2543" i="2"/>
  <c r="E2542" i="2"/>
  <c r="E2541" i="2"/>
  <c r="H2540" i="2"/>
  <c r="E2540" i="2"/>
  <c r="H2539" i="2"/>
  <c r="E2539" i="2"/>
  <c r="E2538" i="2"/>
  <c r="E2537" i="2"/>
  <c r="E2536" i="2"/>
  <c r="E2535" i="2"/>
  <c r="E2534" i="2"/>
  <c r="E2533" i="2"/>
  <c r="E2532" i="2"/>
  <c r="I2531" i="2"/>
  <c r="E2531" i="2"/>
  <c r="E2530" i="2"/>
  <c r="E2529" i="2"/>
  <c r="E2528" i="2"/>
  <c r="I2527" i="2"/>
  <c r="E2527" i="2"/>
  <c r="E2526" i="2"/>
  <c r="E2525" i="2"/>
  <c r="E2524" i="2"/>
  <c r="E2523" i="2"/>
  <c r="E2522" i="2"/>
  <c r="E2521" i="2"/>
  <c r="I2520" i="2"/>
  <c r="E2520" i="2"/>
  <c r="E2519" i="2"/>
  <c r="E2518" i="2"/>
  <c r="I2517" i="2"/>
  <c r="E2517" i="2"/>
  <c r="E2516" i="2"/>
  <c r="E2515" i="2"/>
  <c r="I2514" i="2"/>
  <c r="E2514" i="2"/>
  <c r="E2513" i="2"/>
  <c r="E2512" i="2"/>
  <c r="E2511" i="2"/>
  <c r="I2510" i="2"/>
  <c r="E2510" i="2"/>
  <c r="E2509" i="2"/>
  <c r="I2508" i="2"/>
  <c r="E2508" i="2"/>
  <c r="I2507" i="2"/>
  <c r="E2507" i="2"/>
  <c r="I2506" i="2"/>
  <c r="E2506" i="2"/>
  <c r="E2505" i="2"/>
  <c r="I2504" i="2"/>
  <c r="E2504" i="2"/>
  <c r="E2503" i="2"/>
  <c r="E2502" i="2"/>
  <c r="I2501" i="2"/>
  <c r="E2501" i="2"/>
  <c r="E2500" i="2"/>
  <c r="E2499" i="2"/>
  <c r="I2498" i="2"/>
  <c r="E2498" i="2"/>
  <c r="E2497" i="2"/>
  <c r="E2496" i="2"/>
  <c r="E2495" i="2"/>
  <c r="E2494" i="2"/>
  <c r="E2493" i="2"/>
  <c r="I2492" i="2"/>
  <c r="E2492" i="2"/>
  <c r="E2491" i="2"/>
  <c r="E2490" i="2"/>
  <c r="E2489" i="2"/>
  <c r="I2488" i="2"/>
  <c r="E2488" i="2"/>
  <c r="E2487" i="2"/>
  <c r="E2486" i="2"/>
  <c r="E2485" i="2"/>
  <c r="I2484" i="2"/>
  <c r="E2484" i="2"/>
  <c r="E2483" i="2"/>
  <c r="E2482" i="2"/>
  <c r="E2481" i="2"/>
  <c r="E2480" i="2"/>
  <c r="E2479" i="2"/>
  <c r="E2478" i="2"/>
  <c r="I2477" i="2"/>
  <c r="E2477" i="2"/>
  <c r="E2476" i="2"/>
  <c r="E2475" i="2"/>
  <c r="E2474" i="2"/>
  <c r="E2473" i="2"/>
  <c r="E2472" i="2"/>
  <c r="E2471" i="2"/>
  <c r="E2470" i="2"/>
  <c r="E2469" i="2"/>
  <c r="E2468" i="2"/>
  <c r="I2467" i="2"/>
  <c r="E2467" i="2"/>
  <c r="E2466" i="2"/>
  <c r="E2465" i="2"/>
  <c r="E2464" i="2"/>
  <c r="E2463" i="2"/>
  <c r="E2462" i="2"/>
  <c r="E2461" i="2"/>
  <c r="E2460" i="2"/>
  <c r="H2459" i="2"/>
  <c r="E2459" i="2"/>
  <c r="H2458" i="2"/>
  <c r="E2458" i="2"/>
  <c r="E2457" i="2"/>
  <c r="E2456" i="2"/>
  <c r="H2455" i="2"/>
  <c r="E2455" i="2"/>
  <c r="H2454" i="2"/>
  <c r="E2454" i="2"/>
  <c r="E2453" i="2"/>
  <c r="E2452" i="2"/>
  <c r="H2451" i="2"/>
  <c r="E2451" i="2"/>
  <c r="H2450" i="2"/>
  <c r="E2450" i="2"/>
  <c r="E2449" i="2"/>
  <c r="I2448" i="2"/>
  <c r="E2448" i="2"/>
  <c r="E2447" i="2"/>
  <c r="E2446" i="2"/>
  <c r="E2445" i="2"/>
  <c r="I2444" i="2"/>
  <c r="E2444" i="2"/>
  <c r="E2443" i="2"/>
  <c r="E2442" i="2"/>
  <c r="E2441" i="2"/>
  <c r="E2440" i="2"/>
  <c r="H2439" i="2"/>
  <c r="E2439" i="2"/>
  <c r="H2438" i="2"/>
  <c r="E2438" i="2"/>
  <c r="E2437" i="2"/>
  <c r="E2436" i="2"/>
  <c r="H2435" i="2"/>
  <c r="E2435" i="2"/>
  <c r="H2434" i="2"/>
  <c r="E2434" i="2"/>
  <c r="E2433" i="2"/>
  <c r="E2432" i="2"/>
  <c r="H2431" i="2"/>
  <c r="E2431" i="2"/>
  <c r="H2430" i="2"/>
  <c r="E2430" i="2"/>
  <c r="E2429" i="2"/>
  <c r="I2428" i="2"/>
  <c r="E2428" i="2"/>
  <c r="E2427" i="2"/>
  <c r="E2426" i="2"/>
  <c r="I2425" i="2"/>
  <c r="E2425" i="2"/>
  <c r="E2424" i="2"/>
  <c r="E2423" i="2"/>
  <c r="I2422" i="2"/>
  <c r="E2422" i="2"/>
  <c r="E2421" i="2"/>
  <c r="E2420" i="2"/>
  <c r="I2419" i="2"/>
  <c r="E2419" i="2"/>
  <c r="E2418" i="2"/>
  <c r="E2417" i="2"/>
  <c r="I2416" i="2"/>
  <c r="E2416" i="2"/>
  <c r="E2415" i="2"/>
  <c r="E2414" i="2"/>
  <c r="I2413" i="2"/>
  <c r="E2413" i="2"/>
  <c r="E2412" i="2"/>
  <c r="E2411" i="2"/>
  <c r="E2410" i="2"/>
  <c r="E2409" i="2"/>
  <c r="E2408" i="2"/>
  <c r="I2407" i="2"/>
  <c r="E2407" i="2"/>
  <c r="E2406" i="2"/>
  <c r="E2405" i="2"/>
  <c r="I2404" i="2"/>
  <c r="E2404" i="2"/>
  <c r="E2403" i="2"/>
  <c r="E2402" i="2"/>
  <c r="I2401" i="2"/>
  <c r="E2401" i="2"/>
  <c r="E2400" i="2"/>
  <c r="E2399" i="2"/>
  <c r="I2398" i="2"/>
  <c r="E2398" i="2"/>
  <c r="E2397" i="2"/>
  <c r="E2396" i="2"/>
  <c r="I2395" i="2"/>
  <c r="E2395" i="2"/>
  <c r="E2394" i="2"/>
  <c r="E2393" i="2"/>
  <c r="E2392" i="2"/>
  <c r="E2391" i="2"/>
  <c r="E2390" i="2"/>
  <c r="E2389" i="2"/>
  <c r="E2388" i="2"/>
  <c r="E2387" i="2"/>
  <c r="I2386" i="2"/>
  <c r="E2386" i="2"/>
  <c r="I2385" i="2"/>
  <c r="E2385" i="2"/>
  <c r="I2384" i="2"/>
  <c r="E2384" i="2"/>
  <c r="I2383" i="2"/>
  <c r="E2383" i="2"/>
  <c r="E2382" i="2"/>
  <c r="I2381" i="2"/>
  <c r="E2381" i="2"/>
  <c r="I2380" i="2"/>
  <c r="E2380" i="2"/>
  <c r="I2379" i="2"/>
  <c r="E2379" i="2"/>
  <c r="E2378" i="2"/>
  <c r="I2377" i="2"/>
  <c r="E2377" i="2"/>
  <c r="I2376" i="2"/>
  <c r="E2376" i="2"/>
  <c r="I2375" i="2"/>
  <c r="E2375" i="2"/>
  <c r="I2374" i="2"/>
  <c r="E2374" i="2"/>
  <c r="I2373" i="2"/>
  <c r="E2373" i="2"/>
  <c r="I2372" i="2"/>
  <c r="E2372" i="2"/>
  <c r="E2371" i="2"/>
  <c r="I2370" i="2"/>
  <c r="E2370" i="2"/>
  <c r="I2369" i="2"/>
  <c r="E2369" i="2"/>
  <c r="I2368" i="2"/>
  <c r="E2368" i="2"/>
  <c r="I2367" i="2"/>
  <c r="E2367" i="2"/>
  <c r="I2366" i="2"/>
  <c r="E2366" i="2"/>
  <c r="I2365" i="2"/>
  <c r="E2365" i="2"/>
  <c r="I2364" i="2"/>
  <c r="E2364" i="2"/>
  <c r="I2363" i="2"/>
  <c r="E2363" i="2"/>
  <c r="I2362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I2344" i="2"/>
  <c r="E2344" i="2"/>
  <c r="E2343" i="2"/>
  <c r="E2342" i="2"/>
  <c r="E2341" i="2"/>
  <c r="E2340" i="2"/>
  <c r="H2339" i="2"/>
  <c r="E2339" i="2"/>
  <c r="H2338" i="2"/>
  <c r="E2338" i="2"/>
  <c r="E2337" i="2"/>
  <c r="E2336" i="2"/>
  <c r="E2335" i="2"/>
  <c r="E2334" i="2"/>
  <c r="E2333" i="2"/>
  <c r="I2332" i="2"/>
  <c r="E2332" i="2"/>
  <c r="E2331" i="2"/>
  <c r="E2330" i="2"/>
  <c r="E2329" i="2"/>
  <c r="E2328" i="2"/>
  <c r="E2327" i="2"/>
  <c r="H2326" i="2"/>
  <c r="E2326" i="2"/>
  <c r="E2325" i="2"/>
  <c r="E2324" i="2"/>
  <c r="E2323" i="2"/>
  <c r="H2322" i="2"/>
  <c r="E2322" i="2"/>
  <c r="E2321" i="2"/>
  <c r="E2320" i="2"/>
  <c r="G2319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H2260" i="2"/>
  <c r="E2260" i="2"/>
  <c r="E2259" i="2"/>
  <c r="E2258" i="2"/>
  <c r="E2257" i="2"/>
  <c r="H2256" i="2"/>
  <c r="E2256" i="2"/>
  <c r="E2255" i="2"/>
  <c r="E2254" i="2"/>
  <c r="E2253" i="2"/>
  <c r="H2252" i="2"/>
  <c r="E2252" i="2"/>
  <c r="E2251" i="2"/>
  <c r="E2250" i="2"/>
  <c r="E2249" i="2"/>
  <c r="H2248" i="2"/>
  <c r="E2248" i="2"/>
  <c r="E2247" i="2"/>
  <c r="E2246" i="2"/>
  <c r="E2245" i="2"/>
  <c r="H2244" i="2"/>
  <c r="E2244" i="2"/>
  <c r="E2243" i="2"/>
  <c r="E2242" i="2"/>
  <c r="E2241" i="2"/>
  <c r="H2240" i="2"/>
  <c r="E2240" i="2"/>
  <c r="E2239" i="2"/>
  <c r="E2238" i="2"/>
  <c r="E2237" i="2"/>
  <c r="H2236" i="2"/>
  <c r="E2236" i="2"/>
  <c r="E2235" i="2"/>
  <c r="E2234" i="2"/>
  <c r="E2233" i="2"/>
  <c r="H2232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H2207" i="2"/>
  <c r="E2207" i="2"/>
  <c r="E2206" i="2"/>
  <c r="E2205" i="2"/>
  <c r="E2204" i="2"/>
  <c r="H2203" i="2"/>
  <c r="E2203" i="2"/>
  <c r="E2202" i="2"/>
  <c r="E2201" i="2"/>
  <c r="E2200" i="2"/>
  <c r="H2199" i="2"/>
  <c r="E2199" i="2"/>
  <c r="E2198" i="2"/>
  <c r="E2197" i="2"/>
  <c r="E2196" i="2"/>
  <c r="H2195" i="2"/>
  <c r="E2195" i="2"/>
  <c r="E2194" i="2"/>
  <c r="E2193" i="2"/>
  <c r="E2192" i="2"/>
  <c r="H2191" i="2"/>
  <c r="E2191" i="2"/>
  <c r="E2190" i="2"/>
  <c r="E2189" i="2"/>
  <c r="E2188" i="2"/>
  <c r="H2187" i="2"/>
  <c r="E2187" i="2"/>
  <c r="E2186" i="2"/>
  <c r="E2185" i="2"/>
  <c r="E2184" i="2"/>
  <c r="H2183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I2152" i="2"/>
  <c r="E2152" i="2"/>
  <c r="F2151" i="2"/>
  <c r="F2152" i="2" s="1"/>
  <c r="E2151" i="2"/>
  <c r="I2150" i="2"/>
  <c r="E2150" i="2"/>
  <c r="I2149" i="2"/>
  <c r="E2149" i="2"/>
  <c r="I2148" i="2"/>
  <c r="F2148" i="2"/>
  <c r="E2148" i="2"/>
  <c r="E2147" i="2"/>
  <c r="I2146" i="2"/>
  <c r="E2146" i="2"/>
  <c r="I2145" i="2"/>
  <c r="E2145" i="2"/>
  <c r="I2144" i="2"/>
  <c r="F2144" i="2"/>
  <c r="E2144" i="2"/>
  <c r="E2143" i="2"/>
  <c r="I2142" i="2"/>
  <c r="E2142" i="2"/>
  <c r="I2141" i="2"/>
  <c r="E2141" i="2"/>
  <c r="I2140" i="2"/>
  <c r="F2140" i="2"/>
  <c r="E2140" i="2"/>
  <c r="I2139" i="2"/>
  <c r="E2139" i="2"/>
  <c r="I2138" i="2"/>
  <c r="E2138" i="2"/>
  <c r="I2137" i="2"/>
  <c r="F2137" i="2"/>
  <c r="E2137" i="2"/>
  <c r="I2136" i="2"/>
  <c r="E2136" i="2"/>
  <c r="I2135" i="2"/>
  <c r="E2135" i="2"/>
  <c r="I2134" i="2"/>
  <c r="F2134" i="2"/>
  <c r="E2134" i="2"/>
  <c r="E2133" i="2"/>
  <c r="I2132" i="2"/>
  <c r="E2132" i="2"/>
  <c r="I2131" i="2"/>
  <c r="E2131" i="2"/>
  <c r="I2130" i="2"/>
  <c r="F2130" i="2"/>
  <c r="E2130" i="2"/>
  <c r="I2129" i="2"/>
  <c r="E2129" i="2"/>
  <c r="I2128" i="2"/>
  <c r="E2128" i="2"/>
  <c r="E2127" i="2"/>
  <c r="H2126" i="2"/>
  <c r="F2126" i="2"/>
  <c r="F2127" i="2" s="1"/>
  <c r="E2126" i="2"/>
  <c r="H2125" i="2"/>
  <c r="E2125" i="2"/>
  <c r="E2124" i="2"/>
  <c r="E2123" i="2"/>
  <c r="H2122" i="2"/>
  <c r="F2122" i="2"/>
  <c r="F2123" i="2" s="1"/>
  <c r="E2122" i="2"/>
  <c r="H2121" i="2"/>
  <c r="E2121" i="2"/>
  <c r="E2120" i="2"/>
  <c r="E2119" i="2"/>
  <c r="H2118" i="2"/>
  <c r="F2118" i="2"/>
  <c r="F2119" i="2" s="1"/>
  <c r="E2118" i="2"/>
  <c r="H2117" i="2"/>
  <c r="E2117" i="2"/>
  <c r="E2116" i="2"/>
  <c r="E2115" i="2"/>
  <c r="H2114" i="2"/>
  <c r="F2114" i="2"/>
  <c r="F2115" i="2" s="1"/>
  <c r="E2114" i="2"/>
  <c r="H2113" i="2"/>
  <c r="E2113" i="2"/>
  <c r="E2112" i="2"/>
  <c r="E2111" i="2"/>
  <c r="H2110" i="2"/>
  <c r="F2110" i="2"/>
  <c r="F2111" i="2" s="1"/>
  <c r="E2110" i="2"/>
  <c r="I2109" i="2"/>
  <c r="H2109" i="2"/>
  <c r="E2109" i="2"/>
  <c r="E2108" i="2"/>
  <c r="E2107" i="2"/>
  <c r="E2106" i="2"/>
  <c r="E2105" i="2"/>
  <c r="I2104" i="2"/>
  <c r="E2104" i="2"/>
  <c r="E2103" i="2"/>
  <c r="H2102" i="2"/>
  <c r="F2102" i="2"/>
  <c r="F2103" i="2" s="1"/>
  <c r="E2102" i="2"/>
  <c r="H2101" i="2"/>
  <c r="E2101" i="2"/>
  <c r="E2100" i="2"/>
  <c r="E2099" i="2"/>
  <c r="H2098" i="2"/>
  <c r="F2098" i="2"/>
  <c r="F2099" i="2" s="1"/>
  <c r="E2098" i="2"/>
  <c r="H2097" i="2"/>
  <c r="E2097" i="2"/>
  <c r="E2096" i="2"/>
  <c r="E2095" i="2"/>
  <c r="H2094" i="2"/>
  <c r="F2094" i="2"/>
  <c r="F2095" i="2" s="1"/>
  <c r="E2094" i="2"/>
  <c r="I2093" i="2"/>
  <c r="H2093" i="2"/>
  <c r="E2093" i="2"/>
  <c r="I2092" i="2"/>
  <c r="E2092" i="2"/>
  <c r="I2091" i="2"/>
  <c r="F2091" i="2"/>
  <c r="E2091" i="2"/>
  <c r="I2090" i="2"/>
  <c r="E2090" i="2"/>
  <c r="I2089" i="2"/>
  <c r="E2089" i="2"/>
  <c r="I2088" i="2"/>
  <c r="F2088" i="2"/>
  <c r="E2088" i="2"/>
  <c r="E2087" i="2"/>
  <c r="I2086" i="2"/>
  <c r="E2086" i="2"/>
  <c r="I2085" i="2"/>
  <c r="E2085" i="2"/>
  <c r="E2084" i="2"/>
  <c r="H2083" i="2"/>
  <c r="F2083" i="2"/>
  <c r="F2084" i="2" s="1"/>
  <c r="E2083" i="2"/>
  <c r="H2082" i="2"/>
  <c r="E2082" i="2"/>
  <c r="E2081" i="2"/>
  <c r="E2080" i="2"/>
  <c r="H2079" i="2"/>
  <c r="F2079" i="2"/>
  <c r="F2080" i="2" s="1"/>
  <c r="E2079" i="2"/>
  <c r="H2078" i="2"/>
  <c r="E2078" i="2"/>
  <c r="I2077" i="2"/>
  <c r="E2077" i="2"/>
  <c r="I2076" i="2"/>
  <c r="F2076" i="2"/>
  <c r="E2076" i="2"/>
  <c r="I2075" i="2"/>
  <c r="E2075" i="2"/>
  <c r="I2074" i="2"/>
  <c r="E2074" i="2"/>
  <c r="I2073" i="2"/>
  <c r="F2073" i="2"/>
  <c r="E2073" i="2"/>
  <c r="I2072" i="2"/>
  <c r="E2072" i="2"/>
  <c r="I2071" i="2"/>
  <c r="E2071" i="2"/>
  <c r="I2070" i="2"/>
  <c r="F2070" i="2"/>
  <c r="E2070" i="2"/>
  <c r="I2069" i="2"/>
  <c r="E2069" i="2"/>
  <c r="I2068" i="2"/>
  <c r="E2068" i="2"/>
  <c r="I2067" i="2"/>
  <c r="F2067" i="2"/>
  <c r="E2067" i="2"/>
  <c r="E2066" i="2"/>
  <c r="I2065" i="2"/>
  <c r="E2065" i="2"/>
  <c r="I2064" i="2"/>
  <c r="E2064" i="2"/>
  <c r="I2063" i="2"/>
  <c r="F2063" i="2"/>
  <c r="E2063" i="2"/>
  <c r="I2062" i="2"/>
  <c r="E2062" i="2"/>
  <c r="I2061" i="2"/>
  <c r="E2061" i="2"/>
  <c r="I2060" i="2"/>
  <c r="F2060" i="2"/>
  <c r="E2060" i="2"/>
  <c r="I2059" i="2"/>
  <c r="E2059" i="2"/>
  <c r="I2058" i="2"/>
  <c r="E2058" i="2"/>
  <c r="I2057" i="2"/>
  <c r="F2057" i="2"/>
  <c r="E2057" i="2"/>
  <c r="E2056" i="2"/>
  <c r="I2055" i="2"/>
  <c r="E2055" i="2"/>
  <c r="I2054" i="2"/>
  <c r="E2054" i="2"/>
  <c r="I2053" i="2"/>
  <c r="F2053" i="2"/>
  <c r="E2053" i="2"/>
  <c r="I2052" i="2"/>
  <c r="E2052" i="2"/>
  <c r="I2051" i="2"/>
  <c r="E2051" i="2"/>
  <c r="I2050" i="2"/>
  <c r="F2050" i="2"/>
  <c r="E2050" i="2"/>
  <c r="I2049" i="2"/>
  <c r="E2049" i="2"/>
  <c r="I2048" i="2"/>
  <c r="E2048" i="2"/>
  <c r="I2047" i="2"/>
  <c r="F2047" i="2"/>
  <c r="E2047" i="2"/>
  <c r="I2046" i="2"/>
  <c r="E2046" i="2"/>
  <c r="I2045" i="2"/>
  <c r="E2045" i="2"/>
  <c r="I2044" i="2"/>
  <c r="F2044" i="2"/>
  <c r="E2044" i="2"/>
  <c r="I2043" i="2"/>
  <c r="E2043" i="2"/>
  <c r="I2042" i="2"/>
  <c r="E2042" i="2"/>
  <c r="I2041" i="2"/>
  <c r="F2041" i="2"/>
  <c r="E2041" i="2"/>
  <c r="I2040" i="2"/>
  <c r="E2040" i="2"/>
  <c r="I2039" i="2"/>
  <c r="E2039" i="2"/>
  <c r="I2038" i="2"/>
  <c r="F2038" i="2"/>
  <c r="E2038" i="2"/>
  <c r="I2037" i="2"/>
  <c r="E2037" i="2"/>
  <c r="I2036" i="2"/>
  <c r="E2036" i="2"/>
  <c r="I2035" i="2"/>
  <c r="F2035" i="2"/>
  <c r="E2035" i="2"/>
  <c r="I2034" i="2"/>
  <c r="E2034" i="2"/>
  <c r="I2033" i="2"/>
  <c r="E2033" i="2"/>
  <c r="I2032" i="2"/>
  <c r="F2032" i="2"/>
  <c r="E2032" i="2"/>
  <c r="I2031" i="2"/>
  <c r="E2031" i="2"/>
  <c r="I2030" i="2"/>
  <c r="E2030" i="2"/>
  <c r="I2029" i="2"/>
  <c r="F2029" i="2"/>
  <c r="E2029" i="2"/>
  <c r="I2028" i="2"/>
  <c r="E2028" i="2"/>
  <c r="I2027" i="2"/>
  <c r="E2027" i="2"/>
  <c r="I2026" i="2"/>
  <c r="F2026" i="2"/>
  <c r="E2026" i="2"/>
  <c r="I2025" i="2"/>
  <c r="E2025" i="2"/>
  <c r="I2024" i="2"/>
  <c r="E2024" i="2"/>
  <c r="I2023" i="2"/>
  <c r="F2023" i="2"/>
  <c r="E2023" i="2"/>
  <c r="I2022" i="2"/>
  <c r="E2022" i="2"/>
  <c r="I2021" i="2"/>
  <c r="E2021" i="2"/>
  <c r="I2020" i="2"/>
  <c r="F2020" i="2"/>
  <c r="E2020" i="2"/>
  <c r="I2019" i="2"/>
  <c r="E2019" i="2"/>
  <c r="I2018" i="2"/>
  <c r="E2018" i="2"/>
  <c r="I2017" i="2"/>
  <c r="F2017" i="2"/>
  <c r="E2017" i="2"/>
  <c r="I2016" i="2"/>
  <c r="E2016" i="2"/>
  <c r="I2015" i="2"/>
  <c r="E2015" i="2"/>
  <c r="I2014" i="2"/>
  <c r="F2014" i="2"/>
  <c r="E2014" i="2"/>
  <c r="I2013" i="2"/>
  <c r="E2013" i="2"/>
  <c r="I2012" i="2"/>
  <c r="E2012" i="2"/>
  <c r="F2011" i="2"/>
  <c r="E2011" i="2"/>
  <c r="E2010" i="2"/>
  <c r="I2009" i="2"/>
  <c r="E2009" i="2"/>
  <c r="I2008" i="2"/>
  <c r="E2008" i="2"/>
  <c r="F2007" i="2"/>
  <c r="E2007" i="2"/>
  <c r="E2006" i="2"/>
  <c r="I2005" i="2"/>
  <c r="E2005" i="2"/>
  <c r="I2004" i="2"/>
  <c r="E2004" i="2"/>
  <c r="I2003" i="2"/>
  <c r="F2003" i="2"/>
  <c r="E2003" i="2"/>
  <c r="I2002" i="2"/>
  <c r="E2002" i="2"/>
  <c r="I2001" i="2"/>
  <c r="E2001" i="2"/>
  <c r="I2000" i="2"/>
  <c r="F2000" i="2"/>
  <c r="E2000" i="2"/>
  <c r="I1999" i="2"/>
  <c r="E1999" i="2"/>
  <c r="I1998" i="2"/>
  <c r="E1998" i="2"/>
  <c r="I1997" i="2"/>
  <c r="E1997" i="2"/>
  <c r="F1996" i="2"/>
  <c r="F1997" i="2" s="1"/>
  <c r="E1996" i="2"/>
  <c r="I1995" i="2"/>
  <c r="E1995" i="2"/>
  <c r="I1994" i="2"/>
  <c r="E1994" i="2"/>
  <c r="I1993" i="2"/>
  <c r="F1993" i="2"/>
  <c r="E1993" i="2"/>
  <c r="I1992" i="2"/>
  <c r="E1992" i="2"/>
  <c r="E1991" i="2"/>
  <c r="E1990" i="2"/>
  <c r="E1989" i="2"/>
  <c r="I1988" i="2"/>
  <c r="E1988" i="2"/>
  <c r="E1987" i="2"/>
  <c r="H1986" i="2"/>
  <c r="F1986" i="2"/>
  <c r="F1987" i="2" s="1"/>
  <c r="E1986" i="2"/>
  <c r="H1985" i="2"/>
  <c r="E1985" i="2"/>
  <c r="E1984" i="2"/>
  <c r="E1983" i="2"/>
  <c r="H1982" i="2"/>
  <c r="F1982" i="2"/>
  <c r="F1983" i="2" s="1"/>
  <c r="E1982" i="2"/>
  <c r="H1981" i="2"/>
  <c r="E1981" i="2"/>
  <c r="E1980" i="2"/>
  <c r="E1979" i="2"/>
  <c r="H1978" i="2"/>
  <c r="F1978" i="2"/>
  <c r="F1979" i="2" s="1"/>
  <c r="E1978" i="2"/>
  <c r="H1977" i="2"/>
  <c r="E1977" i="2"/>
  <c r="I1976" i="2"/>
  <c r="E1976" i="2"/>
  <c r="F1975" i="2"/>
  <c r="E1975" i="2"/>
  <c r="E1974" i="2"/>
  <c r="I1973" i="2"/>
  <c r="E1973" i="2"/>
  <c r="I1972" i="2"/>
  <c r="E1972" i="2"/>
  <c r="I1971" i="2"/>
  <c r="F1971" i="2"/>
  <c r="E1971" i="2"/>
  <c r="I1970" i="2"/>
  <c r="E1970" i="2"/>
  <c r="I1969" i="2"/>
  <c r="E1969" i="2"/>
  <c r="I1968" i="2"/>
  <c r="F1968" i="2"/>
  <c r="E1968" i="2"/>
  <c r="I1967" i="2"/>
  <c r="E1967" i="2"/>
  <c r="I1966" i="2"/>
  <c r="E1966" i="2"/>
  <c r="I1965" i="2"/>
  <c r="F1965" i="2"/>
  <c r="E1965" i="2"/>
  <c r="I1964" i="2"/>
  <c r="E1964" i="2"/>
  <c r="I1963" i="2"/>
  <c r="E1963" i="2"/>
  <c r="I1962" i="2"/>
  <c r="F1962" i="2"/>
  <c r="E1962" i="2"/>
  <c r="I1961" i="2"/>
  <c r="E1961" i="2"/>
  <c r="I1960" i="2"/>
  <c r="E1960" i="2"/>
  <c r="I1959" i="2"/>
  <c r="F1959" i="2"/>
  <c r="E1959" i="2"/>
  <c r="I1958" i="2"/>
  <c r="E1958" i="2"/>
  <c r="I1957" i="2"/>
  <c r="E1957" i="2"/>
  <c r="I1956" i="2"/>
  <c r="F1956" i="2"/>
  <c r="E1956" i="2"/>
  <c r="I1955" i="2"/>
  <c r="E1955" i="2"/>
  <c r="I1954" i="2"/>
  <c r="E1954" i="2"/>
  <c r="I1953" i="2"/>
  <c r="F1953" i="2"/>
  <c r="E1953" i="2"/>
  <c r="I1952" i="2"/>
  <c r="E1952" i="2"/>
  <c r="I1951" i="2"/>
  <c r="E1951" i="2"/>
  <c r="I1950" i="2"/>
  <c r="F1950" i="2"/>
  <c r="E1950" i="2"/>
  <c r="I1949" i="2"/>
  <c r="E1949" i="2"/>
  <c r="I1948" i="2"/>
  <c r="E1948" i="2"/>
  <c r="E1947" i="2"/>
  <c r="H1946" i="2"/>
  <c r="F1946" i="2"/>
  <c r="F1947" i="2" s="1"/>
  <c r="E1946" i="2"/>
  <c r="H1945" i="2"/>
  <c r="E1945" i="2"/>
  <c r="E1944" i="2"/>
  <c r="E1943" i="2"/>
  <c r="H1942" i="2"/>
  <c r="F1942" i="2"/>
  <c r="F1943" i="2" s="1"/>
  <c r="E1942" i="2"/>
  <c r="H1941" i="2"/>
  <c r="E1941" i="2"/>
  <c r="E1940" i="2"/>
  <c r="E1939" i="2"/>
  <c r="H1938" i="2"/>
  <c r="F1938" i="2"/>
  <c r="F1939" i="2" s="1"/>
  <c r="E1938" i="2"/>
  <c r="H1937" i="2"/>
  <c r="E1937" i="2"/>
  <c r="E1936" i="2"/>
  <c r="E1935" i="2"/>
  <c r="H1934" i="2"/>
  <c r="F1934" i="2"/>
  <c r="F1935" i="2" s="1"/>
  <c r="E1934" i="2"/>
  <c r="H1933" i="2"/>
  <c r="E1933" i="2"/>
  <c r="E1932" i="2"/>
  <c r="E1931" i="2"/>
  <c r="H1930" i="2"/>
  <c r="F1930" i="2"/>
  <c r="F1931" i="2" s="1"/>
  <c r="E1930" i="2"/>
  <c r="H1929" i="2"/>
  <c r="E1929" i="2"/>
  <c r="E1928" i="2"/>
  <c r="E1927" i="2"/>
  <c r="H1926" i="2"/>
  <c r="F1926" i="2"/>
  <c r="F1927" i="2" s="1"/>
  <c r="E1926" i="2"/>
  <c r="H1925" i="2"/>
  <c r="E1925" i="2"/>
  <c r="I1924" i="2"/>
  <c r="E1924" i="2"/>
  <c r="I1923" i="2"/>
  <c r="F1923" i="2"/>
  <c r="E1923" i="2"/>
  <c r="I1922" i="2"/>
  <c r="E1922" i="2"/>
  <c r="I1921" i="2"/>
  <c r="E1921" i="2"/>
  <c r="I1920" i="2"/>
  <c r="F1920" i="2"/>
  <c r="E1920" i="2"/>
  <c r="I1919" i="2"/>
  <c r="E1919" i="2"/>
  <c r="I1918" i="2"/>
  <c r="E1918" i="2"/>
  <c r="I1917" i="2"/>
  <c r="F1917" i="2"/>
  <c r="E1917" i="2"/>
  <c r="I1916" i="2"/>
  <c r="E1916" i="2"/>
  <c r="I1915" i="2"/>
  <c r="E1915" i="2"/>
  <c r="I1914" i="2"/>
  <c r="F1914" i="2"/>
  <c r="E1914" i="2"/>
  <c r="I1913" i="2"/>
  <c r="E1913" i="2"/>
  <c r="I1912" i="2"/>
  <c r="E1912" i="2"/>
  <c r="I1911" i="2"/>
  <c r="F1911" i="2"/>
  <c r="E1911" i="2"/>
  <c r="I1910" i="2"/>
  <c r="E1910" i="2"/>
  <c r="I1909" i="2"/>
  <c r="E1909" i="2"/>
  <c r="I1908" i="2"/>
  <c r="F1908" i="2"/>
  <c r="E1908" i="2"/>
  <c r="I1907" i="2"/>
  <c r="E1907" i="2"/>
  <c r="I1906" i="2"/>
  <c r="E1906" i="2"/>
  <c r="I1905" i="2"/>
  <c r="F1905" i="2"/>
  <c r="E1905" i="2"/>
  <c r="I1904" i="2"/>
  <c r="E1904" i="2"/>
  <c r="I1903" i="2"/>
  <c r="E1903" i="2"/>
  <c r="F1902" i="2"/>
  <c r="E1902" i="2"/>
  <c r="E1901" i="2"/>
  <c r="I1900" i="2"/>
  <c r="E1900" i="2"/>
  <c r="I1899" i="2"/>
  <c r="E1899" i="2"/>
  <c r="I1898" i="2"/>
  <c r="F1898" i="2"/>
  <c r="E1898" i="2"/>
  <c r="I1897" i="2"/>
  <c r="E1897" i="2"/>
  <c r="I1896" i="2"/>
  <c r="E1896" i="2"/>
  <c r="I1895" i="2"/>
  <c r="F1895" i="2"/>
  <c r="E1895" i="2"/>
  <c r="I1894" i="2"/>
  <c r="E1894" i="2"/>
  <c r="I1893" i="2"/>
  <c r="E1893" i="2"/>
  <c r="I1892" i="2"/>
  <c r="F1892" i="2"/>
  <c r="E1892" i="2"/>
  <c r="E1891" i="2"/>
  <c r="I1890" i="2"/>
  <c r="E1890" i="2"/>
  <c r="I1889" i="2"/>
  <c r="E1889" i="2"/>
  <c r="I1888" i="2"/>
  <c r="F1888" i="2"/>
  <c r="E1888" i="2"/>
  <c r="I1887" i="2"/>
  <c r="E1887" i="2"/>
  <c r="I1886" i="2"/>
  <c r="E1886" i="2"/>
  <c r="I1885" i="2"/>
  <c r="F1885" i="2"/>
  <c r="E1885" i="2"/>
  <c r="E1884" i="2"/>
  <c r="I1883" i="2"/>
  <c r="E1883" i="2"/>
  <c r="I1882" i="2"/>
  <c r="E1882" i="2"/>
  <c r="I1881" i="2"/>
  <c r="F1881" i="2"/>
  <c r="E1881" i="2"/>
  <c r="E1880" i="2"/>
  <c r="I1879" i="2"/>
  <c r="E1879" i="2"/>
  <c r="I1878" i="2"/>
  <c r="E1878" i="2"/>
  <c r="I1877" i="2"/>
  <c r="F1877" i="2"/>
  <c r="E1877" i="2"/>
  <c r="E1876" i="2"/>
  <c r="I1875" i="2"/>
  <c r="E1875" i="2"/>
  <c r="I1874" i="2"/>
  <c r="E1874" i="2"/>
  <c r="I1873" i="2"/>
  <c r="F1873" i="2"/>
  <c r="E1873" i="2"/>
  <c r="E1872" i="2"/>
  <c r="I1871" i="2"/>
  <c r="E1871" i="2"/>
  <c r="I1870" i="2"/>
  <c r="E1870" i="2"/>
  <c r="I1869" i="2"/>
  <c r="F1869" i="2"/>
  <c r="E1869" i="2"/>
  <c r="I1868" i="2"/>
  <c r="E1868" i="2"/>
  <c r="I1867" i="2"/>
  <c r="E1867" i="2"/>
  <c r="I1866" i="2"/>
  <c r="F1866" i="2"/>
  <c r="E1866" i="2"/>
  <c r="E1865" i="2"/>
  <c r="I1864" i="2"/>
  <c r="E1864" i="2"/>
  <c r="I1863" i="2"/>
  <c r="E1863" i="2"/>
  <c r="I1862" i="2"/>
  <c r="F1862" i="2"/>
  <c r="E1862" i="2"/>
  <c r="E1861" i="2"/>
  <c r="I1860" i="2"/>
  <c r="E1860" i="2"/>
  <c r="I1859" i="2"/>
  <c r="E1859" i="2"/>
  <c r="I1858" i="2"/>
  <c r="F1858" i="2"/>
  <c r="E1858" i="2"/>
  <c r="E1857" i="2"/>
  <c r="I1856" i="2"/>
  <c r="E1856" i="2"/>
  <c r="I1855" i="2"/>
  <c r="E1855" i="2"/>
  <c r="I1854" i="2"/>
  <c r="F1854" i="2"/>
  <c r="E1854" i="2"/>
  <c r="I1853" i="2"/>
  <c r="E1853" i="2"/>
  <c r="I1852" i="2"/>
  <c r="E1852" i="2"/>
  <c r="I1851" i="2"/>
  <c r="F1851" i="2"/>
  <c r="E1851" i="2"/>
  <c r="E1850" i="2"/>
  <c r="I1849" i="2"/>
  <c r="E1849" i="2"/>
  <c r="I1848" i="2"/>
  <c r="E1848" i="2"/>
  <c r="I1847" i="2"/>
  <c r="E1847" i="2"/>
  <c r="F1846" i="2"/>
  <c r="F1847" i="2" s="1"/>
  <c r="E1846" i="2"/>
  <c r="I1845" i="2"/>
  <c r="E1845" i="2"/>
  <c r="I1844" i="2"/>
  <c r="E1844" i="2"/>
  <c r="I1843" i="2"/>
  <c r="F1843" i="2"/>
  <c r="E1843" i="2"/>
  <c r="I1842" i="2"/>
  <c r="E1842" i="2"/>
  <c r="E1841" i="2"/>
  <c r="E1840" i="2"/>
  <c r="E1839" i="2"/>
  <c r="I1838" i="2"/>
  <c r="E1838" i="2"/>
  <c r="I1837" i="2"/>
  <c r="F1837" i="2"/>
  <c r="E1837" i="2"/>
  <c r="I1836" i="2"/>
  <c r="E1836" i="2"/>
  <c r="I1835" i="2"/>
  <c r="E1835" i="2"/>
  <c r="I1834" i="2"/>
  <c r="F1834" i="2"/>
  <c r="E1834" i="2"/>
  <c r="I1833" i="2"/>
  <c r="E1833" i="2"/>
  <c r="I1832" i="2"/>
  <c r="E1832" i="2"/>
  <c r="I1831" i="2"/>
  <c r="F1831" i="2"/>
  <c r="E1831" i="2"/>
  <c r="I1830" i="2"/>
  <c r="E1830" i="2"/>
  <c r="I1829" i="2"/>
  <c r="E1829" i="2"/>
  <c r="I1828" i="2"/>
  <c r="F1828" i="2"/>
  <c r="E1828" i="2"/>
  <c r="I1827" i="2"/>
  <c r="E1827" i="2"/>
  <c r="I1826" i="2"/>
  <c r="E1826" i="2"/>
  <c r="I1825" i="2"/>
  <c r="F1825" i="2"/>
  <c r="E1825" i="2"/>
  <c r="I1824" i="2"/>
  <c r="E1824" i="2"/>
  <c r="I1823" i="2"/>
  <c r="E1823" i="2"/>
  <c r="I1822" i="2"/>
  <c r="F1822" i="2"/>
  <c r="E1822" i="2"/>
  <c r="E1821" i="2"/>
  <c r="I1820" i="2"/>
  <c r="E1820" i="2"/>
  <c r="I1819" i="2"/>
  <c r="E1819" i="2"/>
  <c r="I1818" i="2"/>
  <c r="F1818" i="2"/>
  <c r="E1818" i="2"/>
  <c r="I1817" i="2"/>
  <c r="E1817" i="2"/>
  <c r="I1816" i="2"/>
  <c r="E1816" i="2"/>
  <c r="I1815" i="2"/>
  <c r="F1815" i="2"/>
  <c r="E1815" i="2"/>
  <c r="I1814" i="2"/>
  <c r="E1814" i="2"/>
  <c r="I1813" i="2"/>
  <c r="E1813" i="2"/>
  <c r="I1812" i="2"/>
  <c r="F1812" i="2"/>
  <c r="E1812" i="2"/>
  <c r="I1811" i="2"/>
  <c r="E1811" i="2"/>
  <c r="I1810" i="2"/>
  <c r="E1810" i="2"/>
  <c r="I1809" i="2"/>
  <c r="F1809" i="2"/>
  <c r="E1809" i="2"/>
  <c r="I1808" i="2"/>
  <c r="E1808" i="2"/>
  <c r="I1807" i="2"/>
  <c r="E1807" i="2"/>
  <c r="I1806" i="2"/>
  <c r="F1806" i="2"/>
  <c r="E1806" i="2"/>
  <c r="E1805" i="2"/>
  <c r="I1804" i="2"/>
  <c r="E1804" i="2"/>
  <c r="E1803" i="2"/>
  <c r="E1802" i="2"/>
  <c r="E1801" i="2"/>
  <c r="E1800" i="2"/>
  <c r="E1799" i="2"/>
  <c r="E1798" i="2"/>
  <c r="H1797" i="2"/>
  <c r="E1797" i="2"/>
  <c r="I1796" i="2"/>
  <c r="E1796" i="2"/>
  <c r="I1795" i="2"/>
  <c r="F1795" i="2"/>
  <c r="E1795" i="2"/>
  <c r="I1794" i="2"/>
  <c r="E1794" i="2"/>
  <c r="I1793" i="2"/>
  <c r="E1793" i="2"/>
  <c r="I1792" i="2"/>
  <c r="F1792" i="2"/>
  <c r="E1792" i="2"/>
  <c r="I1791" i="2"/>
  <c r="E1791" i="2"/>
  <c r="I1790" i="2"/>
  <c r="E1790" i="2"/>
  <c r="I1789" i="2"/>
  <c r="F1789" i="2"/>
  <c r="E1789" i="2"/>
  <c r="I1788" i="2"/>
  <c r="E1788" i="2"/>
  <c r="I1787" i="2"/>
  <c r="E1787" i="2"/>
  <c r="I1786" i="2"/>
  <c r="F1786" i="2"/>
  <c r="E1786" i="2"/>
  <c r="I1785" i="2"/>
  <c r="E1785" i="2"/>
  <c r="I1784" i="2"/>
  <c r="E1784" i="2"/>
  <c r="I1783" i="2"/>
  <c r="F1783" i="2"/>
  <c r="E1783" i="2"/>
  <c r="I1782" i="2"/>
  <c r="E1782" i="2"/>
  <c r="I1781" i="2"/>
  <c r="E1781" i="2"/>
  <c r="I1780" i="2"/>
  <c r="F1780" i="2"/>
  <c r="E1780" i="2"/>
  <c r="E1779" i="2"/>
  <c r="I1778" i="2"/>
  <c r="E1778" i="2"/>
  <c r="I1777" i="2"/>
  <c r="E1777" i="2"/>
  <c r="I1776" i="2"/>
  <c r="F1776" i="2"/>
  <c r="E1776" i="2"/>
  <c r="E1775" i="2"/>
  <c r="I1774" i="2"/>
  <c r="E1774" i="2"/>
  <c r="I1773" i="2"/>
  <c r="E1773" i="2"/>
  <c r="I1772" i="2"/>
  <c r="F1772" i="2"/>
  <c r="E1772" i="2"/>
  <c r="E1771" i="2"/>
  <c r="I1770" i="2"/>
  <c r="E1770" i="2"/>
  <c r="I1769" i="2"/>
  <c r="E1769" i="2"/>
  <c r="I1768" i="2"/>
  <c r="F1768" i="2"/>
  <c r="E1768" i="2"/>
  <c r="E1767" i="2"/>
  <c r="I1766" i="2"/>
  <c r="E1766" i="2"/>
  <c r="I1765" i="2"/>
  <c r="E1765" i="2"/>
  <c r="I1764" i="2"/>
  <c r="F1764" i="2"/>
  <c r="E1764" i="2"/>
  <c r="E1763" i="2"/>
  <c r="I1762" i="2"/>
  <c r="E1762" i="2"/>
  <c r="I1761" i="2"/>
  <c r="E1761" i="2"/>
  <c r="I1760" i="2"/>
  <c r="F1760" i="2"/>
  <c r="E1760" i="2"/>
  <c r="I1759" i="2"/>
  <c r="E1759" i="2"/>
  <c r="I1758" i="2"/>
  <c r="E1758" i="2"/>
  <c r="I1757" i="2"/>
  <c r="F1757" i="2"/>
  <c r="E1757" i="2"/>
  <c r="I1756" i="2"/>
  <c r="E1756" i="2"/>
  <c r="I1755" i="2"/>
  <c r="E1755" i="2"/>
  <c r="I1754" i="2"/>
  <c r="F1754" i="2"/>
  <c r="E1754" i="2"/>
  <c r="E1753" i="2"/>
  <c r="I1752" i="2"/>
  <c r="E1752" i="2"/>
  <c r="I1751" i="2"/>
  <c r="E1751" i="2"/>
  <c r="I1750" i="2"/>
  <c r="F1750" i="2"/>
  <c r="E1750" i="2"/>
  <c r="E1749" i="2"/>
  <c r="I1748" i="2"/>
  <c r="E1748" i="2"/>
  <c r="I1747" i="2"/>
  <c r="E1747" i="2"/>
  <c r="I1746" i="2"/>
  <c r="F1746" i="2"/>
  <c r="E1746" i="2"/>
  <c r="I1745" i="2"/>
  <c r="E1745" i="2"/>
  <c r="I1744" i="2"/>
  <c r="E1744" i="2"/>
  <c r="I1743" i="2"/>
  <c r="F1743" i="2"/>
  <c r="E1743" i="2"/>
  <c r="E1742" i="2"/>
  <c r="I1741" i="2"/>
  <c r="E1741" i="2"/>
  <c r="I1740" i="2"/>
  <c r="E1740" i="2"/>
  <c r="I1739" i="2"/>
  <c r="F1739" i="2"/>
  <c r="E1739" i="2"/>
  <c r="I1738" i="2"/>
  <c r="E1738" i="2"/>
  <c r="I1737" i="2"/>
  <c r="E1737" i="2"/>
  <c r="I1736" i="2"/>
  <c r="F1736" i="2"/>
  <c r="E1736" i="2"/>
  <c r="I1735" i="2"/>
  <c r="E1735" i="2"/>
  <c r="I1734" i="2"/>
  <c r="E1734" i="2"/>
  <c r="I1733" i="2"/>
  <c r="F1733" i="2"/>
  <c r="E1733" i="2"/>
  <c r="I1732" i="2"/>
  <c r="E1732" i="2"/>
  <c r="I1731" i="2"/>
  <c r="E1731" i="2"/>
  <c r="I1730" i="2"/>
  <c r="F1730" i="2"/>
  <c r="E1730" i="2"/>
  <c r="I1729" i="2"/>
  <c r="E1729" i="2"/>
  <c r="I1728" i="2"/>
  <c r="E1728" i="2"/>
  <c r="I1727" i="2"/>
  <c r="F1727" i="2"/>
  <c r="E1727" i="2"/>
  <c r="I1726" i="2"/>
  <c r="E1726" i="2"/>
  <c r="I1725" i="2"/>
  <c r="E1725" i="2"/>
  <c r="I1724" i="2"/>
  <c r="F1724" i="2"/>
  <c r="E1724" i="2"/>
  <c r="I1723" i="2"/>
  <c r="E1723" i="2"/>
  <c r="I1722" i="2"/>
  <c r="E1722" i="2"/>
  <c r="I1721" i="2"/>
  <c r="F1721" i="2"/>
  <c r="E1721" i="2"/>
  <c r="I1720" i="2"/>
  <c r="E1720" i="2"/>
  <c r="I1719" i="2"/>
  <c r="E1719" i="2"/>
  <c r="I1718" i="2"/>
  <c r="F1718" i="2"/>
  <c r="E1718" i="2"/>
  <c r="I1717" i="2"/>
  <c r="E1717" i="2"/>
  <c r="I1716" i="2"/>
  <c r="E1716" i="2"/>
  <c r="I1715" i="2"/>
  <c r="F1715" i="2"/>
  <c r="E1715" i="2"/>
  <c r="I1714" i="2"/>
  <c r="E1714" i="2"/>
  <c r="I1713" i="2"/>
  <c r="E1713" i="2"/>
  <c r="F1712" i="2"/>
  <c r="E1712" i="2"/>
  <c r="E1711" i="2"/>
  <c r="I1710" i="2"/>
  <c r="E1710" i="2"/>
  <c r="I1709" i="2"/>
  <c r="E1709" i="2"/>
  <c r="I1708" i="2"/>
  <c r="F1708" i="2"/>
  <c r="E1708" i="2"/>
  <c r="I1707" i="2"/>
  <c r="E1707" i="2"/>
  <c r="I1706" i="2"/>
  <c r="E1706" i="2"/>
  <c r="I1705" i="2"/>
  <c r="F1705" i="2"/>
  <c r="E1705" i="2"/>
  <c r="I1704" i="2"/>
  <c r="E1704" i="2"/>
  <c r="I1703" i="2"/>
  <c r="E1703" i="2"/>
  <c r="I1702" i="2"/>
  <c r="F1702" i="2"/>
  <c r="E1702" i="2"/>
  <c r="I1701" i="2"/>
  <c r="E1701" i="2"/>
  <c r="I1700" i="2"/>
  <c r="E1700" i="2"/>
  <c r="I1699" i="2"/>
  <c r="F1699" i="2"/>
  <c r="E1699" i="2"/>
  <c r="I1698" i="2"/>
  <c r="E1698" i="2"/>
  <c r="I1697" i="2"/>
  <c r="E1697" i="2"/>
  <c r="I1696" i="2"/>
  <c r="F1696" i="2"/>
  <c r="E1696" i="2"/>
  <c r="I1695" i="2"/>
  <c r="E1695" i="2"/>
  <c r="I1694" i="2"/>
  <c r="E1694" i="2"/>
  <c r="I1693" i="2"/>
  <c r="F1693" i="2"/>
  <c r="E1693" i="2"/>
  <c r="I1692" i="2"/>
  <c r="E1692" i="2"/>
  <c r="I1691" i="2"/>
  <c r="E1691" i="2"/>
  <c r="E1690" i="2"/>
  <c r="H1689" i="2"/>
  <c r="F1689" i="2"/>
  <c r="F1690" i="2" s="1"/>
  <c r="E1689" i="2"/>
  <c r="C1689" i="2"/>
  <c r="C1690" i="2" s="1"/>
  <c r="H1688" i="2"/>
  <c r="E1688" i="2"/>
  <c r="E1687" i="2"/>
  <c r="E1686" i="2"/>
  <c r="H1685" i="2"/>
  <c r="F1685" i="2"/>
  <c r="F1686" i="2" s="1"/>
  <c r="E1685" i="2"/>
  <c r="C1685" i="2"/>
  <c r="C1686" i="2" s="1"/>
  <c r="H1684" i="2"/>
  <c r="E1684" i="2"/>
  <c r="E1683" i="2"/>
  <c r="E1682" i="2"/>
  <c r="H1681" i="2"/>
  <c r="F1681" i="2"/>
  <c r="F1682" i="2" s="1"/>
  <c r="E1681" i="2"/>
  <c r="C1681" i="2"/>
  <c r="C1682" i="2" s="1"/>
  <c r="H1680" i="2"/>
  <c r="E1680" i="2"/>
  <c r="E1679" i="2"/>
  <c r="E1678" i="2"/>
  <c r="H1677" i="2"/>
  <c r="F1677" i="2"/>
  <c r="F1678" i="2" s="1"/>
  <c r="E1677" i="2"/>
  <c r="C1677" i="2"/>
  <c r="C1678" i="2" s="1"/>
  <c r="H1676" i="2"/>
  <c r="E1676" i="2"/>
  <c r="E1675" i="2"/>
  <c r="E1674" i="2"/>
  <c r="H1673" i="2"/>
  <c r="F1673" i="2"/>
  <c r="F1674" i="2" s="1"/>
  <c r="E1673" i="2"/>
  <c r="C1673" i="2"/>
  <c r="C1674" i="2" s="1"/>
  <c r="H1672" i="2"/>
  <c r="E1672" i="2"/>
  <c r="E1671" i="2"/>
  <c r="E1670" i="2"/>
  <c r="H1669" i="2"/>
  <c r="F1669" i="2"/>
  <c r="F1670" i="2" s="1"/>
  <c r="E1669" i="2"/>
  <c r="C1669" i="2"/>
  <c r="C1670" i="2" s="1"/>
  <c r="H1668" i="2"/>
  <c r="E1668" i="2"/>
  <c r="E1667" i="2"/>
  <c r="E1666" i="2"/>
  <c r="H1665" i="2"/>
  <c r="F1665" i="2"/>
  <c r="F1666" i="2" s="1"/>
  <c r="E1665" i="2"/>
  <c r="C1665" i="2"/>
  <c r="C1666" i="2" s="1"/>
  <c r="H1664" i="2"/>
  <c r="E1664" i="2"/>
  <c r="E1663" i="2"/>
  <c r="E1662" i="2"/>
  <c r="H1661" i="2"/>
  <c r="F1661" i="2"/>
  <c r="F1662" i="2" s="1"/>
  <c r="E1661" i="2"/>
  <c r="C1661" i="2"/>
  <c r="C1662" i="2" s="1"/>
  <c r="H1660" i="2"/>
  <c r="E1660" i="2"/>
  <c r="E1659" i="2"/>
  <c r="E1658" i="2"/>
  <c r="H1657" i="2"/>
  <c r="F1657" i="2"/>
  <c r="F1658" i="2" s="1"/>
  <c r="E1657" i="2"/>
  <c r="C1657" i="2"/>
  <c r="C1658" i="2" s="1"/>
  <c r="H1656" i="2"/>
  <c r="E1656" i="2"/>
  <c r="I1655" i="2"/>
  <c r="E1655" i="2"/>
  <c r="I1654" i="2"/>
  <c r="F1654" i="2"/>
  <c r="E1654" i="2"/>
  <c r="I1653" i="2"/>
  <c r="E1653" i="2"/>
  <c r="I1652" i="2"/>
  <c r="E1652" i="2"/>
  <c r="I1651" i="2"/>
  <c r="F1651" i="2"/>
  <c r="E1651" i="2"/>
  <c r="I1650" i="2"/>
  <c r="E1650" i="2"/>
  <c r="I1649" i="2"/>
  <c r="E1649" i="2"/>
  <c r="I1648" i="2"/>
  <c r="F1648" i="2"/>
  <c r="E1648" i="2"/>
  <c r="I1647" i="2"/>
  <c r="E1647" i="2"/>
  <c r="I1646" i="2"/>
  <c r="E1646" i="2"/>
  <c r="I1645" i="2"/>
  <c r="F1645" i="2"/>
  <c r="E1645" i="2"/>
  <c r="I1644" i="2"/>
  <c r="E1644" i="2"/>
  <c r="I1643" i="2"/>
  <c r="E1643" i="2"/>
  <c r="I1642" i="2"/>
  <c r="F1642" i="2"/>
  <c r="E1642" i="2"/>
  <c r="I1641" i="2"/>
  <c r="E1641" i="2"/>
  <c r="I1640" i="2"/>
  <c r="E1640" i="2"/>
  <c r="I1639" i="2"/>
  <c r="E1639" i="2"/>
  <c r="E1638" i="2"/>
  <c r="I1637" i="2"/>
  <c r="E1637" i="2"/>
  <c r="I1636" i="2"/>
  <c r="E1636" i="2"/>
  <c r="I1635" i="2"/>
  <c r="F1635" i="2"/>
  <c r="E1635" i="2"/>
  <c r="I1634" i="2"/>
  <c r="E1634" i="2"/>
  <c r="I1633" i="2"/>
  <c r="E1633" i="2"/>
  <c r="I1632" i="2"/>
  <c r="F1632" i="2"/>
  <c r="E1632" i="2"/>
  <c r="E1631" i="2"/>
  <c r="I1630" i="2"/>
  <c r="E1630" i="2"/>
  <c r="I1629" i="2"/>
  <c r="E1629" i="2"/>
  <c r="I1628" i="2"/>
  <c r="F1628" i="2"/>
  <c r="E1628" i="2"/>
  <c r="I1627" i="2"/>
  <c r="E1627" i="2"/>
  <c r="I1626" i="2"/>
  <c r="E1626" i="2"/>
  <c r="I1625" i="2"/>
  <c r="F1625" i="2"/>
  <c r="E1625" i="2"/>
  <c r="I1624" i="2"/>
  <c r="E1624" i="2"/>
  <c r="I1623" i="2"/>
  <c r="E1623" i="2"/>
  <c r="I1622" i="2"/>
  <c r="F1622" i="2"/>
  <c r="E1622" i="2"/>
  <c r="E1621" i="2"/>
  <c r="I1620" i="2"/>
  <c r="E1620" i="2"/>
  <c r="I1619" i="2"/>
  <c r="E1619" i="2"/>
  <c r="I1618" i="2"/>
  <c r="F1618" i="2"/>
  <c r="E1618" i="2"/>
  <c r="I1617" i="2"/>
  <c r="E1617" i="2"/>
  <c r="I1616" i="2"/>
  <c r="E1616" i="2"/>
  <c r="E1615" i="2"/>
  <c r="E1614" i="2"/>
  <c r="F1613" i="2"/>
  <c r="E1613" i="2"/>
  <c r="I1612" i="2"/>
  <c r="E1612" i="2"/>
  <c r="I1611" i="2"/>
  <c r="E1611" i="2"/>
  <c r="I1610" i="2"/>
  <c r="F1610" i="2"/>
  <c r="E1610" i="2"/>
  <c r="I1609" i="2"/>
  <c r="E1609" i="2"/>
  <c r="I1608" i="2"/>
  <c r="E1608" i="2"/>
  <c r="I1607" i="2"/>
  <c r="F1607" i="2"/>
  <c r="E1607" i="2"/>
  <c r="I1606" i="2"/>
  <c r="E1606" i="2"/>
  <c r="I1605" i="2"/>
  <c r="E1605" i="2"/>
  <c r="I1604" i="2"/>
  <c r="F1604" i="2"/>
  <c r="E1604" i="2"/>
  <c r="I1603" i="2"/>
  <c r="E1603" i="2"/>
  <c r="I1602" i="2"/>
  <c r="E1602" i="2"/>
  <c r="I1601" i="2"/>
  <c r="F1601" i="2"/>
  <c r="E1601" i="2"/>
  <c r="E1600" i="2"/>
  <c r="I1599" i="2"/>
  <c r="E1599" i="2"/>
  <c r="I1598" i="2"/>
  <c r="E1598" i="2"/>
  <c r="I1597" i="2"/>
  <c r="F1597" i="2"/>
  <c r="E1597" i="2"/>
  <c r="E1596" i="2"/>
  <c r="E1595" i="2"/>
  <c r="E1594" i="2"/>
  <c r="F1593" i="2"/>
  <c r="E1593" i="2"/>
  <c r="E1592" i="2"/>
  <c r="E1591" i="2"/>
  <c r="E1590" i="2"/>
  <c r="H1589" i="2"/>
  <c r="F1589" i="2"/>
  <c r="F1590" i="2" s="1"/>
  <c r="E1589" i="2"/>
  <c r="C1589" i="2"/>
  <c r="C1590" i="2" s="1"/>
  <c r="H1588" i="2"/>
  <c r="E1588" i="2"/>
  <c r="E1587" i="2"/>
  <c r="E1586" i="2"/>
  <c r="H1585" i="2"/>
  <c r="F1585" i="2"/>
  <c r="F1586" i="2" s="1"/>
  <c r="E1585" i="2"/>
  <c r="C1585" i="2"/>
  <c r="C1586" i="2" s="1"/>
  <c r="H1584" i="2"/>
  <c r="E1584" i="2"/>
  <c r="E1583" i="2"/>
  <c r="E1582" i="2"/>
  <c r="H1581" i="2"/>
  <c r="F1581" i="2"/>
  <c r="F1582" i="2" s="1"/>
  <c r="E1581" i="2"/>
  <c r="C1581" i="2"/>
  <c r="C1582" i="2" s="1"/>
  <c r="H1580" i="2"/>
  <c r="E1580" i="2"/>
  <c r="E1579" i="2"/>
  <c r="I1578" i="2"/>
  <c r="F1578" i="2"/>
  <c r="E1578" i="2"/>
  <c r="C1578" i="2"/>
  <c r="B1578" i="2"/>
  <c r="E1577" i="2"/>
  <c r="E1576" i="2"/>
  <c r="I1575" i="2"/>
  <c r="F1575" i="2"/>
  <c r="E1575" i="2"/>
  <c r="C1575" i="2"/>
  <c r="B1575" i="2"/>
  <c r="E1574" i="2"/>
  <c r="E1573" i="2"/>
  <c r="I1572" i="2"/>
  <c r="F1572" i="2"/>
  <c r="E1572" i="2"/>
  <c r="E1571" i="2"/>
  <c r="C1571" i="2"/>
  <c r="C1572" i="2" s="1"/>
  <c r="E1570" i="2"/>
  <c r="E1569" i="2"/>
  <c r="I1568" i="2"/>
  <c r="F1568" i="2"/>
  <c r="E1568" i="2"/>
  <c r="C1568" i="2"/>
  <c r="B1568" i="2"/>
  <c r="E1567" i="2"/>
  <c r="E1566" i="2"/>
  <c r="I1565" i="2"/>
  <c r="F1565" i="2"/>
  <c r="E1565" i="2"/>
  <c r="C1565" i="2"/>
  <c r="B1565" i="2"/>
  <c r="E1564" i="2"/>
  <c r="E1563" i="2"/>
  <c r="I1562" i="2"/>
  <c r="F1562" i="2"/>
  <c r="E1562" i="2"/>
  <c r="C1562" i="2"/>
  <c r="B1562" i="2"/>
  <c r="E1561" i="2"/>
  <c r="E1560" i="2"/>
  <c r="I1559" i="2"/>
  <c r="F1559" i="2"/>
  <c r="E1559" i="2"/>
  <c r="C1559" i="2"/>
  <c r="B1559" i="2"/>
  <c r="E1558" i="2"/>
  <c r="E1557" i="2"/>
  <c r="I1556" i="2"/>
  <c r="F1556" i="2"/>
  <c r="E1556" i="2"/>
  <c r="C1556" i="2"/>
  <c r="B1556" i="2"/>
  <c r="E1555" i="2"/>
  <c r="E1554" i="2"/>
  <c r="E1553" i="2"/>
  <c r="H1552" i="2"/>
  <c r="F1552" i="2"/>
  <c r="F1553" i="2" s="1"/>
  <c r="E1552" i="2"/>
  <c r="C1552" i="2"/>
  <c r="C1553" i="2" s="1"/>
  <c r="B1552" i="2"/>
  <c r="B1553" i="2" s="1"/>
  <c r="H1551" i="2"/>
  <c r="E1551" i="2"/>
  <c r="E1550" i="2"/>
  <c r="I1549" i="2"/>
  <c r="F1549" i="2"/>
  <c r="E1549" i="2"/>
  <c r="C1549" i="2"/>
  <c r="E1548" i="2"/>
  <c r="E1547" i="2"/>
  <c r="I1546" i="2"/>
  <c r="F1546" i="2"/>
  <c r="E1546" i="2"/>
  <c r="C1546" i="2"/>
  <c r="B1546" i="2"/>
  <c r="E1545" i="2"/>
  <c r="E1544" i="2"/>
  <c r="F1543" i="2"/>
  <c r="E1543" i="2"/>
  <c r="C1543" i="2"/>
  <c r="B1543" i="2"/>
  <c r="E1542" i="2"/>
  <c r="E1541" i="2"/>
  <c r="E1540" i="2"/>
  <c r="I1539" i="2"/>
  <c r="F1539" i="2"/>
  <c r="E1539" i="2"/>
  <c r="C1539" i="2"/>
  <c r="B1539" i="2"/>
  <c r="E1538" i="2"/>
  <c r="E1537" i="2"/>
  <c r="F1536" i="2"/>
  <c r="E1536" i="2"/>
  <c r="C1536" i="2"/>
  <c r="B1536" i="2"/>
  <c r="E1535" i="2"/>
  <c r="E1534" i="2"/>
  <c r="E1533" i="2"/>
  <c r="I1532" i="2"/>
  <c r="F1532" i="2"/>
  <c r="E1532" i="2"/>
  <c r="C1532" i="2"/>
  <c r="B1532" i="2"/>
  <c r="E1531" i="2"/>
  <c r="E1530" i="2"/>
  <c r="F1529" i="2"/>
  <c r="E1529" i="2"/>
  <c r="C1529" i="2"/>
  <c r="B1529" i="2"/>
  <c r="E1528" i="2"/>
  <c r="E1527" i="2"/>
  <c r="E1526" i="2"/>
  <c r="I1525" i="2"/>
  <c r="F1525" i="2"/>
  <c r="E1525" i="2"/>
  <c r="C1525" i="2"/>
  <c r="B1525" i="2"/>
  <c r="E1524" i="2"/>
  <c r="E1523" i="2"/>
  <c r="I1522" i="2"/>
  <c r="F1522" i="2"/>
  <c r="E1522" i="2"/>
  <c r="C1522" i="2"/>
  <c r="B1522" i="2"/>
  <c r="E1521" i="2"/>
  <c r="E1520" i="2"/>
  <c r="I1519" i="2"/>
  <c r="F1519" i="2"/>
  <c r="E1519" i="2"/>
  <c r="C1519" i="2"/>
  <c r="B1519" i="2"/>
  <c r="E1518" i="2"/>
  <c r="E1517" i="2"/>
  <c r="I1516" i="2"/>
  <c r="F1516" i="2"/>
  <c r="E1516" i="2"/>
  <c r="C1516" i="2"/>
  <c r="B1516" i="2"/>
  <c r="E1515" i="2"/>
  <c r="E1514" i="2"/>
  <c r="I1513" i="2"/>
  <c r="F1513" i="2"/>
  <c r="E1513" i="2"/>
  <c r="C1513" i="2"/>
  <c r="B1513" i="2"/>
  <c r="E1512" i="2"/>
  <c r="E1511" i="2"/>
  <c r="I1510" i="2"/>
  <c r="F1510" i="2"/>
  <c r="E1510" i="2"/>
  <c r="C1510" i="2"/>
  <c r="B1510" i="2"/>
  <c r="E1509" i="2"/>
  <c r="E1508" i="2"/>
  <c r="I1507" i="2"/>
  <c r="F1507" i="2"/>
  <c r="E1507" i="2"/>
  <c r="C1507" i="2"/>
  <c r="B1507" i="2"/>
  <c r="E1506" i="2"/>
  <c r="E1505" i="2"/>
  <c r="I1504" i="2"/>
  <c r="F1504" i="2"/>
  <c r="E1504" i="2"/>
  <c r="C1504" i="2"/>
  <c r="B1504" i="2"/>
  <c r="E1503" i="2"/>
  <c r="E1502" i="2"/>
  <c r="I1501" i="2"/>
  <c r="F1501" i="2"/>
  <c r="E1501" i="2"/>
  <c r="C1501" i="2"/>
  <c r="B1501" i="2"/>
  <c r="E1500" i="2"/>
  <c r="E1499" i="2"/>
  <c r="F1498" i="2"/>
  <c r="E1498" i="2"/>
  <c r="C1498" i="2"/>
  <c r="B1498" i="2"/>
  <c r="E1497" i="2"/>
  <c r="E1496" i="2"/>
  <c r="E1495" i="2"/>
  <c r="I1494" i="2"/>
  <c r="F1494" i="2"/>
  <c r="E1494" i="2"/>
  <c r="C1494" i="2"/>
  <c r="B1494" i="2"/>
  <c r="E1493" i="2"/>
  <c r="E1492" i="2"/>
  <c r="F1491" i="2"/>
  <c r="E1491" i="2"/>
  <c r="C1491" i="2"/>
  <c r="B1491" i="2"/>
  <c r="E1490" i="2"/>
  <c r="E1489" i="2"/>
  <c r="E1488" i="2"/>
  <c r="I1487" i="2"/>
  <c r="F1487" i="2"/>
  <c r="E1487" i="2"/>
  <c r="C1487" i="2"/>
  <c r="B1487" i="2"/>
  <c r="E1486" i="2"/>
  <c r="E1485" i="2"/>
  <c r="I1484" i="2"/>
  <c r="F1484" i="2"/>
  <c r="E1484" i="2"/>
  <c r="C1484" i="2"/>
  <c r="B1484" i="2"/>
  <c r="E1483" i="2"/>
  <c r="E1482" i="2"/>
  <c r="I1481" i="2"/>
  <c r="F1481" i="2"/>
  <c r="E1481" i="2"/>
  <c r="C1481" i="2"/>
  <c r="B1481" i="2"/>
  <c r="E1480" i="2"/>
  <c r="E1479" i="2"/>
  <c r="F1478" i="2"/>
  <c r="E1478" i="2"/>
  <c r="C1478" i="2"/>
  <c r="B1478" i="2"/>
  <c r="E1477" i="2"/>
  <c r="E1476" i="2"/>
  <c r="E1475" i="2"/>
  <c r="F1474" i="2"/>
  <c r="E1474" i="2"/>
  <c r="C1474" i="2"/>
  <c r="B1474" i="2"/>
  <c r="E1473" i="2"/>
  <c r="E1472" i="2"/>
  <c r="E1471" i="2"/>
  <c r="I1470" i="2"/>
  <c r="F1470" i="2"/>
  <c r="E1470" i="2"/>
  <c r="C1470" i="2"/>
  <c r="B1470" i="2"/>
  <c r="E1469" i="2"/>
  <c r="E1468" i="2"/>
  <c r="I1467" i="2"/>
  <c r="F1467" i="2"/>
  <c r="E1467" i="2"/>
  <c r="C1467" i="2"/>
  <c r="B1467" i="2"/>
  <c r="E1466" i="2"/>
  <c r="E1465" i="2"/>
  <c r="I1464" i="2"/>
  <c r="F1464" i="2"/>
  <c r="E1464" i="2"/>
  <c r="C1464" i="2"/>
  <c r="B1464" i="2"/>
  <c r="E1463" i="2"/>
  <c r="E1462" i="2"/>
  <c r="I1461" i="2"/>
  <c r="F1461" i="2"/>
  <c r="E1461" i="2"/>
  <c r="C1461" i="2"/>
  <c r="B1461" i="2"/>
  <c r="E1460" i="2"/>
  <c r="E1459" i="2"/>
  <c r="I1458" i="2"/>
  <c r="F1458" i="2"/>
  <c r="E1458" i="2"/>
  <c r="C1458" i="2"/>
  <c r="B1458" i="2"/>
  <c r="E1457" i="2"/>
  <c r="E1456" i="2"/>
  <c r="I1455" i="2"/>
  <c r="F1455" i="2"/>
  <c r="E1455" i="2"/>
  <c r="C1455" i="2"/>
  <c r="B1455" i="2"/>
  <c r="E1454" i="2"/>
  <c r="E1453" i="2"/>
  <c r="I1452" i="2"/>
  <c r="F1452" i="2"/>
  <c r="E1452" i="2"/>
  <c r="C1452" i="2"/>
  <c r="B1452" i="2"/>
  <c r="E1451" i="2"/>
  <c r="E1450" i="2"/>
  <c r="F1449" i="2"/>
  <c r="E1449" i="2"/>
  <c r="C1449" i="2"/>
  <c r="B1449" i="2"/>
  <c r="E1448" i="2"/>
  <c r="E1447" i="2"/>
  <c r="E1446" i="2"/>
  <c r="F1445" i="2"/>
  <c r="E1445" i="2"/>
  <c r="C1445" i="2"/>
  <c r="B1445" i="2"/>
  <c r="E1444" i="2"/>
  <c r="E1443" i="2"/>
  <c r="E1442" i="2"/>
  <c r="F1441" i="2"/>
  <c r="E1441" i="2"/>
  <c r="C1441" i="2"/>
  <c r="B1441" i="2"/>
  <c r="E1440" i="2"/>
  <c r="E1439" i="2"/>
  <c r="E1438" i="2"/>
  <c r="F1437" i="2"/>
  <c r="E1437" i="2"/>
  <c r="C1437" i="2"/>
  <c r="B1437" i="2"/>
  <c r="E1436" i="2"/>
  <c r="E1435" i="2"/>
  <c r="E1434" i="2"/>
  <c r="I1433" i="2"/>
  <c r="F1433" i="2"/>
  <c r="E1433" i="2"/>
  <c r="C1433" i="2"/>
  <c r="B1433" i="2"/>
  <c r="E1432" i="2"/>
  <c r="E1431" i="2"/>
  <c r="I1430" i="2"/>
  <c r="F1430" i="2"/>
  <c r="E1430" i="2"/>
  <c r="C1430" i="2"/>
  <c r="B1430" i="2"/>
  <c r="E1429" i="2"/>
  <c r="E1428" i="2"/>
  <c r="I1427" i="2"/>
  <c r="F1427" i="2"/>
  <c r="E1427" i="2"/>
  <c r="C1427" i="2"/>
  <c r="B1427" i="2"/>
  <c r="E1426" i="2"/>
  <c r="E1425" i="2"/>
  <c r="I1424" i="2"/>
  <c r="F1424" i="2"/>
  <c r="E1424" i="2"/>
  <c r="C1424" i="2"/>
  <c r="B1424" i="2"/>
  <c r="E1423" i="2"/>
  <c r="E1422" i="2"/>
  <c r="E1421" i="2"/>
  <c r="H1420" i="2"/>
  <c r="F1420" i="2"/>
  <c r="F1421" i="2" s="1"/>
  <c r="E1420" i="2"/>
  <c r="C1420" i="2"/>
  <c r="C1421" i="2" s="1"/>
  <c r="B1420" i="2"/>
  <c r="B1421" i="2" s="1"/>
  <c r="H1419" i="2"/>
  <c r="E1419" i="2"/>
  <c r="E1418" i="2"/>
  <c r="E1417" i="2"/>
  <c r="H1416" i="2"/>
  <c r="F1416" i="2"/>
  <c r="F1417" i="2" s="1"/>
  <c r="E1416" i="2"/>
  <c r="C1416" i="2"/>
  <c r="C1417" i="2" s="1"/>
  <c r="B1416" i="2"/>
  <c r="B1417" i="2" s="1"/>
  <c r="H1415" i="2"/>
  <c r="E1415" i="2"/>
  <c r="E1414" i="2"/>
  <c r="E1413" i="2"/>
  <c r="H1412" i="2"/>
  <c r="F1412" i="2"/>
  <c r="F1413" i="2" s="1"/>
  <c r="E1412" i="2"/>
  <c r="C1412" i="2"/>
  <c r="C1413" i="2" s="1"/>
  <c r="B1412" i="2"/>
  <c r="B1413" i="2" s="1"/>
  <c r="H1411" i="2"/>
  <c r="E1411" i="2"/>
  <c r="E1410" i="2"/>
  <c r="E1409" i="2"/>
  <c r="E1408" i="2"/>
  <c r="E1407" i="2"/>
  <c r="E1406" i="2"/>
  <c r="C1406" i="2"/>
  <c r="E1405" i="2"/>
  <c r="E1404" i="2"/>
  <c r="F1403" i="2"/>
  <c r="E1403" i="2"/>
  <c r="C1403" i="2"/>
  <c r="E1402" i="2"/>
  <c r="E1401" i="2"/>
  <c r="E1400" i="2"/>
  <c r="I1399" i="2"/>
  <c r="F1399" i="2"/>
  <c r="E1399" i="2"/>
  <c r="C1399" i="2"/>
  <c r="E1398" i="2"/>
  <c r="E1397" i="2"/>
  <c r="F1396" i="2"/>
  <c r="E1396" i="2"/>
  <c r="C1396" i="2"/>
  <c r="E1395" i="2"/>
  <c r="E1394" i="2"/>
  <c r="E1393" i="2"/>
  <c r="I1392" i="2"/>
  <c r="F1392" i="2"/>
  <c r="E1392" i="2"/>
  <c r="C1392" i="2"/>
  <c r="E1391" i="2"/>
  <c r="E1390" i="2"/>
  <c r="I1389" i="2"/>
  <c r="F1389" i="2"/>
  <c r="E1389" i="2"/>
  <c r="C1389" i="2"/>
  <c r="E1388" i="2"/>
  <c r="E1387" i="2"/>
  <c r="I1386" i="2"/>
  <c r="F1386" i="2"/>
  <c r="E1386" i="2"/>
  <c r="C1386" i="2"/>
  <c r="E1385" i="2"/>
  <c r="E1384" i="2"/>
  <c r="F1383" i="2"/>
  <c r="E1383" i="2"/>
  <c r="C1383" i="2"/>
  <c r="E1382" i="2"/>
  <c r="E1381" i="2"/>
  <c r="E1380" i="2"/>
  <c r="E1379" i="2"/>
  <c r="C1379" i="2"/>
  <c r="E1378" i="2"/>
  <c r="E1377" i="2"/>
  <c r="E1376" i="2"/>
  <c r="I1375" i="2"/>
  <c r="E1375" i="2"/>
  <c r="C1375" i="2"/>
  <c r="E1374" i="2"/>
  <c r="E1373" i="2"/>
  <c r="I1372" i="2"/>
  <c r="E1372" i="2"/>
  <c r="C1372" i="2"/>
  <c r="E1371" i="2"/>
  <c r="E1370" i="2"/>
  <c r="I1369" i="2"/>
  <c r="E1369" i="2"/>
  <c r="C1369" i="2"/>
  <c r="E1368" i="2"/>
  <c r="E1367" i="2"/>
  <c r="I1366" i="2"/>
  <c r="E1366" i="2"/>
  <c r="C1366" i="2"/>
  <c r="E1365" i="2"/>
  <c r="E1364" i="2"/>
  <c r="I1363" i="2"/>
  <c r="E1363" i="2"/>
  <c r="C1363" i="2"/>
  <c r="E1362" i="2"/>
  <c r="E1361" i="2"/>
  <c r="I1360" i="2"/>
  <c r="E1360" i="2"/>
  <c r="C1360" i="2"/>
  <c r="E1359" i="2"/>
  <c r="E1358" i="2"/>
  <c r="I1357" i="2"/>
  <c r="E1357" i="2"/>
  <c r="C1357" i="2"/>
  <c r="E1356" i="2"/>
  <c r="E1355" i="2"/>
  <c r="I1354" i="2"/>
  <c r="E1354" i="2"/>
  <c r="C1354" i="2"/>
  <c r="E1353" i="2"/>
  <c r="E1352" i="2"/>
  <c r="I1351" i="2"/>
  <c r="E1351" i="2"/>
  <c r="C1351" i="2"/>
  <c r="E1350" i="2"/>
  <c r="E1349" i="2"/>
  <c r="I1348" i="2"/>
  <c r="E1348" i="2"/>
  <c r="C1348" i="2"/>
  <c r="E1347" i="2"/>
  <c r="E1346" i="2"/>
  <c r="I1345" i="2"/>
  <c r="E1345" i="2"/>
  <c r="C1345" i="2"/>
  <c r="E1344" i="2"/>
  <c r="E1343" i="2"/>
  <c r="I1342" i="2"/>
  <c r="E1342" i="2"/>
  <c r="C1342" i="2"/>
  <c r="E1341" i="2"/>
  <c r="E1340" i="2"/>
  <c r="I1339" i="2"/>
  <c r="E1339" i="2"/>
  <c r="C1339" i="2"/>
  <c r="E1338" i="2"/>
  <c r="E1337" i="2"/>
  <c r="I1336" i="2"/>
  <c r="E1336" i="2"/>
  <c r="C1336" i="2"/>
  <c r="E1335" i="2"/>
  <c r="E1334" i="2"/>
  <c r="I1333" i="2"/>
  <c r="E1333" i="2"/>
  <c r="C1333" i="2"/>
  <c r="E1332" i="2"/>
  <c r="E1331" i="2"/>
  <c r="I1330" i="2"/>
  <c r="E1330" i="2"/>
  <c r="C1330" i="2"/>
  <c r="E1329" i="2"/>
  <c r="E1328" i="2"/>
  <c r="I1327" i="2"/>
  <c r="E1327" i="2"/>
  <c r="C1327" i="2"/>
  <c r="E1326" i="2"/>
  <c r="E1325" i="2"/>
  <c r="E1324" i="2"/>
  <c r="E1323" i="2"/>
  <c r="E1322" i="2"/>
  <c r="E1321" i="2"/>
  <c r="E1320" i="2"/>
  <c r="E1319" i="2"/>
  <c r="E1318" i="2"/>
  <c r="I1317" i="2"/>
  <c r="E1317" i="2"/>
  <c r="E1316" i="2"/>
  <c r="E1315" i="2"/>
  <c r="I1314" i="2"/>
  <c r="E1314" i="2"/>
  <c r="E1313" i="2"/>
  <c r="E1312" i="2"/>
  <c r="I1311" i="2"/>
  <c r="E1311" i="2"/>
  <c r="E1310" i="2"/>
  <c r="E1309" i="2"/>
  <c r="I1308" i="2"/>
  <c r="E1308" i="2"/>
  <c r="E1307" i="2"/>
  <c r="E1306" i="2"/>
  <c r="E1305" i="2"/>
  <c r="I1304" i="2"/>
  <c r="E1304" i="2"/>
  <c r="E1303" i="2"/>
  <c r="E1302" i="2"/>
  <c r="E1301" i="2"/>
  <c r="E1300" i="2"/>
  <c r="H1299" i="2"/>
  <c r="E1299" i="2"/>
  <c r="H1298" i="2"/>
  <c r="E1298" i="2"/>
  <c r="E1297" i="2"/>
  <c r="E1296" i="2"/>
  <c r="H1295" i="2"/>
  <c r="E1295" i="2"/>
  <c r="H1294" i="2"/>
  <c r="E1294" i="2"/>
  <c r="E1293" i="2"/>
  <c r="E1292" i="2"/>
  <c r="H1291" i="2"/>
  <c r="E1291" i="2"/>
  <c r="H1290" i="2"/>
  <c r="E1290" i="2"/>
  <c r="E1289" i="2"/>
  <c r="E1288" i="2"/>
  <c r="H1287" i="2"/>
  <c r="E1287" i="2"/>
  <c r="H1286" i="2"/>
  <c r="E1286" i="2"/>
  <c r="E1285" i="2"/>
  <c r="E1284" i="2"/>
  <c r="H1283" i="2"/>
  <c r="E1283" i="2"/>
  <c r="H1282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H1250" i="2"/>
  <c r="E1250" i="2"/>
  <c r="H1249" i="2"/>
  <c r="E1249" i="2"/>
  <c r="E1248" i="2"/>
  <c r="E1247" i="2"/>
  <c r="H1246" i="2"/>
  <c r="E1246" i="2"/>
  <c r="H1245" i="2"/>
  <c r="E1245" i="2"/>
  <c r="E1244" i="2"/>
  <c r="E1243" i="2"/>
  <c r="H1242" i="2"/>
  <c r="E1242" i="2"/>
  <c r="H1241" i="2"/>
  <c r="E1241" i="2"/>
  <c r="E1240" i="2"/>
  <c r="E1239" i="2"/>
  <c r="H1238" i="2"/>
  <c r="E1238" i="2"/>
  <c r="H1237" i="2"/>
  <c r="E1237" i="2"/>
  <c r="E1236" i="2"/>
  <c r="E1235" i="2"/>
  <c r="E1234" i="2"/>
  <c r="E1233" i="2"/>
  <c r="E1232" i="2"/>
  <c r="H1231" i="2"/>
  <c r="E1231" i="2"/>
  <c r="H1230" i="2"/>
  <c r="E1230" i="2"/>
  <c r="E1229" i="2"/>
  <c r="E1228" i="2"/>
  <c r="H1227" i="2"/>
  <c r="E1227" i="2"/>
  <c r="H1226" i="2"/>
  <c r="E1226" i="2"/>
  <c r="E1225" i="2"/>
  <c r="E1224" i="2"/>
  <c r="H1223" i="2"/>
  <c r="E1223" i="2"/>
  <c r="H1222" i="2"/>
  <c r="E1222" i="2"/>
  <c r="E1221" i="2"/>
  <c r="E1220" i="2"/>
  <c r="H1219" i="2"/>
  <c r="E1219" i="2"/>
  <c r="H1218" i="2"/>
  <c r="E1218" i="2"/>
  <c r="E1217" i="2"/>
  <c r="E1216" i="2"/>
  <c r="E1215" i="2"/>
  <c r="E1214" i="2"/>
  <c r="E1213" i="2"/>
  <c r="H1212" i="2"/>
  <c r="E1212" i="2"/>
  <c r="H1211" i="2"/>
  <c r="E1211" i="2"/>
  <c r="E1210" i="2"/>
  <c r="I1209" i="2"/>
  <c r="E1209" i="2"/>
  <c r="E1208" i="2"/>
  <c r="E1207" i="2"/>
  <c r="E1206" i="2"/>
  <c r="E1205" i="2"/>
  <c r="E1204" i="2"/>
  <c r="E1203" i="2"/>
  <c r="E1202" i="2"/>
  <c r="H1201" i="2"/>
  <c r="E1201" i="2"/>
  <c r="H1200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I1185" i="2"/>
  <c r="E1185" i="2"/>
  <c r="H1184" i="2"/>
  <c r="E1184" i="2"/>
  <c r="E1183" i="2"/>
  <c r="E1182" i="2"/>
  <c r="E1181" i="2"/>
  <c r="E1180" i="2"/>
  <c r="E1179" i="2"/>
  <c r="H1178" i="2"/>
  <c r="E1178" i="2"/>
  <c r="H1177" i="2"/>
  <c r="E1177" i="2"/>
  <c r="E1176" i="2"/>
  <c r="I1175" i="2"/>
  <c r="E1175" i="2"/>
  <c r="E1174" i="2"/>
  <c r="E1173" i="2"/>
  <c r="E1172" i="2"/>
  <c r="E1171" i="2"/>
  <c r="H1170" i="2"/>
  <c r="E1170" i="2"/>
  <c r="H1169" i="2"/>
  <c r="E1169" i="2"/>
  <c r="E1168" i="2"/>
  <c r="E1167" i="2"/>
  <c r="H1166" i="2"/>
  <c r="E1166" i="2"/>
  <c r="H1165" i="2"/>
  <c r="E1165" i="2"/>
  <c r="E1164" i="2"/>
  <c r="E1163" i="2"/>
  <c r="H1162" i="2"/>
  <c r="E1162" i="2"/>
  <c r="H1161" i="2"/>
  <c r="E1161" i="2"/>
  <c r="E1160" i="2"/>
  <c r="E1159" i="2"/>
  <c r="H1158" i="2"/>
  <c r="E1158" i="2"/>
  <c r="H1157" i="2"/>
  <c r="E1157" i="2"/>
  <c r="E1156" i="2"/>
  <c r="E1155" i="2"/>
  <c r="H1154" i="2"/>
  <c r="E1154" i="2"/>
  <c r="H1153" i="2"/>
  <c r="E1153" i="2"/>
  <c r="E1152" i="2"/>
  <c r="E1151" i="2"/>
  <c r="H1150" i="2"/>
  <c r="E1150" i="2"/>
  <c r="H1149" i="2"/>
  <c r="E1149" i="2"/>
  <c r="E1148" i="2"/>
  <c r="E1147" i="2"/>
  <c r="E1146" i="2"/>
  <c r="H1145" i="2"/>
  <c r="E1145" i="2"/>
  <c r="E1144" i="2"/>
  <c r="E1143" i="2"/>
  <c r="E1142" i="2"/>
  <c r="H1141" i="2"/>
  <c r="E1141" i="2"/>
  <c r="E1140" i="2"/>
  <c r="E1139" i="2"/>
  <c r="H1138" i="2"/>
  <c r="E1138" i="2"/>
  <c r="H1137" i="2"/>
  <c r="E1137" i="2"/>
  <c r="E1136" i="2"/>
  <c r="E1135" i="2"/>
  <c r="H1134" i="2"/>
  <c r="E1134" i="2"/>
  <c r="H1133" i="2"/>
  <c r="E1133" i="2"/>
  <c r="E1132" i="2"/>
  <c r="I1131" i="2"/>
  <c r="E1131" i="2"/>
  <c r="E1130" i="2"/>
  <c r="E1129" i="2"/>
  <c r="I1128" i="2"/>
  <c r="E1128" i="2"/>
  <c r="E1127" i="2"/>
  <c r="E1126" i="2"/>
  <c r="E1125" i="2"/>
  <c r="E1124" i="2"/>
  <c r="H1123" i="2"/>
  <c r="E1123" i="2"/>
  <c r="H1122" i="2"/>
  <c r="E1122" i="2"/>
  <c r="E1121" i="2"/>
  <c r="E1120" i="2"/>
  <c r="H1119" i="2"/>
  <c r="E1119" i="2"/>
  <c r="H1118" i="2"/>
  <c r="E1118" i="2"/>
  <c r="E1117" i="2"/>
  <c r="E1116" i="2"/>
  <c r="H1115" i="2"/>
  <c r="E1115" i="2"/>
  <c r="H1114" i="2"/>
  <c r="E1114" i="2"/>
  <c r="E1113" i="2"/>
  <c r="I1112" i="2"/>
  <c r="E1112" i="2"/>
  <c r="E1111" i="2"/>
  <c r="E1110" i="2"/>
  <c r="E1109" i="2"/>
  <c r="E1108" i="2"/>
  <c r="E1107" i="2"/>
  <c r="E1106" i="2"/>
  <c r="E1105" i="2"/>
  <c r="E1104" i="2"/>
  <c r="H1103" i="2"/>
  <c r="E1103" i="2"/>
  <c r="H1102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I1089" i="2"/>
  <c r="E1089" i="2"/>
  <c r="H1088" i="2"/>
  <c r="E1088" i="2"/>
  <c r="E1087" i="2"/>
  <c r="E1086" i="2"/>
  <c r="E1085" i="2"/>
  <c r="E1084" i="2"/>
  <c r="E1083" i="2"/>
  <c r="E1082" i="2"/>
  <c r="E1081" i="2"/>
  <c r="E1080" i="2"/>
  <c r="H1079" i="2"/>
  <c r="E1079" i="2"/>
  <c r="H1078" i="2"/>
  <c r="E1078" i="2"/>
  <c r="E1077" i="2"/>
  <c r="E1076" i="2"/>
  <c r="H1075" i="2"/>
  <c r="E1075" i="2"/>
  <c r="H1074" i="2"/>
  <c r="E1074" i="2"/>
  <c r="E1073" i="2"/>
  <c r="E1072" i="2"/>
  <c r="H1071" i="2"/>
  <c r="E1071" i="2"/>
  <c r="H1070" i="2"/>
  <c r="E1070" i="2"/>
  <c r="E1069" i="2"/>
  <c r="I1068" i="2"/>
  <c r="E1068" i="2"/>
  <c r="E1067" i="2"/>
  <c r="E1066" i="2"/>
  <c r="E1065" i="2"/>
  <c r="E1064" i="2"/>
  <c r="H1063" i="2"/>
  <c r="E1063" i="2"/>
  <c r="H1062" i="2"/>
  <c r="E1062" i="2"/>
  <c r="E1061" i="2"/>
  <c r="E1060" i="2"/>
  <c r="H1059" i="2"/>
  <c r="E1059" i="2"/>
  <c r="H1058" i="2"/>
  <c r="E1058" i="2"/>
  <c r="E1057" i="2"/>
  <c r="E1056" i="2"/>
  <c r="H1055" i="2"/>
  <c r="E1055" i="2"/>
  <c r="H1054" i="2"/>
  <c r="E1054" i="2"/>
  <c r="E1053" i="2"/>
  <c r="E1052" i="2"/>
  <c r="H1051" i="2"/>
  <c r="E1051" i="2"/>
  <c r="H1050" i="2"/>
  <c r="E1050" i="2"/>
  <c r="E1049" i="2"/>
  <c r="E1048" i="2"/>
  <c r="H1047" i="2"/>
  <c r="E1047" i="2"/>
  <c r="H1046" i="2"/>
  <c r="E1046" i="2"/>
  <c r="E1045" i="2"/>
  <c r="E1044" i="2"/>
  <c r="H1043" i="2"/>
  <c r="E1043" i="2"/>
  <c r="H1042" i="2"/>
  <c r="E1042" i="2"/>
  <c r="E1041" i="2"/>
  <c r="E1040" i="2"/>
  <c r="H1039" i="2"/>
  <c r="E1039" i="2"/>
  <c r="H1038" i="2"/>
  <c r="E1038" i="2"/>
  <c r="E1037" i="2"/>
  <c r="E1036" i="2"/>
  <c r="E1035" i="2"/>
  <c r="E1034" i="2"/>
  <c r="E1033" i="2"/>
  <c r="E1032" i="2"/>
  <c r="I1031" i="2"/>
  <c r="E1031" i="2"/>
  <c r="E1030" i="2"/>
  <c r="E1029" i="2"/>
  <c r="E1028" i="2"/>
  <c r="E1027" i="2"/>
  <c r="H1026" i="2"/>
  <c r="E1026" i="2"/>
  <c r="H1025" i="2"/>
  <c r="E1025" i="2"/>
  <c r="E1024" i="2"/>
  <c r="E1023" i="2"/>
  <c r="H1022" i="2"/>
  <c r="E1022" i="2"/>
  <c r="H1021" i="2"/>
  <c r="E1021" i="2"/>
  <c r="E1020" i="2"/>
  <c r="E1019" i="2"/>
  <c r="E1018" i="2"/>
  <c r="E1017" i="2"/>
  <c r="I1016" i="2"/>
  <c r="E1016" i="2"/>
  <c r="E1015" i="2"/>
  <c r="E1014" i="2"/>
  <c r="E1013" i="2"/>
  <c r="E1012" i="2"/>
  <c r="H1011" i="2"/>
  <c r="E1011" i="2"/>
  <c r="H1010" i="2"/>
  <c r="E1010" i="2"/>
  <c r="E1009" i="2"/>
  <c r="E1008" i="2"/>
  <c r="H1007" i="2"/>
  <c r="E1007" i="2"/>
  <c r="H1006" i="2"/>
  <c r="E1006" i="2"/>
  <c r="E1005" i="2"/>
  <c r="E1004" i="2"/>
  <c r="H1003" i="2"/>
  <c r="E1003" i="2"/>
  <c r="H1002" i="2"/>
  <c r="E1002" i="2"/>
  <c r="E1001" i="2"/>
  <c r="E1000" i="2"/>
  <c r="E999" i="2"/>
  <c r="E998" i="2"/>
  <c r="F997" i="2"/>
  <c r="A997" i="2"/>
  <c r="F996" i="2"/>
  <c r="A996" i="2"/>
  <c r="F995" i="2"/>
  <c r="A995" i="2"/>
  <c r="F994" i="2"/>
  <c r="A994" i="2"/>
  <c r="F993" i="2"/>
  <c r="A993" i="2"/>
  <c r="F992" i="2"/>
  <c r="A992" i="2"/>
  <c r="F991" i="2"/>
  <c r="A991" i="2"/>
  <c r="F990" i="2"/>
  <c r="A990" i="2"/>
  <c r="F989" i="2"/>
  <c r="A989" i="2"/>
  <c r="F988" i="2"/>
  <c r="A988" i="2"/>
  <c r="F987" i="2"/>
  <c r="A987" i="2"/>
  <c r="F986" i="2"/>
  <c r="A986" i="2"/>
  <c r="F985" i="2"/>
  <c r="A985" i="2"/>
  <c r="F984" i="2"/>
  <c r="A984" i="2"/>
  <c r="F983" i="2"/>
  <c r="A983" i="2"/>
  <c r="F982" i="2"/>
  <c r="A982" i="2"/>
  <c r="F981" i="2"/>
  <c r="A981" i="2"/>
  <c r="F980" i="2"/>
  <c r="A980" i="2"/>
  <c r="F979" i="2"/>
  <c r="A979" i="2"/>
  <c r="F978" i="2"/>
  <c r="A978" i="2"/>
  <c r="F977" i="2"/>
  <c r="A977" i="2"/>
  <c r="F976" i="2"/>
  <c r="A976" i="2"/>
  <c r="F975" i="2"/>
  <c r="A975" i="2"/>
  <c r="F974" i="2"/>
  <c r="A974" i="2"/>
  <c r="F973" i="2"/>
  <c r="A973" i="2"/>
  <c r="F972" i="2"/>
  <c r="A972" i="2"/>
  <c r="F971" i="2"/>
  <c r="A971" i="2"/>
  <c r="F970" i="2"/>
  <c r="A970" i="2"/>
  <c r="F969" i="2"/>
  <c r="A969" i="2"/>
  <c r="F968" i="2"/>
  <c r="A968" i="2"/>
  <c r="F967" i="2"/>
  <c r="A967" i="2"/>
  <c r="E966" i="2"/>
  <c r="F965" i="2"/>
  <c r="A965" i="2"/>
  <c r="F964" i="2"/>
  <c r="A964" i="2"/>
  <c r="F963" i="2"/>
  <c r="A963" i="2"/>
  <c r="F962" i="2"/>
  <c r="A962" i="2"/>
  <c r="F961" i="2"/>
  <c r="A961" i="2"/>
  <c r="F960" i="2"/>
  <c r="A960" i="2"/>
  <c r="F959" i="2"/>
  <c r="A959" i="2"/>
  <c r="F958" i="2"/>
  <c r="A958" i="2"/>
  <c r="F957" i="2"/>
  <c r="A957" i="2"/>
  <c r="F956" i="2"/>
  <c r="A956" i="2"/>
  <c r="F955" i="2"/>
  <c r="A955" i="2"/>
  <c r="F954" i="2"/>
  <c r="A954" i="2"/>
  <c r="F953" i="2"/>
  <c r="A953" i="2"/>
  <c r="F952" i="2"/>
  <c r="A952" i="2"/>
  <c r="F951" i="2"/>
  <c r="A951" i="2"/>
  <c r="F950" i="2"/>
  <c r="A950" i="2"/>
  <c r="F949" i="2"/>
  <c r="A949" i="2"/>
  <c r="F948" i="2"/>
  <c r="A948" i="2"/>
  <c r="F947" i="2"/>
  <c r="A947" i="2"/>
  <c r="F946" i="2"/>
  <c r="A946" i="2"/>
  <c r="F945" i="2"/>
  <c r="A945" i="2"/>
  <c r="F944" i="2"/>
  <c r="A944" i="2"/>
  <c r="F943" i="2"/>
  <c r="A943" i="2"/>
  <c r="F942" i="2"/>
  <c r="A942" i="2"/>
  <c r="F941" i="2"/>
  <c r="A941" i="2"/>
  <c r="F940" i="2"/>
  <c r="A940" i="2"/>
  <c r="F939" i="2"/>
  <c r="A939" i="2"/>
  <c r="F938" i="2"/>
  <c r="A938" i="2"/>
  <c r="F937" i="2"/>
  <c r="A937" i="2"/>
  <c r="F936" i="2"/>
  <c r="A936" i="2"/>
  <c r="F935" i="2"/>
  <c r="A935" i="2"/>
  <c r="E934" i="2"/>
  <c r="F933" i="2"/>
  <c r="A933" i="2"/>
  <c r="F932" i="2"/>
  <c r="A932" i="2"/>
  <c r="F931" i="2"/>
  <c r="A931" i="2"/>
  <c r="F930" i="2"/>
  <c r="A930" i="2"/>
  <c r="F929" i="2"/>
  <c r="A929" i="2"/>
  <c r="F928" i="2"/>
  <c r="A928" i="2"/>
  <c r="F927" i="2"/>
  <c r="A927" i="2"/>
  <c r="F926" i="2"/>
  <c r="A926" i="2"/>
  <c r="F925" i="2"/>
  <c r="A925" i="2"/>
  <c r="F924" i="2"/>
  <c r="A924" i="2"/>
  <c r="F923" i="2"/>
  <c r="A923" i="2"/>
  <c r="F922" i="2"/>
  <c r="A922" i="2"/>
  <c r="F921" i="2"/>
  <c r="A921" i="2"/>
  <c r="F920" i="2"/>
  <c r="A920" i="2"/>
  <c r="F919" i="2"/>
  <c r="A919" i="2"/>
  <c r="F918" i="2"/>
  <c r="A918" i="2"/>
  <c r="F917" i="2"/>
  <c r="A917" i="2"/>
  <c r="F916" i="2"/>
  <c r="A916" i="2"/>
  <c r="F915" i="2"/>
  <c r="A915" i="2"/>
  <c r="F914" i="2"/>
  <c r="A914" i="2"/>
  <c r="F913" i="2"/>
  <c r="A913" i="2"/>
  <c r="F912" i="2"/>
  <c r="A912" i="2"/>
  <c r="F911" i="2"/>
  <c r="A911" i="2"/>
  <c r="F910" i="2"/>
  <c r="A910" i="2"/>
  <c r="F909" i="2"/>
  <c r="A909" i="2"/>
  <c r="F908" i="2"/>
  <c r="A908" i="2"/>
  <c r="F907" i="2"/>
  <c r="A907" i="2"/>
  <c r="F906" i="2"/>
  <c r="A906" i="2"/>
  <c r="F905" i="2"/>
  <c r="A905" i="2"/>
  <c r="F904" i="2"/>
  <c r="A904" i="2"/>
  <c r="F903" i="2"/>
  <c r="A903" i="2"/>
  <c r="E902" i="2"/>
  <c r="F901" i="2"/>
  <c r="A901" i="2"/>
  <c r="F900" i="2"/>
  <c r="A900" i="2"/>
  <c r="F899" i="2"/>
  <c r="A899" i="2"/>
  <c r="F898" i="2"/>
  <c r="A898" i="2"/>
  <c r="F897" i="2"/>
  <c r="A897" i="2"/>
  <c r="F896" i="2"/>
  <c r="A896" i="2"/>
  <c r="F895" i="2"/>
  <c r="A895" i="2"/>
  <c r="F894" i="2"/>
  <c r="A894" i="2"/>
  <c r="F893" i="2"/>
  <c r="A893" i="2"/>
  <c r="F892" i="2"/>
  <c r="A892" i="2"/>
  <c r="F891" i="2"/>
  <c r="A891" i="2"/>
  <c r="F890" i="2"/>
  <c r="A890" i="2"/>
  <c r="F889" i="2"/>
  <c r="A889" i="2"/>
  <c r="F888" i="2"/>
  <c r="A888" i="2"/>
  <c r="F887" i="2"/>
  <c r="A887" i="2"/>
  <c r="F886" i="2"/>
  <c r="A886" i="2"/>
  <c r="F885" i="2"/>
  <c r="A885" i="2"/>
  <c r="F884" i="2"/>
  <c r="A884" i="2"/>
  <c r="F883" i="2"/>
  <c r="A883" i="2"/>
  <c r="F882" i="2"/>
  <c r="A882" i="2"/>
  <c r="F881" i="2"/>
  <c r="A881" i="2"/>
  <c r="F880" i="2"/>
  <c r="A880" i="2"/>
  <c r="F879" i="2"/>
  <c r="A879" i="2"/>
  <c r="F878" i="2"/>
  <c r="A878" i="2"/>
  <c r="F877" i="2"/>
  <c r="A877" i="2"/>
  <c r="F876" i="2"/>
  <c r="A876" i="2"/>
  <c r="F875" i="2"/>
  <c r="A875" i="2"/>
  <c r="F874" i="2"/>
  <c r="A874" i="2"/>
  <c r="F873" i="2"/>
  <c r="A873" i="2"/>
  <c r="F872" i="2"/>
  <c r="A872" i="2"/>
  <c r="F871" i="2"/>
  <c r="A871" i="2"/>
  <c r="E870" i="2"/>
  <c r="F869" i="2"/>
  <c r="A869" i="2"/>
  <c r="F868" i="2"/>
  <c r="A868" i="2"/>
  <c r="F867" i="2"/>
  <c r="A867" i="2"/>
  <c r="F866" i="2"/>
  <c r="A866" i="2"/>
  <c r="F865" i="2"/>
  <c r="A865" i="2"/>
  <c r="F864" i="2"/>
  <c r="A864" i="2"/>
  <c r="F863" i="2"/>
  <c r="A863" i="2"/>
  <c r="F862" i="2"/>
  <c r="A862" i="2"/>
  <c r="F861" i="2"/>
  <c r="A861" i="2"/>
  <c r="F860" i="2"/>
  <c r="A860" i="2"/>
  <c r="F859" i="2"/>
  <c r="A859" i="2"/>
  <c r="F858" i="2"/>
  <c r="A858" i="2"/>
  <c r="F857" i="2"/>
  <c r="A857" i="2"/>
  <c r="F856" i="2"/>
  <c r="A856" i="2"/>
  <c r="F855" i="2"/>
  <c r="A855" i="2"/>
  <c r="F854" i="2"/>
  <c r="A854" i="2"/>
  <c r="F853" i="2"/>
  <c r="A853" i="2"/>
  <c r="F852" i="2"/>
  <c r="A852" i="2"/>
  <c r="F851" i="2"/>
  <c r="A851" i="2"/>
  <c r="F850" i="2"/>
  <c r="A850" i="2"/>
  <c r="F849" i="2"/>
  <c r="A849" i="2"/>
  <c r="F848" i="2"/>
  <c r="A848" i="2"/>
  <c r="F847" i="2"/>
  <c r="A847" i="2"/>
  <c r="F846" i="2"/>
  <c r="A846" i="2"/>
  <c r="F845" i="2"/>
  <c r="A845" i="2"/>
  <c r="F844" i="2"/>
  <c r="A844" i="2"/>
  <c r="F843" i="2"/>
  <c r="A843" i="2"/>
  <c r="F842" i="2"/>
  <c r="A842" i="2"/>
  <c r="F841" i="2"/>
  <c r="A841" i="2"/>
  <c r="F840" i="2"/>
  <c r="A840" i="2"/>
  <c r="F839" i="2"/>
  <c r="A839" i="2"/>
  <c r="E838" i="2"/>
  <c r="F837" i="2"/>
  <c r="A837" i="2"/>
  <c r="F836" i="2"/>
  <c r="A836" i="2"/>
  <c r="F835" i="2"/>
  <c r="A835" i="2"/>
  <c r="F834" i="2"/>
  <c r="A834" i="2"/>
  <c r="F833" i="2"/>
  <c r="A833" i="2"/>
  <c r="F832" i="2"/>
  <c r="A832" i="2"/>
  <c r="F831" i="2"/>
  <c r="A831" i="2"/>
  <c r="F830" i="2"/>
  <c r="A830" i="2"/>
  <c r="F829" i="2"/>
  <c r="A829" i="2"/>
  <c r="F828" i="2"/>
  <c r="A828" i="2"/>
  <c r="F827" i="2"/>
  <c r="A827" i="2"/>
  <c r="F826" i="2"/>
  <c r="A826" i="2"/>
  <c r="F825" i="2"/>
  <c r="A825" i="2"/>
  <c r="F824" i="2"/>
  <c r="A824" i="2"/>
  <c r="F823" i="2"/>
  <c r="A823" i="2"/>
  <c r="F822" i="2"/>
  <c r="A822" i="2"/>
  <c r="F821" i="2"/>
  <c r="A821" i="2"/>
  <c r="F820" i="2"/>
  <c r="A820" i="2"/>
  <c r="F819" i="2"/>
  <c r="A819" i="2"/>
  <c r="F818" i="2"/>
  <c r="A818" i="2"/>
  <c r="F817" i="2"/>
  <c r="A817" i="2"/>
  <c r="F816" i="2"/>
  <c r="A816" i="2"/>
  <c r="F815" i="2"/>
  <c r="A815" i="2"/>
  <c r="F814" i="2"/>
  <c r="A814" i="2"/>
  <c r="F813" i="2"/>
  <c r="A813" i="2"/>
  <c r="F812" i="2"/>
  <c r="A812" i="2"/>
  <c r="F811" i="2"/>
  <c r="A811" i="2"/>
  <c r="F810" i="2"/>
  <c r="A810" i="2"/>
  <c r="F809" i="2"/>
  <c r="A809" i="2"/>
  <c r="F808" i="2"/>
  <c r="A808" i="2"/>
  <c r="F807" i="2"/>
  <c r="A807" i="2"/>
  <c r="E806" i="2"/>
  <c r="F805" i="2"/>
  <c r="A805" i="2"/>
  <c r="F804" i="2"/>
  <c r="A804" i="2"/>
  <c r="F803" i="2"/>
  <c r="A803" i="2"/>
  <c r="F802" i="2"/>
  <c r="A802" i="2"/>
  <c r="F801" i="2"/>
  <c r="A801" i="2"/>
  <c r="F800" i="2"/>
  <c r="A800" i="2"/>
  <c r="F799" i="2"/>
  <c r="A799" i="2"/>
  <c r="F798" i="2"/>
  <c r="A798" i="2"/>
  <c r="F797" i="2"/>
  <c r="A797" i="2"/>
  <c r="F796" i="2"/>
  <c r="A796" i="2"/>
  <c r="F795" i="2"/>
  <c r="A795" i="2"/>
  <c r="F794" i="2"/>
  <c r="A794" i="2"/>
  <c r="F793" i="2"/>
  <c r="A793" i="2"/>
  <c r="F792" i="2"/>
  <c r="A792" i="2"/>
  <c r="F791" i="2"/>
  <c r="A791" i="2"/>
  <c r="F790" i="2"/>
  <c r="A790" i="2"/>
  <c r="F789" i="2"/>
  <c r="A789" i="2"/>
  <c r="F788" i="2"/>
  <c r="A788" i="2"/>
  <c r="F787" i="2"/>
  <c r="A787" i="2"/>
  <c r="F786" i="2"/>
  <c r="A786" i="2"/>
  <c r="F785" i="2"/>
  <c r="A785" i="2"/>
  <c r="F784" i="2"/>
  <c r="A784" i="2"/>
  <c r="F783" i="2"/>
  <c r="A783" i="2"/>
  <c r="F782" i="2"/>
  <c r="A782" i="2"/>
  <c r="F781" i="2"/>
  <c r="A781" i="2"/>
  <c r="F780" i="2"/>
  <c r="A780" i="2"/>
  <c r="F779" i="2"/>
  <c r="A779" i="2"/>
  <c r="F778" i="2"/>
  <c r="A778" i="2"/>
  <c r="F777" i="2"/>
  <c r="A777" i="2"/>
  <c r="F776" i="2"/>
  <c r="A776" i="2"/>
  <c r="F775" i="2"/>
  <c r="A775" i="2"/>
  <c r="E774" i="2"/>
  <c r="F773" i="2"/>
  <c r="A773" i="2"/>
  <c r="F772" i="2"/>
  <c r="A772" i="2"/>
  <c r="F771" i="2"/>
  <c r="A771" i="2"/>
  <c r="F770" i="2"/>
  <c r="A770" i="2"/>
  <c r="F769" i="2"/>
  <c r="A769" i="2"/>
  <c r="F768" i="2"/>
  <c r="A768" i="2"/>
  <c r="F767" i="2"/>
  <c r="A767" i="2"/>
  <c r="F766" i="2"/>
  <c r="A766" i="2"/>
  <c r="F765" i="2"/>
  <c r="A765" i="2"/>
  <c r="F764" i="2"/>
  <c r="A764" i="2"/>
  <c r="F763" i="2"/>
  <c r="A763" i="2"/>
  <c r="F762" i="2"/>
  <c r="A762" i="2"/>
  <c r="F761" i="2"/>
  <c r="A761" i="2"/>
  <c r="F760" i="2"/>
  <c r="A760" i="2"/>
  <c r="F759" i="2"/>
  <c r="A759" i="2"/>
  <c r="F758" i="2"/>
  <c r="A758" i="2"/>
  <c r="F757" i="2"/>
  <c r="A757" i="2"/>
  <c r="F756" i="2"/>
  <c r="A756" i="2"/>
  <c r="F755" i="2"/>
  <c r="A755" i="2"/>
  <c r="F754" i="2"/>
  <c r="A754" i="2"/>
  <c r="F753" i="2"/>
  <c r="A753" i="2"/>
  <c r="F752" i="2"/>
  <c r="A752" i="2"/>
  <c r="F751" i="2"/>
  <c r="A751" i="2"/>
  <c r="F750" i="2"/>
  <c r="A750" i="2"/>
  <c r="F749" i="2"/>
  <c r="A749" i="2"/>
  <c r="F748" i="2"/>
  <c r="A748" i="2"/>
  <c r="F747" i="2"/>
  <c r="A747" i="2"/>
  <c r="F746" i="2"/>
  <c r="A746" i="2"/>
  <c r="F745" i="2"/>
  <c r="A745" i="2"/>
  <c r="F744" i="2"/>
  <c r="A744" i="2"/>
  <c r="F743" i="2"/>
  <c r="A743" i="2"/>
  <c r="E742" i="2"/>
  <c r="F741" i="2"/>
  <c r="A741" i="2"/>
  <c r="F740" i="2"/>
  <c r="A740" i="2"/>
  <c r="F739" i="2"/>
  <c r="A739" i="2"/>
  <c r="F738" i="2"/>
  <c r="A738" i="2"/>
  <c r="F737" i="2"/>
  <c r="A737" i="2"/>
  <c r="F736" i="2"/>
  <c r="A736" i="2"/>
  <c r="F735" i="2"/>
  <c r="A735" i="2"/>
  <c r="F734" i="2"/>
  <c r="A734" i="2"/>
  <c r="F733" i="2"/>
  <c r="A733" i="2"/>
  <c r="F732" i="2"/>
  <c r="A732" i="2"/>
  <c r="F731" i="2"/>
  <c r="A731" i="2"/>
  <c r="F730" i="2"/>
  <c r="A730" i="2"/>
  <c r="F729" i="2"/>
  <c r="A729" i="2"/>
  <c r="F728" i="2"/>
  <c r="A728" i="2"/>
  <c r="F727" i="2"/>
  <c r="A727" i="2"/>
  <c r="F726" i="2"/>
  <c r="A726" i="2"/>
  <c r="F725" i="2"/>
  <c r="A725" i="2"/>
  <c r="F724" i="2"/>
  <c r="A724" i="2"/>
  <c r="F723" i="2"/>
  <c r="A723" i="2"/>
  <c r="F722" i="2"/>
  <c r="A722" i="2"/>
  <c r="F721" i="2"/>
  <c r="A721" i="2"/>
  <c r="F720" i="2"/>
  <c r="A720" i="2"/>
  <c r="F719" i="2"/>
  <c r="A719" i="2"/>
  <c r="F718" i="2"/>
  <c r="A718" i="2"/>
  <c r="F717" i="2"/>
  <c r="A717" i="2"/>
  <c r="F716" i="2"/>
  <c r="A716" i="2"/>
  <c r="F715" i="2"/>
  <c r="A715" i="2"/>
  <c r="F714" i="2"/>
  <c r="A714" i="2"/>
  <c r="F713" i="2"/>
  <c r="A713" i="2"/>
  <c r="F712" i="2"/>
  <c r="A712" i="2"/>
  <c r="F711" i="2"/>
  <c r="A711" i="2"/>
  <c r="E710" i="2"/>
  <c r="F709" i="2"/>
  <c r="A709" i="2"/>
  <c r="F708" i="2"/>
  <c r="A708" i="2"/>
  <c r="F707" i="2"/>
  <c r="A707" i="2"/>
  <c r="F706" i="2"/>
  <c r="A706" i="2"/>
  <c r="F705" i="2"/>
  <c r="A705" i="2"/>
  <c r="F704" i="2"/>
  <c r="A704" i="2"/>
  <c r="F703" i="2"/>
  <c r="A703" i="2"/>
  <c r="F702" i="2"/>
  <c r="A702" i="2"/>
  <c r="F701" i="2"/>
  <c r="A701" i="2"/>
  <c r="F700" i="2"/>
  <c r="A700" i="2"/>
  <c r="F699" i="2"/>
  <c r="A699" i="2"/>
  <c r="F698" i="2"/>
  <c r="A698" i="2"/>
  <c r="F697" i="2"/>
  <c r="A697" i="2"/>
  <c r="F696" i="2"/>
  <c r="A696" i="2"/>
  <c r="F695" i="2"/>
  <c r="A695" i="2"/>
  <c r="F694" i="2"/>
  <c r="A694" i="2"/>
  <c r="F693" i="2"/>
  <c r="A693" i="2"/>
  <c r="F692" i="2"/>
  <c r="A692" i="2"/>
  <c r="F691" i="2"/>
  <c r="A691" i="2"/>
  <c r="F690" i="2"/>
  <c r="A690" i="2"/>
  <c r="F689" i="2"/>
  <c r="A689" i="2"/>
  <c r="F688" i="2"/>
  <c r="A688" i="2"/>
  <c r="F687" i="2"/>
  <c r="A687" i="2"/>
  <c r="F686" i="2"/>
  <c r="A686" i="2"/>
  <c r="F685" i="2"/>
  <c r="A685" i="2"/>
  <c r="F684" i="2"/>
  <c r="A684" i="2"/>
  <c r="F683" i="2"/>
  <c r="A683" i="2"/>
  <c r="F682" i="2"/>
  <c r="A682" i="2"/>
  <c r="F681" i="2"/>
  <c r="A681" i="2"/>
  <c r="F680" i="2"/>
  <c r="A680" i="2"/>
  <c r="F679" i="2"/>
  <c r="A679" i="2"/>
  <c r="E678" i="2"/>
  <c r="F677" i="2"/>
  <c r="A677" i="2"/>
  <c r="F676" i="2"/>
  <c r="A676" i="2"/>
  <c r="F675" i="2"/>
  <c r="A675" i="2"/>
  <c r="F674" i="2"/>
  <c r="A674" i="2"/>
  <c r="F673" i="2"/>
  <c r="A673" i="2"/>
  <c r="F672" i="2"/>
  <c r="A672" i="2"/>
  <c r="F671" i="2"/>
  <c r="A671" i="2"/>
  <c r="F670" i="2"/>
  <c r="A670" i="2"/>
  <c r="F669" i="2"/>
  <c r="A669" i="2"/>
  <c r="F668" i="2"/>
  <c r="A668" i="2"/>
  <c r="F667" i="2"/>
  <c r="A667" i="2"/>
  <c r="F666" i="2"/>
  <c r="A666" i="2"/>
  <c r="F665" i="2"/>
  <c r="A665" i="2"/>
  <c r="F664" i="2"/>
  <c r="A664" i="2"/>
  <c r="F663" i="2"/>
  <c r="A663" i="2"/>
  <c r="F662" i="2"/>
  <c r="A662" i="2"/>
  <c r="F661" i="2"/>
  <c r="A661" i="2"/>
  <c r="F660" i="2"/>
  <c r="A660" i="2"/>
  <c r="F659" i="2"/>
  <c r="A659" i="2"/>
  <c r="F658" i="2"/>
  <c r="A658" i="2"/>
  <c r="F657" i="2"/>
  <c r="A657" i="2"/>
  <c r="F656" i="2"/>
  <c r="A656" i="2"/>
  <c r="F655" i="2"/>
  <c r="A655" i="2"/>
  <c r="F654" i="2"/>
  <c r="A654" i="2"/>
  <c r="F653" i="2"/>
  <c r="A653" i="2"/>
  <c r="F652" i="2"/>
  <c r="A652" i="2"/>
  <c r="F651" i="2"/>
  <c r="A651" i="2"/>
  <c r="F650" i="2"/>
  <c r="A650" i="2"/>
  <c r="F649" i="2"/>
  <c r="A649" i="2"/>
  <c r="F648" i="2"/>
  <c r="A648" i="2"/>
  <c r="F647" i="2"/>
  <c r="A647" i="2"/>
  <c r="E646" i="2"/>
  <c r="F645" i="2"/>
  <c r="A645" i="2"/>
  <c r="F644" i="2"/>
  <c r="A644" i="2"/>
  <c r="F643" i="2"/>
  <c r="A643" i="2"/>
  <c r="F642" i="2"/>
  <c r="A642" i="2"/>
  <c r="F641" i="2"/>
  <c r="A641" i="2"/>
  <c r="F640" i="2"/>
  <c r="A640" i="2"/>
  <c r="F639" i="2"/>
  <c r="A639" i="2"/>
  <c r="F638" i="2"/>
  <c r="A638" i="2"/>
  <c r="F637" i="2"/>
  <c r="A637" i="2"/>
  <c r="F636" i="2"/>
  <c r="A636" i="2"/>
  <c r="F635" i="2"/>
  <c r="A635" i="2"/>
  <c r="F634" i="2"/>
  <c r="A634" i="2"/>
  <c r="F633" i="2"/>
  <c r="A633" i="2"/>
  <c r="F632" i="2"/>
  <c r="A632" i="2"/>
  <c r="F631" i="2"/>
  <c r="A631" i="2"/>
  <c r="F630" i="2"/>
  <c r="A630" i="2"/>
  <c r="F629" i="2"/>
  <c r="A629" i="2"/>
  <c r="F628" i="2"/>
  <c r="A628" i="2"/>
  <c r="F627" i="2"/>
  <c r="A627" i="2"/>
  <c r="F626" i="2"/>
  <c r="A626" i="2"/>
  <c r="F625" i="2"/>
  <c r="A625" i="2"/>
  <c r="F624" i="2"/>
  <c r="A624" i="2"/>
  <c r="F623" i="2"/>
  <c r="A623" i="2"/>
  <c r="F622" i="2"/>
  <c r="A622" i="2"/>
  <c r="F621" i="2"/>
  <c r="A621" i="2"/>
  <c r="F620" i="2"/>
  <c r="A620" i="2"/>
  <c r="F619" i="2"/>
  <c r="A619" i="2"/>
  <c r="F618" i="2"/>
  <c r="A618" i="2"/>
  <c r="F617" i="2"/>
  <c r="A617" i="2"/>
  <c r="F616" i="2"/>
  <c r="A616" i="2"/>
  <c r="F615" i="2"/>
  <c r="A615" i="2"/>
  <c r="E614" i="2"/>
  <c r="F613" i="2"/>
  <c r="A613" i="2"/>
  <c r="F612" i="2"/>
  <c r="A612" i="2"/>
  <c r="F611" i="2"/>
  <c r="A611" i="2"/>
  <c r="F610" i="2"/>
  <c r="A610" i="2"/>
  <c r="F609" i="2"/>
  <c r="A609" i="2"/>
  <c r="F608" i="2"/>
  <c r="A608" i="2"/>
  <c r="F607" i="2"/>
  <c r="A607" i="2"/>
  <c r="F606" i="2"/>
  <c r="A606" i="2"/>
  <c r="F605" i="2"/>
  <c r="A605" i="2"/>
  <c r="F604" i="2"/>
  <c r="A604" i="2"/>
  <c r="F603" i="2"/>
  <c r="A603" i="2"/>
  <c r="F602" i="2"/>
  <c r="A602" i="2"/>
  <c r="F601" i="2"/>
  <c r="A601" i="2"/>
  <c r="F600" i="2"/>
  <c r="A600" i="2"/>
  <c r="F599" i="2"/>
  <c r="A599" i="2"/>
  <c r="F598" i="2"/>
  <c r="A598" i="2"/>
  <c r="F597" i="2"/>
  <c r="A597" i="2"/>
  <c r="F596" i="2"/>
  <c r="A596" i="2"/>
  <c r="F595" i="2"/>
  <c r="A595" i="2"/>
  <c r="F594" i="2"/>
  <c r="A594" i="2"/>
  <c r="F593" i="2"/>
  <c r="A593" i="2"/>
  <c r="F592" i="2"/>
  <c r="A592" i="2"/>
  <c r="F591" i="2"/>
  <c r="A591" i="2"/>
  <c r="F590" i="2"/>
  <c r="A590" i="2"/>
  <c r="F589" i="2"/>
  <c r="A589" i="2"/>
  <c r="F588" i="2"/>
  <c r="A588" i="2"/>
  <c r="F587" i="2"/>
  <c r="A587" i="2"/>
  <c r="F586" i="2"/>
  <c r="A586" i="2"/>
  <c r="F585" i="2"/>
  <c r="A585" i="2"/>
  <c r="F584" i="2"/>
  <c r="A584" i="2"/>
  <c r="F583" i="2"/>
  <c r="A583" i="2"/>
  <c r="E582" i="2"/>
  <c r="F581" i="2"/>
  <c r="A581" i="2"/>
  <c r="F580" i="2"/>
  <c r="A580" i="2"/>
  <c r="F579" i="2"/>
  <c r="A579" i="2"/>
  <c r="F578" i="2"/>
  <c r="A578" i="2"/>
  <c r="F577" i="2"/>
  <c r="A577" i="2"/>
  <c r="F576" i="2"/>
  <c r="A576" i="2"/>
  <c r="F575" i="2"/>
  <c r="A575" i="2"/>
  <c r="F574" i="2"/>
  <c r="A574" i="2"/>
  <c r="F573" i="2"/>
  <c r="A573" i="2"/>
  <c r="F572" i="2"/>
  <c r="A572" i="2"/>
  <c r="F571" i="2"/>
  <c r="A571" i="2"/>
  <c r="F570" i="2"/>
  <c r="A570" i="2"/>
  <c r="F569" i="2"/>
  <c r="A569" i="2"/>
  <c r="F568" i="2"/>
  <c r="A568" i="2"/>
  <c r="F567" i="2"/>
  <c r="A567" i="2"/>
  <c r="F566" i="2"/>
  <c r="A566" i="2"/>
  <c r="F565" i="2"/>
  <c r="A565" i="2"/>
  <c r="F564" i="2"/>
  <c r="A564" i="2"/>
  <c r="F563" i="2"/>
  <c r="A563" i="2"/>
  <c r="F562" i="2"/>
  <c r="A562" i="2"/>
  <c r="F561" i="2"/>
  <c r="A561" i="2"/>
  <c r="F560" i="2"/>
  <c r="A560" i="2"/>
  <c r="F559" i="2"/>
  <c r="A559" i="2"/>
  <c r="I558" i="2" a="1"/>
  <c r="I558" i="2" s="1"/>
  <c r="H558" i="2" a="1"/>
  <c r="H558" i="2" s="1"/>
  <c r="F558" i="2"/>
  <c r="D558" i="2" a="1"/>
  <c r="D558" i="2" s="1"/>
  <c r="A558" i="2"/>
  <c r="F557" i="2"/>
  <c r="A557" i="2"/>
  <c r="F556" i="2"/>
  <c r="A556" i="2"/>
  <c r="F555" i="2"/>
  <c r="A555" i="2"/>
  <c r="F554" i="2"/>
  <c r="A554" i="2"/>
  <c r="F553" i="2"/>
  <c r="A553" i="2"/>
  <c r="F552" i="2"/>
  <c r="A552" i="2"/>
  <c r="F551" i="2"/>
  <c r="A551" i="2"/>
  <c r="E550" i="2"/>
  <c r="F549" i="2"/>
  <c r="A549" i="2"/>
  <c r="F548" i="2"/>
  <c r="A548" i="2"/>
  <c r="F547" i="2"/>
  <c r="A547" i="2"/>
  <c r="F546" i="2"/>
  <c r="A546" i="2"/>
  <c r="F545" i="2"/>
  <c r="A545" i="2"/>
  <c r="F544" i="2"/>
  <c r="A544" i="2"/>
  <c r="F543" i="2"/>
  <c r="A543" i="2"/>
  <c r="F542" i="2"/>
  <c r="A542" i="2"/>
  <c r="F541" i="2"/>
  <c r="A541" i="2"/>
  <c r="F540" i="2"/>
  <c r="A540" i="2"/>
  <c r="F539" i="2"/>
  <c r="A539" i="2"/>
  <c r="F538" i="2"/>
  <c r="A538" i="2"/>
  <c r="F537" i="2"/>
  <c r="A537" i="2"/>
  <c r="F536" i="2"/>
  <c r="A536" i="2"/>
  <c r="F535" i="2"/>
  <c r="A535" i="2"/>
  <c r="F534" i="2"/>
  <c r="A534" i="2"/>
  <c r="F533" i="2"/>
  <c r="A533" i="2"/>
  <c r="F532" i="2"/>
  <c r="A532" i="2"/>
  <c r="F531" i="2"/>
  <c r="A531" i="2"/>
  <c r="F530" i="2"/>
  <c r="A530" i="2"/>
  <c r="F529" i="2"/>
  <c r="A529" i="2"/>
  <c r="F528" i="2"/>
  <c r="A528" i="2"/>
  <c r="F527" i="2"/>
  <c r="A527" i="2"/>
  <c r="F526" i="2"/>
  <c r="A526" i="2"/>
  <c r="F525" i="2"/>
  <c r="A525" i="2"/>
  <c r="F524" i="2"/>
  <c r="A524" i="2"/>
  <c r="F523" i="2"/>
  <c r="A523" i="2"/>
  <c r="F522" i="2"/>
  <c r="A522" i="2"/>
  <c r="F521" i="2"/>
  <c r="A521" i="2"/>
  <c r="F520" i="2"/>
  <c r="A520" i="2"/>
  <c r="F519" i="2"/>
  <c r="A519" i="2"/>
  <c r="E518" i="2"/>
  <c r="F517" i="2"/>
  <c r="A517" i="2"/>
  <c r="F516" i="2"/>
  <c r="A516" i="2"/>
  <c r="F515" i="2"/>
  <c r="A515" i="2"/>
  <c r="F514" i="2"/>
  <c r="A514" i="2"/>
  <c r="F513" i="2"/>
  <c r="A513" i="2"/>
  <c r="F512" i="2"/>
  <c r="A512" i="2"/>
  <c r="F511" i="2"/>
  <c r="A511" i="2"/>
  <c r="F510" i="2"/>
  <c r="A510" i="2"/>
  <c r="F509" i="2"/>
  <c r="A509" i="2"/>
  <c r="F508" i="2"/>
  <c r="A508" i="2"/>
  <c r="F507" i="2"/>
  <c r="A507" i="2"/>
  <c r="F506" i="2"/>
  <c r="A506" i="2"/>
  <c r="F505" i="2"/>
  <c r="A505" i="2"/>
  <c r="F504" i="2"/>
  <c r="A504" i="2"/>
  <c r="F503" i="2"/>
  <c r="A503" i="2"/>
  <c r="F502" i="2"/>
  <c r="A502" i="2"/>
  <c r="F501" i="2"/>
  <c r="A501" i="2"/>
  <c r="F500" i="2"/>
  <c r="A500" i="2"/>
  <c r="F499" i="2"/>
  <c r="A499" i="2"/>
  <c r="F498" i="2"/>
  <c r="A498" i="2"/>
  <c r="F497" i="2"/>
  <c r="A497" i="2"/>
  <c r="F496" i="2"/>
  <c r="A496" i="2"/>
  <c r="F495" i="2"/>
  <c r="A495" i="2"/>
  <c r="F494" i="2"/>
  <c r="A494" i="2"/>
  <c r="F493" i="2"/>
  <c r="A493" i="2"/>
  <c r="F492" i="2"/>
  <c r="A492" i="2"/>
  <c r="F491" i="2"/>
  <c r="A491" i="2"/>
  <c r="F490" i="2"/>
  <c r="A490" i="2"/>
  <c r="F489" i="2"/>
  <c r="A489" i="2"/>
  <c r="F488" i="2"/>
  <c r="A488" i="2"/>
  <c r="F487" i="2"/>
  <c r="A487" i="2"/>
  <c r="E486" i="2"/>
  <c r="F485" i="2"/>
  <c r="A485" i="2"/>
  <c r="F484" i="2"/>
  <c r="A484" i="2"/>
  <c r="F483" i="2"/>
  <c r="A483" i="2"/>
  <c r="F482" i="2"/>
  <c r="A482" i="2"/>
  <c r="F481" i="2"/>
  <c r="A481" i="2"/>
  <c r="F480" i="2"/>
  <c r="A480" i="2"/>
  <c r="F479" i="2"/>
  <c r="A479" i="2"/>
  <c r="F478" i="2"/>
  <c r="A478" i="2"/>
  <c r="F477" i="2"/>
  <c r="A477" i="2"/>
  <c r="F476" i="2"/>
  <c r="A476" i="2"/>
  <c r="F475" i="2"/>
  <c r="A475" i="2"/>
  <c r="F474" i="2"/>
  <c r="A474" i="2"/>
  <c r="F473" i="2"/>
  <c r="A473" i="2"/>
  <c r="F472" i="2"/>
  <c r="A472" i="2"/>
  <c r="F471" i="2"/>
  <c r="A471" i="2"/>
  <c r="F470" i="2"/>
  <c r="A470" i="2"/>
  <c r="F469" i="2"/>
  <c r="A469" i="2"/>
  <c r="F468" i="2"/>
  <c r="A468" i="2"/>
  <c r="F467" i="2"/>
  <c r="A467" i="2"/>
  <c r="F466" i="2"/>
  <c r="A466" i="2"/>
  <c r="F465" i="2"/>
  <c r="A465" i="2"/>
  <c r="F464" i="2"/>
  <c r="A464" i="2"/>
  <c r="F463" i="2"/>
  <c r="A463" i="2"/>
  <c r="F462" i="2"/>
  <c r="A462" i="2"/>
  <c r="F461" i="2"/>
  <c r="A461" i="2"/>
  <c r="F460" i="2"/>
  <c r="A460" i="2"/>
  <c r="F459" i="2"/>
  <c r="A459" i="2"/>
  <c r="F458" i="2"/>
  <c r="A458" i="2"/>
  <c r="F457" i="2"/>
  <c r="A457" i="2"/>
  <c r="F456" i="2"/>
  <c r="A456" i="2"/>
  <c r="F455" i="2"/>
  <c r="A455" i="2"/>
  <c r="F454" i="2"/>
  <c r="A454" i="2"/>
  <c r="F453" i="2"/>
  <c r="A453" i="2"/>
  <c r="F452" i="2"/>
  <c r="A452" i="2"/>
  <c r="F451" i="2"/>
  <c r="A451" i="2"/>
  <c r="F450" i="2"/>
  <c r="A450" i="2"/>
  <c r="F449" i="2"/>
  <c r="A449" i="2"/>
  <c r="F448" i="2"/>
  <c r="A448" i="2"/>
  <c r="F447" i="2"/>
  <c r="A447" i="2"/>
  <c r="F446" i="2"/>
  <c r="A446" i="2"/>
  <c r="F445" i="2"/>
  <c r="A445" i="2"/>
  <c r="F444" i="2"/>
  <c r="A444" i="2"/>
  <c r="F443" i="2"/>
  <c r="A443" i="2"/>
  <c r="F442" i="2"/>
  <c r="A442" i="2"/>
  <c r="F441" i="2"/>
  <c r="A441" i="2"/>
  <c r="F440" i="2"/>
  <c r="A440" i="2"/>
  <c r="F439" i="2"/>
  <c r="A439" i="2"/>
  <c r="F438" i="2"/>
  <c r="A438" i="2"/>
  <c r="F437" i="2"/>
  <c r="A437" i="2"/>
  <c r="F436" i="2"/>
  <c r="A436" i="2"/>
  <c r="F435" i="2"/>
  <c r="A435" i="2"/>
  <c r="F434" i="2"/>
  <c r="A434" i="2"/>
  <c r="F433" i="2"/>
  <c r="A433" i="2"/>
  <c r="F432" i="2"/>
  <c r="A432" i="2"/>
  <c r="F431" i="2"/>
  <c r="A431" i="2"/>
  <c r="F430" i="2"/>
  <c r="A430" i="2"/>
  <c r="F429" i="2"/>
  <c r="A429" i="2"/>
  <c r="F428" i="2"/>
  <c r="A428" i="2"/>
  <c r="F427" i="2"/>
  <c r="A427" i="2"/>
  <c r="F426" i="2"/>
  <c r="A426" i="2"/>
  <c r="F425" i="2"/>
  <c r="A425" i="2"/>
  <c r="F424" i="2"/>
  <c r="A424" i="2"/>
  <c r="F423" i="2"/>
  <c r="A423" i="2"/>
  <c r="F422" i="2"/>
  <c r="A422" i="2"/>
  <c r="F421" i="2"/>
  <c r="A421" i="2"/>
  <c r="F420" i="2"/>
  <c r="A420" i="2"/>
  <c r="F419" i="2"/>
  <c r="A419" i="2"/>
  <c r="F418" i="2"/>
  <c r="A418" i="2"/>
  <c r="F417" i="2"/>
  <c r="A417" i="2"/>
  <c r="F416" i="2"/>
  <c r="A416" i="2"/>
  <c r="F415" i="2"/>
  <c r="A415" i="2"/>
  <c r="F414" i="2"/>
  <c r="A414" i="2"/>
  <c r="F413" i="2"/>
  <c r="A413" i="2"/>
  <c r="F412" i="2"/>
  <c r="A412" i="2"/>
  <c r="F411" i="2"/>
  <c r="A411" i="2"/>
  <c r="F410" i="2"/>
  <c r="A410" i="2"/>
  <c r="F409" i="2"/>
  <c r="A409" i="2"/>
  <c r="F408" i="2"/>
  <c r="A408" i="2"/>
  <c r="F407" i="2"/>
  <c r="A407" i="2"/>
  <c r="F406" i="2"/>
  <c r="A406" i="2"/>
  <c r="F405" i="2"/>
  <c r="A405" i="2"/>
  <c r="F404" i="2"/>
  <c r="A404" i="2"/>
  <c r="F403" i="2"/>
  <c r="A403" i="2"/>
  <c r="F402" i="2"/>
  <c r="A402" i="2"/>
  <c r="F401" i="2"/>
  <c r="A401" i="2"/>
  <c r="F400" i="2"/>
  <c r="A400" i="2"/>
  <c r="F399" i="2"/>
  <c r="A399" i="2"/>
  <c r="F398" i="2"/>
  <c r="A398" i="2"/>
  <c r="F397" i="2"/>
  <c r="A397" i="2"/>
  <c r="F396" i="2"/>
  <c r="A396" i="2"/>
  <c r="F395" i="2"/>
  <c r="A395" i="2"/>
  <c r="F394" i="2"/>
  <c r="A394" i="2"/>
  <c r="F393" i="2"/>
  <c r="A393" i="2"/>
  <c r="F392" i="2"/>
  <c r="A392" i="2"/>
  <c r="F391" i="2"/>
  <c r="A391" i="2"/>
  <c r="F390" i="2"/>
  <c r="A390" i="2"/>
  <c r="F389" i="2"/>
  <c r="A389" i="2"/>
  <c r="F388" i="2"/>
  <c r="A388" i="2"/>
  <c r="F387" i="2"/>
  <c r="A387" i="2"/>
  <c r="F386" i="2"/>
  <c r="A386" i="2"/>
  <c r="F385" i="2"/>
  <c r="A385" i="2"/>
  <c r="F384" i="2"/>
  <c r="A384" i="2"/>
  <c r="F383" i="2"/>
  <c r="A383" i="2"/>
  <c r="F382" i="2"/>
  <c r="A382" i="2"/>
  <c r="F381" i="2"/>
  <c r="A381" i="2"/>
  <c r="F380" i="2"/>
  <c r="A380" i="2"/>
  <c r="F379" i="2"/>
  <c r="A379" i="2"/>
  <c r="F378" i="2"/>
  <c r="A378" i="2"/>
  <c r="F377" i="2"/>
  <c r="A377" i="2"/>
  <c r="F376" i="2"/>
  <c r="A376" i="2"/>
  <c r="F375" i="2"/>
  <c r="A375" i="2"/>
  <c r="F374" i="2"/>
  <c r="A374" i="2"/>
  <c r="F373" i="2"/>
  <c r="A373" i="2"/>
  <c r="F372" i="2"/>
  <c r="A372" i="2"/>
  <c r="F371" i="2"/>
  <c r="A371" i="2"/>
  <c r="F370" i="2"/>
  <c r="A370" i="2"/>
  <c r="F369" i="2"/>
  <c r="A369" i="2"/>
  <c r="F368" i="2"/>
  <c r="A368" i="2"/>
  <c r="F367" i="2"/>
  <c r="A367" i="2"/>
  <c r="F366" i="2"/>
  <c r="A366" i="2"/>
  <c r="F365" i="2"/>
  <c r="A365" i="2"/>
  <c r="F364" i="2"/>
  <c r="A364" i="2"/>
  <c r="F363" i="2"/>
  <c r="A363" i="2"/>
  <c r="F362" i="2"/>
  <c r="A362" i="2"/>
  <c r="F361" i="2"/>
  <c r="A361" i="2"/>
  <c r="F360" i="2"/>
  <c r="A360" i="2"/>
  <c r="F359" i="2"/>
  <c r="A359" i="2"/>
  <c r="F358" i="2"/>
  <c r="A358" i="2"/>
  <c r="F357" i="2"/>
  <c r="A357" i="2"/>
  <c r="F356" i="2"/>
  <c r="A356" i="2"/>
  <c r="F355" i="2"/>
  <c r="A355" i="2"/>
  <c r="F354" i="2"/>
  <c r="A354" i="2"/>
  <c r="F353" i="2"/>
  <c r="A353" i="2"/>
  <c r="F352" i="2"/>
  <c r="A352" i="2"/>
  <c r="F351" i="2"/>
  <c r="A351" i="2"/>
  <c r="F350" i="2"/>
  <c r="A350" i="2"/>
  <c r="F349" i="2"/>
  <c r="A349" i="2"/>
  <c r="F348" i="2"/>
  <c r="A348" i="2"/>
  <c r="F347" i="2"/>
  <c r="A347" i="2"/>
  <c r="F346" i="2"/>
  <c r="A346" i="2"/>
  <c r="F345" i="2"/>
  <c r="A345" i="2"/>
  <c r="F344" i="2"/>
  <c r="A344" i="2"/>
  <c r="F343" i="2"/>
  <c r="A343" i="2"/>
  <c r="F342" i="2"/>
  <c r="A342" i="2"/>
  <c r="F341" i="2"/>
  <c r="A341" i="2"/>
  <c r="F340" i="2"/>
  <c r="A340" i="2"/>
  <c r="F339" i="2"/>
  <c r="A339" i="2"/>
  <c r="F338" i="2"/>
  <c r="A338" i="2"/>
  <c r="F337" i="2"/>
  <c r="A337" i="2"/>
  <c r="F336" i="2"/>
  <c r="A336" i="2"/>
  <c r="F335" i="2"/>
  <c r="A335" i="2"/>
  <c r="F334" i="2"/>
  <c r="A334" i="2"/>
  <c r="F333" i="2"/>
  <c r="A333" i="2"/>
  <c r="F332" i="2"/>
  <c r="A332" i="2"/>
  <c r="F331" i="2"/>
  <c r="A331" i="2"/>
  <c r="F330" i="2"/>
  <c r="A330" i="2"/>
  <c r="F329" i="2"/>
  <c r="A329" i="2"/>
  <c r="F328" i="2"/>
  <c r="A328" i="2"/>
  <c r="F327" i="2"/>
  <c r="A327" i="2"/>
  <c r="F326" i="2"/>
  <c r="A326" i="2"/>
  <c r="F325" i="2"/>
  <c r="A325" i="2"/>
  <c r="F324" i="2"/>
  <c r="A324" i="2"/>
  <c r="F323" i="2"/>
  <c r="A323" i="2"/>
  <c r="F322" i="2"/>
  <c r="A322" i="2"/>
  <c r="F321" i="2"/>
  <c r="A321" i="2"/>
  <c r="F320" i="2"/>
  <c r="A320" i="2"/>
  <c r="F319" i="2"/>
  <c r="A319" i="2"/>
  <c r="F318" i="2"/>
  <c r="A318" i="2"/>
  <c r="F317" i="2"/>
  <c r="A317" i="2"/>
  <c r="F316" i="2"/>
  <c r="A316" i="2"/>
  <c r="F315" i="2"/>
  <c r="A315" i="2"/>
  <c r="F314" i="2"/>
  <c r="A314" i="2"/>
  <c r="F313" i="2"/>
  <c r="A313" i="2"/>
  <c r="F312" i="2"/>
  <c r="A312" i="2"/>
  <c r="F311" i="2"/>
  <c r="A311" i="2"/>
  <c r="F310" i="2"/>
  <c r="A310" i="2"/>
  <c r="F309" i="2"/>
  <c r="A309" i="2"/>
  <c r="F308" i="2"/>
  <c r="A308" i="2"/>
  <c r="F307" i="2"/>
  <c r="A307" i="2"/>
  <c r="F306" i="2"/>
  <c r="A306" i="2"/>
  <c r="F305" i="2"/>
  <c r="A305" i="2"/>
  <c r="F304" i="2"/>
  <c r="A304" i="2"/>
  <c r="F303" i="2"/>
  <c r="A303" i="2"/>
  <c r="F302" i="2"/>
  <c r="A302" i="2"/>
  <c r="F301" i="2"/>
  <c r="A301" i="2"/>
  <c r="F300" i="2"/>
  <c r="A300" i="2"/>
  <c r="F299" i="2"/>
  <c r="A299" i="2"/>
  <c r="F298" i="2"/>
  <c r="A298" i="2"/>
  <c r="F297" i="2"/>
  <c r="A297" i="2"/>
  <c r="F296" i="2"/>
  <c r="A296" i="2"/>
  <c r="F295" i="2"/>
  <c r="A295" i="2"/>
  <c r="F294" i="2"/>
  <c r="A294" i="2"/>
  <c r="F293" i="2"/>
  <c r="A293" i="2"/>
  <c r="F292" i="2"/>
  <c r="A292" i="2"/>
  <c r="F291" i="2"/>
  <c r="A291" i="2"/>
  <c r="F290" i="2"/>
  <c r="A290" i="2"/>
  <c r="F289" i="2"/>
  <c r="A289" i="2"/>
  <c r="F288" i="2"/>
  <c r="A288" i="2"/>
  <c r="F287" i="2"/>
  <c r="A287" i="2"/>
  <c r="F286" i="2"/>
  <c r="A286" i="2"/>
  <c r="F285" i="2"/>
  <c r="A285" i="2"/>
  <c r="F284" i="2"/>
  <c r="A284" i="2"/>
  <c r="F283" i="2"/>
  <c r="A283" i="2"/>
  <c r="F282" i="2"/>
  <c r="A282" i="2"/>
  <c r="F281" i="2"/>
  <c r="A281" i="2"/>
  <c r="F280" i="2"/>
  <c r="A280" i="2"/>
  <c r="F279" i="2"/>
  <c r="A279" i="2"/>
  <c r="F278" i="2"/>
  <c r="A278" i="2"/>
  <c r="F277" i="2"/>
  <c r="A277" i="2"/>
  <c r="F276" i="2"/>
  <c r="A276" i="2"/>
  <c r="F275" i="2"/>
  <c r="A275" i="2"/>
  <c r="F274" i="2"/>
  <c r="A274" i="2"/>
  <c r="F273" i="2"/>
  <c r="A273" i="2"/>
  <c r="F272" i="2"/>
  <c r="A272" i="2"/>
  <c r="F271" i="2"/>
  <c r="A271" i="2"/>
  <c r="F270" i="2"/>
  <c r="A270" i="2"/>
  <c r="F269" i="2"/>
  <c r="A269" i="2"/>
  <c r="F268" i="2"/>
  <c r="A268" i="2"/>
  <c r="F267" i="2"/>
  <c r="A267" i="2"/>
  <c r="F266" i="2"/>
  <c r="A266" i="2"/>
  <c r="F265" i="2"/>
  <c r="A265" i="2"/>
  <c r="F264" i="2"/>
  <c r="A264" i="2"/>
  <c r="F263" i="2"/>
  <c r="A263" i="2"/>
  <c r="F262" i="2"/>
  <c r="A262" i="2"/>
  <c r="F261" i="2"/>
  <c r="A261" i="2"/>
  <c r="F260" i="2"/>
  <c r="A260" i="2"/>
  <c r="F259" i="2"/>
  <c r="A259" i="2"/>
  <c r="F258" i="2"/>
  <c r="A258" i="2"/>
  <c r="F257" i="2"/>
  <c r="A257" i="2"/>
  <c r="F256" i="2"/>
  <c r="A256" i="2"/>
  <c r="F255" i="2"/>
  <c r="A255" i="2"/>
  <c r="F254" i="2"/>
  <c r="A254" i="2"/>
  <c r="F253" i="2"/>
  <c r="A253" i="2"/>
  <c r="F252" i="2"/>
  <c r="A252" i="2"/>
  <c r="F251" i="2"/>
  <c r="A251" i="2"/>
  <c r="F250" i="2"/>
  <c r="A250" i="2"/>
  <c r="F249" i="2"/>
  <c r="A249" i="2"/>
  <c r="F248" i="2"/>
  <c r="A248" i="2"/>
  <c r="F247" i="2"/>
  <c r="A247" i="2"/>
  <c r="F246" i="2"/>
  <c r="A246" i="2"/>
  <c r="F245" i="2"/>
  <c r="A245" i="2"/>
  <c r="F244" i="2"/>
  <c r="A244" i="2"/>
  <c r="F243" i="2"/>
  <c r="A243" i="2"/>
  <c r="F242" i="2"/>
  <c r="A242" i="2"/>
  <c r="F241" i="2"/>
  <c r="A241" i="2"/>
  <c r="F240" i="2"/>
  <c r="A240" i="2"/>
  <c r="F239" i="2"/>
  <c r="A239" i="2"/>
  <c r="F238" i="2"/>
  <c r="A238" i="2"/>
  <c r="F237" i="2"/>
  <c r="A237" i="2"/>
  <c r="F236" i="2"/>
  <c r="A236" i="2"/>
  <c r="F235" i="2"/>
  <c r="A235" i="2"/>
  <c r="F234" i="2"/>
  <c r="A234" i="2"/>
  <c r="F233" i="2"/>
  <c r="A233" i="2"/>
  <c r="F232" i="2"/>
  <c r="A232" i="2"/>
  <c r="F231" i="2"/>
  <c r="A231" i="2"/>
  <c r="F230" i="2"/>
  <c r="A230" i="2"/>
  <c r="F229" i="2"/>
  <c r="A229" i="2"/>
  <c r="F228" i="2"/>
  <c r="A228" i="2"/>
  <c r="F227" i="2"/>
  <c r="A227" i="2"/>
  <c r="F226" i="2"/>
  <c r="A226" i="2"/>
  <c r="F225" i="2"/>
  <c r="A225" i="2"/>
  <c r="F224" i="2"/>
  <c r="A224" i="2"/>
  <c r="F223" i="2"/>
  <c r="A223" i="2"/>
  <c r="F222" i="2"/>
  <c r="A222" i="2"/>
  <c r="F221" i="2"/>
  <c r="A221" i="2"/>
  <c r="F220" i="2"/>
  <c r="A220" i="2"/>
  <c r="F219" i="2"/>
  <c r="A219" i="2"/>
  <c r="F218" i="2"/>
  <c r="A218" i="2"/>
  <c r="F217" i="2"/>
  <c r="A217" i="2"/>
  <c r="F216" i="2"/>
  <c r="A216" i="2"/>
  <c r="F215" i="2"/>
  <c r="A215" i="2"/>
  <c r="F214" i="2"/>
  <c r="A214" i="2"/>
  <c r="F213" i="2"/>
  <c r="A213" i="2"/>
  <c r="F212" i="2"/>
  <c r="A212" i="2"/>
  <c r="F211" i="2"/>
  <c r="A211" i="2"/>
  <c r="F210" i="2"/>
  <c r="A210" i="2"/>
  <c r="F209" i="2"/>
  <c r="A209" i="2"/>
  <c r="F208" i="2"/>
  <c r="A208" i="2"/>
  <c r="F207" i="2"/>
  <c r="A207" i="2"/>
  <c r="F206" i="2"/>
  <c r="A206" i="2"/>
  <c r="F205" i="2"/>
  <c r="A205" i="2"/>
  <c r="F204" i="2"/>
  <c r="A204" i="2"/>
  <c r="F203" i="2"/>
  <c r="A203" i="2"/>
  <c r="F202" i="2"/>
  <c r="A202" i="2"/>
  <c r="F201" i="2"/>
  <c r="A201" i="2"/>
  <c r="F200" i="2"/>
  <c r="A200" i="2"/>
  <c r="F199" i="2"/>
  <c r="A199" i="2"/>
  <c r="F198" i="2"/>
  <c r="A198" i="2"/>
  <c r="F197" i="2"/>
  <c r="A197" i="2"/>
  <c r="F196" i="2"/>
  <c r="A196" i="2"/>
  <c r="F195" i="2"/>
  <c r="A195" i="2"/>
  <c r="F194" i="2"/>
  <c r="A194" i="2"/>
  <c r="F193" i="2"/>
  <c r="A193" i="2"/>
  <c r="F192" i="2"/>
  <c r="A192" i="2"/>
  <c r="F191" i="2"/>
  <c r="A191" i="2"/>
  <c r="F190" i="2"/>
  <c r="A190" i="2"/>
  <c r="F189" i="2"/>
  <c r="A189" i="2"/>
  <c r="F188" i="2"/>
  <c r="A188" i="2"/>
  <c r="F187" i="2"/>
  <c r="A187" i="2"/>
  <c r="F186" i="2"/>
  <c r="A186" i="2"/>
  <c r="F185" i="2"/>
  <c r="A185" i="2"/>
  <c r="F184" i="2"/>
  <c r="A184" i="2"/>
  <c r="F183" i="2"/>
  <c r="A183" i="2"/>
  <c r="F182" i="2"/>
  <c r="A182" i="2"/>
  <c r="F181" i="2"/>
  <c r="A181" i="2"/>
  <c r="F180" i="2"/>
  <c r="A180" i="2"/>
  <c r="F179" i="2"/>
  <c r="A179" i="2"/>
  <c r="F178" i="2"/>
  <c r="A178" i="2"/>
  <c r="F177" i="2"/>
  <c r="A177" i="2"/>
  <c r="F176" i="2"/>
  <c r="A176" i="2"/>
  <c r="F175" i="2"/>
  <c r="A175" i="2"/>
  <c r="F174" i="2"/>
  <c r="A174" i="2"/>
  <c r="F173" i="2"/>
  <c r="A173" i="2"/>
  <c r="F172" i="2"/>
  <c r="A172" i="2"/>
  <c r="F171" i="2"/>
  <c r="A171" i="2"/>
  <c r="F170" i="2"/>
  <c r="A170" i="2"/>
  <c r="F169" i="2"/>
  <c r="A169" i="2"/>
  <c r="F168" i="2"/>
  <c r="A168" i="2"/>
  <c r="F167" i="2"/>
  <c r="A167" i="2"/>
  <c r="F166" i="2"/>
  <c r="A166" i="2"/>
  <c r="F165" i="2"/>
  <c r="A165" i="2"/>
  <c r="F164" i="2"/>
  <c r="A164" i="2"/>
  <c r="F163" i="2"/>
  <c r="A163" i="2"/>
  <c r="F162" i="2"/>
  <c r="A162" i="2"/>
  <c r="F161" i="2"/>
  <c r="A161" i="2"/>
  <c r="F160" i="2"/>
  <c r="A160" i="2"/>
  <c r="F159" i="2"/>
  <c r="A159" i="2"/>
  <c r="F158" i="2"/>
  <c r="A158" i="2"/>
  <c r="F157" i="2"/>
  <c r="A157" i="2"/>
  <c r="F156" i="2"/>
  <c r="A156" i="2"/>
  <c r="F155" i="2"/>
  <c r="A155" i="2"/>
  <c r="F154" i="2"/>
  <c r="A154" i="2"/>
  <c r="F153" i="2"/>
  <c r="A153" i="2"/>
  <c r="F152" i="2"/>
  <c r="A152" i="2"/>
  <c r="F151" i="2"/>
  <c r="A151" i="2"/>
  <c r="F150" i="2"/>
  <c r="A150" i="2"/>
  <c r="F149" i="2"/>
  <c r="A149" i="2"/>
  <c r="F148" i="2"/>
  <c r="A148" i="2"/>
  <c r="F147" i="2"/>
  <c r="A147" i="2"/>
  <c r="F146" i="2"/>
  <c r="A146" i="2"/>
  <c r="F145" i="2"/>
  <c r="A145" i="2"/>
  <c r="F144" i="2"/>
  <c r="A144" i="2"/>
  <c r="F143" i="2"/>
  <c r="A143" i="2"/>
  <c r="F142" i="2"/>
  <c r="A142" i="2"/>
  <c r="F141" i="2"/>
  <c r="A141" i="2"/>
  <c r="F140" i="2"/>
  <c r="A140" i="2"/>
  <c r="F139" i="2"/>
  <c r="A139" i="2"/>
  <c r="F138" i="2"/>
  <c r="A138" i="2"/>
  <c r="F137" i="2"/>
  <c r="A137" i="2"/>
  <c r="F136" i="2"/>
  <c r="A136" i="2"/>
  <c r="F135" i="2"/>
  <c r="A135" i="2"/>
  <c r="F134" i="2"/>
  <c r="A134" i="2"/>
  <c r="F133" i="2"/>
  <c r="A133" i="2"/>
  <c r="F132" i="2"/>
  <c r="A132" i="2"/>
  <c r="F131" i="2"/>
  <c r="A131" i="2"/>
  <c r="F130" i="2"/>
  <c r="A130" i="2"/>
  <c r="F129" i="2"/>
  <c r="A129" i="2"/>
  <c r="F128" i="2"/>
  <c r="A128" i="2"/>
  <c r="F127" i="2"/>
  <c r="A127" i="2"/>
  <c r="F126" i="2"/>
  <c r="A126" i="2"/>
  <c r="F125" i="2"/>
  <c r="A125" i="2"/>
  <c r="F124" i="2"/>
  <c r="A124" i="2"/>
  <c r="F123" i="2"/>
  <c r="A123" i="2"/>
  <c r="F122" i="2"/>
  <c r="A122" i="2"/>
  <c r="F121" i="2"/>
  <c r="A121" i="2"/>
  <c r="F120" i="2"/>
  <c r="A120" i="2"/>
  <c r="F119" i="2"/>
  <c r="A119" i="2"/>
  <c r="F118" i="2"/>
  <c r="A118" i="2"/>
  <c r="F117" i="2"/>
  <c r="A117" i="2"/>
  <c r="F116" i="2"/>
  <c r="A116" i="2"/>
  <c r="F115" i="2"/>
  <c r="A115" i="2"/>
  <c r="F114" i="2"/>
  <c r="A114" i="2"/>
  <c r="F113" i="2"/>
  <c r="A113" i="2"/>
  <c r="F112" i="2"/>
  <c r="A112" i="2"/>
  <c r="F111" i="2"/>
  <c r="A111" i="2"/>
  <c r="F110" i="2"/>
  <c r="A110" i="2"/>
  <c r="F109" i="2"/>
  <c r="A109" i="2"/>
  <c r="F108" i="2"/>
  <c r="A108" i="2"/>
  <c r="F107" i="2"/>
  <c r="A107" i="2"/>
  <c r="F106" i="2"/>
  <c r="A106" i="2"/>
  <c r="F105" i="2"/>
  <c r="A105" i="2"/>
  <c r="F104" i="2"/>
  <c r="A104" i="2"/>
  <c r="F103" i="2"/>
  <c r="A103" i="2"/>
  <c r="F102" i="2"/>
  <c r="A102" i="2"/>
  <c r="F101" i="2"/>
  <c r="A101" i="2"/>
  <c r="F100" i="2"/>
  <c r="A100" i="2"/>
  <c r="F99" i="2"/>
  <c r="A99" i="2"/>
  <c r="F98" i="2"/>
  <c r="A98" i="2"/>
  <c r="F97" i="2"/>
  <c r="A97" i="2"/>
  <c r="F96" i="2"/>
  <c r="A96" i="2"/>
  <c r="F95" i="2"/>
  <c r="A95" i="2"/>
  <c r="F94" i="2"/>
  <c r="A94" i="2"/>
  <c r="F93" i="2"/>
  <c r="A93" i="2"/>
  <c r="F92" i="2"/>
  <c r="A92" i="2"/>
  <c r="F91" i="2"/>
  <c r="A91" i="2"/>
  <c r="F90" i="2"/>
  <c r="A90" i="2"/>
  <c r="F89" i="2"/>
  <c r="A89" i="2"/>
  <c r="F88" i="2"/>
  <c r="A88" i="2"/>
  <c r="F87" i="2"/>
  <c r="A87" i="2"/>
  <c r="F86" i="2"/>
  <c r="A86" i="2"/>
  <c r="F85" i="2"/>
  <c r="A85" i="2"/>
  <c r="F84" i="2"/>
  <c r="A84" i="2"/>
  <c r="F83" i="2"/>
  <c r="A83" i="2"/>
  <c r="F82" i="2"/>
  <c r="A82" i="2"/>
  <c r="F81" i="2"/>
  <c r="A81" i="2"/>
  <c r="F80" i="2"/>
  <c r="A80" i="2"/>
  <c r="F79" i="2"/>
  <c r="A79" i="2"/>
  <c r="F78" i="2"/>
  <c r="A78" i="2"/>
  <c r="F77" i="2"/>
  <c r="A77" i="2"/>
  <c r="F76" i="2"/>
  <c r="A76" i="2"/>
  <c r="F75" i="2"/>
  <c r="A75" i="2"/>
  <c r="F74" i="2"/>
  <c r="A74" i="2"/>
  <c r="F73" i="2"/>
  <c r="A73" i="2"/>
  <c r="F72" i="2"/>
  <c r="A72" i="2"/>
  <c r="F71" i="2"/>
  <c r="A71" i="2"/>
  <c r="F70" i="2"/>
  <c r="A70" i="2"/>
  <c r="F69" i="2"/>
  <c r="A69" i="2"/>
  <c r="F68" i="2"/>
  <c r="A68" i="2"/>
  <c r="F67" i="2"/>
  <c r="A67" i="2"/>
  <c r="F66" i="2"/>
  <c r="A66" i="2"/>
  <c r="F65" i="2"/>
  <c r="A65" i="2"/>
  <c r="F64" i="2"/>
  <c r="A64" i="2"/>
  <c r="F63" i="2"/>
  <c r="A63" i="2"/>
  <c r="F62" i="2"/>
  <c r="A62" i="2"/>
  <c r="F61" i="2"/>
  <c r="A61" i="2"/>
  <c r="F60" i="2"/>
  <c r="A60" i="2"/>
  <c r="F59" i="2"/>
  <c r="A59" i="2"/>
  <c r="F58" i="2"/>
  <c r="A58" i="2"/>
  <c r="F57" i="2"/>
  <c r="A57" i="2"/>
  <c r="F56" i="2"/>
  <c r="A56" i="2"/>
  <c r="F55" i="2"/>
  <c r="A55" i="2"/>
  <c r="F54" i="2"/>
  <c r="A54" i="2"/>
  <c r="F53" i="2"/>
  <c r="A53" i="2"/>
  <c r="F52" i="2"/>
  <c r="A52" i="2"/>
  <c r="F51" i="2"/>
  <c r="A51" i="2"/>
  <c r="F50" i="2"/>
  <c r="A50" i="2"/>
  <c r="F49" i="2"/>
  <c r="A49" i="2"/>
  <c r="F48" i="2"/>
  <c r="A48" i="2"/>
  <c r="F47" i="2"/>
  <c r="A47" i="2"/>
  <c r="F46" i="2"/>
  <c r="A46" i="2"/>
  <c r="F45" i="2"/>
  <c r="A45" i="2"/>
  <c r="F44" i="2"/>
  <c r="A44" i="2"/>
  <c r="F43" i="2"/>
  <c r="A43" i="2"/>
  <c r="F42" i="2"/>
  <c r="A42" i="2"/>
  <c r="F41" i="2"/>
  <c r="A41" i="2"/>
  <c r="F40" i="2"/>
  <c r="A40" i="2"/>
  <c r="F39" i="2"/>
  <c r="A39" i="2"/>
  <c r="F38" i="2"/>
  <c r="A38" i="2"/>
  <c r="F37" i="2"/>
  <c r="A37" i="2"/>
  <c r="F36" i="2"/>
  <c r="A36" i="2"/>
  <c r="F35" i="2"/>
  <c r="A35" i="2"/>
  <c r="F34" i="2"/>
  <c r="A34" i="2"/>
  <c r="F33" i="2"/>
  <c r="A33" i="2"/>
  <c r="F32" i="2"/>
  <c r="A32" i="2"/>
  <c r="F31" i="2"/>
  <c r="A31" i="2"/>
  <c r="F30" i="2"/>
  <c r="A30" i="2"/>
  <c r="F29" i="2"/>
  <c r="A29" i="2"/>
  <c r="F28" i="2"/>
  <c r="A28" i="2"/>
  <c r="F27" i="2"/>
  <c r="A27" i="2"/>
  <c r="F26" i="2"/>
  <c r="A26" i="2"/>
  <c r="F25" i="2"/>
  <c r="A25" i="2"/>
  <c r="F24" i="2"/>
  <c r="A24" i="2"/>
  <c r="F23" i="2"/>
  <c r="A23" i="2"/>
  <c r="F22" i="2"/>
  <c r="A22" i="2"/>
  <c r="F21" i="2"/>
  <c r="A21" i="2"/>
  <c r="F20" i="2"/>
  <c r="A20" i="2"/>
  <c r="F19" i="2"/>
  <c r="A19" i="2"/>
  <c r="F18" i="2"/>
  <c r="A18" i="2"/>
  <c r="F17" i="2"/>
  <c r="A17" i="2"/>
  <c r="F16" i="2"/>
  <c r="A16" i="2"/>
  <c r="F15" i="2"/>
  <c r="A15" i="2"/>
  <c r="F14" i="2"/>
  <c r="A14" i="2"/>
  <c r="F13" i="2"/>
  <c r="A13" i="2"/>
  <c r="F12" i="2"/>
  <c r="A12" i="2"/>
  <c r="F11" i="2"/>
  <c r="A11" i="2"/>
  <c r="F10" i="2"/>
  <c r="A10" i="2"/>
  <c r="F9" i="2"/>
  <c r="A9" i="2"/>
  <c r="F8" i="2"/>
  <c r="A8" i="2"/>
  <c r="F7" i="2"/>
  <c r="A7" i="2"/>
  <c r="J6" i="2"/>
  <c r="E6" i="2"/>
  <c r="AD106" i="1"/>
  <c r="AE104" i="1"/>
  <c r="AD104" i="1"/>
  <c r="AC104" i="1"/>
  <c r="AB104" i="1"/>
  <c r="AD105" i="1" s="1"/>
  <c r="AA104" i="1"/>
  <c r="Z104" i="1"/>
  <c r="Y104" i="1"/>
  <c r="X104" i="1"/>
  <c r="AA105" i="1" s="1"/>
  <c r="W104" i="1"/>
  <c r="V104" i="1"/>
  <c r="U104" i="1"/>
  <c r="W105" i="1" s="1"/>
  <c r="AA79" i="1"/>
  <c r="I79" i="1"/>
  <c r="H79" i="1"/>
  <c r="G79" i="1"/>
  <c r="H81" i="1" s="1"/>
  <c r="AC77" i="1"/>
  <c r="S77" i="1"/>
  <c r="F77" i="1"/>
  <c r="E77" i="1"/>
  <c r="C77" i="1"/>
  <c r="AD76" i="1"/>
  <c r="Z76" i="1"/>
  <c r="Y76" i="1"/>
  <c r="X76" i="1"/>
  <c r="W76" i="1"/>
  <c r="V76" i="1"/>
  <c r="U76" i="1"/>
  <c r="R76" i="1"/>
  <c r="Q76" i="1"/>
  <c r="P76" i="1"/>
  <c r="N76" i="1"/>
  <c r="M76" i="1"/>
  <c r="L76" i="1"/>
  <c r="K76" i="1"/>
  <c r="J76" i="1"/>
  <c r="C76" i="1"/>
  <c r="AF75" i="1"/>
  <c r="AE75" i="1"/>
  <c r="AG75" i="1" s="1"/>
  <c r="AD75" i="1"/>
  <c r="AC75" i="1"/>
  <c r="AB75" i="1"/>
  <c r="Z75" i="1"/>
  <c r="Y75" i="1"/>
  <c r="W75" i="1"/>
  <c r="U75" i="1"/>
  <c r="S75" i="1"/>
  <c r="R75" i="1"/>
  <c r="O75" i="1"/>
  <c r="N75" i="1"/>
  <c r="K75" i="1"/>
  <c r="F75" i="1"/>
  <c r="E75" i="1"/>
  <c r="AF74" i="1"/>
  <c r="AG74" i="1" s="1"/>
  <c r="AD74" i="1"/>
  <c r="AB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K74" i="1"/>
  <c r="E74" i="1"/>
  <c r="C74" i="1"/>
  <c r="AF73" i="1"/>
  <c r="AE73" i="1"/>
  <c r="AG73" i="1" s="1"/>
  <c r="AB73" i="1"/>
  <c r="Z73" i="1"/>
  <c r="X73" i="1"/>
  <c r="W73" i="1"/>
  <c r="V73" i="1"/>
  <c r="T73" i="1"/>
  <c r="Q73" i="1"/>
  <c r="M73" i="1"/>
  <c r="L73" i="1"/>
  <c r="K73" i="1"/>
  <c r="J73" i="1"/>
  <c r="D73" i="1"/>
  <c r="AF72" i="1"/>
  <c r="AG72" i="1" s="1"/>
  <c r="AB72" i="1"/>
  <c r="Z72" i="1"/>
  <c r="Y72" i="1"/>
  <c r="X72" i="1"/>
  <c r="W72" i="1"/>
  <c r="V72" i="1"/>
  <c r="S72" i="1"/>
  <c r="Q72" i="1"/>
  <c r="P72" i="1"/>
  <c r="O72" i="1"/>
  <c r="N72" i="1"/>
  <c r="M72" i="1"/>
  <c r="K72" i="1"/>
  <c r="E72" i="1"/>
  <c r="D72" i="1"/>
  <c r="AF71" i="1"/>
  <c r="AF79" i="1" s="1"/>
  <c r="AE71" i="1"/>
  <c r="AD71" i="1"/>
  <c r="AD79" i="1" s="1"/>
  <c r="AC71" i="1"/>
  <c r="AC79" i="1" s="1"/>
  <c r="AB71" i="1"/>
  <c r="Z71" i="1"/>
  <c r="Z79" i="1" s="1"/>
  <c r="Y71" i="1"/>
  <c r="Y79" i="1" s="1"/>
  <c r="X71" i="1"/>
  <c r="X79" i="1" s="1"/>
  <c r="W71" i="1"/>
  <c r="W79" i="1" s="1"/>
  <c r="V71" i="1"/>
  <c r="V79" i="1" s="1"/>
  <c r="U71" i="1"/>
  <c r="U79" i="1" s="1"/>
  <c r="T71" i="1"/>
  <c r="S71" i="1"/>
  <c r="S79" i="1" s="1"/>
  <c r="R71" i="1"/>
  <c r="R79" i="1" s="1"/>
  <c r="Q71" i="1"/>
  <c r="Q79" i="1" s="1"/>
  <c r="P71" i="1"/>
  <c r="P79" i="1" s="1"/>
  <c r="O71" i="1"/>
  <c r="O79" i="1" s="1"/>
  <c r="N71" i="1"/>
  <c r="N79" i="1" s="1"/>
  <c r="M71" i="1"/>
  <c r="M79" i="1" s="1"/>
  <c r="L71" i="1"/>
  <c r="L79" i="1" s="1"/>
  <c r="K71" i="1"/>
  <c r="K79" i="1" s="1"/>
  <c r="J71" i="1"/>
  <c r="J79" i="1" s="1"/>
  <c r="F71" i="1"/>
  <c r="F79" i="1" s="1"/>
  <c r="E71" i="1"/>
  <c r="E79" i="1" s="1"/>
  <c r="D71" i="1"/>
  <c r="D79" i="1" s="1"/>
  <c r="C71" i="1"/>
  <c r="AB70" i="1"/>
  <c r="AB79" i="1" s="1"/>
  <c r="T70" i="1"/>
  <c r="T79" i="1" s="1"/>
  <c r="C70" i="1"/>
  <c r="C79" i="1" s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F68" i="1" s="1"/>
  <c r="F80" i="1" s="1"/>
  <c r="E67" i="1"/>
  <c r="E68" i="1" s="1"/>
  <c r="E80" i="1" s="1"/>
  <c r="D67" i="1"/>
  <c r="D68" i="1" s="1"/>
  <c r="D80" i="1" s="1"/>
  <c r="C67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Q50" i="1"/>
  <c r="P50" i="1"/>
  <c r="O50" i="1"/>
  <c r="N50" i="1"/>
  <c r="M50" i="1"/>
  <c r="L50" i="1"/>
  <c r="K50" i="1"/>
  <c r="J50" i="1"/>
  <c r="I50" i="1"/>
  <c r="H50" i="1"/>
  <c r="G50" i="1"/>
  <c r="F50" i="1"/>
  <c r="F51" i="1" s="1"/>
  <c r="E50" i="1"/>
  <c r="E51" i="1" s="1"/>
  <c r="D50" i="1"/>
  <c r="D51" i="1" s="1"/>
  <c r="C50" i="1"/>
  <c r="AG50" i="1" s="1"/>
  <c r="AG49" i="1"/>
  <c r="AF48" i="1"/>
  <c r="AC48" i="1"/>
  <c r="AB48" i="1"/>
  <c r="W48" i="1"/>
  <c r="V48" i="1"/>
  <c r="AG48" i="1" s="1"/>
  <c r="AF47" i="1"/>
  <c r="AD47" i="1"/>
  <c r="AB47" i="1"/>
  <c r="X47" i="1"/>
  <c r="U47" i="1"/>
  <c r="P47" i="1"/>
  <c r="AG47" i="1" s="1"/>
  <c r="AF46" i="1"/>
  <c r="AD46" i="1"/>
  <c r="AC46" i="1"/>
  <c r="AB46" i="1"/>
  <c r="Z46" i="1"/>
  <c r="Y46" i="1"/>
  <c r="X46" i="1"/>
  <c r="W46" i="1"/>
  <c r="V46" i="1"/>
  <c r="U46" i="1"/>
  <c r="T46" i="1"/>
  <c r="S46" i="1"/>
  <c r="Q46" i="1"/>
  <c r="P46" i="1"/>
  <c r="O46" i="1"/>
  <c r="N46" i="1"/>
  <c r="M46" i="1"/>
  <c r="L46" i="1"/>
  <c r="K46" i="1"/>
  <c r="J46" i="1"/>
  <c r="I46" i="1"/>
  <c r="H46" i="1"/>
  <c r="G46" i="1"/>
  <c r="AG46" i="1" s="1"/>
  <c r="G45" i="1"/>
  <c r="AG45" i="1" s="1"/>
  <c r="Y44" i="1"/>
  <c r="X44" i="1"/>
  <c r="S44" i="1"/>
  <c r="R44" i="1"/>
  <c r="P44" i="1"/>
  <c r="O44" i="1"/>
  <c r="L44" i="1"/>
  <c r="G44" i="1"/>
  <c r="AG44" i="1" s="1"/>
  <c r="U43" i="1"/>
  <c r="Q43" i="1"/>
  <c r="P43" i="1"/>
  <c r="AG43" i="1" s="1"/>
  <c r="AH45" i="1" s="1"/>
  <c r="AE42" i="1"/>
  <c r="AD42" i="1"/>
  <c r="AC42" i="1"/>
  <c r="AB42" i="1"/>
  <c r="Y42" i="1"/>
  <c r="W42" i="1"/>
  <c r="V42" i="1"/>
  <c r="U42" i="1"/>
  <c r="T42" i="1"/>
  <c r="R42" i="1"/>
  <c r="Q42" i="1"/>
  <c r="O42" i="1"/>
  <c r="L42" i="1"/>
  <c r="I42" i="1"/>
  <c r="G42" i="1"/>
  <c r="AG42" i="1" s="1"/>
  <c r="AF41" i="1"/>
  <c r="AE41" i="1"/>
  <c r="AD41" i="1"/>
  <c r="AC41" i="1"/>
  <c r="AB41" i="1"/>
  <c r="Y41" i="1"/>
  <c r="V41" i="1"/>
  <c r="U41" i="1"/>
  <c r="R41" i="1"/>
  <c r="O41" i="1"/>
  <c r="N41" i="1"/>
  <c r="I41" i="1"/>
  <c r="G41" i="1"/>
  <c r="AG41" i="1" s="1"/>
  <c r="AF40" i="1"/>
  <c r="W106" i="1" s="1"/>
  <c r="AE40" i="1"/>
  <c r="AD40" i="1"/>
  <c r="AC40" i="1"/>
  <c r="AB40" i="1"/>
  <c r="Y40" i="1"/>
  <c r="X40" i="1"/>
  <c r="W40" i="1"/>
  <c r="V40" i="1"/>
  <c r="U40" i="1"/>
  <c r="T40" i="1"/>
  <c r="S40" i="1"/>
  <c r="R40" i="1"/>
  <c r="Q40" i="1"/>
  <c r="P40" i="1"/>
  <c r="O40" i="1"/>
  <c r="N40" i="1"/>
  <c r="L40" i="1"/>
  <c r="I40" i="1"/>
  <c r="G40" i="1"/>
  <c r="AG40" i="1" s="1"/>
  <c r="AF39" i="1"/>
  <c r="AE39" i="1"/>
  <c r="AD39" i="1"/>
  <c r="AC39" i="1"/>
  <c r="AB39" i="1"/>
  <c r="AA39" i="1"/>
  <c r="Y39" i="1"/>
  <c r="X39" i="1"/>
  <c r="W39" i="1"/>
  <c r="V39" i="1"/>
  <c r="U39" i="1"/>
  <c r="T39" i="1"/>
  <c r="S39" i="1"/>
  <c r="R39" i="1"/>
  <c r="Q39" i="1"/>
  <c r="P39" i="1"/>
  <c r="O39" i="1"/>
  <c r="N39" i="1"/>
  <c r="L39" i="1"/>
  <c r="I39" i="1"/>
  <c r="G39" i="1"/>
  <c r="AG39" i="1" s="1"/>
  <c r="AF38" i="1"/>
  <c r="AE38" i="1"/>
  <c r="AD38" i="1"/>
  <c r="AC38" i="1"/>
  <c r="AB38" i="1"/>
  <c r="AA38" i="1"/>
  <c r="Y38" i="1"/>
  <c r="X38" i="1"/>
  <c r="W38" i="1"/>
  <c r="V38" i="1"/>
  <c r="U38" i="1"/>
  <c r="T38" i="1"/>
  <c r="S38" i="1"/>
  <c r="R38" i="1"/>
  <c r="Q38" i="1"/>
  <c r="P38" i="1"/>
  <c r="O38" i="1"/>
  <c r="N38" i="1"/>
  <c r="L38" i="1"/>
  <c r="I38" i="1"/>
  <c r="G38" i="1"/>
  <c r="AG38" i="1" s="1"/>
  <c r="AF37" i="1"/>
  <c r="AE37" i="1"/>
  <c r="AD37" i="1"/>
  <c r="AC37" i="1"/>
  <c r="AB37" i="1"/>
  <c r="AA37" i="1"/>
  <c r="Y37" i="1"/>
  <c r="X37" i="1"/>
  <c r="W37" i="1"/>
  <c r="V37" i="1"/>
  <c r="U37" i="1"/>
  <c r="T37" i="1"/>
  <c r="S37" i="1"/>
  <c r="R37" i="1"/>
  <c r="Q37" i="1"/>
  <c r="P37" i="1"/>
  <c r="O37" i="1"/>
  <c r="N37" i="1"/>
  <c r="L37" i="1"/>
  <c r="I37" i="1"/>
  <c r="G37" i="1"/>
  <c r="AG37" i="1" s="1"/>
  <c r="AF36" i="1"/>
  <c r="AA106" i="1" s="1"/>
  <c r="AE36" i="1"/>
  <c r="AD36" i="1"/>
  <c r="AC36" i="1"/>
  <c r="AB36" i="1"/>
  <c r="AA36" i="1"/>
  <c r="Y36" i="1"/>
  <c r="X36" i="1"/>
  <c r="W36" i="1"/>
  <c r="V36" i="1"/>
  <c r="U36" i="1"/>
  <c r="T36" i="1"/>
  <c r="S36" i="1"/>
  <c r="R36" i="1"/>
  <c r="Q36" i="1"/>
  <c r="P36" i="1"/>
  <c r="O36" i="1"/>
  <c r="N36" i="1"/>
  <c r="L36" i="1"/>
  <c r="I36" i="1"/>
  <c r="G36" i="1"/>
  <c r="AG36" i="1" s="1"/>
  <c r="AC35" i="1"/>
  <c r="AB35" i="1"/>
  <c r="AE105" i="1" s="1"/>
  <c r="AA35" i="1"/>
  <c r="V35" i="1"/>
  <c r="U35" i="1"/>
  <c r="Q35" i="1"/>
  <c r="P35" i="1"/>
  <c r="O35" i="1"/>
  <c r="N35" i="1"/>
  <c r="G35" i="1"/>
  <c r="AG35" i="1" s="1"/>
  <c r="AH35" i="1" s="1"/>
  <c r="AG34" i="1"/>
  <c r="AF33" i="1"/>
  <c r="AE33" i="1"/>
  <c r="AB33" i="1"/>
  <c r="V33" i="1"/>
  <c r="O33" i="1"/>
  <c r="H33" i="1"/>
  <c r="AG33" i="1" s="1"/>
  <c r="AH42" i="1" s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C32" i="1"/>
  <c r="AG31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J26" i="1"/>
  <c r="I26" i="1"/>
  <c r="H26" i="1"/>
  <c r="G26" i="1"/>
  <c r="AG26" i="1" s="1"/>
  <c r="AF25" i="1"/>
  <c r="AE25" i="1"/>
  <c r="AC25" i="1"/>
  <c r="AB25" i="1"/>
  <c r="Y25" i="1"/>
  <c r="X25" i="1"/>
  <c r="W25" i="1"/>
  <c r="V25" i="1"/>
  <c r="V23" i="1" s="1"/>
  <c r="U25" i="1"/>
  <c r="T25" i="1"/>
  <c r="S25" i="1"/>
  <c r="Q25" i="1"/>
  <c r="P25" i="1"/>
  <c r="O25" i="1"/>
  <c r="N25" i="1"/>
  <c r="M25" i="1"/>
  <c r="J25" i="1"/>
  <c r="I25" i="1"/>
  <c r="H25" i="1"/>
  <c r="G25" i="1"/>
  <c r="AG25" i="1" s="1"/>
  <c r="R24" i="1"/>
  <c r="O24" i="1"/>
  <c r="H24" i="1"/>
  <c r="AG24" i="1" s="1"/>
  <c r="AG23" i="1" s="1"/>
  <c r="AF23" i="1"/>
  <c r="AE23" i="1"/>
  <c r="AD23" i="1"/>
  <c r="AC23" i="1"/>
  <c r="AB23" i="1"/>
  <c r="AA23" i="1"/>
  <c r="Z23" i="1"/>
  <c r="Y23" i="1"/>
  <c r="X23" i="1"/>
  <c r="W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G22" i="1"/>
  <c r="AF21" i="1"/>
  <c r="AE21" i="1"/>
  <c r="AC21" i="1"/>
  <c r="AB21" i="1"/>
  <c r="Y21" i="1"/>
  <c r="X21" i="1"/>
  <c r="W21" i="1"/>
  <c r="V21" i="1"/>
  <c r="U21" i="1"/>
  <c r="T21" i="1"/>
  <c r="O21" i="1"/>
  <c r="N21" i="1"/>
  <c r="M21" i="1"/>
  <c r="K21" i="1"/>
  <c r="H21" i="1"/>
  <c r="G21" i="1"/>
  <c r="F21" i="1"/>
  <c r="AG21" i="1" s="1"/>
  <c r="AD20" i="1"/>
  <c r="Z20" i="1"/>
  <c r="W20" i="1"/>
  <c r="U20" i="1"/>
  <c r="R20" i="1"/>
  <c r="Q20" i="1"/>
  <c r="L20" i="1"/>
  <c r="J20" i="1"/>
  <c r="C20" i="1"/>
  <c r="AC19" i="1"/>
  <c r="AB19" i="1"/>
  <c r="AA19" i="1"/>
  <c r="T19" i="1"/>
  <c r="S19" i="1"/>
  <c r="S20" i="1" s="1"/>
  <c r="O19" i="1"/>
  <c r="N19" i="1"/>
  <c r="M19" i="1"/>
  <c r="K19" i="1"/>
  <c r="F19" i="1"/>
  <c r="AG19" i="1" s="1"/>
  <c r="AG18" i="1"/>
  <c r="AF17" i="1"/>
  <c r="E17" i="1"/>
  <c r="AG16" i="1"/>
  <c r="AC15" i="1"/>
  <c r="AB15" i="1"/>
  <c r="T15" i="1"/>
  <c r="O15" i="1"/>
  <c r="N15" i="1"/>
  <c r="K15" i="1"/>
  <c r="H15" i="1"/>
  <c r="AG15" i="1" s="1"/>
  <c r="AE14" i="1"/>
  <c r="AC14" i="1"/>
  <c r="AB14" i="1"/>
  <c r="AA14" i="1"/>
  <c r="Y14" i="1"/>
  <c r="X14" i="1"/>
  <c r="V14" i="1"/>
  <c r="T14" i="1"/>
  <c r="O14" i="1"/>
  <c r="N14" i="1"/>
  <c r="M14" i="1"/>
  <c r="K14" i="1"/>
  <c r="I14" i="1"/>
  <c r="H14" i="1"/>
  <c r="F14" i="1"/>
  <c r="AG14" i="1" s="1"/>
  <c r="AE13" i="1"/>
  <c r="AC13" i="1"/>
  <c r="AB13" i="1"/>
  <c r="Y13" i="1"/>
  <c r="V13" i="1"/>
  <c r="T13" i="1"/>
  <c r="O13" i="1"/>
  <c r="N13" i="1"/>
  <c r="M13" i="1"/>
  <c r="K13" i="1"/>
  <c r="I13" i="1"/>
  <c r="H13" i="1"/>
  <c r="G13" i="1"/>
  <c r="D13" i="1"/>
  <c r="AF12" i="1"/>
  <c r="AF20" i="1" s="1"/>
  <c r="AE12" i="1"/>
  <c r="AE20" i="1" s="1"/>
  <c r="AC12" i="1"/>
  <c r="AC20" i="1" s="1"/>
  <c r="AB12" i="1"/>
  <c r="AB20" i="1" s="1"/>
  <c r="AA12" i="1"/>
  <c r="AA20" i="1" s="1"/>
  <c r="Y12" i="1"/>
  <c r="Y20" i="1" s="1"/>
  <c r="X12" i="1"/>
  <c r="X20" i="1" s="1"/>
  <c r="V12" i="1"/>
  <c r="V20" i="1" s="1"/>
  <c r="T12" i="1"/>
  <c r="T20" i="1" s="1"/>
  <c r="P12" i="1"/>
  <c r="P20" i="1" s="1"/>
  <c r="O12" i="1"/>
  <c r="O20" i="1" s="1"/>
  <c r="N12" i="1"/>
  <c r="N20" i="1" s="1"/>
  <c r="M12" i="1"/>
  <c r="M20" i="1" s="1"/>
  <c r="K12" i="1"/>
  <c r="K20" i="1" s="1"/>
  <c r="I12" i="1"/>
  <c r="I20" i="1" s="1"/>
  <c r="H12" i="1"/>
  <c r="H20" i="1" s="1"/>
  <c r="G12" i="1"/>
  <c r="G20" i="1" s="1"/>
  <c r="F12" i="1"/>
  <c r="AG11" i="1"/>
  <c r="AF10" i="1"/>
  <c r="W10" i="1"/>
  <c r="U10" i="1"/>
  <c r="T10" i="1"/>
  <c r="O10" i="1"/>
  <c r="AG10" i="1" s="1"/>
  <c r="AE9" i="1"/>
  <c r="AE27" i="1" s="1"/>
  <c r="AD9" i="1"/>
  <c r="AD27" i="1" s="1"/>
  <c r="AC9" i="1"/>
  <c r="AC27" i="1" s="1"/>
  <c r="AA9" i="1"/>
  <c r="AA27" i="1" s="1"/>
  <c r="Y9" i="1"/>
  <c r="Y27" i="1" s="1"/>
  <c r="X9" i="1"/>
  <c r="X27" i="1" s="1"/>
  <c r="S9" i="1"/>
  <c r="S27" i="1" s="1"/>
  <c r="S30" i="1" s="1"/>
  <c r="R9" i="1"/>
  <c r="R27" i="1" s="1"/>
  <c r="R30" i="1" s="1"/>
  <c r="Q9" i="1"/>
  <c r="Q27" i="1" s="1"/>
  <c r="P9" i="1"/>
  <c r="P27" i="1" s="1"/>
  <c r="M9" i="1"/>
  <c r="M27" i="1" s="1"/>
  <c r="L9" i="1"/>
  <c r="L27" i="1" s="1"/>
  <c r="K9" i="1"/>
  <c r="K27" i="1" s="1"/>
  <c r="J9" i="1"/>
  <c r="J27" i="1" s="1"/>
  <c r="I9" i="1"/>
  <c r="I27" i="1" s="1"/>
  <c r="H9" i="1"/>
  <c r="H27" i="1" s="1"/>
  <c r="G9" i="1"/>
  <c r="G27" i="1" s="1"/>
  <c r="F9" i="1"/>
  <c r="E9" i="1"/>
  <c r="C9" i="1"/>
  <c r="C27" i="1" s="1"/>
  <c r="AG8" i="1"/>
  <c r="Z7" i="1"/>
  <c r="V7" i="1"/>
  <c r="O7" i="1"/>
  <c r="AG7" i="1" s="1"/>
  <c r="AB6" i="1"/>
  <c r="Z6" i="1"/>
  <c r="V6" i="1"/>
  <c r="U6" i="1"/>
  <c r="T6" i="1"/>
  <c r="O6" i="1"/>
  <c r="N6" i="1"/>
  <c r="AG6" i="1" s="1"/>
  <c r="AF5" i="1"/>
  <c r="AB5" i="1"/>
  <c r="AB9" i="1" s="1"/>
  <c r="AB27" i="1" s="1"/>
  <c r="AB30" i="1" s="1"/>
  <c r="Z5" i="1"/>
  <c r="V5" i="1"/>
  <c r="U5" i="1"/>
  <c r="T5" i="1"/>
  <c r="O5" i="1"/>
  <c r="N5" i="1"/>
  <c r="D5" i="1"/>
  <c r="AG5" i="1" s="1"/>
  <c r="AF4" i="1"/>
  <c r="AF9" i="1" s="1"/>
  <c r="AF27" i="1" s="1"/>
  <c r="AF30" i="1" s="1"/>
  <c r="Z4" i="1"/>
  <c r="Z9" i="1" s="1"/>
  <c r="Z27" i="1" s="1"/>
  <c r="Z30" i="1" s="1"/>
  <c r="W4" i="1"/>
  <c r="W9" i="1" s="1"/>
  <c r="W27" i="1" s="1"/>
  <c r="V4" i="1"/>
  <c r="V9" i="1" s="1"/>
  <c r="V27" i="1" s="1"/>
  <c r="U4" i="1"/>
  <c r="U9" i="1" s="1"/>
  <c r="U27" i="1" s="1"/>
  <c r="T4" i="1"/>
  <c r="T9" i="1" s="1"/>
  <c r="T27" i="1" s="1"/>
  <c r="O4" i="1"/>
  <c r="O9" i="1" s="1"/>
  <c r="O27" i="1" s="1"/>
  <c r="N4" i="1"/>
  <c r="N9" i="1" s="1"/>
  <c r="N27" i="1" s="1"/>
  <c r="D4" i="1"/>
  <c r="AG3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O25" i="11" l="1"/>
  <c r="N108" i="11"/>
  <c r="O26" i="11"/>
  <c r="O51" i="11"/>
  <c r="O23" i="11"/>
  <c r="O27" i="11"/>
  <c r="M23" i="11"/>
  <c r="M26" i="11"/>
  <c r="L108" i="11"/>
  <c r="M25" i="11"/>
  <c r="M27" i="11"/>
  <c r="K25" i="11"/>
  <c r="K27" i="11"/>
  <c r="K26" i="11"/>
  <c r="K23" i="11"/>
  <c r="J108" i="11"/>
  <c r="I26" i="11"/>
  <c r="H108" i="11"/>
  <c r="I25" i="11"/>
  <c r="I23" i="11"/>
  <c r="G25" i="11"/>
  <c r="F108" i="11"/>
  <c r="G26" i="11"/>
  <c r="G23" i="11"/>
  <c r="E26" i="11"/>
  <c r="E25" i="11"/>
  <c r="D108" i="11"/>
  <c r="E23" i="11"/>
  <c r="B7" i="10"/>
  <c r="B4" i="10"/>
  <c r="R14" i="9"/>
  <c r="R13" i="9"/>
  <c r="P14" i="9"/>
  <c r="P13" i="9"/>
  <c r="O13" i="9"/>
  <c r="O14" i="9"/>
  <c r="N13" i="9"/>
  <c r="N14" i="9"/>
  <c r="M13" i="9"/>
  <c r="M14" i="9"/>
  <c r="L13" i="9"/>
  <c r="L14" i="9"/>
  <c r="K13" i="9"/>
  <c r="K14" i="9"/>
  <c r="J14" i="9"/>
  <c r="J13" i="9"/>
  <c r="I14" i="9"/>
  <c r="I13" i="9"/>
  <c r="H13" i="9"/>
  <c r="H14" i="9"/>
  <c r="G13" i="9"/>
  <c r="G14" i="9"/>
  <c r="F13" i="9"/>
  <c r="F14" i="9"/>
  <c r="E14" i="9"/>
  <c r="E13" i="9"/>
  <c r="D13" i="9"/>
  <c r="D14" i="9"/>
  <c r="C13" i="9"/>
  <c r="C14" i="9"/>
  <c r="B13" i="9"/>
  <c r="B14" i="9"/>
  <c r="D108" i="8"/>
  <c r="Q1051" i="4"/>
  <c r="P1051" i="4"/>
  <c r="Q1043" i="4"/>
  <c r="P1043" i="4"/>
  <c r="Q1034" i="4"/>
  <c r="P1034" i="4"/>
  <c r="Q1021" i="4"/>
  <c r="P1021" i="4"/>
  <c r="Q1011" i="4"/>
  <c r="P1011" i="4"/>
  <c r="Q1003" i="4"/>
  <c r="P1003" i="4"/>
  <c r="Q988" i="4"/>
  <c r="P988" i="4"/>
  <c r="Q966" i="4"/>
  <c r="P966" i="4"/>
  <c r="Q958" i="4"/>
  <c r="P958" i="4"/>
  <c r="Q943" i="4"/>
  <c r="P943" i="4"/>
  <c r="Q931" i="4"/>
  <c r="P931" i="4"/>
  <c r="Q905" i="4"/>
  <c r="Q901" i="4"/>
  <c r="P901" i="4"/>
  <c r="Q892" i="4"/>
  <c r="P892" i="4"/>
  <c r="Q883" i="4"/>
  <c r="P883" i="4"/>
  <c r="Q868" i="4"/>
  <c r="P868" i="4"/>
  <c r="Q857" i="4"/>
  <c r="P857" i="4"/>
  <c r="Q842" i="4"/>
  <c r="P842" i="4"/>
  <c r="Q827" i="4"/>
  <c r="P827" i="4"/>
  <c r="Q820" i="4"/>
  <c r="P820" i="4"/>
  <c r="P807" i="4"/>
  <c r="F1614" i="2"/>
  <c r="F1615" i="2"/>
  <c r="I997" i="2" a="1"/>
  <c r="I997" i="2" s="1"/>
  <c r="H997" i="2" a="1"/>
  <c r="H997" i="2" s="1"/>
  <c r="D997" i="2" a="1"/>
  <c r="D997" i="2" s="1"/>
  <c r="H996" i="2" a="1"/>
  <c r="H996" i="2" s="1"/>
  <c r="D996" i="2" a="1"/>
  <c r="D996" i="2" s="1"/>
  <c r="I996" i="2" a="1"/>
  <c r="I996" i="2" s="1"/>
  <c r="I995" i="2" a="1"/>
  <c r="I995" i="2" s="1"/>
  <c r="H995" i="2" a="1"/>
  <c r="H995" i="2" s="1"/>
  <c r="D995" i="2" a="1"/>
  <c r="D995" i="2" s="1"/>
  <c r="I994" i="2" a="1"/>
  <c r="I994" i="2" s="1"/>
  <c r="D994" i="2" a="1"/>
  <c r="D994" i="2" s="1"/>
  <c r="H994" i="2" a="1"/>
  <c r="H994" i="2" s="1"/>
  <c r="H993" i="2" a="1"/>
  <c r="H993" i="2" s="1"/>
  <c r="I993" i="2" a="1"/>
  <c r="I993" i="2" s="1"/>
  <c r="D993" i="2" a="1"/>
  <c r="D993" i="2" s="1"/>
  <c r="D992" i="2" a="1"/>
  <c r="D992" i="2" s="1"/>
  <c r="H992" i="2" a="1"/>
  <c r="H992" i="2" s="1"/>
  <c r="I992" i="2" a="1"/>
  <c r="I992" i="2" s="1"/>
  <c r="I991" i="2" a="1"/>
  <c r="I991" i="2" s="1"/>
  <c r="H991" i="2" a="1"/>
  <c r="H991" i="2" s="1"/>
  <c r="D991" i="2" a="1"/>
  <c r="D991" i="2" s="1"/>
  <c r="D990" i="2" a="1"/>
  <c r="D990" i="2" s="1"/>
  <c r="I990" i="2" a="1"/>
  <c r="I990" i="2" s="1"/>
  <c r="H990" i="2" a="1"/>
  <c r="H990" i="2" s="1"/>
  <c r="D989" i="2" a="1"/>
  <c r="D989" i="2" s="1"/>
  <c r="H989" i="2" a="1"/>
  <c r="H989" i="2" s="1"/>
  <c r="I989" i="2" a="1"/>
  <c r="I989" i="2" s="1"/>
  <c r="D988" i="2" a="1"/>
  <c r="D988" i="2" s="1"/>
  <c r="I988" i="2" a="1"/>
  <c r="I988" i="2" s="1"/>
  <c r="H988" i="2" a="1"/>
  <c r="H988" i="2" s="1"/>
  <c r="I987" i="2" a="1"/>
  <c r="I987" i="2" s="1"/>
  <c r="D987" i="2" a="1"/>
  <c r="D987" i="2" s="1"/>
  <c r="H987" i="2" a="1"/>
  <c r="H987" i="2" s="1"/>
  <c r="D986" i="2" a="1"/>
  <c r="D986" i="2" s="1"/>
  <c r="H986" i="2" a="1"/>
  <c r="H986" i="2" s="1"/>
  <c r="I986" i="2" a="1"/>
  <c r="I986" i="2" s="1"/>
  <c r="D985" i="2" a="1"/>
  <c r="D985" i="2" s="1"/>
  <c r="I985" i="2" a="1"/>
  <c r="I985" i="2" s="1"/>
  <c r="H985" i="2" a="1"/>
  <c r="H985" i="2" s="1"/>
  <c r="H984" i="2" a="1"/>
  <c r="H984" i="2" s="1"/>
  <c r="D984" i="2" a="1"/>
  <c r="D984" i="2" s="1"/>
  <c r="I984" i="2" a="1"/>
  <c r="I984" i="2" s="1"/>
  <c r="I983" i="2" a="1"/>
  <c r="I983" i="2" s="1"/>
  <c r="D983" i="2" a="1"/>
  <c r="D983" i="2" s="1"/>
  <c r="H983" i="2" a="1"/>
  <c r="H983" i="2" s="1"/>
  <c r="D982" i="2" a="1"/>
  <c r="D982" i="2" s="1"/>
  <c r="I982" i="2" a="1"/>
  <c r="I982" i="2" s="1"/>
  <c r="H982" i="2" a="1"/>
  <c r="H982" i="2" s="1"/>
  <c r="D981" i="2" a="1"/>
  <c r="D981" i="2" s="1"/>
  <c r="I981" i="2" a="1"/>
  <c r="I981" i="2" s="1"/>
  <c r="H981" i="2" a="1"/>
  <c r="H981" i="2" s="1"/>
  <c r="D980" i="2" a="1"/>
  <c r="D980" i="2" s="1"/>
  <c r="I980" i="2" a="1"/>
  <c r="I980" i="2" s="1"/>
  <c r="H980" i="2" a="1"/>
  <c r="H980" i="2" s="1"/>
  <c r="I979" i="2" a="1"/>
  <c r="I979" i="2" s="1"/>
  <c r="D979" i="2" a="1"/>
  <c r="D979" i="2" s="1"/>
  <c r="H979" i="2" a="1"/>
  <c r="H979" i="2" s="1"/>
  <c r="D978" i="2" a="1"/>
  <c r="D978" i="2" s="1"/>
  <c r="H978" i="2" a="1"/>
  <c r="H978" i="2" s="1"/>
  <c r="I978" i="2" a="1"/>
  <c r="I978" i="2" s="1"/>
  <c r="D977" i="2" a="1"/>
  <c r="D977" i="2" s="1"/>
  <c r="H977" i="2" a="1"/>
  <c r="H977" i="2" s="1"/>
  <c r="I977" i="2" a="1"/>
  <c r="I977" i="2" s="1"/>
  <c r="I976" i="2" a="1"/>
  <c r="I976" i="2" s="1"/>
  <c r="D976" i="2" a="1"/>
  <c r="D976" i="2" s="1"/>
  <c r="H976" i="2" a="1"/>
  <c r="H976" i="2" s="1"/>
  <c r="H975" i="2" a="1"/>
  <c r="H975" i="2" s="1"/>
  <c r="I975" i="2" a="1"/>
  <c r="I975" i="2" s="1"/>
  <c r="D975" i="2" a="1"/>
  <c r="D975" i="2" s="1"/>
  <c r="H974" i="2" a="1"/>
  <c r="H974" i="2" s="1"/>
  <c r="D974" i="2" a="1"/>
  <c r="D974" i="2" s="1"/>
  <c r="I974" i="2" a="1"/>
  <c r="I974" i="2" s="1"/>
  <c r="D973" i="2" a="1"/>
  <c r="D973" i="2" s="1"/>
  <c r="H973" i="2" a="1"/>
  <c r="H973" i="2" s="1"/>
  <c r="I973" i="2" a="1"/>
  <c r="I973" i="2" s="1"/>
  <c r="H972" i="2" a="1"/>
  <c r="H972" i="2" s="1"/>
  <c r="I972" i="2" a="1"/>
  <c r="I972" i="2" s="1"/>
  <c r="D972" i="2" a="1"/>
  <c r="D972" i="2" s="1"/>
  <c r="D971" i="2" a="1"/>
  <c r="D971" i="2" s="1"/>
  <c r="H971" i="2" a="1"/>
  <c r="H971" i="2" s="1"/>
  <c r="I971" i="2" a="1"/>
  <c r="I971" i="2" s="1"/>
  <c r="I970" i="2" a="1"/>
  <c r="I970" i="2" s="1"/>
  <c r="D970" i="2" a="1"/>
  <c r="D970" i="2" s="1"/>
  <c r="H970" i="2" a="1"/>
  <c r="H970" i="2" s="1"/>
  <c r="D969" i="2" a="1"/>
  <c r="D969" i="2" s="1"/>
  <c r="H969" i="2" a="1"/>
  <c r="H969" i="2" s="1"/>
  <c r="I969" i="2" a="1"/>
  <c r="I969" i="2" s="1"/>
  <c r="I968" i="2" a="1"/>
  <c r="I968" i="2" s="1"/>
  <c r="H968" i="2" a="1"/>
  <c r="H968" i="2" s="1"/>
  <c r="D968" i="2" a="1"/>
  <c r="D968" i="2" s="1"/>
  <c r="H967" i="2" a="1"/>
  <c r="H967" i="2" s="1"/>
  <c r="D967" i="2" a="1"/>
  <c r="D967" i="2" s="1"/>
  <c r="I967" i="2" a="1"/>
  <c r="I967" i="2" s="1"/>
  <c r="D965" i="2" a="1"/>
  <c r="D965" i="2" s="1"/>
  <c r="I965" i="2" a="1"/>
  <c r="I965" i="2" s="1"/>
  <c r="H965" i="2" a="1"/>
  <c r="H965" i="2" s="1"/>
  <c r="D964" i="2" a="1"/>
  <c r="D964" i="2" s="1"/>
  <c r="I964" i="2" a="1"/>
  <c r="I964" i="2" s="1"/>
  <c r="H964" i="2" a="1"/>
  <c r="H964" i="2" s="1"/>
  <c r="I963" i="2" a="1"/>
  <c r="I963" i="2" s="1"/>
  <c r="D963" i="2" a="1"/>
  <c r="D963" i="2" s="1"/>
  <c r="H963" i="2" a="1"/>
  <c r="H963" i="2" s="1"/>
  <c r="D962" i="2" a="1"/>
  <c r="D962" i="2" s="1"/>
  <c r="I962" i="2" a="1"/>
  <c r="I962" i="2" s="1"/>
  <c r="H962" i="2" a="1"/>
  <c r="H962" i="2" s="1"/>
  <c r="I961" i="2" a="1"/>
  <c r="I961" i="2" s="1"/>
  <c r="D961" i="2" a="1"/>
  <c r="D961" i="2" s="1"/>
  <c r="H961" i="2" a="1"/>
  <c r="H961" i="2" s="1"/>
  <c r="H960" i="2" a="1"/>
  <c r="H960" i="2" s="1"/>
  <c r="D960" i="2" a="1"/>
  <c r="D960" i="2" s="1"/>
  <c r="I960" i="2" a="1"/>
  <c r="I960" i="2" s="1"/>
  <c r="I959" i="2" a="1"/>
  <c r="I959" i="2" s="1"/>
  <c r="H959" i="2" a="1"/>
  <c r="H959" i="2" s="1"/>
  <c r="D959" i="2" a="1"/>
  <c r="D959" i="2" s="1"/>
  <c r="I958" i="2" a="1"/>
  <c r="I958" i="2" s="1"/>
  <c r="H958" i="2" a="1"/>
  <c r="H958" i="2" s="1"/>
  <c r="D958" i="2" a="1"/>
  <c r="D958" i="2" s="1"/>
  <c r="I957" i="2" a="1"/>
  <c r="I957" i="2" s="1"/>
  <c r="H957" i="2" a="1"/>
  <c r="H957" i="2" s="1"/>
  <c r="D957" i="2" a="1"/>
  <c r="D957" i="2" s="1"/>
  <c r="H956" i="2" a="1"/>
  <c r="H956" i="2" s="1"/>
  <c r="I956" i="2" a="1"/>
  <c r="I956" i="2" s="1"/>
  <c r="D956" i="2" a="1"/>
  <c r="D956" i="2" s="1"/>
  <c r="I955" i="2" a="1"/>
  <c r="I955" i="2" s="1"/>
  <c r="H955" i="2" a="1"/>
  <c r="H955" i="2" s="1"/>
  <c r="D955" i="2" a="1"/>
  <c r="D955" i="2" s="1"/>
  <c r="I954" i="2" a="1"/>
  <c r="I954" i="2" s="1"/>
  <c r="H954" i="2" a="1"/>
  <c r="H954" i="2" s="1"/>
  <c r="D954" i="2" a="1"/>
  <c r="D954" i="2" s="1"/>
  <c r="I953" i="2" a="1"/>
  <c r="I953" i="2" s="1"/>
  <c r="H953" i="2" a="1"/>
  <c r="H953" i="2" s="1"/>
  <c r="D953" i="2" a="1"/>
  <c r="D953" i="2" s="1"/>
  <c r="I952" i="2" a="1"/>
  <c r="I952" i="2" s="1"/>
  <c r="H952" i="2" a="1"/>
  <c r="H952" i="2" s="1"/>
  <c r="D952" i="2" a="1"/>
  <c r="D952" i="2" s="1"/>
  <c r="I951" i="2" a="1"/>
  <c r="I951" i="2" s="1"/>
  <c r="H951" i="2" a="1"/>
  <c r="H951" i="2" s="1"/>
  <c r="D951" i="2" a="1"/>
  <c r="D951" i="2" s="1"/>
  <c r="I950" i="2" a="1"/>
  <c r="I950" i="2" s="1"/>
  <c r="H950" i="2" a="1"/>
  <c r="H950" i="2" s="1"/>
  <c r="D950" i="2" a="1"/>
  <c r="D950" i="2" s="1"/>
  <c r="I949" i="2" a="1"/>
  <c r="I949" i="2" s="1"/>
  <c r="H949" i="2" a="1"/>
  <c r="H949" i="2" s="1"/>
  <c r="D949" i="2" a="1"/>
  <c r="D949" i="2" s="1"/>
  <c r="I948" i="2" a="1"/>
  <c r="I948" i="2" s="1"/>
  <c r="H948" i="2" a="1"/>
  <c r="H948" i="2" s="1"/>
  <c r="D948" i="2" a="1"/>
  <c r="D948" i="2" s="1"/>
  <c r="I947" i="2" a="1"/>
  <c r="I947" i="2" s="1"/>
  <c r="H947" i="2" a="1"/>
  <c r="H947" i="2" s="1"/>
  <c r="D947" i="2" a="1"/>
  <c r="D947" i="2" s="1"/>
  <c r="I946" i="2" a="1"/>
  <c r="I946" i="2" s="1"/>
  <c r="H946" i="2" a="1"/>
  <c r="H946" i="2" s="1"/>
  <c r="D946" i="2" a="1"/>
  <c r="D946" i="2" s="1"/>
  <c r="I945" i="2" a="1"/>
  <c r="I945" i="2" s="1"/>
  <c r="H945" i="2" a="1"/>
  <c r="H945" i="2" s="1"/>
  <c r="D945" i="2" a="1"/>
  <c r="D945" i="2" s="1"/>
  <c r="I944" i="2" a="1"/>
  <c r="I944" i="2" s="1"/>
  <c r="H944" i="2" a="1"/>
  <c r="H944" i="2" s="1"/>
  <c r="D944" i="2" a="1"/>
  <c r="D944" i="2" s="1"/>
  <c r="I943" i="2" a="1"/>
  <c r="I943" i="2" s="1"/>
  <c r="H943" i="2" a="1"/>
  <c r="H943" i="2" s="1"/>
  <c r="D943" i="2" a="1"/>
  <c r="D943" i="2" s="1"/>
  <c r="H942" i="2" a="1"/>
  <c r="H942" i="2" s="1"/>
  <c r="I942" i="2" a="1"/>
  <c r="I942" i="2" s="1"/>
  <c r="D942" i="2" a="1"/>
  <c r="D942" i="2" s="1"/>
  <c r="D941" i="2" a="1"/>
  <c r="D941" i="2" s="1"/>
  <c r="H941" i="2" a="1"/>
  <c r="H941" i="2" s="1"/>
  <c r="I941" i="2" a="1"/>
  <c r="I941" i="2" s="1"/>
  <c r="D940" i="2" a="1"/>
  <c r="D940" i="2" s="1"/>
  <c r="H940" i="2" a="1"/>
  <c r="H940" i="2" s="1"/>
  <c r="I940" i="2" a="1"/>
  <c r="I940" i="2" s="1"/>
  <c r="D939" i="2" a="1"/>
  <c r="D939" i="2" s="1"/>
  <c r="H939" i="2" a="1"/>
  <c r="H939" i="2" s="1"/>
  <c r="I939" i="2" a="1"/>
  <c r="I939" i="2" s="1"/>
  <c r="I938" i="2" a="1"/>
  <c r="I938" i="2" s="1"/>
  <c r="D938" i="2" a="1"/>
  <c r="D938" i="2" s="1"/>
  <c r="H938" i="2" a="1"/>
  <c r="H938" i="2" s="1"/>
  <c r="D937" i="2" a="1"/>
  <c r="D937" i="2" s="1"/>
  <c r="I937" i="2" a="1"/>
  <c r="I937" i="2" s="1"/>
  <c r="H937" i="2" a="1"/>
  <c r="H937" i="2" s="1"/>
  <c r="D936" i="2" a="1"/>
  <c r="D936" i="2" s="1"/>
  <c r="H936" i="2" a="1"/>
  <c r="H936" i="2" s="1"/>
  <c r="I936" i="2" a="1"/>
  <c r="I936" i="2" s="1"/>
  <c r="I935" i="2" a="1"/>
  <c r="I935" i="2" s="1"/>
  <c r="H935" i="2" a="1"/>
  <c r="H935" i="2" s="1"/>
  <c r="D935" i="2" a="1"/>
  <c r="D935" i="2" s="1"/>
  <c r="H933" i="2" a="1"/>
  <c r="H933" i="2" s="1"/>
  <c r="D933" i="2" a="1"/>
  <c r="D933" i="2" s="1"/>
  <c r="I933" i="2" a="1"/>
  <c r="I933" i="2" s="1"/>
  <c r="D932" i="2" a="1"/>
  <c r="D932" i="2" s="1"/>
  <c r="H932" i="2" a="1"/>
  <c r="H932" i="2" s="1"/>
  <c r="I932" i="2" a="1"/>
  <c r="I932" i="2" s="1"/>
  <c r="D931" i="2" a="1"/>
  <c r="D931" i="2" s="1"/>
  <c r="I931" i="2" a="1"/>
  <c r="I931" i="2" s="1"/>
  <c r="H931" i="2" a="1"/>
  <c r="H931" i="2" s="1"/>
  <c r="D930" i="2" a="1"/>
  <c r="D930" i="2" s="1"/>
  <c r="H930" i="2" a="1"/>
  <c r="H930" i="2" s="1"/>
  <c r="I930" i="2" a="1"/>
  <c r="I930" i="2" s="1"/>
  <c r="H929" i="2" a="1"/>
  <c r="H929" i="2" s="1"/>
  <c r="I929" i="2" a="1"/>
  <c r="I929" i="2" s="1"/>
  <c r="D929" i="2" a="1"/>
  <c r="D929" i="2" s="1"/>
  <c r="H928" i="2" a="1"/>
  <c r="H928" i="2" s="1"/>
  <c r="I928" i="2" a="1"/>
  <c r="I928" i="2" s="1"/>
  <c r="D928" i="2" a="1"/>
  <c r="D928" i="2" s="1"/>
  <c r="D927" i="2" a="1"/>
  <c r="D927" i="2" s="1"/>
  <c r="H927" i="2" a="1"/>
  <c r="H927" i="2" s="1"/>
  <c r="I927" i="2" a="1"/>
  <c r="I927" i="2" s="1"/>
  <c r="H926" i="2" a="1"/>
  <c r="H926" i="2" s="1"/>
  <c r="I926" i="2" a="1"/>
  <c r="I926" i="2" s="1"/>
  <c r="D926" i="2" a="1"/>
  <c r="D926" i="2" s="1"/>
  <c r="I925" i="2" a="1"/>
  <c r="I925" i="2" s="1"/>
  <c r="H925" i="2" a="1"/>
  <c r="H925" i="2" s="1"/>
  <c r="D925" i="2" a="1"/>
  <c r="D925" i="2" s="1"/>
  <c r="I924" i="2" a="1"/>
  <c r="I924" i="2" s="1"/>
  <c r="D924" i="2" a="1"/>
  <c r="D924" i="2" s="1"/>
  <c r="H924" i="2" a="1"/>
  <c r="H924" i="2" s="1"/>
  <c r="D923" i="2" a="1"/>
  <c r="D923" i="2" s="1"/>
  <c r="H923" i="2" a="1"/>
  <c r="H923" i="2" s="1"/>
  <c r="I923" i="2" a="1"/>
  <c r="I923" i="2" s="1"/>
  <c r="D922" i="2" a="1"/>
  <c r="D922" i="2" s="1"/>
  <c r="H922" i="2" a="1"/>
  <c r="H922" i="2" s="1"/>
  <c r="I922" i="2" a="1"/>
  <c r="I922" i="2" s="1"/>
  <c r="H921" i="2" a="1"/>
  <c r="H921" i="2" s="1"/>
  <c r="D921" i="2" a="1"/>
  <c r="D921" i="2" s="1"/>
  <c r="I921" i="2" a="1"/>
  <c r="I921" i="2" s="1"/>
  <c r="D920" i="2" a="1"/>
  <c r="D920" i="2" s="1"/>
  <c r="I920" i="2" a="1"/>
  <c r="I920" i="2" s="1"/>
  <c r="H920" i="2" a="1"/>
  <c r="H920" i="2" s="1"/>
  <c r="H919" i="2" a="1"/>
  <c r="H919" i="2" s="1"/>
  <c r="I919" i="2" a="1"/>
  <c r="I919" i="2" s="1"/>
  <c r="D919" i="2" a="1"/>
  <c r="D919" i="2" s="1"/>
  <c r="D918" i="2" a="1"/>
  <c r="D918" i="2" s="1"/>
  <c r="H918" i="2" a="1"/>
  <c r="H918" i="2" s="1"/>
  <c r="I918" i="2" a="1"/>
  <c r="I918" i="2" s="1"/>
  <c r="I917" i="2" a="1"/>
  <c r="I917" i="2" s="1"/>
  <c r="D917" i="2" a="1"/>
  <c r="D917" i="2" s="1"/>
  <c r="H917" i="2" a="1"/>
  <c r="H917" i="2" s="1"/>
  <c r="D916" i="2" a="1"/>
  <c r="D916" i="2" s="1"/>
  <c r="H916" i="2" a="1"/>
  <c r="H916" i="2" s="1"/>
  <c r="I916" i="2" a="1"/>
  <c r="I916" i="2" s="1"/>
  <c r="I915" i="2" a="1"/>
  <c r="I915" i="2" s="1"/>
  <c r="D915" i="2" a="1"/>
  <c r="D915" i="2" s="1"/>
  <c r="H915" i="2" a="1"/>
  <c r="H915" i="2" s="1"/>
  <c r="D914" i="2" a="1"/>
  <c r="D914" i="2" s="1"/>
  <c r="H914" i="2" a="1"/>
  <c r="H914" i="2" s="1"/>
  <c r="D913" i="2" a="1"/>
  <c r="D913" i="2" s="1"/>
  <c r="H913" i="2" a="1"/>
  <c r="H913" i="2" s="1"/>
  <c r="H912" i="2" a="1"/>
  <c r="H912" i="2" s="1"/>
  <c r="I912" i="2" a="1"/>
  <c r="I912" i="2" s="1"/>
  <c r="D912" i="2" a="1"/>
  <c r="D912" i="2" s="1"/>
  <c r="H911" i="2" a="1"/>
  <c r="H911" i="2" s="1"/>
  <c r="I911" i="2" a="1"/>
  <c r="I911" i="2" s="1"/>
  <c r="D911" i="2" a="1"/>
  <c r="D911" i="2" s="1"/>
  <c r="I910" i="2" a="1"/>
  <c r="I910" i="2" s="1"/>
  <c r="H910" i="2" a="1"/>
  <c r="H910" i="2" s="1"/>
  <c r="D910" i="2" a="1"/>
  <c r="D910" i="2" s="1"/>
  <c r="H909" i="2" a="1"/>
  <c r="H909" i="2" s="1"/>
  <c r="D909" i="2" a="1"/>
  <c r="D909" i="2" s="1"/>
  <c r="I909" i="2" a="1"/>
  <c r="I909" i="2" s="1"/>
  <c r="D908" i="2" a="1"/>
  <c r="D908" i="2" s="1"/>
  <c r="H908" i="2" a="1"/>
  <c r="H908" i="2" s="1"/>
  <c r="I908" i="2" a="1"/>
  <c r="I908" i="2" s="1"/>
  <c r="H907" i="2" a="1"/>
  <c r="H907" i="2" s="1"/>
  <c r="I907" i="2" a="1"/>
  <c r="I907" i="2" s="1"/>
  <c r="D907" i="2" a="1"/>
  <c r="D907" i="2" s="1"/>
  <c r="D906" i="2" a="1"/>
  <c r="D906" i="2" s="1"/>
  <c r="H906" i="2" a="1"/>
  <c r="H906" i="2" s="1"/>
  <c r="I906" i="2" a="1"/>
  <c r="I906" i="2" s="1"/>
  <c r="D905" i="2" a="1"/>
  <c r="D905" i="2" s="1"/>
  <c r="H905" i="2" a="1"/>
  <c r="H905" i="2" s="1"/>
  <c r="I905" i="2" a="1"/>
  <c r="I905" i="2" s="1"/>
  <c r="D904" i="2" a="1"/>
  <c r="D904" i="2" s="1"/>
  <c r="H904" i="2" a="1"/>
  <c r="H904" i="2" s="1"/>
  <c r="I904" i="2" a="1"/>
  <c r="I904" i="2" s="1"/>
  <c r="I903" i="2" a="1"/>
  <c r="I903" i="2" s="1"/>
  <c r="H903" i="2" a="1"/>
  <c r="H903" i="2" s="1"/>
  <c r="D903" i="2" a="1"/>
  <c r="D903" i="2" s="1"/>
  <c r="D901" i="2" a="1"/>
  <c r="D901" i="2" s="1"/>
  <c r="I901" i="2" a="1"/>
  <c r="I901" i="2" s="1"/>
  <c r="H901" i="2" a="1"/>
  <c r="H901" i="2" s="1"/>
  <c r="D900" i="2" a="1"/>
  <c r="D900" i="2" s="1"/>
  <c r="H900" i="2" a="1"/>
  <c r="H900" i="2" s="1"/>
  <c r="I900" i="2" a="1"/>
  <c r="I900" i="2" s="1"/>
  <c r="H899" i="2" a="1"/>
  <c r="H899" i="2" s="1"/>
  <c r="D899" i="2" a="1"/>
  <c r="D899" i="2" s="1"/>
  <c r="I899" i="2" a="1"/>
  <c r="I899" i="2" s="1"/>
  <c r="D898" i="2" a="1"/>
  <c r="D898" i="2" s="1"/>
  <c r="H898" i="2" a="1"/>
  <c r="H898" i="2" s="1"/>
  <c r="I898" i="2" a="1"/>
  <c r="I898" i="2" s="1"/>
  <c r="D897" i="2" a="1"/>
  <c r="D897" i="2" s="1"/>
  <c r="H897" i="2" a="1"/>
  <c r="H897" i="2" s="1"/>
  <c r="I897" i="2" a="1"/>
  <c r="I897" i="2" s="1"/>
  <c r="H896" i="2" a="1"/>
  <c r="H896" i="2" s="1"/>
  <c r="I896" i="2" a="1"/>
  <c r="I896" i="2" s="1"/>
  <c r="D896" i="2" a="1"/>
  <c r="D896" i="2" s="1"/>
  <c r="D895" i="2" a="1"/>
  <c r="D895" i="2" s="1"/>
  <c r="I895" i="2" a="1"/>
  <c r="I895" i="2" s="1"/>
  <c r="H895" i="2" a="1"/>
  <c r="H895" i="2" s="1"/>
  <c r="H894" i="2" a="1"/>
  <c r="H894" i="2" s="1"/>
  <c r="I894" i="2" a="1"/>
  <c r="I894" i="2" s="1"/>
  <c r="D894" i="2" a="1"/>
  <c r="D894" i="2" s="1"/>
  <c r="D893" i="2" a="1"/>
  <c r="D893" i="2" s="1"/>
  <c r="H893" i="2" a="1"/>
  <c r="H893" i="2" s="1"/>
  <c r="I893" i="2" a="1"/>
  <c r="I893" i="2" s="1"/>
  <c r="I892" i="2" a="1"/>
  <c r="I892" i="2" s="1"/>
  <c r="H892" i="2" a="1"/>
  <c r="H892" i="2" s="1"/>
  <c r="D892" i="2" a="1"/>
  <c r="D892" i="2" s="1"/>
  <c r="H891" i="2" a="1"/>
  <c r="H891" i="2" s="1"/>
  <c r="D891" i="2" a="1"/>
  <c r="D891" i="2" s="1"/>
  <c r="I891" i="2" a="1"/>
  <c r="I891" i="2" s="1"/>
  <c r="H890" i="2" a="1"/>
  <c r="H890" i="2" s="1"/>
  <c r="I890" i="2" a="1"/>
  <c r="I890" i="2" s="1"/>
  <c r="D890" i="2" a="1"/>
  <c r="D890" i="2" s="1"/>
  <c r="I889" i="2" a="1"/>
  <c r="I889" i="2" s="1"/>
  <c r="H889" i="2" a="1"/>
  <c r="H889" i="2" s="1"/>
  <c r="D889" i="2" a="1"/>
  <c r="D889" i="2" s="1"/>
  <c r="I888" i="2" a="1"/>
  <c r="I888" i="2" s="1"/>
  <c r="H888" i="2" a="1"/>
  <c r="H888" i="2" s="1"/>
  <c r="D888" i="2" a="1"/>
  <c r="D888" i="2" s="1"/>
  <c r="D887" i="2" a="1"/>
  <c r="D887" i="2" s="1"/>
  <c r="I887" i="2" a="1"/>
  <c r="I887" i="2" s="1"/>
  <c r="H887" i="2" a="1"/>
  <c r="H887" i="2" s="1"/>
  <c r="H886" i="2" a="1"/>
  <c r="H886" i="2" s="1"/>
  <c r="D886" i="2" a="1"/>
  <c r="D886" i="2" s="1"/>
  <c r="I886" i="2" a="1"/>
  <c r="I886" i="2" s="1"/>
  <c r="I885" i="2" a="1"/>
  <c r="I885" i="2" s="1"/>
  <c r="D885" i="2" a="1"/>
  <c r="D885" i="2" s="1"/>
  <c r="H885" i="2" a="1"/>
  <c r="H885" i="2" s="1"/>
  <c r="D884" i="2" a="1"/>
  <c r="D884" i="2" s="1"/>
  <c r="H884" i="2" a="1"/>
  <c r="H884" i="2" s="1"/>
  <c r="I884" i="2" a="1"/>
  <c r="I884" i="2" s="1"/>
  <c r="I883" i="2" a="1"/>
  <c r="I883" i="2" s="1"/>
  <c r="H883" i="2" a="1"/>
  <c r="H883" i="2" s="1"/>
  <c r="D883" i="2" a="1"/>
  <c r="D883" i="2" s="1"/>
  <c r="H882" i="2" a="1"/>
  <c r="H882" i="2" s="1"/>
  <c r="D882" i="2" a="1"/>
  <c r="D882" i="2" s="1"/>
  <c r="H881" i="2" a="1"/>
  <c r="H881" i="2" s="1"/>
  <c r="D881" i="2" a="1"/>
  <c r="D881" i="2" s="1"/>
  <c r="I880" i="2" a="1"/>
  <c r="I880" i="2" s="1"/>
  <c r="H880" i="2" a="1"/>
  <c r="H880" i="2" s="1"/>
  <c r="D880" i="2" a="1"/>
  <c r="D880" i="2" s="1"/>
  <c r="I879" i="2" a="1"/>
  <c r="I879" i="2" s="1"/>
  <c r="H879" i="2" a="1"/>
  <c r="H879" i="2" s="1"/>
  <c r="D879" i="2" a="1"/>
  <c r="D879" i="2" s="1"/>
  <c r="I878" i="2" a="1"/>
  <c r="I878" i="2" s="1"/>
  <c r="H878" i="2" a="1"/>
  <c r="H878" i="2" s="1"/>
  <c r="D878" i="2" a="1"/>
  <c r="D878" i="2" s="1"/>
  <c r="I877" i="2" a="1"/>
  <c r="I877" i="2" s="1"/>
  <c r="H877" i="2" a="1"/>
  <c r="H877" i="2" s="1"/>
  <c r="D877" i="2" a="1"/>
  <c r="D877" i="2" s="1"/>
  <c r="I876" i="2" a="1"/>
  <c r="I876" i="2" s="1"/>
  <c r="D876" i="2" a="1"/>
  <c r="D876" i="2" s="1"/>
  <c r="H876" i="2" a="1"/>
  <c r="H876" i="2" s="1"/>
  <c r="D875" i="2" a="1"/>
  <c r="D875" i="2" s="1"/>
  <c r="H875" i="2" a="1"/>
  <c r="H875" i="2" s="1"/>
  <c r="I875" i="2" a="1"/>
  <c r="I875" i="2" s="1"/>
  <c r="D874" i="2" a="1"/>
  <c r="D874" i="2" s="1"/>
  <c r="H874" i="2" a="1"/>
  <c r="H874" i="2" s="1"/>
  <c r="I874" i="2" a="1"/>
  <c r="I874" i="2" s="1"/>
  <c r="H873" i="2" a="1"/>
  <c r="H873" i="2" s="1"/>
  <c r="D873" i="2" a="1"/>
  <c r="D873" i="2" s="1"/>
  <c r="I873" i="2" a="1"/>
  <c r="I873" i="2" s="1"/>
  <c r="D872" i="2" a="1"/>
  <c r="D872" i="2" s="1"/>
  <c r="H872" i="2" a="1"/>
  <c r="H872" i="2" s="1"/>
  <c r="I872" i="2" a="1"/>
  <c r="I872" i="2" s="1"/>
  <c r="D871" i="2" a="1"/>
  <c r="D871" i="2" s="1"/>
  <c r="H871" i="2" a="1"/>
  <c r="H871" i="2" s="1"/>
  <c r="I871" i="2" a="1"/>
  <c r="I871" i="2" s="1"/>
  <c r="D869" i="2" a="1"/>
  <c r="D869" i="2" s="1"/>
  <c r="H869" i="2" a="1"/>
  <c r="H869" i="2" s="1"/>
  <c r="I869" i="2" a="1"/>
  <c r="I869" i="2" s="1"/>
  <c r="H868" i="2" a="1"/>
  <c r="H868" i="2" s="1"/>
  <c r="I868" i="2" a="1"/>
  <c r="I868" i="2" s="1"/>
  <c r="D868" i="2" a="1"/>
  <c r="D868" i="2" s="1"/>
  <c r="D867" i="2" a="1"/>
  <c r="D867" i="2" s="1"/>
  <c r="H867" i="2" a="1"/>
  <c r="H867" i="2" s="1"/>
  <c r="I867" i="2" a="1"/>
  <c r="I867" i="2" s="1"/>
  <c r="I866" i="2" a="1"/>
  <c r="I866" i="2" s="1"/>
  <c r="D866" i="2" a="1"/>
  <c r="D866" i="2" s="1"/>
  <c r="H866" i="2" a="1"/>
  <c r="H866" i="2" s="1"/>
  <c r="H865" i="2" a="1"/>
  <c r="H865" i="2" s="1"/>
  <c r="I865" i="2" a="1"/>
  <c r="I865" i="2" s="1"/>
  <c r="D865" i="2" a="1"/>
  <c r="D865" i="2" s="1"/>
  <c r="H864" i="2" a="1"/>
  <c r="H864" i="2" s="1"/>
  <c r="I864" i="2" a="1"/>
  <c r="I864" i="2" s="1"/>
  <c r="D864" i="2" a="1"/>
  <c r="D864" i="2" s="1"/>
  <c r="D863" i="2" a="1"/>
  <c r="D863" i="2" s="1"/>
  <c r="H863" i="2" a="1"/>
  <c r="H863" i="2" s="1"/>
  <c r="I863" i="2" a="1"/>
  <c r="I863" i="2" s="1"/>
  <c r="I862" i="2" a="1"/>
  <c r="I862" i="2" s="1"/>
  <c r="D862" i="2" a="1"/>
  <c r="D862" i="2" s="1"/>
  <c r="H862" i="2" a="1"/>
  <c r="H862" i="2" s="1"/>
  <c r="H861" i="2" a="1"/>
  <c r="H861" i="2" s="1"/>
  <c r="I861" i="2" a="1"/>
  <c r="I861" i="2" s="1"/>
  <c r="D861" i="2" a="1"/>
  <c r="D861" i="2" s="1"/>
  <c r="D860" i="2" a="1"/>
  <c r="D860" i="2" s="1"/>
  <c r="H860" i="2" a="1"/>
  <c r="H860" i="2" s="1"/>
  <c r="I860" i="2" a="1"/>
  <c r="I860" i="2" s="1"/>
  <c r="D859" i="2" a="1"/>
  <c r="D859" i="2" s="1"/>
  <c r="H859" i="2" a="1"/>
  <c r="H859" i="2" s="1"/>
  <c r="I859" i="2" a="1"/>
  <c r="I859" i="2" s="1"/>
  <c r="H858" i="2" a="1"/>
  <c r="H858" i="2" s="1"/>
  <c r="I858" i="2" a="1"/>
  <c r="I858" i="2" s="1"/>
  <c r="D858" i="2" a="1"/>
  <c r="D858" i="2" s="1"/>
  <c r="D857" i="2" a="1"/>
  <c r="D857" i="2" s="1"/>
  <c r="H857" i="2" a="1"/>
  <c r="H857" i="2" s="1"/>
  <c r="I857" i="2" a="1"/>
  <c r="I857" i="2" s="1"/>
  <c r="H856" i="2" a="1"/>
  <c r="H856" i="2" s="1"/>
  <c r="D856" i="2" a="1"/>
  <c r="D856" i="2" s="1"/>
  <c r="I856" i="2" a="1"/>
  <c r="I856" i="2" s="1"/>
  <c r="I855" i="2" a="1"/>
  <c r="I855" i="2" s="1"/>
  <c r="H855" i="2" a="1"/>
  <c r="H855" i="2" s="1"/>
  <c r="D855" i="2" a="1"/>
  <c r="D855" i="2" s="1"/>
  <c r="H854" i="2" a="1"/>
  <c r="H854" i="2" s="1"/>
  <c r="I854" i="2" a="1"/>
  <c r="I854" i="2" s="1"/>
  <c r="D854" i="2" a="1"/>
  <c r="D854" i="2" s="1"/>
  <c r="I853" i="2" a="1"/>
  <c r="I853" i="2" s="1"/>
  <c r="H853" i="2" a="1"/>
  <c r="H853" i="2" s="1"/>
  <c r="D853" i="2" a="1"/>
  <c r="D853" i="2" s="1"/>
  <c r="I852" i="2" a="1"/>
  <c r="I852" i="2" s="1"/>
  <c r="H852" i="2" a="1"/>
  <c r="H852" i="2" s="1"/>
  <c r="D852" i="2" a="1"/>
  <c r="D852" i="2" s="1"/>
  <c r="I851" i="2" a="1"/>
  <c r="I851" i="2" s="1"/>
  <c r="H851" i="2" a="1"/>
  <c r="H851" i="2" s="1"/>
  <c r="D851" i="2" a="1"/>
  <c r="D851" i="2" s="1"/>
  <c r="D850" i="2" a="1"/>
  <c r="D850" i="2" s="1"/>
  <c r="H850" i="2" a="1"/>
  <c r="H850" i="2" s="1"/>
  <c r="D849" i="2" a="1"/>
  <c r="D849" i="2" s="1"/>
  <c r="H849" i="2" a="1"/>
  <c r="H849" i="2" s="1"/>
  <c r="H848" i="2" a="1"/>
  <c r="H848" i="2" s="1"/>
  <c r="I848" i="2" a="1"/>
  <c r="I848" i="2" s="1"/>
  <c r="D848" i="2" a="1"/>
  <c r="D848" i="2" s="1"/>
  <c r="I847" i="2" a="1"/>
  <c r="I847" i="2" s="1"/>
  <c r="H847" i="2" a="1"/>
  <c r="H847" i="2" s="1"/>
  <c r="D847" i="2" a="1"/>
  <c r="D847" i="2" s="1"/>
  <c r="H846" i="2" a="1"/>
  <c r="H846" i="2" s="1"/>
  <c r="D846" i="2" a="1"/>
  <c r="D846" i="2" s="1"/>
  <c r="I846" i="2" a="1"/>
  <c r="I846" i="2" s="1"/>
  <c r="I845" i="2" a="1"/>
  <c r="I845" i="2" s="1"/>
  <c r="H845" i="2" a="1"/>
  <c r="H845" i="2" s="1"/>
  <c r="D845" i="2" a="1"/>
  <c r="D845" i="2" s="1"/>
  <c r="D844" i="2" a="1"/>
  <c r="D844" i="2" s="1"/>
  <c r="I844" i="2" a="1"/>
  <c r="I844" i="2" s="1"/>
  <c r="H844" i="2" a="1"/>
  <c r="H844" i="2" s="1"/>
  <c r="D843" i="2" a="1"/>
  <c r="D843" i="2" s="1"/>
  <c r="H843" i="2" a="1"/>
  <c r="H843" i="2" s="1"/>
  <c r="I843" i="2" a="1"/>
  <c r="I843" i="2" s="1"/>
  <c r="D842" i="2" a="1"/>
  <c r="D842" i="2" s="1"/>
  <c r="I842" i="2" a="1"/>
  <c r="I842" i="2" s="1"/>
  <c r="H842" i="2" a="1"/>
  <c r="H842" i="2" s="1"/>
  <c r="I841" i="2" a="1"/>
  <c r="I841" i="2" s="1"/>
  <c r="D841" i="2" a="1"/>
  <c r="D841" i="2" s="1"/>
  <c r="H841" i="2" a="1"/>
  <c r="H841" i="2" s="1"/>
  <c r="H840" i="2" a="1"/>
  <c r="H840" i="2" s="1"/>
  <c r="D840" i="2" a="1"/>
  <c r="D840" i="2" s="1"/>
  <c r="I840" i="2" a="1"/>
  <c r="I840" i="2" s="1"/>
  <c r="I839" i="2" a="1"/>
  <c r="I839" i="2" s="1"/>
  <c r="H839" i="2" a="1"/>
  <c r="H839" i="2" s="1"/>
  <c r="D839" i="2" a="1"/>
  <c r="D839" i="2" s="1"/>
  <c r="I837" i="2" a="1"/>
  <c r="I837" i="2" s="1"/>
  <c r="H837" i="2" a="1"/>
  <c r="H837" i="2" s="1"/>
  <c r="D837" i="2" a="1"/>
  <c r="D837" i="2" s="1"/>
  <c r="D836" i="2" a="1"/>
  <c r="D836" i="2" s="1"/>
  <c r="H836" i="2" a="1"/>
  <c r="H836" i="2" s="1"/>
  <c r="I836" i="2" a="1"/>
  <c r="I836" i="2" s="1"/>
  <c r="D835" i="2" a="1"/>
  <c r="D835" i="2" s="1"/>
  <c r="H835" i="2" a="1"/>
  <c r="H835" i="2" s="1"/>
  <c r="I835" i="2" a="1"/>
  <c r="I835" i="2" s="1"/>
  <c r="D834" i="2" a="1"/>
  <c r="D834" i="2" s="1"/>
  <c r="I834" i="2" a="1"/>
  <c r="I834" i="2" s="1"/>
  <c r="H834" i="2" a="1"/>
  <c r="H834" i="2" s="1"/>
  <c r="H833" i="2" a="1"/>
  <c r="H833" i="2" s="1"/>
  <c r="D833" i="2" a="1"/>
  <c r="D833" i="2" s="1"/>
  <c r="I833" i="2" a="1"/>
  <c r="I833" i="2" s="1"/>
  <c r="I832" i="2" a="1"/>
  <c r="I832" i="2" s="1"/>
  <c r="H832" i="2" a="1"/>
  <c r="H832" i="2" s="1"/>
  <c r="D832" i="2" a="1"/>
  <c r="D832" i="2" s="1"/>
  <c r="I831" i="2" a="1"/>
  <c r="I831" i="2" s="1"/>
  <c r="H831" i="2" a="1"/>
  <c r="H831" i="2" s="1"/>
  <c r="D831" i="2" a="1"/>
  <c r="D831" i="2" s="1"/>
  <c r="I830" i="2" a="1"/>
  <c r="I830" i="2" s="1"/>
  <c r="H830" i="2" a="1"/>
  <c r="H830" i="2" s="1"/>
  <c r="D830" i="2" a="1"/>
  <c r="D830" i="2" s="1"/>
  <c r="I829" i="2" a="1"/>
  <c r="I829" i="2" s="1"/>
  <c r="H829" i="2" a="1"/>
  <c r="H829" i="2" s="1"/>
  <c r="D829" i="2" a="1"/>
  <c r="D829" i="2" s="1"/>
  <c r="I828" i="2" a="1"/>
  <c r="I828" i="2" s="1"/>
  <c r="D828" i="2" a="1"/>
  <c r="D828" i="2" s="1"/>
  <c r="H828" i="2" a="1"/>
  <c r="H828" i="2" s="1"/>
  <c r="D827" i="2" a="1"/>
  <c r="D827" i="2" s="1"/>
  <c r="H827" i="2" a="1"/>
  <c r="H827" i="2" s="1"/>
  <c r="I827" i="2" a="1"/>
  <c r="I827" i="2" s="1"/>
  <c r="D826" i="2" a="1"/>
  <c r="D826" i="2" s="1"/>
  <c r="H826" i="2" a="1"/>
  <c r="H826" i="2" s="1"/>
  <c r="I826" i="2" a="1"/>
  <c r="I826" i="2" s="1"/>
  <c r="H825" i="2" a="1"/>
  <c r="H825" i="2" s="1"/>
  <c r="I825" i="2" a="1"/>
  <c r="I825" i="2" s="1"/>
  <c r="D825" i="2" a="1"/>
  <c r="D825" i="2" s="1"/>
  <c r="I824" i="2" a="1"/>
  <c r="I824" i="2" s="1"/>
  <c r="H824" i="2" a="1"/>
  <c r="H824" i="2" s="1"/>
  <c r="D824" i="2" a="1"/>
  <c r="D824" i="2" s="1"/>
  <c r="H823" i="2" a="1"/>
  <c r="H823" i="2" s="1"/>
  <c r="I823" i="2" a="1"/>
  <c r="I823" i="2" s="1"/>
  <c r="D823" i="2" a="1"/>
  <c r="D823" i="2" s="1"/>
  <c r="H822" i="2" a="1"/>
  <c r="H822" i="2" s="1"/>
  <c r="I822" i="2" a="1"/>
  <c r="I822" i="2" s="1"/>
  <c r="D822" i="2" a="1"/>
  <c r="D822" i="2" s="1"/>
  <c r="I821" i="2" a="1"/>
  <c r="I821" i="2" s="1"/>
  <c r="H821" i="2" a="1"/>
  <c r="H821" i="2" s="1"/>
  <c r="D821" i="2" a="1"/>
  <c r="D821" i="2" s="1"/>
  <c r="H820" i="2" a="1"/>
  <c r="H820" i="2" s="1"/>
  <c r="D820" i="2" a="1"/>
  <c r="D820" i="2" s="1"/>
  <c r="I820" i="2" a="1"/>
  <c r="I820" i="2" s="1"/>
  <c r="I819" i="2" a="1"/>
  <c r="I819" i="2" s="1"/>
  <c r="H819" i="2" a="1"/>
  <c r="H819" i="2" s="1"/>
  <c r="D819" i="2" a="1"/>
  <c r="D819" i="2" s="1"/>
  <c r="I818" i="2" a="1"/>
  <c r="I818" i="2" s="1"/>
  <c r="H818" i="2" a="1"/>
  <c r="H818" i="2" s="1"/>
  <c r="D818" i="2" a="1"/>
  <c r="D818" i="2" s="1"/>
  <c r="D817" i="2" a="1"/>
  <c r="D817" i="2" s="1"/>
  <c r="I817" i="2" a="1"/>
  <c r="I817" i="2" s="1"/>
  <c r="H817" i="2" a="1"/>
  <c r="H817" i="2" s="1"/>
  <c r="D816" i="2" a="1"/>
  <c r="D816" i="2" s="1"/>
  <c r="H816" i="2" a="1"/>
  <c r="H816" i="2" s="1"/>
  <c r="I816" i="2" a="1"/>
  <c r="I816" i="2" s="1"/>
  <c r="I815" i="2" a="1"/>
  <c r="I815" i="2" s="1"/>
  <c r="H815" i="2" a="1"/>
  <c r="H815" i="2" s="1"/>
  <c r="D815" i="2" a="1"/>
  <c r="D815" i="2" s="1"/>
  <c r="H814" i="2" a="1"/>
  <c r="H814" i="2" s="1"/>
  <c r="I814" i="2" a="1"/>
  <c r="I814" i="2" s="1"/>
  <c r="D814" i="2" a="1"/>
  <c r="D814" i="2" s="1"/>
  <c r="I813" i="2" a="1"/>
  <c r="I813" i="2" s="1"/>
  <c r="H813" i="2" a="1"/>
  <c r="H813" i="2" s="1"/>
  <c r="D813" i="2" a="1"/>
  <c r="D813" i="2" s="1"/>
  <c r="H812" i="2" a="1"/>
  <c r="H812" i="2" s="1"/>
  <c r="I812" i="2" a="1"/>
  <c r="I812" i="2" s="1"/>
  <c r="D812" i="2" a="1"/>
  <c r="D812" i="2" s="1"/>
  <c r="I811" i="2" a="1"/>
  <c r="I811" i="2" s="1"/>
  <c r="H811" i="2" a="1"/>
  <c r="H811" i="2" s="1"/>
  <c r="D811" i="2" a="1"/>
  <c r="D811" i="2" s="1"/>
  <c r="I810" i="2" a="1"/>
  <c r="I810" i="2" s="1"/>
  <c r="H810" i="2" a="1"/>
  <c r="H810" i="2" s="1"/>
  <c r="D810" i="2" a="1"/>
  <c r="D810" i="2" s="1"/>
  <c r="I809" i="2" a="1"/>
  <c r="I809" i="2" s="1"/>
  <c r="H809" i="2" a="1"/>
  <c r="H809" i="2" s="1"/>
  <c r="D809" i="2" a="1"/>
  <c r="D809" i="2" s="1"/>
  <c r="H808" i="2" a="1"/>
  <c r="H808" i="2" s="1"/>
  <c r="D808" i="2" a="1"/>
  <c r="D808" i="2" s="1"/>
  <c r="I808" i="2" a="1"/>
  <c r="I808" i="2" s="1"/>
  <c r="I807" i="2" a="1"/>
  <c r="I807" i="2" s="1"/>
  <c r="H807" i="2" a="1"/>
  <c r="H807" i="2" s="1"/>
  <c r="D807" i="2" a="1"/>
  <c r="D807" i="2" s="1"/>
  <c r="D805" i="2" a="1"/>
  <c r="D805" i="2" s="1"/>
  <c r="I805" i="2" a="1"/>
  <c r="I805" i="2" s="1"/>
  <c r="H805" i="2" a="1"/>
  <c r="H805" i="2" s="1"/>
  <c r="I804" i="2" a="1"/>
  <c r="I804" i="2" s="1"/>
  <c r="H804" i="2" a="1"/>
  <c r="H804" i="2" s="1"/>
  <c r="D804" i="2" a="1"/>
  <c r="D804" i="2" s="1"/>
  <c r="I803" i="2" a="1"/>
  <c r="I803" i="2" s="1"/>
  <c r="H803" i="2" a="1"/>
  <c r="H803" i="2" s="1"/>
  <c r="D803" i="2" a="1"/>
  <c r="D803" i="2" s="1"/>
  <c r="I802" i="2" a="1"/>
  <c r="I802" i="2" s="1"/>
  <c r="H802" i="2" a="1"/>
  <c r="H802" i="2" s="1"/>
  <c r="D802" i="2" a="1"/>
  <c r="D802" i="2" s="1"/>
  <c r="I801" i="2" a="1"/>
  <c r="I801" i="2" s="1"/>
  <c r="H801" i="2" a="1"/>
  <c r="H801" i="2" s="1"/>
  <c r="D801" i="2" a="1"/>
  <c r="D801" i="2" s="1"/>
  <c r="I800" i="2" a="1"/>
  <c r="I800" i="2" s="1"/>
  <c r="H800" i="2" a="1"/>
  <c r="H800" i="2" s="1"/>
  <c r="D800" i="2" a="1"/>
  <c r="D800" i="2" s="1"/>
  <c r="I799" i="2" a="1"/>
  <c r="I799" i="2" s="1"/>
  <c r="H799" i="2" a="1"/>
  <c r="H799" i="2" s="1"/>
  <c r="D799" i="2" a="1"/>
  <c r="D799" i="2" s="1"/>
  <c r="I798" i="2" a="1"/>
  <c r="I798" i="2" s="1"/>
  <c r="H798" i="2" a="1"/>
  <c r="H798" i="2" s="1"/>
  <c r="D798" i="2" a="1"/>
  <c r="D798" i="2" s="1"/>
  <c r="I797" i="2" a="1"/>
  <c r="I797" i="2" s="1"/>
  <c r="H797" i="2" a="1"/>
  <c r="H797" i="2" s="1"/>
  <c r="D797" i="2" a="1"/>
  <c r="D797" i="2" s="1"/>
  <c r="I796" i="2" a="1"/>
  <c r="I796" i="2" s="1"/>
  <c r="H796" i="2" a="1"/>
  <c r="H796" i="2" s="1"/>
  <c r="D796" i="2" a="1"/>
  <c r="D796" i="2" s="1"/>
  <c r="I795" i="2" a="1"/>
  <c r="I795" i="2" s="1"/>
  <c r="H795" i="2" a="1"/>
  <c r="H795" i="2" s="1"/>
  <c r="D795" i="2" a="1"/>
  <c r="D795" i="2" s="1"/>
  <c r="I794" i="2" a="1"/>
  <c r="I794" i="2" s="1"/>
  <c r="H794" i="2" a="1"/>
  <c r="H794" i="2" s="1"/>
  <c r="D794" i="2" a="1"/>
  <c r="D794" i="2" s="1"/>
  <c r="I793" i="2" a="1"/>
  <c r="I793" i="2" s="1"/>
  <c r="H793" i="2" a="1"/>
  <c r="H793" i="2" s="1"/>
  <c r="D793" i="2" a="1"/>
  <c r="D793" i="2" s="1"/>
  <c r="I792" i="2" a="1"/>
  <c r="I792" i="2" s="1"/>
  <c r="H792" i="2" a="1"/>
  <c r="H792" i="2" s="1"/>
  <c r="D792" i="2" a="1"/>
  <c r="D792" i="2" s="1"/>
  <c r="I791" i="2" a="1"/>
  <c r="I791" i="2" s="1"/>
  <c r="H791" i="2" a="1"/>
  <c r="H791" i="2" s="1"/>
  <c r="D791" i="2" a="1"/>
  <c r="D791" i="2" s="1"/>
  <c r="I790" i="2" a="1"/>
  <c r="I790" i="2" s="1"/>
  <c r="H790" i="2" a="1"/>
  <c r="H790" i="2" s="1"/>
  <c r="D790" i="2" a="1"/>
  <c r="D790" i="2" s="1"/>
  <c r="I789" i="2" a="1"/>
  <c r="I789" i="2" s="1"/>
  <c r="H789" i="2" a="1"/>
  <c r="H789" i="2" s="1"/>
  <c r="D789" i="2" a="1"/>
  <c r="D789" i="2" s="1"/>
  <c r="I788" i="2" a="1"/>
  <c r="I788" i="2" s="1"/>
  <c r="H788" i="2" a="1"/>
  <c r="H788" i="2" s="1"/>
  <c r="D788" i="2" a="1"/>
  <c r="D788" i="2" s="1"/>
  <c r="I787" i="2" a="1"/>
  <c r="I787" i="2" s="1"/>
  <c r="H787" i="2" a="1"/>
  <c r="H787" i="2" s="1"/>
  <c r="D787" i="2" a="1"/>
  <c r="D787" i="2" s="1"/>
  <c r="H786" i="2" a="1"/>
  <c r="H786" i="2" s="1"/>
  <c r="D786" i="2" a="1"/>
  <c r="D786" i="2" s="1"/>
  <c r="H785" i="2" a="1"/>
  <c r="H785" i="2" s="1"/>
  <c r="D785" i="2" a="1"/>
  <c r="D785" i="2" s="1"/>
  <c r="I784" i="2" a="1"/>
  <c r="I784" i="2" s="1"/>
  <c r="H784" i="2" a="1"/>
  <c r="H784" i="2" s="1"/>
  <c r="D784" i="2" a="1"/>
  <c r="D784" i="2" s="1"/>
  <c r="I783" i="2" a="1"/>
  <c r="I783" i="2" s="1"/>
  <c r="H783" i="2" a="1"/>
  <c r="H783" i="2" s="1"/>
  <c r="D783" i="2" a="1"/>
  <c r="D783" i="2" s="1"/>
  <c r="I782" i="2" a="1"/>
  <c r="I782" i="2" s="1"/>
  <c r="H782" i="2" a="1"/>
  <c r="H782" i="2" s="1"/>
  <c r="D782" i="2" a="1"/>
  <c r="D782" i="2" s="1"/>
  <c r="H781" i="2" a="1"/>
  <c r="H781" i="2" s="1"/>
  <c r="I781" i="2" a="1"/>
  <c r="I781" i="2" s="1"/>
  <c r="D781" i="2" a="1"/>
  <c r="D781" i="2" s="1"/>
  <c r="I780" i="2" a="1"/>
  <c r="I780" i="2" s="1"/>
  <c r="D780" i="2" a="1"/>
  <c r="D780" i="2" s="1"/>
  <c r="H780" i="2" a="1"/>
  <c r="H780" i="2" s="1"/>
  <c r="H779" i="2" a="1"/>
  <c r="H779" i="2" s="1"/>
  <c r="D779" i="2" a="1"/>
  <c r="D779" i="2" s="1"/>
  <c r="I779" i="2" a="1"/>
  <c r="I779" i="2" s="1"/>
  <c r="H778" i="2" a="1"/>
  <c r="H778" i="2" s="1"/>
  <c r="I778" i="2" a="1"/>
  <c r="I778" i="2" s="1"/>
  <c r="D778" i="2" a="1"/>
  <c r="D778" i="2" s="1"/>
  <c r="I777" i="2" a="1"/>
  <c r="I777" i="2" s="1"/>
  <c r="H777" i="2" a="1"/>
  <c r="H777" i="2" s="1"/>
  <c r="D777" i="2" a="1"/>
  <c r="D777" i="2" s="1"/>
  <c r="I776" i="2" a="1"/>
  <c r="I776" i="2" s="1"/>
  <c r="H776" i="2" a="1"/>
  <c r="H776" i="2" s="1"/>
  <c r="D776" i="2" a="1"/>
  <c r="D776" i="2" s="1"/>
  <c r="D775" i="2" a="1"/>
  <c r="D775" i="2" s="1"/>
  <c r="H775" i="2" a="1"/>
  <c r="H775" i="2" s="1"/>
  <c r="I775" i="2" a="1"/>
  <c r="I775" i="2" s="1"/>
  <c r="I773" i="2" a="1"/>
  <c r="I773" i="2" s="1"/>
  <c r="H773" i="2" a="1"/>
  <c r="H773" i="2" s="1"/>
  <c r="D773" i="2" a="1"/>
  <c r="D773" i="2" s="1"/>
  <c r="H772" i="2" a="1"/>
  <c r="H772" i="2" s="1"/>
  <c r="I772" i="2" a="1"/>
  <c r="I772" i="2" s="1"/>
  <c r="D772" i="2" a="1"/>
  <c r="D772" i="2" s="1"/>
  <c r="I771" i="2" a="1"/>
  <c r="I771" i="2" s="1"/>
  <c r="H771" i="2" a="1"/>
  <c r="H771" i="2" s="1"/>
  <c r="D771" i="2" a="1"/>
  <c r="D771" i="2" s="1"/>
  <c r="H770" i="2" a="1"/>
  <c r="H770" i="2" s="1"/>
  <c r="I770" i="2" a="1"/>
  <c r="I770" i="2" s="1"/>
  <c r="D770" i="2" a="1"/>
  <c r="D770" i="2" s="1"/>
  <c r="D769" i="2" a="1"/>
  <c r="D769" i="2" s="1"/>
  <c r="I769" i="2" a="1"/>
  <c r="I769" i="2" s="1"/>
  <c r="H769" i="2" a="1"/>
  <c r="H769" i="2" s="1"/>
  <c r="H768" i="2" a="1"/>
  <c r="H768" i="2" s="1"/>
  <c r="I768" i="2" a="1"/>
  <c r="I768" i="2" s="1"/>
  <c r="D768" i="2" a="1"/>
  <c r="D768" i="2" s="1"/>
  <c r="I767" i="2" a="1"/>
  <c r="I767" i="2" s="1"/>
  <c r="H767" i="2" a="1"/>
  <c r="H767" i="2" s="1"/>
  <c r="D767" i="2" a="1"/>
  <c r="D767" i="2" s="1"/>
  <c r="I766" i="2" a="1"/>
  <c r="I766" i="2" s="1"/>
  <c r="H766" i="2" a="1"/>
  <c r="H766" i="2" s="1"/>
  <c r="D766" i="2" a="1"/>
  <c r="D766" i="2" s="1"/>
  <c r="D765" i="2" a="1"/>
  <c r="D765" i="2" s="1"/>
  <c r="H765" i="2" a="1"/>
  <c r="H765" i="2" s="1"/>
  <c r="I765" i="2" a="1"/>
  <c r="I765" i="2" s="1"/>
  <c r="D764" i="2" a="1"/>
  <c r="D764" i="2" s="1"/>
  <c r="I764" i="2" a="1"/>
  <c r="I764" i="2" s="1"/>
  <c r="H764" i="2" a="1"/>
  <c r="H764" i="2" s="1"/>
  <c r="I763" i="2" a="1"/>
  <c r="I763" i="2" s="1"/>
  <c r="H763" i="2" a="1"/>
  <c r="H763" i="2" s="1"/>
  <c r="D763" i="2" a="1"/>
  <c r="D763" i="2" s="1"/>
  <c r="I762" i="2" a="1"/>
  <c r="I762" i="2" s="1"/>
  <c r="H762" i="2" a="1"/>
  <c r="H762" i="2" s="1"/>
  <c r="D762" i="2" a="1"/>
  <c r="D762" i="2" s="1"/>
  <c r="H761" i="2" a="1"/>
  <c r="H761" i="2" s="1"/>
  <c r="I761" i="2" a="1"/>
  <c r="I761" i="2" s="1"/>
  <c r="D761" i="2" a="1"/>
  <c r="D761" i="2" s="1"/>
  <c r="I760" i="2" a="1"/>
  <c r="I760" i="2" s="1"/>
  <c r="H760" i="2" a="1"/>
  <c r="H760" i="2" s="1"/>
  <c r="D760" i="2" a="1"/>
  <c r="D760" i="2" s="1"/>
  <c r="I759" i="2" a="1"/>
  <c r="I759" i="2" s="1"/>
  <c r="H759" i="2" a="1"/>
  <c r="H759" i="2" s="1"/>
  <c r="D759" i="2" a="1"/>
  <c r="D759" i="2" s="1"/>
  <c r="I758" i="2" a="1"/>
  <c r="I758" i="2" s="1"/>
  <c r="H758" i="2" a="1"/>
  <c r="H758" i="2" s="1"/>
  <c r="D758" i="2" a="1"/>
  <c r="D758" i="2" s="1"/>
  <c r="I757" i="2" a="1"/>
  <c r="I757" i="2" s="1"/>
  <c r="H757" i="2" a="1"/>
  <c r="H757" i="2" s="1"/>
  <c r="D757" i="2" a="1"/>
  <c r="D757" i="2" s="1"/>
  <c r="I756" i="2" a="1"/>
  <c r="I756" i="2" s="1"/>
  <c r="D756" i="2" a="1"/>
  <c r="D756" i="2" s="1"/>
  <c r="H756" i="2" a="1"/>
  <c r="H756" i="2" s="1"/>
  <c r="D755" i="2" a="1"/>
  <c r="D755" i="2" s="1"/>
  <c r="I755" i="2" a="1"/>
  <c r="I755" i="2" s="1"/>
  <c r="H755" i="2" a="1"/>
  <c r="H755" i="2" s="1"/>
  <c r="H754" i="2" a="1"/>
  <c r="H754" i="2" s="1"/>
  <c r="D754" i="2" a="1"/>
  <c r="D754" i="2" s="1"/>
  <c r="I754" i="2" a="1"/>
  <c r="I754" i="2" s="1"/>
  <c r="H753" i="2" a="1"/>
  <c r="H753" i="2" s="1"/>
  <c r="I753" i="2" a="1"/>
  <c r="I753" i="2" s="1"/>
  <c r="D753" i="2" a="1"/>
  <c r="D753" i="2" s="1"/>
  <c r="H752" i="2" a="1"/>
  <c r="H752" i="2" s="1"/>
  <c r="I752" i="2" a="1"/>
  <c r="I752" i="2" s="1"/>
  <c r="D752" i="2" a="1"/>
  <c r="D752" i="2" s="1"/>
  <c r="H751" i="2" a="1"/>
  <c r="H751" i="2" s="1"/>
  <c r="D751" i="2" a="1"/>
  <c r="D751" i="2" s="1"/>
  <c r="I751" i="2" a="1"/>
  <c r="I751" i="2" s="1"/>
  <c r="D750" i="2" a="1"/>
  <c r="D750" i="2" s="1"/>
  <c r="H750" i="2" a="1"/>
  <c r="H750" i="2" s="1"/>
  <c r="I750" i="2" a="1"/>
  <c r="I750" i="2" s="1"/>
  <c r="D749" i="2" a="1"/>
  <c r="D749" i="2" s="1"/>
  <c r="I749" i="2" a="1"/>
  <c r="I749" i="2" s="1"/>
  <c r="H749" i="2" a="1"/>
  <c r="H749" i="2" s="1"/>
  <c r="D748" i="2" a="1"/>
  <c r="D748" i="2" s="1"/>
  <c r="H748" i="2" a="1"/>
  <c r="H748" i="2" s="1"/>
  <c r="I748" i="2" a="1"/>
  <c r="I748" i="2" s="1"/>
  <c r="D747" i="2" a="1"/>
  <c r="D747" i="2" s="1"/>
  <c r="H747" i="2" a="1"/>
  <c r="H747" i="2" s="1"/>
  <c r="I747" i="2" a="1"/>
  <c r="I747" i="2" s="1"/>
  <c r="D746" i="2" a="1"/>
  <c r="D746" i="2" s="1"/>
  <c r="H746" i="2" a="1"/>
  <c r="H746" i="2" s="1"/>
  <c r="I746" i="2" a="1"/>
  <c r="I746" i="2" s="1"/>
  <c r="D745" i="2" a="1"/>
  <c r="D745" i="2" s="1"/>
  <c r="H745" i="2" a="1"/>
  <c r="H745" i="2" s="1"/>
  <c r="I745" i="2" a="1"/>
  <c r="I745" i="2" s="1"/>
  <c r="D744" i="2" a="1"/>
  <c r="D744" i="2" s="1"/>
  <c r="H744" i="2" a="1"/>
  <c r="H744" i="2" s="1"/>
  <c r="I744" i="2" a="1"/>
  <c r="I744" i="2" s="1"/>
  <c r="D743" i="2" a="1"/>
  <c r="D743" i="2" s="1"/>
  <c r="H743" i="2" a="1"/>
  <c r="H743" i="2" s="1"/>
  <c r="I743" i="2" a="1"/>
  <c r="I743" i="2" s="1"/>
  <c r="D741" i="2" a="1"/>
  <c r="D741" i="2" s="1"/>
  <c r="H741" i="2" a="1"/>
  <c r="H741" i="2" s="1"/>
  <c r="I741" i="2" a="1"/>
  <c r="I741" i="2" s="1"/>
  <c r="I740" i="2" a="1"/>
  <c r="I740" i="2" s="1"/>
  <c r="H740" i="2" a="1"/>
  <c r="H740" i="2" s="1"/>
  <c r="D740" i="2" a="1"/>
  <c r="D740" i="2" s="1"/>
  <c r="H739" i="2" a="1"/>
  <c r="H739" i="2" s="1"/>
  <c r="D739" i="2" a="1"/>
  <c r="D739" i="2" s="1"/>
  <c r="I739" i="2" a="1"/>
  <c r="I739" i="2" s="1"/>
  <c r="H738" i="2" a="1"/>
  <c r="H738" i="2" s="1"/>
  <c r="I738" i="2" a="1"/>
  <c r="I738" i="2" s="1"/>
  <c r="D738" i="2" a="1"/>
  <c r="D738" i="2" s="1"/>
  <c r="I737" i="2" a="1"/>
  <c r="I737" i="2" s="1"/>
  <c r="H737" i="2" a="1"/>
  <c r="H737" i="2" s="1"/>
  <c r="D737" i="2" a="1"/>
  <c r="D737" i="2" s="1"/>
  <c r="H736" i="2" a="1"/>
  <c r="H736" i="2" s="1"/>
  <c r="I736" i="2" a="1"/>
  <c r="I736" i="2" s="1"/>
  <c r="D736" i="2" a="1"/>
  <c r="D736" i="2" s="1"/>
  <c r="I735" i="2" a="1"/>
  <c r="I735" i="2" s="1"/>
  <c r="H735" i="2" a="1"/>
  <c r="H735" i="2" s="1"/>
  <c r="D735" i="2" a="1"/>
  <c r="D735" i="2" s="1"/>
  <c r="D734" i="2" a="1"/>
  <c r="D734" i="2" s="1"/>
  <c r="H734" i="2" a="1"/>
  <c r="H734" i="2" s="1"/>
  <c r="I734" i="2" a="1"/>
  <c r="I734" i="2" s="1"/>
  <c r="I733" i="2" a="1"/>
  <c r="I733" i="2" s="1"/>
  <c r="D733" i="2" a="1"/>
  <c r="D733" i="2" s="1"/>
  <c r="H733" i="2" a="1"/>
  <c r="H733" i="2" s="1"/>
  <c r="H732" i="2" a="1"/>
  <c r="H732" i="2" s="1"/>
  <c r="D732" i="2" a="1"/>
  <c r="D732" i="2" s="1"/>
  <c r="I732" i="2" a="1"/>
  <c r="I732" i="2" s="1"/>
  <c r="I731" i="2" a="1"/>
  <c r="I731" i="2" s="1"/>
  <c r="H731" i="2" a="1"/>
  <c r="H731" i="2" s="1"/>
  <c r="D731" i="2" a="1"/>
  <c r="D731" i="2" s="1"/>
  <c r="D730" i="2" a="1"/>
  <c r="D730" i="2" s="1"/>
  <c r="H730" i="2" a="1"/>
  <c r="H730" i="2" s="1"/>
  <c r="I730" i="2" a="1"/>
  <c r="I730" i="2" s="1"/>
  <c r="D729" i="2" a="1"/>
  <c r="D729" i="2" s="1"/>
  <c r="H729" i="2" a="1"/>
  <c r="H729" i="2" s="1"/>
  <c r="I729" i="2" a="1"/>
  <c r="I729" i="2" s="1"/>
  <c r="D728" i="2" a="1"/>
  <c r="D728" i="2" s="1"/>
  <c r="H728" i="2" a="1"/>
  <c r="H728" i="2" s="1"/>
  <c r="I728" i="2" a="1"/>
  <c r="I728" i="2" s="1"/>
  <c r="D727" i="2" a="1"/>
  <c r="D727" i="2" s="1"/>
  <c r="H727" i="2" a="1"/>
  <c r="H727" i="2" s="1"/>
  <c r="I727" i="2" a="1"/>
  <c r="I727" i="2" s="1"/>
  <c r="H726" i="2" a="1"/>
  <c r="H726" i="2" s="1"/>
  <c r="I726" i="2" a="1"/>
  <c r="I726" i="2" s="1"/>
  <c r="D726" i="2" a="1"/>
  <c r="D726" i="2" s="1"/>
  <c r="D725" i="2" a="1"/>
  <c r="D725" i="2" s="1"/>
  <c r="H725" i="2" a="1"/>
  <c r="H725" i="2" s="1"/>
  <c r="I725" i="2" a="1"/>
  <c r="I725" i="2" s="1"/>
  <c r="D724" i="2" a="1"/>
  <c r="D724" i="2" s="1"/>
  <c r="I724" i="2" a="1"/>
  <c r="I724" i="2" s="1"/>
  <c r="H724" i="2" a="1"/>
  <c r="H724" i="2" s="1"/>
  <c r="D723" i="2" a="1"/>
  <c r="D723" i="2" s="1"/>
  <c r="H723" i="2" a="1"/>
  <c r="H723" i="2" s="1"/>
  <c r="I723" i="2" a="1"/>
  <c r="I723" i="2" s="1"/>
  <c r="D722" i="2" a="1"/>
  <c r="D722" i="2" s="1"/>
  <c r="H722" i="2" a="1"/>
  <c r="H722" i="2" s="1"/>
  <c r="D721" i="2" a="1"/>
  <c r="D721" i="2" s="1"/>
  <c r="H721" i="2" a="1"/>
  <c r="H721" i="2" s="1"/>
  <c r="D720" i="2" a="1"/>
  <c r="D720" i="2" s="1"/>
  <c r="H720" i="2" a="1"/>
  <c r="H720" i="2" s="1"/>
  <c r="I720" i="2" a="1"/>
  <c r="I720" i="2" s="1"/>
  <c r="H719" i="2" a="1"/>
  <c r="H719" i="2" s="1"/>
  <c r="D719" i="2" a="1"/>
  <c r="D719" i="2" s="1"/>
  <c r="I719" i="2" a="1"/>
  <c r="I719" i="2" s="1"/>
  <c r="H718" i="2" a="1"/>
  <c r="H718" i="2" s="1"/>
  <c r="D718" i="2" a="1"/>
  <c r="D718" i="2" s="1"/>
  <c r="I718" i="2" a="1"/>
  <c r="I718" i="2" s="1"/>
  <c r="I717" i="2" a="1"/>
  <c r="I717" i="2" s="1"/>
  <c r="H717" i="2" a="1"/>
  <c r="H717" i="2" s="1"/>
  <c r="D717" i="2" a="1"/>
  <c r="D717" i="2" s="1"/>
  <c r="D716" i="2" a="1"/>
  <c r="D716" i="2" s="1"/>
  <c r="H716" i="2" a="1"/>
  <c r="H716" i="2" s="1"/>
  <c r="I716" i="2" a="1"/>
  <c r="I716" i="2" s="1"/>
  <c r="D715" i="2" a="1"/>
  <c r="D715" i="2" s="1"/>
  <c r="H715" i="2" a="1"/>
  <c r="H715" i="2" s="1"/>
  <c r="I715" i="2" a="1"/>
  <c r="I715" i="2" s="1"/>
  <c r="D714" i="2" a="1"/>
  <c r="D714" i="2" s="1"/>
  <c r="H714" i="2" a="1"/>
  <c r="H714" i="2" s="1"/>
  <c r="I714" i="2" a="1"/>
  <c r="I714" i="2" s="1"/>
  <c r="D713" i="2" a="1"/>
  <c r="D713" i="2" s="1"/>
  <c r="H713" i="2" a="1"/>
  <c r="H713" i="2" s="1"/>
  <c r="I713" i="2" a="1"/>
  <c r="I713" i="2" s="1"/>
  <c r="D712" i="2" a="1"/>
  <c r="D712" i="2" s="1"/>
  <c r="H712" i="2" a="1"/>
  <c r="H712" i="2" s="1"/>
  <c r="I712" i="2" a="1"/>
  <c r="I712" i="2" s="1"/>
  <c r="D711" i="2" a="1"/>
  <c r="D711" i="2" s="1"/>
  <c r="I711" i="2" a="1"/>
  <c r="I711" i="2" s="1"/>
  <c r="H711" i="2" a="1"/>
  <c r="H711" i="2" s="1"/>
  <c r="D709" i="2" a="1"/>
  <c r="D709" i="2" s="1"/>
  <c r="H709" i="2" a="1"/>
  <c r="H709" i="2" s="1"/>
  <c r="I709" i="2" a="1"/>
  <c r="I709" i="2" s="1"/>
  <c r="I708" i="2" a="1"/>
  <c r="I708" i="2" s="1"/>
  <c r="H708" i="2" a="1"/>
  <c r="H708" i="2" s="1"/>
  <c r="D708" i="2" a="1"/>
  <c r="D708" i="2" s="1"/>
  <c r="I707" i="2" a="1"/>
  <c r="I707" i="2" s="1"/>
  <c r="D707" i="2" a="1"/>
  <c r="D707" i="2" s="1"/>
  <c r="H707" i="2" a="1"/>
  <c r="H707" i="2" s="1"/>
  <c r="D706" i="2" a="1"/>
  <c r="D706" i="2" s="1"/>
  <c r="H706" i="2" a="1"/>
  <c r="H706" i="2" s="1"/>
  <c r="I706" i="2" a="1"/>
  <c r="I706" i="2" s="1"/>
  <c r="I705" i="2" a="1"/>
  <c r="I705" i="2" s="1"/>
  <c r="H705" i="2" a="1"/>
  <c r="H705" i="2" s="1"/>
  <c r="D705" i="2" a="1"/>
  <c r="D705" i="2" s="1"/>
  <c r="I704" i="2" a="1"/>
  <c r="I704" i="2" s="1"/>
  <c r="H704" i="2" a="1"/>
  <c r="H704" i="2" s="1"/>
  <c r="D704" i="2" a="1"/>
  <c r="D704" i="2" s="1"/>
  <c r="H703" i="2" a="1"/>
  <c r="H703" i="2" s="1"/>
  <c r="D703" i="2" a="1"/>
  <c r="D703" i="2" s="1"/>
  <c r="I703" i="2" a="1"/>
  <c r="I703" i="2" s="1"/>
  <c r="H702" i="2" a="1"/>
  <c r="H702" i="2" s="1"/>
  <c r="D702" i="2" a="1"/>
  <c r="D702" i="2" s="1"/>
  <c r="I702" i="2" a="1"/>
  <c r="I702" i="2" s="1"/>
  <c r="I701" i="2" a="1"/>
  <c r="I701" i="2" s="1"/>
  <c r="H701" i="2" a="1"/>
  <c r="H701" i="2" s="1"/>
  <c r="D701" i="2" a="1"/>
  <c r="D701" i="2" s="1"/>
  <c r="I700" i="2" a="1"/>
  <c r="I700" i="2" s="1"/>
  <c r="D700" i="2" a="1"/>
  <c r="D700" i="2" s="1"/>
  <c r="H700" i="2" a="1"/>
  <c r="H700" i="2" s="1"/>
  <c r="D699" i="2" a="1"/>
  <c r="D699" i="2" s="1"/>
  <c r="H699" i="2" a="1"/>
  <c r="H699" i="2" s="1"/>
  <c r="I699" i="2" a="1"/>
  <c r="I699" i="2" s="1"/>
  <c r="D698" i="2" a="1"/>
  <c r="D698" i="2" s="1"/>
  <c r="H698" i="2" a="1"/>
  <c r="H698" i="2" s="1"/>
  <c r="I698" i="2" a="1"/>
  <c r="I698" i="2" s="1"/>
  <c r="I697" i="2" a="1"/>
  <c r="I697" i="2" s="1"/>
  <c r="H697" i="2" a="1"/>
  <c r="H697" i="2" s="1"/>
  <c r="D697" i="2" a="1"/>
  <c r="D697" i="2" s="1"/>
  <c r="D696" i="2" a="1"/>
  <c r="D696" i="2" s="1"/>
  <c r="I696" i="2" a="1"/>
  <c r="I696" i="2" s="1"/>
  <c r="H696" i="2" a="1"/>
  <c r="H696" i="2" s="1"/>
  <c r="I695" i="2" a="1"/>
  <c r="I695" i="2" s="1"/>
  <c r="H695" i="2" a="1"/>
  <c r="H695" i="2" s="1"/>
  <c r="D695" i="2" a="1"/>
  <c r="D695" i="2" s="1"/>
  <c r="D694" i="2" a="1"/>
  <c r="D694" i="2" s="1"/>
  <c r="H694" i="2" a="1"/>
  <c r="H694" i="2" s="1"/>
  <c r="I694" i="2" a="1"/>
  <c r="I694" i="2" s="1"/>
  <c r="I693" i="2" a="1"/>
  <c r="I693" i="2" s="1"/>
  <c r="H693" i="2" a="1"/>
  <c r="H693" i="2" s="1"/>
  <c r="D693" i="2" a="1"/>
  <c r="D693" i="2" s="1"/>
  <c r="D692" i="2" a="1"/>
  <c r="D692" i="2" s="1"/>
  <c r="I692" i="2" a="1"/>
  <c r="I692" i="2" s="1"/>
  <c r="H692" i="2" a="1"/>
  <c r="H692" i="2" s="1"/>
  <c r="D691" i="2" a="1"/>
  <c r="D691" i="2" s="1"/>
  <c r="H691" i="2" a="1"/>
  <c r="H691" i="2" s="1"/>
  <c r="I691" i="2" a="1"/>
  <c r="I691" i="2" s="1"/>
  <c r="H690" i="2" a="1"/>
  <c r="H690" i="2" s="1"/>
  <c r="D690" i="2" a="1"/>
  <c r="D690" i="2" s="1"/>
  <c r="H689" i="2" a="1"/>
  <c r="H689" i="2" s="1"/>
  <c r="D689" i="2" a="1"/>
  <c r="D689" i="2" s="1"/>
  <c r="I688" i="2" a="1"/>
  <c r="I688" i="2" s="1"/>
  <c r="H688" i="2" a="1"/>
  <c r="H688" i="2" s="1"/>
  <c r="D688" i="2" a="1"/>
  <c r="D688" i="2" s="1"/>
  <c r="I687" i="2" a="1"/>
  <c r="I687" i="2" s="1"/>
  <c r="H687" i="2" a="1"/>
  <c r="H687" i="2" s="1"/>
  <c r="D687" i="2" a="1"/>
  <c r="D687" i="2" s="1"/>
  <c r="I686" i="2" a="1"/>
  <c r="I686" i="2" s="1"/>
  <c r="H686" i="2" a="1"/>
  <c r="H686" i="2" s="1"/>
  <c r="D686" i="2" a="1"/>
  <c r="D686" i="2" s="1"/>
  <c r="D685" i="2" a="1"/>
  <c r="D685" i="2" s="1"/>
  <c r="I685" i="2" a="1"/>
  <c r="I685" i="2" s="1"/>
  <c r="H685" i="2" a="1"/>
  <c r="H685" i="2" s="1"/>
  <c r="D684" i="2" a="1"/>
  <c r="D684" i="2" s="1"/>
  <c r="H684" i="2" a="1"/>
  <c r="H684" i="2" s="1"/>
  <c r="I684" i="2" a="1"/>
  <c r="I684" i="2" s="1"/>
  <c r="D683" i="2" a="1"/>
  <c r="D683" i="2" s="1"/>
  <c r="H683" i="2" a="1"/>
  <c r="H683" i="2" s="1"/>
  <c r="I683" i="2" a="1"/>
  <c r="I683" i="2" s="1"/>
  <c r="D682" i="2" a="1"/>
  <c r="D682" i="2" s="1"/>
  <c r="H682" i="2" a="1"/>
  <c r="H682" i="2" s="1"/>
  <c r="I682" i="2" a="1"/>
  <c r="I682" i="2" s="1"/>
  <c r="D681" i="2" a="1"/>
  <c r="D681" i="2" s="1"/>
  <c r="H681" i="2" a="1"/>
  <c r="H681" i="2" s="1"/>
  <c r="I681" i="2" a="1"/>
  <c r="I681" i="2" s="1"/>
  <c r="H680" i="2" a="1"/>
  <c r="H680" i="2" s="1"/>
  <c r="D680" i="2" a="1"/>
  <c r="D680" i="2" s="1"/>
  <c r="I680" i="2" a="1"/>
  <c r="I680" i="2" s="1"/>
  <c r="D679" i="2" a="1"/>
  <c r="D679" i="2" s="1"/>
  <c r="H679" i="2" a="1"/>
  <c r="H679" i="2" s="1"/>
  <c r="I679" i="2" a="1"/>
  <c r="I679" i="2" s="1"/>
  <c r="D677" i="2" a="1"/>
  <c r="D677" i="2" s="1"/>
  <c r="H677" i="2" a="1"/>
  <c r="H677" i="2" s="1"/>
  <c r="I677" i="2" a="1"/>
  <c r="I677" i="2" s="1"/>
  <c r="D676" i="2" a="1"/>
  <c r="D676" i="2" s="1"/>
  <c r="H676" i="2" a="1"/>
  <c r="H676" i="2" s="1"/>
  <c r="I676" i="2" a="1"/>
  <c r="I676" i="2" s="1"/>
  <c r="H675" i="2" a="1"/>
  <c r="H675" i="2" s="1"/>
  <c r="I675" i="2" a="1"/>
  <c r="I675" i="2" s="1"/>
  <c r="D675" i="2" a="1"/>
  <c r="D675" i="2" s="1"/>
  <c r="D674" i="2" a="1"/>
  <c r="D674" i="2" s="1"/>
  <c r="H674" i="2" a="1"/>
  <c r="H674" i="2" s="1"/>
  <c r="I674" i="2" a="1"/>
  <c r="I674" i="2" s="1"/>
  <c r="D673" i="2" a="1"/>
  <c r="D673" i="2" s="1"/>
  <c r="H673" i="2" a="1"/>
  <c r="H673" i="2" s="1"/>
  <c r="I673" i="2" a="1"/>
  <c r="I673" i="2" s="1"/>
  <c r="I672" i="2" a="1"/>
  <c r="I672" i="2" s="1"/>
  <c r="D672" i="2" a="1"/>
  <c r="D672" i="2" s="1"/>
  <c r="H672" i="2" a="1"/>
  <c r="H672" i="2" s="1"/>
  <c r="H671" i="2" a="1"/>
  <c r="H671" i="2" s="1"/>
  <c r="I671" i="2" a="1"/>
  <c r="I671" i="2" s="1"/>
  <c r="D671" i="2" a="1"/>
  <c r="D671" i="2" s="1"/>
  <c r="H670" i="2" a="1"/>
  <c r="H670" i="2" s="1"/>
  <c r="I670" i="2" a="1"/>
  <c r="I670" i="2" s="1"/>
  <c r="D670" i="2" a="1"/>
  <c r="D670" i="2" s="1"/>
  <c r="D669" i="2" a="1"/>
  <c r="D669" i="2" s="1"/>
  <c r="H669" i="2" a="1"/>
  <c r="H669" i="2" s="1"/>
  <c r="I669" i="2" a="1"/>
  <c r="I669" i="2" s="1"/>
  <c r="H668" i="2" a="1"/>
  <c r="H668" i="2" s="1"/>
  <c r="D668" i="2" a="1"/>
  <c r="D668" i="2" s="1"/>
  <c r="I668" i="2" a="1"/>
  <c r="I668" i="2" s="1"/>
  <c r="H667" i="2" a="1"/>
  <c r="H667" i="2" s="1"/>
  <c r="D667" i="2" a="1"/>
  <c r="D667" i="2" s="1"/>
  <c r="I667" i="2" a="1"/>
  <c r="I667" i="2" s="1"/>
  <c r="I666" i="2" a="1"/>
  <c r="I666" i="2" s="1"/>
  <c r="H666" i="2" a="1"/>
  <c r="H666" i="2" s="1"/>
  <c r="D666" i="2" a="1"/>
  <c r="D666" i="2" s="1"/>
  <c r="H665" i="2" a="1"/>
  <c r="H665" i="2" s="1"/>
  <c r="D665" i="2" a="1"/>
  <c r="D665" i="2" s="1"/>
  <c r="I665" i="2" a="1"/>
  <c r="I665" i="2" s="1"/>
  <c r="H664" i="2" a="1"/>
  <c r="H664" i="2" s="1"/>
  <c r="D664" i="2" a="1"/>
  <c r="D664" i="2" s="1"/>
  <c r="I664" i="2" a="1"/>
  <c r="I664" i="2" s="1"/>
  <c r="D663" i="2" a="1"/>
  <c r="D663" i="2" s="1"/>
  <c r="H663" i="2" a="1"/>
  <c r="H663" i="2" s="1"/>
  <c r="I663" i="2" a="1"/>
  <c r="I663" i="2" s="1"/>
  <c r="I662" i="2" a="1"/>
  <c r="I662" i="2" s="1"/>
  <c r="H662" i="2" a="1"/>
  <c r="H662" i="2" s="1"/>
  <c r="D662" i="2" a="1"/>
  <c r="D662" i="2" s="1"/>
  <c r="H661" i="2" a="1"/>
  <c r="H661" i="2" s="1"/>
  <c r="D661" i="2" a="1"/>
  <c r="D661" i="2" s="1"/>
  <c r="I661" i="2" a="1"/>
  <c r="I661" i="2" s="1"/>
  <c r="I660" i="2" a="1"/>
  <c r="I660" i="2" s="1"/>
  <c r="H660" i="2" a="1"/>
  <c r="H660" i="2" s="1"/>
  <c r="D660" i="2" a="1"/>
  <c r="D660" i="2" s="1"/>
  <c r="I659" i="2" a="1"/>
  <c r="I659" i="2" s="1"/>
  <c r="H659" i="2" a="1"/>
  <c r="H659" i="2" s="1"/>
  <c r="D659" i="2" a="1"/>
  <c r="D659" i="2" s="1"/>
  <c r="H658" i="2" a="1"/>
  <c r="H658" i="2" s="1"/>
  <c r="D658" i="2" a="1"/>
  <c r="D658" i="2" s="1"/>
  <c r="D657" i="2" a="1"/>
  <c r="D657" i="2" s="1"/>
  <c r="H657" i="2" a="1"/>
  <c r="H657" i="2" s="1"/>
  <c r="I656" i="2" a="1"/>
  <c r="I656" i="2" s="1"/>
  <c r="D656" i="2" a="1"/>
  <c r="D656" i="2" s="1"/>
  <c r="H656" i="2" a="1"/>
  <c r="H656" i="2" s="1"/>
  <c r="D655" i="2" a="1"/>
  <c r="D655" i="2" s="1"/>
  <c r="H655" i="2" a="1"/>
  <c r="H655" i="2" s="1"/>
  <c r="I655" i="2" a="1"/>
  <c r="I655" i="2" s="1"/>
  <c r="D654" i="2" a="1"/>
  <c r="D654" i="2" s="1"/>
  <c r="H654" i="2" a="1"/>
  <c r="H654" i="2" s="1"/>
  <c r="I654" i="2" a="1"/>
  <c r="I654" i="2" s="1"/>
  <c r="I653" i="2" a="1"/>
  <c r="I653" i="2" s="1"/>
  <c r="H653" i="2" a="1"/>
  <c r="H653" i="2" s="1"/>
  <c r="D653" i="2" a="1"/>
  <c r="D653" i="2" s="1"/>
  <c r="D652" i="2" a="1"/>
  <c r="D652" i="2" s="1"/>
  <c r="H652" i="2" a="1"/>
  <c r="H652" i="2" s="1"/>
  <c r="I652" i="2" a="1"/>
  <c r="I652" i="2" s="1"/>
  <c r="I651" i="2" a="1"/>
  <c r="I651" i="2" s="1"/>
  <c r="D651" i="2" a="1"/>
  <c r="D651" i="2" s="1"/>
  <c r="H651" i="2" a="1"/>
  <c r="H651" i="2" s="1"/>
  <c r="H650" i="2" a="1"/>
  <c r="H650" i="2" s="1"/>
  <c r="I650" i="2" a="1"/>
  <c r="I650" i="2" s="1"/>
  <c r="D650" i="2" a="1"/>
  <c r="D650" i="2" s="1"/>
  <c r="D649" i="2" a="1"/>
  <c r="D649" i="2" s="1"/>
  <c r="H649" i="2" a="1"/>
  <c r="H649" i="2" s="1"/>
  <c r="I649" i="2" a="1"/>
  <c r="I649" i="2" s="1"/>
  <c r="D648" i="2" a="1"/>
  <c r="D648" i="2" s="1"/>
  <c r="I648" i="2" a="1"/>
  <c r="I648" i="2" s="1"/>
  <c r="H648" i="2" a="1"/>
  <c r="H648" i="2" s="1"/>
  <c r="I647" i="2" a="1"/>
  <c r="I647" i="2" s="1"/>
  <c r="H647" i="2" a="1"/>
  <c r="H647" i="2" s="1"/>
  <c r="D647" i="2" a="1"/>
  <c r="D647" i="2" s="1"/>
  <c r="I645" i="2" a="1"/>
  <c r="I645" i="2" s="1"/>
  <c r="H645" i="2" a="1"/>
  <c r="H645" i="2" s="1"/>
  <c r="D645" i="2" a="1"/>
  <c r="D645" i="2" s="1"/>
  <c r="D644" i="2" a="1"/>
  <c r="D644" i="2" s="1"/>
  <c r="H644" i="2" a="1"/>
  <c r="H644" i="2" s="1"/>
  <c r="I644" i="2" a="1"/>
  <c r="I644" i="2" s="1"/>
  <c r="H643" i="2" a="1"/>
  <c r="H643" i="2" s="1"/>
  <c r="D643" i="2" a="1"/>
  <c r="D643" i="2" s="1"/>
  <c r="I643" i="2" a="1"/>
  <c r="I643" i="2" s="1"/>
  <c r="H642" i="2" a="1"/>
  <c r="H642" i="2" s="1"/>
  <c r="I642" i="2" a="1"/>
  <c r="I642" i="2" s="1"/>
  <c r="D642" i="2" a="1"/>
  <c r="D642" i="2" s="1"/>
  <c r="I641" i="2" a="1"/>
  <c r="I641" i="2" s="1"/>
  <c r="D641" i="2" a="1"/>
  <c r="D641" i="2" s="1"/>
  <c r="H641" i="2" a="1"/>
  <c r="H641" i="2" s="1"/>
  <c r="I640" i="2" a="1"/>
  <c r="I640" i="2" s="1"/>
  <c r="D640" i="2" a="1"/>
  <c r="D640" i="2" s="1"/>
  <c r="H640" i="2" a="1"/>
  <c r="H640" i="2" s="1"/>
  <c r="I639" i="2" a="1"/>
  <c r="I639" i="2" s="1"/>
  <c r="D639" i="2" a="1"/>
  <c r="D639" i="2" s="1"/>
  <c r="H639" i="2" a="1"/>
  <c r="H639" i="2" s="1"/>
  <c r="I638" i="2" a="1"/>
  <c r="I638" i="2" s="1"/>
  <c r="H638" i="2" a="1"/>
  <c r="H638" i="2" s="1"/>
  <c r="D638" i="2" a="1"/>
  <c r="D638" i="2" s="1"/>
  <c r="H637" i="2" a="1"/>
  <c r="H637" i="2" s="1"/>
  <c r="I637" i="2" a="1"/>
  <c r="I637" i="2" s="1"/>
  <c r="D637" i="2" a="1"/>
  <c r="D637" i="2" s="1"/>
  <c r="I636" i="2" a="1"/>
  <c r="I636" i="2" s="1"/>
  <c r="H636" i="2" a="1"/>
  <c r="H636" i="2" s="1"/>
  <c r="D636" i="2" a="1"/>
  <c r="D636" i="2" s="1"/>
  <c r="I635" i="2" a="1"/>
  <c r="I635" i="2" s="1"/>
  <c r="H635" i="2" a="1"/>
  <c r="H635" i="2" s="1"/>
  <c r="D635" i="2" a="1"/>
  <c r="D635" i="2" s="1"/>
  <c r="D634" i="2" a="1"/>
  <c r="D634" i="2" s="1"/>
  <c r="H634" i="2" a="1"/>
  <c r="H634" i="2" s="1"/>
  <c r="I634" i="2" a="1"/>
  <c r="I634" i="2" s="1"/>
  <c r="D633" i="2" a="1"/>
  <c r="D633" i="2" s="1"/>
  <c r="I633" i="2" a="1"/>
  <c r="I633" i="2" s="1"/>
  <c r="H633" i="2" a="1"/>
  <c r="H633" i="2" s="1"/>
  <c r="D632" i="2" a="1"/>
  <c r="D632" i="2" s="1"/>
  <c r="I632" i="2" a="1"/>
  <c r="I632" i="2" s="1"/>
  <c r="H632" i="2" a="1"/>
  <c r="H632" i="2" s="1"/>
  <c r="I631" i="2" a="1"/>
  <c r="I631" i="2" s="1"/>
  <c r="H631" i="2" a="1"/>
  <c r="H631" i="2" s="1"/>
  <c r="D631" i="2" a="1"/>
  <c r="D631" i="2" s="1"/>
  <c r="I630" i="2" a="1"/>
  <c r="I630" i="2" s="1"/>
  <c r="H630" i="2" a="1"/>
  <c r="H630" i="2" s="1"/>
  <c r="D630" i="2" a="1"/>
  <c r="D630" i="2" s="1"/>
  <c r="I629" i="2" a="1"/>
  <c r="I629" i="2" s="1"/>
  <c r="D629" i="2" a="1"/>
  <c r="D629" i="2" s="1"/>
  <c r="H629" i="2" a="1"/>
  <c r="H629" i="2" s="1"/>
  <c r="H628" i="2" a="1"/>
  <c r="H628" i="2" s="1"/>
  <c r="I628" i="2" a="1"/>
  <c r="I628" i="2" s="1"/>
  <c r="D628" i="2" a="1"/>
  <c r="D628" i="2" s="1"/>
  <c r="D627" i="2" a="1"/>
  <c r="D627" i="2" s="1"/>
  <c r="H627" i="2" a="1"/>
  <c r="H627" i="2" s="1"/>
  <c r="I627" i="2" a="1"/>
  <c r="I627" i="2" s="1"/>
  <c r="H626" i="2" a="1"/>
  <c r="H626" i="2" s="1"/>
  <c r="D626" i="2" a="1"/>
  <c r="D626" i="2" s="1"/>
  <c r="D625" i="2" a="1"/>
  <c r="D625" i="2" s="1"/>
  <c r="H625" i="2" a="1"/>
  <c r="H625" i="2" s="1"/>
  <c r="I624" i="2" a="1"/>
  <c r="I624" i="2" s="1"/>
  <c r="H624" i="2" a="1"/>
  <c r="H624" i="2" s="1"/>
  <c r="D624" i="2" a="1"/>
  <c r="D624" i="2" s="1"/>
  <c r="I623" i="2" a="1"/>
  <c r="I623" i="2" s="1"/>
  <c r="H623" i="2" a="1"/>
  <c r="H623" i="2" s="1"/>
  <c r="D623" i="2" a="1"/>
  <c r="D623" i="2" s="1"/>
  <c r="I622" i="2" a="1"/>
  <c r="I622" i="2" s="1"/>
  <c r="H622" i="2" a="1"/>
  <c r="H622" i="2" s="1"/>
  <c r="D622" i="2" a="1"/>
  <c r="D622" i="2" s="1"/>
  <c r="I621" i="2" a="1"/>
  <c r="I621" i="2" s="1"/>
  <c r="H621" i="2" a="1"/>
  <c r="H621" i="2" s="1"/>
  <c r="D621" i="2" a="1"/>
  <c r="D621" i="2" s="1"/>
  <c r="I620" i="2" a="1"/>
  <c r="I620" i="2" s="1"/>
  <c r="H620" i="2" a="1"/>
  <c r="H620" i="2" s="1"/>
  <c r="D620" i="2" a="1"/>
  <c r="D620" i="2" s="1"/>
  <c r="I619" i="2" a="1"/>
  <c r="I619" i="2" s="1"/>
  <c r="H619" i="2" a="1"/>
  <c r="H619" i="2" s="1"/>
  <c r="D619" i="2" a="1"/>
  <c r="D619" i="2" s="1"/>
  <c r="D618" i="2" a="1"/>
  <c r="D618" i="2" s="1"/>
  <c r="H618" i="2" a="1"/>
  <c r="H618" i="2" s="1"/>
  <c r="I618" i="2" a="1"/>
  <c r="I618" i="2" s="1"/>
  <c r="H617" i="2" a="1"/>
  <c r="H617" i="2" s="1"/>
  <c r="I617" i="2" a="1"/>
  <c r="I617" i="2" s="1"/>
  <c r="D617" i="2" a="1"/>
  <c r="D617" i="2" s="1"/>
  <c r="D616" i="2" a="1"/>
  <c r="D616" i="2" s="1"/>
  <c r="H616" i="2" a="1"/>
  <c r="H616" i="2" s="1"/>
  <c r="I616" i="2" a="1"/>
  <c r="I616" i="2" s="1"/>
  <c r="D615" i="2" a="1"/>
  <c r="D615" i="2" s="1"/>
  <c r="H615" i="2" a="1"/>
  <c r="H615" i="2" s="1"/>
  <c r="I615" i="2" a="1"/>
  <c r="I615" i="2" s="1"/>
  <c r="H613" i="2" a="1"/>
  <c r="H613" i="2" s="1"/>
  <c r="D613" i="2" a="1"/>
  <c r="D613" i="2" s="1"/>
  <c r="I613" i="2" a="1"/>
  <c r="I613" i="2" s="1"/>
  <c r="D612" i="2" a="1"/>
  <c r="D612" i="2" s="1"/>
  <c r="H612" i="2" a="1"/>
  <c r="H612" i="2" s="1"/>
  <c r="I612" i="2" a="1"/>
  <c r="I612" i="2" s="1"/>
  <c r="D611" i="2" a="1"/>
  <c r="D611" i="2" s="1"/>
  <c r="H611" i="2" a="1"/>
  <c r="H611" i="2" s="1"/>
  <c r="I611" i="2" a="1"/>
  <c r="I611" i="2" s="1"/>
  <c r="I610" i="2" a="1"/>
  <c r="I610" i="2" s="1"/>
  <c r="D610" i="2" a="1"/>
  <c r="D610" i="2" s="1"/>
  <c r="H610" i="2" a="1"/>
  <c r="H610" i="2" s="1"/>
  <c r="D609" i="2" a="1"/>
  <c r="D609" i="2" s="1"/>
  <c r="H609" i="2" a="1"/>
  <c r="H609" i="2" s="1"/>
  <c r="I609" i="2" a="1"/>
  <c r="I609" i="2" s="1"/>
  <c r="I608" i="2" a="1"/>
  <c r="I608" i="2" s="1"/>
  <c r="H608" i="2" a="1"/>
  <c r="H608" i="2" s="1"/>
  <c r="D608" i="2" a="1"/>
  <c r="D608" i="2" s="1"/>
  <c r="D607" i="2" a="1"/>
  <c r="D607" i="2" s="1"/>
  <c r="I607" i="2" a="1"/>
  <c r="I607" i="2" s="1"/>
  <c r="H607" i="2" a="1"/>
  <c r="H607" i="2" s="1"/>
  <c r="I606" i="2" a="1"/>
  <c r="I606" i="2" s="1"/>
  <c r="H606" i="2" a="1"/>
  <c r="H606" i="2" s="1"/>
  <c r="D606" i="2" a="1"/>
  <c r="D606" i="2" s="1"/>
  <c r="I605" i="2" a="1"/>
  <c r="I605" i="2" s="1"/>
  <c r="H605" i="2" a="1"/>
  <c r="H605" i="2" s="1"/>
  <c r="D605" i="2" a="1"/>
  <c r="D605" i="2" s="1"/>
  <c r="I604" i="2" a="1"/>
  <c r="I604" i="2" s="1"/>
  <c r="H604" i="2" a="1"/>
  <c r="H604" i="2" s="1"/>
  <c r="D604" i="2" a="1"/>
  <c r="D604" i="2" s="1"/>
  <c r="H603" i="2" a="1"/>
  <c r="H603" i="2" s="1"/>
  <c r="D603" i="2" a="1"/>
  <c r="D603" i="2" s="1"/>
  <c r="I603" i="2" a="1"/>
  <c r="I603" i="2" s="1"/>
  <c r="I602" i="2" a="1"/>
  <c r="I602" i="2" s="1"/>
  <c r="H602" i="2" a="1"/>
  <c r="H602" i="2" s="1"/>
  <c r="D602" i="2" a="1"/>
  <c r="D602" i="2" s="1"/>
  <c r="I601" i="2" a="1"/>
  <c r="I601" i="2" s="1"/>
  <c r="D601" i="2" a="1"/>
  <c r="D601" i="2" s="1"/>
  <c r="H601" i="2" a="1"/>
  <c r="H601" i="2" s="1"/>
  <c r="I600" i="2" a="1"/>
  <c r="I600" i="2" s="1"/>
  <c r="H600" i="2" a="1"/>
  <c r="H600" i="2" s="1"/>
  <c r="D600" i="2" a="1"/>
  <c r="D600" i="2" s="1"/>
  <c r="H599" i="2" a="1"/>
  <c r="H599" i="2" s="1"/>
  <c r="D599" i="2" a="1"/>
  <c r="D599" i="2" s="1"/>
  <c r="I599" i="2" a="1"/>
  <c r="I599" i="2" s="1"/>
  <c r="D598" i="2" a="1"/>
  <c r="D598" i="2" s="1"/>
  <c r="H598" i="2" a="1"/>
  <c r="H598" i="2" s="1"/>
  <c r="I598" i="2" a="1"/>
  <c r="I598" i="2" s="1"/>
  <c r="D597" i="2" a="1"/>
  <c r="D597" i="2" s="1"/>
  <c r="H597" i="2" a="1"/>
  <c r="H597" i="2" s="1"/>
  <c r="I597" i="2" a="1"/>
  <c r="I597" i="2" s="1"/>
  <c r="I596" i="2" a="1"/>
  <c r="I596" i="2" s="1"/>
  <c r="D596" i="2" a="1"/>
  <c r="D596" i="2" s="1"/>
  <c r="H596" i="2" a="1"/>
  <c r="H596" i="2" s="1"/>
  <c r="H595" i="2" a="1"/>
  <c r="H595" i="2" s="1"/>
  <c r="I595" i="2" a="1"/>
  <c r="I595" i="2" s="1"/>
  <c r="D595" i="2" a="1"/>
  <c r="D595" i="2" s="1"/>
  <c r="H594" i="2" a="1"/>
  <c r="H594" i="2" s="1"/>
  <c r="D594" i="2" a="1"/>
  <c r="D594" i="2" s="1"/>
  <c r="D593" i="2" a="1"/>
  <c r="D593" i="2" s="1"/>
  <c r="H593" i="2" a="1"/>
  <c r="H593" i="2" s="1"/>
  <c r="I592" i="2" a="1"/>
  <c r="I592" i="2" s="1"/>
  <c r="D592" i="2" a="1"/>
  <c r="D592" i="2" s="1"/>
  <c r="H592" i="2" a="1"/>
  <c r="H592" i="2" s="1"/>
  <c r="I591" i="2" a="1"/>
  <c r="I591" i="2" s="1"/>
  <c r="D591" i="2" a="1"/>
  <c r="D591" i="2" s="1"/>
  <c r="H591" i="2" a="1"/>
  <c r="H591" i="2" s="1"/>
  <c r="H590" i="2" a="1"/>
  <c r="H590" i="2" s="1"/>
  <c r="I590" i="2" a="1"/>
  <c r="I590" i="2" s="1"/>
  <c r="D590" i="2" a="1"/>
  <c r="D590" i="2" s="1"/>
  <c r="D589" i="2" a="1"/>
  <c r="D589" i="2" s="1"/>
  <c r="I589" i="2" a="1"/>
  <c r="I589" i="2" s="1"/>
  <c r="H589" i="2" a="1"/>
  <c r="H589" i="2" s="1"/>
  <c r="D588" i="2" a="1"/>
  <c r="D588" i="2" s="1"/>
  <c r="I588" i="2" a="1"/>
  <c r="I588" i="2" s="1"/>
  <c r="H588" i="2" a="1"/>
  <c r="H588" i="2" s="1"/>
  <c r="I587" i="2" a="1"/>
  <c r="I587" i="2" s="1"/>
  <c r="D587" i="2" a="1"/>
  <c r="D587" i="2" s="1"/>
  <c r="H587" i="2" a="1"/>
  <c r="H587" i="2" s="1"/>
  <c r="D586" i="2" a="1"/>
  <c r="D586" i="2" s="1"/>
  <c r="I586" i="2" a="1"/>
  <c r="I586" i="2" s="1"/>
  <c r="H586" i="2" a="1"/>
  <c r="H586" i="2" s="1"/>
  <c r="H585" i="2" a="1"/>
  <c r="H585" i="2" s="1"/>
  <c r="D585" i="2" a="1"/>
  <c r="D585" i="2" s="1"/>
  <c r="I585" i="2" a="1"/>
  <c r="I585" i="2" s="1"/>
  <c r="I584" i="2" a="1"/>
  <c r="I584" i="2" s="1"/>
  <c r="H584" i="2" a="1"/>
  <c r="H584" i="2" s="1"/>
  <c r="D584" i="2" a="1"/>
  <c r="D584" i="2" s="1"/>
  <c r="H583" i="2" a="1"/>
  <c r="H583" i="2" s="1"/>
  <c r="D583" i="2" a="1"/>
  <c r="D583" i="2" s="1"/>
  <c r="I583" i="2" a="1"/>
  <c r="I583" i="2" s="1"/>
  <c r="I581" i="2" a="1"/>
  <c r="I581" i="2" s="1"/>
  <c r="D581" i="2" a="1"/>
  <c r="D581" i="2" s="1"/>
  <c r="H581" i="2" a="1"/>
  <c r="H581" i="2" s="1"/>
  <c r="H580" i="2" a="1"/>
  <c r="H580" i="2" s="1"/>
  <c r="I580" i="2" a="1"/>
  <c r="I580" i="2" s="1"/>
  <c r="D580" i="2" a="1"/>
  <c r="D580" i="2" s="1"/>
  <c r="I579" i="2" a="1"/>
  <c r="I579" i="2" s="1"/>
  <c r="D579" i="2" a="1"/>
  <c r="D579" i="2" s="1"/>
  <c r="H579" i="2" a="1"/>
  <c r="H579" i="2" s="1"/>
  <c r="H578" i="2" a="1"/>
  <c r="H578" i="2" s="1"/>
  <c r="I578" i="2" a="1"/>
  <c r="I578" i="2" s="1"/>
  <c r="D578" i="2" a="1"/>
  <c r="D578" i="2" s="1"/>
  <c r="I577" i="2" a="1"/>
  <c r="I577" i="2" s="1"/>
  <c r="H577" i="2" a="1"/>
  <c r="H577" i="2" s="1"/>
  <c r="D577" i="2" a="1"/>
  <c r="D577" i="2" s="1"/>
  <c r="I576" i="2" a="1"/>
  <c r="I576" i="2" s="1"/>
  <c r="D576" i="2" a="1"/>
  <c r="D576" i="2" s="1"/>
  <c r="H576" i="2" a="1"/>
  <c r="H576" i="2" s="1"/>
  <c r="H575" i="2" a="1"/>
  <c r="H575" i="2" s="1"/>
  <c r="I575" i="2" a="1"/>
  <c r="I575" i="2" s="1"/>
  <c r="D575" i="2" a="1"/>
  <c r="D575" i="2" s="1"/>
  <c r="I574" i="2" a="1"/>
  <c r="I574" i="2" s="1"/>
  <c r="D574" i="2" a="1"/>
  <c r="D574" i="2" s="1"/>
  <c r="H574" i="2" a="1"/>
  <c r="H574" i="2" s="1"/>
  <c r="D573" i="2" a="1"/>
  <c r="D573" i="2" s="1"/>
  <c r="I573" i="2" a="1"/>
  <c r="I573" i="2" s="1"/>
  <c r="H573" i="2" a="1"/>
  <c r="H573" i="2" s="1"/>
  <c r="H572" i="2" a="1"/>
  <c r="H572" i="2" s="1"/>
  <c r="I572" i="2" a="1"/>
  <c r="I572" i="2" s="1"/>
  <c r="D572" i="2" a="1"/>
  <c r="D572" i="2" s="1"/>
  <c r="D571" i="2" a="1"/>
  <c r="D571" i="2" s="1"/>
  <c r="H571" i="2" a="1"/>
  <c r="H571" i="2" s="1"/>
  <c r="I571" i="2" a="1"/>
  <c r="I571" i="2" s="1"/>
  <c r="I570" i="2" a="1"/>
  <c r="I570" i="2" s="1"/>
  <c r="H570" i="2" a="1"/>
  <c r="H570" i="2" s="1"/>
  <c r="D570" i="2" a="1"/>
  <c r="D570" i="2" s="1"/>
  <c r="I569" i="2" a="1"/>
  <c r="I569" i="2" s="1"/>
  <c r="H569" i="2" a="1"/>
  <c r="H569" i="2" s="1"/>
  <c r="D569" i="2" a="1"/>
  <c r="D569" i="2" s="1"/>
  <c r="I568" i="2" a="1"/>
  <c r="I568" i="2" s="1"/>
  <c r="H568" i="2" a="1"/>
  <c r="H568" i="2" s="1"/>
  <c r="D568" i="2" a="1"/>
  <c r="D568" i="2" s="1"/>
  <c r="D567" i="2" a="1"/>
  <c r="D567" i="2" s="1"/>
  <c r="H567" i="2" a="1"/>
  <c r="H567" i="2" s="1"/>
  <c r="I567" i="2" a="1"/>
  <c r="I567" i="2" s="1"/>
  <c r="H566" i="2" a="1"/>
  <c r="H566" i="2" s="1"/>
  <c r="D566" i="2" a="1"/>
  <c r="D566" i="2" s="1"/>
  <c r="I566" i="2" a="1"/>
  <c r="I566" i="2" s="1"/>
  <c r="I565" i="2" a="1"/>
  <c r="I565" i="2" s="1"/>
  <c r="H565" i="2" a="1"/>
  <c r="H565" i="2" s="1"/>
  <c r="D565" i="2" a="1"/>
  <c r="D565" i="2" s="1"/>
  <c r="D564" i="2" a="1"/>
  <c r="D564" i="2" s="1"/>
  <c r="H564" i="2" a="1"/>
  <c r="H564" i="2" s="1"/>
  <c r="I564" i="2" a="1"/>
  <c r="I564" i="2" s="1"/>
  <c r="I563" i="2" a="1"/>
  <c r="I563" i="2" s="1"/>
  <c r="D563" i="2" a="1"/>
  <c r="D563" i="2" s="1"/>
  <c r="H563" i="2" a="1"/>
  <c r="H563" i="2" s="1"/>
  <c r="H562" i="2" a="1"/>
  <c r="H562" i="2" s="1"/>
  <c r="D562" i="2" a="1"/>
  <c r="D562" i="2" s="1"/>
  <c r="D561" i="2" a="1"/>
  <c r="D561" i="2" s="1"/>
  <c r="H561" i="2" a="1"/>
  <c r="H561" i="2" s="1"/>
  <c r="I560" i="2" a="1"/>
  <c r="I560" i="2" s="1"/>
  <c r="D560" i="2" a="1"/>
  <c r="D560" i="2" s="1"/>
  <c r="H560" i="2" a="1"/>
  <c r="H560" i="2" s="1"/>
  <c r="H559" i="2" a="1"/>
  <c r="H559" i="2" s="1"/>
  <c r="D559" i="2" a="1"/>
  <c r="D559" i="2" s="1"/>
  <c r="I559" i="2" a="1"/>
  <c r="I559" i="2" s="1"/>
  <c r="I557" i="2" a="1"/>
  <c r="I557" i="2" s="1"/>
  <c r="H557" i="2" a="1"/>
  <c r="H557" i="2" s="1"/>
  <c r="D557" i="2" a="1"/>
  <c r="D557" i="2" s="1"/>
  <c r="I556" i="2" a="1"/>
  <c r="I556" i="2" s="1"/>
  <c r="H556" i="2" a="1"/>
  <c r="H556" i="2" s="1"/>
  <c r="D556" i="2" a="1"/>
  <c r="D556" i="2" s="1"/>
  <c r="I555" i="2" a="1"/>
  <c r="I555" i="2" s="1"/>
  <c r="H555" i="2" a="1"/>
  <c r="H555" i="2" s="1"/>
  <c r="D555" i="2" a="1"/>
  <c r="D555" i="2" s="1"/>
  <c r="I554" i="2" a="1"/>
  <c r="I554" i="2" s="1"/>
  <c r="H554" i="2" a="1"/>
  <c r="H554" i="2" s="1"/>
  <c r="D554" i="2" a="1"/>
  <c r="D554" i="2" s="1"/>
  <c r="I553" i="2" a="1"/>
  <c r="I553" i="2" s="1"/>
  <c r="H553" i="2" a="1"/>
  <c r="H553" i="2" s="1"/>
  <c r="D553" i="2" a="1"/>
  <c r="D553" i="2" s="1"/>
  <c r="I552" i="2" a="1"/>
  <c r="I552" i="2" s="1"/>
  <c r="H552" i="2" a="1"/>
  <c r="H552" i="2" s="1"/>
  <c r="D552" i="2" a="1"/>
  <c r="D552" i="2" s="1"/>
  <c r="I551" i="2" a="1"/>
  <c r="I551" i="2" s="1"/>
  <c r="H551" i="2" a="1"/>
  <c r="H551" i="2" s="1"/>
  <c r="D551" i="2" a="1"/>
  <c r="D551" i="2" s="1"/>
  <c r="I549" i="2" a="1"/>
  <c r="I549" i="2" s="1"/>
  <c r="H549" i="2" a="1"/>
  <c r="H549" i="2" s="1"/>
  <c r="D549" i="2" a="1"/>
  <c r="D549" i="2" s="1"/>
  <c r="I548" i="2" a="1"/>
  <c r="I548" i="2" s="1"/>
  <c r="H548" i="2" a="1"/>
  <c r="H548" i="2" s="1"/>
  <c r="D548" i="2" a="1"/>
  <c r="D548" i="2" s="1"/>
  <c r="I547" i="2" a="1"/>
  <c r="I547" i="2" s="1"/>
  <c r="H547" i="2" a="1"/>
  <c r="H547" i="2" s="1"/>
  <c r="D547" i="2" a="1"/>
  <c r="D547" i="2" s="1"/>
  <c r="I546" i="2" a="1"/>
  <c r="I546" i="2" s="1"/>
  <c r="H546" i="2" a="1"/>
  <c r="H546" i="2" s="1"/>
  <c r="D546" i="2" a="1"/>
  <c r="D546" i="2" s="1"/>
  <c r="I545" i="2" a="1"/>
  <c r="I545" i="2" s="1"/>
  <c r="H545" i="2" a="1"/>
  <c r="H545" i="2" s="1"/>
  <c r="D545" i="2" a="1"/>
  <c r="D545" i="2" s="1"/>
  <c r="I544" i="2" a="1"/>
  <c r="I544" i="2" s="1"/>
  <c r="H544" i="2" a="1"/>
  <c r="H544" i="2" s="1"/>
  <c r="D544" i="2" a="1"/>
  <c r="D544" i="2" s="1"/>
  <c r="I543" i="2" a="1"/>
  <c r="I543" i="2" s="1"/>
  <c r="H543" i="2" a="1"/>
  <c r="H543" i="2" s="1"/>
  <c r="D543" i="2" a="1"/>
  <c r="D543" i="2" s="1"/>
  <c r="I542" i="2" a="1"/>
  <c r="I542" i="2" s="1"/>
  <c r="H542" i="2" a="1"/>
  <c r="H542" i="2" s="1"/>
  <c r="D542" i="2" a="1"/>
  <c r="D542" i="2" s="1"/>
  <c r="I541" i="2" a="1"/>
  <c r="I541" i="2" s="1"/>
  <c r="H541" i="2" a="1"/>
  <c r="H541" i="2" s="1"/>
  <c r="D541" i="2" a="1"/>
  <c r="D541" i="2" s="1"/>
  <c r="I540" i="2" a="1"/>
  <c r="I540" i="2" s="1"/>
  <c r="H540" i="2" a="1"/>
  <c r="H540" i="2" s="1"/>
  <c r="D540" i="2" a="1"/>
  <c r="D540" i="2" s="1"/>
  <c r="I539" i="2" a="1"/>
  <c r="I539" i="2" s="1"/>
  <c r="H539" i="2" a="1"/>
  <c r="H539" i="2" s="1"/>
  <c r="D539" i="2" a="1"/>
  <c r="D539" i="2" s="1"/>
  <c r="I538" i="2" a="1"/>
  <c r="I538" i="2" s="1"/>
  <c r="H538" i="2" a="1"/>
  <c r="H538" i="2" s="1"/>
  <c r="D538" i="2" a="1"/>
  <c r="D538" i="2" s="1"/>
  <c r="I537" i="2" a="1"/>
  <c r="I537" i="2" s="1"/>
  <c r="H537" i="2" a="1"/>
  <c r="H537" i="2" s="1"/>
  <c r="D537" i="2" a="1"/>
  <c r="D537" i="2" s="1"/>
  <c r="I536" i="2" a="1"/>
  <c r="I536" i="2" s="1"/>
  <c r="H536" i="2" a="1"/>
  <c r="H536" i="2" s="1"/>
  <c r="D536" i="2" a="1"/>
  <c r="D536" i="2" s="1"/>
  <c r="I535" i="2" a="1"/>
  <c r="I535" i="2" s="1"/>
  <c r="H535" i="2" a="1"/>
  <c r="H535" i="2" s="1"/>
  <c r="D535" i="2" a="1"/>
  <c r="D535" i="2" s="1"/>
  <c r="I534" i="2" a="1"/>
  <c r="I534" i="2" s="1"/>
  <c r="H534" i="2" a="1"/>
  <c r="H534" i="2" s="1"/>
  <c r="D534" i="2" a="1"/>
  <c r="D534" i="2" s="1"/>
  <c r="I533" i="2" a="1"/>
  <c r="I533" i="2" s="1"/>
  <c r="H533" i="2" a="1"/>
  <c r="H533" i="2" s="1"/>
  <c r="D533" i="2" a="1"/>
  <c r="D533" i="2" s="1"/>
  <c r="I532" i="2" a="1"/>
  <c r="I532" i="2" s="1"/>
  <c r="H532" i="2" a="1"/>
  <c r="H532" i="2" s="1"/>
  <c r="D532" i="2" a="1"/>
  <c r="D532" i="2" s="1"/>
  <c r="I531" i="2" a="1"/>
  <c r="I531" i="2" s="1"/>
  <c r="H531" i="2" a="1"/>
  <c r="H531" i="2" s="1"/>
  <c r="D531" i="2" a="1"/>
  <c r="D531" i="2" s="1"/>
  <c r="I530" i="2" a="1"/>
  <c r="I530" i="2" s="1"/>
  <c r="H530" i="2" a="1"/>
  <c r="H530" i="2" s="1"/>
  <c r="D530" i="2" a="1"/>
  <c r="D530" i="2" s="1"/>
  <c r="I529" i="2" a="1"/>
  <c r="I529" i="2" s="1"/>
  <c r="H529" i="2" a="1"/>
  <c r="H529" i="2" s="1"/>
  <c r="D529" i="2" a="1"/>
  <c r="D529" i="2" s="1"/>
  <c r="I528" i="2" a="1"/>
  <c r="I528" i="2" s="1"/>
  <c r="H528" i="2" a="1"/>
  <c r="H528" i="2" s="1"/>
  <c r="D528" i="2" a="1"/>
  <c r="D528" i="2" s="1"/>
  <c r="D527" i="2" a="1"/>
  <c r="D527" i="2" s="1"/>
  <c r="H527" i="2" a="1"/>
  <c r="H527" i="2" s="1"/>
  <c r="I527" i="2" a="1"/>
  <c r="I527" i="2" s="1"/>
  <c r="D526" i="2" a="1"/>
  <c r="D526" i="2" s="1"/>
  <c r="H526" i="2" a="1"/>
  <c r="H526" i="2" s="1"/>
  <c r="I526" i="2" a="1"/>
  <c r="I526" i="2" s="1"/>
  <c r="D525" i="2" a="1"/>
  <c r="D525" i="2" s="1"/>
  <c r="H525" i="2" a="1"/>
  <c r="H525" i="2" s="1"/>
  <c r="I525" i="2" a="1"/>
  <c r="I525" i="2" s="1"/>
  <c r="H524" i="2" a="1"/>
  <c r="H524" i="2" s="1"/>
  <c r="D524" i="2" a="1"/>
  <c r="D524" i="2" s="1"/>
  <c r="I524" i="2" a="1"/>
  <c r="I524" i="2" s="1"/>
  <c r="I523" i="2" a="1"/>
  <c r="I523" i="2" s="1"/>
  <c r="H523" i="2" a="1"/>
  <c r="H523" i="2" s="1"/>
  <c r="D523" i="2" a="1"/>
  <c r="D523" i="2" s="1"/>
  <c r="I522" i="2" a="1"/>
  <c r="I522" i="2" s="1"/>
  <c r="H522" i="2" a="1"/>
  <c r="H522" i="2" s="1"/>
  <c r="D522" i="2" a="1"/>
  <c r="D522" i="2" s="1"/>
  <c r="I521" i="2" a="1"/>
  <c r="I521" i="2" s="1"/>
  <c r="H521" i="2" a="1"/>
  <c r="H521" i="2" s="1"/>
  <c r="D521" i="2" a="1"/>
  <c r="D521" i="2" s="1"/>
  <c r="D520" i="2" a="1"/>
  <c r="D520" i="2" s="1"/>
  <c r="I520" i="2" a="1"/>
  <c r="I520" i="2" s="1"/>
  <c r="H520" i="2" a="1"/>
  <c r="H520" i="2" s="1"/>
  <c r="I519" i="2" a="1"/>
  <c r="I519" i="2" s="1"/>
  <c r="D519" i="2" a="1"/>
  <c r="D519" i="2" s="1"/>
  <c r="H519" i="2" a="1"/>
  <c r="H519" i="2" s="1"/>
  <c r="D517" i="2" a="1"/>
  <c r="D517" i="2" s="1"/>
  <c r="H517" i="2" a="1"/>
  <c r="H517" i="2" s="1"/>
  <c r="I517" i="2" a="1"/>
  <c r="I517" i="2" s="1"/>
  <c r="D516" i="2" a="1"/>
  <c r="D516" i="2" s="1"/>
  <c r="H516" i="2" a="1"/>
  <c r="H516" i="2" s="1"/>
  <c r="I516" i="2" a="1"/>
  <c r="I516" i="2" s="1"/>
  <c r="D515" i="2" a="1"/>
  <c r="D515" i="2" s="1"/>
  <c r="H515" i="2" a="1"/>
  <c r="H515" i="2" s="1"/>
  <c r="I515" i="2" a="1"/>
  <c r="I515" i="2" s="1"/>
  <c r="H514" i="2" a="1"/>
  <c r="H514" i="2" s="1"/>
  <c r="I514" i="2" a="1"/>
  <c r="I514" i="2" s="1"/>
  <c r="D514" i="2" a="1"/>
  <c r="D514" i="2" s="1"/>
  <c r="I513" i="2" a="1"/>
  <c r="I513" i="2" s="1"/>
  <c r="H513" i="2" a="1"/>
  <c r="H513" i="2" s="1"/>
  <c r="D513" i="2" a="1"/>
  <c r="D513" i="2" s="1"/>
  <c r="I512" i="2" a="1"/>
  <c r="I512" i="2" s="1"/>
  <c r="H512" i="2" a="1"/>
  <c r="H512" i="2" s="1"/>
  <c r="D512" i="2" a="1"/>
  <c r="D512" i="2" s="1"/>
  <c r="I511" i="2" a="1"/>
  <c r="I511" i="2" s="1"/>
  <c r="H511" i="2" a="1"/>
  <c r="H511" i="2" s="1"/>
  <c r="D511" i="2" a="1"/>
  <c r="D511" i="2" s="1"/>
  <c r="I510" i="2" a="1"/>
  <c r="I510" i="2" s="1"/>
  <c r="H510" i="2" a="1"/>
  <c r="H510" i="2" s="1"/>
  <c r="D510" i="2" a="1"/>
  <c r="D510" i="2" s="1"/>
  <c r="D509" i="2" a="1"/>
  <c r="D509" i="2" s="1"/>
  <c r="H509" i="2" a="1"/>
  <c r="H509" i="2" s="1"/>
  <c r="I509" i="2" a="1"/>
  <c r="I509" i="2" s="1"/>
  <c r="D508" i="2" a="1"/>
  <c r="D508" i="2" s="1"/>
  <c r="H508" i="2" a="1"/>
  <c r="H508" i="2" s="1"/>
  <c r="I508" i="2" a="1"/>
  <c r="I508" i="2" s="1"/>
  <c r="D507" i="2" a="1"/>
  <c r="D507" i="2" s="1"/>
  <c r="H507" i="2" a="1"/>
  <c r="H507" i="2" s="1"/>
  <c r="I507" i="2" a="1"/>
  <c r="I507" i="2" s="1"/>
  <c r="D506" i="2" a="1"/>
  <c r="D506" i="2" s="1"/>
  <c r="H506" i="2" a="1"/>
  <c r="H506" i="2" s="1"/>
  <c r="I506" i="2" a="1"/>
  <c r="I506" i="2" s="1"/>
  <c r="H505" i="2" a="1"/>
  <c r="H505" i="2" s="1"/>
  <c r="I505" i="2" a="1"/>
  <c r="I505" i="2" s="1"/>
  <c r="D505" i="2" a="1"/>
  <c r="D505" i="2" s="1"/>
  <c r="D504" i="2" a="1"/>
  <c r="D504" i="2" s="1"/>
  <c r="H504" i="2" a="1"/>
  <c r="H504" i="2" s="1"/>
  <c r="I504" i="2" a="1"/>
  <c r="I504" i="2" s="1"/>
  <c r="D503" i="2" a="1"/>
  <c r="D503" i="2" s="1"/>
  <c r="H503" i="2" a="1"/>
  <c r="H503" i="2" s="1"/>
  <c r="I503" i="2" a="1"/>
  <c r="I503" i="2" s="1"/>
  <c r="D502" i="2" a="1"/>
  <c r="D502" i="2" s="1"/>
  <c r="H502" i="2" a="1"/>
  <c r="H502" i="2" s="1"/>
  <c r="I502" i="2" a="1"/>
  <c r="I502" i="2" s="1"/>
  <c r="I501" i="2" a="1"/>
  <c r="I501" i="2" s="1"/>
  <c r="H501" i="2" a="1"/>
  <c r="H501" i="2" s="1"/>
  <c r="D501" i="2" a="1"/>
  <c r="D501" i="2" s="1"/>
  <c r="I500" i="2" a="1"/>
  <c r="I500" i="2" s="1"/>
  <c r="H500" i="2" a="1"/>
  <c r="H500" i="2" s="1"/>
  <c r="D500" i="2" a="1"/>
  <c r="D500" i="2" s="1"/>
  <c r="D499" i="2" a="1"/>
  <c r="D499" i="2" s="1"/>
  <c r="H499" i="2" a="1"/>
  <c r="H499" i="2" s="1"/>
  <c r="I499" i="2" a="1"/>
  <c r="I499" i="2" s="1"/>
  <c r="I498" i="2" a="1"/>
  <c r="I498" i="2" s="1"/>
  <c r="D498" i="2" a="1"/>
  <c r="D498" i="2" s="1"/>
  <c r="H498" i="2" a="1"/>
  <c r="H498" i="2" s="1"/>
  <c r="D497" i="2" a="1"/>
  <c r="D497" i="2" s="1"/>
  <c r="H497" i="2" a="1"/>
  <c r="H497" i="2" s="1"/>
  <c r="I497" i="2" a="1"/>
  <c r="I497" i="2" s="1"/>
  <c r="I496" i="2" a="1"/>
  <c r="I496" i="2" s="1"/>
  <c r="D496" i="2" a="1"/>
  <c r="D496" i="2" s="1"/>
  <c r="H496" i="2" a="1"/>
  <c r="H496" i="2" s="1"/>
  <c r="D495" i="2" a="1"/>
  <c r="D495" i="2" s="1"/>
  <c r="H495" i="2" a="1"/>
  <c r="H495" i="2" s="1"/>
  <c r="I495" i="2" a="1"/>
  <c r="I495" i="2" s="1"/>
  <c r="H494" i="2" a="1"/>
  <c r="H494" i="2" s="1"/>
  <c r="D494" i="2" a="1"/>
  <c r="D494" i="2" s="1"/>
  <c r="I494" i="2" a="1"/>
  <c r="I494" i="2" s="1"/>
  <c r="I493" i="2" a="1"/>
  <c r="I493" i="2" s="1"/>
  <c r="H493" i="2" a="1"/>
  <c r="H493" i="2" s="1"/>
  <c r="D493" i="2" a="1"/>
  <c r="D493" i="2" s="1"/>
  <c r="I492" i="2" a="1"/>
  <c r="I492" i="2" s="1"/>
  <c r="H492" i="2" a="1"/>
  <c r="H492" i="2" s="1"/>
  <c r="D492" i="2" a="1"/>
  <c r="D492" i="2" s="1"/>
  <c r="H491" i="2" a="1"/>
  <c r="H491" i="2" s="1"/>
  <c r="D491" i="2" a="1"/>
  <c r="D491" i="2" s="1"/>
  <c r="I491" i="2" a="1"/>
  <c r="I491" i="2" s="1"/>
  <c r="H490" i="2" a="1"/>
  <c r="H490" i="2" s="1"/>
  <c r="D490" i="2" a="1"/>
  <c r="D490" i="2" s="1"/>
  <c r="I490" i="2" a="1"/>
  <c r="I490" i="2" s="1"/>
  <c r="H489" i="2" a="1"/>
  <c r="H489" i="2" s="1"/>
  <c r="D489" i="2" a="1"/>
  <c r="D489" i="2" s="1"/>
  <c r="I489" i="2" a="1"/>
  <c r="I489" i="2" s="1"/>
  <c r="I488" i="2" a="1"/>
  <c r="I488" i="2" s="1"/>
  <c r="H488" i="2" a="1"/>
  <c r="H488" i="2" s="1"/>
  <c r="D488" i="2" a="1"/>
  <c r="D488" i="2" s="1"/>
  <c r="I487" i="2" a="1"/>
  <c r="I487" i="2" s="1"/>
  <c r="D487" i="2" a="1"/>
  <c r="D487" i="2" s="1"/>
  <c r="H487" i="2" a="1"/>
  <c r="H487" i="2" s="1"/>
  <c r="I485" i="2" a="1"/>
  <c r="I485" i="2" s="1"/>
  <c r="H485" i="2" a="1"/>
  <c r="H485" i="2" s="1"/>
  <c r="D485" i="2" a="1"/>
  <c r="D485" i="2" s="1"/>
  <c r="I484" i="2" a="1"/>
  <c r="I484" i="2" s="1"/>
  <c r="H484" i="2" a="1"/>
  <c r="H484" i="2" s="1"/>
  <c r="D484" i="2" a="1"/>
  <c r="D484" i="2" s="1"/>
  <c r="I483" i="2" a="1"/>
  <c r="I483" i="2" s="1"/>
  <c r="H483" i="2" a="1"/>
  <c r="H483" i="2" s="1"/>
  <c r="D483" i="2" a="1"/>
  <c r="D483" i="2" s="1"/>
  <c r="I482" i="2" a="1"/>
  <c r="I482" i="2" s="1"/>
  <c r="H482" i="2" a="1"/>
  <c r="H482" i="2" s="1"/>
  <c r="D482" i="2" a="1"/>
  <c r="D482" i="2" s="1"/>
  <c r="I481" i="2" a="1"/>
  <c r="I481" i="2" s="1"/>
  <c r="H481" i="2" a="1"/>
  <c r="H481" i="2" s="1"/>
  <c r="D481" i="2" a="1"/>
  <c r="D481" i="2" s="1"/>
  <c r="D480" i="2" a="1"/>
  <c r="D480" i="2" s="1"/>
  <c r="I480" i="2" a="1"/>
  <c r="I480" i="2" s="1"/>
  <c r="H480" i="2" a="1"/>
  <c r="H480" i="2" s="1"/>
  <c r="H479" i="2" a="1"/>
  <c r="H479" i="2" s="1"/>
  <c r="D479" i="2" a="1"/>
  <c r="D479" i="2" s="1"/>
  <c r="I479" i="2" a="1"/>
  <c r="I479" i="2" s="1"/>
  <c r="I478" i="2" a="1"/>
  <c r="I478" i="2" s="1"/>
  <c r="H478" i="2" a="1"/>
  <c r="H478" i="2" s="1"/>
  <c r="D478" i="2" a="1"/>
  <c r="D478" i="2" s="1"/>
  <c r="I477" i="2" a="1"/>
  <c r="I477" i="2" s="1"/>
  <c r="H477" i="2" a="1"/>
  <c r="H477" i="2" s="1"/>
  <c r="D477" i="2" a="1"/>
  <c r="D477" i="2" s="1"/>
  <c r="I476" i="2" a="1"/>
  <c r="I476" i="2" s="1"/>
  <c r="D476" i="2" a="1"/>
  <c r="D476" i="2" s="1"/>
  <c r="H476" i="2" a="1"/>
  <c r="H476" i="2" s="1"/>
  <c r="D475" i="2" a="1"/>
  <c r="D475" i="2" s="1"/>
  <c r="H475" i="2" a="1"/>
  <c r="H475" i="2" s="1"/>
  <c r="I475" i="2" a="1"/>
  <c r="I475" i="2" s="1"/>
  <c r="D474" i="2" a="1"/>
  <c r="D474" i="2" s="1"/>
  <c r="H474" i="2" a="1"/>
  <c r="H474" i="2" s="1"/>
  <c r="I474" i="2" a="1"/>
  <c r="I474" i="2" s="1"/>
  <c r="D473" i="2" a="1"/>
  <c r="D473" i="2" s="1"/>
  <c r="I473" i="2" a="1"/>
  <c r="I473" i="2" s="1"/>
  <c r="H473" i="2" a="1"/>
  <c r="H473" i="2" s="1"/>
  <c r="D472" i="2" a="1"/>
  <c r="D472" i="2" s="1"/>
  <c r="H472" i="2" a="1"/>
  <c r="H472" i="2" s="1"/>
  <c r="I472" i="2" a="1"/>
  <c r="I472" i="2" s="1"/>
  <c r="D471" i="2" a="1"/>
  <c r="D471" i="2" s="1"/>
  <c r="H471" i="2" a="1"/>
  <c r="H471" i="2" s="1"/>
  <c r="I471" i="2" a="1"/>
  <c r="I471" i="2" s="1"/>
  <c r="D470" i="2" a="1"/>
  <c r="D470" i="2" s="1"/>
  <c r="H470" i="2" a="1"/>
  <c r="H470" i="2" s="1"/>
  <c r="I470" i="2" a="1"/>
  <c r="I470" i="2" s="1"/>
  <c r="D469" i="2" a="1"/>
  <c r="D469" i="2" s="1"/>
  <c r="I469" i="2" a="1"/>
  <c r="I469" i="2" s="1"/>
  <c r="H469" i="2" a="1"/>
  <c r="H469" i="2" s="1"/>
  <c r="I468" i="2" a="1"/>
  <c r="I468" i="2" s="1"/>
  <c r="H468" i="2" a="1"/>
  <c r="H468" i="2" s="1"/>
  <c r="D468" i="2" a="1"/>
  <c r="D468" i="2" s="1"/>
  <c r="H467" i="2" a="1"/>
  <c r="H467" i="2" s="1"/>
  <c r="D467" i="2" a="1"/>
  <c r="D467" i="2" s="1"/>
  <c r="I467" i="2" a="1"/>
  <c r="I467" i="2" s="1"/>
  <c r="H466" i="2" a="1"/>
  <c r="H466" i="2" s="1"/>
  <c r="D466" i="2" a="1"/>
  <c r="D466" i="2" s="1"/>
  <c r="D465" i="2" a="1"/>
  <c r="D465" i="2" s="1"/>
  <c r="H465" i="2" a="1"/>
  <c r="H465" i="2" s="1"/>
  <c r="H464" i="2" a="1"/>
  <c r="H464" i="2" s="1"/>
  <c r="I464" i="2" a="1"/>
  <c r="I464" i="2" s="1"/>
  <c r="D464" i="2" a="1"/>
  <c r="D464" i="2" s="1"/>
  <c r="D463" i="2" a="1"/>
  <c r="D463" i="2" s="1"/>
  <c r="H463" i="2" a="1"/>
  <c r="H463" i="2" s="1"/>
  <c r="I463" i="2" a="1"/>
  <c r="I463" i="2" s="1"/>
  <c r="D462" i="2" a="1"/>
  <c r="D462" i="2" s="1"/>
  <c r="H462" i="2" a="1"/>
  <c r="H462" i="2" s="1"/>
  <c r="I462" i="2" a="1"/>
  <c r="I462" i="2" s="1"/>
  <c r="D461" i="2" a="1"/>
  <c r="D461" i="2" s="1"/>
  <c r="H461" i="2" a="1"/>
  <c r="H461" i="2" s="1"/>
  <c r="I461" i="2" a="1"/>
  <c r="I461" i="2" s="1"/>
  <c r="D460" i="2" a="1"/>
  <c r="D460" i="2" s="1"/>
  <c r="I460" i="2" a="1"/>
  <c r="I460" i="2" s="1"/>
  <c r="H460" i="2" a="1"/>
  <c r="H460" i="2" s="1"/>
  <c r="D459" i="2" a="1"/>
  <c r="D459" i="2" s="1"/>
  <c r="H459" i="2" a="1"/>
  <c r="H459" i="2" s="1"/>
  <c r="I459" i="2" a="1"/>
  <c r="I459" i="2" s="1"/>
  <c r="D458" i="2" a="1"/>
  <c r="D458" i="2" s="1"/>
  <c r="H458" i="2" a="1"/>
  <c r="H458" i="2" s="1"/>
  <c r="I458" i="2" a="1"/>
  <c r="I458" i="2" s="1"/>
  <c r="H457" i="2" a="1"/>
  <c r="H457" i="2" s="1"/>
  <c r="D457" i="2" a="1"/>
  <c r="D457" i="2" s="1"/>
  <c r="I457" i="2" a="1"/>
  <c r="I457" i="2" s="1"/>
  <c r="I456" i="2" a="1"/>
  <c r="I456" i="2" s="1"/>
  <c r="H456" i="2" a="1"/>
  <c r="H456" i="2" s="1"/>
  <c r="D456" i="2" a="1"/>
  <c r="D456" i="2" s="1"/>
  <c r="I455" i="2" a="1"/>
  <c r="I455" i="2" s="1"/>
  <c r="D455" i="2" a="1"/>
  <c r="D455" i="2" s="1"/>
  <c r="H455" i="2" a="1"/>
  <c r="H455" i="2" s="1"/>
  <c r="D454" i="2" a="1"/>
  <c r="D454" i="2" s="1"/>
  <c r="I454" i="2" a="1"/>
  <c r="I454" i="2" s="1"/>
  <c r="H454" i="2" a="1"/>
  <c r="H454" i="2" s="1"/>
  <c r="D453" i="2" a="1"/>
  <c r="D453" i="2" s="1"/>
  <c r="H453" i="2" a="1"/>
  <c r="H453" i="2" s="1"/>
  <c r="I453" i="2" a="1"/>
  <c r="I453" i="2" s="1"/>
  <c r="D452" i="2" a="1"/>
  <c r="D452" i="2" s="1"/>
  <c r="H452" i="2" a="1"/>
  <c r="H452" i="2" s="1"/>
  <c r="I452" i="2" a="1"/>
  <c r="I452" i="2" s="1"/>
  <c r="H451" i="2" a="1"/>
  <c r="H451" i="2" s="1"/>
  <c r="I451" i="2" a="1"/>
  <c r="I451" i="2" s="1"/>
  <c r="D451" i="2" a="1"/>
  <c r="D451" i="2" s="1"/>
  <c r="D450" i="2" a="1"/>
  <c r="D450" i="2" s="1"/>
  <c r="H450" i="2" a="1"/>
  <c r="H450" i="2" s="1"/>
  <c r="I450" i="2" a="1"/>
  <c r="I450" i="2" s="1"/>
  <c r="D449" i="2" a="1"/>
  <c r="D449" i="2" s="1"/>
  <c r="H449" i="2" a="1"/>
  <c r="H449" i="2" s="1"/>
  <c r="I449" i="2" a="1"/>
  <c r="I449" i="2" s="1"/>
  <c r="D448" i="2" a="1"/>
  <c r="D448" i="2" s="1"/>
  <c r="H448" i="2" a="1"/>
  <c r="H448" i="2" s="1"/>
  <c r="I448" i="2" a="1"/>
  <c r="I448" i="2" s="1"/>
  <c r="D447" i="2" a="1"/>
  <c r="D447" i="2" s="1"/>
  <c r="H447" i="2" a="1"/>
  <c r="H447" i="2" s="1"/>
  <c r="I447" i="2" a="1"/>
  <c r="I447" i="2" s="1"/>
  <c r="D446" i="2" a="1"/>
  <c r="D446" i="2" s="1"/>
  <c r="H446" i="2" a="1"/>
  <c r="H446" i="2" s="1"/>
  <c r="I446" i="2" a="1"/>
  <c r="I446" i="2" s="1"/>
  <c r="I445" i="2" a="1"/>
  <c r="I445" i="2" s="1"/>
  <c r="H445" i="2" a="1"/>
  <c r="H445" i="2" s="1"/>
  <c r="D445" i="2" a="1"/>
  <c r="D445" i="2" s="1"/>
  <c r="I444" i="2" a="1"/>
  <c r="I444" i="2" s="1"/>
  <c r="H444" i="2" a="1"/>
  <c r="H444" i="2" s="1"/>
  <c r="D444" i="2" a="1"/>
  <c r="D444" i="2" s="1"/>
  <c r="I443" i="2" a="1"/>
  <c r="I443" i="2" s="1"/>
  <c r="H443" i="2" a="1"/>
  <c r="H443" i="2" s="1"/>
  <c r="D443" i="2" a="1"/>
  <c r="D443" i="2" s="1"/>
  <c r="I442" i="2" a="1"/>
  <c r="I442" i="2" s="1"/>
  <c r="H442" i="2" a="1"/>
  <c r="H442" i="2" s="1"/>
  <c r="D442" i="2" a="1"/>
  <c r="D442" i="2" s="1"/>
  <c r="I441" i="2" a="1"/>
  <c r="I441" i="2" s="1"/>
  <c r="H441" i="2" a="1"/>
  <c r="H441" i="2" s="1"/>
  <c r="D441" i="2" a="1"/>
  <c r="D441" i="2" s="1"/>
  <c r="I440" i="2" a="1"/>
  <c r="I440" i="2" s="1"/>
  <c r="H440" i="2" a="1"/>
  <c r="H440" i="2" s="1"/>
  <c r="D440" i="2" a="1"/>
  <c r="D440" i="2" s="1"/>
  <c r="I439" i="2" a="1"/>
  <c r="I439" i="2" s="1"/>
  <c r="H439" i="2" a="1"/>
  <c r="H439" i="2" s="1"/>
  <c r="D439" i="2" a="1"/>
  <c r="D439" i="2" s="1"/>
  <c r="I438" i="2" a="1"/>
  <c r="I438" i="2" s="1"/>
  <c r="H438" i="2" a="1"/>
  <c r="H438" i="2" s="1"/>
  <c r="D438" i="2" a="1"/>
  <c r="D438" i="2" s="1"/>
  <c r="I437" i="2" a="1"/>
  <c r="I437" i="2" s="1"/>
  <c r="H437" i="2" a="1"/>
  <c r="H437" i="2" s="1"/>
  <c r="D437" i="2" a="1"/>
  <c r="D437" i="2" s="1"/>
  <c r="I436" i="2" a="1"/>
  <c r="I436" i="2" s="1"/>
  <c r="H436" i="2" a="1"/>
  <c r="H436" i="2" s="1"/>
  <c r="D436" i="2" a="1"/>
  <c r="D436" i="2" s="1"/>
  <c r="I435" i="2" a="1"/>
  <c r="I435" i="2" s="1"/>
  <c r="H435" i="2" a="1"/>
  <c r="H435" i="2" s="1"/>
  <c r="D435" i="2" a="1"/>
  <c r="D435" i="2" s="1"/>
  <c r="H434" i="2" a="1"/>
  <c r="H434" i="2" s="1"/>
  <c r="D434" i="2" a="1"/>
  <c r="D434" i="2" s="1"/>
  <c r="H433" i="2" a="1"/>
  <c r="H433" i="2" s="1"/>
  <c r="D433" i="2" a="1"/>
  <c r="D433" i="2" s="1"/>
  <c r="I432" i="2" a="1"/>
  <c r="I432" i="2" s="1"/>
  <c r="H432" i="2" a="1"/>
  <c r="H432" i="2" s="1"/>
  <c r="D432" i="2" a="1"/>
  <c r="D432" i="2" s="1"/>
  <c r="I431" i="2" a="1"/>
  <c r="I431" i="2" s="1"/>
  <c r="H431" i="2" a="1"/>
  <c r="H431" i="2" s="1"/>
  <c r="D431" i="2" a="1"/>
  <c r="D431" i="2" s="1"/>
  <c r="I430" i="2" a="1"/>
  <c r="I430" i="2" s="1"/>
  <c r="H430" i="2" a="1"/>
  <c r="H430" i="2" s="1"/>
  <c r="D430" i="2" a="1"/>
  <c r="D430" i="2" s="1"/>
  <c r="I429" i="2" a="1"/>
  <c r="I429" i="2" s="1"/>
  <c r="H429" i="2" a="1"/>
  <c r="H429" i="2" s="1"/>
  <c r="D429" i="2" a="1"/>
  <c r="D429" i="2" s="1"/>
  <c r="I428" i="2" a="1"/>
  <c r="I428" i="2" s="1"/>
  <c r="H428" i="2" a="1"/>
  <c r="H428" i="2" s="1"/>
  <c r="D428" i="2" a="1"/>
  <c r="D428" i="2" s="1"/>
  <c r="I427" i="2" a="1"/>
  <c r="I427" i="2" s="1"/>
  <c r="H427" i="2" a="1"/>
  <c r="H427" i="2" s="1"/>
  <c r="D427" i="2" a="1"/>
  <c r="D427" i="2" s="1"/>
  <c r="I426" i="2" a="1"/>
  <c r="I426" i="2" s="1"/>
  <c r="H426" i="2" a="1"/>
  <c r="H426" i="2" s="1"/>
  <c r="D426" i="2" a="1"/>
  <c r="D426" i="2" s="1"/>
  <c r="I425" i="2" a="1"/>
  <c r="I425" i="2" s="1"/>
  <c r="H425" i="2" a="1"/>
  <c r="H425" i="2" s="1"/>
  <c r="D425" i="2" a="1"/>
  <c r="D425" i="2" s="1"/>
  <c r="I424" i="2" a="1"/>
  <c r="I424" i="2" s="1"/>
  <c r="H424" i="2" a="1"/>
  <c r="H424" i="2" s="1"/>
  <c r="D424" i="2" a="1"/>
  <c r="D424" i="2" s="1"/>
  <c r="I423" i="2" a="1"/>
  <c r="I423" i="2" s="1"/>
  <c r="H423" i="2" a="1"/>
  <c r="H423" i="2" s="1"/>
  <c r="D423" i="2" a="1"/>
  <c r="D423" i="2" s="1"/>
  <c r="I422" i="2" a="1"/>
  <c r="I422" i="2" s="1"/>
  <c r="H422" i="2" a="1"/>
  <c r="H422" i="2" s="1"/>
  <c r="D422" i="2" a="1"/>
  <c r="D422" i="2" s="1"/>
  <c r="I421" i="2" a="1"/>
  <c r="I421" i="2" s="1"/>
  <c r="H421" i="2" a="1"/>
  <c r="H421" i="2" s="1"/>
  <c r="D421" i="2" a="1"/>
  <c r="D421" i="2" s="1"/>
  <c r="I420" i="2" a="1"/>
  <c r="I420" i="2" s="1"/>
  <c r="H420" i="2" a="1"/>
  <c r="H420" i="2" s="1"/>
  <c r="D420" i="2" a="1"/>
  <c r="D420" i="2" s="1"/>
  <c r="I419" i="2" a="1"/>
  <c r="I419" i="2" s="1"/>
  <c r="H419" i="2" a="1"/>
  <c r="H419" i="2" s="1"/>
  <c r="D419" i="2" a="1"/>
  <c r="D419" i="2" s="1"/>
  <c r="I418" i="2" a="1"/>
  <c r="I418" i="2" s="1"/>
  <c r="H418" i="2" a="1"/>
  <c r="H418" i="2" s="1"/>
  <c r="D418" i="2" a="1"/>
  <c r="D418" i="2" s="1"/>
  <c r="I417" i="2" a="1"/>
  <c r="I417" i="2" s="1"/>
  <c r="H417" i="2" a="1"/>
  <c r="H417" i="2" s="1"/>
  <c r="D417" i="2" a="1"/>
  <c r="D417" i="2" s="1"/>
  <c r="I416" i="2" a="1"/>
  <c r="I416" i="2" s="1"/>
  <c r="H416" i="2" a="1"/>
  <c r="H416" i="2" s="1"/>
  <c r="D416" i="2" a="1"/>
  <c r="D416" i="2" s="1"/>
  <c r="I415" i="2" a="1"/>
  <c r="I415" i="2" s="1"/>
  <c r="H415" i="2" a="1"/>
  <c r="H415" i="2" s="1"/>
  <c r="D415" i="2" a="1"/>
  <c r="D415" i="2" s="1"/>
  <c r="I414" i="2" a="1"/>
  <c r="I414" i="2" s="1"/>
  <c r="H414" i="2" a="1"/>
  <c r="H414" i="2" s="1"/>
  <c r="D414" i="2" a="1"/>
  <c r="D414" i="2" s="1"/>
  <c r="I413" i="2" a="1"/>
  <c r="I413" i="2" s="1"/>
  <c r="H413" i="2" a="1"/>
  <c r="H413" i="2" s="1"/>
  <c r="D413" i="2" a="1"/>
  <c r="D413" i="2" s="1"/>
  <c r="I412" i="2" a="1"/>
  <c r="I412" i="2" s="1"/>
  <c r="H412" i="2" a="1"/>
  <c r="H412" i="2" s="1"/>
  <c r="D412" i="2" a="1"/>
  <c r="D412" i="2" s="1"/>
  <c r="I411" i="2" a="1"/>
  <c r="I411" i="2" s="1"/>
  <c r="H411" i="2" a="1"/>
  <c r="H411" i="2" s="1"/>
  <c r="D411" i="2" a="1"/>
  <c r="D411" i="2" s="1"/>
  <c r="I410" i="2" a="1"/>
  <c r="I410" i="2" s="1"/>
  <c r="H410" i="2" a="1"/>
  <c r="H410" i="2" s="1"/>
  <c r="D410" i="2" a="1"/>
  <c r="D410" i="2" s="1"/>
  <c r="I409" i="2" a="1"/>
  <c r="I409" i="2" s="1"/>
  <c r="H409" i="2" a="1"/>
  <c r="H409" i="2" s="1"/>
  <c r="D409" i="2" a="1"/>
  <c r="D409" i="2" s="1"/>
  <c r="I408" i="2" a="1"/>
  <c r="I408" i="2" s="1"/>
  <c r="H408" i="2" a="1"/>
  <c r="H408" i="2" s="1"/>
  <c r="D408" i="2" a="1"/>
  <c r="D408" i="2" s="1"/>
  <c r="I407" i="2" a="1"/>
  <c r="I407" i="2" s="1"/>
  <c r="H407" i="2" a="1"/>
  <c r="H407" i="2" s="1"/>
  <c r="D407" i="2" a="1"/>
  <c r="D407" i="2" s="1"/>
  <c r="D406" i="2" a="1"/>
  <c r="D406" i="2" s="1"/>
  <c r="I406" i="2" a="1"/>
  <c r="I406" i="2" s="1"/>
  <c r="H406" i="2" a="1"/>
  <c r="H406" i="2" s="1"/>
  <c r="I405" i="2" a="1"/>
  <c r="I405" i="2" s="1"/>
  <c r="H405" i="2" a="1"/>
  <c r="H405" i="2" s="1"/>
  <c r="D405" i="2" a="1"/>
  <c r="D405" i="2" s="1"/>
  <c r="I404" i="2" a="1"/>
  <c r="I404" i="2" s="1"/>
  <c r="H404" i="2" a="1"/>
  <c r="H404" i="2" s="1"/>
  <c r="D404" i="2" a="1"/>
  <c r="D404" i="2" s="1"/>
  <c r="I403" i="2" a="1"/>
  <c r="I403" i="2" s="1"/>
  <c r="H403" i="2" a="1"/>
  <c r="H403" i="2" s="1"/>
  <c r="D403" i="2" a="1"/>
  <c r="D403" i="2" s="1"/>
  <c r="H402" i="2" a="1"/>
  <c r="H402" i="2" s="1"/>
  <c r="D402" i="2" a="1"/>
  <c r="D402" i="2" s="1"/>
  <c r="D401" i="2" a="1"/>
  <c r="D401" i="2" s="1"/>
  <c r="H401" i="2" a="1"/>
  <c r="H401" i="2" s="1"/>
  <c r="D400" i="2" a="1"/>
  <c r="D400" i="2" s="1"/>
  <c r="H400" i="2" a="1"/>
  <c r="H400" i="2" s="1"/>
  <c r="I400" i="2" a="1"/>
  <c r="I400" i="2" s="1"/>
  <c r="I399" i="2" a="1"/>
  <c r="I399" i="2" s="1"/>
  <c r="D399" i="2" a="1"/>
  <c r="D399" i="2" s="1"/>
  <c r="H399" i="2" a="1"/>
  <c r="H399" i="2" s="1"/>
  <c r="D398" i="2" a="1"/>
  <c r="D398" i="2" s="1"/>
  <c r="H398" i="2" a="1"/>
  <c r="H398" i="2" s="1"/>
  <c r="I398" i="2" a="1"/>
  <c r="I398" i="2" s="1"/>
  <c r="D397" i="2" a="1"/>
  <c r="D397" i="2" s="1"/>
  <c r="H397" i="2" a="1"/>
  <c r="H397" i="2" s="1"/>
  <c r="I397" i="2" a="1"/>
  <c r="I397" i="2" s="1"/>
  <c r="I396" i="2" a="1"/>
  <c r="I396" i="2" s="1"/>
  <c r="D396" i="2" a="1"/>
  <c r="D396" i="2" s="1"/>
  <c r="H396" i="2" a="1"/>
  <c r="H396" i="2" s="1"/>
  <c r="I395" i="2" a="1"/>
  <c r="I395" i="2" s="1"/>
  <c r="D395" i="2" a="1"/>
  <c r="D395" i="2" s="1"/>
  <c r="H395" i="2" a="1"/>
  <c r="H395" i="2" s="1"/>
  <c r="D394" i="2" a="1"/>
  <c r="D394" i="2" s="1"/>
  <c r="H394" i="2" a="1"/>
  <c r="H394" i="2" s="1"/>
  <c r="I394" i="2" a="1"/>
  <c r="I394" i="2" s="1"/>
  <c r="I393" i="2" a="1"/>
  <c r="I393" i="2" s="1"/>
  <c r="D393" i="2" a="1"/>
  <c r="D393" i="2" s="1"/>
  <c r="H393" i="2" a="1"/>
  <c r="H393" i="2" s="1"/>
  <c r="D392" i="2" a="1"/>
  <c r="D392" i="2" s="1"/>
  <c r="H392" i="2" a="1"/>
  <c r="H392" i="2" s="1"/>
  <c r="I392" i="2" a="1"/>
  <c r="I392" i="2" s="1"/>
  <c r="D391" i="2" a="1"/>
  <c r="D391" i="2" s="1"/>
  <c r="H391" i="2" a="1"/>
  <c r="H391" i="2" s="1"/>
  <c r="I391" i="2" a="1"/>
  <c r="I391" i="2" s="1"/>
  <c r="D390" i="2" a="1"/>
  <c r="D390" i="2" s="1"/>
  <c r="H390" i="2" a="1"/>
  <c r="H390" i="2" s="1"/>
  <c r="I390" i="2" a="1"/>
  <c r="I390" i="2" s="1"/>
  <c r="D389" i="2" a="1"/>
  <c r="D389" i="2" s="1"/>
  <c r="H389" i="2" a="1"/>
  <c r="H389" i="2" s="1"/>
  <c r="I389" i="2" a="1"/>
  <c r="I389" i="2" s="1"/>
  <c r="H388" i="2" a="1"/>
  <c r="H388" i="2" s="1"/>
  <c r="D388" i="2" a="1"/>
  <c r="D388" i="2" s="1"/>
  <c r="I388" i="2" a="1"/>
  <c r="I388" i="2" s="1"/>
  <c r="I387" i="2" a="1"/>
  <c r="I387" i="2" s="1"/>
  <c r="H387" i="2" a="1"/>
  <c r="H387" i="2" s="1"/>
  <c r="D387" i="2" a="1"/>
  <c r="D387" i="2" s="1"/>
  <c r="I386" i="2" a="1"/>
  <c r="I386" i="2" s="1"/>
  <c r="H386" i="2" a="1"/>
  <c r="H386" i="2" s="1"/>
  <c r="D386" i="2" a="1"/>
  <c r="D386" i="2" s="1"/>
  <c r="I385" i="2" a="1"/>
  <c r="I385" i="2" s="1"/>
  <c r="H385" i="2" a="1"/>
  <c r="H385" i="2" s="1"/>
  <c r="D385" i="2" a="1"/>
  <c r="D385" i="2" s="1"/>
  <c r="H384" i="2" a="1"/>
  <c r="H384" i="2" s="1"/>
  <c r="I384" i="2" a="1"/>
  <c r="I384" i="2" s="1"/>
  <c r="D384" i="2" a="1"/>
  <c r="D384" i="2" s="1"/>
  <c r="I383" i="2" a="1"/>
  <c r="I383" i="2" s="1"/>
  <c r="H383" i="2" a="1"/>
  <c r="H383" i="2" s="1"/>
  <c r="D383" i="2" a="1"/>
  <c r="D383" i="2" s="1"/>
  <c r="D382" i="2" a="1"/>
  <c r="D382" i="2" s="1"/>
  <c r="I382" i="2" a="1"/>
  <c r="I382" i="2" s="1"/>
  <c r="H382" i="2" a="1"/>
  <c r="H382" i="2" s="1"/>
  <c r="I381" i="2" a="1"/>
  <c r="I381" i="2" s="1"/>
  <c r="H381" i="2" a="1"/>
  <c r="H381" i="2" s="1"/>
  <c r="D381" i="2" a="1"/>
  <c r="D381" i="2" s="1"/>
  <c r="D380" i="2" a="1"/>
  <c r="D380" i="2" s="1"/>
  <c r="H380" i="2" a="1"/>
  <c r="H380" i="2" s="1"/>
  <c r="I380" i="2" a="1"/>
  <c r="I380" i="2" s="1"/>
  <c r="D379" i="2" a="1"/>
  <c r="D379" i="2" s="1"/>
  <c r="H379" i="2" a="1"/>
  <c r="H379" i="2" s="1"/>
  <c r="I379" i="2" a="1"/>
  <c r="I379" i="2" s="1"/>
  <c r="D378" i="2" a="1"/>
  <c r="D378" i="2" s="1"/>
  <c r="H378" i="2" a="1"/>
  <c r="H378" i="2" s="1"/>
  <c r="I378" i="2" a="1"/>
  <c r="I378" i="2" s="1"/>
  <c r="D377" i="2" a="1"/>
  <c r="D377" i="2" s="1"/>
  <c r="I377" i="2" a="1"/>
  <c r="I377" i="2" s="1"/>
  <c r="H377" i="2" a="1"/>
  <c r="H377" i="2" s="1"/>
  <c r="D376" i="2" a="1"/>
  <c r="D376" i="2" s="1"/>
  <c r="H376" i="2" a="1"/>
  <c r="H376" i="2" s="1"/>
  <c r="I376" i="2" a="1"/>
  <c r="I376" i="2" s="1"/>
  <c r="D375" i="2" a="1"/>
  <c r="D375" i="2" s="1"/>
  <c r="H375" i="2" a="1"/>
  <c r="H375" i="2" s="1"/>
  <c r="I375" i="2" a="1"/>
  <c r="I375" i="2" s="1"/>
  <c r="H374" i="2" a="1"/>
  <c r="H374" i="2" s="1"/>
  <c r="D374" i="2" a="1"/>
  <c r="D374" i="2" s="1"/>
  <c r="I374" i="2" a="1"/>
  <c r="I374" i="2" s="1"/>
  <c r="H373" i="2" a="1"/>
  <c r="H373" i="2" s="1"/>
  <c r="D373" i="2" a="1"/>
  <c r="D373" i="2" s="1"/>
  <c r="I373" i="2" a="1"/>
  <c r="I373" i="2" s="1"/>
  <c r="I372" i="2" a="1"/>
  <c r="I372" i="2" s="1"/>
  <c r="H372" i="2" a="1"/>
  <c r="H372" i="2" s="1"/>
  <c r="D372" i="2" a="1"/>
  <c r="D372" i="2" s="1"/>
  <c r="I371" i="2" a="1"/>
  <c r="I371" i="2" s="1"/>
  <c r="H371" i="2" a="1"/>
  <c r="H371" i="2" s="1"/>
  <c r="D371" i="2" a="1"/>
  <c r="D371" i="2" s="1"/>
  <c r="D370" i="2" a="1"/>
  <c r="D370" i="2" s="1"/>
  <c r="H370" i="2" a="1"/>
  <c r="H370" i="2" s="1"/>
  <c r="D369" i="2" a="1"/>
  <c r="D369" i="2" s="1"/>
  <c r="H369" i="2" a="1"/>
  <c r="H369" i="2" s="1"/>
  <c r="D368" i="2" a="1"/>
  <c r="D368" i="2" s="1"/>
  <c r="H368" i="2" a="1"/>
  <c r="H368" i="2" s="1"/>
  <c r="I368" i="2" a="1"/>
  <c r="I368" i="2" s="1"/>
  <c r="D367" i="2" a="1"/>
  <c r="D367" i="2" s="1"/>
  <c r="I367" i="2" a="1"/>
  <c r="I367" i="2" s="1"/>
  <c r="H367" i="2" a="1"/>
  <c r="H367" i="2" s="1"/>
  <c r="I366" i="2" a="1"/>
  <c r="I366" i="2" s="1"/>
  <c r="H366" i="2" a="1"/>
  <c r="H366" i="2" s="1"/>
  <c r="D366" i="2" a="1"/>
  <c r="D366" i="2" s="1"/>
  <c r="I365" i="2" a="1"/>
  <c r="I365" i="2" s="1"/>
  <c r="H365" i="2" a="1"/>
  <c r="H365" i="2" s="1"/>
  <c r="D365" i="2" a="1"/>
  <c r="D365" i="2" s="1"/>
  <c r="I364" i="2" a="1"/>
  <c r="I364" i="2" s="1"/>
  <c r="H364" i="2" a="1"/>
  <c r="H364" i="2" s="1"/>
  <c r="D364" i="2" a="1"/>
  <c r="D364" i="2" s="1"/>
  <c r="D363" i="2" a="1"/>
  <c r="D363" i="2" s="1"/>
  <c r="H363" i="2" a="1"/>
  <c r="H363" i="2" s="1"/>
  <c r="I363" i="2" a="1"/>
  <c r="I363" i="2" s="1"/>
  <c r="D362" i="2" a="1"/>
  <c r="D362" i="2" s="1"/>
  <c r="H362" i="2" a="1"/>
  <c r="H362" i="2" s="1"/>
  <c r="I362" i="2" a="1"/>
  <c r="I362" i="2" s="1"/>
  <c r="H361" i="2" a="1"/>
  <c r="H361" i="2" s="1"/>
  <c r="I361" i="2" a="1"/>
  <c r="I361" i="2" s="1"/>
  <c r="D361" i="2" a="1"/>
  <c r="D361" i="2" s="1"/>
  <c r="D360" i="2" a="1"/>
  <c r="D360" i="2" s="1"/>
  <c r="H360" i="2" a="1"/>
  <c r="H360" i="2" s="1"/>
  <c r="I360" i="2" a="1"/>
  <c r="I360" i="2" s="1"/>
  <c r="H359" i="2" a="1"/>
  <c r="H359" i="2" s="1"/>
  <c r="D359" i="2" a="1"/>
  <c r="D359" i="2" s="1"/>
  <c r="I359" i="2" a="1"/>
  <c r="I359" i="2" s="1"/>
  <c r="H358" i="2" a="1"/>
  <c r="H358" i="2" s="1"/>
  <c r="I358" i="2" a="1"/>
  <c r="I358" i="2" s="1"/>
  <c r="D358" i="2" a="1"/>
  <c r="D358" i="2" s="1"/>
  <c r="I357" i="2" a="1"/>
  <c r="I357" i="2" s="1"/>
  <c r="H357" i="2" a="1"/>
  <c r="H357" i="2" s="1"/>
  <c r="D357" i="2" a="1"/>
  <c r="D357" i="2" s="1"/>
  <c r="I356" i="2" a="1"/>
  <c r="I356" i="2" s="1"/>
  <c r="H356" i="2" a="1"/>
  <c r="H356" i="2" s="1"/>
  <c r="D356" i="2" a="1"/>
  <c r="D356" i="2" s="1"/>
  <c r="D355" i="2" a="1"/>
  <c r="D355" i="2" s="1"/>
  <c r="H355" i="2" a="1"/>
  <c r="H355" i="2" s="1"/>
  <c r="I355" i="2" a="1"/>
  <c r="I355" i="2" s="1"/>
  <c r="D354" i="2" a="1"/>
  <c r="D354" i="2" s="1"/>
  <c r="H354" i="2" a="1"/>
  <c r="H354" i="2" s="1"/>
  <c r="I354" i="2" a="1"/>
  <c r="I354" i="2" s="1"/>
  <c r="D353" i="2" a="1"/>
  <c r="D353" i="2" s="1"/>
  <c r="H353" i="2" a="1"/>
  <c r="H353" i="2" s="1"/>
  <c r="I353" i="2" a="1"/>
  <c r="I353" i="2" s="1"/>
  <c r="D352" i="2" a="1"/>
  <c r="D352" i="2" s="1"/>
  <c r="H352" i="2" a="1"/>
  <c r="H352" i="2" s="1"/>
  <c r="I352" i="2" a="1"/>
  <c r="I352" i="2" s="1"/>
  <c r="H351" i="2" a="1"/>
  <c r="H351" i="2" s="1"/>
  <c r="D351" i="2" a="1"/>
  <c r="D351" i="2" s="1"/>
  <c r="I351" i="2" a="1"/>
  <c r="I351" i="2" s="1"/>
  <c r="I350" i="2" a="1"/>
  <c r="I350" i="2" s="1"/>
  <c r="H350" i="2" a="1"/>
  <c r="H350" i="2" s="1"/>
  <c r="D350" i="2" a="1"/>
  <c r="D350" i="2" s="1"/>
  <c r="D349" i="2" a="1"/>
  <c r="D349" i="2" s="1"/>
  <c r="H349" i="2" a="1"/>
  <c r="H349" i="2" s="1"/>
  <c r="I349" i="2" a="1"/>
  <c r="I349" i="2" s="1"/>
  <c r="I348" i="2" a="1"/>
  <c r="I348" i="2" s="1"/>
  <c r="D348" i="2" a="1"/>
  <c r="D348" i="2" s="1"/>
  <c r="H348" i="2" a="1"/>
  <c r="H348" i="2" s="1"/>
  <c r="I347" i="2" a="1"/>
  <c r="I347" i="2" s="1"/>
  <c r="H347" i="2" a="1"/>
  <c r="H347" i="2" s="1"/>
  <c r="D347" i="2" a="1"/>
  <c r="D347" i="2" s="1"/>
  <c r="I346" i="2" a="1"/>
  <c r="I346" i="2" s="1"/>
  <c r="H346" i="2" a="1"/>
  <c r="H346" i="2" s="1"/>
  <c r="D346" i="2" a="1"/>
  <c r="D346" i="2" s="1"/>
  <c r="H345" i="2" a="1"/>
  <c r="H345" i="2" s="1"/>
  <c r="D345" i="2" a="1"/>
  <c r="D345" i="2" s="1"/>
  <c r="I345" i="2" a="1"/>
  <c r="I345" i="2" s="1"/>
  <c r="I344" i="2" a="1"/>
  <c r="I344" i="2" s="1"/>
  <c r="D344" i="2" a="1"/>
  <c r="D344" i="2" s="1"/>
  <c r="H344" i="2" a="1"/>
  <c r="H344" i="2" s="1"/>
  <c r="I343" i="2" a="1"/>
  <c r="I343" i="2" s="1"/>
  <c r="H343" i="2" a="1"/>
  <c r="H343" i="2" s="1"/>
  <c r="D343" i="2" a="1"/>
  <c r="D343" i="2" s="1"/>
  <c r="H342" i="2" a="1"/>
  <c r="H342" i="2" s="1"/>
  <c r="I342" i="2" a="1"/>
  <c r="I342" i="2" s="1"/>
  <c r="D342" i="2" a="1"/>
  <c r="D342" i="2" s="1"/>
  <c r="H341" i="2" a="1"/>
  <c r="H341" i="2" s="1"/>
  <c r="D341" i="2" a="1"/>
  <c r="D341" i="2" s="1"/>
  <c r="I341" i="2" a="1"/>
  <c r="I341" i="2" s="1"/>
  <c r="H340" i="2" a="1"/>
  <c r="H340" i="2" s="1"/>
  <c r="D340" i="2" a="1"/>
  <c r="D340" i="2" s="1"/>
  <c r="I340" i="2" a="1"/>
  <c r="I340" i="2" s="1"/>
  <c r="H339" i="2" a="1"/>
  <c r="H339" i="2" s="1"/>
  <c r="D339" i="2" a="1"/>
  <c r="D339" i="2" s="1"/>
  <c r="I339" i="2" a="1"/>
  <c r="I339" i="2" s="1"/>
  <c r="H338" i="2" a="1"/>
  <c r="H338" i="2" s="1"/>
  <c r="D338" i="2" a="1"/>
  <c r="D338" i="2" s="1"/>
  <c r="H337" i="2" a="1"/>
  <c r="H337" i="2" s="1"/>
  <c r="D337" i="2" a="1"/>
  <c r="D337" i="2" s="1"/>
  <c r="I336" i="2" a="1"/>
  <c r="I336" i="2" s="1"/>
  <c r="H336" i="2" a="1"/>
  <c r="H336" i="2" s="1"/>
  <c r="D336" i="2" a="1"/>
  <c r="D336" i="2" s="1"/>
  <c r="I335" i="2" a="1"/>
  <c r="I335" i="2" s="1"/>
  <c r="D335" i="2" a="1"/>
  <c r="D335" i="2" s="1"/>
  <c r="H335" i="2" a="1"/>
  <c r="H335" i="2" s="1"/>
  <c r="I334" i="2" a="1"/>
  <c r="I334" i="2" s="1"/>
  <c r="H334" i="2" a="1"/>
  <c r="H334" i="2" s="1"/>
  <c r="D334" i="2" a="1"/>
  <c r="D334" i="2" s="1"/>
  <c r="D333" i="2" a="1"/>
  <c r="D333" i="2" s="1"/>
  <c r="H333" i="2" a="1"/>
  <c r="H333" i="2" s="1"/>
  <c r="I333" i="2" a="1"/>
  <c r="I333" i="2" s="1"/>
  <c r="H332" i="2" a="1"/>
  <c r="H332" i="2" s="1"/>
  <c r="D332" i="2" a="1"/>
  <c r="D332" i="2" s="1"/>
  <c r="I332" i="2" a="1"/>
  <c r="I332" i="2" s="1"/>
  <c r="I331" i="2" a="1"/>
  <c r="I331" i="2" s="1"/>
  <c r="D331" i="2" a="1"/>
  <c r="D331" i="2" s="1"/>
  <c r="H331" i="2" a="1"/>
  <c r="H331" i="2" s="1"/>
  <c r="I330" i="2" a="1"/>
  <c r="I330" i="2" s="1"/>
  <c r="H330" i="2" a="1"/>
  <c r="H330" i="2" s="1"/>
  <c r="D330" i="2" a="1"/>
  <c r="D330" i="2" s="1"/>
  <c r="I329" i="2" a="1"/>
  <c r="I329" i="2" s="1"/>
  <c r="H329" i="2" a="1"/>
  <c r="H329" i="2" s="1"/>
  <c r="D329" i="2" a="1"/>
  <c r="D329" i="2" s="1"/>
  <c r="I328" i="2" a="1"/>
  <c r="I328" i="2" s="1"/>
  <c r="H328" i="2" a="1"/>
  <c r="H328" i="2" s="1"/>
  <c r="D328" i="2" a="1"/>
  <c r="D328" i="2" s="1"/>
  <c r="I327" i="2" a="1"/>
  <c r="I327" i="2" s="1"/>
  <c r="H327" i="2" a="1"/>
  <c r="H327" i="2" s="1"/>
  <c r="D327" i="2" a="1"/>
  <c r="D327" i="2" s="1"/>
  <c r="I326" i="2" a="1"/>
  <c r="I326" i="2" s="1"/>
  <c r="H326" i="2" a="1"/>
  <c r="H326" i="2" s="1"/>
  <c r="D326" i="2" a="1"/>
  <c r="D326" i="2" s="1"/>
  <c r="I325" i="2" a="1"/>
  <c r="I325" i="2" s="1"/>
  <c r="H325" i="2" a="1"/>
  <c r="H325" i="2" s="1"/>
  <c r="D325" i="2" a="1"/>
  <c r="D325" i="2" s="1"/>
  <c r="I324" i="2" a="1"/>
  <c r="I324" i="2" s="1"/>
  <c r="H324" i="2" a="1"/>
  <c r="H324" i="2" s="1"/>
  <c r="D324" i="2" a="1"/>
  <c r="D324" i="2" s="1"/>
  <c r="I323" i="2" a="1"/>
  <c r="I323" i="2" s="1"/>
  <c r="H323" i="2" a="1"/>
  <c r="H323" i="2" s="1"/>
  <c r="D323" i="2" a="1"/>
  <c r="D323" i="2" s="1"/>
  <c r="D322" i="2" a="1"/>
  <c r="D322" i="2" s="1"/>
  <c r="I322" i="2" a="1"/>
  <c r="I322" i="2" s="1"/>
  <c r="H322" i="2" a="1"/>
  <c r="H322" i="2" s="1"/>
  <c r="D321" i="2" a="1"/>
  <c r="D321" i="2" s="1"/>
  <c r="H321" i="2" a="1"/>
  <c r="H321" i="2" s="1"/>
  <c r="I321" i="2" a="1"/>
  <c r="I321" i="2" s="1"/>
  <c r="D320" i="2" a="1"/>
  <c r="D320" i="2" s="1"/>
  <c r="H320" i="2" a="1"/>
  <c r="H320" i="2" s="1"/>
  <c r="I320" i="2" a="1"/>
  <c r="I320" i="2" s="1"/>
  <c r="D319" i="2" a="1"/>
  <c r="D319" i="2" s="1"/>
  <c r="H319" i="2" a="1"/>
  <c r="H319" i="2" s="1"/>
  <c r="I319" i="2" a="1"/>
  <c r="I319" i="2" s="1"/>
  <c r="I318" i="2" a="1"/>
  <c r="I318" i="2" s="1"/>
  <c r="D318" i="2" a="1"/>
  <c r="D318" i="2" s="1"/>
  <c r="H318" i="2" a="1"/>
  <c r="H318" i="2" s="1"/>
  <c r="D317" i="2" a="1"/>
  <c r="D317" i="2" s="1"/>
  <c r="H317" i="2" a="1"/>
  <c r="H317" i="2" s="1"/>
  <c r="I317" i="2" a="1"/>
  <c r="I317" i="2" s="1"/>
  <c r="I316" i="2" a="1"/>
  <c r="I316" i="2" s="1"/>
  <c r="D316" i="2" a="1"/>
  <c r="D316" i="2" s="1"/>
  <c r="H316" i="2" a="1"/>
  <c r="H316" i="2" s="1"/>
  <c r="H315" i="2" a="1"/>
  <c r="H315" i="2" s="1"/>
  <c r="D315" i="2" a="1"/>
  <c r="D315" i="2" s="1"/>
  <c r="I315" i="2" a="1"/>
  <c r="I315" i="2" s="1"/>
  <c r="D314" i="2" a="1"/>
  <c r="D314" i="2" s="1"/>
  <c r="I314" i="2" a="1"/>
  <c r="I314" i="2" s="1"/>
  <c r="H314" i="2" a="1"/>
  <c r="H314" i="2" s="1"/>
  <c r="I313" i="2" a="1"/>
  <c r="I313" i="2" s="1"/>
  <c r="H313" i="2" a="1"/>
  <c r="H313" i="2" s="1"/>
  <c r="D313" i="2" a="1"/>
  <c r="D313" i="2" s="1"/>
  <c r="H312" i="2" a="1"/>
  <c r="H312" i="2" s="1"/>
  <c r="D312" i="2" a="1"/>
  <c r="D312" i="2" s="1"/>
  <c r="I312" i="2" a="1"/>
  <c r="I312" i="2" s="1"/>
  <c r="D311" i="2" a="1"/>
  <c r="D311" i="2" s="1"/>
  <c r="H311" i="2" a="1"/>
  <c r="H311" i="2" s="1"/>
  <c r="I311" i="2" a="1"/>
  <c r="I311" i="2" s="1"/>
  <c r="D310" i="2" a="1"/>
  <c r="D310" i="2" s="1"/>
  <c r="I310" i="2" a="1"/>
  <c r="I310" i="2" s="1"/>
  <c r="H310" i="2" a="1"/>
  <c r="H310" i="2" s="1"/>
  <c r="D309" i="2" a="1"/>
  <c r="D309" i="2" s="1"/>
  <c r="H309" i="2" a="1"/>
  <c r="H309" i="2" s="1"/>
  <c r="I309" i="2" a="1"/>
  <c r="I309" i="2" s="1"/>
  <c r="D308" i="2" a="1"/>
  <c r="D308" i="2" s="1"/>
  <c r="H308" i="2" a="1"/>
  <c r="H308" i="2" s="1"/>
  <c r="I308" i="2" a="1"/>
  <c r="I308" i="2" s="1"/>
  <c r="D307" i="2" a="1"/>
  <c r="D307" i="2" s="1"/>
  <c r="H307" i="2" a="1"/>
  <c r="H307" i="2" s="1"/>
  <c r="I307" i="2" a="1"/>
  <c r="I307" i="2" s="1"/>
  <c r="D306" i="2" a="1"/>
  <c r="D306" i="2" s="1"/>
  <c r="H306" i="2" a="1"/>
  <c r="H306" i="2" s="1"/>
  <c r="H305" i="2" a="1"/>
  <c r="H305" i="2" s="1"/>
  <c r="D305" i="2" a="1"/>
  <c r="D305" i="2" s="1"/>
  <c r="D304" i="2" a="1"/>
  <c r="D304" i="2" s="1"/>
  <c r="I304" i="2" a="1"/>
  <c r="I304" i="2" s="1"/>
  <c r="H304" i="2" a="1"/>
  <c r="H304" i="2" s="1"/>
  <c r="D303" i="2" a="1"/>
  <c r="D303" i="2" s="1"/>
  <c r="I303" i="2" a="1"/>
  <c r="I303" i="2" s="1"/>
  <c r="H303" i="2" a="1"/>
  <c r="H303" i="2" s="1"/>
  <c r="I302" i="2" a="1"/>
  <c r="I302" i="2" s="1"/>
  <c r="H302" i="2" a="1"/>
  <c r="H302" i="2" s="1"/>
  <c r="D302" i="2" a="1"/>
  <c r="D302" i="2" s="1"/>
  <c r="I301" i="2" a="1"/>
  <c r="I301" i="2" s="1"/>
  <c r="D301" i="2" a="1"/>
  <c r="D301" i="2" s="1"/>
  <c r="H301" i="2" a="1"/>
  <c r="H301" i="2" s="1"/>
  <c r="I300" i="2" a="1"/>
  <c r="I300" i="2" s="1"/>
  <c r="H300" i="2" a="1"/>
  <c r="H300" i="2" s="1"/>
  <c r="D300" i="2" a="1"/>
  <c r="D300" i="2" s="1"/>
  <c r="I299" i="2" a="1"/>
  <c r="I299" i="2" s="1"/>
  <c r="H299" i="2" a="1"/>
  <c r="H299" i="2" s="1"/>
  <c r="D299" i="2" a="1"/>
  <c r="D299" i="2" s="1"/>
  <c r="D298" i="2" a="1"/>
  <c r="D298" i="2" s="1"/>
  <c r="I298" i="2" a="1"/>
  <c r="I298" i="2" s="1"/>
  <c r="H298" i="2" a="1"/>
  <c r="H298" i="2" s="1"/>
  <c r="D297" i="2" a="1"/>
  <c r="D297" i="2" s="1"/>
  <c r="H297" i="2" a="1"/>
  <c r="H297" i="2" s="1"/>
  <c r="I297" i="2" a="1"/>
  <c r="I297" i="2" s="1"/>
  <c r="D296" i="2" a="1"/>
  <c r="D296" i="2" s="1"/>
  <c r="H296" i="2" a="1"/>
  <c r="H296" i="2" s="1"/>
  <c r="I296" i="2" a="1"/>
  <c r="I296" i="2" s="1"/>
  <c r="D295" i="2" a="1"/>
  <c r="D295" i="2" s="1"/>
  <c r="H295" i="2" a="1"/>
  <c r="H295" i="2" s="1"/>
  <c r="I295" i="2" a="1"/>
  <c r="I295" i="2" s="1"/>
  <c r="D294" i="2" a="1"/>
  <c r="D294" i="2" s="1"/>
  <c r="H294" i="2" a="1"/>
  <c r="H294" i="2" s="1"/>
  <c r="I294" i="2" a="1"/>
  <c r="I294" i="2" s="1"/>
  <c r="D293" i="2" a="1"/>
  <c r="D293" i="2" s="1"/>
  <c r="H293" i="2" a="1"/>
  <c r="H293" i="2" s="1"/>
  <c r="I293" i="2" a="1"/>
  <c r="I293" i="2" s="1"/>
  <c r="I292" i="2" a="1"/>
  <c r="I292" i="2" s="1"/>
  <c r="H292" i="2" a="1"/>
  <c r="H292" i="2" s="1"/>
  <c r="D292" i="2" a="1"/>
  <c r="D292" i="2" s="1"/>
  <c r="I291" i="2" a="1"/>
  <c r="I291" i="2" s="1"/>
  <c r="H291" i="2" a="1"/>
  <c r="H291" i="2" s="1"/>
  <c r="D291" i="2" a="1"/>
  <c r="D291" i="2" s="1"/>
  <c r="D290" i="2" a="1"/>
  <c r="D290" i="2" s="1"/>
  <c r="H290" i="2" a="1"/>
  <c r="H290" i="2" s="1"/>
  <c r="I290" i="2" a="1"/>
  <c r="I290" i="2" s="1"/>
  <c r="I289" i="2" a="1"/>
  <c r="I289" i="2" s="1"/>
  <c r="H289" i="2" a="1"/>
  <c r="H289" i="2" s="1"/>
  <c r="D289" i="2" a="1"/>
  <c r="D289" i="2" s="1"/>
  <c r="D288" i="2" a="1"/>
  <c r="D288" i="2" s="1"/>
  <c r="H288" i="2" a="1"/>
  <c r="H288" i="2" s="1"/>
  <c r="I288" i="2" a="1"/>
  <c r="I288" i="2" s="1"/>
  <c r="D287" i="2" a="1"/>
  <c r="D287" i="2" s="1"/>
  <c r="H287" i="2" a="1"/>
  <c r="H287" i="2" s="1"/>
  <c r="I287" i="2" a="1"/>
  <c r="I287" i="2" s="1"/>
  <c r="I286" i="2" a="1"/>
  <c r="I286" i="2" s="1"/>
  <c r="H286" i="2" a="1"/>
  <c r="H286" i="2" s="1"/>
  <c r="D286" i="2" a="1"/>
  <c r="D286" i="2" s="1"/>
  <c r="I285" i="2" a="1"/>
  <c r="I285" i="2" s="1"/>
  <c r="D285" i="2" a="1"/>
  <c r="D285" i="2" s="1"/>
  <c r="H285" i="2" a="1"/>
  <c r="H285" i="2" s="1"/>
  <c r="I284" i="2" a="1"/>
  <c r="I284" i="2" s="1"/>
  <c r="H284" i="2" a="1"/>
  <c r="H284" i="2" s="1"/>
  <c r="D284" i="2" a="1"/>
  <c r="D284" i="2" s="1"/>
  <c r="I283" i="2" a="1"/>
  <c r="I283" i="2" s="1"/>
  <c r="H283" i="2" a="1"/>
  <c r="H283" i="2" s="1"/>
  <c r="D283" i="2" a="1"/>
  <c r="D283" i="2" s="1"/>
  <c r="H282" i="2" a="1"/>
  <c r="H282" i="2" s="1"/>
  <c r="I282" i="2" a="1"/>
  <c r="I282" i="2" s="1"/>
  <c r="D282" i="2" a="1"/>
  <c r="D282" i="2" s="1"/>
  <c r="D281" i="2" a="1"/>
  <c r="D281" i="2" s="1"/>
  <c r="I281" i="2" a="1"/>
  <c r="I281" i="2" s="1"/>
  <c r="H281" i="2" a="1"/>
  <c r="H281" i="2" s="1"/>
  <c r="D280" i="2" a="1"/>
  <c r="D280" i="2" s="1"/>
  <c r="H280" i="2" a="1"/>
  <c r="H280" i="2" s="1"/>
  <c r="I280" i="2" a="1"/>
  <c r="I280" i="2" s="1"/>
  <c r="I279" i="2" a="1"/>
  <c r="I279" i="2" s="1"/>
  <c r="H279" i="2" a="1"/>
  <c r="H279" i="2" s="1"/>
  <c r="D279" i="2" a="1"/>
  <c r="D279" i="2" s="1"/>
  <c r="I278" i="2" a="1"/>
  <c r="I278" i="2" s="1"/>
  <c r="H278" i="2" a="1"/>
  <c r="H278" i="2" s="1"/>
  <c r="D278" i="2" a="1"/>
  <c r="D278" i="2" s="1"/>
  <c r="D277" i="2" a="1"/>
  <c r="D277" i="2" s="1"/>
  <c r="I277" i="2" a="1"/>
  <c r="I277" i="2" s="1"/>
  <c r="H277" i="2" a="1"/>
  <c r="H277" i="2" s="1"/>
  <c r="I276" i="2" a="1"/>
  <c r="I276" i="2" s="1"/>
  <c r="H276" i="2" a="1"/>
  <c r="H276" i="2" s="1"/>
  <c r="D276" i="2" a="1"/>
  <c r="D276" i="2" s="1"/>
  <c r="I275" i="2" a="1"/>
  <c r="I275" i="2" s="1"/>
  <c r="H275" i="2" a="1"/>
  <c r="H275" i="2" s="1"/>
  <c r="D275" i="2" a="1"/>
  <c r="D275" i="2" s="1"/>
  <c r="D274" i="2" a="1"/>
  <c r="D274" i="2" s="1"/>
  <c r="H274" i="2" a="1"/>
  <c r="H274" i="2" s="1"/>
  <c r="H273" i="2" a="1"/>
  <c r="H273" i="2" s="1"/>
  <c r="D273" i="2" a="1"/>
  <c r="D273" i="2" s="1"/>
  <c r="I272" i="2" a="1"/>
  <c r="I272" i="2" s="1"/>
  <c r="H272" i="2" a="1"/>
  <c r="H272" i="2" s="1"/>
  <c r="D272" i="2" a="1"/>
  <c r="D272" i="2" s="1"/>
  <c r="H271" i="2" a="1"/>
  <c r="H271" i="2" s="1"/>
  <c r="I271" i="2" a="1"/>
  <c r="I271" i="2" s="1"/>
  <c r="D271" i="2" a="1"/>
  <c r="D271" i="2" s="1"/>
  <c r="D270" i="2" a="1"/>
  <c r="D270" i="2" s="1"/>
  <c r="I270" i="2" a="1"/>
  <c r="I270" i="2" s="1"/>
  <c r="H270" i="2" a="1"/>
  <c r="H270" i="2" s="1"/>
  <c r="D269" i="2" a="1"/>
  <c r="D269" i="2" s="1"/>
  <c r="I269" i="2" a="1"/>
  <c r="I269" i="2" s="1"/>
  <c r="H269" i="2" a="1"/>
  <c r="H269" i="2" s="1"/>
  <c r="I268" i="2" a="1"/>
  <c r="I268" i="2" s="1"/>
  <c r="H268" i="2" a="1"/>
  <c r="H268" i="2" s="1"/>
  <c r="D268" i="2" a="1"/>
  <c r="D268" i="2" s="1"/>
  <c r="D267" i="2" a="1"/>
  <c r="D267" i="2" s="1"/>
  <c r="H267" i="2" a="1"/>
  <c r="H267" i="2" s="1"/>
  <c r="I267" i="2" a="1"/>
  <c r="I267" i="2" s="1"/>
  <c r="H266" i="2" a="1"/>
  <c r="H266" i="2" s="1"/>
  <c r="I266" i="2" a="1"/>
  <c r="I266" i="2" s="1"/>
  <c r="D266" i="2" a="1"/>
  <c r="D266" i="2" s="1"/>
  <c r="D265" i="2" a="1"/>
  <c r="D265" i="2" s="1"/>
  <c r="I265" i="2" a="1"/>
  <c r="I265" i="2" s="1"/>
  <c r="H265" i="2" a="1"/>
  <c r="H265" i="2" s="1"/>
  <c r="H264" i="2" a="1"/>
  <c r="H264" i="2" s="1"/>
  <c r="I264" i="2" a="1"/>
  <c r="I264" i="2" s="1"/>
  <c r="D264" i="2" a="1"/>
  <c r="D264" i="2" s="1"/>
  <c r="D263" i="2" a="1"/>
  <c r="D263" i="2" s="1"/>
  <c r="H263" i="2" a="1"/>
  <c r="H263" i="2" s="1"/>
  <c r="I263" i="2" a="1"/>
  <c r="I263" i="2" s="1"/>
  <c r="I262" i="2" a="1"/>
  <c r="I262" i="2" s="1"/>
  <c r="H262" i="2" a="1"/>
  <c r="H262" i="2" s="1"/>
  <c r="D262" i="2" a="1"/>
  <c r="D262" i="2" s="1"/>
  <c r="I261" i="2" a="1"/>
  <c r="I261" i="2" s="1"/>
  <c r="H261" i="2" a="1"/>
  <c r="H261" i="2" s="1"/>
  <c r="D261" i="2" a="1"/>
  <c r="D261" i="2" s="1"/>
  <c r="I260" i="2" a="1"/>
  <c r="I260" i="2" s="1"/>
  <c r="H260" i="2" a="1"/>
  <c r="H260" i="2" s="1"/>
  <c r="D260" i="2" a="1"/>
  <c r="D260" i="2" s="1"/>
  <c r="D259" i="2" a="1"/>
  <c r="D259" i="2" s="1"/>
  <c r="I259" i="2" a="1"/>
  <c r="I259" i="2" s="1"/>
  <c r="H259" i="2" a="1"/>
  <c r="H259" i="2" s="1"/>
  <c r="I258" i="2" a="1"/>
  <c r="I258" i="2" s="1"/>
  <c r="H258" i="2" a="1"/>
  <c r="H258" i="2" s="1"/>
  <c r="D258" i="2" a="1"/>
  <c r="D258" i="2" s="1"/>
  <c r="I257" i="2" a="1"/>
  <c r="I257" i="2" s="1"/>
  <c r="H257" i="2" a="1"/>
  <c r="H257" i="2" s="1"/>
  <c r="D257" i="2" a="1"/>
  <c r="D257" i="2" s="1"/>
  <c r="D256" i="2" a="1"/>
  <c r="D256" i="2" s="1"/>
  <c r="I256" i="2" a="1"/>
  <c r="I256" i="2" s="1"/>
  <c r="H256" i="2" a="1"/>
  <c r="H256" i="2" s="1"/>
  <c r="I255" i="2" a="1"/>
  <c r="I255" i="2" s="1"/>
  <c r="H255" i="2" a="1"/>
  <c r="H255" i="2" s="1"/>
  <c r="D255" i="2" a="1"/>
  <c r="D255" i="2" s="1"/>
  <c r="D254" i="2" a="1"/>
  <c r="D254" i="2" s="1"/>
  <c r="H254" i="2" a="1"/>
  <c r="H254" i="2" s="1"/>
  <c r="I254" i="2" a="1"/>
  <c r="I254" i="2" s="1"/>
  <c r="I253" i="2" a="1"/>
  <c r="I253" i="2" s="1"/>
  <c r="H253" i="2" a="1"/>
  <c r="H253" i="2" s="1"/>
  <c r="D253" i="2" a="1"/>
  <c r="D253" i="2" s="1"/>
  <c r="I252" i="2" a="1"/>
  <c r="I252" i="2" s="1"/>
  <c r="D252" i="2" a="1"/>
  <c r="D252" i="2" s="1"/>
  <c r="H252" i="2" a="1"/>
  <c r="H252" i="2" s="1"/>
  <c r="I251" i="2" a="1"/>
  <c r="I251" i="2" s="1"/>
  <c r="H251" i="2" a="1"/>
  <c r="H251" i="2" s="1"/>
  <c r="D251" i="2" a="1"/>
  <c r="D251" i="2" s="1"/>
  <c r="D250" i="2" a="1"/>
  <c r="D250" i="2" s="1"/>
  <c r="I250" i="2" a="1"/>
  <c r="I250" i="2" s="1"/>
  <c r="H250" i="2" a="1"/>
  <c r="H250" i="2" s="1"/>
  <c r="I249" i="2" a="1"/>
  <c r="I249" i="2" s="1"/>
  <c r="H249" i="2" a="1"/>
  <c r="H249" i="2" s="1"/>
  <c r="D249" i="2" a="1"/>
  <c r="D249" i="2" s="1"/>
  <c r="H248" i="2" a="1"/>
  <c r="H248" i="2" s="1"/>
  <c r="D248" i="2" a="1"/>
  <c r="D248" i="2" s="1"/>
  <c r="I248" i="2" a="1"/>
  <c r="I248" i="2" s="1"/>
  <c r="H247" i="2" a="1"/>
  <c r="H247" i="2" s="1"/>
  <c r="I247" i="2" a="1"/>
  <c r="I247" i="2" s="1"/>
  <c r="D247" i="2" a="1"/>
  <c r="D247" i="2" s="1"/>
  <c r="I246" i="2" a="1"/>
  <c r="I246" i="2" s="1"/>
  <c r="H246" i="2" a="1"/>
  <c r="H246" i="2" s="1"/>
  <c r="D246" i="2" a="1"/>
  <c r="D246" i="2" s="1"/>
  <c r="I245" i="2" a="1"/>
  <c r="I245" i="2" s="1"/>
  <c r="H245" i="2" a="1"/>
  <c r="H245" i="2" s="1"/>
  <c r="D245" i="2" a="1"/>
  <c r="D245" i="2" s="1"/>
  <c r="I244" i="2" a="1"/>
  <c r="I244" i="2" s="1"/>
  <c r="H244" i="2" a="1"/>
  <c r="H244" i="2" s="1"/>
  <c r="D244" i="2" a="1"/>
  <c r="D244" i="2" s="1"/>
  <c r="H243" i="2" a="1"/>
  <c r="H243" i="2" s="1"/>
  <c r="I243" i="2" a="1"/>
  <c r="I243" i="2" s="1"/>
  <c r="D243" i="2" a="1"/>
  <c r="D243" i="2" s="1"/>
  <c r="H242" i="2" a="1"/>
  <c r="H242" i="2" s="1"/>
  <c r="D242" i="2" a="1"/>
  <c r="D242" i="2" s="1"/>
  <c r="H241" i="2" a="1"/>
  <c r="H241" i="2" s="1"/>
  <c r="D241" i="2" a="1"/>
  <c r="D241" i="2" s="1"/>
  <c r="H240" i="2" a="1"/>
  <c r="H240" i="2" s="1"/>
  <c r="I240" i="2" a="1"/>
  <c r="I240" i="2" s="1"/>
  <c r="D240" i="2" a="1"/>
  <c r="D240" i="2" s="1"/>
  <c r="I239" i="2" a="1"/>
  <c r="I239" i="2" s="1"/>
  <c r="H239" i="2" a="1"/>
  <c r="H239" i="2" s="1"/>
  <c r="D239" i="2" a="1"/>
  <c r="D239" i="2" s="1"/>
  <c r="I238" i="2" a="1"/>
  <c r="I238" i="2" s="1"/>
  <c r="H238" i="2" a="1"/>
  <c r="H238" i="2" s="1"/>
  <c r="D238" i="2" a="1"/>
  <c r="D238" i="2" s="1"/>
  <c r="I237" i="2" a="1"/>
  <c r="I237" i="2" s="1"/>
  <c r="H237" i="2" a="1"/>
  <c r="H237" i="2" s="1"/>
  <c r="D237" i="2" a="1"/>
  <c r="D237" i="2" s="1"/>
  <c r="I236" i="2" a="1"/>
  <c r="I236" i="2" s="1"/>
  <c r="H236" i="2" a="1"/>
  <c r="H236" i="2" s="1"/>
  <c r="D236" i="2" a="1"/>
  <c r="D236" i="2" s="1"/>
  <c r="I235" i="2" a="1"/>
  <c r="I235" i="2" s="1"/>
  <c r="H235" i="2" a="1"/>
  <c r="H235" i="2" s="1"/>
  <c r="D235" i="2" a="1"/>
  <c r="D235" i="2" s="1"/>
  <c r="D234" i="2" a="1"/>
  <c r="D234" i="2" s="1"/>
  <c r="I234" i="2" a="1"/>
  <c r="I234" i="2" s="1"/>
  <c r="H234" i="2" a="1"/>
  <c r="H234" i="2" s="1"/>
  <c r="I233" i="2" a="1"/>
  <c r="I233" i="2" s="1"/>
  <c r="H233" i="2" a="1"/>
  <c r="H233" i="2" s="1"/>
  <c r="D233" i="2" a="1"/>
  <c r="D233" i="2" s="1"/>
  <c r="I232" i="2" a="1"/>
  <c r="I232" i="2" s="1"/>
  <c r="H232" i="2" a="1"/>
  <c r="H232" i="2" s="1"/>
  <c r="D232" i="2" a="1"/>
  <c r="D232" i="2" s="1"/>
  <c r="I231" i="2" a="1"/>
  <c r="I231" i="2" s="1"/>
  <c r="H231" i="2" a="1"/>
  <c r="H231" i="2" s="1"/>
  <c r="D231" i="2" a="1"/>
  <c r="D231" i="2" s="1"/>
  <c r="I230" i="2" a="1"/>
  <c r="I230" i="2" s="1"/>
  <c r="H230" i="2" a="1"/>
  <c r="H230" i="2" s="1"/>
  <c r="D230" i="2" a="1"/>
  <c r="D230" i="2" s="1"/>
  <c r="I229" i="2" a="1"/>
  <c r="I229" i="2" s="1"/>
  <c r="H229" i="2" a="1"/>
  <c r="H229" i="2" s="1"/>
  <c r="D229" i="2" a="1"/>
  <c r="D229" i="2" s="1"/>
  <c r="I228" i="2" a="1"/>
  <c r="I228" i="2" s="1"/>
  <c r="H228" i="2" a="1"/>
  <c r="H228" i="2" s="1"/>
  <c r="D228" i="2" a="1"/>
  <c r="D228" i="2" s="1"/>
  <c r="I227" i="2" a="1"/>
  <c r="I227" i="2" s="1"/>
  <c r="H227" i="2" a="1"/>
  <c r="H227" i="2" s="1"/>
  <c r="D227" i="2" a="1"/>
  <c r="D227" i="2" s="1"/>
  <c r="I226" i="2" a="1"/>
  <c r="I226" i="2" s="1"/>
  <c r="H226" i="2" a="1"/>
  <c r="H226" i="2" s="1"/>
  <c r="D226" i="2" a="1"/>
  <c r="D226" i="2" s="1"/>
  <c r="I225" i="2" a="1"/>
  <c r="I225" i="2" s="1"/>
  <c r="H225" i="2" a="1"/>
  <c r="H225" i="2" s="1"/>
  <c r="D225" i="2" a="1"/>
  <c r="D225" i="2" s="1"/>
  <c r="I224" i="2" a="1"/>
  <c r="I224" i="2" s="1"/>
  <c r="H224" i="2" a="1"/>
  <c r="H224" i="2" s="1"/>
  <c r="D224" i="2" a="1"/>
  <c r="D224" i="2" s="1"/>
  <c r="I223" i="2" a="1"/>
  <c r="I223" i="2" s="1"/>
  <c r="H223" i="2" a="1"/>
  <c r="H223" i="2" s="1"/>
  <c r="D223" i="2" a="1"/>
  <c r="D223" i="2" s="1"/>
  <c r="I222" i="2" a="1"/>
  <c r="I222" i="2" s="1"/>
  <c r="H222" i="2" a="1"/>
  <c r="H222" i="2" s="1"/>
  <c r="D222" i="2" a="1"/>
  <c r="D222" i="2" s="1"/>
  <c r="I221" i="2" a="1"/>
  <c r="I221" i="2" s="1"/>
  <c r="H221" i="2" a="1"/>
  <c r="H221" i="2" s="1"/>
  <c r="D221" i="2" a="1"/>
  <c r="D221" i="2" s="1"/>
  <c r="I220" i="2" a="1"/>
  <c r="I220" i="2" s="1"/>
  <c r="H220" i="2" a="1"/>
  <c r="H220" i="2" s="1"/>
  <c r="D220" i="2" a="1"/>
  <c r="D220" i="2" s="1"/>
  <c r="I219" i="2" a="1"/>
  <c r="I219" i="2" s="1"/>
  <c r="H219" i="2" a="1"/>
  <c r="H219" i="2" s="1"/>
  <c r="D219" i="2" a="1"/>
  <c r="D219" i="2" s="1"/>
  <c r="I218" i="2" a="1"/>
  <c r="I218" i="2" s="1"/>
  <c r="H218" i="2" a="1"/>
  <c r="H218" i="2" s="1"/>
  <c r="D218" i="2" a="1"/>
  <c r="D218" i="2" s="1"/>
  <c r="I217" i="2" a="1"/>
  <c r="I217" i="2" s="1"/>
  <c r="H217" i="2" a="1"/>
  <c r="H217" i="2" s="1"/>
  <c r="D217" i="2" a="1"/>
  <c r="D217" i="2" s="1"/>
  <c r="I216" i="2" a="1"/>
  <c r="I216" i="2" s="1"/>
  <c r="H216" i="2" a="1"/>
  <c r="H216" i="2" s="1"/>
  <c r="D216" i="2" a="1"/>
  <c r="D216" i="2" s="1"/>
  <c r="I215" i="2" a="1"/>
  <c r="I215" i="2" s="1"/>
  <c r="H215" i="2" a="1"/>
  <c r="H215" i="2" s="1"/>
  <c r="D215" i="2" a="1"/>
  <c r="D215" i="2" s="1"/>
  <c r="I214" i="2" a="1"/>
  <c r="I214" i="2" s="1"/>
  <c r="H214" i="2" a="1"/>
  <c r="H214" i="2" s="1"/>
  <c r="D214" i="2" a="1"/>
  <c r="D214" i="2" s="1"/>
  <c r="I213" i="2" a="1"/>
  <c r="I213" i="2" s="1"/>
  <c r="H213" i="2" a="1"/>
  <c r="H213" i="2" s="1"/>
  <c r="D213" i="2" a="1"/>
  <c r="D213" i="2" s="1"/>
  <c r="D212" i="2" a="1"/>
  <c r="D212" i="2" s="1"/>
  <c r="I212" i="2" a="1"/>
  <c r="I212" i="2" s="1"/>
  <c r="H212" i="2" a="1"/>
  <c r="H212" i="2" s="1"/>
  <c r="I211" i="2" a="1"/>
  <c r="I211" i="2" s="1"/>
  <c r="H211" i="2" a="1"/>
  <c r="H211" i="2" s="1"/>
  <c r="D211" i="2" a="1"/>
  <c r="D211" i="2" s="1"/>
  <c r="D210" i="2" a="1"/>
  <c r="D210" i="2" s="1"/>
  <c r="H210" i="2" a="1"/>
  <c r="H210" i="2" s="1"/>
  <c r="H209" i="2" a="1"/>
  <c r="H209" i="2" s="1"/>
  <c r="D209" i="2" a="1"/>
  <c r="D209" i="2" s="1"/>
  <c r="I208" i="2" a="1"/>
  <c r="I208" i="2" s="1"/>
  <c r="H208" i="2" a="1"/>
  <c r="H208" i="2" s="1"/>
  <c r="D208" i="2" a="1"/>
  <c r="D208" i="2" s="1"/>
  <c r="D207" i="2" a="1"/>
  <c r="D207" i="2" s="1"/>
  <c r="I207" i="2" a="1"/>
  <c r="I207" i="2" s="1"/>
  <c r="H207" i="2" a="1"/>
  <c r="H207" i="2" s="1"/>
  <c r="I206" i="2" a="1"/>
  <c r="I206" i="2" s="1"/>
  <c r="H206" i="2" a="1"/>
  <c r="H206" i="2" s="1"/>
  <c r="D206" i="2" a="1"/>
  <c r="D206" i="2" s="1"/>
  <c r="D205" i="2" a="1"/>
  <c r="D205" i="2" s="1"/>
  <c r="H205" i="2" a="1"/>
  <c r="H205" i="2" s="1"/>
  <c r="I205" i="2" a="1"/>
  <c r="I205" i="2" s="1"/>
  <c r="I204" i="2" a="1"/>
  <c r="I204" i="2" s="1"/>
  <c r="H204" i="2" a="1"/>
  <c r="H204" i="2" s="1"/>
  <c r="D204" i="2" a="1"/>
  <c r="D204" i="2" s="1"/>
  <c r="D203" i="2" a="1"/>
  <c r="D203" i="2" s="1"/>
  <c r="I203" i="2" a="1"/>
  <c r="I203" i="2" s="1"/>
  <c r="H203" i="2" a="1"/>
  <c r="H203" i="2" s="1"/>
  <c r="I202" i="2" a="1"/>
  <c r="I202" i="2" s="1"/>
  <c r="D202" i="2" a="1"/>
  <c r="D202" i="2" s="1"/>
  <c r="H202" i="2" a="1"/>
  <c r="H202" i="2" s="1"/>
  <c r="D201" i="2" a="1"/>
  <c r="D201" i="2" s="1"/>
  <c r="I201" i="2" a="1"/>
  <c r="I201" i="2" s="1"/>
  <c r="H201" i="2" a="1"/>
  <c r="H201" i="2" s="1"/>
  <c r="I200" i="2" a="1"/>
  <c r="I200" i="2" s="1"/>
  <c r="H200" i="2" a="1"/>
  <c r="H200" i="2" s="1"/>
  <c r="D200" i="2" a="1"/>
  <c r="D200" i="2" s="1"/>
  <c r="D199" i="2" a="1"/>
  <c r="D199" i="2" s="1"/>
  <c r="I199" i="2" a="1"/>
  <c r="I199" i="2" s="1"/>
  <c r="H199" i="2" a="1"/>
  <c r="H199" i="2" s="1"/>
  <c r="D198" i="2" a="1"/>
  <c r="D198" i="2" s="1"/>
  <c r="H198" i="2" a="1"/>
  <c r="H198" i="2" s="1"/>
  <c r="I198" i="2" a="1"/>
  <c r="I198" i="2" s="1"/>
  <c r="I197" i="2" a="1"/>
  <c r="I197" i="2" s="1"/>
  <c r="H197" i="2" a="1"/>
  <c r="H197" i="2" s="1"/>
  <c r="D197" i="2" a="1"/>
  <c r="D197" i="2" s="1"/>
  <c r="H196" i="2" a="1"/>
  <c r="H196" i="2" s="1"/>
  <c r="D196" i="2" a="1"/>
  <c r="D196" i="2" s="1"/>
  <c r="I196" i="2" a="1"/>
  <c r="I196" i="2" s="1"/>
  <c r="D195" i="2" a="1"/>
  <c r="D195" i="2" s="1"/>
  <c r="H195" i="2" a="1"/>
  <c r="H195" i="2" s="1"/>
  <c r="I195" i="2" a="1"/>
  <c r="I195" i="2" s="1"/>
  <c r="I194" i="2" a="1"/>
  <c r="I194" i="2" s="1"/>
  <c r="H194" i="2" a="1"/>
  <c r="H194" i="2" s="1"/>
  <c r="D194" i="2" a="1"/>
  <c r="D194" i="2" s="1"/>
  <c r="I193" i="2" a="1"/>
  <c r="I193" i="2" s="1"/>
  <c r="H193" i="2" a="1"/>
  <c r="H193" i="2" s="1"/>
  <c r="D193" i="2" a="1"/>
  <c r="D193" i="2" s="1"/>
  <c r="I192" i="2" a="1"/>
  <c r="I192" i="2" s="1"/>
  <c r="H192" i="2" a="1"/>
  <c r="H192" i="2" s="1"/>
  <c r="D192" i="2" a="1"/>
  <c r="D192" i="2" s="1"/>
  <c r="D191" i="2" a="1"/>
  <c r="D191" i="2" s="1"/>
  <c r="I191" i="2" a="1"/>
  <c r="I191" i="2" s="1"/>
  <c r="H191" i="2" a="1"/>
  <c r="H191" i="2" s="1"/>
  <c r="I190" i="2" a="1"/>
  <c r="I190" i="2" s="1"/>
  <c r="H190" i="2" a="1"/>
  <c r="H190" i="2" s="1"/>
  <c r="D190" i="2" a="1"/>
  <c r="D190" i="2" s="1"/>
  <c r="I189" i="2" a="1"/>
  <c r="I189" i="2" s="1"/>
  <c r="H189" i="2" a="1"/>
  <c r="H189" i="2" s="1"/>
  <c r="D189" i="2" a="1"/>
  <c r="D189" i="2" s="1"/>
  <c r="I188" i="2" a="1"/>
  <c r="I188" i="2" s="1"/>
  <c r="H188" i="2" a="1"/>
  <c r="H188" i="2" s="1"/>
  <c r="D188" i="2" a="1"/>
  <c r="D188" i="2" s="1"/>
  <c r="I187" i="2" a="1"/>
  <c r="I187" i="2" s="1"/>
  <c r="H187" i="2" a="1"/>
  <c r="H187" i="2" s="1"/>
  <c r="D187" i="2" a="1"/>
  <c r="D187" i="2" s="1"/>
  <c r="I186" i="2" a="1"/>
  <c r="I186" i="2" s="1"/>
  <c r="H186" i="2" a="1"/>
  <c r="H186" i="2" s="1"/>
  <c r="D186" i="2" a="1"/>
  <c r="D186" i="2" s="1"/>
  <c r="I185" i="2" a="1"/>
  <c r="I185" i="2" s="1"/>
  <c r="H185" i="2" a="1"/>
  <c r="H185" i="2" s="1"/>
  <c r="D185" i="2" a="1"/>
  <c r="D185" i="2" s="1"/>
  <c r="I184" i="2" a="1"/>
  <c r="I184" i="2" s="1"/>
  <c r="H184" i="2" a="1"/>
  <c r="H184" i="2" s="1"/>
  <c r="D184" i="2" a="1"/>
  <c r="D184" i="2" s="1"/>
  <c r="I183" i="2" a="1"/>
  <c r="I183" i="2" s="1"/>
  <c r="H183" i="2" a="1"/>
  <c r="H183" i="2" s="1"/>
  <c r="D183" i="2" a="1"/>
  <c r="D183" i="2" s="1"/>
  <c r="D182" i="2" a="1"/>
  <c r="D182" i="2" s="1"/>
  <c r="I182" i="2" a="1"/>
  <c r="I182" i="2" s="1"/>
  <c r="H182" i="2" a="1"/>
  <c r="H182" i="2" s="1"/>
  <c r="I181" i="2" a="1"/>
  <c r="I181" i="2" s="1"/>
  <c r="H181" i="2" a="1"/>
  <c r="H181" i="2" s="1"/>
  <c r="D181" i="2" a="1"/>
  <c r="D181" i="2" s="1"/>
  <c r="I180" i="2" a="1"/>
  <c r="I180" i="2" s="1"/>
  <c r="H180" i="2" a="1"/>
  <c r="H180" i="2" s="1"/>
  <c r="D180" i="2" a="1"/>
  <c r="D180" i="2" s="1"/>
  <c r="I179" i="2" a="1"/>
  <c r="I179" i="2" s="1"/>
  <c r="H179" i="2" a="1"/>
  <c r="H179" i="2" s="1"/>
  <c r="D179" i="2" a="1"/>
  <c r="D179" i="2" s="1"/>
  <c r="D178" i="2" a="1"/>
  <c r="D178" i="2" s="1"/>
  <c r="H178" i="2" a="1"/>
  <c r="H178" i="2" s="1"/>
  <c r="D177" i="2" a="1"/>
  <c r="D177" i="2" s="1"/>
  <c r="H177" i="2" a="1"/>
  <c r="H177" i="2" s="1"/>
  <c r="I176" i="2" a="1"/>
  <c r="I176" i="2" s="1"/>
  <c r="H176" i="2" a="1"/>
  <c r="H176" i="2" s="1"/>
  <c r="D176" i="2" a="1"/>
  <c r="D176" i="2" s="1"/>
  <c r="H175" i="2" a="1"/>
  <c r="H175" i="2" s="1"/>
  <c r="I175" i="2" a="1"/>
  <c r="I175" i="2" s="1"/>
  <c r="D175" i="2" a="1"/>
  <c r="D175" i="2" s="1"/>
  <c r="D174" i="2" a="1"/>
  <c r="D174" i="2" s="1"/>
  <c r="H174" i="2" a="1"/>
  <c r="H174" i="2" s="1"/>
  <c r="I174" i="2" a="1"/>
  <c r="I174" i="2" s="1"/>
  <c r="D173" i="2" a="1"/>
  <c r="D173" i="2" s="1"/>
  <c r="H173" i="2" a="1"/>
  <c r="H173" i="2" s="1"/>
  <c r="I173" i="2" a="1"/>
  <c r="I173" i="2" s="1"/>
  <c r="I172" i="2" a="1"/>
  <c r="I172" i="2" s="1"/>
  <c r="D172" i="2" a="1"/>
  <c r="D172" i="2" s="1"/>
  <c r="H172" i="2" a="1"/>
  <c r="H172" i="2" s="1"/>
  <c r="I171" i="2" a="1"/>
  <c r="I171" i="2" s="1"/>
  <c r="H171" i="2" a="1"/>
  <c r="H171" i="2" s="1"/>
  <c r="D171" i="2" a="1"/>
  <c r="D171" i="2" s="1"/>
  <c r="I170" i="2" a="1"/>
  <c r="I170" i="2" s="1"/>
  <c r="H170" i="2" a="1"/>
  <c r="H170" i="2" s="1"/>
  <c r="D170" i="2" a="1"/>
  <c r="D170" i="2" s="1"/>
  <c r="I169" i="2" a="1"/>
  <c r="I169" i="2" s="1"/>
  <c r="H169" i="2" a="1"/>
  <c r="H169" i="2" s="1"/>
  <c r="D169" i="2" a="1"/>
  <c r="D169" i="2" s="1"/>
  <c r="I168" i="2" a="1"/>
  <c r="I168" i="2" s="1"/>
  <c r="H168" i="2" a="1"/>
  <c r="H168" i="2" s="1"/>
  <c r="D168" i="2" a="1"/>
  <c r="D168" i="2" s="1"/>
  <c r="I167" i="2" a="1"/>
  <c r="I167" i="2" s="1"/>
  <c r="H167" i="2" a="1"/>
  <c r="H167" i="2" s="1"/>
  <c r="D167" i="2" a="1"/>
  <c r="D167" i="2" s="1"/>
  <c r="I166" i="2" a="1"/>
  <c r="I166" i="2" s="1"/>
  <c r="H166" i="2" a="1"/>
  <c r="H166" i="2" s="1"/>
  <c r="D166" i="2" a="1"/>
  <c r="D166" i="2" s="1"/>
  <c r="I165" i="2" a="1"/>
  <c r="I165" i="2" s="1"/>
  <c r="H165" i="2" a="1"/>
  <c r="H165" i="2" s="1"/>
  <c r="D165" i="2" a="1"/>
  <c r="D165" i="2" s="1"/>
  <c r="I164" i="2" a="1"/>
  <c r="I164" i="2" s="1"/>
  <c r="H164" i="2" a="1"/>
  <c r="H164" i="2" s="1"/>
  <c r="D164" i="2" a="1"/>
  <c r="D164" i="2" s="1"/>
  <c r="D163" i="2" a="1"/>
  <c r="D163" i="2" s="1"/>
  <c r="I163" i="2" a="1"/>
  <c r="I163" i="2" s="1"/>
  <c r="H163" i="2" a="1"/>
  <c r="H163" i="2" s="1"/>
  <c r="D162" i="2" a="1"/>
  <c r="D162" i="2" s="1"/>
  <c r="H162" i="2" a="1"/>
  <c r="H162" i="2" s="1"/>
  <c r="I162" i="2" a="1"/>
  <c r="I162" i="2" s="1"/>
  <c r="D161" i="2" a="1"/>
  <c r="D161" i="2" s="1"/>
  <c r="H161" i="2" a="1"/>
  <c r="H161" i="2" s="1"/>
  <c r="I161" i="2" a="1"/>
  <c r="I161" i="2" s="1"/>
  <c r="H160" i="2" a="1"/>
  <c r="H160" i="2" s="1"/>
  <c r="I160" i="2" a="1"/>
  <c r="I160" i="2" s="1"/>
  <c r="D160" i="2" a="1"/>
  <c r="D160" i="2" s="1"/>
  <c r="D159" i="2" a="1"/>
  <c r="D159" i="2" s="1"/>
  <c r="I159" i="2" a="1"/>
  <c r="I159" i="2" s="1"/>
  <c r="H159" i="2" a="1"/>
  <c r="H159" i="2" s="1"/>
  <c r="I158" i="2" a="1"/>
  <c r="I158" i="2" s="1"/>
  <c r="H158" i="2" a="1"/>
  <c r="H158" i="2" s="1"/>
  <c r="D158" i="2" a="1"/>
  <c r="D158" i="2" s="1"/>
  <c r="I157" i="2" a="1"/>
  <c r="I157" i="2" s="1"/>
  <c r="H157" i="2" a="1"/>
  <c r="H157" i="2" s="1"/>
  <c r="D157" i="2" a="1"/>
  <c r="D157" i="2" s="1"/>
  <c r="H156" i="2" a="1"/>
  <c r="H156" i="2" s="1"/>
  <c r="D156" i="2" a="1"/>
  <c r="D156" i="2" s="1"/>
  <c r="I156" i="2" a="1"/>
  <c r="I156" i="2" s="1"/>
  <c r="I155" i="2" a="1"/>
  <c r="I155" i="2" s="1"/>
  <c r="H155" i="2" a="1"/>
  <c r="H155" i="2" s="1"/>
  <c r="D155" i="2" a="1"/>
  <c r="D155" i="2" s="1"/>
  <c r="I154" i="2" a="1"/>
  <c r="I154" i="2" s="1"/>
  <c r="H154" i="2" a="1"/>
  <c r="H154" i="2" s="1"/>
  <c r="D154" i="2" a="1"/>
  <c r="D154" i="2" s="1"/>
  <c r="I153" i="2" a="1"/>
  <c r="I153" i="2" s="1"/>
  <c r="H153" i="2" a="1"/>
  <c r="H153" i="2" s="1"/>
  <c r="D153" i="2" a="1"/>
  <c r="D153" i="2" s="1"/>
  <c r="H152" i="2" a="1"/>
  <c r="H152" i="2" s="1"/>
  <c r="D152" i="2" a="1"/>
  <c r="D152" i="2" s="1"/>
  <c r="I152" i="2" a="1"/>
  <c r="I152" i="2" s="1"/>
  <c r="I151" i="2" a="1"/>
  <c r="I151" i="2" s="1"/>
  <c r="D151" i="2" a="1"/>
  <c r="D151" i="2" s="1"/>
  <c r="H151" i="2" a="1"/>
  <c r="H151" i="2" s="1"/>
  <c r="I150" i="2" a="1"/>
  <c r="I150" i="2" s="1"/>
  <c r="H150" i="2" a="1"/>
  <c r="H150" i="2" s="1"/>
  <c r="D150" i="2" a="1"/>
  <c r="D150" i="2" s="1"/>
  <c r="I149" i="2" a="1"/>
  <c r="I149" i="2" s="1"/>
  <c r="D149" i="2" a="1"/>
  <c r="D149" i="2" s="1"/>
  <c r="H149" i="2" a="1"/>
  <c r="H149" i="2" s="1"/>
  <c r="D148" i="2" a="1"/>
  <c r="D148" i="2" s="1"/>
  <c r="I148" i="2" a="1"/>
  <c r="I148" i="2" s="1"/>
  <c r="H148" i="2" a="1"/>
  <c r="H148" i="2" s="1"/>
  <c r="I147" i="2" a="1"/>
  <c r="I147" i="2" s="1"/>
  <c r="H147" i="2" a="1"/>
  <c r="H147" i="2" s="1"/>
  <c r="D147" i="2" a="1"/>
  <c r="D147" i="2" s="1"/>
  <c r="D146" i="2" a="1"/>
  <c r="D146" i="2" s="1"/>
  <c r="H146" i="2" a="1"/>
  <c r="H146" i="2" s="1"/>
  <c r="H145" i="2" a="1"/>
  <c r="H145" i="2" s="1"/>
  <c r="D145" i="2" a="1"/>
  <c r="D145" i="2" s="1"/>
  <c r="I144" i="2" a="1"/>
  <c r="I144" i="2" s="1"/>
  <c r="H144" i="2" a="1"/>
  <c r="H144" i="2" s="1"/>
  <c r="D144" i="2" a="1"/>
  <c r="D144" i="2" s="1"/>
  <c r="I143" i="2" a="1"/>
  <c r="I143" i="2" s="1"/>
  <c r="H143" i="2" a="1"/>
  <c r="H143" i="2" s="1"/>
  <c r="D143" i="2" a="1"/>
  <c r="D143" i="2" s="1"/>
  <c r="D142" i="2" a="1"/>
  <c r="D142" i="2" s="1"/>
  <c r="H142" i="2" a="1"/>
  <c r="H142" i="2" s="1"/>
  <c r="I142" i="2" a="1"/>
  <c r="I142" i="2" s="1"/>
  <c r="I141" i="2" a="1"/>
  <c r="I141" i="2" s="1"/>
  <c r="H141" i="2" a="1"/>
  <c r="H141" i="2" s="1"/>
  <c r="D141" i="2" a="1"/>
  <c r="D141" i="2" s="1"/>
  <c r="I140" i="2" a="1"/>
  <c r="I140" i="2" s="1"/>
  <c r="H140" i="2" a="1"/>
  <c r="H140" i="2" s="1"/>
  <c r="D140" i="2" a="1"/>
  <c r="D140" i="2" s="1"/>
  <c r="I139" i="2" a="1"/>
  <c r="I139" i="2" s="1"/>
  <c r="D139" i="2" a="1"/>
  <c r="D139" i="2" s="1"/>
  <c r="H139" i="2" a="1"/>
  <c r="H139" i="2" s="1"/>
  <c r="H138" i="2" a="1"/>
  <c r="H138" i="2" s="1"/>
  <c r="D138" i="2" a="1"/>
  <c r="D138" i="2" s="1"/>
  <c r="I138" i="2" a="1"/>
  <c r="I138" i="2" s="1"/>
  <c r="H137" i="2" a="1"/>
  <c r="H137" i="2" s="1"/>
  <c r="D137" i="2" a="1"/>
  <c r="D137" i="2" s="1"/>
  <c r="I137" i="2" a="1"/>
  <c r="I137" i="2" s="1"/>
  <c r="D136" i="2" a="1"/>
  <c r="D136" i="2" s="1"/>
  <c r="H136" i="2" a="1"/>
  <c r="H136" i="2" s="1"/>
  <c r="I136" i="2" a="1"/>
  <c r="I136" i="2" s="1"/>
  <c r="I135" i="2" a="1"/>
  <c r="I135" i="2" s="1"/>
  <c r="D135" i="2" a="1"/>
  <c r="D135" i="2" s="1"/>
  <c r="H135" i="2" a="1"/>
  <c r="H135" i="2" s="1"/>
  <c r="H134" i="2" a="1"/>
  <c r="H134" i="2" s="1"/>
  <c r="I134" i="2" a="1"/>
  <c r="I134" i="2" s="1"/>
  <c r="D134" i="2" a="1"/>
  <c r="D134" i="2" s="1"/>
  <c r="I133" i="2" a="1"/>
  <c r="I133" i="2" s="1"/>
  <c r="H133" i="2" a="1"/>
  <c r="H133" i="2" s="1"/>
  <c r="D133" i="2" a="1"/>
  <c r="D133" i="2" s="1"/>
  <c r="I132" i="2" a="1"/>
  <c r="I132" i="2" s="1"/>
  <c r="H132" i="2" a="1"/>
  <c r="H132" i="2" s="1"/>
  <c r="D132" i="2" a="1"/>
  <c r="D132" i="2" s="1"/>
  <c r="I131" i="2" a="1"/>
  <c r="I131" i="2" s="1"/>
  <c r="H131" i="2" a="1"/>
  <c r="H131" i="2" s="1"/>
  <c r="D131" i="2" a="1"/>
  <c r="D131" i="2" s="1"/>
  <c r="I130" i="2" a="1"/>
  <c r="I130" i="2" s="1"/>
  <c r="D130" i="2" a="1"/>
  <c r="D130" i="2" s="1"/>
  <c r="H130" i="2" a="1"/>
  <c r="H130" i="2" s="1"/>
  <c r="I129" i="2" a="1"/>
  <c r="I129" i="2" s="1"/>
  <c r="H129" i="2" a="1"/>
  <c r="H129" i="2" s="1"/>
  <c r="D129" i="2" a="1"/>
  <c r="D129" i="2" s="1"/>
  <c r="H128" i="2" a="1"/>
  <c r="H128" i="2" s="1"/>
  <c r="D128" i="2" a="1"/>
  <c r="D128" i="2" s="1"/>
  <c r="I128" i="2" a="1"/>
  <c r="I128" i="2" s="1"/>
  <c r="I127" i="2" a="1"/>
  <c r="I127" i="2" s="1"/>
  <c r="H127" i="2" a="1"/>
  <c r="H127" i="2" s="1"/>
  <c r="D127" i="2" a="1"/>
  <c r="D127" i="2" s="1"/>
  <c r="I126" i="2" a="1"/>
  <c r="I126" i="2" s="1"/>
  <c r="D126" i="2" a="1"/>
  <c r="D126" i="2" s="1"/>
  <c r="H126" i="2" a="1"/>
  <c r="H126" i="2" s="1"/>
  <c r="H125" i="2" a="1"/>
  <c r="H125" i="2" s="1"/>
  <c r="D125" i="2" a="1"/>
  <c r="D125" i="2" s="1"/>
  <c r="I125" i="2" a="1"/>
  <c r="I125" i="2" s="1"/>
  <c r="I124" i="2" a="1"/>
  <c r="I124" i="2" s="1"/>
  <c r="H124" i="2" a="1"/>
  <c r="H124" i="2" s="1"/>
  <c r="D124" i="2" a="1"/>
  <c r="D124" i="2" s="1"/>
  <c r="I123" i="2" a="1"/>
  <c r="I123" i="2" s="1"/>
  <c r="H123" i="2" a="1"/>
  <c r="H123" i="2" s="1"/>
  <c r="D123" i="2" a="1"/>
  <c r="D123" i="2" s="1"/>
  <c r="D122" i="2" a="1"/>
  <c r="D122" i="2" s="1"/>
  <c r="I122" i="2" a="1"/>
  <c r="I122" i="2" s="1"/>
  <c r="H122" i="2" a="1"/>
  <c r="H122" i="2" s="1"/>
  <c r="H121" i="2" a="1"/>
  <c r="H121" i="2" s="1"/>
  <c r="I121" i="2" a="1"/>
  <c r="I121" i="2" s="1"/>
  <c r="D121" i="2" a="1"/>
  <c r="D121" i="2" s="1"/>
  <c r="I120" i="2" a="1"/>
  <c r="I120" i="2" s="1"/>
  <c r="H120" i="2" a="1"/>
  <c r="H120" i="2" s="1"/>
  <c r="D120" i="2" a="1"/>
  <c r="D120" i="2" s="1"/>
  <c r="D119" i="2" a="1"/>
  <c r="D119" i="2" s="1"/>
  <c r="I119" i="2" a="1"/>
  <c r="I119" i="2" s="1"/>
  <c r="H119" i="2" a="1"/>
  <c r="H119" i="2" s="1"/>
  <c r="D118" i="2" a="1"/>
  <c r="D118" i="2" s="1"/>
  <c r="H118" i="2" a="1"/>
  <c r="H118" i="2" s="1"/>
  <c r="I118" i="2" a="1"/>
  <c r="I118" i="2" s="1"/>
  <c r="D117" i="2" a="1"/>
  <c r="D117" i="2" s="1"/>
  <c r="H117" i="2" a="1"/>
  <c r="H117" i="2" s="1"/>
  <c r="I117" i="2" a="1"/>
  <c r="I117" i="2" s="1"/>
  <c r="I116" i="2" a="1"/>
  <c r="I116" i="2" s="1"/>
  <c r="H116" i="2" a="1"/>
  <c r="H116" i="2" s="1"/>
  <c r="D116" i="2" a="1"/>
  <c r="D116" i="2" s="1"/>
  <c r="I115" i="2" a="1"/>
  <c r="I115" i="2" s="1"/>
  <c r="H115" i="2" a="1"/>
  <c r="H115" i="2" s="1"/>
  <c r="D115" i="2" a="1"/>
  <c r="D115" i="2" s="1"/>
  <c r="H114" i="2" a="1"/>
  <c r="H114" i="2" s="1"/>
  <c r="D114" i="2" a="1"/>
  <c r="D114" i="2" s="1"/>
  <c r="H113" i="2" a="1"/>
  <c r="H113" i="2" s="1"/>
  <c r="D113" i="2" a="1"/>
  <c r="D113" i="2" s="1"/>
  <c r="H112" i="2" a="1"/>
  <c r="H112" i="2" s="1"/>
  <c r="I112" i="2" a="1"/>
  <c r="I112" i="2" s="1"/>
  <c r="D112" i="2" a="1"/>
  <c r="D112" i="2" s="1"/>
  <c r="I111" i="2" a="1"/>
  <c r="I111" i="2" s="1"/>
  <c r="H111" i="2" a="1"/>
  <c r="H111" i="2" s="1"/>
  <c r="D111" i="2" a="1"/>
  <c r="D111" i="2" s="1"/>
  <c r="I110" i="2" a="1"/>
  <c r="I110" i="2" s="1"/>
  <c r="H110" i="2" a="1"/>
  <c r="H110" i="2" s="1"/>
  <c r="D110" i="2" a="1"/>
  <c r="D110" i="2" s="1"/>
  <c r="I109" i="2" a="1"/>
  <c r="I109" i="2" s="1"/>
  <c r="H109" i="2" a="1"/>
  <c r="H109" i="2" s="1"/>
  <c r="D109" i="2" a="1"/>
  <c r="D109" i="2" s="1"/>
  <c r="H108" i="2" a="1"/>
  <c r="H108" i="2" s="1"/>
  <c r="I108" i="2" a="1"/>
  <c r="I108" i="2" s="1"/>
  <c r="D108" i="2" a="1"/>
  <c r="D108" i="2" s="1"/>
  <c r="I107" i="2" a="1"/>
  <c r="I107" i="2" s="1"/>
  <c r="D107" i="2" a="1"/>
  <c r="D107" i="2" s="1"/>
  <c r="H107" i="2" a="1"/>
  <c r="H107" i="2" s="1"/>
  <c r="I106" i="2" a="1"/>
  <c r="I106" i="2" s="1"/>
  <c r="H106" i="2" a="1"/>
  <c r="H106" i="2" s="1"/>
  <c r="D106" i="2" a="1"/>
  <c r="D106" i="2" s="1"/>
  <c r="D105" i="2" a="1"/>
  <c r="D105" i="2" s="1"/>
  <c r="I105" i="2" a="1"/>
  <c r="I105" i="2" s="1"/>
  <c r="H105" i="2" a="1"/>
  <c r="H105" i="2" s="1"/>
  <c r="D104" i="2" a="1"/>
  <c r="D104" i="2" s="1"/>
  <c r="H104" i="2" a="1"/>
  <c r="H104" i="2" s="1"/>
  <c r="I104" i="2" a="1"/>
  <c r="I104" i="2" s="1"/>
  <c r="I103" i="2" a="1"/>
  <c r="I103" i="2" s="1"/>
  <c r="H103" i="2" a="1"/>
  <c r="H103" i="2" s="1"/>
  <c r="D103" i="2" a="1"/>
  <c r="D103" i="2" s="1"/>
  <c r="I102" i="2" a="1"/>
  <c r="I102" i="2" s="1"/>
  <c r="H102" i="2" a="1"/>
  <c r="H102" i="2" s="1"/>
  <c r="D102" i="2" a="1"/>
  <c r="D102" i="2" s="1"/>
  <c r="D101" i="2" a="1"/>
  <c r="D101" i="2" s="1"/>
  <c r="H101" i="2" a="1"/>
  <c r="H101" i="2" s="1"/>
  <c r="I101" i="2" a="1"/>
  <c r="I101" i="2" s="1"/>
  <c r="I100" i="2" a="1"/>
  <c r="I100" i="2" s="1"/>
  <c r="D100" i="2" a="1"/>
  <c r="D100" i="2" s="1"/>
  <c r="H100" i="2" a="1"/>
  <c r="H100" i="2" s="1"/>
  <c r="I99" i="2" a="1"/>
  <c r="I99" i="2" s="1"/>
  <c r="D99" i="2" a="1"/>
  <c r="D99" i="2" s="1"/>
  <c r="H99" i="2" a="1"/>
  <c r="H99" i="2" s="1"/>
  <c r="H98" i="2" a="1"/>
  <c r="H98" i="2" s="1"/>
  <c r="I98" i="2" a="1"/>
  <c r="I98" i="2" s="1"/>
  <c r="D98" i="2" a="1"/>
  <c r="D98" i="2" s="1"/>
  <c r="I97" i="2" a="1"/>
  <c r="I97" i="2" s="1"/>
  <c r="H97" i="2" a="1"/>
  <c r="H97" i="2" s="1"/>
  <c r="D97" i="2" a="1"/>
  <c r="D97" i="2" s="1"/>
  <c r="I96" i="2" a="1"/>
  <c r="I96" i="2" s="1"/>
  <c r="H96" i="2" a="1"/>
  <c r="H96" i="2" s="1"/>
  <c r="D96" i="2" a="1"/>
  <c r="D96" i="2" s="1"/>
  <c r="H95" i="2" a="1"/>
  <c r="H95" i="2" s="1"/>
  <c r="D95" i="2" a="1"/>
  <c r="D95" i="2" s="1"/>
  <c r="I95" i="2" a="1"/>
  <c r="I95" i="2" s="1"/>
  <c r="I94" i="2" a="1"/>
  <c r="I94" i="2" s="1"/>
  <c r="D94" i="2" a="1"/>
  <c r="D94" i="2" s="1"/>
  <c r="H94" i="2" a="1"/>
  <c r="H94" i="2" s="1"/>
  <c r="D93" i="2" a="1"/>
  <c r="D93" i="2" s="1"/>
  <c r="I93" i="2" a="1"/>
  <c r="I93" i="2" s="1"/>
  <c r="H93" i="2" a="1"/>
  <c r="H93" i="2" s="1"/>
  <c r="I92" i="2" a="1"/>
  <c r="I92" i="2" s="1"/>
  <c r="H92" i="2" a="1"/>
  <c r="H92" i="2" s="1"/>
  <c r="D92" i="2" a="1"/>
  <c r="D92" i="2" s="1"/>
  <c r="I91" i="2" a="1"/>
  <c r="I91" i="2" s="1"/>
  <c r="H91" i="2" a="1"/>
  <c r="H91" i="2" s="1"/>
  <c r="D91" i="2" a="1"/>
  <c r="D91" i="2" s="1"/>
  <c r="H90" i="2" a="1"/>
  <c r="H90" i="2" s="1"/>
  <c r="I90" i="2" a="1"/>
  <c r="I90" i="2" s="1"/>
  <c r="D90" i="2" a="1"/>
  <c r="D90" i="2" s="1"/>
  <c r="I89" i="2" a="1"/>
  <c r="I89" i="2" s="1"/>
  <c r="H89" i="2" a="1"/>
  <c r="H89" i="2" s="1"/>
  <c r="D89" i="2" a="1"/>
  <c r="D89" i="2" s="1"/>
  <c r="I88" i="2" a="1"/>
  <c r="I88" i="2" s="1"/>
  <c r="H88" i="2" a="1"/>
  <c r="H88" i="2" s="1"/>
  <c r="D88" i="2" a="1"/>
  <c r="D88" i="2" s="1"/>
  <c r="H87" i="2" a="1"/>
  <c r="H87" i="2" s="1"/>
  <c r="D87" i="2" a="1"/>
  <c r="D87" i="2" s="1"/>
  <c r="I87" i="2" a="1"/>
  <c r="I87" i="2" s="1"/>
  <c r="D86" i="2" a="1"/>
  <c r="D86" i="2" s="1"/>
  <c r="I86" i="2" a="1"/>
  <c r="I86" i="2" s="1"/>
  <c r="H86" i="2" a="1"/>
  <c r="H86" i="2" s="1"/>
  <c r="D85" i="2" a="1"/>
  <c r="D85" i="2" s="1"/>
  <c r="H85" i="2" a="1"/>
  <c r="H85" i="2" s="1"/>
  <c r="I85" i="2" a="1"/>
  <c r="I85" i="2" s="1"/>
  <c r="D84" i="2" a="1"/>
  <c r="D84" i="2" s="1"/>
  <c r="H84" i="2" a="1"/>
  <c r="H84" i="2" s="1"/>
  <c r="I84" i="2" a="1"/>
  <c r="I84" i="2" s="1"/>
  <c r="D83" i="2" a="1"/>
  <c r="D83" i="2" s="1"/>
  <c r="H83" i="2" a="1"/>
  <c r="H83" i="2" s="1"/>
  <c r="I83" i="2" a="1"/>
  <c r="I83" i="2" s="1"/>
  <c r="I82" i="2" a="1"/>
  <c r="I82" i="2" s="1"/>
  <c r="H82" i="2" a="1"/>
  <c r="H82" i="2" s="1"/>
  <c r="D82" i="2" a="1"/>
  <c r="D82" i="2" s="1"/>
  <c r="D81" i="2" a="1"/>
  <c r="D81" i="2" s="1"/>
  <c r="I81" i="2" a="1"/>
  <c r="I81" i="2" s="1"/>
  <c r="H81" i="2" a="1"/>
  <c r="H81" i="2" s="1"/>
  <c r="I80" i="2" a="1"/>
  <c r="I80" i="2" s="1"/>
  <c r="D80" i="2" a="1"/>
  <c r="D80" i="2" s="1"/>
  <c r="H80" i="2" a="1"/>
  <c r="H80" i="2" s="1"/>
  <c r="D79" i="2" a="1"/>
  <c r="D79" i="2" s="1"/>
  <c r="I79" i="2" a="1"/>
  <c r="I79" i="2" s="1"/>
  <c r="H79" i="2" a="1"/>
  <c r="H79" i="2" s="1"/>
  <c r="I78" i="2" a="1"/>
  <c r="I78" i="2" s="1"/>
  <c r="H78" i="2" a="1"/>
  <c r="H78" i="2" s="1"/>
  <c r="D78" i="2" a="1"/>
  <c r="D78" i="2" s="1"/>
  <c r="I77" i="2" a="1"/>
  <c r="I77" i="2" s="1"/>
  <c r="H77" i="2" a="1"/>
  <c r="H77" i="2" s="1"/>
  <c r="D77" i="2" a="1"/>
  <c r="D77" i="2" s="1"/>
  <c r="I76" i="2" a="1"/>
  <c r="I76" i="2" s="1"/>
  <c r="H76" i="2" a="1"/>
  <c r="H76" i="2" s="1"/>
  <c r="D76" i="2" a="1"/>
  <c r="D76" i="2" s="1"/>
  <c r="I75" i="2" a="1"/>
  <c r="I75" i="2" s="1"/>
  <c r="H75" i="2" a="1"/>
  <c r="H75" i="2" s="1"/>
  <c r="D75" i="2" a="1"/>
  <c r="D75" i="2" s="1"/>
  <c r="D74" i="2" a="1"/>
  <c r="D74" i="2" s="1"/>
  <c r="H74" i="2" a="1"/>
  <c r="H74" i="2" s="1"/>
  <c r="I74" i="2" a="1"/>
  <c r="I74" i="2" s="1"/>
  <c r="D73" i="2" a="1"/>
  <c r="D73" i="2" s="1"/>
  <c r="I73" i="2" a="1"/>
  <c r="I73" i="2" s="1"/>
  <c r="H73" i="2" a="1"/>
  <c r="H73" i="2" s="1"/>
  <c r="I72" i="2" a="1"/>
  <c r="I72" i="2" s="1"/>
  <c r="H72" i="2" a="1"/>
  <c r="H72" i="2" s="1"/>
  <c r="D72" i="2" a="1"/>
  <c r="D72" i="2" s="1"/>
  <c r="I71" i="2" a="1"/>
  <c r="I71" i="2" s="1"/>
  <c r="H71" i="2" a="1"/>
  <c r="H71" i="2" s="1"/>
  <c r="D71" i="2" a="1"/>
  <c r="D71" i="2" s="1"/>
  <c r="I70" i="2" a="1"/>
  <c r="I70" i="2" s="1"/>
  <c r="H70" i="2" a="1"/>
  <c r="H70" i="2" s="1"/>
  <c r="I69" i="2" a="1"/>
  <c r="I69" i="2" s="1"/>
  <c r="H69" i="2" a="1"/>
  <c r="H69" i="2" s="1"/>
  <c r="D69" i="2" a="1"/>
  <c r="D69" i="2" s="1"/>
  <c r="D68" i="2" a="1"/>
  <c r="D68" i="2" s="1"/>
  <c r="I68" i="2" a="1"/>
  <c r="I68" i="2" s="1"/>
  <c r="H68" i="2" a="1"/>
  <c r="H68" i="2" s="1"/>
  <c r="I67" i="2" a="1"/>
  <c r="I67" i="2" s="1"/>
  <c r="H67" i="2" a="1"/>
  <c r="H67" i="2" s="1"/>
  <c r="D67" i="2" a="1"/>
  <c r="D67" i="2" s="1"/>
  <c r="D66" i="2" a="1"/>
  <c r="D66" i="2" s="1"/>
  <c r="I66" i="2" a="1"/>
  <c r="I66" i="2" s="1"/>
  <c r="H66" i="2" a="1"/>
  <c r="H66" i="2" s="1"/>
  <c r="I65" i="2" a="1"/>
  <c r="I65" i="2" s="1"/>
  <c r="H65" i="2" a="1"/>
  <c r="H65" i="2" s="1"/>
  <c r="D65" i="2" a="1"/>
  <c r="D65" i="2" s="1"/>
  <c r="I64" i="2" a="1"/>
  <c r="I64" i="2" s="1"/>
  <c r="H64" i="2" a="1"/>
  <c r="H64" i="2" s="1"/>
  <c r="D64" i="2" a="1"/>
  <c r="D64" i="2" s="1"/>
  <c r="I63" i="2" a="1"/>
  <c r="I63" i="2" s="1"/>
  <c r="H63" i="2" a="1"/>
  <c r="H63" i="2" s="1"/>
  <c r="D63" i="2" a="1"/>
  <c r="D63" i="2" s="1"/>
  <c r="I62" i="2" a="1"/>
  <c r="I62" i="2" s="1"/>
  <c r="H62" i="2" a="1"/>
  <c r="H62" i="2" s="1"/>
  <c r="D62" i="2" a="1"/>
  <c r="D62" i="2" s="1"/>
  <c r="H61" i="2" a="1"/>
  <c r="H61" i="2" s="1"/>
  <c r="D61" i="2" a="1"/>
  <c r="D61" i="2" s="1"/>
  <c r="I61" i="2" a="1"/>
  <c r="I61" i="2" s="1"/>
  <c r="I60" i="2" a="1"/>
  <c r="I60" i="2" s="1"/>
  <c r="H60" i="2" a="1"/>
  <c r="H60" i="2" s="1"/>
  <c r="D60" i="2" a="1"/>
  <c r="D60" i="2" s="1"/>
  <c r="I59" i="2" a="1"/>
  <c r="I59" i="2" s="1"/>
  <c r="H59" i="2" a="1"/>
  <c r="H59" i="2" s="1"/>
  <c r="D59" i="2" a="1"/>
  <c r="D59" i="2" s="1"/>
  <c r="D58" i="2" a="1"/>
  <c r="D58" i="2" s="1"/>
  <c r="H58" i="2" a="1"/>
  <c r="H58" i="2" s="1"/>
  <c r="I58" i="2" a="1"/>
  <c r="I58" i="2" s="1"/>
  <c r="I57" i="2" a="1"/>
  <c r="I57" i="2" s="1"/>
  <c r="H57" i="2" a="1"/>
  <c r="H57" i="2" s="1"/>
  <c r="D57" i="2" a="1"/>
  <c r="D57" i="2" s="1"/>
  <c r="D56" i="2" a="1"/>
  <c r="D56" i="2" s="1"/>
  <c r="H56" i="2" a="1"/>
  <c r="H56" i="2" s="1"/>
  <c r="I56" i="2" a="1"/>
  <c r="I56" i="2" s="1"/>
  <c r="H55" i="2" a="1"/>
  <c r="H55" i="2" s="1"/>
  <c r="D55" i="2" a="1"/>
  <c r="D55" i="2" s="1"/>
  <c r="I55" i="2" a="1"/>
  <c r="I55" i="2" s="1"/>
  <c r="I54" i="2" a="1"/>
  <c r="I54" i="2" s="1"/>
  <c r="H54" i="2" a="1"/>
  <c r="H54" i="2" s="1"/>
  <c r="D54" i="2" a="1"/>
  <c r="D54" i="2" s="1"/>
  <c r="D53" i="2" a="1"/>
  <c r="D53" i="2" s="1"/>
  <c r="I53" i="2" a="1"/>
  <c r="I53" i="2" s="1"/>
  <c r="H53" i="2" a="1"/>
  <c r="H53" i="2" s="1"/>
  <c r="H52" i="2" a="1"/>
  <c r="H52" i="2" s="1"/>
  <c r="I52" i="2" a="1"/>
  <c r="I52" i="2" s="1"/>
  <c r="D52" i="2" a="1"/>
  <c r="D52" i="2" s="1"/>
  <c r="I51" i="2" a="1"/>
  <c r="I51" i="2" s="1"/>
  <c r="H51" i="2" a="1"/>
  <c r="H51" i="2" s="1"/>
  <c r="D51" i="2" a="1"/>
  <c r="D51" i="2" s="1"/>
  <c r="D50" i="2" a="1"/>
  <c r="D50" i="2" s="1"/>
  <c r="H50" i="2" a="1"/>
  <c r="H50" i="2" s="1"/>
  <c r="H49" i="2" a="1"/>
  <c r="H49" i="2" s="1"/>
  <c r="D49" i="2" a="1"/>
  <c r="D49" i="2" s="1"/>
  <c r="D48" i="2" a="1"/>
  <c r="D48" i="2" s="1"/>
  <c r="H48" i="2" a="1"/>
  <c r="H48" i="2" s="1"/>
  <c r="I48" i="2" a="1"/>
  <c r="I48" i="2" s="1"/>
  <c r="D47" i="2" a="1"/>
  <c r="D47" i="2" s="1"/>
  <c r="H47" i="2" a="1"/>
  <c r="H47" i="2" s="1"/>
  <c r="I47" i="2" a="1"/>
  <c r="I47" i="2" s="1"/>
  <c r="H46" i="2" a="1"/>
  <c r="H46" i="2" s="1"/>
  <c r="D46" i="2" a="1"/>
  <c r="D46" i="2" s="1"/>
  <c r="I46" i="2" a="1"/>
  <c r="I46" i="2" s="1"/>
  <c r="I45" i="2" a="1"/>
  <c r="I45" i="2" s="1"/>
  <c r="D45" i="2" a="1"/>
  <c r="D45" i="2" s="1"/>
  <c r="H45" i="2" a="1"/>
  <c r="H45" i="2" s="1"/>
  <c r="I44" i="2" a="1"/>
  <c r="I44" i="2" s="1"/>
  <c r="D44" i="2" a="1"/>
  <c r="D44" i="2" s="1"/>
  <c r="H44" i="2" a="1"/>
  <c r="H44" i="2" s="1"/>
  <c r="H43" i="2" a="1"/>
  <c r="H43" i="2" s="1"/>
  <c r="I43" i="2" a="1"/>
  <c r="I43" i="2" s="1"/>
  <c r="D43" i="2" a="1"/>
  <c r="D43" i="2" s="1"/>
  <c r="D42" i="2" a="1"/>
  <c r="D42" i="2" s="1"/>
  <c r="H42" i="2" a="1"/>
  <c r="H42" i="2" s="1"/>
  <c r="I42" i="2" a="1"/>
  <c r="I42" i="2" s="1"/>
  <c r="I41" i="2" a="1"/>
  <c r="I41" i="2" s="1"/>
  <c r="H41" i="2" a="1"/>
  <c r="H41" i="2" s="1"/>
  <c r="D41" i="2" a="1"/>
  <c r="D41" i="2" s="1"/>
  <c r="I40" i="2" a="1"/>
  <c r="I40" i="2" s="1"/>
  <c r="H40" i="2" a="1"/>
  <c r="H40" i="2" s="1"/>
  <c r="D40" i="2" a="1"/>
  <c r="D40" i="2" s="1"/>
  <c r="I39" i="2" a="1"/>
  <c r="I39" i="2" s="1"/>
  <c r="D39" i="2" a="1"/>
  <c r="D39" i="2" s="1"/>
  <c r="H39" i="2" a="1"/>
  <c r="H39" i="2" s="1"/>
  <c r="I38" i="2" a="1"/>
  <c r="I38" i="2" s="1"/>
  <c r="H38" i="2" a="1"/>
  <c r="H38" i="2" s="1"/>
  <c r="D38" i="2" a="1"/>
  <c r="D38" i="2" s="1"/>
  <c r="I37" i="2" a="1"/>
  <c r="I37" i="2" s="1"/>
  <c r="H37" i="2" a="1"/>
  <c r="H37" i="2" s="1"/>
  <c r="D37" i="2" a="1"/>
  <c r="D37" i="2" s="1"/>
  <c r="I36" i="2" a="1"/>
  <c r="I36" i="2" s="1"/>
  <c r="H36" i="2" a="1"/>
  <c r="H36" i="2" s="1"/>
  <c r="D36" i="2" a="1"/>
  <c r="D36" i="2" s="1"/>
  <c r="I35" i="2" a="1"/>
  <c r="I35" i="2" s="1"/>
  <c r="H35" i="2" a="1"/>
  <c r="H35" i="2" s="1"/>
  <c r="D35" i="2" a="1"/>
  <c r="D35" i="2" s="1"/>
  <c r="D34" i="2" a="1"/>
  <c r="D34" i="2" s="1"/>
  <c r="H34" i="2" a="1"/>
  <c r="H34" i="2" s="1"/>
  <c r="I34" i="2" a="1"/>
  <c r="I34" i="2" s="1"/>
  <c r="D33" i="2" a="1"/>
  <c r="D33" i="2" s="1"/>
  <c r="H33" i="2" a="1"/>
  <c r="H33" i="2" s="1"/>
  <c r="I33" i="2" a="1"/>
  <c r="I33" i="2" s="1"/>
  <c r="D32" i="2" a="1"/>
  <c r="D32" i="2" s="1"/>
  <c r="H32" i="2" a="1"/>
  <c r="H32" i="2" s="1"/>
  <c r="I32" i="2" a="1"/>
  <c r="I32" i="2" s="1"/>
  <c r="D31" i="2" a="1"/>
  <c r="D31" i="2" s="1"/>
  <c r="H31" i="2" a="1"/>
  <c r="H31" i="2" s="1"/>
  <c r="I31" i="2" a="1"/>
  <c r="I31" i="2" s="1"/>
  <c r="H30" i="2" a="1"/>
  <c r="H30" i="2" s="1"/>
  <c r="D30" i="2" a="1"/>
  <c r="D30" i="2" s="1"/>
  <c r="I30" i="2" a="1"/>
  <c r="I30" i="2" s="1"/>
  <c r="I29" i="2" a="1"/>
  <c r="I29" i="2" s="1"/>
  <c r="D29" i="2" a="1"/>
  <c r="D29" i="2" s="1"/>
  <c r="H29" i="2" a="1"/>
  <c r="H29" i="2" s="1"/>
  <c r="I28" i="2" a="1"/>
  <c r="I28" i="2" s="1"/>
  <c r="H28" i="2" a="1"/>
  <c r="H28" i="2" s="1"/>
  <c r="D28" i="2" a="1"/>
  <c r="D28" i="2" s="1"/>
  <c r="I27" i="2" a="1"/>
  <c r="I27" i="2" s="1"/>
  <c r="D27" i="2" a="1"/>
  <c r="D27" i="2" s="1"/>
  <c r="H27" i="2" a="1"/>
  <c r="H27" i="2" s="1"/>
  <c r="I26" i="2" a="1"/>
  <c r="I26" i="2" s="1"/>
  <c r="H26" i="2" a="1"/>
  <c r="H26" i="2" s="1"/>
  <c r="D26" i="2" a="1"/>
  <c r="D26" i="2" s="1"/>
  <c r="I25" i="2" a="1"/>
  <c r="I25" i="2" s="1"/>
  <c r="H25" i="2" a="1"/>
  <c r="H25" i="2" s="1"/>
  <c r="D25" i="2" a="1"/>
  <c r="D25" i="2" s="1"/>
  <c r="H24" i="2" a="1"/>
  <c r="H24" i="2" s="1"/>
  <c r="I24" i="2" a="1"/>
  <c r="I24" i="2" s="1"/>
  <c r="D24" i="2" a="1"/>
  <c r="D24" i="2" s="1"/>
  <c r="D23" i="2" a="1"/>
  <c r="D23" i="2" s="1"/>
  <c r="H23" i="2" a="1"/>
  <c r="H23" i="2" s="1"/>
  <c r="I23" i="2" a="1"/>
  <c r="I23" i="2" s="1"/>
  <c r="D22" i="2" a="1"/>
  <c r="D22" i="2" s="1"/>
  <c r="H22" i="2" a="1"/>
  <c r="H22" i="2" s="1"/>
  <c r="I22" i="2" a="1"/>
  <c r="I22" i="2" s="1"/>
  <c r="H21" i="2" a="1"/>
  <c r="H21" i="2" s="1"/>
  <c r="D21" i="2" a="1"/>
  <c r="D21" i="2" s="1"/>
  <c r="I21" i="2" a="1"/>
  <c r="I21" i="2" s="1"/>
  <c r="D20" i="2" a="1"/>
  <c r="D20" i="2" s="1"/>
  <c r="I20" i="2" a="1"/>
  <c r="I20" i="2" s="1"/>
  <c r="H20" i="2" a="1"/>
  <c r="H20" i="2" s="1"/>
  <c r="H19" i="2" a="1"/>
  <c r="H19" i="2" s="1"/>
  <c r="D19" i="2" a="1"/>
  <c r="D19" i="2" s="1"/>
  <c r="H18" i="2" a="1"/>
  <c r="H18" i="2" s="1"/>
  <c r="D18" i="2" a="1"/>
  <c r="D18" i="2" s="1"/>
  <c r="H17" i="2" a="1"/>
  <c r="H17" i="2" s="1"/>
  <c r="D17" i="2" a="1"/>
  <c r="D17" i="2" s="1"/>
  <c r="D16" i="2" a="1"/>
  <c r="D16" i="2" s="1"/>
  <c r="H16" i="2" a="1"/>
  <c r="H16" i="2" s="1"/>
  <c r="I16" i="2" a="1"/>
  <c r="I16" i="2" s="1"/>
  <c r="D15" i="2" a="1"/>
  <c r="D15" i="2" s="1"/>
  <c r="I15" i="2" a="1"/>
  <c r="I15" i="2" s="1"/>
  <c r="H15" i="2" a="1"/>
  <c r="H15" i="2" s="1"/>
  <c r="D14" i="2" a="1"/>
  <c r="D14" i="2" s="1"/>
  <c r="I14" i="2" a="1"/>
  <c r="I14" i="2" s="1"/>
  <c r="H14" i="2" a="1"/>
  <c r="H14" i="2" s="1"/>
  <c r="I13" i="2" a="1"/>
  <c r="I13" i="2" s="1"/>
  <c r="H13" i="2" a="1"/>
  <c r="H13" i="2" s="1"/>
  <c r="D13" i="2" a="1"/>
  <c r="D13" i="2" s="1"/>
  <c r="D12" i="2" a="1"/>
  <c r="D12" i="2" s="1"/>
  <c r="I12" i="2" a="1"/>
  <c r="I12" i="2" s="1"/>
  <c r="H12" i="2" a="1"/>
  <c r="H12" i="2" s="1"/>
  <c r="I11" i="2" a="1"/>
  <c r="I11" i="2" s="1"/>
  <c r="H11" i="2" a="1"/>
  <c r="H11" i="2" s="1"/>
  <c r="D11" i="2" a="1"/>
  <c r="D11" i="2" s="1"/>
  <c r="D10" i="2" a="1"/>
  <c r="D10" i="2" s="1"/>
  <c r="I10" i="2" a="1"/>
  <c r="I10" i="2" s="1"/>
  <c r="H10" i="2" a="1"/>
  <c r="H10" i="2" s="1"/>
  <c r="D9" i="2" a="1"/>
  <c r="D9" i="2" s="1"/>
  <c r="I9" i="2" a="1"/>
  <c r="I9" i="2" s="1"/>
  <c r="H9" i="2" a="1"/>
  <c r="H9" i="2" s="1"/>
  <c r="I8" i="2" a="1"/>
  <c r="I8" i="2" s="1"/>
  <c r="H8" i="2" a="1"/>
  <c r="H8" i="2" s="1"/>
  <c r="D8" i="2" a="1"/>
  <c r="D8" i="2" s="1"/>
  <c r="I7" i="2" a="1"/>
  <c r="I7" i="2" s="1"/>
  <c r="H7" i="2" a="1"/>
  <c r="H7" i="2" s="1"/>
  <c r="D7" i="2" a="1"/>
  <c r="D7" i="2" s="1"/>
  <c r="AG71" i="1"/>
  <c r="AG79" i="1" s="1"/>
  <c r="AE79" i="1"/>
  <c r="AF51" i="1"/>
  <c r="AF52" i="1" s="1"/>
  <c r="AF68" i="1"/>
  <c r="AF80" i="1" s="1"/>
  <c r="AE68" i="1"/>
  <c r="AE51" i="1"/>
  <c r="AD68" i="1"/>
  <c r="AD80" i="1" s="1"/>
  <c r="AD51" i="1"/>
  <c r="AC68" i="1"/>
  <c r="AC80" i="1" s="1"/>
  <c r="AC51" i="1"/>
  <c r="AB68" i="1"/>
  <c r="AB80" i="1" s="1"/>
  <c r="AB51" i="1"/>
  <c r="AB52" i="1" s="1"/>
  <c r="AA68" i="1"/>
  <c r="AA80" i="1" s="1"/>
  <c r="AA51" i="1"/>
  <c r="Z51" i="1"/>
  <c r="Z52" i="1" s="1"/>
  <c r="Z68" i="1"/>
  <c r="Z80" i="1" s="1"/>
  <c r="Y68" i="1"/>
  <c r="Y80" i="1" s="1"/>
  <c r="Y51" i="1"/>
  <c r="X68" i="1"/>
  <c r="X80" i="1" s="1"/>
  <c r="X51" i="1"/>
  <c r="W68" i="1"/>
  <c r="W80" i="1" s="1"/>
  <c r="W51" i="1"/>
  <c r="V68" i="1"/>
  <c r="V80" i="1" s="1"/>
  <c r="V51" i="1"/>
  <c r="U68" i="1"/>
  <c r="U80" i="1" s="1"/>
  <c r="U51" i="1"/>
  <c r="T51" i="1"/>
  <c r="T68" i="1"/>
  <c r="T80" i="1" s="1"/>
  <c r="S51" i="1"/>
  <c r="S52" i="1" s="1"/>
  <c r="S68" i="1"/>
  <c r="S80" i="1" s="1"/>
  <c r="R51" i="1"/>
  <c r="R52" i="1" s="1"/>
  <c r="R68" i="1"/>
  <c r="R80" i="1" s="1"/>
  <c r="Q51" i="1"/>
  <c r="Q68" i="1"/>
  <c r="Q80" i="1" s="1"/>
  <c r="P51" i="1"/>
  <c r="P68" i="1"/>
  <c r="P80" i="1" s="1"/>
  <c r="O68" i="1"/>
  <c r="O80" i="1" s="1"/>
  <c r="O51" i="1"/>
  <c r="N51" i="1"/>
  <c r="N68" i="1"/>
  <c r="N80" i="1" s="1"/>
  <c r="M51" i="1"/>
  <c r="M68" i="1"/>
  <c r="M80" i="1" s="1"/>
  <c r="L51" i="1"/>
  <c r="L68" i="1"/>
  <c r="L80" i="1" s="1"/>
  <c r="K68" i="1"/>
  <c r="K80" i="1" s="1"/>
  <c r="K51" i="1"/>
  <c r="J68" i="1"/>
  <c r="J80" i="1" s="1"/>
  <c r="J51" i="1"/>
  <c r="I68" i="1"/>
  <c r="I80" i="1" s="1"/>
  <c r="I51" i="1"/>
  <c r="H68" i="1"/>
  <c r="H80" i="1" s="1"/>
  <c r="H51" i="1"/>
  <c r="G68" i="1"/>
  <c r="G80" i="1" s="1"/>
  <c r="G51" i="1"/>
  <c r="AG32" i="1"/>
  <c r="C68" i="1"/>
  <c r="C80" i="1" s="1"/>
  <c r="C51" i="1"/>
  <c r="E20" i="1"/>
  <c r="E27" i="1" s="1"/>
  <c r="E30" i="1" s="1"/>
  <c r="E52" i="1" s="1"/>
  <c r="AG17" i="1"/>
  <c r="D20" i="1"/>
  <c r="AG13" i="1"/>
  <c r="AG12" i="1"/>
  <c r="AG20" i="1" s="1"/>
  <c r="F20" i="1"/>
  <c r="F27" i="1" s="1"/>
  <c r="AE28" i="1"/>
  <c r="I913" i="2" s="1" a="1"/>
  <c r="I913" i="2" s="1"/>
  <c r="AE29" i="1"/>
  <c r="AD28" i="1"/>
  <c r="AC28" i="1"/>
  <c r="AC29" i="1"/>
  <c r="I850" i="2" s="1" a="1"/>
  <c r="I850" i="2" s="1"/>
  <c r="AA28" i="1"/>
  <c r="AA29" i="1"/>
  <c r="I786" i="2" s="1" a="1"/>
  <c r="I786" i="2" s="1"/>
  <c r="Y28" i="1"/>
  <c r="Y29" i="1"/>
  <c r="I722" i="2" s="1" a="1"/>
  <c r="I722" i="2" s="1"/>
  <c r="X28" i="1"/>
  <c r="X29" i="1"/>
  <c r="I690" i="2" s="1" a="1"/>
  <c r="I690" i="2" s="1"/>
  <c r="Q28" i="1"/>
  <c r="Q29" i="1"/>
  <c r="I466" i="2" s="1" a="1"/>
  <c r="I466" i="2" s="1"/>
  <c r="P28" i="1"/>
  <c r="I433" i="2" s="1" a="1"/>
  <c r="I433" i="2" s="1"/>
  <c r="P29" i="1"/>
  <c r="I434" i="2" s="1" a="1"/>
  <c r="I434" i="2" s="1"/>
  <c r="P30" i="1"/>
  <c r="M28" i="1"/>
  <c r="I337" i="2" s="1" a="1"/>
  <c r="I337" i="2" s="1"/>
  <c r="M29" i="1"/>
  <c r="L28" i="1"/>
  <c r="I305" i="2" s="1" a="1"/>
  <c r="I305" i="2" s="1"/>
  <c r="L29" i="1"/>
  <c r="K28" i="1"/>
  <c r="I273" i="2" s="1" a="1"/>
  <c r="I273" i="2" s="1"/>
  <c r="K29" i="1"/>
  <c r="J28" i="1"/>
  <c r="I241" i="2" s="1" a="1"/>
  <c r="I241" i="2" s="1"/>
  <c r="J29" i="1"/>
  <c r="I28" i="1"/>
  <c r="I209" i="2" s="1" a="1"/>
  <c r="I209" i="2" s="1"/>
  <c r="I29" i="1"/>
  <c r="H28" i="1"/>
  <c r="I177" i="2" s="1" a="1"/>
  <c r="I177" i="2" s="1"/>
  <c r="H29" i="1"/>
  <c r="I178" i="2" s="1" a="1"/>
  <c r="I178" i="2" s="1"/>
  <c r="H30" i="1"/>
  <c r="G28" i="1"/>
  <c r="I145" i="2" s="1" a="1"/>
  <c r="I145" i="2" s="1"/>
  <c r="G29" i="1"/>
  <c r="F28" i="1"/>
  <c r="I113" i="2" s="1" a="1"/>
  <c r="I113" i="2" s="1"/>
  <c r="F29" i="1"/>
  <c r="C28" i="1"/>
  <c r="C29" i="1"/>
  <c r="I18" i="2" s="1" a="1"/>
  <c r="I18" i="2" s="1"/>
  <c r="W28" i="1"/>
  <c r="V28" i="1"/>
  <c r="U28" i="1"/>
  <c r="U29" i="1"/>
  <c r="I594" i="2" s="1" a="1"/>
  <c r="I594" i="2" s="1"/>
  <c r="T28" i="1"/>
  <c r="I561" i="2" s="1" a="1"/>
  <c r="I561" i="2" s="1"/>
  <c r="T29" i="1"/>
  <c r="I562" i="2" s="1" a="1"/>
  <c r="I562" i="2" s="1"/>
  <c r="T30" i="1"/>
  <c r="O28" i="1"/>
  <c r="I401" i="2" s="1" a="1"/>
  <c r="I401" i="2" s="1"/>
  <c r="O29" i="1"/>
  <c r="N28" i="1"/>
  <c r="I369" i="2" s="1" a="1"/>
  <c r="I369" i="2" s="1"/>
  <c r="N29" i="1"/>
  <c r="AG4" i="1"/>
  <c r="AG9" i="1" s="1"/>
  <c r="AG27" i="1" s="1"/>
  <c r="D9" i="1"/>
  <c r="D27" i="1" s="1"/>
  <c r="I71" i="12"/>
  <c r="I103" i="12" s="1"/>
  <c r="I163" i="12" s="1"/>
  <c r="H71" i="12"/>
  <c r="H103" i="12" s="1"/>
  <c r="G71" i="12"/>
  <c r="G103" i="12" s="1"/>
  <c r="G163" i="12" s="1"/>
  <c r="F71" i="12"/>
  <c r="F103" i="12" s="1"/>
  <c r="F163" i="12" s="1"/>
  <c r="E71" i="12"/>
  <c r="E103" i="12" s="1"/>
  <c r="E163" i="12" s="1"/>
  <c r="D71" i="12"/>
  <c r="D103" i="12" s="1"/>
  <c r="D163" i="12" s="1"/>
  <c r="Q12" i="9"/>
  <c r="W1053" i="4"/>
  <c r="U829" i="4"/>
  <c r="T829" i="4"/>
  <c r="M829" i="4"/>
  <c r="M861" i="4" s="1"/>
  <c r="R8" i="3"/>
  <c r="U1053" i="4"/>
  <c r="T1053" i="4"/>
  <c r="W829" i="4"/>
  <c r="L829" i="4"/>
  <c r="L861" i="4" s="1"/>
  <c r="AE106" i="1"/>
  <c r="AA107" i="1"/>
  <c r="W107" i="1"/>
  <c r="AH39" i="1"/>
  <c r="V1053" i="4"/>
  <c r="V829" i="4"/>
  <c r="O108" i="11" l="1"/>
  <c r="N137" i="11"/>
  <c r="O137" i="11" s="1"/>
  <c r="M108" i="11"/>
  <c r="L137" i="11"/>
  <c r="M137" i="11" s="1"/>
  <c r="J137" i="11"/>
  <c r="K137" i="11" s="1"/>
  <c r="K108" i="11"/>
  <c r="H137" i="11"/>
  <c r="I137" i="11" s="1"/>
  <c r="I108" i="11"/>
  <c r="F137" i="11"/>
  <c r="G137" i="11" s="1"/>
  <c r="G108" i="11"/>
  <c r="E108" i="11"/>
  <c r="D137" i="11"/>
  <c r="E137" i="11" s="1"/>
  <c r="B8" i="10"/>
  <c r="D137" i="8"/>
  <c r="J7" i="2"/>
  <c r="J8" i="2" s="1"/>
  <c r="J9" i="2" s="1"/>
  <c r="J10" i="2" s="1"/>
  <c r="J11" i="2" s="1"/>
  <c r="J12" i="2" s="1"/>
  <c r="J13" i="2" s="1"/>
  <c r="J14" i="2" s="1"/>
  <c r="J15" i="2" s="1"/>
  <c r="J16" i="2" s="1"/>
  <c r="D737" i="4"/>
  <c r="F738" i="4"/>
  <c r="E741" i="4"/>
  <c r="D745" i="4"/>
  <c r="D747" i="4"/>
  <c r="F750" i="4"/>
  <c r="E752" i="4"/>
  <c r="D760" i="4"/>
  <c r="D763" i="4"/>
  <c r="F766" i="4"/>
  <c r="F768" i="4"/>
  <c r="E770" i="4"/>
  <c r="E772" i="4"/>
  <c r="F774" i="4"/>
  <c r="E776" i="4"/>
  <c r="D778" i="4"/>
  <c r="D781" i="4"/>
  <c r="E784" i="4"/>
  <c r="D786" i="4"/>
  <c r="E789" i="4"/>
  <c r="F790" i="4"/>
  <c r="D794" i="4"/>
  <c r="E795" i="4"/>
  <c r="F796" i="4"/>
  <c r="F801" i="4"/>
  <c r="F802" i="4"/>
  <c r="E803" i="4"/>
  <c r="F976" i="4"/>
  <c r="E980" i="4"/>
  <c r="E987" i="4"/>
  <c r="F1007" i="4"/>
  <c r="E1015" i="4"/>
  <c r="F1018" i="4"/>
  <c r="F1020" i="4"/>
  <c r="F1029" i="4"/>
  <c r="F1031" i="4"/>
  <c r="E1033" i="4"/>
  <c r="F1039" i="4"/>
  <c r="E1042" i="4"/>
  <c r="E1048" i="4"/>
  <c r="F737" i="4"/>
  <c r="E738" i="4"/>
  <c r="I738" i="4" s="1"/>
  <c r="E739" i="4"/>
  <c r="D742" i="4"/>
  <c r="D743" i="4"/>
  <c r="F744" i="4"/>
  <c r="E746" i="4"/>
  <c r="E749" i="4"/>
  <c r="D752" i="4"/>
  <c r="F755" i="4"/>
  <c r="E759" i="4"/>
  <c r="F762" i="4"/>
  <c r="F765" i="4"/>
  <c r="D768" i="4"/>
  <c r="D771" i="4"/>
  <c r="F773" i="4"/>
  <c r="F775" i="4"/>
  <c r="F778" i="4"/>
  <c r="F780" i="4"/>
  <c r="D782" i="4"/>
  <c r="D784" i="4"/>
  <c r="E787" i="4"/>
  <c r="F788" i="4"/>
  <c r="D791" i="4"/>
  <c r="F792" i="4"/>
  <c r="F793" i="4"/>
  <c r="E794" i="4"/>
  <c r="F795" i="4"/>
  <c r="J795" i="4" s="1"/>
  <c r="E826" i="4"/>
  <c r="F844" i="4"/>
  <c r="E851" i="4"/>
  <c r="E856" i="4"/>
  <c r="F872" i="4"/>
  <c r="E874" i="4"/>
  <c r="E876" i="4"/>
  <c r="F877" i="4"/>
  <c r="F880" i="4"/>
  <c r="F887" i="4"/>
  <c r="F888" i="4"/>
  <c r="E890" i="4"/>
  <c r="F897" i="4"/>
  <c r="E900" i="4"/>
  <c r="E907" i="4"/>
  <c r="F909" i="4"/>
  <c r="F911" i="4"/>
  <c r="F916" i="4"/>
  <c r="F925" i="4"/>
  <c r="J925" i="4" s="1"/>
  <c r="F927" i="4"/>
  <c r="F928" i="4"/>
  <c r="E940" i="4"/>
  <c r="I940" i="4" s="1"/>
  <c r="F948" i="4"/>
  <c r="E950" i="4"/>
  <c r="E961" i="4"/>
  <c r="F964" i="4"/>
  <c r="J964" i="4" s="1"/>
  <c r="F972" i="4"/>
  <c r="J972" i="4" s="1"/>
  <c r="E974" i="4"/>
  <c r="I974" i="4" s="1"/>
  <c r="E976" i="4"/>
  <c r="I976" i="4" s="1"/>
  <c r="F980" i="4"/>
  <c r="J980" i="4" s="1"/>
  <c r="F987" i="4"/>
  <c r="J987" i="4" s="1"/>
  <c r="E992" i="4"/>
  <c r="E994" i="4"/>
  <c r="E1006" i="4"/>
  <c r="E1009" i="4"/>
  <c r="I1009" i="4" s="1"/>
  <c r="F1015" i="4"/>
  <c r="J1015" i="4" s="1"/>
  <c r="E1028" i="4"/>
  <c r="E1030" i="4"/>
  <c r="F1041" i="4"/>
  <c r="J1041" i="4" s="1"/>
  <c r="F1046" i="4"/>
  <c r="D738" i="4"/>
  <c r="D741" i="4"/>
  <c r="E742" i="4"/>
  <c r="E744" i="4"/>
  <c r="I744" i="4" s="1"/>
  <c r="E747" i="4"/>
  <c r="I747" i="4" s="1"/>
  <c r="D750" i="4"/>
  <c r="F753" i="4"/>
  <c r="E755" i="4"/>
  <c r="I755" i="4" s="1"/>
  <c r="E758" i="4"/>
  <c r="F761" i="4"/>
  <c r="F764" i="4"/>
  <c r="E767" i="4"/>
  <c r="E769" i="4"/>
  <c r="F772" i="4"/>
  <c r="J772" i="4" s="1"/>
  <c r="D775" i="4"/>
  <c r="D777" i="4"/>
  <c r="F779" i="4"/>
  <c r="F782" i="4"/>
  <c r="F785" i="4"/>
  <c r="D788" i="4"/>
  <c r="F789" i="4"/>
  <c r="J789" i="4" s="1"/>
  <c r="E792" i="4"/>
  <c r="I792" i="4" s="1"/>
  <c r="D796" i="4"/>
  <c r="E797" i="4"/>
  <c r="F798" i="4"/>
  <c r="J798" i="4" s="1"/>
  <c r="E801" i="4"/>
  <c r="I801" i="4" s="1"/>
  <c r="D802" i="4"/>
  <c r="E812" i="4"/>
  <c r="E813" i="4"/>
  <c r="E816" i="4"/>
  <c r="F818" i="4"/>
  <c r="F823" i="4"/>
  <c r="E824" i="4"/>
  <c r="E825" i="4"/>
  <c r="I825" i="4" s="1"/>
  <c r="E836" i="4"/>
  <c r="I836" i="4" s="1"/>
  <c r="E839" i="4"/>
  <c r="F846" i="4"/>
  <c r="J846" i="4" s="1"/>
  <c r="E848" i="4"/>
  <c r="F851" i="4"/>
  <c r="J851" i="4" s="1"/>
  <c r="F856" i="4"/>
  <c r="J856" i="4" s="1"/>
  <c r="F866" i="4"/>
  <c r="J866" i="4" s="1"/>
  <c r="E871" i="4"/>
  <c r="F874" i="4"/>
  <c r="J874" i="4" s="1"/>
  <c r="F879" i="4"/>
  <c r="J879" i="4" s="1"/>
  <c r="E887" i="4"/>
  <c r="I887" i="4" s="1"/>
  <c r="E891" i="4"/>
  <c r="F898" i="4"/>
  <c r="J898" i="4" s="1"/>
  <c r="E910" i="4"/>
  <c r="I910" i="4" s="1"/>
  <c r="F914" i="4"/>
  <c r="F923" i="4"/>
  <c r="J923" i="4" s="1"/>
  <c r="F926" i="4"/>
  <c r="J926" i="4" s="1"/>
  <c r="E929" i="4"/>
  <c r="I929" i="4" s="1"/>
  <c r="F935" i="4"/>
  <c r="F938" i="4"/>
  <c r="J938" i="4" s="1"/>
  <c r="F941" i="4"/>
  <c r="J941" i="4" s="1"/>
  <c r="F952" i="4"/>
  <c r="J952" i="4" s="1"/>
  <c r="F957" i="4"/>
  <c r="J957" i="4" s="1"/>
  <c r="F965" i="4"/>
  <c r="E973" i="4"/>
  <c r="I973" i="4" s="1"/>
  <c r="F977" i="4"/>
  <c r="F984" i="4"/>
  <c r="J984" i="4" s="1"/>
  <c r="E986" i="4"/>
  <c r="I986" i="4" s="1"/>
  <c r="E996" i="4"/>
  <c r="F1000" i="4"/>
  <c r="J1000" i="4" s="1"/>
  <c r="F1026" i="4"/>
  <c r="E1039" i="4"/>
  <c r="I1039" i="4" s="1"/>
  <c r="D65" i="3"/>
  <c r="E65" i="3"/>
  <c r="F65" i="3"/>
  <c r="H65" i="3" s="1"/>
  <c r="D66" i="3"/>
  <c r="E66" i="3"/>
  <c r="F66" i="3"/>
  <c r="H66" i="3" s="1"/>
  <c r="D67" i="3"/>
  <c r="E67" i="3"/>
  <c r="F67" i="3"/>
  <c r="H67" i="3" s="1"/>
  <c r="E737" i="4"/>
  <c r="I737" i="4" s="1"/>
  <c r="E740" i="4"/>
  <c r="I740" i="4" s="1"/>
  <c r="F743" i="4"/>
  <c r="J743" i="4" s="1"/>
  <c r="F746" i="4"/>
  <c r="J746" i="4" s="1"/>
  <c r="D748" i="4"/>
  <c r="E750" i="4"/>
  <c r="I750" i="4" s="1"/>
  <c r="E753" i="4"/>
  <c r="I753" i="4" s="1"/>
  <c r="D758" i="4"/>
  <c r="D761" i="4"/>
  <c r="E763" i="4"/>
  <c r="I763" i="4" s="1"/>
  <c r="E765" i="4"/>
  <c r="I765" i="4" s="1"/>
  <c r="D767" i="4"/>
  <c r="D770" i="4"/>
  <c r="E773" i="4"/>
  <c r="I773" i="4" s="1"/>
  <c r="D776" i="4"/>
  <c r="E779" i="4"/>
  <c r="I779" i="4" s="1"/>
  <c r="F781" i="4"/>
  <c r="D785" i="4"/>
  <c r="D805" i="4"/>
  <c r="F819" i="4"/>
  <c r="J819" i="4" s="1"/>
  <c r="F824" i="4"/>
  <c r="J824" i="4" s="1"/>
  <c r="F826" i="4"/>
  <c r="J826" i="4" s="1"/>
  <c r="F835" i="4"/>
  <c r="E838" i="4"/>
  <c r="I838" i="4" s="1"/>
  <c r="F841" i="4"/>
  <c r="J841" i="4" s="1"/>
  <c r="F847" i="4"/>
  <c r="E850" i="4"/>
  <c r="I850" i="4" s="1"/>
  <c r="E872" i="4"/>
  <c r="I872" i="4" s="1"/>
  <c r="E875" i="4"/>
  <c r="E878" i="4"/>
  <c r="F881" i="4"/>
  <c r="E889" i="4"/>
  <c r="F896" i="4"/>
  <c r="F899" i="4"/>
  <c r="E906" i="4"/>
  <c r="F910" i="4"/>
  <c r="E912" i="4"/>
  <c r="E923" i="4"/>
  <c r="E925" i="4"/>
  <c r="F937" i="4"/>
  <c r="F940" i="4"/>
  <c r="E948" i="4"/>
  <c r="E949" i="4"/>
  <c r="F954" i="4"/>
  <c r="F955" i="4"/>
  <c r="J955" i="4" s="1"/>
  <c r="E956" i="4"/>
  <c r="E964" i="4"/>
  <c r="E971" i="4"/>
  <c r="F974" i="4"/>
  <c r="F978" i="4"/>
  <c r="J978" i="4" s="1"/>
  <c r="E982" i="4"/>
  <c r="I982" i="4" s="1"/>
  <c r="F985" i="4"/>
  <c r="E993" i="4"/>
  <c r="E995" i="4"/>
  <c r="I995" i="4" s="1"/>
  <c r="F997" i="4"/>
  <c r="J997" i="4" s="1"/>
  <c r="E1002" i="4"/>
  <c r="I1002" i="4" s="1"/>
  <c r="E1008" i="4"/>
  <c r="E1014" i="4"/>
  <c r="F1017" i="4"/>
  <c r="F1019" i="4"/>
  <c r="E1032" i="4"/>
  <c r="F1040" i="4"/>
  <c r="F1042" i="4"/>
  <c r="J1042" i="4" s="1"/>
  <c r="E1049" i="4"/>
  <c r="I1049" i="4" s="1"/>
  <c r="D152" i="3"/>
  <c r="E152" i="3"/>
  <c r="F152" i="3"/>
  <c r="H152" i="3" s="1"/>
  <c r="D153" i="3"/>
  <c r="E153" i="3"/>
  <c r="F153" i="3"/>
  <c r="H153" i="3" s="1"/>
  <c r="D154" i="3"/>
  <c r="E154" i="3"/>
  <c r="F154" i="3"/>
  <c r="H154" i="3" s="1"/>
  <c r="D155" i="3"/>
  <c r="E155" i="3"/>
  <c r="F155" i="3"/>
  <c r="H155" i="3" s="1"/>
  <c r="D156" i="3"/>
  <c r="E156" i="3"/>
  <c r="F156" i="3"/>
  <c r="H156" i="3" s="1"/>
  <c r="D157" i="3"/>
  <c r="E157" i="3"/>
  <c r="F157" i="3"/>
  <c r="H157" i="3" s="1"/>
  <c r="D158" i="3"/>
  <c r="E158" i="3"/>
  <c r="F158" i="3"/>
  <c r="H158" i="3" s="1"/>
  <c r="D159" i="3"/>
  <c r="E159" i="3"/>
  <c r="F159" i="3"/>
  <c r="H159" i="3" s="1"/>
  <c r="D160" i="3"/>
  <c r="E160" i="3"/>
  <c r="F160" i="3"/>
  <c r="H160" i="3" s="1"/>
  <c r="D161" i="3"/>
  <c r="E161" i="3"/>
  <c r="F161" i="3"/>
  <c r="H161" i="3" s="1"/>
  <c r="D295" i="3"/>
  <c r="L295" i="3" s="1"/>
  <c r="E295" i="3"/>
  <c r="F295" i="3"/>
  <c r="H295" i="3" s="1"/>
  <c r="D405" i="3"/>
  <c r="E405" i="3"/>
  <c r="F405" i="3"/>
  <c r="H405" i="3" s="1"/>
  <c r="D406" i="3"/>
  <c r="E406" i="3"/>
  <c r="F406" i="3"/>
  <c r="H406" i="3" s="1"/>
  <c r="D424" i="3"/>
  <c r="E424" i="3"/>
  <c r="F424" i="3"/>
  <c r="H424" i="3" s="1"/>
  <c r="D425" i="3"/>
  <c r="E425" i="3"/>
  <c r="F425" i="3"/>
  <c r="H425" i="3" s="1"/>
  <c r="D426" i="3"/>
  <c r="E426" i="3"/>
  <c r="F426" i="3"/>
  <c r="H426" i="3" s="1"/>
  <c r="D427" i="3"/>
  <c r="E427" i="3"/>
  <c r="F427" i="3"/>
  <c r="H427" i="3" s="1"/>
  <c r="D448" i="3"/>
  <c r="E448" i="3"/>
  <c r="F448" i="3"/>
  <c r="H448" i="3" s="1"/>
  <c r="D449" i="3"/>
  <c r="E449" i="3"/>
  <c r="F449" i="3"/>
  <c r="H449" i="3" s="1"/>
  <c r="D450" i="3"/>
  <c r="E450" i="3"/>
  <c r="F450" i="3"/>
  <c r="H450" i="3" s="1"/>
  <c r="D451" i="3"/>
  <c r="E451" i="3"/>
  <c r="F451" i="3"/>
  <c r="H451" i="3" s="1"/>
  <c r="D467" i="3"/>
  <c r="E467" i="3"/>
  <c r="F467" i="3"/>
  <c r="H467" i="3" s="1"/>
  <c r="D468" i="3"/>
  <c r="E468" i="3"/>
  <c r="F468" i="3"/>
  <c r="H468" i="3" s="1"/>
  <c r="D469" i="3"/>
  <c r="E469" i="3"/>
  <c r="F469" i="3"/>
  <c r="H469" i="3" s="1"/>
  <c r="D470" i="3"/>
  <c r="E470" i="3"/>
  <c r="F470" i="3"/>
  <c r="H470" i="3" s="1"/>
  <c r="D503" i="3"/>
  <c r="E503" i="3"/>
  <c r="F503" i="3"/>
  <c r="H503" i="3" s="1"/>
  <c r="D504" i="3"/>
  <c r="E504" i="3"/>
  <c r="F504" i="3"/>
  <c r="H504" i="3" s="1"/>
  <c r="D533" i="3"/>
  <c r="E533" i="3"/>
  <c r="F533" i="3"/>
  <c r="H533" i="3" s="1"/>
  <c r="D534" i="3"/>
  <c r="E534" i="3"/>
  <c r="F534" i="3"/>
  <c r="H534" i="3" s="1"/>
  <c r="D535" i="3"/>
  <c r="E535" i="3"/>
  <c r="G535" i="3" s="1"/>
  <c r="N535" i="3" s="1"/>
  <c r="R535" i="3" s="1"/>
  <c r="F535" i="3"/>
  <c r="D546" i="3"/>
  <c r="E546" i="3"/>
  <c r="F546" i="3"/>
  <c r="H546" i="3" s="1"/>
  <c r="D547" i="3"/>
  <c r="E547" i="3"/>
  <c r="G547" i="3" s="1"/>
  <c r="N547" i="3" s="1"/>
  <c r="R547" i="3" s="1"/>
  <c r="F547" i="3"/>
  <c r="D548" i="3"/>
  <c r="E548" i="3"/>
  <c r="F548" i="3"/>
  <c r="H548" i="3" s="1"/>
  <c r="E745" i="4"/>
  <c r="I745" i="4" s="1"/>
  <c r="F748" i="4"/>
  <c r="J748" i="4" s="1"/>
  <c r="E751" i="4"/>
  <c r="I751" i="4" s="1"/>
  <c r="D753" i="4"/>
  <c r="D755" i="4"/>
  <c r="F759" i="4"/>
  <c r="J759" i="4" s="1"/>
  <c r="E761" i="4"/>
  <c r="I761" i="4" s="1"/>
  <c r="D764" i="4"/>
  <c r="D766" i="4"/>
  <c r="F769" i="4"/>
  <c r="J769" i="4" s="1"/>
  <c r="D772" i="4"/>
  <c r="E775" i="4"/>
  <c r="I775" i="4" s="1"/>
  <c r="E778" i="4"/>
  <c r="I778" i="4" s="1"/>
  <c r="E781" i="4"/>
  <c r="I781" i="4" s="1"/>
  <c r="D783" i="4"/>
  <c r="F784" i="4"/>
  <c r="J784" i="4" s="1"/>
  <c r="D787" i="4"/>
  <c r="F791" i="4"/>
  <c r="J791" i="4" s="1"/>
  <c r="F805" i="4"/>
  <c r="F814" i="4"/>
  <c r="J814" i="4" s="1"/>
  <c r="E815" i="4"/>
  <c r="I815" i="4" s="1"/>
  <c r="F816" i="4"/>
  <c r="J816" i="4" s="1"/>
  <c r="E817" i="4"/>
  <c r="I817" i="4" s="1"/>
  <c r="E823" i="4"/>
  <c r="E835" i="4"/>
  <c r="I835" i="4" s="1"/>
  <c r="F837" i="4"/>
  <c r="J837" i="4" s="1"/>
  <c r="F839" i="4"/>
  <c r="J839" i="4" s="1"/>
  <c r="F845" i="4"/>
  <c r="J845" i="4" s="1"/>
  <c r="E847" i="4"/>
  <c r="I847" i="4" s="1"/>
  <c r="F865" i="4"/>
  <c r="F871" i="4"/>
  <c r="F873" i="4"/>
  <c r="J873" i="4" s="1"/>
  <c r="E880" i="4"/>
  <c r="I880" i="4" s="1"/>
  <c r="E882" i="4"/>
  <c r="I882" i="4" s="1"/>
  <c r="E888" i="4"/>
  <c r="I888" i="4" s="1"/>
  <c r="F895" i="4"/>
  <c r="E897" i="4"/>
  <c r="I897" i="4" s="1"/>
  <c r="E899" i="4"/>
  <c r="I899" i="4" s="1"/>
  <c r="F907" i="4"/>
  <c r="J907" i="4" s="1"/>
  <c r="E908" i="4"/>
  <c r="I908" i="4" s="1"/>
  <c r="E914" i="4"/>
  <c r="E916" i="4"/>
  <c r="I916" i="4" s="1"/>
  <c r="E922" i="4"/>
  <c r="I922" i="4" s="1"/>
  <c r="F963" i="4"/>
  <c r="J963" i="4" s="1"/>
  <c r="E965" i="4"/>
  <c r="I965" i="4" s="1"/>
  <c r="F971" i="4"/>
  <c r="E975" i="4"/>
  <c r="I975" i="4" s="1"/>
  <c r="E977" i="4"/>
  <c r="I977" i="4" s="1"/>
  <c r="F979" i="4"/>
  <c r="J979" i="4" s="1"/>
  <c r="F981" i="4"/>
  <c r="J981" i="4" s="1"/>
  <c r="F983" i="4"/>
  <c r="J983" i="4" s="1"/>
  <c r="E985" i="4"/>
  <c r="I985" i="4" s="1"/>
  <c r="F992" i="4"/>
  <c r="J992" i="4" s="1"/>
  <c r="F994" i="4"/>
  <c r="J994" i="4" s="1"/>
  <c r="F996" i="4"/>
  <c r="J996" i="4" s="1"/>
  <c r="F999" i="4"/>
  <c r="J999" i="4" s="1"/>
  <c r="F1001" i="4"/>
  <c r="J1001" i="4" s="1"/>
  <c r="E1007" i="4"/>
  <c r="I1007" i="4" s="1"/>
  <c r="F1010" i="4"/>
  <c r="J1010" i="4" s="1"/>
  <c r="F1027" i="4"/>
  <c r="J1027" i="4" s="1"/>
  <c r="E1029" i="4"/>
  <c r="I1029" i="4" s="1"/>
  <c r="E1038" i="4"/>
  <c r="E1046" i="4"/>
  <c r="F1047" i="4"/>
  <c r="J1047" i="4" s="1"/>
  <c r="F1048" i="4"/>
  <c r="J1048" i="4" s="1"/>
  <c r="E1050" i="4"/>
  <c r="I1050" i="4" s="1"/>
  <c r="D578" i="3"/>
  <c r="E578" i="3"/>
  <c r="G578" i="3" s="1"/>
  <c r="N578" i="3" s="1"/>
  <c r="R578" i="3" s="1"/>
  <c r="F578" i="3"/>
  <c r="D584" i="3"/>
  <c r="E584" i="3"/>
  <c r="G584" i="3" s="1"/>
  <c r="N584" i="3" s="1"/>
  <c r="R584" i="3" s="1"/>
  <c r="F584" i="3"/>
  <c r="D585" i="3"/>
  <c r="E585" i="3"/>
  <c r="G585" i="3" s="1"/>
  <c r="N585" i="3" s="1"/>
  <c r="R585" i="3" s="1"/>
  <c r="F585" i="3"/>
  <c r="D633" i="3"/>
  <c r="E633" i="3"/>
  <c r="F633" i="3"/>
  <c r="H633" i="3" s="1"/>
  <c r="D634" i="3"/>
  <c r="E634" i="3"/>
  <c r="F634" i="3"/>
  <c r="H634" i="3" s="1"/>
  <c r="D637" i="3"/>
  <c r="E637" i="3"/>
  <c r="F637" i="3"/>
  <c r="H637" i="3" s="1"/>
  <c r="D727" i="3"/>
  <c r="E727" i="3"/>
  <c r="F727" i="3"/>
  <c r="D728" i="3"/>
  <c r="L728" i="3" s="1"/>
  <c r="E728" i="3"/>
  <c r="F728" i="3"/>
  <c r="H728" i="3" s="1"/>
  <c r="D729" i="3"/>
  <c r="L729" i="3" s="1"/>
  <c r="E729" i="3"/>
  <c r="F729" i="3"/>
  <c r="H729" i="3" s="1"/>
  <c r="D730" i="3"/>
  <c r="L730" i="3" s="1"/>
  <c r="E730" i="3"/>
  <c r="F730" i="3"/>
  <c r="H730" i="3" s="1"/>
  <c r="D731" i="3"/>
  <c r="L731" i="3" s="1"/>
  <c r="E731" i="3"/>
  <c r="F731" i="3"/>
  <c r="H731" i="3" s="1"/>
  <c r="D732" i="3"/>
  <c r="L732" i="3" s="1"/>
  <c r="E732" i="3"/>
  <c r="F732" i="3"/>
  <c r="H732" i="3" s="1"/>
  <c r="D733" i="3"/>
  <c r="L733" i="3" s="1"/>
  <c r="E733" i="3"/>
  <c r="F733" i="3"/>
  <c r="H733" i="3" s="1"/>
  <c r="D734" i="3"/>
  <c r="L734" i="3" s="1"/>
  <c r="E734" i="3"/>
  <c r="F734" i="3"/>
  <c r="H734" i="3" s="1"/>
  <c r="D735" i="3"/>
  <c r="L735" i="3" s="1"/>
  <c r="E735" i="3"/>
  <c r="F735" i="3"/>
  <c r="H735" i="3" s="1"/>
  <c r="D736" i="3"/>
  <c r="L736" i="3" s="1"/>
  <c r="E736" i="3"/>
  <c r="F736" i="3"/>
  <c r="H736" i="3" s="1"/>
  <c r="D737" i="3"/>
  <c r="L737" i="3" s="1"/>
  <c r="E737" i="3"/>
  <c r="F737" i="3"/>
  <c r="H737" i="3" s="1"/>
  <c r="D738" i="3"/>
  <c r="L738" i="3" s="1"/>
  <c r="E738" i="3"/>
  <c r="G738" i="3" s="1"/>
  <c r="N738" i="3" s="1"/>
  <c r="F738" i="3"/>
  <c r="D739" i="3"/>
  <c r="L739" i="3" s="1"/>
  <c r="E739" i="3"/>
  <c r="G739" i="3" s="1"/>
  <c r="N739" i="3" s="1"/>
  <c r="F739" i="3"/>
  <c r="D740" i="3"/>
  <c r="L740" i="3" s="1"/>
  <c r="E740" i="3"/>
  <c r="F740" i="3"/>
  <c r="H740" i="3" s="1"/>
  <c r="D741" i="3"/>
  <c r="L741" i="3" s="1"/>
  <c r="E741" i="3"/>
  <c r="F741" i="3"/>
  <c r="H741" i="3" s="1"/>
  <c r="D742" i="3"/>
  <c r="L742" i="3" s="1"/>
  <c r="E742" i="3"/>
  <c r="F742" i="3"/>
  <c r="H742" i="3" s="1"/>
  <c r="D743" i="3"/>
  <c r="L743" i="3" s="1"/>
  <c r="E743" i="3"/>
  <c r="G743" i="3" s="1"/>
  <c r="N743" i="3" s="1"/>
  <c r="F743" i="3"/>
  <c r="D744" i="3"/>
  <c r="L744" i="3" s="1"/>
  <c r="E744" i="3"/>
  <c r="F744" i="3"/>
  <c r="H744" i="3" s="1"/>
  <c r="D745" i="3"/>
  <c r="L745" i="3" s="1"/>
  <c r="E745" i="3"/>
  <c r="F745" i="3"/>
  <c r="H745" i="3" s="1"/>
  <c r="D746" i="3"/>
  <c r="L746" i="3" s="1"/>
  <c r="E746" i="3"/>
  <c r="F746" i="3"/>
  <c r="H746" i="3" s="1"/>
  <c r="D747" i="3"/>
  <c r="L747" i="3" s="1"/>
  <c r="E747" i="3"/>
  <c r="G747" i="3" s="1"/>
  <c r="N747" i="3" s="1"/>
  <c r="F747" i="3"/>
  <c r="D748" i="3"/>
  <c r="L748" i="3" s="1"/>
  <c r="E748" i="3"/>
  <c r="F748" i="3"/>
  <c r="H748" i="3" s="1"/>
  <c r="D749" i="3"/>
  <c r="L749" i="3" s="1"/>
  <c r="E749" i="3"/>
  <c r="G749" i="3" s="1"/>
  <c r="N749" i="3" s="1"/>
  <c r="R749" i="3" s="1"/>
  <c r="F749" i="3"/>
  <c r="D750" i="3"/>
  <c r="L750" i="3" s="1"/>
  <c r="E750" i="3"/>
  <c r="F750" i="3"/>
  <c r="H750" i="3" s="1"/>
  <c r="D751" i="3"/>
  <c r="L751" i="3" s="1"/>
  <c r="E751" i="3"/>
  <c r="F751" i="3"/>
  <c r="H751" i="3" s="1"/>
  <c r="D752" i="3"/>
  <c r="L752" i="3" s="1"/>
  <c r="E752" i="3"/>
  <c r="F752" i="3"/>
  <c r="H752" i="3" s="1"/>
  <c r="D753" i="3"/>
  <c r="L753" i="3" s="1"/>
  <c r="E753" i="3"/>
  <c r="F753" i="3"/>
  <c r="H753" i="3" s="1"/>
  <c r="D754" i="3"/>
  <c r="L754" i="3" s="1"/>
  <c r="E754" i="3"/>
  <c r="F754" i="3"/>
  <c r="H754" i="3" s="1"/>
  <c r="D755" i="3"/>
  <c r="L755" i="3" s="1"/>
  <c r="E755" i="3"/>
  <c r="G755" i="3" s="1"/>
  <c r="N755" i="3" s="1"/>
  <c r="F755" i="3"/>
  <c r="H755" i="3" s="1"/>
  <c r="D756" i="3"/>
  <c r="L756" i="3" s="1"/>
  <c r="E756" i="3"/>
  <c r="F756" i="3"/>
  <c r="H756" i="3" s="1"/>
  <c r="D757" i="3"/>
  <c r="L757" i="3" s="1"/>
  <c r="E757" i="3"/>
  <c r="F757" i="3"/>
  <c r="H757" i="3" s="1"/>
  <c r="D758" i="3"/>
  <c r="L758" i="3" s="1"/>
  <c r="E758" i="3"/>
  <c r="G758" i="3" s="1"/>
  <c r="N758" i="3" s="1"/>
  <c r="F758" i="3"/>
  <c r="D759" i="3"/>
  <c r="L759" i="3" s="1"/>
  <c r="E759" i="3"/>
  <c r="F759" i="3"/>
  <c r="H759" i="3" s="1"/>
  <c r="D760" i="3"/>
  <c r="L760" i="3" s="1"/>
  <c r="E760" i="3"/>
  <c r="F760" i="3"/>
  <c r="H760" i="3" s="1"/>
  <c r="D761" i="3"/>
  <c r="L761" i="3" s="1"/>
  <c r="E761" i="3"/>
  <c r="F761" i="3"/>
  <c r="H761" i="3" s="1"/>
  <c r="D762" i="3"/>
  <c r="L762" i="3" s="1"/>
  <c r="E762" i="3"/>
  <c r="F762" i="3"/>
  <c r="H762" i="3" s="1"/>
  <c r="D763" i="3"/>
  <c r="L763" i="3" s="1"/>
  <c r="E763" i="3"/>
  <c r="F763" i="3"/>
  <c r="H763" i="3" s="1"/>
  <c r="D764" i="3"/>
  <c r="L764" i="3" s="1"/>
  <c r="E764" i="3"/>
  <c r="F764" i="3"/>
  <c r="H764" i="3" s="1"/>
  <c r="D765" i="3"/>
  <c r="L765" i="3" s="1"/>
  <c r="E765" i="3"/>
  <c r="F765" i="3"/>
  <c r="H765" i="3" s="1"/>
  <c r="D766" i="3"/>
  <c r="L766" i="3" s="1"/>
  <c r="E766" i="3"/>
  <c r="G766" i="3" s="1"/>
  <c r="N766" i="3" s="1"/>
  <c r="R766" i="3" s="1"/>
  <c r="F766" i="3"/>
  <c r="D767" i="3"/>
  <c r="L767" i="3" s="1"/>
  <c r="E767" i="3"/>
  <c r="F767" i="3"/>
  <c r="H767" i="3" s="1"/>
  <c r="D768" i="3"/>
  <c r="L768" i="3" s="1"/>
  <c r="E768" i="3"/>
  <c r="F768" i="3"/>
  <c r="H768" i="3" s="1"/>
  <c r="D769" i="3"/>
  <c r="L769" i="3" s="1"/>
  <c r="E769" i="3"/>
  <c r="F769" i="3"/>
  <c r="H769" i="3" s="1"/>
  <c r="D770" i="3"/>
  <c r="E770" i="3"/>
  <c r="F770" i="3"/>
  <c r="H770" i="3" s="1"/>
  <c r="D771" i="3"/>
  <c r="E771" i="3"/>
  <c r="G771" i="3" s="1"/>
  <c r="N771" i="3" s="1"/>
  <c r="R771" i="3" s="1"/>
  <c r="F771" i="3"/>
  <c r="E10" i="4"/>
  <c r="F10" i="4"/>
  <c r="E11" i="4"/>
  <c r="F11" i="4"/>
  <c r="J11" i="4" s="1"/>
  <c r="E13" i="4"/>
  <c r="F13" i="4"/>
  <c r="E14" i="4"/>
  <c r="F14" i="4"/>
  <c r="J14" i="4" s="1"/>
  <c r="E15" i="4"/>
  <c r="F15" i="4"/>
  <c r="J15" i="4" s="1"/>
  <c r="E16" i="4"/>
  <c r="F16" i="4"/>
  <c r="J16" i="4" s="1"/>
  <c r="E17" i="4"/>
  <c r="F17" i="4"/>
  <c r="J17" i="4" s="1"/>
  <c r="E18" i="4"/>
  <c r="F18" i="4"/>
  <c r="J18" i="4" s="1"/>
  <c r="E19" i="4"/>
  <c r="F19" i="4"/>
  <c r="J19" i="4" s="1"/>
  <c r="E20" i="4"/>
  <c r="F20" i="4"/>
  <c r="J20" i="4" s="1"/>
  <c r="E21" i="4"/>
  <c r="F21" i="4"/>
  <c r="J21" i="4" s="1"/>
  <c r="E22" i="4"/>
  <c r="F22" i="4"/>
  <c r="J22" i="4" s="1"/>
  <c r="E26" i="4"/>
  <c r="F26" i="4"/>
  <c r="E27" i="4"/>
  <c r="I27" i="4" s="1"/>
  <c r="F27" i="4"/>
  <c r="E28" i="4"/>
  <c r="F28" i="4"/>
  <c r="J28" i="4" s="1"/>
  <c r="E30" i="4"/>
  <c r="F30" i="4"/>
  <c r="E31" i="4"/>
  <c r="F31" i="4"/>
  <c r="J31" i="4" s="1"/>
  <c r="E32" i="4"/>
  <c r="I32" i="4" s="1"/>
  <c r="N32" i="4" s="1"/>
  <c r="R32" i="4" s="1"/>
  <c r="X32" i="4" s="1"/>
  <c r="F32" i="4"/>
  <c r="J32" i="4" s="1"/>
  <c r="O32" i="4" s="1"/>
  <c r="S32" i="4" s="1"/>
  <c r="Y32" i="4" s="1"/>
  <c r="E33" i="4"/>
  <c r="F33" i="4"/>
  <c r="J33" i="4" s="1"/>
  <c r="E34" i="4"/>
  <c r="F34" i="4"/>
  <c r="J34" i="4" s="1"/>
  <c r="E35" i="4"/>
  <c r="F35" i="4"/>
  <c r="J35" i="4" s="1"/>
  <c r="E36" i="4"/>
  <c r="I36" i="4" s="1"/>
  <c r="N36" i="4" s="1"/>
  <c r="R36" i="4" s="1"/>
  <c r="X36" i="4" s="1"/>
  <c r="F36" i="4"/>
  <c r="J36" i="4" s="1"/>
  <c r="O36" i="4" s="1"/>
  <c r="S36" i="4" s="1"/>
  <c r="Y36" i="4" s="1"/>
  <c r="E37" i="4"/>
  <c r="F37" i="4"/>
  <c r="J37" i="4" s="1"/>
  <c r="E40" i="4"/>
  <c r="F40" i="4"/>
  <c r="D45" i="4"/>
  <c r="E45" i="4"/>
  <c r="F45" i="4"/>
  <c r="D46" i="4"/>
  <c r="E46" i="4"/>
  <c r="F46" i="4"/>
  <c r="J46" i="4" s="1"/>
  <c r="D47" i="4"/>
  <c r="E47" i="4"/>
  <c r="F47" i="4"/>
  <c r="J47" i="4" s="1"/>
  <c r="D48" i="4"/>
  <c r="E48" i="4"/>
  <c r="F48" i="4"/>
  <c r="J48" i="4" s="1"/>
  <c r="D49" i="4"/>
  <c r="E49" i="4"/>
  <c r="F49" i="4"/>
  <c r="J49" i="4" s="1"/>
  <c r="D50" i="4"/>
  <c r="E50" i="4"/>
  <c r="I50" i="4" s="1"/>
  <c r="N50" i="4" s="1"/>
  <c r="R50" i="4" s="1"/>
  <c r="X50" i="4" s="1"/>
  <c r="F50" i="4"/>
  <c r="J50" i="4" s="1"/>
  <c r="O50" i="4" s="1"/>
  <c r="S50" i="4" s="1"/>
  <c r="D51" i="4"/>
  <c r="E51" i="4"/>
  <c r="I51" i="4" s="1"/>
  <c r="F51" i="4"/>
  <c r="D52" i="4"/>
  <c r="E52" i="4"/>
  <c r="F52" i="4"/>
  <c r="J52" i="4" s="1"/>
  <c r="D53" i="4"/>
  <c r="E53" i="4"/>
  <c r="F53" i="4"/>
  <c r="J53" i="4" s="1"/>
  <c r="D54" i="4"/>
  <c r="E54" i="4"/>
  <c r="F54" i="4"/>
  <c r="J54" i="4" s="1"/>
  <c r="D55" i="4"/>
  <c r="E55" i="4"/>
  <c r="I55" i="4" s="1"/>
  <c r="F55" i="4"/>
  <c r="D56" i="4"/>
  <c r="E56" i="4"/>
  <c r="I56" i="4" s="1"/>
  <c r="F56" i="4"/>
  <c r="D57" i="4"/>
  <c r="E57" i="4"/>
  <c r="F57" i="4"/>
  <c r="J57" i="4" s="1"/>
  <c r="D58" i="4"/>
  <c r="E58" i="4"/>
  <c r="I58" i="4" s="1"/>
  <c r="F58" i="4"/>
  <c r="D59" i="4"/>
  <c r="E59" i="4"/>
  <c r="F59" i="4"/>
  <c r="J59" i="4" s="1"/>
  <c r="D60" i="4"/>
  <c r="E60" i="4"/>
  <c r="F60" i="4"/>
  <c r="J60" i="4" s="1"/>
  <c r="D61" i="4"/>
  <c r="E61" i="4"/>
  <c r="F61" i="4"/>
  <c r="J61" i="4" s="1"/>
  <c r="D62" i="4"/>
  <c r="E62" i="4"/>
  <c r="F62" i="4"/>
  <c r="J62" i="4" s="1"/>
  <c r="D63" i="4"/>
  <c r="E63" i="4"/>
  <c r="F63" i="4"/>
  <c r="J63" i="4" s="1"/>
  <c r="D64" i="4"/>
  <c r="E64" i="4"/>
  <c r="F64" i="4"/>
  <c r="J64" i="4" s="1"/>
  <c r="D65" i="4"/>
  <c r="E65" i="4"/>
  <c r="F65" i="4"/>
  <c r="J65" i="4" s="1"/>
  <c r="D66" i="4"/>
  <c r="E66" i="4"/>
  <c r="F66" i="4"/>
  <c r="J66" i="4" s="1"/>
  <c r="D67" i="4"/>
  <c r="E67" i="4"/>
  <c r="F67" i="4"/>
  <c r="J67" i="4" s="1"/>
  <c r="D68" i="4"/>
  <c r="E68" i="4"/>
  <c r="F68" i="4"/>
  <c r="J68" i="4" s="1"/>
  <c r="D69" i="4"/>
  <c r="E69" i="4"/>
  <c r="F69" i="4"/>
  <c r="J69" i="4" s="1"/>
  <c r="D70" i="4"/>
  <c r="E70" i="4"/>
  <c r="F70" i="4"/>
  <c r="J70" i="4" s="1"/>
  <c r="D71" i="4"/>
  <c r="E71" i="4"/>
  <c r="F71" i="4"/>
  <c r="J71" i="4" s="1"/>
  <c r="D72" i="4"/>
  <c r="E72" i="4"/>
  <c r="F72" i="4"/>
  <c r="J72" i="4" s="1"/>
  <c r="D73" i="4"/>
  <c r="E73" i="4"/>
  <c r="F73" i="4"/>
  <c r="J73" i="4" s="1"/>
  <c r="D74" i="4"/>
  <c r="E74" i="4"/>
  <c r="F74" i="4"/>
  <c r="J74" i="4" s="1"/>
  <c r="D75" i="4"/>
  <c r="E75" i="4"/>
  <c r="F75" i="4"/>
  <c r="J75" i="4" s="1"/>
  <c r="D76" i="4"/>
  <c r="E76" i="4"/>
  <c r="F76" i="4"/>
  <c r="J76" i="4" s="1"/>
  <c r="D77" i="4"/>
  <c r="E77" i="4"/>
  <c r="F77" i="4"/>
  <c r="J77" i="4" s="1"/>
  <c r="D78" i="4"/>
  <c r="E78" i="4"/>
  <c r="F78" i="4"/>
  <c r="J78" i="4" s="1"/>
  <c r="D79" i="4"/>
  <c r="E79" i="4"/>
  <c r="F79" i="4"/>
  <c r="J79" i="4" s="1"/>
  <c r="D80" i="4"/>
  <c r="E80" i="4"/>
  <c r="F80" i="4"/>
  <c r="J80" i="4" s="1"/>
  <c r="D81" i="4"/>
  <c r="E81" i="4"/>
  <c r="F81" i="4"/>
  <c r="J81" i="4" s="1"/>
  <c r="D82" i="4"/>
  <c r="E82" i="4"/>
  <c r="F82" i="4"/>
  <c r="J82" i="4" s="1"/>
  <c r="D83" i="4"/>
  <c r="E83" i="4"/>
  <c r="I83" i="4" s="1"/>
  <c r="N83" i="4" s="1"/>
  <c r="R83" i="4" s="1"/>
  <c r="X83" i="4" s="1"/>
  <c r="F83" i="4"/>
  <c r="J83" i="4" s="1"/>
  <c r="O83" i="4" s="1"/>
  <c r="S83" i="4" s="1"/>
  <c r="Y83" i="4" s="1"/>
  <c r="D84" i="4"/>
  <c r="E84" i="4"/>
  <c r="F84" i="4"/>
  <c r="J84" i="4" s="1"/>
  <c r="D85" i="4"/>
  <c r="E85" i="4"/>
  <c r="F85" i="4"/>
  <c r="J85" i="4" s="1"/>
  <c r="D86" i="4"/>
  <c r="E86" i="4"/>
  <c r="F86" i="4"/>
  <c r="J86" i="4" s="1"/>
  <c r="D87" i="4"/>
  <c r="E87" i="4"/>
  <c r="F87" i="4"/>
  <c r="J87" i="4" s="1"/>
  <c r="D88" i="4"/>
  <c r="E88" i="4"/>
  <c r="F88" i="4"/>
  <c r="J88" i="4" s="1"/>
  <c r="D89" i="4"/>
  <c r="E89" i="4"/>
  <c r="F89" i="4"/>
  <c r="J89" i="4" s="1"/>
  <c r="D90" i="4"/>
  <c r="E90" i="4"/>
  <c r="I90" i="4" s="1"/>
  <c r="F90" i="4"/>
  <c r="D91" i="4"/>
  <c r="E91" i="4"/>
  <c r="I91" i="4" s="1"/>
  <c r="N91" i="4" s="1"/>
  <c r="R91" i="4" s="1"/>
  <c r="X91" i="4" s="1"/>
  <c r="F91" i="4"/>
  <c r="J91" i="4" s="1"/>
  <c r="O91" i="4" s="1"/>
  <c r="S91" i="4" s="1"/>
  <c r="Y91" i="4" s="1"/>
  <c r="D92" i="4"/>
  <c r="E92" i="4"/>
  <c r="F92" i="4"/>
  <c r="J92" i="4" s="1"/>
  <c r="D93" i="4"/>
  <c r="E93" i="4"/>
  <c r="I93" i="4" s="1"/>
  <c r="F93" i="4"/>
  <c r="D94" i="4"/>
  <c r="E94" i="4"/>
  <c r="F94" i="4"/>
  <c r="J94" i="4" s="1"/>
  <c r="D95" i="4"/>
  <c r="E95" i="4"/>
  <c r="F95" i="4"/>
  <c r="J95" i="4" s="1"/>
  <c r="D96" i="4"/>
  <c r="E96" i="4"/>
  <c r="F96" i="4"/>
  <c r="J96" i="4" s="1"/>
  <c r="D97" i="4"/>
  <c r="E97" i="4"/>
  <c r="F97" i="4"/>
  <c r="J97" i="4" s="1"/>
  <c r="D98" i="4"/>
  <c r="E98" i="4"/>
  <c r="I98" i="4" s="1"/>
  <c r="F98" i="4"/>
  <c r="D99" i="4"/>
  <c r="E99" i="4"/>
  <c r="I99" i="4" s="1"/>
  <c r="N99" i="4" s="1"/>
  <c r="R99" i="4" s="1"/>
  <c r="X99" i="4" s="1"/>
  <c r="F99" i="4"/>
  <c r="J99" i="4" s="1"/>
  <c r="O99" i="4" s="1"/>
  <c r="S99" i="4" s="1"/>
  <c r="Y99" i="4" s="1"/>
  <c r="D100" i="4"/>
  <c r="E100" i="4"/>
  <c r="I100" i="4" s="1"/>
  <c r="F100" i="4"/>
  <c r="D101" i="4"/>
  <c r="E101" i="4"/>
  <c r="I101" i="4" s="1"/>
  <c r="F101" i="4"/>
  <c r="D102" i="4"/>
  <c r="E102" i="4"/>
  <c r="F102" i="4"/>
  <c r="J102" i="4" s="1"/>
  <c r="D103" i="4"/>
  <c r="E103" i="4"/>
  <c r="F103" i="4"/>
  <c r="J103" i="4" s="1"/>
  <c r="D104" i="4"/>
  <c r="E104" i="4"/>
  <c r="F104" i="4"/>
  <c r="J104" i="4" s="1"/>
  <c r="D105" i="4"/>
  <c r="E105" i="4"/>
  <c r="I105" i="4" s="1"/>
  <c r="F105" i="4"/>
  <c r="D106" i="4"/>
  <c r="E106" i="4"/>
  <c r="F106" i="4"/>
  <c r="J106" i="4" s="1"/>
  <c r="D107" i="4"/>
  <c r="E107" i="4"/>
  <c r="F107" i="4"/>
  <c r="J107" i="4" s="1"/>
  <c r="D108" i="4"/>
  <c r="E108" i="4"/>
  <c r="F108" i="4"/>
  <c r="J108" i="4" s="1"/>
  <c r="D109" i="4"/>
  <c r="E109" i="4"/>
  <c r="F109" i="4"/>
  <c r="J109" i="4" s="1"/>
  <c r="D110" i="4"/>
  <c r="E110" i="4"/>
  <c r="F110" i="4"/>
  <c r="J110" i="4" s="1"/>
  <c r="D111" i="4"/>
  <c r="E111" i="4"/>
  <c r="F111" i="4"/>
  <c r="J111" i="4" s="1"/>
  <c r="D112" i="4"/>
  <c r="E112" i="4"/>
  <c r="F112" i="4"/>
  <c r="J112" i="4" s="1"/>
  <c r="D113" i="4"/>
  <c r="E113" i="4"/>
  <c r="F113" i="4"/>
  <c r="J113" i="4" s="1"/>
  <c r="D114" i="4"/>
  <c r="E114" i="4"/>
  <c r="F114" i="4"/>
  <c r="J114" i="4" s="1"/>
  <c r="D115" i="4"/>
  <c r="E115" i="4"/>
  <c r="F115" i="4"/>
  <c r="J115" i="4" s="1"/>
  <c r="D116" i="4"/>
  <c r="E116" i="4"/>
  <c r="F116" i="4"/>
  <c r="J116" i="4" s="1"/>
  <c r="D117" i="4"/>
  <c r="E117" i="4"/>
  <c r="F117" i="4"/>
  <c r="J117" i="4" s="1"/>
  <c r="D118" i="4"/>
  <c r="E118" i="4"/>
  <c r="F118" i="4"/>
  <c r="J118" i="4" s="1"/>
  <c r="D119" i="4"/>
  <c r="E119" i="4"/>
  <c r="F119" i="4"/>
  <c r="J119" i="4" s="1"/>
  <c r="D120" i="4"/>
  <c r="E120" i="4"/>
  <c r="F120" i="4"/>
  <c r="J120" i="4" s="1"/>
  <c r="D121" i="4"/>
  <c r="E121" i="4"/>
  <c r="F121" i="4"/>
  <c r="J121" i="4" s="1"/>
  <c r="D122" i="4"/>
  <c r="E122" i="4"/>
  <c r="F122" i="4"/>
  <c r="J122" i="4" s="1"/>
  <c r="D123" i="4"/>
  <c r="E123" i="4"/>
  <c r="F123" i="4"/>
  <c r="J123" i="4" s="1"/>
  <c r="D124" i="4"/>
  <c r="E124" i="4"/>
  <c r="F124" i="4"/>
  <c r="J124" i="4" s="1"/>
  <c r="D125" i="4"/>
  <c r="E125" i="4"/>
  <c r="F125" i="4"/>
  <c r="J125" i="4" s="1"/>
  <c r="D126" i="4"/>
  <c r="E126" i="4"/>
  <c r="F126" i="4"/>
  <c r="J126" i="4" s="1"/>
  <c r="D127" i="4"/>
  <c r="E127" i="4"/>
  <c r="F127" i="4"/>
  <c r="J127" i="4" s="1"/>
  <c r="D128" i="4"/>
  <c r="E128" i="4"/>
  <c r="F128" i="4"/>
  <c r="J128" i="4" s="1"/>
  <c r="D129" i="4"/>
  <c r="E129" i="4"/>
  <c r="F129" i="4"/>
  <c r="J129" i="4" s="1"/>
  <c r="D130" i="4"/>
  <c r="E130" i="4"/>
  <c r="F130" i="4"/>
  <c r="J130" i="4" s="1"/>
  <c r="D131" i="4"/>
  <c r="E131" i="4"/>
  <c r="F131" i="4"/>
  <c r="J131" i="4" s="1"/>
  <c r="D132" i="4"/>
  <c r="E132" i="4"/>
  <c r="F132" i="4"/>
  <c r="J132" i="4" s="1"/>
  <c r="D133" i="4"/>
  <c r="E133" i="4"/>
  <c r="F133" i="4"/>
  <c r="J133" i="4" s="1"/>
  <c r="D134" i="4"/>
  <c r="E134" i="4"/>
  <c r="F134" i="4"/>
  <c r="J134" i="4" s="1"/>
  <c r="D135" i="4"/>
  <c r="E135" i="4"/>
  <c r="F135" i="4"/>
  <c r="J135" i="4" s="1"/>
  <c r="D136" i="4"/>
  <c r="E136" i="4"/>
  <c r="F136" i="4"/>
  <c r="J136" i="4" s="1"/>
  <c r="D137" i="4"/>
  <c r="E137" i="4"/>
  <c r="F137" i="4"/>
  <c r="J137" i="4" s="1"/>
  <c r="D138" i="4"/>
  <c r="E138" i="4"/>
  <c r="F138" i="4"/>
  <c r="J138" i="4" s="1"/>
  <c r="D139" i="4"/>
  <c r="E139" i="4"/>
  <c r="F139" i="4"/>
  <c r="J139" i="4" s="1"/>
  <c r="D140" i="4"/>
  <c r="E140" i="4"/>
  <c r="F140" i="4"/>
  <c r="J140" i="4" s="1"/>
  <c r="D141" i="4"/>
  <c r="E141" i="4"/>
  <c r="F141" i="4"/>
  <c r="J141" i="4" s="1"/>
  <c r="D142" i="4"/>
  <c r="E142" i="4"/>
  <c r="F142" i="4"/>
  <c r="J142" i="4" s="1"/>
  <c r="D143" i="4"/>
  <c r="E143" i="4"/>
  <c r="F143" i="4"/>
  <c r="J143" i="4" s="1"/>
  <c r="D144" i="4"/>
  <c r="E144" i="4"/>
  <c r="F144" i="4"/>
  <c r="J144" i="4" s="1"/>
  <c r="D145" i="4"/>
  <c r="E145" i="4"/>
  <c r="F145" i="4"/>
  <c r="J145" i="4" s="1"/>
  <c r="D146" i="4"/>
  <c r="E146" i="4"/>
  <c r="F146" i="4"/>
  <c r="J146" i="4" s="1"/>
  <c r="D147" i="4"/>
  <c r="E147" i="4"/>
  <c r="F147" i="4"/>
  <c r="J147" i="4" s="1"/>
  <c r="D148" i="4"/>
  <c r="E148" i="4"/>
  <c r="F148" i="4"/>
  <c r="J148" i="4" s="1"/>
  <c r="D149" i="4"/>
  <c r="E149" i="4"/>
  <c r="F149" i="4"/>
  <c r="J149" i="4" s="1"/>
  <c r="D150" i="4"/>
  <c r="E150" i="4"/>
  <c r="F150" i="4"/>
  <c r="J150" i="4" s="1"/>
  <c r="D151" i="4"/>
  <c r="E151" i="4"/>
  <c r="F151" i="4"/>
  <c r="J151" i="4" s="1"/>
  <c r="D152" i="4"/>
  <c r="E152" i="4"/>
  <c r="F152" i="4"/>
  <c r="J152" i="4" s="1"/>
  <c r="D153" i="4"/>
  <c r="E153" i="4"/>
  <c r="F153" i="4"/>
  <c r="J153" i="4" s="1"/>
  <c r="D154" i="4"/>
  <c r="E154" i="4"/>
  <c r="F154" i="4"/>
  <c r="J154" i="4" s="1"/>
  <c r="D155" i="4"/>
  <c r="E155" i="4"/>
  <c r="F155" i="4"/>
  <c r="J155" i="4" s="1"/>
  <c r="D156" i="4"/>
  <c r="E156" i="4"/>
  <c r="F156" i="4"/>
  <c r="J156" i="4" s="1"/>
  <c r="D157" i="4"/>
  <c r="E157" i="4"/>
  <c r="F157" i="4"/>
  <c r="J157" i="4" s="1"/>
  <c r="D158" i="4"/>
  <c r="E158" i="4"/>
  <c r="F158" i="4"/>
  <c r="J158" i="4" s="1"/>
  <c r="D159" i="4"/>
  <c r="E159" i="4"/>
  <c r="F159" i="4"/>
  <c r="J159" i="4" s="1"/>
  <c r="D160" i="4"/>
  <c r="E160" i="4"/>
  <c r="F160" i="4"/>
  <c r="J160" i="4" s="1"/>
  <c r="D161" i="4"/>
  <c r="E161" i="4"/>
  <c r="F161" i="4"/>
  <c r="J161" i="4" s="1"/>
  <c r="D162" i="4"/>
  <c r="E162" i="4"/>
  <c r="F162" i="4"/>
  <c r="J162" i="4" s="1"/>
  <c r="D163" i="4"/>
  <c r="E163" i="4"/>
  <c r="F163" i="4"/>
  <c r="J163" i="4" s="1"/>
  <c r="D164" i="4"/>
  <c r="E164" i="4"/>
  <c r="F164" i="4"/>
  <c r="J164" i="4" s="1"/>
  <c r="D165" i="4"/>
  <c r="E165" i="4"/>
  <c r="F165" i="4"/>
  <c r="J165" i="4" s="1"/>
  <c r="D166" i="4"/>
  <c r="E166" i="4"/>
  <c r="F166" i="4"/>
  <c r="J166" i="4" s="1"/>
  <c r="D167" i="4"/>
  <c r="E167" i="4"/>
  <c r="F167" i="4"/>
  <c r="J167" i="4" s="1"/>
  <c r="D168" i="4"/>
  <c r="E168" i="4"/>
  <c r="F168" i="4"/>
  <c r="J168" i="4" s="1"/>
  <c r="D169" i="4"/>
  <c r="E169" i="4"/>
  <c r="F169" i="4"/>
  <c r="J169" i="4" s="1"/>
  <c r="D170" i="4"/>
  <c r="E170" i="4"/>
  <c r="F170" i="4"/>
  <c r="J170" i="4" s="1"/>
  <c r="D171" i="4"/>
  <c r="E171" i="4"/>
  <c r="F171" i="4"/>
  <c r="J171" i="4" s="1"/>
  <c r="D172" i="4"/>
  <c r="E172" i="4"/>
  <c r="F172" i="4"/>
  <c r="J172" i="4" s="1"/>
  <c r="D173" i="4"/>
  <c r="E173" i="4"/>
  <c r="F173" i="4"/>
  <c r="J173" i="4" s="1"/>
  <c r="D174" i="4"/>
  <c r="E174" i="4"/>
  <c r="F174" i="4"/>
  <c r="J174" i="4" s="1"/>
  <c r="D175" i="4"/>
  <c r="E175" i="4"/>
  <c r="F175" i="4"/>
  <c r="J175" i="4" s="1"/>
  <c r="D176" i="4"/>
  <c r="E176" i="4"/>
  <c r="F176" i="4"/>
  <c r="J176" i="4" s="1"/>
  <c r="D177" i="4"/>
  <c r="E177" i="4"/>
  <c r="F177" i="4"/>
  <c r="J177" i="4" s="1"/>
  <c r="D178" i="4"/>
  <c r="E178" i="4"/>
  <c r="F178" i="4"/>
  <c r="J178" i="4" s="1"/>
  <c r="D179" i="4"/>
  <c r="E179" i="4"/>
  <c r="F179" i="4"/>
  <c r="J179" i="4" s="1"/>
  <c r="D180" i="4"/>
  <c r="E180" i="4"/>
  <c r="F180" i="4"/>
  <c r="J180" i="4" s="1"/>
  <c r="D181" i="4"/>
  <c r="E181" i="4"/>
  <c r="F181" i="4"/>
  <c r="J181" i="4" s="1"/>
  <c r="D182" i="4"/>
  <c r="E182" i="4"/>
  <c r="F182" i="4"/>
  <c r="J182" i="4" s="1"/>
  <c r="D183" i="4"/>
  <c r="E183" i="4"/>
  <c r="F183" i="4"/>
  <c r="J183" i="4" s="1"/>
  <c r="D184" i="4"/>
  <c r="E184" i="4"/>
  <c r="F184" i="4"/>
  <c r="J184" i="4" s="1"/>
  <c r="D185" i="4"/>
  <c r="E185" i="4"/>
  <c r="F185" i="4"/>
  <c r="J185" i="4" s="1"/>
  <c r="D186" i="4"/>
  <c r="E186" i="4"/>
  <c r="F186" i="4"/>
  <c r="J186" i="4" s="1"/>
  <c r="D187" i="4"/>
  <c r="E187" i="4"/>
  <c r="F187" i="4"/>
  <c r="J187" i="4" s="1"/>
  <c r="D188" i="4"/>
  <c r="E188" i="4"/>
  <c r="F188" i="4"/>
  <c r="J188" i="4" s="1"/>
  <c r="D189" i="4"/>
  <c r="E189" i="4"/>
  <c r="F189" i="4"/>
  <c r="J189" i="4" s="1"/>
  <c r="D190" i="4"/>
  <c r="E190" i="4"/>
  <c r="F190" i="4"/>
  <c r="J190" i="4" s="1"/>
  <c r="D191" i="4"/>
  <c r="E191" i="4"/>
  <c r="F191" i="4"/>
  <c r="J191" i="4" s="1"/>
  <c r="D192" i="4"/>
  <c r="E192" i="4"/>
  <c r="F192" i="4"/>
  <c r="J192" i="4" s="1"/>
  <c r="D193" i="4"/>
  <c r="E193" i="4"/>
  <c r="F193" i="4"/>
  <c r="J193" i="4" s="1"/>
  <c r="D194" i="4"/>
  <c r="E194" i="4"/>
  <c r="F194" i="4"/>
  <c r="J194" i="4" s="1"/>
  <c r="D195" i="4"/>
  <c r="E195" i="4"/>
  <c r="F195" i="4"/>
  <c r="J195" i="4" s="1"/>
  <c r="D196" i="4"/>
  <c r="E196" i="4"/>
  <c r="F196" i="4"/>
  <c r="J196" i="4" s="1"/>
  <c r="D197" i="4"/>
  <c r="E197" i="4"/>
  <c r="F197" i="4"/>
  <c r="J197" i="4" s="1"/>
  <c r="D198" i="4"/>
  <c r="E198" i="4"/>
  <c r="F198" i="4"/>
  <c r="J198" i="4" s="1"/>
  <c r="D199" i="4"/>
  <c r="E199" i="4"/>
  <c r="F199" i="4"/>
  <c r="J199" i="4" s="1"/>
  <c r="D200" i="4"/>
  <c r="E200" i="4"/>
  <c r="F200" i="4"/>
  <c r="J200" i="4" s="1"/>
  <c r="D201" i="4"/>
  <c r="E201" i="4"/>
  <c r="F201" i="4"/>
  <c r="J201" i="4" s="1"/>
  <c r="D202" i="4"/>
  <c r="E202" i="4"/>
  <c r="F202" i="4"/>
  <c r="J202" i="4" s="1"/>
  <c r="D203" i="4"/>
  <c r="E203" i="4"/>
  <c r="F203" i="4"/>
  <c r="J203" i="4" s="1"/>
  <c r="D204" i="4"/>
  <c r="E204" i="4"/>
  <c r="F204" i="4"/>
  <c r="J204" i="4" s="1"/>
  <c r="D205" i="4"/>
  <c r="E205" i="4"/>
  <c r="F205" i="4"/>
  <c r="J205" i="4" s="1"/>
  <c r="D206" i="4"/>
  <c r="E206" i="4"/>
  <c r="F206" i="4"/>
  <c r="J206" i="4" s="1"/>
  <c r="D207" i="4"/>
  <c r="E207" i="4"/>
  <c r="F207" i="4"/>
  <c r="J207" i="4" s="1"/>
  <c r="D208" i="4"/>
  <c r="E208" i="4"/>
  <c r="F208" i="4"/>
  <c r="J208" i="4" s="1"/>
  <c r="D209" i="4"/>
  <c r="E209" i="4"/>
  <c r="F209" i="4"/>
  <c r="J209" i="4" s="1"/>
  <c r="D210" i="4"/>
  <c r="E210" i="4"/>
  <c r="F210" i="4"/>
  <c r="J210" i="4" s="1"/>
  <c r="D211" i="4"/>
  <c r="E211" i="4"/>
  <c r="F211" i="4"/>
  <c r="J211" i="4" s="1"/>
  <c r="D212" i="4"/>
  <c r="E212" i="4"/>
  <c r="F212" i="4"/>
  <c r="J212" i="4" s="1"/>
  <c r="D213" i="4"/>
  <c r="E213" i="4"/>
  <c r="F213" i="4"/>
  <c r="J213" i="4" s="1"/>
  <c r="D214" i="4"/>
  <c r="E214" i="4"/>
  <c r="F214" i="4"/>
  <c r="J214" i="4" s="1"/>
  <c r="D215" i="4"/>
  <c r="E215" i="4"/>
  <c r="F215" i="4"/>
  <c r="J215" i="4" s="1"/>
  <c r="D216" i="4"/>
  <c r="E216" i="4"/>
  <c r="F216" i="4"/>
  <c r="J216" i="4" s="1"/>
  <c r="D217" i="4"/>
  <c r="E217" i="4"/>
  <c r="F217" i="4"/>
  <c r="J217" i="4" s="1"/>
  <c r="D218" i="4"/>
  <c r="E218" i="4"/>
  <c r="F218" i="4"/>
  <c r="J218" i="4" s="1"/>
  <c r="D219" i="4"/>
  <c r="E219" i="4"/>
  <c r="F219" i="4"/>
  <c r="J219" i="4" s="1"/>
  <c r="D220" i="4"/>
  <c r="E220" i="4"/>
  <c r="F220" i="4"/>
  <c r="J220" i="4" s="1"/>
  <c r="D221" i="4"/>
  <c r="E221" i="4"/>
  <c r="F221" i="4"/>
  <c r="J221" i="4" s="1"/>
  <c r="D222" i="4"/>
  <c r="E222" i="4"/>
  <c r="F222" i="4"/>
  <c r="J222" i="4" s="1"/>
  <c r="D223" i="4"/>
  <c r="E223" i="4"/>
  <c r="F223" i="4"/>
  <c r="J223" i="4" s="1"/>
  <c r="D224" i="4"/>
  <c r="E224" i="4"/>
  <c r="F224" i="4"/>
  <c r="J224" i="4" s="1"/>
  <c r="D225" i="4"/>
  <c r="E225" i="4"/>
  <c r="F225" i="4"/>
  <c r="J225" i="4" s="1"/>
  <c r="D226" i="4"/>
  <c r="E226" i="4"/>
  <c r="F226" i="4"/>
  <c r="J226" i="4" s="1"/>
  <c r="D227" i="4"/>
  <c r="E227" i="4"/>
  <c r="F227" i="4"/>
  <c r="J227" i="4" s="1"/>
  <c r="D228" i="4"/>
  <c r="E228" i="4"/>
  <c r="F228" i="4"/>
  <c r="J228" i="4" s="1"/>
  <c r="D229" i="4"/>
  <c r="E229" i="4"/>
  <c r="F229" i="4"/>
  <c r="J229" i="4" s="1"/>
  <c r="D230" i="4"/>
  <c r="E230" i="4"/>
  <c r="F230" i="4"/>
  <c r="J230" i="4" s="1"/>
  <c r="D231" i="4"/>
  <c r="E231" i="4"/>
  <c r="F231" i="4"/>
  <c r="J231" i="4" s="1"/>
  <c r="D232" i="4"/>
  <c r="E232" i="4"/>
  <c r="F232" i="4"/>
  <c r="J232" i="4" s="1"/>
  <c r="D233" i="4"/>
  <c r="E233" i="4"/>
  <c r="F233" i="4"/>
  <c r="J233" i="4" s="1"/>
  <c r="D234" i="4"/>
  <c r="E234" i="4"/>
  <c r="F234" i="4"/>
  <c r="J234" i="4" s="1"/>
  <c r="D235" i="4"/>
  <c r="E235" i="4"/>
  <c r="F235" i="4"/>
  <c r="J235" i="4" s="1"/>
  <c r="D236" i="4"/>
  <c r="E236" i="4"/>
  <c r="F236" i="4"/>
  <c r="J236" i="4" s="1"/>
  <c r="D237" i="4"/>
  <c r="E237" i="4"/>
  <c r="F237" i="4"/>
  <c r="J237" i="4" s="1"/>
  <c r="D238" i="4"/>
  <c r="E238" i="4"/>
  <c r="F238" i="4"/>
  <c r="J238" i="4" s="1"/>
  <c r="D239" i="4"/>
  <c r="E239" i="4"/>
  <c r="F239" i="4"/>
  <c r="J239" i="4" s="1"/>
  <c r="D240" i="4"/>
  <c r="E240" i="4"/>
  <c r="F240" i="4"/>
  <c r="J240" i="4" s="1"/>
  <c r="D241" i="4"/>
  <c r="E241" i="4"/>
  <c r="F241" i="4"/>
  <c r="J241" i="4" s="1"/>
  <c r="D242" i="4"/>
  <c r="E242" i="4"/>
  <c r="F242" i="4"/>
  <c r="J242" i="4" s="1"/>
  <c r="D243" i="4"/>
  <c r="E243" i="4"/>
  <c r="F243" i="4"/>
  <c r="J243" i="4" s="1"/>
  <c r="D244" i="4"/>
  <c r="E244" i="4"/>
  <c r="F244" i="4"/>
  <c r="J244" i="4" s="1"/>
  <c r="D245" i="4"/>
  <c r="E245" i="4"/>
  <c r="F245" i="4"/>
  <c r="J245" i="4" s="1"/>
  <c r="D246" i="4"/>
  <c r="E246" i="4"/>
  <c r="F246" i="4"/>
  <c r="J246" i="4" s="1"/>
  <c r="D247" i="4"/>
  <c r="E247" i="4"/>
  <c r="F247" i="4"/>
  <c r="J247" i="4" s="1"/>
  <c r="D248" i="4"/>
  <c r="E248" i="4"/>
  <c r="F248" i="4"/>
  <c r="J248" i="4" s="1"/>
  <c r="D249" i="4"/>
  <c r="E249" i="4"/>
  <c r="F249" i="4"/>
  <c r="J249" i="4" s="1"/>
  <c r="D250" i="4"/>
  <c r="E250" i="4"/>
  <c r="F250" i="4"/>
  <c r="J250" i="4" s="1"/>
  <c r="D251" i="4"/>
  <c r="E251" i="4"/>
  <c r="F251" i="4"/>
  <c r="J251" i="4" s="1"/>
  <c r="D252" i="4"/>
  <c r="E252" i="4"/>
  <c r="F252" i="4"/>
  <c r="J252" i="4" s="1"/>
  <c r="D253" i="4"/>
  <c r="E253" i="4"/>
  <c r="F253" i="4"/>
  <c r="J253" i="4" s="1"/>
  <c r="D254" i="4"/>
  <c r="E254" i="4"/>
  <c r="F254" i="4"/>
  <c r="J254" i="4" s="1"/>
  <c r="D255" i="4"/>
  <c r="E255" i="4"/>
  <c r="F255" i="4"/>
  <c r="J255" i="4" s="1"/>
  <c r="D256" i="4"/>
  <c r="E256" i="4"/>
  <c r="F256" i="4"/>
  <c r="J256" i="4" s="1"/>
  <c r="D257" i="4"/>
  <c r="E257" i="4"/>
  <c r="F257" i="4"/>
  <c r="J257" i="4" s="1"/>
  <c r="D258" i="4"/>
  <c r="E258" i="4"/>
  <c r="F258" i="4"/>
  <c r="J258" i="4" s="1"/>
  <c r="D259" i="4"/>
  <c r="E259" i="4"/>
  <c r="F259" i="4"/>
  <c r="J259" i="4" s="1"/>
  <c r="D260" i="4"/>
  <c r="E260" i="4"/>
  <c r="F260" i="4"/>
  <c r="J260" i="4" s="1"/>
  <c r="D261" i="4"/>
  <c r="E261" i="4"/>
  <c r="F261" i="4"/>
  <c r="J261" i="4" s="1"/>
  <c r="D262" i="4"/>
  <c r="E262" i="4"/>
  <c r="F262" i="4"/>
  <c r="J262" i="4" s="1"/>
  <c r="D263" i="4"/>
  <c r="E263" i="4"/>
  <c r="F263" i="4"/>
  <c r="J263" i="4" s="1"/>
  <c r="D264" i="4"/>
  <c r="E264" i="4"/>
  <c r="F264" i="4"/>
  <c r="J264" i="4" s="1"/>
  <c r="D265" i="4"/>
  <c r="E265" i="4"/>
  <c r="F265" i="4"/>
  <c r="J265" i="4" s="1"/>
  <c r="D266" i="4"/>
  <c r="E266" i="4"/>
  <c r="F266" i="4"/>
  <c r="J266" i="4" s="1"/>
  <c r="D267" i="4"/>
  <c r="E267" i="4"/>
  <c r="F267" i="4"/>
  <c r="J267" i="4" s="1"/>
  <c r="D268" i="4"/>
  <c r="E268" i="4"/>
  <c r="F268" i="4"/>
  <c r="J268" i="4" s="1"/>
  <c r="D269" i="4"/>
  <c r="E269" i="4"/>
  <c r="F269" i="4"/>
  <c r="J269" i="4" s="1"/>
  <c r="D270" i="4"/>
  <c r="E270" i="4"/>
  <c r="F270" i="4"/>
  <c r="J270" i="4" s="1"/>
  <c r="D271" i="4"/>
  <c r="E271" i="4"/>
  <c r="F271" i="4"/>
  <c r="J271" i="4" s="1"/>
  <c r="D272" i="4"/>
  <c r="E272" i="4"/>
  <c r="F272" i="4"/>
  <c r="J272" i="4" s="1"/>
  <c r="D273" i="4"/>
  <c r="E273" i="4"/>
  <c r="F273" i="4"/>
  <c r="J273" i="4" s="1"/>
  <c r="D274" i="4"/>
  <c r="E274" i="4"/>
  <c r="F274" i="4"/>
  <c r="J274" i="4" s="1"/>
  <c r="D275" i="4"/>
  <c r="E275" i="4"/>
  <c r="F275" i="4"/>
  <c r="J275" i="4" s="1"/>
  <c r="F739" i="4"/>
  <c r="J739" i="4" s="1"/>
  <c r="F742" i="4"/>
  <c r="J742" i="4" s="1"/>
  <c r="F745" i="4"/>
  <c r="E748" i="4"/>
  <c r="D751" i="4"/>
  <c r="E754" i="4"/>
  <c r="I754" i="4" s="1"/>
  <c r="D759" i="4"/>
  <c r="D762" i="4"/>
  <c r="D765" i="4"/>
  <c r="E768" i="4"/>
  <c r="I768" i="4" s="1"/>
  <c r="E771" i="4"/>
  <c r="I771" i="4" s="1"/>
  <c r="D774" i="4"/>
  <c r="F777" i="4"/>
  <c r="J777" i="4" s="1"/>
  <c r="E780" i="4"/>
  <c r="I780" i="4" s="1"/>
  <c r="F783" i="4"/>
  <c r="J783" i="4" s="1"/>
  <c r="E786" i="4"/>
  <c r="I786" i="4" s="1"/>
  <c r="D789" i="4"/>
  <c r="E790" i="4"/>
  <c r="I790" i="4" s="1"/>
  <c r="D793" i="4"/>
  <c r="F794" i="4"/>
  <c r="J794" i="4" s="1"/>
  <c r="D799" i="4"/>
  <c r="F800" i="4"/>
  <c r="J800" i="4" s="1"/>
  <c r="E802" i="4"/>
  <c r="I802" i="4" s="1"/>
  <c r="E810" i="4"/>
  <c r="F811" i="4"/>
  <c r="F813" i="4"/>
  <c r="J813" i="4" s="1"/>
  <c r="F815" i="4"/>
  <c r="E834" i="4"/>
  <c r="E837" i="4"/>
  <c r="E840" i="4"/>
  <c r="I840" i="4" s="1"/>
  <c r="E844" i="4"/>
  <c r="E849" i="4"/>
  <c r="I849" i="4" s="1"/>
  <c r="E855" i="4"/>
  <c r="E873" i="4"/>
  <c r="F878" i="4"/>
  <c r="J878" i="4" s="1"/>
  <c r="E881" i="4"/>
  <c r="I881" i="4" s="1"/>
  <c r="E886" i="4"/>
  <c r="F891" i="4"/>
  <c r="J891" i="4" s="1"/>
  <c r="E895" i="4"/>
  <c r="F900" i="4"/>
  <c r="J900" i="4" s="1"/>
  <c r="F908" i="4"/>
  <c r="E909" i="4"/>
  <c r="I909" i="4" s="1"/>
  <c r="F915" i="4"/>
  <c r="J915" i="4" s="1"/>
  <c r="F921" i="4"/>
  <c r="E924" i="4"/>
  <c r="I924" i="4" s="1"/>
  <c r="E930" i="4"/>
  <c r="I930" i="4" s="1"/>
  <c r="F936" i="4"/>
  <c r="E951" i="4"/>
  <c r="I951" i="4" s="1"/>
  <c r="E953" i="4"/>
  <c r="E955" i="4"/>
  <c r="E957" i="4"/>
  <c r="F962" i="4"/>
  <c r="E972" i="4"/>
  <c r="E978" i="4"/>
  <c r="F982" i="4"/>
  <c r="E991" i="4"/>
  <c r="F995" i="4"/>
  <c r="E997" i="4"/>
  <c r="E999" i="4"/>
  <c r="F1002" i="4"/>
  <c r="F1009" i="4"/>
  <c r="F1016" i="4"/>
  <c r="E1018" i="4"/>
  <c r="I1018" i="4" s="1"/>
  <c r="E1020" i="4"/>
  <c r="I1020" i="4" s="1"/>
  <c r="E1027" i="4"/>
  <c r="E1031" i="4"/>
  <c r="I1031" i="4" s="1"/>
  <c r="F1033" i="4"/>
  <c r="J1033" i="4" s="1"/>
  <c r="F1038" i="4"/>
  <c r="E1041" i="4"/>
  <c r="F1049" i="4"/>
  <c r="D276" i="4"/>
  <c r="E276" i="4"/>
  <c r="F276" i="4"/>
  <c r="J276" i="4" s="1"/>
  <c r="D277" i="4"/>
  <c r="E277" i="4"/>
  <c r="F277" i="4"/>
  <c r="J277" i="4" s="1"/>
  <c r="D278" i="4"/>
  <c r="E278" i="4"/>
  <c r="F278" i="4"/>
  <c r="J278" i="4" s="1"/>
  <c r="D279" i="4"/>
  <c r="E279" i="4"/>
  <c r="F279" i="4"/>
  <c r="J279" i="4" s="1"/>
  <c r="D280" i="4"/>
  <c r="E280" i="4"/>
  <c r="F280" i="4"/>
  <c r="J280" i="4" s="1"/>
  <c r="D281" i="4"/>
  <c r="E281" i="4"/>
  <c r="F281" i="4"/>
  <c r="J281" i="4" s="1"/>
  <c r="D282" i="4"/>
  <c r="E282" i="4"/>
  <c r="F282" i="4"/>
  <c r="J282" i="4" s="1"/>
  <c r="D283" i="4"/>
  <c r="E283" i="4"/>
  <c r="F283" i="4"/>
  <c r="J283" i="4" s="1"/>
  <c r="D284" i="4"/>
  <c r="E284" i="4"/>
  <c r="F284" i="4"/>
  <c r="J284" i="4" s="1"/>
  <c r="D285" i="4"/>
  <c r="E285" i="4"/>
  <c r="F285" i="4"/>
  <c r="J285" i="4" s="1"/>
  <c r="D286" i="4"/>
  <c r="E286" i="4"/>
  <c r="F286" i="4"/>
  <c r="J286" i="4" s="1"/>
  <c r="D287" i="4"/>
  <c r="E287" i="4"/>
  <c r="F287" i="4"/>
  <c r="J287" i="4" s="1"/>
  <c r="D288" i="4"/>
  <c r="E288" i="4"/>
  <c r="F288" i="4"/>
  <c r="J288" i="4" s="1"/>
  <c r="D289" i="4"/>
  <c r="E289" i="4"/>
  <c r="F289" i="4"/>
  <c r="J289" i="4" s="1"/>
  <c r="D290" i="4"/>
  <c r="E290" i="4"/>
  <c r="F290" i="4"/>
  <c r="J290" i="4" s="1"/>
  <c r="D291" i="4"/>
  <c r="E291" i="4"/>
  <c r="F291" i="4"/>
  <c r="J291" i="4" s="1"/>
  <c r="D292" i="4"/>
  <c r="E292" i="4"/>
  <c r="F292" i="4"/>
  <c r="J292" i="4" s="1"/>
  <c r="D293" i="4"/>
  <c r="E293" i="4"/>
  <c r="F293" i="4"/>
  <c r="J293" i="4" s="1"/>
  <c r="D294" i="4"/>
  <c r="E294" i="4"/>
  <c r="F294" i="4"/>
  <c r="J294" i="4" s="1"/>
  <c r="D295" i="4"/>
  <c r="E295" i="4"/>
  <c r="F295" i="4"/>
  <c r="J295" i="4" s="1"/>
  <c r="D296" i="4"/>
  <c r="E296" i="4"/>
  <c r="F296" i="4"/>
  <c r="J296" i="4" s="1"/>
  <c r="D297" i="4"/>
  <c r="E297" i="4"/>
  <c r="F297" i="4"/>
  <c r="J297" i="4" s="1"/>
  <c r="D298" i="4"/>
  <c r="E298" i="4"/>
  <c r="F298" i="4"/>
  <c r="J298" i="4" s="1"/>
  <c r="D299" i="4"/>
  <c r="E299" i="4"/>
  <c r="F299" i="4"/>
  <c r="J299" i="4" s="1"/>
  <c r="D300" i="4"/>
  <c r="E300" i="4"/>
  <c r="F300" i="4"/>
  <c r="J300" i="4" s="1"/>
  <c r="D301" i="4"/>
  <c r="E301" i="4"/>
  <c r="F301" i="4"/>
  <c r="J301" i="4" s="1"/>
  <c r="D302" i="4"/>
  <c r="E302" i="4"/>
  <c r="F302" i="4"/>
  <c r="J302" i="4" s="1"/>
  <c r="D303" i="4"/>
  <c r="E303" i="4"/>
  <c r="F303" i="4"/>
  <c r="J303" i="4" s="1"/>
  <c r="D304" i="4"/>
  <c r="E304" i="4"/>
  <c r="F304" i="4"/>
  <c r="J304" i="4" s="1"/>
  <c r="D305" i="4"/>
  <c r="E305" i="4"/>
  <c r="F305" i="4"/>
  <c r="J305" i="4" s="1"/>
  <c r="D306" i="4"/>
  <c r="E306" i="4"/>
  <c r="F306" i="4"/>
  <c r="J306" i="4" s="1"/>
  <c r="D307" i="4"/>
  <c r="E307" i="4"/>
  <c r="F307" i="4"/>
  <c r="J307" i="4" s="1"/>
  <c r="D308" i="4"/>
  <c r="E308" i="4"/>
  <c r="F308" i="4"/>
  <c r="J308" i="4" s="1"/>
  <c r="D309" i="4"/>
  <c r="E309" i="4"/>
  <c r="F309" i="4"/>
  <c r="J309" i="4" s="1"/>
  <c r="D310" i="4"/>
  <c r="E310" i="4"/>
  <c r="F310" i="4"/>
  <c r="J310" i="4" s="1"/>
  <c r="D311" i="4"/>
  <c r="E311" i="4"/>
  <c r="F311" i="4"/>
  <c r="J311" i="4" s="1"/>
  <c r="D312" i="4"/>
  <c r="E312" i="4"/>
  <c r="F312" i="4"/>
  <c r="J312" i="4" s="1"/>
  <c r="D313" i="4"/>
  <c r="E313" i="4"/>
  <c r="F313" i="4"/>
  <c r="J313" i="4" s="1"/>
  <c r="D314" i="4"/>
  <c r="E314" i="4"/>
  <c r="F314" i="4"/>
  <c r="J314" i="4" s="1"/>
  <c r="D315" i="4"/>
  <c r="E315" i="4"/>
  <c r="F315" i="4"/>
  <c r="J315" i="4" s="1"/>
  <c r="D316" i="4"/>
  <c r="E316" i="4"/>
  <c r="F316" i="4"/>
  <c r="J316" i="4" s="1"/>
  <c r="D317" i="4"/>
  <c r="E317" i="4"/>
  <c r="F317" i="4"/>
  <c r="J317" i="4" s="1"/>
  <c r="D318" i="4"/>
  <c r="E318" i="4"/>
  <c r="F318" i="4"/>
  <c r="J318" i="4" s="1"/>
  <c r="D319" i="4"/>
  <c r="E319" i="4"/>
  <c r="F319" i="4"/>
  <c r="J319" i="4" s="1"/>
  <c r="D320" i="4"/>
  <c r="E320" i="4"/>
  <c r="F320" i="4"/>
  <c r="J320" i="4" s="1"/>
  <c r="D321" i="4"/>
  <c r="E321" i="4"/>
  <c r="F321" i="4"/>
  <c r="J321" i="4" s="1"/>
  <c r="D322" i="4"/>
  <c r="E322" i="4"/>
  <c r="F322" i="4"/>
  <c r="J322" i="4" s="1"/>
  <c r="D323" i="4"/>
  <c r="E323" i="4"/>
  <c r="F323" i="4"/>
  <c r="J323" i="4" s="1"/>
  <c r="D324" i="4"/>
  <c r="E324" i="4"/>
  <c r="F324" i="4"/>
  <c r="J324" i="4" s="1"/>
  <c r="D325" i="4"/>
  <c r="E325" i="4"/>
  <c r="F325" i="4"/>
  <c r="J325" i="4" s="1"/>
  <c r="D326" i="4"/>
  <c r="E326" i="4"/>
  <c r="F326" i="4"/>
  <c r="J326" i="4" s="1"/>
  <c r="D327" i="4"/>
  <c r="E327" i="4"/>
  <c r="F327" i="4"/>
  <c r="J327" i="4" s="1"/>
  <c r="D328" i="4"/>
  <c r="E328" i="4"/>
  <c r="F328" i="4"/>
  <c r="J328" i="4" s="1"/>
  <c r="D329" i="4"/>
  <c r="E329" i="4"/>
  <c r="F329" i="4"/>
  <c r="J329" i="4" s="1"/>
  <c r="D330" i="4"/>
  <c r="E330" i="4"/>
  <c r="F330" i="4"/>
  <c r="J330" i="4" s="1"/>
  <c r="D331" i="4"/>
  <c r="E331" i="4"/>
  <c r="F331" i="4"/>
  <c r="J331" i="4" s="1"/>
  <c r="D332" i="4"/>
  <c r="E332" i="4"/>
  <c r="F332" i="4"/>
  <c r="J332" i="4" s="1"/>
  <c r="D333" i="4"/>
  <c r="E333" i="4"/>
  <c r="F333" i="4"/>
  <c r="J333" i="4" s="1"/>
  <c r="D335" i="4"/>
  <c r="E335" i="4"/>
  <c r="F335" i="4"/>
  <c r="D336" i="4"/>
  <c r="E336" i="4"/>
  <c r="F336" i="4"/>
  <c r="J336" i="4" s="1"/>
  <c r="D337" i="4"/>
  <c r="E337" i="4"/>
  <c r="F337" i="4"/>
  <c r="J337" i="4" s="1"/>
  <c r="D338" i="4"/>
  <c r="E338" i="4"/>
  <c r="F338" i="4"/>
  <c r="J338" i="4" s="1"/>
  <c r="D339" i="4"/>
  <c r="E339" i="4"/>
  <c r="F339" i="4"/>
  <c r="J339" i="4" s="1"/>
  <c r="D340" i="4"/>
  <c r="E340" i="4"/>
  <c r="F340" i="4"/>
  <c r="J340" i="4" s="1"/>
  <c r="D341" i="4"/>
  <c r="E341" i="4"/>
  <c r="F341" i="4"/>
  <c r="J341" i="4" s="1"/>
  <c r="D342" i="4"/>
  <c r="E342" i="4"/>
  <c r="F342" i="4"/>
  <c r="J342" i="4" s="1"/>
  <c r="D343" i="4"/>
  <c r="E343" i="4"/>
  <c r="F343" i="4"/>
  <c r="J343" i="4" s="1"/>
  <c r="D344" i="4"/>
  <c r="E344" i="4"/>
  <c r="F344" i="4"/>
  <c r="J344" i="4" s="1"/>
  <c r="D345" i="4"/>
  <c r="E345" i="4"/>
  <c r="F345" i="4"/>
  <c r="J345" i="4" s="1"/>
  <c r="D346" i="4"/>
  <c r="E346" i="4"/>
  <c r="F346" i="4"/>
  <c r="J346" i="4" s="1"/>
  <c r="D347" i="4"/>
  <c r="E347" i="4"/>
  <c r="F347" i="4"/>
  <c r="J347" i="4" s="1"/>
  <c r="D348" i="4"/>
  <c r="E348" i="4"/>
  <c r="F348" i="4"/>
  <c r="J348" i="4" s="1"/>
  <c r="D349" i="4"/>
  <c r="E349" i="4"/>
  <c r="F349" i="4"/>
  <c r="J349" i="4" s="1"/>
  <c r="D350" i="4"/>
  <c r="E350" i="4"/>
  <c r="F350" i="4"/>
  <c r="J350" i="4" s="1"/>
  <c r="D351" i="4"/>
  <c r="E351" i="4"/>
  <c r="F351" i="4"/>
  <c r="J351" i="4" s="1"/>
  <c r="D352" i="4"/>
  <c r="E352" i="4"/>
  <c r="F352" i="4"/>
  <c r="J352" i="4" s="1"/>
  <c r="D353" i="4"/>
  <c r="E353" i="4"/>
  <c r="F353" i="4"/>
  <c r="J353" i="4" s="1"/>
  <c r="D354" i="4"/>
  <c r="E354" i="4"/>
  <c r="F354" i="4"/>
  <c r="J354" i="4" s="1"/>
  <c r="D355" i="4"/>
  <c r="E355" i="4"/>
  <c r="F355" i="4"/>
  <c r="J355" i="4" s="1"/>
  <c r="D356" i="4"/>
  <c r="E356" i="4"/>
  <c r="F356" i="4"/>
  <c r="J356" i="4" s="1"/>
  <c r="D357" i="4"/>
  <c r="E357" i="4"/>
  <c r="F357" i="4"/>
  <c r="J357" i="4" s="1"/>
  <c r="D358" i="4"/>
  <c r="E358" i="4"/>
  <c r="F358" i="4"/>
  <c r="J358" i="4" s="1"/>
  <c r="D359" i="4"/>
  <c r="E359" i="4"/>
  <c r="F359" i="4"/>
  <c r="J359" i="4" s="1"/>
  <c r="D360" i="4"/>
  <c r="E360" i="4"/>
  <c r="F360" i="4"/>
  <c r="J360" i="4" s="1"/>
  <c r="D361" i="4"/>
  <c r="E361" i="4"/>
  <c r="F361" i="4"/>
  <c r="J361" i="4" s="1"/>
  <c r="D362" i="4"/>
  <c r="E362" i="4"/>
  <c r="F362" i="4"/>
  <c r="J362" i="4" s="1"/>
  <c r="D363" i="4"/>
  <c r="E363" i="4"/>
  <c r="F363" i="4"/>
  <c r="J363" i="4" s="1"/>
  <c r="D364" i="4"/>
  <c r="E364" i="4"/>
  <c r="F364" i="4"/>
  <c r="J364" i="4" s="1"/>
  <c r="D365" i="4"/>
  <c r="E365" i="4"/>
  <c r="F365" i="4"/>
  <c r="J365" i="4" s="1"/>
  <c r="D366" i="4"/>
  <c r="E366" i="4"/>
  <c r="F366" i="4"/>
  <c r="J366" i="4" s="1"/>
  <c r="D367" i="4"/>
  <c r="E367" i="4"/>
  <c r="F367" i="4"/>
  <c r="J367" i="4" s="1"/>
  <c r="D368" i="4"/>
  <c r="E368" i="4"/>
  <c r="F368" i="4"/>
  <c r="J368" i="4" s="1"/>
  <c r="D369" i="4"/>
  <c r="E369" i="4"/>
  <c r="F369" i="4"/>
  <c r="J369" i="4" s="1"/>
  <c r="D370" i="4"/>
  <c r="E370" i="4"/>
  <c r="F370" i="4"/>
  <c r="J370" i="4" s="1"/>
  <c r="D371" i="4"/>
  <c r="E371" i="4"/>
  <c r="F371" i="4"/>
  <c r="J371" i="4" s="1"/>
  <c r="D372" i="4"/>
  <c r="E372" i="4"/>
  <c r="F372" i="4"/>
  <c r="J372" i="4" s="1"/>
  <c r="D373" i="4"/>
  <c r="E373" i="4"/>
  <c r="F373" i="4"/>
  <c r="J373" i="4" s="1"/>
  <c r="D374" i="4"/>
  <c r="E374" i="4"/>
  <c r="F374" i="4"/>
  <c r="J374" i="4" s="1"/>
  <c r="D375" i="4"/>
  <c r="E375" i="4"/>
  <c r="F375" i="4"/>
  <c r="J375" i="4" s="1"/>
  <c r="D376" i="4"/>
  <c r="E376" i="4"/>
  <c r="F376" i="4"/>
  <c r="J376" i="4" s="1"/>
  <c r="D377" i="4"/>
  <c r="E377" i="4"/>
  <c r="F377" i="4"/>
  <c r="J377" i="4" s="1"/>
  <c r="D378" i="4"/>
  <c r="E378" i="4"/>
  <c r="F378" i="4"/>
  <c r="J378" i="4" s="1"/>
  <c r="D379" i="4"/>
  <c r="E379" i="4"/>
  <c r="F379" i="4"/>
  <c r="J379" i="4" s="1"/>
  <c r="D380" i="4"/>
  <c r="E380" i="4"/>
  <c r="F380" i="4"/>
  <c r="J380" i="4" s="1"/>
  <c r="D381" i="4"/>
  <c r="E381" i="4"/>
  <c r="F381" i="4"/>
  <c r="J381" i="4" s="1"/>
  <c r="D382" i="4"/>
  <c r="E382" i="4"/>
  <c r="F382" i="4"/>
  <c r="J382" i="4" s="1"/>
  <c r="D383" i="4"/>
  <c r="E383" i="4"/>
  <c r="F383" i="4"/>
  <c r="J383" i="4" s="1"/>
  <c r="D384" i="4"/>
  <c r="E384" i="4"/>
  <c r="F384" i="4"/>
  <c r="J384" i="4" s="1"/>
  <c r="D385" i="4"/>
  <c r="E385" i="4"/>
  <c r="F385" i="4"/>
  <c r="J385" i="4" s="1"/>
  <c r="D386" i="4"/>
  <c r="E386" i="4"/>
  <c r="F386" i="4"/>
  <c r="J386" i="4" s="1"/>
  <c r="D387" i="4"/>
  <c r="E387" i="4"/>
  <c r="F387" i="4"/>
  <c r="J387" i="4" s="1"/>
  <c r="D388" i="4"/>
  <c r="E388" i="4"/>
  <c r="F388" i="4"/>
  <c r="J388" i="4" s="1"/>
  <c r="D389" i="4"/>
  <c r="E389" i="4"/>
  <c r="F389" i="4"/>
  <c r="J389" i="4" s="1"/>
  <c r="D390" i="4"/>
  <c r="E390" i="4"/>
  <c r="F390" i="4"/>
  <c r="J390" i="4" s="1"/>
  <c r="D391" i="4"/>
  <c r="E391" i="4"/>
  <c r="F391" i="4"/>
  <c r="J391" i="4" s="1"/>
  <c r="D392" i="4"/>
  <c r="E392" i="4"/>
  <c r="F392" i="4"/>
  <c r="J392" i="4" s="1"/>
  <c r="D393" i="4"/>
  <c r="E393" i="4"/>
  <c r="F393" i="4"/>
  <c r="J393" i="4" s="1"/>
  <c r="D394" i="4"/>
  <c r="E394" i="4"/>
  <c r="F394" i="4"/>
  <c r="J394" i="4" s="1"/>
  <c r="D395" i="4"/>
  <c r="E395" i="4"/>
  <c r="F395" i="4"/>
  <c r="J395" i="4" s="1"/>
  <c r="D396" i="4"/>
  <c r="E396" i="4"/>
  <c r="F396" i="4"/>
  <c r="J396" i="4" s="1"/>
  <c r="D397" i="4"/>
  <c r="E397" i="4"/>
  <c r="F397" i="4"/>
  <c r="J397" i="4" s="1"/>
  <c r="D398" i="4"/>
  <c r="E398" i="4"/>
  <c r="F398" i="4"/>
  <c r="J398" i="4" s="1"/>
  <c r="D399" i="4"/>
  <c r="E399" i="4"/>
  <c r="F399" i="4"/>
  <c r="J399" i="4" s="1"/>
  <c r="D400" i="4"/>
  <c r="E400" i="4"/>
  <c r="F400" i="4"/>
  <c r="J400" i="4" s="1"/>
  <c r="D401" i="4"/>
  <c r="E401" i="4"/>
  <c r="F401" i="4"/>
  <c r="J401" i="4" s="1"/>
  <c r="D402" i="4"/>
  <c r="E402" i="4"/>
  <c r="F402" i="4"/>
  <c r="J402" i="4" s="1"/>
  <c r="D403" i="4"/>
  <c r="E403" i="4"/>
  <c r="F403" i="4"/>
  <c r="J403" i="4" s="1"/>
  <c r="D404" i="4"/>
  <c r="E404" i="4"/>
  <c r="F404" i="4"/>
  <c r="J404" i="4" s="1"/>
  <c r="D405" i="4"/>
  <c r="E405" i="4"/>
  <c r="F405" i="4"/>
  <c r="J405" i="4" s="1"/>
  <c r="D406" i="4"/>
  <c r="E406" i="4"/>
  <c r="F406" i="4"/>
  <c r="J406" i="4" s="1"/>
  <c r="D407" i="4"/>
  <c r="E407" i="4"/>
  <c r="F407" i="4"/>
  <c r="J407" i="4" s="1"/>
  <c r="D408" i="4"/>
  <c r="E408" i="4"/>
  <c r="F408" i="4"/>
  <c r="J408" i="4" s="1"/>
  <c r="D409" i="4"/>
  <c r="E409" i="4"/>
  <c r="F409" i="4"/>
  <c r="J409" i="4" s="1"/>
  <c r="D410" i="4"/>
  <c r="E410" i="4"/>
  <c r="F410" i="4"/>
  <c r="J410" i="4" s="1"/>
  <c r="D411" i="4"/>
  <c r="E411" i="4"/>
  <c r="F411" i="4"/>
  <c r="J411" i="4" s="1"/>
  <c r="D412" i="4"/>
  <c r="E412" i="4"/>
  <c r="F412" i="4"/>
  <c r="J412" i="4" s="1"/>
  <c r="D413" i="4"/>
  <c r="E413" i="4"/>
  <c r="F413" i="4"/>
  <c r="J413" i="4" s="1"/>
  <c r="D414" i="4"/>
  <c r="E414" i="4"/>
  <c r="F414" i="4"/>
  <c r="J414" i="4" s="1"/>
  <c r="D415" i="4"/>
  <c r="E415" i="4"/>
  <c r="F415" i="4"/>
  <c r="J415" i="4" s="1"/>
  <c r="D416" i="4"/>
  <c r="E416" i="4"/>
  <c r="F416" i="4"/>
  <c r="J416" i="4" s="1"/>
  <c r="D417" i="4"/>
  <c r="E417" i="4"/>
  <c r="F417" i="4"/>
  <c r="J417" i="4" s="1"/>
  <c r="D418" i="4"/>
  <c r="E418" i="4"/>
  <c r="F418" i="4"/>
  <c r="J418" i="4" s="1"/>
  <c r="D419" i="4"/>
  <c r="E419" i="4"/>
  <c r="F419" i="4"/>
  <c r="J419" i="4" s="1"/>
  <c r="D420" i="4"/>
  <c r="E420" i="4"/>
  <c r="F420" i="4"/>
  <c r="J420" i="4" s="1"/>
  <c r="D421" i="4"/>
  <c r="E421" i="4"/>
  <c r="F421" i="4"/>
  <c r="J421" i="4" s="1"/>
  <c r="D422" i="4"/>
  <c r="E422" i="4"/>
  <c r="F422" i="4"/>
  <c r="J422" i="4" s="1"/>
  <c r="D423" i="4"/>
  <c r="E423" i="4"/>
  <c r="F423" i="4"/>
  <c r="J423" i="4" s="1"/>
  <c r="D424" i="4"/>
  <c r="E424" i="4"/>
  <c r="F424" i="4"/>
  <c r="J424" i="4" s="1"/>
  <c r="D425" i="4"/>
  <c r="E425" i="4"/>
  <c r="F425" i="4"/>
  <c r="J425" i="4" s="1"/>
  <c r="D426" i="4"/>
  <c r="E426" i="4"/>
  <c r="F426" i="4"/>
  <c r="J426" i="4" s="1"/>
  <c r="D427" i="4"/>
  <c r="E427" i="4"/>
  <c r="F427" i="4"/>
  <c r="J427" i="4" s="1"/>
  <c r="D428" i="4"/>
  <c r="E428" i="4"/>
  <c r="F428" i="4"/>
  <c r="J428" i="4" s="1"/>
  <c r="D429" i="4"/>
  <c r="E429" i="4"/>
  <c r="F429" i="4"/>
  <c r="J429" i="4" s="1"/>
  <c r="D430" i="4"/>
  <c r="E430" i="4"/>
  <c r="F430" i="4"/>
  <c r="J430" i="4" s="1"/>
  <c r="D431" i="4"/>
  <c r="E431" i="4"/>
  <c r="F431" i="4"/>
  <c r="J431" i="4" s="1"/>
  <c r="D432" i="4"/>
  <c r="E432" i="4"/>
  <c r="F432" i="4"/>
  <c r="J432" i="4" s="1"/>
  <c r="D433" i="4"/>
  <c r="E433" i="4"/>
  <c r="F433" i="4"/>
  <c r="J433" i="4" s="1"/>
  <c r="D434" i="4"/>
  <c r="E434" i="4"/>
  <c r="F434" i="4"/>
  <c r="J434" i="4" s="1"/>
  <c r="D435" i="4"/>
  <c r="E435" i="4"/>
  <c r="F435" i="4"/>
  <c r="J435" i="4" s="1"/>
  <c r="D436" i="4"/>
  <c r="E436" i="4"/>
  <c r="F436" i="4"/>
  <c r="J436" i="4" s="1"/>
  <c r="D437" i="4"/>
  <c r="E437" i="4"/>
  <c r="F437" i="4"/>
  <c r="J437" i="4" s="1"/>
  <c r="D438" i="4"/>
  <c r="E438" i="4"/>
  <c r="F438" i="4"/>
  <c r="J438" i="4" s="1"/>
  <c r="D439" i="4"/>
  <c r="E439" i="4"/>
  <c r="F439" i="4"/>
  <c r="J439" i="4" s="1"/>
  <c r="D440" i="4"/>
  <c r="E440" i="4"/>
  <c r="F440" i="4"/>
  <c r="J440" i="4" s="1"/>
  <c r="D441" i="4"/>
  <c r="E441" i="4"/>
  <c r="F441" i="4"/>
  <c r="J441" i="4" s="1"/>
  <c r="D442" i="4"/>
  <c r="E442" i="4"/>
  <c r="F442" i="4"/>
  <c r="J442" i="4" s="1"/>
  <c r="D443" i="4"/>
  <c r="E443" i="4"/>
  <c r="F443" i="4"/>
  <c r="J443" i="4" s="1"/>
  <c r="E444" i="4"/>
  <c r="F444" i="4"/>
  <c r="J444" i="4" s="1"/>
  <c r="D445" i="4"/>
  <c r="E445" i="4"/>
  <c r="F445" i="4"/>
  <c r="J445" i="4" s="1"/>
  <c r="D446" i="4"/>
  <c r="E446" i="4"/>
  <c r="F446" i="4"/>
  <c r="J446" i="4" s="1"/>
  <c r="D447" i="4"/>
  <c r="E447" i="4"/>
  <c r="F447" i="4"/>
  <c r="J447" i="4" s="1"/>
  <c r="D448" i="4"/>
  <c r="E448" i="4"/>
  <c r="F448" i="4"/>
  <c r="J448" i="4" s="1"/>
  <c r="D449" i="4"/>
  <c r="E449" i="4"/>
  <c r="F449" i="4"/>
  <c r="J449" i="4" s="1"/>
  <c r="D450" i="4"/>
  <c r="E450" i="4"/>
  <c r="F450" i="4"/>
  <c r="J450" i="4" s="1"/>
  <c r="D451" i="4"/>
  <c r="E451" i="4"/>
  <c r="F451" i="4"/>
  <c r="J451" i="4" s="1"/>
  <c r="D452" i="4"/>
  <c r="E452" i="4"/>
  <c r="F452" i="4"/>
  <c r="J452" i="4" s="1"/>
  <c r="D453" i="4"/>
  <c r="E453" i="4"/>
  <c r="F453" i="4"/>
  <c r="J453" i="4" s="1"/>
  <c r="D454" i="4"/>
  <c r="E454" i="4"/>
  <c r="F454" i="4"/>
  <c r="J454" i="4" s="1"/>
  <c r="D455" i="4"/>
  <c r="E455" i="4"/>
  <c r="F455" i="4"/>
  <c r="J455" i="4" s="1"/>
  <c r="D456" i="4"/>
  <c r="E456" i="4"/>
  <c r="F456" i="4"/>
  <c r="J456" i="4" s="1"/>
  <c r="D457" i="4"/>
  <c r="E457" i="4"/>
  <c r="F457" i="4"/>
  <c r="J457" i="4" s="1"/>
  <c r="D458" i="4"/>
  <c r="E458" i="4"/>
  <c r="F458" i="4"/>
  <c r="J458" i="4" s="1"/>
  <c r="D459" i="4"/>
  <c r="E459" i="4"/>
  <c r="F459" i="4"/>
  <c r="J459" i="4" s="1"/>
  <c r="D460" i="4"/>
  <c r="E460" i="4"/>
  <c r="F460" i="4"/>
  <c r="J460" i="4" s="1"/>
  <c r="D461" i="4"/>
  <c r="E461" i="4"/>
  <c r="F461" i="4"/>
  <c r="J461" i="4" s="1"/>
  <c r="D462" i="4"/>
  <c r="E462" i="4"/>
  <c r="F462" i="4"/>
  <c r="J462" i="4" s="1"/>
  <c r="D463" i="4"/>
  <c r="E463" i="4"/>
  <c r="F463" i="4"/>
  <c r="J463" i="4" s="1"/>
  <c r="D464" i="4"/>
  <c r="E464" i="4"/>
  <c r="F464" i="4"/>
  <c r="J464" i="4" s="1"/>
  <c r="D465" i="4"/>
  <c r="E465" i="4"/>
  <c r="F465" i="4"/>
  <c r="J465" i="4" s="1"/>
  <c r="D466" i="4"/>
  <c r="E466" i="4"/>
  <c r="F466" i="4"/>
  <c r="J466" i="4" s="1"/>
  <c r="D467" i="4"/>
  <c r="E467" i="4"/>
  <c r="F467" i="4"/>
  <c r="J467" i="4" s="1"/>
  <c r="D468" i="4"/>
  <c r="E468" i="4"/>
  <c r="F468" i="4"/>
  <c r="J468" i="4" s="1"/>
  <c r="D469" i="4"/>
  <c r="E469" i="4"/>
  <c r="F469" i="4"/>
  <c r="J469" i="4" s="1"/>
  <c r="D470" i="4"/>
  <c r="E470" i="4"/>
  <c r="F470" i="4"/>
  <c r="J470" i="4" s="1"/>
  <c r="D471" i="4"/>
  <c r="E471" i="4"/>
  <c r="F471" i="4"/>
  <c r="J471" i="4" s="1"/>
  <c r="D472" i="4"/>
  <c r="E472" i="4"/>
  <c r="F472" i="4"/>
  <c r="J472" i="4" s="1"/>
  <c r="D473" i="4"/>
  <c r="E473" i="4"/>
  <c r="F473" i="4"/>
  <c r="J473" i="4" s="1"/>
  <c r="D474" i="4"/>
  <c r="E474" i="4"/>
  <c r="F474" i="4"/>
  <c r="J474" i="4" s="1"/>
  <c r="D475" i="4"/>
  <c r="E475" i="4"/>
  <c r="F475" i="4"/>
  <c r="J475" i="4" s="1"/>
  <c r="D476" i="4"/>
  <c r="E476" i="4"/>
  <c r="F476" i="4"/>
  <c r="J476" i="4" s="1"/>
  <c r="D477" i="4"/>
  <c r="E477" i="4"/>
  <c r="F477" i="4"/>
  <c r="J477" i="4" s="1"/>
  <c r="D478" i="4"/>
  <c r="E478" i="4"/>
  <c r="F478" i="4"/>
  <c r="J478" i="4" s="1"/>
  <c r="D479" i="4"/>
  <c r="E479" i="4"/>
  <c r="F479" i="4"/>
  <c r="J479" i="4" s="1"/>
  <c r="D480" i="4"/>
  <c r="E480" i="4"/>
  <c r="F480" i="4"/>
  <c r="J480" i="4" s="1"/>
  <c r="D481" i="4"/>
  <c r="E481" i="4"/>
  <c r="F481" i="4"/>
  <c r="J481" i="4" s="1"/>
  <c r="D482" i="4"/>
  <c r="E482" i="4"/>
  <c r="F482" i="4"/>
  <c r="J482" i="4" s="1"/>
  <c r="D483" i="4"/>
  <c r="E483" i="4"/>
  <c r="F483" i="4"/>
  <c r="J483" i="4" s="1"/>
  <c r="D484" i="4"/>
  <c r="E484" i="4"/>
  <c r="F484" i="4"/>
  <c r="J484" i="4" s="1"/>
  <c r="D485" i="4"/>
  <c r="E485" i="4"/>
  <c r="F485" i="4"/>
  <c r="J485" i="4" s="1"/>
  <c r="D486" i="4"/>
  <c r="E486" i="4"/>
  <c r="F486" i="4"/>
  <c r="J486" i="4" s="1"/>
  <c r="D487" i="4"/>
  <c r="E487" i="4"/>
  <c r="F487" i="4"/>
  <c r="J487" i="4" s="1"/>
  <c r="D488" i="4"/>
  <c r="E488" i="4"/>
  <c r="F488" i="4"/>
  <c r="J488" i="4" s="1"/>
  <c r="D489" i="4"/>
  <c r="E489" i="4"/>
  <c r="F489" i="4"/>
  <c r="J489" i="4" s="1"/>
  <c r="D490" i="4"/>
  <c r="E490" i="4"/>
  <c r="F490" i="4"/>
  <c r="J490" i="4" s="1"/>
  <c r="D491" i="4"/>
  <c r="E491" i="4"/>
  <c r="F491" i="4"/>
  <c r="J491" i="4" s="1"/>
  <c r="D492" i="4"/>
  <c r="E492" i="4"/>
  <c r="F492" i="4"/>
  <c r="J492" i="4" s="1"/>
  <c r="D493" i="4"/>
  <c r="E493" i="4"/>
  <c r="F493" i="4"/>
  <c r="J493" i="4" s="1"/>
  <c r="D494" i="4"/>
  <c r="E494" i="4"/>
  <c r="F494" i="4"/>
  <c r="J494" i="4" s="1"/>
  <c r="D495" i="4"/>
  <c r="E495" i="4"/>
  <c r="F495" i="4"/>
  <c r="J495" i="4" s="1"/>
  <c r="D496" i="4"/>
  <c r="E496" i="4"/>
  <c r="F496" i="4"/>
  <c r="J496" i="4" s="1"/>
  <c r="D497" i="4"/>
  <c r="E497" i="4"/>
  <c r="F497" i="4"/>
  <c r="J497" i="4" s="1"/>
  <c r="D498" i="4"/>
  <c r="E498" i="4"/>
  <c r="F498" i="4"/>
  <c r="J498" i="4" s="1"/>
  <c r="D499" i="4"/>
  <c r="E499" i="4"/>
  <c r="F499" i="4"/>
  <c r="J499" i="4" s="1"/>
  <c r="D500" i="4"/>
  <c r="E500" i="4"/>
  <c r="F500" i="4"/>
  <c r="J500" i="4" s="1"/>
  <c r="D501" i="4"/>
  <c r="E501" i="4"/>
  <c r="F501" i="4"/>
  <c r="J501" i="4" s="1"/>
  <c r="D502" i="4"/>
  <c r="E502" i="4"/>
  <c r="F502" i="4"/>
  <c r="J502" i="4" s="1"/>
  <c r="D503" i="4"/>
  <c r="E503" i="4"/>
  <c r="F503" i="4"/>
  <c r="J503" i="4" s="1"/>
  <c r="D504" i="4"/>
  <c r="E504" i="4"/>
  <c r="F504" i="4"/>
  <c r="J504" i="4" s="1"/>
  <c r="D505" i="4"/>
  <c r="E505" i="4"/>
  <c r="F505" i="4"/>
  <c r="J505" i="4" s="1"/>
  <c r="D506" i="4"/>
  <c r="E506" i="4"/>
  <c r="F506" i="4"/>
  <c r="J506" i="4" s="1"/>
  <c r="D507" i="4"/>
  <c r="E507" i="4"/>
  <c r="F507" i="4"/>
  <c r="J507" i="4" s="1"/>
  <c r="D508" i="4"/>
  <c r="E508" i="4"/>
  <c r="F508" i="4"/>
  <c r="J508" i="4" s="1"/>
  <c r="D509" i="4"/>
  <c r="E509" i="4"/>
  <c r="F509" i="4"/>
  <c r="J509" i="4" s="1"/>
  <c r="D510" i="4"/>
  <c r="E510" i="4"/>
  <c r="F510" i="4"/>
  <c r="J510" i="4" s="1"/>
  <c r="D511" i="4"/>
  <c r="E511" i="4"/>
  <c r="F511" i="4"/>
  <c r="J511" i="4" s="1"/>
  <c r="D512" i="4"/>
  <c r="E512" i="4"/>
  <c r="F512" i="4"/>
  <c r="J512" i="4" s="1"/>
  <c r="D513" i="4"/>
  <c r="E513" i="4"/>
  <c r="F513" i="4"/>
  <c r="J513" i="4" s="1"/>
  <c r="D514" i="4"/>
  <c r="E514" i="4"/>
  <c r="F514" i="4"/>
  <c r="J514" i="4" s="1"/>
  <c r="D515" i="4"/>
  <c r="E515" i="4"/>
  <c r="F515" i="4"/>
  <c r="J515" i="4" s="1"/>
  <c r="D516" i="4"/>
  <c r="E516" i="4"/>
  <c r="F516" i="4"/>
  <c r="J516" i="4" s="1"/>
  <c r="D517" i="4"/>
  <c r="E517" i="4"/>
  <c r="F517" i="4"/>
  <c r="J517" i="4" s="1"/>
  <c r="D518" i="4"/>
  <c r="E518" i="4"/>
  <c r="F518" i="4"/>
  <c r="J518" i="4" s="1"/>
  <c r="D519" i="4"/>
  <c r="E519" i="4"/>
  <c r="F519" i="4"/>
  <c r="J519" i="4" s="1"/>
  <c r="D520" i="4"/>
  <c r="E520" i="4"/>
  <c r="F520" i="4"/>
  <c r="J520" i="4" s="1"/>
  <c r="D521" i="4"/>
  <c r="E521" i="4"/>
  <c r="F521" i="4"/>
  <c r="J521" i="4" s="1"/>
  <c r="D522" i="4"/>
  <c r="E522" i="4"/>
  <c r="F522" i="4"/>
  <c r="J522" i="4" s="1"/>
  <c r="D523" i="4"/>
  <c r="E523" i="4"/>
  <c r="F523" i="4"/>
  <c r="J523" i="4" s="1"/>
  <c r="D524" i="4"/>
  <c r="E524" i="4"/>
  <c r="F524" i="4"/>
  <c r="J524" i="4" s="1"/>
  <c r="D525" i="4"/>
  <c r="E525" i="4"/>
  <c r="F525" i="4"/>
  <c r="J525" i="4" s="1"/>
  <c r="D526" i="4"/>
  <c r="E526" i="4"/>
  <c r="F526" i="4"/>
  <c r="J526" i="4" s="1"/>
  <c r="D527" i="4"/>
  <c r="E527" i="4"/>
  <c r="F527" i="4"/>
  <c r="J527" i="4" s="1"/>
  <c r="D528" i="4"/>
  <c r="E528" i="4"/>
  <c r="F528" i="4"/>
  <c r="J528" i="4" s="1"/>
  <c r="D529" i="4"/>
  <c r="E529" i="4"/>
  <c r="F529" i="4"/>
  <c r="J529" i="4" s="1"/>
  <c r="D530" i="4"/>
  <c r="E530" i="4"/>
  <c r="F530" i="4"/>
  <c r="J530" i="4" s="1"/>
  <c r="D531" i="4"/>
  <c r="E531" i="4"/>
  <c r="F531" i="4"/>
  <c r="J531" i="4" s="1"/>
  <c r="D532" i="4"/>
  <c r="E532" i="4"/>
  <c r="F532" i="4"/>
  <c r="J532" i="4" s="1"/>
  <c r="D533" i="4"/>
  <c r="E533" i="4"/>
  <c r="F533" i="4"/>
  <c r="J533" i="4" s="1"/>
  <c r="D534" i="4"/>
  <c r="E534" i="4"/>
  <c r="F534" i="4"/>
  <c r="J534" i="4" s="1"/>
  <c r="D535" i="4"/>
  <c r="E535" i="4"/>
  <c r="F535" i="4"/>
  <c r="J535" i="4" s="1"/>
  <c r="D536" i="4"/>
  <c r="E536" i="4"/>
  <c r="F536" i="4"/>
  <c r="J536" i="4" s="1"/>
  <c r="D537" i="4"/>
  <c r="E537" i="4"/>
  <c r="F537" i="4"/>
  <c r="J537" i="4" s="1"/>
  <c r="D538" i="4"/>
  <c r="E538" i="4"/>
  <c r="F538" i="4"/>
  <c r="J538" i="4" s="1"/>
  <c r="D539" i="4"/>
  <c r="E539" i="4"/>
  <c r="F539" i="4"/>
  <c r="J539" i="4" s="1"/>
  <c r="D540" i="4"/>
  <c r="E540" i="4"/>
  <c r="F540" i="4"/>
  <c r="J540" i="4" s="1"/>
  <c r="D541" i="4"/>
  <c r="E541" i="4"/>
  <c r="F541" i="4"/>
  <c r="J541" i="4" s="1"/>
  <c r="D542" i="4"/>
  <c r="E542" i="4"/>
  <c r="F542" i="4"/>
  <c r="J542" i="4" s="1"/>
  <c r="D543" i="4"/>
  <c r="E543" i="4"/>
  <c r="F543" i="4"/>
  <c r="J543" i="4" s="1"/>
  <c r="D544" i="4"/>
  <c r="E544" i="4"/>
  <c r="F544" i="4"/>
  <c r="J544" i="4" s="1"/>
  <c r="D545" i="4"/>
  <c r="E545" i="4"/>
  <c r="F545" i="4"/>
  <c r="J545" i="4" s="1"/>
  <c r="D546" i="4"/>
  <c r="E546" i="4"/>
  <c r="F546" i="4"/>
  <c r="J546" i="4" s="1"/>
  <c r="D547" i="4"/>
  <c r="E547" i="4"/>
  <c r="F547" i="4"/>
  <c r="J547" i="4" s="1"/>
  <c r="D548" i="4"/>
  <c r="E548" i="4"/>
  <c r="F548" i="4"/>
  <c r="J548" i="4" s="1"/>
  <c r="D549" i="4"/>
  <c r="E549" i="4"/>
  <c r="F549" i="4"/>
  <c r="J549" i="4" s="1"/>
  <c r="D550" i="4"/>
  <c r="E550" i="4"/>
  <c r="F550" i="4"/>
  <c r="J550" i="4" s="1"/>
  <c r="D551" i="4"/>
  <c r="E551" i="4"/>
  <c r="F551" i="4"/>
  <c r="J551" i="4" s="1"/>
  <c r="D552" i="4"/>
  <c r="E552" i="4"/>
  <c r="F552" i="4"/>
  <c r="J552" i="4" s="1"/>
  <c r="D553" i="4"/>
  <c r="E553" i="4"/>
  <c r="F553" i="4"/>
  <c r="J553" i="4" s="1"/>
  <c r="D554" i="4"/>
  <c r="E554" i="4"/>
  <c r="F554" i="4"/>
  <c r="J554" i="4" s="1"/>
  <c r="D555" i="4"/>
  <c r="E555" i="4"/>
  <c r="F555" i="4"/>
  <c r="J555" i="4" s="1"/>
  <c r="D556" i="4"/>
  <c r="E556" i="4"/>
  <c r="F556" i="4"/>
  <c r="J556" i="4" s="1"/>
  <c r="D557" i="4"/>
  <c r="E557" i="4"/>
  <c r="F557" i="4"/>
  <c r="J557" i="4" s="1"/>
  <c r="D558" i="4"/>
  <c r="E558" i="4"/>
  <c r="F558" i="4"/>
  <c r="J558" i="4" s="1"/>
  <c r="D559" i="4"/>
  <c r="E559" i="4"/>
  <c r="F559" i="4"/>
  <c r="J559" i="4" s="1"/>
  <c r="D560" i="4"/>
  <c r="E560" i="4"/>
  <c r="F560" i="4"/>
  <c r="J560" i="4" s="1"/>
  <c r="D561" i="4"/>
  <c r="E561" i="4"/>
  <c r="F561" i="4"/>
  <c r="J561" i="4" s="1"/>
  <c r="D562" i="4"/>
  <c r="E562" i="4"/>
  <c r="F562" i="4"/>
  <c r="J562" i="4" s="1"/>
  <c r="D563" i="4"/>
  <c r="E563" i="4"/>
  <c r="F563" i="4"/>
  <c r="J563" i="4" s="1"/>
  <c r="D564" i="4"/>
  <c r="E564" i="4"/>
  <c r="F564" i="4"/>
  <c r="J564" i="4" s="1"/>
  <c r="D565" i="4"/>
  <c r="E565" i="4"/>
  <c r="F565" i="4"/>
  <c r="J565" i="4" s="1"/>
  <c r="D566" i="4"/>
  <c r="E566" i="4"/>
  <c r="F566" i="4"/>
  <c r="J566" i="4" s="1"/>
  <c r="D567" i="4"/>
  <c r="E567" i="4"/>
  <c r="F567" i="4"/>
  <c r="J567" i="4" s="1"/>
  <c r="D568" i="4"/>
  <c r="E568" i="4"/>
  <c r="F568" i="4"/>
  <c r="J568" i="4" s="1"/>
  <c r="D569" i="4"/>
  <c r="E569" i="4"/>
  <c r="F569" i="4"/>
  <c r="J569" i="4" s="1"/>
  <c r="D570" i="4"/>
  <c r="E570" i="4"/>
  <c r="F570" i="4"/>
  <c r="J570" i="4" s="1"/>
  <c r="D571" i="4"/>
  <c r="E571" i="4"/>
  <c r="F571" i="4"/>
  <c r="J571" i="4" s="1"/>
  <c r="D572" i="4"/>
  <c r="E572" i="4"/>
  <c r="F572" i="4"/>
  <c r="J572" i="4" s="1"/>
  <c r="D573" i="4"/>
  <c r="E573" i="4"/>
  <c r="F573" i="4"/>
  <c r="J573" i="4" s="1"/>
  <c r="D574" i="4"/>
  <c r="E574" i="4"/>
  <c r="F574" i="4"/>
  <c r="J574" i="4" s="1"/>
  <c r="D575" i="4"/>
  <c r="E575" i="4"/>
  <c r="F575" i="4"/>
  <c r="J575" i="4" s="1"/>
  <c r="D576" i="4"/>
  <c r="E576" i="4"/>
  <c r="F576" i="4"/>
  <c r="J576" i="4" s="1"/>
  <c r="D577" i="4"/>
  <c r="E577" i="4"/>
  <c r="F577" i="4"/>
  <c r="J577" i="4" s="1"/>
  <c r="D578" i="4"/>
  <c r="E578" i="4"/>
  <c r="F578" i="4"/>
  <c r="J578" i="4" s="1"/>
  <c r="D579" i="4"/>
  <c r="E579" i="4"/>
  <c r="F579" i="4"/>
  <c r="J579" i="4" s="1"/>
  <c r="D580" i="4"/>
  <c r="E580" i="4"/>
  <c r="F580" i="4"/>
  <c r="J580" i="4" s="1"/>
  <c r="D581" i="4"/>
  <c r="E581" i="4"/>
  <c r="F581" i="4"/>
  <c r="J581" i="4" s="1"/>
  <c r="D582" i="4"/>
  <c r="E582" i="4"/>
  <c r="F582" i="4"/>
  <c r="J582" i="4" s="1"/>
  <c r="D583" i="4"/>
  <c r="E583" i="4"/>
  <c r="F583" i="4"/>
  <c r="J583" i="4" s="1"/>
  <c r="D584" i="4"/>
  <c r="E584" i="4"/>
  <c r="F584" i="4"/>
  <c r="J584" i="4" s="1"/>
  <c r="D585" i="4"/>
  <c r="E585" i="4"/>
  <c r="F585" i="4"/>
  <c r="J585" i="4" s="1"/>
  <c r="D586" i="4"/>
  <c r="E586" i="4"/>
  <c r="F586" i="4"/>
  <c r="J586" i="4" s="1"/>
  <c r="D587" i="4"/>
  <c r="E587" i="4"/>
  <c r="F587" i="4"/>
  <c r="J587" i="4" s="1"/>
  <c r="D588" i="4"/>
  <c r="E588" i="4"/>
  <c r="F588" i="4"/>
  <c r="J588" i="4" s="1"/>
  <c r="D589" i="4"/>
  <c r="E589" i="4"/>
  <c r="F589" i="4"/>
  <c r="J589" i="4" s="1"/>
  <c r="D590" i="4"/>
  <c r="E590" i="4"/>
  <c r="F590" i="4"/>
  <c r="J590" i="4" s="1"/>
  <c r="D591" i="4"/>
  <c r="E591" i="4"/>
  <c r="F591" i="4"/>
  <c r="J591" i="4" s="1"/>
  <c r="D592" i="4"/>
  <c r="E592" i="4"/>
  <c r="F592" i="4"/>
  <c r="J592" i="4" s="1"/>
  <c r="D593" i="4"/>
  <c r="E593" i="4"/>
  <c r="F593" i="4"/>
  <c r="J593" i="4" s="1"/>
  <c r="D594" i="4"/>
  <c r="E594" i="4"/>
  <c r="F594" i="4"/>
  <c r="J594" i="4" s="1"/>
  <c r="D595" i="4"/>
  <c r="E595" i="4"/>
  <c r="F595" i="4"/>
  <c r="J595" i="4" s="1"/>
  <c r="D596" i="4"/>
  <c r="E596" i="4"/>
  <c r="F596" i="4"/>
  <c r="J596" i="4" s="1"/>
  <c r="D597" i="4"/>
  <c r="E597" i="4"/>
  <c r="F597" i="4"/>
  <c r="J597" i="4" s="1"/>
  <c r="D598" i="4"/>
  <c r="E598" i="4"/>
  <c r="F598" i="4"/>
  <c r="J598" i="4" s="1"/>
  <c r="D599" i="4"/>
  <c r="E599" i="4"/>
  <c r="F599" i="4"/>
  <c r="J599" i="4" s="1"/>
  <c r="D600" i="4"/>
  <c r="E600" i="4"/>
  <c r="F600" i="4"/>
  <c r="J600" i="4" s="1"/>
  <c r="D601" i="4"/>
  <c r="E601" i="4"/>
  <c r="F601" i="4"/>
  <c r="J601" i="4" s="1"/>
  <c r="D602" i="4"/>
  <c r="E602" i="4"/>
  <c r="F602" i="4"/>
  <c r="J602" i="4" s="1"/>
  <c r="D603" i="4"/>
  <c r="E603" i="4"/>
  <c r="F603" i="4"/>
  <c r="J603" i="4" s="1"/>
  <c r="D604" i="4"/>
  <c r="E604" i="4"/>
  <c r="I604" i="4" s="1"/>
  <c r="F604" i="4"/>
  <c r="D605" i="4"/>
  <c r="E605" i="4"/>
  <c r="F605" i="4"/>
  <c r="J605" i="4" s="1"/>
  <c r="D606" i="4"/>
  <c r="E606" i="4"/>
  <c r="I606" i="4" s="1"/>
  <c r="N606" i="4" s="1"/>
  <c r="R606" i="4" s="1"/>
  <c r="X606" i="4" s="1"/>
  <c r="F606" i="4"/>
  <c r="J606" i="4" s="1"/>
  <c r="O606" i="4" s="1"/>
  <c r="S606" i="4" s="1"/>
  <c r="Y606" i="4" s="1"/>
  <c r="D607" i="4"/>
  <c r="E607" i="4"/>
  <c r="F607" i="4"/>
  <c r="J607" i="4" s="1"/>
  <c r="D608" i="4"/>
  <c r="E608" i="4"/>
  <c r="I608" i="4" s="1"/>
  <c r="F608" i="4"/>
  <c r="D609" i="4"/>
  <c r="E609" i="4"/>
  <c r="F609" i="4"/>
  <c r="J609" i="4" s="1"/>
  <c r="D610" i="4"/>
  <c r="E610" i="4"/>
  <c r="I610" i="4" s="1"/>
  <c r="N610" i="4" s="1"/>
  <c r="R610" i="4" s="1"/>
  <c r="X610" i="4" s="1"/>
  <c r="F610" i="4"/>
  <c r="J610" i="4" s="1"/>
  <c r="O610" i="4" s="1"/>
  <c r="S610" i="4" s="1"/>
  <c r="Y610" i="4" s="1"/>
  <c r="D611" i="4"/>
  <c r="E611" i="4"/>
  <c r="F611" i="4"/>
  <c r="J611" i="4" s="1"/>
  <c r="D612" i="4"/>
  <c r="E612" i="4"/>
  <c r="F612" i="4"/>
  <c r="J612" i="4" s="1"/>
  <c r="D613" i="4"/>
  <c r="E613" i="4"/>
  <c r="F613" i="4"/>
  <c r="J613" i="4" s="1"/>
  <c r="D614" i="4"/>
  <c r="E614" i="4"/>
  <c r="F614" i="4"/>
  <c r="J614" i="4" s="1"/>
  <c r="D615" i="4"/>
  <c r="E615" i="4"/>
  <c r="F615" i="4"/>
  <c r="J615" i="4" s="1"/>
  <c r="D616" i="4"/>
  <c r="E616" i="4"/>
  <c r="F616" i="4"/>
  <c r="J616" i="4" s="1"/>
  <c r="D617" i="4"/>
  <c r="E617" i="4"/>
  <c r="F617" i="4"/>
  <c r="J617" i="4" s="1"/>
  <c r="D618" i="4"/>
  <c r="E618" i="4"/>
  <c r="F618" i="4"/>
  <c r="J618" i="4" s="1"/>
  <c r="D619" i="4"/>
  <c r="E619" i="4"/>
  <c r="F619" i="4"/>
  <c r="J619" i="4" s="1"/>
  <c r="D620" i="4"/>
  <c r="E620" i="4"/>
  <c r="F620" i="4"/>
  <c r="J620" i="4" s="1"/>
  <c r="D621" i="4"/>
  <c r="E621" i="4"/>
  <c r="F621" i="4"/>
  <c r="J621" i="4" s="1"/>
  <c r="D622" i="4"/>
  <c r="E622" i="4"/>
  <c r="F622" i="4"/>
  <c r="J622" i="4" s="1"/>
  <c r="D623" i="4"/>
  <c r="E623" i="4"/>
  <c r="F623" i="4"/>
  <c r="J623" i="4" s="1"/>
  <c r="D624" i="4"/>
  <c r="E624" i="4"/>
  <c r="F624" i="4"/>
  <c r="J624" i="4" s="1"/>
  <c r="D625" i="4"/>
  <c r="E625" i="4"/>
  <c r="F625" i="4"/>
  <c r="J625" i="4" s="1"/>
  <c r="D626" i="4"/>
  <c r="E626" i="4"/>
  <c r="F626" i="4"/>
  <c r="J626" i="4" s="1"/>
  <c r="D627" i="4"/>
  <c r="E627" i="4"/>
  <c r="F627" i="4"/>
  <c r="J627" i="4" s="1"/>
  <c r="D628" i="4"/>
  <c r="E628" i="4"/>
  <c r="F628" i="4"/>
  <c r="J628" i="4" s="1"/>
  <c r="D629" i="4"/>
  <c r="E629" i="4"/>
  <c r="F629" i="4"/>
  <c r="J629" i="4" s="1"/>
  <c r="D630" i="4"/>
  <c r="E630" i="4"/>
  <c r="F630" i="4"/>
  <c r="J630" i="4" s="1"/>
  <c r="D631" i="4"/>
  <c r="E631" i="4"/>
  <c r="F631" i="4"/>
  <c r="J631" i="4" s="1"/>
  <c r="D632" i="4"/>
  <c r="E632" i="4"/>
  <c r="F632" i="4"/>
  <c r="J632" i="4" s="1"/>
  <c r="D633" i="4"/>
  <c r="E633" i="4"/>
  <c r="F633" i="4"/>
  <c r="J633" i="4" s="1"/>
  <c r="D634" i="4"/>
  <c r="E634" i="4"/>
  <c r="I634" i="4" s="1"/>
  <c r="F634" i="4"/>
  <c r="D635" i="4"/>
  <c r="E635" i="4"/>
  <c r="F635" i="4"/>
  <c r="J635" i="4" s="1"/>
  <c r="D636" i="4"/>
  <c r="E636" i="4"/>
  <c r="F636" i="4"/>
  <c r="J636" i="4" s="1"/>
  <c r="D637" i="4"/>
  <c r="E637" i="4"/>
  <c r="F637" i="4"/>
  <c r="J637" i="4" s="1"/>
  <c r="D638" i="4"/>
  <c r="E638" i="4"/>
  <c r="F638" i="4"/>
  <c r="J638" i="4" s="1"/>
  <c r="D639" i="4"/>
  <c r="E639" i="4"/>
  <c r="F639" i="4"/>
  <c r="J639" i="4" s="1"/>
  <c r="D640" i="4"/>
  <c r="E640" i="4"/>
  <c r="F640" i="4"/>
  <c r="J640" i="4" s="1"/>
  <c r="D641" i="4"/>
  <c r="E641" i="4"/>
  <c r="F641" i="4"/>
  <c r="J641" i="4" s="1"/>
  <c r="D642" i="4"/>
  <c r="E642" i="4"/>
  <c r="F642" i="4"/>
  <c r="J642" i="4" s="1"/>
  <c r="D643" i="4"/>
  <c r="E643" i="4"/>
  <c r="F643" i="4"/>
  <c r="J643" i="4" s="1"/>
  <c r="D644" i="4"/>
  <c r="E644" i="4"/>
  <c r="F644" i="4"/>
  <c r="J644" i="4" s="1"/>
  <c r="D645" i="4"/>
  <c r="E645" i="4"/>
  <c r="F645" i="4"/>
  <c r="J645" i="4" s="1"/>
  <c r="D646" i="4"/>
  <c r="E646" i="4"/>
  <c r="F646" i="4"/>
  <c r="J646" i="4" s="1"/>
  <c r="D647" i="4"/>
  <c r="E647" i="4"/>
  <c r="F647" i="4"/>
  <c r="J647" i="4" s="1"/>
  <c r="D648" i="4"/>
  <c r="E648" i="4"/>
  <c r="F648" i="4"/>
  <c r="J648" i="4" s="1"/>
  <c r="D649" i="4"/>
  <c r="E649" i="4"/>
  <c r="F649" i="4"/>
  <c r="J649" i="4" s="1"/>
  <c r="D650" i="4"/>
  <c r="E650" i="4"/>
  <c r="F650" i="4"/>
  <c r="J650" i="4" s="1"/>
  <c r="D651" i="4"/>
  <c r="E651" i="4"/>
  <c r="F651" i="4"/>
  <c r="J651" i="4" s="1"/>
  <c r="D652" i="4"/>
  <c r="E652" i="4"/>
  <c r="F652" i="4"/>
  <c r="J652" i="4" s="1"/>
  <c r="D653" i="4"/>
  <c r="E653" i="4"/>
  <c r="F653" i="4"/>
  <c r="J653" i="4" s="1"/>
  <c r="D654" i="4"/>
  <c r="E654" i="4"/>
  <c r="F654" i="4"/>
  <c r="J654" i="4" s="1"/>
  <c r="D655" i="4"/>
  <c r="E655" i="4"/>
  <c r="F655" i="4"/>
  <c r="J655" i="4" s="1"/>
  <c r="D656" i="4"/>
  <c r="E656" i="4"/>
  <c r="F656" i="4"/>
  <c r="J656" i="4" s="1"/>
  <c r="D657" i="4"/>
  <c r="E657" i="4"/>
  <c r="F657" i="4"/>
  <c r="J657" i="4" s="1"/>
  <c r="D658" i="4"/>
  <c r="E658" i="4"/>
  <c r="F658" i="4"/>
  <c r="J658" i="4" s="1"/>
  <c r="D659" i="4"/>
  <c r="E659" i="4"/>
  <c r="F659" i="4"/>
  <c r="J659" i="4" s="1"/>
  <c r="D660" i="4"/>
  <c r="E660" i="4"/>
  <c r="F660" i="4"/>
  <c r="J660" i="4" s="1"/>
  <c r="D661" i="4"/>
  <c r="E661" i="4"/>
  <c r="F661" i="4"/>
  <c r="J661" i="4" s="1"/>
  <c r="D662" i="4"/>
  <c r="E662" i="4"/>
  <c r="F662" i="4"/>
  <c r="J662" i="4" s="1"/>
  <c r="D663" i="4"/>
  <c r="E663" i="4"/>
  <c r="F663" i="4"/>
  <c r="J663" i="4" s="1"/>
  <c r="D664" i="4"/>
  <c r="E664" i="4"/>
  <c r="F664" i="4"/>
  <c r="J664" i="4" s="1"/>
  <c r="D665" i="4"/>
  <c r="E665" i="4"/>
  <c r="F665" i="4"/>
  <c r="J665" i="4" s="1"/>
  <c r="D666" i="4"/>
  <c r="E666" i="4"/>
  <c r="F666" i="4"/>
  <c r="J666" i="4" s="1"/>
  <c r="D667" i="4"/>
  <c r="E667" i="4"/>
  <c r="F667" i="4"/>
  <c r="J667" i="4" s="1"/>
  <c r="D668" i="4"/>
  <c r="E668" i="4"/>
  <c r="F668" i="4"/>
  <c r="J668" i="4" s="1"/>
  <c r="D669" i="4"/>
  <c r="E669" i="4"/>
  <c r="F669" i="4"/>
  <c r="J669" i="4" s="1"/>
  <c r="D670" i="4"/>
  <c r="E670" i="4"/>
  <c r="F670" i="4"/>
  <c r="J670" i="4" s="1"/>
  <c r="D671" i="4"/>
  <c r="E671" i="4"/>
  <c r="F671" i="4"/>
  <c r="J671" i="4" s="1"/>
  <c r="D672" i="4"/>
  <c r="E672" i="4"/>
  <c r="F672" i="4"/>
  <c r="J672" i="4" s="1"/>
  <c r="D674" i="4"/>
  <c r="E674" i="4"/>
  <c r="F674" i="4"/>
  <c r="D675" i="4"/>
  <c r="E675" i="4"/>
  <c r="F675" i="4"/>
  <c r="J675" i="4" s="1"/>
  <c r="D676" i="4"/>
  <c r="E676" i="4"/>
  <c r="F676" i="4"/>
  <c r="J676" i="4" s="1"/>
  <c r="D677" i="4"/>
  <c r="E677" i="4"/>
  <c r="F677" i="4"/>
  <c r="J677" i="4" s="1"/>
  <c r="D678" i="4"/>
  <c r="E678" i="4"/>
  <c r="F678" i="4"/>
  <c r="J678" i="4" s="1"/>
  <c r="D679" i="4"/>
  <c r="E679" i="4"/>
  <c r="F679" i="4"/>
  <c r="J679" i="4" s="1"/>
  <c r="D680" i="4"/>
  <c r="E680" i="4"/>
  <c r="F680" i="4"/>
  <c r="J680" i="4" s="1"/>
  <c r="D681" i="4"/>
  <c r="E681" i="4"/>
  <c r="F681" i="4"/>
  <c r="J681" i="4" s="1"/>
  <c r="D682" i="4"/>
  <c r="E682" i="4"/>
  <c r="F682" i="4"/>
  <c r="J682" i="4" s="1"/>
  <c r="D683" i="4"/>
  <c r="E683" i="4"/>
  <c r="F683" i="4"/>
  <c r="J683" i="4" s="1"/>
  <c r="D684" i="4"/>
  <c r="E684" i="4"/>
  <c r="F684" i="4"/>
  <c r="J684" i="4" s="1"/>
  <c r="D685" i="4"/>
  <c r="E685" i="4"/>
  <c r="F685" i="4"/>
  <c r="J685" i="4" s="1"/>
  <c r="D686" i="4"/>
  <c r="E686" i="4"/>
  <c r="F686" i="4"/>
  <c r="J686" i="4" s="1"/>
  <c r="D687" i="4"/>
  <c r="E687" i="4"/>
  <c r="F687" i="4"/>
  <c r="J687" i="4" s="1"/>
  <c r="D688" i="4"/>
  <c r="E688" i="4"/>
  <c r="F688" i="4"/>
  <c r="J688" i="4" s="1"/>
  <c r="D689" i="4"/>
  <c r="E689" i="4"/>
  <c r="F689" i="4"/>
  <c r="J689" i="4" s="1"/>
  <c r="D690" i="4"/>
  <c r="E690" i="4"/>
  <c r="F690" i="4"/>
  <c r="J690" i="4" s="1"/>
  <c r="D691" i="4"/>
  <c r="E691" i="4"/>
  <c r="F691" i="4"/>
  <c r="J691" i="4" s="1"/>
  <c r="D692" i="4"/>
  <c r="E692" i="4"/>
  <c r="F692" i="4"/>
  <c r="J692" i="4" s="1"/>
  <c r="D693" i="4"/>
  <c r="E693" i="4"/>
  <c r="F693" i="4"/>
  <c r="J693" i="4" s="1"/>
  <c r="D694" i="4"/>
  <c r="E694" i="4"/>
  <c r="F694" i="4"/>
  <c r="J694" i="4" s="1"/>
  <c r="D695" i="4"/>
  <c r="E695" i="4"/>
  <c r="F695" i="4"/>
  <c r="J695" i="4" s="1"/>
  <c r="D696" i="4"/>
  <c r="E696" i="4"/>
  <c r="F696" i="4"/>
  <c r="J696" i="4" s="1"/>
  <c r="D697" i="4"/>
  <c r="E697" i="4"/>
  <c r="F697" i="4"/>
  <c r="J697" i="4" s="1"/>
  <c r="D698" i="4"/>
  <c r="E698" i="4"/>
  <c r="F698" i="4"/>
  <c r="J698" i="4" s="1"/>
  <c r="D699" i="4"/>
  <c r="E699" i="4"/>
  <c r="F699" i="4"/>
  <c r="J699" i="4" s="1"/>
  <c r="D700" i="4"/>
  <c r="E700" i="4"/>
  <c r="F700" i="4"/>
  <c r="J700" i="4" s="1"/>
  <c r="D701" i="4"/>
  <c r="E701" i="4"/>
  <c r="F701" i="4"/>
  <c r="J701" i="4" s="1"/>
  <c r="D702" i="4"/>
  <c r="E702" i="4"/>
  <c r="F702" i="4"/>
  <c r="J702" i="4" s="1"/>
  <c r="D703" i="4"/>
  <c r="E703" i="4"/>
  <c r="F703" i="4"/>
  <c r="J703" i="4" s="1"/>
  <c r="D704" i="4"/>
  <c r="E704" i="4"/>
  <c r="F704" i="4"/>
  <c r="J704" i="4" s="1"/>
  <c r="D705" i="4"/>
  <c r="E705" i="4"/>
  <c r="F705" i="4"/>
  <c r="J705" i="4" s="1"/>
  <c r="D706" i="4"/>
  <c r="E706" i="4"/>
  <c r="F706" i="4"/>
  <c r="J706" i="4" s="1"/>
  <c r="D707" i="4"/>
  <c r="E707" i="4"/>
  <c r="F707" i="4"/>
  <c r="J707" i="4" s="1"/>
  <c r="D708" i="4"/>
  <c r="E708" i="4"/>
  <c r="F708" i="4"/>
  <c r="J708" i="4" s="1"/>
  <c r="D709" i="4"/>
  <c r="E709" i="4"/>
  <c r="F709" i="4"/>
  <c r="J709" i="4" s="1"/>
  <c r="D710" i="4"/>
  <c r="E710" i="4"/>
  <c r="F710" i="4"/>
  <c r="J710" i="4" s="1"/>
  <c r="D715" i="4"/>
  <c r="E715" i="4"/>
  <c r="F715" i="4"/>
  <c r="D716" i="4"/>
  <c r="E716" i="4"/>
  <c r="F716" i="4"/>
  <c r="J716" i="4" s="1"/>
  <c r="D717" i="4"/>
  <c r="E717" i="4"/>
  <c r="F717" i="4"/>
  <c r="J717" i="4" s="1"/>
  <c r="D718" i="4"/>
  <c r="E718" i="4"/>
  <c r="F718" i="4"/>
  <c r="J718" i="4" s="1"/>
  <c r="D719" i="4"/>
  <c r="E719" i="4"/>
  <c r="F719" i="4"/>
  <c r="J719" i="4" s="1"/>
  <c r="D720" i="4"/>
  <c r="E720" i="4"/>
  <c r="F720" i="4"/>
  <c r="J720" i="4" s="1"/>
  <c r="D721" i="4"/>
  <c r="E721" i="4"/>
  <c r="F721" i="4"/>
  <c r="J721" i="4" s="1"/>
  <c r="D722" i="4"/>
  <c r="E722" i="4"/>
  <c r="F722" i="4"/>
  <c r="J722" i="4" s="1"/>
  <c r="D723" i="4"/>
  <c r="E723" i="4"/>
  <c r="F723" i="4"/>
  <c r="J723" i="4" s="1"/>
  <c r="D724" i="4"/>
  <c r="E724" i="4"/>
  <c r="F724" i="4"/>
  <c r="J724" i="4" s="1"/>
  <c r="D725" i="4"/>
  <c r="E725" i="4"/>
  <c r="F725" i="4"/>
  <c r="J725" i="4" s="1"/>
  <c r="D726" i="4"/>
  <c r="E726" i="4"/>
  <c r="F726" i="4"/>
  <c r="J726" i="4" s="1"/>
  <c r="D727" i="4"/>
  <c r="E727" i="4"/>
  <c r="F727" i="4"/>
  <c r="J727" i="4" s="1"/>
  <c r="D728" i="4"/>
  <c r="E728" i="4"/>
  <c r="F728" i="4"/>
  <c r="J728" i="4" s="1"/>
  <c r="D729" i="4"/>
  <c r="E729" i="4"/>
  <c r="F729" i="4"/>
  <c r="J729" i="4" s="1"/>
  <c r="D730" i="4"/>
  <c r="E730" i="4"/>
  <c r="F730" i="4"/>
  <c r="J730" i="4" s="1"/>
  <c r="D731" i="4"/>
  <c r="E731" i="4"/>
  <c r="F731" i="4"/>
  <c r="J731" i="4" s="1"/>
  <c r="D732" i="4"/>
  <c r="E732" i="4"/>
  <c r="F732" i="4"/>
  <c r="J732" i="4" s="1"/>
  <c r="D733" i="4"/>
  <c r="E733" i="4"/>
  <c r="F733" i="4"/>
  <c r="J733" i="4" s="1"/>
  <c r="D734" i="4"/>
  <c r="E734" i="4"/>
  <c r="F734" i="4"/>
  <c r="J734" i="4" s="1"/>
  <c r="D735" i="4"/>
  <c r="E735" i="4"/>
  <c r="F735" i="4"/>
  <c r="J735" i="4" s="1"/>
  <c r="D736" i="4"/>
  <c r="E736" i="4"/>
  <c r="F736" i="4"/>
  <c r="J736" i="4" s="1"/>
  <c r="D740" i="4"/>
  <c r="F741" i="4"/>
  <c r="J741" i="4" s="1"/>
  <c r="D744" i="4"/>
  <c r="F747" i="4"/>
  <c r="D749" i="4"/>
  <c r="F751" i="4"/>
  <c r="D754" i="4"/>
  <c r="F760" i="4"/>
  <c r="F763" i="4"/>
  <c r="E766" i="4"/>
  <c r="I766" i="4" s="1"/>
  <c r="D769" i="4"/>
  <c r="F771" i="4"/>
  <c r="E774" i="4"/>
  <c r="I774" i="4" s="1"/>
  <c r="E777" i="4"/>
  <c r="D780" i="4"/>
  <c r="E783" i="4"/>
  <c r="F786" i="4"/>
  <c r="F787" i="4"/>
  <c r="J787" i="4" s="1"/>
  <c r="D792" i="4"/>
  <c r="E793" i="4"/>
  <c r="I793" i="4" s="1"/>
  <c r="D797" i="4"/>
  <c r="E798" i="4"/>
  <c r="E799" i="4"/>
  <c r="D800" i="4"/>
  <c r="D801" i="4"/>
  <c r="F803" i="4"/>
  <c r="J803" i="4" s="1"/>
  <c r="E814" i="4"/>
  <c r="F817" i="4"/>
  <c r="F825" i="4"/>
  <c r="F836" i="4"/>
  <c r="F840" i="4"/>
  <c r="E846" i="4"/>
  <c r="F849" i="4"/>
  <c r="E866" i="4"/>
  <c r="E877" i="4"/>
  <c r="I877" i="4" s="1"/>
  <c r="E879" i="4"/>
  <c r="F882" i="4"/>
  <c r="F890" i="4"/>
  <c r="J890" i="4" s="1"/>
  <c r="E898" i="4"/>
  <c r="E911" i="4"/>
  <c r="I911" i="4" s="1"/>
  <c r="E915" i="4"/>
  <c r="F922" i="4"/>
  <c r="E926" i="4"/>
  <c r="F929" i="4"/>
  <c r="E938" i="4"/>
  <c r="E941" i="4"/>
  <c r="F942" i="4"/>
  <c r="F951" i="4"/>
  <c r="E952" i="4"/>
  <c r="F956" i="4"/>
  <c r="J956" i="4" s="1"/>
  <c r="E962" i="4"/>
  <c r="I962" i="4" s="1"/>
  <c r="F973" i="4"/>
  <c r="E984" i="4"/>
  <c r="F986" i="4"/>
  <c r="F991" i="4"/>
  <c r="F993" i="4"/>
  <c r="J993" i="4" s="1"/>
  <c r="F998" i="4"/>
  <c r="E1000" i="4"/>
  <c r="F1006" i="4"/>
  <c r="F1008" i="4"/>
  <c r="J1008" i="4" s="1"/>
  <c r="E1017" i="4"/>
  <c r="I1017" i="4" s="1"/>
  <c r="E1019" i="4"/>
  <c r="I1019" i="4" s="1"/>
  <c r="E1026" i="4"/>
  <c r="F1028" i="4"/>
  <c r="J1028" i="4" s="1"/>
  <c r="F1030" i="4"/>
  <c r="J1030" i="4" s="1"/>
  <c r="F1032" i="4"/>
  <c r="J1032" i="4" s="1"/>
  <c r="E1047" i="4"/>
  <c r="F1050" i="4"/>
  <c r="D739" i="4"/>
  <c r="F740" i="4"/>
  <c r="E743" i="4"/>
  <c r="D746" i="4"/>
  <c r="F749" i="4"/>
  <c r="J749" i="4" s="1"/>
  <c r="F752" i="4"/>
  <c r="J752" i="4" s="1"/>
  <c r="F754" i="4"/>
  <c r="F758" i="4"/>
  <c r="E760" i="4"/>
  <c r="I760" i="4" s="1"/>
  <c r="E762" i="4"/>
  <c r="I762" i="4" s="1"/>
  <c r="E764" i="4"/>
  <c r="I764" i="4" s="1"/>
  <c r="F767" i="4"/>
  <c r="J767" i="4" s="1"/>
  <c r="F770" i="4"/>
  <c r="J770" i="4" s="1"/>
  <c r="D773" i="4"/>
  <c r="F776" i="4"/>
  <c r="J776" i="4" s="1"/>
  <c r="D779" i="4"/>
  <c r="E782" i="4"/>
  <c r="I782" i="4" s="1"/>
  <c r="E785" i="4"/>
  <c r="I785" i="4" s="1"/>
  <c r="E788" i="4"/>
  <c r="I788" i="4" s="1"/>
  <c r="D790" i="4"/>
  <c r="E791" i="4"/>
  <c r="D795" i="4"/>
  <c r="E796" i="4"/>
  <c r="I796" i="4" s="1"/>
  <c r="F797" i="4"/>
  <c r="J797" i="4" s="1"/>
  <c r="D798" i="4"/>
  <c r="F799" i="4"/>
  <c r="J799" i="4" s="1"/>
  <c r="E800" i="4"/>
  <c r="D803" i="4"/>
  <c r="E805" i="4"/>
  <c r="F810" i="4"/>
  <c r="E811" i="4"/>
  <c r="I811" i="4" s="1"/>
  <c r="F812" i="4"/>
  <c r="J812" i="4" s="1"/>
  <c r="E818" i="4"/>
  <c r="I818" i="4" s="1"/>
  <c r="E819" i="4"/>
  <c r="F834" i="4"/>
  <c r="F838" i="4"/>
  <c r="E841" i="4"/>
  <c r="E845" i="4"/>
  <c r="F848" i="4"/>
  <c r="J848" i="4" s="1"/>
  <c r="F850" i="4"/>
  <c r="F855" i="4"/>
  <c r="E865" i="4"/>
  <c r="F875" i="4"/>
  <c r="J875" i="4" s="1"/>
  <c r="F889" i="4"/>
  <c r="J889" i="4" s="1"/>
  <c r="E896" i="4"/>
  <c r="I896" i="4" s="1"/>
  <c r="F906" i="4"/>
  <c r="J906" i="4" s="1"/>
  <c r="F912" i="4"/>
  <c r="J912" i="4" s="1"/>
  <c r="E921" i="4"/>
  <c r="F924" i="4"/>
  <c r="E927" i="4"/>
  <c r="I927" i="4" s="1"/>
  <c r="E928" i="4"/>
  <c r="I928" i="4" s="1"/>
  <c r="F930" i="4"/>
  <c r="F934" i="4"/>
  <c r="F939" i="4"/>
  <c r="E942" i="4"/>
  <c r="I942" i="4" s="1"/>
  <c r="F949" i="4"/>
  <c r="J949" i="4" s="1"/>
  <c r="F950" i="4"/>
  <c r="J950" i="4" s="1"/>
  <c r="F953" i="4"/>
  <c r="J953" i="4" s="1"/>
  <c r="E954" i="4"/>
  <c r="I954" i="4" s="1"/>
  <c r="F961" i="4"/>
  <c r="E963" i="4"/>
  <c r="F975" i="4"/>
  <c r="E979" i="4"/>
  <c r="E981" i="4"/>
  <c r="E983" i="4"/>
  <c r="E998" i="4"/>
  <c r="I998" i="4" s="1"/>
  <c r="E1001" i="4"/>
  <c r="E1010" i="4"/>
  <c r="F1014" i="4"/>
  <c r="E1016" i="4"/>
  <c r="I1016" i="4" s="1"/>
  <c r="E1040" i="4"/>
  <c r="I1040" i="4" s="1"/>
  <c r="AG68" i="1"/>
  <c r="AG80" i="1" s="1"/>
  <c r="AE80" i="1"/>
  <c r="AH32" i="1"/>
  <c r="AG51" i="1"/>
  <c r="D28" i="1"/>
  <c r="D30" i="1" s="1"/>
  <c r="D52" i="1" s="1"/>
  <c r="D29" i="1"/>
  <c r="Q903" i="4"/>
  <c r="Q1053" i="4" s="1"/>
  <c r="P903" i="4"/>
  <c r="P1053" i="4" s="1"/>
  <c r="P829" i="4"/>
  <c r="T52" i="1"/>
  <c r="P52" i="1"/>
  <c r="H52" i="1"/>
  <c r="F628" i="3"/>
  <c r="H628" i="3" s="1"/>
  <c r="F12" i="3"/>
  <c r="H12" i="3" s="1"/>
  <c r="F723" i="3"/>
  <c r="D723" i="3"/>
  <c r="E723" i="3"/>
  <c r="G723" i="3" s="1"/>
  <c r="N723" i="3" s="1"/>
  <c r="R723" i="3" s="1"/>
  <c r="F722" i="3"/>
  <c r="D722" i="3"/>
  <c r="E722" i="3"/>
  <c r="G722" i="3" s="1"/>
  <c r="N722" i="3" s="1"/>
  <c r="R722" i="3" s="1"/>
  <c r="E721" i="3"/>
  <c r="F721" i="3"/>
  <c r="H721" i="3" s="1"/>
  <c r="D721" i="3"/>
  <c r="E720" i="3"/>
  <c r="F720" i="3"/>
  <c r="H720" i="3" s="1"/>
  <c r="D720" i="3"/>
  <c r="F719" i="3"/>
  <c r="E719" i="3"/>
  <c r="G719" i="3" s="1"/>
  <c r="N719" i="3" s="1"/>
  <c r="R719" i="3" s="1"/>
  <c r="D719" i="3"/>
  <c r="F718" i="3"/>
  <c r="E718" i="3"/>
  <c r="G718" i="3" s="1"/>
  <c r="N718" i="3" s="1"/>
  <c r="R718" i="3" s="1"/>
  <c r="D718" i="3"/>
  <c r="F717" i="3"/>
  <c r="E717" i="3"/>
  <c r="G717" i="3" s="1"/>
  <c r="D717" i="3"/>
  <c r="L717" i="3" s="1"/>
  <c r="F716" i="3"/>
  <c r="D716" i="3"/>
  <c r="L716" i="3" s="1"/>
  <c r="E716" i="3"/>
  <c r="G716" i="3" s="1"/>
  <c r="D715" i="3"/>
  <c r="L715" i="3" s="1"/>
  <c r="F715" i="3"/>
  <c r="E715" i="3"/>
  <c r="G715" i="3" s="1"/>
  <c r="D714" i="3"/>
  <c r="L714" i="3" s="1"/>
  <c r="E714" i="3"/>
  <c r="F714" i="3"/>
  <c r="H714" i="3" s="1"/>
  <c r="D713" i="3"/>
  <c r="L713" i="3" s="1"/>
  <c r="E713" i="3"/>
  <c r="F713" i="3"/>
  <c r="H713" i="3" s="1"/>
  <c r="D712" i="3"/>
  <c r="L712" i="3" s="1"/>
  <c r="E712" i="3"/>
  <c r="F712" i="3"/>
  <c r="H712" i="3" s="1"/>
  <c r="D711" i="3"/>
  <c r="E711" i="3"/>
  <c r="F711" i="3"/>
  <c r="H711" i="3" s="1"/>
  <c r="E710" i="3"/>
  <c r="G710" i="3" s="1"/>
  <c r="N710" i="3" s="1"/>
  <c r="R710" i="3" s="1"/>
  <c r="D710" i="3"/>
  <c r="F710" i="3"/>
  <c r="D709" i="3"/>
  <c r="E709" i="3"/>
  <c r="F709" i="3"/>
  <c r="H709" i="3" s="1"/>
  <c r="F708" i="3"/>
  <c r="D708" i="3"/>
  <c r="E708" i="3"/>
  <c r="G708" i="3" s="1"/>
  <c r="N708" i="3" s="1"/>
  <c r="R708" i="3" s="1"/>
  <c r="F707" i="3"/>
  <c r="H707" i="3" s="1"/>
  <c r="E707" i="3"/>
  <c r="D707" i="3"/>
  <c r="D706" i="3"/>
  <c r="E706" i="3"/>
  <c r="F706" i="3"/>
  <c r="H706" i="3" s="1"/>
  <c r="D705" i="3"/>
  <c r="F705" i="3"/>
  <c r="E705" i="3"/>
  <c r="G705" i="3" s="1"/>
  <c r="N705" i="3" s="1"/>
  <c r="R705" i="3" s="1"/>
  <c r="F704" i="3"/>
  <c r="E704" i="3"/>
  <c r="G704" i="3" s="1"/>
  <c r="N704" i="3" s="1"/>
  <c r="R704" i="3" s="1"/>
  <c r="D704" i="3"/>
  <c r="F703" i="3"/>
  <c r="E703" i="3"/>
  <c r="G703" i="3" s="1"/>
  <c r="N703" i="3" s="1"/>
  <c r="R703" i="3" s="1"/>
  <c r="D703" i="3"/>
  <c r="F702" i="3"/>
  <c r="E702" i="3"/>
  <c r="G702" i="3" s="1"/>
  <c r="N702" i="3" s="1"/>
  <c r="R702" i="3" s="1"/>
  <c r="D702" i="3"/>
  <c r="F701" i="3"/>
  <c r="E701" i="3"/>
  <c r="G701" i="3" s="1"/>
  <c r="N701" i="3" s="1"/>
  <c r="R701" i="3" s="1"/>
  <c r="D701" i="3"/>
  <c r="F700" i="3"/>
  <c r="E700" i="3"/>
  <c r="G700" i="3" s="1"/>
  <c r="D700" i="3"/>
  <c r="L700" i="3" s="1"/>
  <c r="F699" i="3"/>
  <c r="E699" i="3"/>
  <c r="G699" i="3" s="1"/>
  <c r="N699" i="3" s="1"/>
  <c r="R699" i="3" s="1"/>
  <c r="D699" i="3"/>
  <c r="F698" i="3"/>
  <c r="E698" i="3"/>
  <c r="G698" i="3" s="1"/>
  <c r="D698" i="3"/>
  <c r="L698" i="3" s="1"/>
  <c r="D697" i="3"/>
  <c r="F697" i="3"/>
  <c r="E697" i="3"/>
  <c r="G697" i="3" s="1"/>
  <c r="N697" i="3" s="1"/>
  <c r="R697" i="3" s="1"/>
  <c r="E696" i="3"/>
  <c r="G696" i="3" s="1"/>
  <c r="F696" i="3"/>
  <c r="D696" i="3"/>
  <c r="L696" i="3" s="1"/>
  <c r="D695" i="3"/>
  <c r="L695" i="3" s="1"/>
  <c r="E695" i="3"/>
  <c r="F695" i="3"/>
  <c r="H695" i="3" s="1"/>
  <c r="D694" i="3"/>
  <c r="L694" i="3" s="1"/>
  <c r="E694" i="3"/>
  <c r="F694" i="3"/>
  <c r="H694" i="3" s="1"/>
  <c r="D693" i="3"/>
  <c r="L693" i="3" s="1"/>
  <c r="E693" i="3"/>
  <c r="F693" i="3"/>
  <c r="H693" i="3" s="1"/>
  <c r="D692" i="3"/>
  <c r="L692" i="3" s="1"/>
  <c r="E692" i="3"/>
  <c r="F692" i="3"/>
  <c r="H692" i="3" s="1"/>
  <c r="D691" i="3"/>
  <c r="L691" i="3" s="1"/>
  <c r="E691" i="3"/>
  <c r="F691" i="3"/>
  <c r="H691" i="3" s="1"/>
  <c r="F690" i="3"/>
  <c r="D690" i="3"/>
  <c r="E690" i="3"/>
  <c r="G690" i="3" s="1"/>
  <c r="N690" i="3" s="1"/>
  <c r="R690" i="3" s="1"/>
  <c r="D689" i="3"/>
  <c r="F689" i="3"/>
  <c r="H689" i="3" s="1"/>
  <c r="E689" i="3"/>
  <c r="D688" i="3"/>
  <c r="F688" i="3"/>
  <c r="E688" i="3"/>
  <c r="G688" i="3" s="1"/>
  <c r="N688" i="3" s="1"/>
  <c r="R688" i="3" s="1"/>
  <c r="D687" i="3"/>
  <c r="F687" i="3"/>
  <c r="E687" i="3"/>
  <c r="G687" i="3" s="1"/>
  <c r="N687" i="3" s="1"/>
  <c r="R687" i="3" s="1"/>
  <c r="F686" i="3"/>
  <c r="E686" i="3"/>
  <c r="G686" i="3" s="1"/>
  <c r="D686" i="3"/>
  <c r="L686" i="3" s="1"/>
  <c r="F685" i="3"/>
  <c r="E685" i="3"/>
  <c r="G685" i="3" s="1"/>
  <c r="D685" i="3"/>
  <c r="L685" i="3" s="1"/>
  <c r="E684" i="3"/>
  <c r="F684" i="3"/>
  <c r="H684" i="3" s="1"/>
  <c r="D684" i="3"/>
  <c r="L684" i="3" s="1"/>
  <c r="F683" i="3"/>
  <c r="E683" i="3"/>
  <c r="D683" i="3"/>
  <c r="F676" i="3"/>
  <c r="E676" i="3"/>
  <c r="G676" i="3" s="1"/>
  <c r="D676" i="3"/>
  <c r="L676" i="3" s="1"/>
  <c r="D675" i="3"/>
  <c r="L675" i="3" s="1"/>
  <c r="F675" i="3"/>
  <c r="E675" i="3"/>
  <c r="G675" i="3" s="1"/>
  <c r="D674" i="3"/>
  <c r="L674" i="3" s="1"/>
  <c r="F674" i="3"/>
  <c r="E674" i="3"/>
  <c r="G674" i="3" s="1"/>
  <c r="F673" i="3"/>
  <c r="E673" i="3"/>
  <c r="G673" i="3" s="1"/>
  <c r="D673" i="3"/>
  <c r="L673" i="3" s="1"/>
  <c r="E672" i="3"/>
  <c r="F672" i="3"/>
  <c r="H672" i="3" s="1"/>
  <c r="D672" i="3"/>
  <c r="L672" i="3" s="1"/>
  <c r="D671" i="3"/>
  <c r="L671" i="3" s="1"/>
  <c r="E671" i="3"/>
  <c r="F671" i="3"/>
  <c r="H671" i="3" s="1"/>
  <c r="E670" i="3"/>
  <c r="D670" i="3"/>
  <c r="L670" i="3" s="1"/>
  <c r="F670" i="3"/>
  <c r="H670" i="3" s="1"/>
  <c r="F669" i="3"/>
  <c r="H669" i="3" s="1"/>
  <c r="E669" i="3"/>
  <c r="D669" i="3"/>
  <c r="L669" i="3" s="1"/>
  <c r="E668" i="3"/>
  <c r="D668" i="3"/>
  <c r="L668" i="3" s="1"/>
  <c r="F668" i="3"/>
  <c r="H668" i="3" s="1"/>
  <c r="D667" i="3"/>
  <c r="L667" i="3" s="1"/>
  <c r="E667" i="3"/>
  <c r="F667" i="3"/>
  <c r="H667" i="3" s="1"/>
  <c r="E666" i="3"/>
  <c r="F666" i="3"/>
  <c r="H666" i="3" s="1"/>
  <c r="D666" i="3"/>
  <c r="L666" i="3" s="1"/>
  <c r="D665" i="3"/>
  <c r="E665" i="3"/>
  <c r="F665" i="3"/>
  <c r="H665" i="3" s="1"/>
  <c r="D664" i="3"/>
  <c r="E664" i="3"/>
  <c r="F664" i="3"/>
  <c r="H664" i="3" s="1"/>
  <c r="E663" i="3"/>
  <c r="F663" i="3"/>
  <c r="H663" i="3" s="1"/>
  <c r="D663" i="3"/>
  <c r="E662" i="3"/>
  <c r="F662" i="3"/>
  <c r="H662" i="3" s="1"/>
  <c r="D662" i="3"/>
  <c r="L662" i="3" s="1"/>
  <c r="E661" i="3"/>
  <c r="D661" i="3"/>
  <c r="L661" i="3" s="1"/>
  <c r="F661" i="3"/>
  <c r="H661" i="3" s="1"/>
  <c r="E660" i="3"/>
  <c r="D660" i="3"/>
  <c r="F660" i="3"/>
  <c r="H660" i="3" s="1"/>
  <c r="F659" i="3"/>
  <c r="D659" i="3"/>
  <c r="L659" i="3" s="1"/>
  <c r="E659" i="3"/>
  <c r="G659" i="3" s="1"/>
  <c r="F658" i="3"/>
  <c r="E658" i="3"/>
  <c r="G658" i="3" s="1"/>
  <c r="D658" i="3"/>
  <c r="L658" i="3" s="1"/>
  <c r="E657" i="3"/>
  <c r="F657" i="3"/>
  <c r="H657" i="3" s="1"/>
  <c r="D657" i="3"/>
  <c r="L657" i="3" s="1"/>
  <c r="D656" i="3"/>
  <c r="F656" i="3"/>
  <c r="E656" i="3"/>
  <c r="G656" i="3" s="1"/>
  <c r="N656" i="3" s="1"/>
  <c r="R656" i="3" s="1"/>
  <c r="F655" i="3"/>
  <c r="D655" i="3"/>
  <c r="L655" i="3" s="1"/>
  <c r="E655" i="3"/>
  <c r="G655" i="3" s="1"/>
  <c r="E654" i="3"/>
  <c r="F654" i="3"/>
  <c r="H654" i="3" s="1"/>
  <c r="D654" i="3"/>
  <c r="F653" i="3"/>
  <c r="E653" i="3"/>
  <c r="G653" i="3" s="1"/>
  <c r="D653" i="3"/>
  <c r="L653" i="3" s="1"/>
  <c r="F652" i="3"/>
  <c r="D652" i="3"/>
  <c r="E652" i="3"/>
  <c r="G652" i="3" s="1"/>
  <c r="N652" i="3" s="1"/>
  <c r="R652" i="3" s="1"/>
  <c r="F651" i="3"/>
  <c r="E651" i="3"/>
  <c r="G651" i="3" s="1"/>
  <c r="N651" i="3" s="1"/>
  <c r="R651" i="3" s="1"/>
  <c r="D651" i="3"/>
  <c r="F650" i="3"/>
  <c r="E650" i="3"/>
  <c r="G650" i="3" s="1"/>
  <c r="D650" i="3"/>
  <c r="L650" i="3" s="1"/>
  <c r="F649" i="3"/>
  <c r="D649" i="3"/>
  <c r="E649" i="3"/>
  <c r="G649" i="3" s="1"/>
  <c r="N649" i="3" s="1"/>
  <c r="R649" i="3" s="1"/>
  <c r="E648" i="3"/>
  <c r="F648" i="3"/>
  <c r="H648" i="3" s="1"/>
  <c r="D648" i="3"/>
  <c r="F647" i="3"/>
  <c r="E647" i="3"/>
  <c r="G647" i="3" s="1"/>
  <c r="D647" i="3"/>
  <c r="L647" i="3" s="1"/>
  <c r="F646" i="3"/>
  <c r="E646" i="3"/>
  <c r="G646" i="3" s="1"/>
  <c r="D646" i="3"/>
  <c r="L646" i="3" s="1"/>
  <c r="F645" i="3"/>
  <c r="E645" i="3"/>
  <c r="G645" i="3" s="1"/>
  <c r="D645" i="3"/>
  <c r="L645" i="3" s="1"/>
  <c r="F644" i="3"/>
  <c r="E644" i="3"/>
  <c r="G644" i="3" s="1"/>
  <c r="D644" i="3"/>
  <c r="L644" i="3" s="1"/>
  <c r="F643" i="3"/>
  <c r="E643" i="3"/>
  <c r="G643" i="3" s="1"/>
  <c r="D643" i="3"/>
  <c r="L643" i="3" s="1"/>
  <c r="F642" i="3"/>
  <c r="D642" i="3"/>
  <c r="L642" i="3" s="1"/>
  <c r="E642" i="3"/>
  <c r="G642" i="3" s="1"/>
  <c r="D641" i="3"/>
  <c r="L641" i="3" s="1"/>
  <c r="E641" i="3"/>
  <c r="F641" i="3"/>
  <c r="H641" i="3" s="1"/>
  <c r="E640" i="3"/>
  <c r="F640" i="3"/>
  <c r="D640" i="3"/>
  <c r="D636" i="3"/>
  <c r="L636" i="3" s="1"/>
  <c r="E636" i="3"/>
  <c r="F636" i="3"/>
  <c r="H636" i="3" s="1"/>
  <c r="E635" i="3"/>
  <c r="D635" i="3"/>
  <c r="F635" i="3"/>
  <c r="H635" i="3" s="1"/>
  <c r="D632" i="3"/>
  <c r="E632" i="3"/>
  <c r="F632" i="3"/>
  <c r="H632" i="3" s="1"/>
  <c r="D631" i="3"/>
  <c r="L631" i="3" s="1"/>
  <c r="E631" i="3"/>
  <c r="F631" i="3"/>
  <c r="H631" i="3" s="1"/>
  <c r="D630" i="3"/>
  <c r="F630" i="3"/>
  <c r="E630" i="3"/>
  <c r="G630" i="3" s="1"/>
  <c r="N630" i="3" s="1"/>
  <c r="R630" i="3" s="1"/>
  <c r="D629" i="3"/>
  <c r="L629" i="3" s="1"/>
  <c r="E629" i="3"/>
  <c r="F629" i="3"/>
  <c r="H629" i="3" s="1"/>
  <c r="D628" i="3"/>
  <c r="E628" i="3"/>
  <c r="F536" i="3"/>
  <c r="D627" i="3"/>
  <c r="L627" i="3" s="1"/>
  <c r="E627" i="3"/>
  <c r="F627" i="3"/>
  <c r="H627" i="3" s="1"/>
  <c r="E626" i="3"/>
  <c r="F626" i="3"/>
  <c r="H626" i="3" s="1"/>
  <c r="D626" i="3"/>
  <c r="E625" i="3"/>
  <c r="D625" i="3"/>
  <c r="F625" i="3"/>
  <c r="H625" i="3" s="1"/>
  <c r="F624" i="3"/>
  <c r="E624" i="3"/>
  <c r="G624" i="3" s="1"/>
  <c r="N624" i="3" s="1"/>
  <c r="R624" i="3" s="1"/>
  <c r="D624" i="3"/>
  <c r="D623" i="3"/>
  <c r="L623" i="3" s="1"/>
  <c r="F623" i="3"/>
  <c r="E623" i="3"/>
  <c r="G623" i="3" s="1"/>
  <c r="F622" i="3"/>
  <c r="E622" i="3"/>
  <c r="G622" i="3" s="1"/>
  <c r="D622" i="3"/>
  <c r="L622" i="3" s="1"/>
  <c r="D621" i="3"/>
  <c r="E621" i="3"/>
  <c r="F621" i="3"/>
  <c r="H621" i="3" s="1"/>
  <c r="D620" i="3"/>
  <c r="E620" i="3"/>
  <c r="F620" i="3"/>
  <c r="H620" i="3" s="1"/>
  <c r="D619" i="3"/>
  <c r="E619" i="3"/>
  <c r="F619" i="3"/>
  <c r="H619" i="3" s="1"/>
  <c r="E618" i="3"/>
  <c r="D618" i="3"/>
  <c r="L618" i="3" s="1"/>
  <c r="F618" i="3"/>
  <c r="H618" i="3" s="1"/>
  <c r="F617" i="3"/>
  <c r="E617" i="3"/>
  <c r="G617" i="3" s="1"/>
  <c r="N617" i="3" s="1"/>
  <c r="R617" i="3" s="1"/>
  <c r="D617" i="3"/>
  <c r="D616" i="3"/>
  <c r="E616" i="3"/>
  <c r="F616" i="3"/>
  <c r="H616" i="3" s="1"/>
  <c r="F615" i="3"/>
  <c r="E615" i="3"/>
  <c r="G615" i="3" s="1"/>
  <c r="D615" i="3"/>
  <c r="L615" i="3" s="1"/>
  <c r="D614" i="3"/>
  <c r="L614" i="3" s="1"/>
  <c r="F614" i="3"/>
  <c r="E614" i="3"/>
  <c r="G614" i="3" s="1"/>
  <c r="F613" i="3"/>
  <c r="E613" i="3"/>
  <c r="G613" i="3" s="1"/>
  <c r="N613" i="3" s="1"/>
  <c r="R613" i="3" s="1"/>
  <c r="D613" i="3"/>
  <c r="D612" i="3"/>
  <c r="L612" i="3" s="1"/>
  <c r="F612" i="3"/>
  <c r="E612" i="3"/>
  <c r="G612" i="3" s="1"/>
  <c r="F611" i="3"/>
  <c r="E611" i="3"/>
  <c r="G611" i="3" s="1"/>
  <c r="N611" i="3" s="1"/>
  <c r="R611" i="3" s="1"/>
  <c r="D611" i="3"/>
  <c r="F610" i="3"/>
  <c r="D610" i="3"/>
  <c r="E610" i="3"/>
  <c r="G610" i="3" s="1"/>
  <c r="N610" i="3" s="1"/>
  <c r="R610" i="3" s="1"/>
  <c r="D609" i="3"/>
  <c r="F609" i="3"/>
  <c r="E609" i="3"/>
  <c r="G609" i="3" s="1"/>
  <c r="N609" i="3" s="1"/>
  <c r="R609" i="3" s="1"/>
  <c r="F608" i="3"/>
  <c r="D608" i="3"/>
  <c r="E608" i="3"/>
  <c r="G608" i="3" s="1"/>
  <c r="N608" i="3" s="1"/>
  <c r="R608" i="3" s="1"/>
  <c r="F607" i="3"/>
  <c r="E607" i="3"/>
  <c r="G607" i="3" s="1"/>
  <c r="D607" i="3"/>
  <c r="L607" i="3" s="1"/>
  <c r="D606" i="3"/>
  <c r="L606" i="3" s="1"/>
  <c r="F606" i="3"/>
  <c r="E606" i="3"/>
  <c r="G606" i="3" s="1"/>
  <c r="F605" i="3"/>
  <c r="E605" i="3"/>
  <c r="G605" i="3" s="1"/>
  <c r="N605" i="3" s="1"/>
  <c r="R605" i="3" s="1"/>
  <c r="D605" i="3"/>
  <c r="F604" i="3"/>
  <c r="E604" i="3"/>
  <c r="G604" i="3" s="1"/>
  <c r="D604" i="3"/>
  <c r="L604" i="3" s="1"/>
  <c r="E603" i="3"/>
  <c r="D603" i="3"/>
  <c r="L603" i="3" s="1"/>
  <c r="F603" i="3"/>
  <c r="H603" i="3" s="1"/>
  <c r="D602" i="3"/>
  <c r="E602" i="3"/>
  <c r="F602" i="3"/>
  <c r="H602" i="3" s="1"/>
  <c r="D601" i="3"/>
  <c r="E601" i="3"/>
  <c r="F601" i="3"/>
  <c r="H601" i="3" s="1"/>
  <c r="D600" i="3"/>
  <c r="L600" i="3" s="1"/>
  <c r="E600" i="3"/>
  <c r="F600" i="3"/>
  <c r="H600" i="3" s="1"/>
  <c r="D599" i="3"/>
  <c r="E599" i="3"/>
  <c r="F599" i="3"/>
  <c r="H599" i="3" s="1"/>
  <c r="E598" i="3"/>
  <c r="D598" i="3"/>
  <c r="L598" i="3" s="1"/>
  <c r="F598" i="3"/>
  <c r="H598" i="3" s="1"/>
  <c r="D597" i="3"/>
  <c r="E597" i="3"/>
  <c r="F597" i="3"/>
  <c r="H597" i="3" s="1"/>
  <c r="D596" i="3"/>
  <c r="E596" i="3"/>
  <c r="F596" i="3"/>
  <c r="H596" i="3" s="1"/>
  <c r="D595" i="3"/>
  <c r="E595" i="3"/>
  <c r="F595" i="3"/>
  <c r="H595" i="3" s="1"/>
  <c r="D594" i="3"/>
  <c r="F594" i="3"/>
  <c r="E594" i="3"/>
  <c r="G594" i="3" s="1"/>
  <c r="N594" i="3" s="1"/>
  <c r="R594" i="3" s="1"/>
  <c r="F593" i="3"/>
  <c r="E593" i="3"/>
  <c r="G593" i="3" s="1"/>
  <c r="N593" i="3" s="1"/>
  <c r="R593" i="3" s="1"/>
  <c r="D593" i="3"/>
  <c r="F592" i="3"/>
  <c r="E592" i="3"/>
  <c r="G592" i="3" s="1"/>
  <c r="N592" i="3" s="1"/>
  <c r="R592" i="3" s="1"/>
  <c r="D592" i="3"/>
  <c r="F591" i="3"/>
  <c r="D591" i="3"/>
  <c r="L591" i="3" s="1"/>
  <c r="E591" i="3"/>
  <c r="G591" i="3" s="1"/>
  <c r="F590" i="3"/>
  <c r="D590" i="3"/>
  <c r="E590" i="3"/>
  <c r="G590" i="3" s="1"/>
  <c r="N590" i="3" s="1"/>
  <c r="R590" i="3" s="1"/>
  <c r="D589" i="3"/>
  <c r="L589" i="3" s="1"/>
  <c r="E589" i="3"/>
  <c r="F589" i="3"/>
  <c r="H589" i="3" s="1"/>
  <c r="D588" i="3"/>
  <c r="L588" i="3" s="1"/>
  <c r="E588" i="3"/>
  <c r="F588" i="3"/>
  <c r="H588" i="3" s="1"/>
  <c r="D587" i="3"/>
  <c r="L587" i="3" s="1"/>
  <c r="F587" i="3"/>
  <c r="E587" i="3"/>
  <c r="G587" i="3" s="1"/>
  <c r="F586" i="3"/>
  <c r="D586" i="3"/>
  <c r="L586" i="3" s="1"/>
  <c r="E586" i="3"/>
  <c r="G586" i="3" s="1"/>
  <c r="D583" i="3"/>
  <c r="F583" i="3"/>
  <c r="E583" i="3"/>
  <c r="G583" i="3" s="1"/>
  <c r="N583" i="3" s="1"/>
  <c r="R583" i="3" s="1"/>
  <c r="E582" i="3"/>
  <c r="F582" i="3"/>
  <c r="H582" i="3" s="1"/>
  <c r="D582" i="3"/>
  <c r="L582" i="3" s="1"/>
  <c r="E581" i="3"/>
  <c r="F581" i="3"/>
  <c r="H581" i="3" s="1"/>
  <c r="D581" i="3"/>
  <c r="L581" i="3" s="1"/>
  <c r="D580" i="3"/>
  <c r="L580" i="3" s="1"/>
  <c r="E580" i="3"/>
  <c r="F580" i="3"/>
  <c r="H580" i="3" s="1"/>
  <c r="E579" i="3"/>
  <c r="D579" i="3"/>
  <c r="L579" i="3" s="1"/>
  <c r="F579" i="3"/>
  <c r="H579" i="3" s="1"/>
  <c r="D577" i="3"/>
  <c r="F577" i="3"/>
  <c r="E577" i="3"/>
  <c r="G577" i="3" s="1"/>
  <c r="N577" i="3" s="1"/>
  <c r="R577" i="3" s="1"/>
  <c r="D576" i="3"/>
  <c r="E576" i="3"/>
  <c r="F576" i="3"/>
  <c r="H576" i="3" s="1"/>
  <c r="D575" i="3"/>
  <c r="E575" i="3"/>
  <c r="F575" i="3"/>
  <c r="H575" i="3" s="1"/>
  <c r="D574" i="3"/>
  <c r="E574" i="3"/>
  <c r="F574" i="3"/>
  <c r="H574" i="3" s="1"/>
  <c r="E573" i="3"/>
  <c r="D573" i="3"/>
  <c r="F573" i="3"/>
  <c r="H573" i="3" s="1"/>
  <c r="E572" i="3"/>
  <c r="F572" i="3"/>
  <c r="H572" i="3" s="1"/>
  <c r="D572" i="3"/>
  <c r="E571" i="3"/>
  <c r="F571" i="3"/>
  <c r="H571" i="3" s="1"/>
  <c r="D571" i="3"/>
  <c r="L571" i="3" s="1"/>
  <c r="F570" i="3"/>
  <c r="E570" i="3"/>
  <c r="G570" i="3" s="1"/>
  <c r="D570" i="3"/>
  <c r="L570" i="3" s="1"/>
  <c r="E569" i="3"/>
  <c r="F569" i="3"/>
  <c r="H569" i="3" s="1"/>
  <c r="D569" i="3"/>
  <c r="L569" i="3" s="1"/>
  <c r="D568" i="3"/>
  <c r="L568" i="3" s="1"/>
  <c r="E568" i="3"/>
  <c r="F568" i="3"/>
  <c r="H568" i="3" s="1"/>
  <c r="D567" i="3"/>
  <c r="L567" i="3" s="1"/>
  <c r="E567" i="3"/>
  <c r="F567" i="3"/>
  <c r="H567" i="3" s="1"/>
  <c r="D566" i="3"/>
  <c r="L566" i="3" s="1"/>
  <c r="F566" i="3"/>
  <c r="E566" i="3"/>
  <c r="G566" i="3" s="1"/>
  <c r="D565" i="3"/>
  <c r="E565" i="3"/>
  <c r="F565" i="3"/>
  <c r="H565" i="3" s="1"/>
  <c r="D564" i="3"/>
  <c r="L564" i="3" s="1"/>
  <c r="E564" i="3"/>
  <c r="F564" i="3"/>
  <c r="H564" i="3" s="1"/>
  <c r="D563" i="3"/>
  <c r="E563" i="3"/>
  <c r="F563" i="3"/>
  <c r="H563" i="3" s="1"/>
  <c r="D562" i="3"/>
  <c r="E562" i="3"/>
  <c r="F562" i="3"/>
  <c r="H562" i="3" s="1"/>
  <c r="D561" i="3"/>
  <c r="E561" i="3"/>
  <c r="F561" i="3"/>
  <c r="H561" i="3" s="1"/>
  <c r="D560" i="3"/>
  <c r="E560" i="3"/>
  <c r="F560" i="3"/>
  <c r="H560" i="3" s="1"/>
  <c r="D559" i="3"/>
  <c r="L559" i="3" s="1"/>
  <c r="E559" i="3"/>
  <c r="F559" i="3"/>
  <c r="H559" i="3" s="1"/>
  <c r="D558" i="3"/>
  <c r="E558" i="3"/>
  <c r="F558" i="3"/>
  <c r="H558" i="3" s="1"/>
  <c r="F557" i="3"/>
  <c r="D557" i="3"/>
  <c r="L557" i="3" s="1"/>
  <c r="E557" i="3"/>
  <c r="G557" i="3" s="1"/>
  <c r="E556" i="3"/>
  <c r="D556" i="3"/>
  <c r="L556" i="3" s="1"/>
  <c r="F556" i="3"/>
  <c r="H556" i="3" s="1"/>
  <c r="D555" i="3"/>
  <c r="L555" i="3" s="1"/>
  <c r="E555" i="3"/>
  <c r="F555" i="3"/>
  <c r="H555" i="3" s="1"/>
  <c r="D554" i="3"/>
  <c r="L554" i="3" s="1"/>
  <c r="E554" i="3"/>
  <c r="F554" i="3"/>
  <c r="H554" i="3" s="1"/>
  <c r="D553" i="3"/>
  <c r="L553" i="3" s="1"/>
  <c r="E553" i="3"/>
  <c r="F553" i="3"/>
  <c r="H553" i="3" s="1"/>
  <c r="F552" i="3"/>
  <c r="E552" i="3"/>
  <c r="G552" i="3" s="1"/>
  <c r="D552" i="3"/>
  <c r="L552" i="3" s="1"/>
  <c r="F551" i="3"/>
  <c r="E551" i="3"/>
  <c r="G551" i="3" s="1"/>
  <c r="N551" i="3" s="1"/>
  <c r="R551" i="3" s="1"/>
  <c r="D551" i="3"/>
  <c r="D550" i="3"/>
  <c r="L550" i="3" s="1"/>
  <c r="E550" i="3"/>
  <c r="F550" i="3"/>
  <c r="H550" i="3" s="1"/>
  <c r="E549" i="3"/>
  <c r="D549" i="3"/>
  <c r="L549" i="3" s="1"/>
  <c r="F549" i="3"/>
  <c r="H549" i="3" s="1"/>
  <c r="F545" i="3"/>
  <c r="E545" i="3"/>
  <c r="G545" i="3" s="1"/>
  <c r="N545" i="3" s="1"/>
  <c r="R545" i="3" s="1"/>
  <c r="D545" i="3"/>
  <c r="D544" i="3"/>
  <c r="E544" i="3"/>
  <c r="F544" i="3"/>
  <c r="H544" i="3" s="1"/>
  <c r="E543" i="3"/>
  <c r="F543" i="3"/>
  <c r="H543" i="3" s="1"/>
  <c r="D543" i="3"/>
  <c r="L543" i="3" s="1"/>
  <c r="D542" i="3"/>
  <c r="L542" i="3" s="1"/>
  <c r="F542" i="3"/>
  <c r="E542" i="3"/>
  <c r="G542" i="3" s="1"/>
  <c r="F541" i="3"/>
  <c r="D541" i="3"/>
  <c r="L541" i="3" s="1"/>
  <c r="E541" i="3"/>
  <c r="G541" i="3" s="1"/>
  <c r="E540" i="3"/>
  <c r="F540" i="3"/>
  <c r="H540" i="3" s="1"/>
  <c r="D540" i="3"/>
  <c r="E539" i="3"/>
  <c r="F539" i="3"/>
  <c r="H539" i="3" s="1"/>
  <c r="D539" i="3"/>
  <c r="L539" i="3" s="1"/>
  <c r="F538" i="3"/>
  <c r="E538" i="3"/>
  <c r="G538" i="3" s="1"/>
  <c r="N538" i="3" s="1"/>
  <c r="R538" i="3" s="1"/>
  <c r="D538" i="3"/>
  <c r="E537" i="3"/>
  <c r="F537" i="3"/>
  <c r="H537" i="3" s="1"/>
  <c r="D537" i="3"/>
  <c r="E12" i="3"/>
  <c r="E536" i="3"/>
  <c r="G536" i="3" s="1"/>
  <c r="D536" i="3"/>
  <c r="L536" i="3" s="1"/>
  <c r="D532" i="3"/>
  <c r="E532" i="3"/>
  <c r="F532" i="3"/>
  <c r="H532" i="3" s="1"/>
  <c r="D531" i="3"/>
  <c r="L531" i="3" s="1"/>
  <c r="E531" i="3"/>
  <c r="F531" i="3"/>
  <c r="H531" i="3" s="1"/>
  <c r="D530" i="3"/>
  <c r="L530" i="3" s="1"/>
  <c r="F530" i="3"/>
  <c r="E530" i="3"/>
  <c r="G530" i="3" s="1"/>
  <c r="F529" i="3"/>
  <c r="D529" i="3"/>
  <c r="L529" i="3" s="1"/>
  <c r="E529" i="3"/>
  <c r="G529" i="3" s="1"/>
  <c r="F528" i="3"/>
  <c r="E528" i="3"/>
  <c r="G528" i="3" s="1"/>
  <c r="D528" i="3"/>
  <c r="L528" i="3" s="1"/>
  <c r="F527" i="3"/>
  <c r="E527" i="3"/>
  <c r="G527" i="3" s="1"/>
  <c r="D527" i="3"/>
  <c r="L527" i="3" s="1"/>
  <c r="D526" i="3"/>
  <c r="L526" i="3" s="1"/>
  <c r="E526" i="3"/>
  <c r="F526" i="3"/>
  <c r="H526" i="3" s="1"/>
  <c r="D525" i="3"/>
  <c r="L525" i="3" s="1"/>
  <c r="D312" i="3"/>
  <c r="L312" i="3" s="1"/>
  <c r="E312" i="3"/>
  <c r="G312" i="3" s="1"/>
  <c r="D311" i="3"/>
  <c r="L311" i="3" s="1"/>
  <c r="D310" i="3"/>
  <c r="L310" i="3" s="1"/>
  <c r="E310" i="3"/>
  <c r="G310" i="3" s="1"/>
  <c r="E309" i="3"/>
  <c r="G309" i="3" s="1"/>
  <c r="F308" i="3"/>
  <c r="H308" i="3" s="1"/>
  <c r="D308" i="3"/>
  <c r="L308" i="3" s="1"/>
  <c r="D307" i="3"/>
  <c r="L307" i="3" s="1"/>
  <c r="E306" i="3"/>
  <c r="G306" i="3" s="1"/>
  <c r="N306" i="3" s="1"/>
  <c r="R306" i="3" s="1"/>
  <c r="D306" i="3"/>
  <c r="E305" i="3"/>
  <c r="G305" i="3" s="1"/>
  <c r="N305" i="3" s="1"/>
  <c r="R305" i="3" s="1"/>
  <c r="F304" i="3"/>
  <c r="H304" i="3" s="1"/>
  <c r="D304" i="3"/>
  <c r="L304" i="3" s="1"/>
  <c r="D303" i="3"/>
  <c r="L303" i="3" s="1"/>
  <c r="E88" i="3"/>
  <c r="D12" i="3"/>
  <c r="F11" i="3"/>
  <c r="E11" i="3"/>
  <c r="G11" i="3" s="1"/>
  <c r="N11" i="3" s="1"/>
  <c r="R11" i="3" s="1"/>
  <c r="D11" i="3"/>
  <c r="F10" i="3"/>
  <c r="E10" i="3"/>
  <c r="G10" i="3" s="1"/>
  <c r="N10" i="3" s="1"/>
  <c r="R10" i="3" s="1"/>
  <c r="D10" i="3"/>
  <c r="F9" i="3"/>
  <c r="E9" i="3"/>
  <c r="D9" i="3"/>
  <c r="E525" i="3"/>
  <c r="F525" i="3"/>
  <c r="H525" i="3" s="1"/>
  <c r="F524" i="3"/>
  <c r="D524" i="3"/>
  <c r="L524" i="3" s="1"/>
  <c r="E524" i="3"/>
  <c r="G524" i="3" s="1"/>
  <c r="D523" i="3"/>
  <c r="E523" i="3"/>
  <c r="F523" i="3"/>
  <c r="H523" i="3" s="1"/>
  <c r="D522" i="3"/>
  <c r="L522" i="3" s="1"/>
  <c r="E522" i="3"/>
  <c r="F522" i="3"/>
  <c r="H522" i="3" s="1"/>
  <c r="E521" i="3"/>
  <c r="F521" i="3"/>
  <c r="H521" i="3" s="1"/>
  <c r="D521" i="3"/>
  <c r="L521" i="3" s="1"/>
  <c r="D520" i="3"/>
  <c r="L520" i="3" s="1"/>
  <c r="F520" i="3"/>
  <c r="E520" i="3"/>
  <c r="G520" i="3" s="1"/>
  <c r="D519" i="3"/>
  <c r="L519" i="3" s="1"/>
  <c r="F519" i="3"/>
  <c r="E519" i="3"/>
  <c r="G519" i="3" s="1"/>
  <c r="F518" i="3"/>
  <c r="E518" i="3"/>
  <c r="G518" i="3" s="1"/>
  <c r="D518" i="3"/>
  <c r="L518" i="3" s="1"/>
  <c r="F517" i="3"/>
  <c r="E517" i="3"/>
  <c r="G517" i="3" s="1"/>
  <c r="N517" i="3" s="1"/>
  <c r="R517" i="3" s="1"/>
  <c r="D517" i="3"/>
  <c r="F516" i="3"/>
  <c r="E516" i="3"/>
  <c r="G516" i="3" s="1"/>
  <c r="N516" i="3" s="1"/>
  <c r="R516" i="3" s="1"/>
  <c r="D516" i="3"/>
  <c r="F515" i="3"/>
  <c r="E515" i="3"/>
  <c r="G515" i="3" s="1"/>
  <c r="N515" i="3" s="1"/>
  <c r="R515" i="3" s="1"/>
  <c r="D515" i="3"/>
  <c r="F514" i="3"/>
  <c r="E514" i="3"/>
  <c r="G514" i="3" s="1"/>
  <c r="N514" i="3" s="1"/>
  <c r="R514" i="3" s="1"/>
  <c r="D514" i="3"/>
  <c r="F513" i="3"/>
  <c r="E513" i="3"/>
  <c r="G513" i="3" s="1"/>
  <c r="D513" i="3"/>
  <c r="L513" i="3" s="1"/>
  <c r="F512" i="3"/>
  <c r="E512" i="3"/>
  <c r="G512" i="3" s="1"/>
  <c r="D512" i="3"/>
  <c r="L512" i="3" s="1"/>
  <c r="D511" i="3"/>
  <c r="E511" i="3"/>
  <c r="F511" i="3"/>
  <c r="H511" i="3" s="1"/>
  <c r="F510" i="3"/>
  <c r="D510" i="3"/>
  <c r="E510" i="3"/>
  <c r="G510" i="3" s="1"/>
  <c r="N510" i="3" s="1"/>
  <c r="R510" i="3" s="1"/>
  <c r="E509" i="3"/>
  <c r="D509" i="3"/>
  <c r="L509" i="3" s="1"/>
  <c r="F509" i="3"/>
  <c r="H509" i="3" s="1"/>
  <c r="D508" i="3"/>
  <c r="F508" i="3"/>
  <c r="E508" i="3"/>
  <c r="G508" i="3" s="1"/>
  <c r="N508" i="3" s="1"/>
  <c r="R508" i="3" s="1"/>
  <c r="D507" i="3"/>
  <c r="F507" i="3"/>
  <c r="E507" i="3"/>
  <c r="G507" i="3" s="1"/>
  <c r="N507" i="3" s="1"/>
  <c r="R507" i="3" s="1"/>
  <c r="E506" i="3"/>
  <c r="D506" i="3"/>
  <c r="F506" i="3"/>
  <c r="H506" i="3" s="1"/>
  <c r="F505" i="3"/>
  <c r="E505" i="3"/>
  <c r="G505" i="3" s="1"/>
  <c r="N505" i="3" s="1"/>
  <c r="R505" i="3" s="1"/>
  <c r="D505" i="3"/>
  <c r="F502" i="3"/>
  <c r="E502" i="3"/>
  <c r="G502" i="3" s="1"/>
  <c r="N502" i="3" s="1"/>
  <c r="R502" i="3" s="1"/>
  <c r="D502" i="3"/>
  <c r="F501" i="3"/>
  <c r="E501" i="3"/>
  <c r="G501" i="3" s="1"/>
  <c r="N501" i="3" s="1"/>
  <c r="R501" i="3" s="1"/>
  <c r="D501" i="3"/>
  <c r="F500" i="3"/>
  <c r="E500" i="3"/>
  <c r="G500" i="3" s="1"/>
  <c r="D500" i="3"/>
  <c r="L500" i="3" s="1"/>
  <c r="F499" i="3"/>
  <c r="E499" i="3"/>
  <c r="G499" i="3" s="1"/>
  <c r="D499" i="3"/>
  <c r="L499" i="3" s="1"/>
  <c r="F498" i="3"/>
  <c r="E498" i="3"/>
  <c r="G498" i="3" s="1"/>
  <c r="D498" i="3"/>
  <c r="L498" i="3" s="1"/>
  <c r="F497" i="3"/>
  <c r="E497" i="3"/>
  <c r="G497" i="3" s="1"/>
  <c r="D497" i="3"/>
  <c r="L497" i="3" s="1"/>
  <c r="F496" i="3"/>
  <c r="E496" i="3"/>
  <c r="G496" i="3" s="1"/>
  <c r="D496" i="3"/>
  <c r="L496" i="3" s="1"/>
  <c r="F495" i="3"/>
  <c r="E495" i="3"/>
  <c r="G495" i="3" s="1"/>
  <c r="D495" i="3"/>
  <c r="L495" i="3" s="1"/>
  <c r="F494" i="3"/>
  <c r="E494" i="3"/>
  <c r="G494" i="3" s="1"/>
  <c r="D494" i="3"/>
  <c r="L494" i="3" s="1"/>
  <c r="F493" i="3"/>
  <c r="E493" i="3"/>
  <c r="G493" i="3" s="1"/>
  <c r="N493" i="3" s="1"/>
  <c r="R493" i="3" s="1"/>
  <c r="D493" i="3"/>
  <c r="F492" i="3"/>
  <c r="E492" i="3"/>
  <c r="G492" i="3" s="1"/>
  <c r="D492" i="3"/>
  <c r="L492" i="3" s="1"/>
  <c r="F491" i="3"/>
  <c r="E491" i="3"/>
  <c r="G491" i="3" s="1"/>
  <c r="D491" i="3"/>
  <c r="L491" i="3" s="1"/>
  <c r="F490" i="3"/>
  <c r="D490" i="3"/>
  <c r="L490" i="3" s="1"/>
  <c r="E490" i="3"/>
  <c r="G490" i="3" s="1"/>
  <c r="F489" i="3"/>
  <c r="E489" i="3"/>
  <c r="G489" i="3" s="1"/>
  <c r="D489" i="3"/>
  <c r="L489" i="3" s="1"/>
  <c r="F488" i="3"/>
  <c r="E488" i="3"/>
  <c r="G488" i="3" s="1"/>
  <c r="D488" i="3"/>
  <c r="L488" i="3" s="1"/>
  <c r="F487" i="3"/>
  <c r="E487" i="3"/>
  <c r="G487" i="3" s="1"/>
  <c r="D487" i="3"/>
  <c r="L487" i="3" s="1"/>
  <c r="F486" i="3"/>
  <c r="D486" i="3"/>
  <c r="L486" i="3" s="1"/>
  <c r="E486" i="3"/>
  <c r="G486" i="3" s="1"/>
  <c r="E485" i="3"/>
  <c r="F485" i="3"/>
  <c r="H485" i="3" s="1"/>
  <c r="D485" i="3"/>
  <c r="L485" i="3" s="1"/>
  <c r="D484" i="3"/>
  <c r="E484" i="3"/>
  <c r="F484" i="3"/>
  <c r="H484" i="3" s="1"/>
  <c r="D483" i="3"/>
  <c r="L483" i="3" s="1"/>
  <c r="E483" i="3"/>
  <c r="F483" i="3"/>
  <c r="H483" i="3" s="1"/>
  <c r="E482" i="3"/>
  <c r="D482" i="3"/>
  <c r="L482" i="3" s="1"/>
  <c r="F482" i="3"/>
  <c r="H482" i="3" s="1"/>
  <c r="D481" i="3"/>
  <c r="F481" i="3"/>
  <c r="E481" i="3"/>
  <c r="G481" i="3" s="1"/>
  <c r="N481" i="3" s="1"/>
  <c r="R481" i="3" s="1"/>
  <c r="F480" i="3"/>
  <c r="D480" i="3"/>
  <c r="L480" i="3" s="1"/>
  <c r="E480" i="3"/>
  <c r="G480" i="3" s="1"/>
  <c r="D479" i="3"/>
  <c r="L479" i="3" s="1"/>
  <c r="E479" i="3"/>
  <c r="F479" i="3"/>
  <c r="H479" i="3" s="1"/>
  <c r="D478" i="3"/>
  <c r="L478" i="3" s="1"/>
  <c r="E478" i="3"/>
  <c r="F478" i="3"/>
  <c r="H478" i="3" s="1"/>
  <c r="E477" i="3"/>
  <c r="D477" i="3"/>
  <c r="F477" i="3"/>
  <c r="H477" i="3" s="1"/>
  <c r="F476" i="3"/>
  <c r="E476" i="3"/>
  <c r="G476" i="3" s="1"/>
  <c r="D476" i="3"/>
  <c r="L476" i="3" s="1"/>
  <c r="F475" i="3"/>
  <c r="E475" i="3"/>
  <c r="G475" i="3" s="1"/>
  <c r="D475" i="3"/>
  <c r="L475" i="3" s="1"/>
  <c r="F474" i="3"/>
  <c r="E474" i="3"/>
  <c r="G474" i="3" s="1"/>
  <c r="D474" i="3"/>
  <c r="L474" i="3" s="1"/>
  <c r="F473" i="3"/>
  <c r="E473" i="3"/>
  <c r="G473" i="3" s="1"/>
  <c r="D473" i="3"/>
  <c r="L473" i="3" s="1"/>
  <c r="F472" i="3"/>
  <c r="E472" i="3"/>
  <c r="G472" i="3" s="1"/>
  <c r="D472" i="3"/>
  <c r="L472" i="3" s="1"/>
  <c r="F471" i="3"/>
  <c r="E471" i="3"/>
  <c r="G471" i="3" s="1"/>
  <c r="D471" i="3"/>
  <c r="L471" i="3" s="1"/>
  <c r="F466" i="3"/>
  <c r="D466" i="3"/>
  <c r="L466" i="3" s="1"/>
  <c r="E466" i="3"/>
  <c r="G466" i="3" s="1"/>
  <c r="F465" i="3"/>
  <c r="E465" i="3"/>
  <c r="G465" i="3" s="1"/>
  <c r="D465" i="3"/>
  <c r="L465" i="3" s="1"/>
  <c r="D464" i="3"/>
  <c r="F464" i="3"/>
  <c r="E464" i="3"/>
  <c r="G464" i="3" s="1"/>
  <c r="N464" i="3" s="1"/>
  <c r="R464" i="3" s="1"/>
  <c r="F463" i="3"/>
  <c r="E463" i="3"/>
  <c r="G463" i="3" s="1"/>
  <c r="N463" i="3" s="1"/>
  <c r="R463" i="3" s="1"/>
  <c r="D463" i="3"/>
  <c r="D462" i="3"/>
  <c r="E462" i="3"/>
  <c r="F462" i="3"/>
  <c r="H462" i="3" s="1"/>
  <c r="F461" i="3"/>
  <c r="E461" i="3"/>
  <c r="G461" i="3" s="1"/>
  <c r="N461" i="3" s="1"/>
  <c r="R461" i="3" s="1"/>
  <c r="D461" i="3"/>
  <c r="F460" i="3"/>
  <c r="E460" i="3"/>
  <c r="G460" i="3" s="1"/>
  <c r="N460" i="3" s="1"/>
  <c r="R460" i="3" s="1"/>
  <c r="D460" i="3"/>
  <c r="F459" i="3"/>
  <c r="E459" i="3"/>
  <c r="G459" i="3" s="1"/>
  <c r="N459" i="3" s="1"/>
  <c r="R459" i="3" s="1"/>
  <c r="D459" i="3"/>
  <c r="F458" i="3"/>
  <c r="E458" i="3"/>
  <c r="G458" i="3" s="1"/>
  <c r="N458" i="3" s="1"/>
  <c r="R458" i="3" s="1"/>
  <c r="D458" i="3"/>
  <c r="E457" i="3"/>
  <c r="F457" i="3"/>
  <c r="H457" i="3" s="1"/>
  <c r="D457" i="3"/>
  <c r="D456" i="3"/>
  <c r="E456" i="3"/>
  <c r="F456" i="3"/>
  <c r="H456" i="3" s="1"/>
  <c r="D455" i="3"/>
  <c r="F455" i="3"/>
  <c r="E455" i="3"/>
  <c r="G455" i="3" s="1"/>
  <c r="N455" i="3" s="1"/>
  <c r="R455" i="3" s="1"/>
  <c r="D454" i="3"/>
  <c r="L454" i="3" s="1"/>
  <c r="E454" i="3"/>
  <c r="F454" i="3"/>
  <c r="H454" i="3" s="1"/>
  <c r="D453" i="3"/>
  <c r="E453" i="3"/>
  <c r="F453" i="3"/>
  <c r="H453" i="3" s="1"/>
  <c r="F452" i="3"/>
  <c r="E452" i="3"/>
  <c r="G452" i="3" s="1"/>
  <c r="N452" i="3" s="1"/>
  <c r="R452" i="3" s="1"/>
  <c r="D452" i="3"/>
  <c r="F447" i="3"/>
  <c r="E447" i="3"/>
  <c r="G447" i="3" s="1"/>
  <c r="N447" i="3" s="1"/>
  <c r="R447" i="3" s="1"/>
  <c r="D447" i="3"/>
  <c r="F446" i="3"/>
  <c r="E446" i="3"/>
  <c r="G446" i="3" s="1"/>
  <c r="D446" i="3"/>
  <c r="L446" i="3" s="1"/>
  <c r="F445" i="3"/>
  <c r="D445" i="3"/>
  <c r="L445" i="3" s="1"/>
  <c r="E445" i="3"/>
  <c r="G445" i="3" s="1"/>
  <c r="F444" i="3"/>
  <c r="E444" i="3"/>
  <c r="G444" i="3" s="1"/>
  <c r="D444" i="3"/>
  <c r="L444" i="3" s="1"/>
  <c r="F443" i="3"/>
  <c r="E443" i="3"/>
  <c r="G443" i="3" s="1"/>
  <c r="D443" i="3"/>
  <c r="L443" i="3" s="1"/>
  <c r="F442" i="3"/>
  <c r="E442" i="3"/>
  <c r="G442" i="3" s="1"/>
  <c r="N442" i="3" s="1"/>
  <c r="R442" i="3" s="1"/>
  <c r="D442" i="3"/>
  <c r="F441" i="3"/>
  <c r="E441" i="3"/>
  <c r="G441" i="3" s="1"/>
  <c r="D441" i="3"/>
  <c r="L441" i="3" s="1"/>
  <c r="E440" i="3"/>
  <c r="F440" i="3"/>
  <c r="H440" i="3" s="1"/>
  <c r="D440" i="3"/>
  <c r="L440" i="3" s="1"/>
  <c r="F439" i="3"/>
  <c r="E439" i="3"/>
  <c r="G439" i="3" s="1"/>
  <c r="D439" i="3"/>
  <c r="L439" i="3" s="1"/>
  <c r="E438" i="3"/>
  <c r="F438" i="3"/>
  <c r="H438" i="3" s="1"/>
  <c r="D438" i="3"/>
  <c r="L438" i="3" s="1"/>
  <c r="D437" i="3"/>
  <c r="E437" i="3"/>
  <c r="F437" i="3"/>
  <c r="H437" i="3" s="1"/>
  <c r="D436" i="3"/>
  <c r="L436" i="3" s="1"/>
  <c r="E436" i="3"/>
  <c r="F436" i="3"/>
  <c r="H436" i="3" s="1"/>
  <c r="F435" i="3"/>
  <c r="D435" i="3"/>
  <c r="E435" i="3"/>
  <c r="G435" i="3" s="1"/>
  <c r="N435" i="3" s="1"/>
  <c r="R435" i="3" s="1"/>
  <c r="E434" i="3"/>
  <c r="D434" i="3"/>
  <c r="L434" i="3" s="1"/>
  <c r="F434" i="3"/>
  <c r="H434" i="3" s="1"/>
  <c r="E433" i="3"/>
  <c r="F433" i="3"/>
  <c r="H433" i="3" s="1"/>
  <c r="D433" i="3"/>
  <c r="L433" i="3" s="1"/>
  <c r="F432" i="3"/>
  <c r="E432" i="3"/>
  <c r="G432" i="3" s="1"/>
  <c r="N432" i="3" s="1"/>
  <c r="R432" i="3" s="1"/>
  <c r="D432" i="3"/>
  <c r="D431" i="3"/>
  <c r="E431" i="3"/>
  <c r="F431" i="3"/>
  <c r="H431" i="3" s="1"/>
  <c r="D430" i="3"/>
  <c r="L430" i="3" s="1"/>
  <c r="E430" i="3"/>
  <c r="F430" i="3"/>
  <c r="H430" i="3" s="1"/>
  <c r="D429" i="3"/>
  <c r="E429" i="3"/>
  <c r="F429" i="3"/>
  <c r="H429" i="3" s="1"/>
  <c r="D428" i="3"/>
  <c r="L428" i="3" s="1"/>
  <c r="E428" i="3"/>
  <c r="F428" i="3"/>
  <c r="H428" i="3" s="1"/>
  <c r="D423" i="3"/>
  <c r="L423" i="3" s="1"/>
  <c r="F423" i="3"/>
  <c r="E423" i="3"/>
  <c r="G423" i="3" s="1"/>
  <c r="D422" i="3"/>
  <c r="L422" i="3" s="1"/>
  <c r="E422" i="3"/>
  <c r="F422" i="3"/>
  <c r="H422" i="3" s="1"/>
  <c r="F421" i="3"/>
  <c r="D421" i="3"/>
  <c r="E421" i="3"/>
  <c r="G421" i="3" s="1"/>
  <c r="N421" i="3" s="1"/>
  <c r="R421" i="3" s="1"/>
  <c r="F420" i="3"/>
  <c r="E420" i="3"/>
  <c r="G420" i="3" s="1"/>
  <c r="D420" i="3"/>
  <c r="L420" i="3" s="1"/>
  <c r="E419" i="3"/>
  <c r="D419" i="3"/>
  <c r="L419" i="3" s="1"/>
  <c r="F419" i="3"/>
  <c r="H419" i="3" s="1"/>
  <c r="F418" i="3"/>
  <c r="E418" i="3"/>
  <c r="G418" i="3" s="1"/>
  <c r="D418" i="3"/>
  <c r="L418" i="3" s="1"/>
  <c r="F417" i="3"/>
  <c r="D417" i="3"/>
  <c r="E417" i="3"/>
  <c r="G417" i="3" s="1"/>
  <c r="N417" i="3" s="1"/>
  <c r="R417" i="3" s="1"/>
  <c r="D416" i="3"/>
  <c r="L416" i="3" s="1"/>
  <c r="E416" i="3"/>
  <c r="F416" i="3"/>
  <c r="H416" i="3" s="1"/>
  <c r="D415" i="3"/>
  <c r="E415" i="3"/>
  <c r="F415" i="3"/>
  <c r="H415" i="3" s="1"/>
  <c r="D414" i="3"/>
  <c r="L414" i="3" s="1"/>
  <c r="F414" i="3"/>
  <c r="E414" i="3"/>
  <c r="G414" i="3" s="1"/>
  <c r="D413" i="3"/>
  <c r="L413" i="3" s="1"/>
  <c r="F413" i="3"/>
  <c r="E413" i="3"/>
  <c r="G413" i="3" s="1"/>
  <c r="D412" i="3"/>
  <c r="L412" i="3" s="1"/>
  <c r="E412" i="3"/>
  <c r="F412" i="3"/>
  <c r="H412" i="3" s="1"/>
  <c r="F411" i="3"/>
  <c r="E411" i="3"/>
  <c r="G411" i="3" s="1"/>
  <c r="D411" i="3"/>
  <c r="L411" i="3" s="1"/>
  <c r="F410" i="3"/>
  <c r="E410" i="3"/>
  <c r="G410" i="3" s="1"/>
  <c r="D410" i="3"/>
  <c r="L410" i="3" s="1"/>
  <c r="F409" i="3"/>
  <c r="E409" i="3"/>
  <c r="G409" i="3" s="1"/>
  <c r="N409" i="3" s="1"/>
  <c r="R409" i="3" s="1"/>
  <c r="D409" i="3"/>
  <c r="E408" i="3"/>
  <c r="F408" i="3"/>
  <c r="H408" i="3" s="1"/>
  <c r="D408" i="3"/>
  <c r="F407" i="3"/>
  <c r="E407" i="3"/>
  <c r="G407" i="3" s="1"/>
  <c r="N407" i="3" s="1"/>
  <c r="R407" i="3" s="1"/>
  <c r="D407" i="3"/>
  <c r="E404" i="3"/>
  <c r="D404" i="3"/>
  <c r="L404" i="3" s="1"/>
  <c r="F404" i="3"/>
  <c r="H404" i="3" s="1"/>
  <c r="E403" i="3"/>
  <c r="D403" i="3"/>
  <c r="L403" i="3" s="1"/>
  <c r="F403" i="3"/>
  <c r="H403" i="3" s="1"/>
  <c r="E402" i="3"/>
  <c r="F402" i="3"/>
  <c r="H402" i="3" s="1"/>
  <c r="D402" i="3"/>
  <c r="L402" i="3" s="1"/>
  <c r="D401" i="3"/>
  <c r="L401" i="3" s="1"/>
  <c r="F401" i="3"/>
  <c r="E401" i="3"/>
  <c r="G401" i="3" s="1"/>
  <c r="F400" i="3"/>
  <c r="E400" i="3"/>
  <c r="G400" i="3" s="1"/>
  <c r="D400" i="3"/>
  <c r="L400" i="3" s="1"/>
  <c r="F399" i="3"/>
  <c r="E399" i="3"/>
  <c r="G399" i="3" s="1"/>
  <c r="D399" i="3"/>
  <c r="L399" i="3" s="1"/>
  <c r="E398" i="3"/>
  <c r="F398" i="3"/>
  <c r="H398" i="3" s="1"/>
  <c r="D398" i="3"/>
  <c r="L398" i="3" s="1"/>
  <c r="D397" i="3"/>
  <c r="L397" i="3" s="1"/>
  <c r="F397" i="3"/>
  <c r="E397" i="3"/>
  <c r="G397" i="3" s="1"/>
  <c r="D396" i="3"/>
  <c r="L396" i="3" s="1"/>
  <c r="F396" i="3"/>
  <c r="E396" i="3"/>
  <c r="G396" i="3" s="1"/>
  <c r="F395" i="3"/>
  <c r="D395" i="3"/>
  <c r="L395" i="3" s="1"/>
  <c r="E395" i="3"/>
  <c r="G395" i="3" s="1"/>
  <c r="E394" i="3"/>
  <c r="F394" i="3"/>
  <c r="H394" i="3" s="1"/>
  <c r="D394" i="3"/>
  <c r="L394" i="3" s="1"/>
  <c r="D393" i="3"/>
  <c r="L393" i="3" s="1"/>
  <c r="E393" i="3"/>
  <c r="F393" i="3"/>
  <c r="H393" i="3" s="1"/>
  <c r="D392" i="3"/>
  <c r="L392" i="3" s="1"/>
  <c r="F392" i="3"/>
  <c r="E392" i="3"/>
  <c r="G392" i="3" s="1"/>
  <c r="D391" i="3"/>
  <c r="L391" i="3" s="1"/>
  <c r="F391" i="3"/>
  <c r="E391" i="3"/>
  <c r="G391" i="3" s="1"/>
  <c r="F390" i="3"/>
  <c r="E390" i="3"/>
  <c r="G390" i="3" s="1"/>
  <c r="D390" i="3"/>
  <c r="L390" i="3" s="1"/>
  <c r="F389" i="3"/>
  <c r="D389" i="3"/>
  <c r="L389" i="3" s="1"/>
  <c r="E389" i="3"/>
  <c r="G389" i="3" s="1"/>
  <c r="E388" i="3"/>
  <c r="F388" i="3"/>
  <c r="H388" i="3" s="1"/>
  <c r="D388" i="3"/>
  <c r="D387" i="3"/>
  <c r="L387" i="3" s="1"/>
  <c r="E387" i="3"/>
  <c r="F387" i="3"/>
  <c r="H387" i="3" s="1"/>
  <c r="F386" i="3"/>
  <c r="E386" i="3"/>
  <c r="G386" i="3" s="1"/>
  <c r="D386" i="3"/>
  <c r="L386" i="3" s="1"/>
  <c r="D385" i="3"/>
  <c r="L385" i="3" s="1"/>
  <c r="F385" i="3"/>
  <c r="E385" i="3"/>
  <c r="G385" i="3" s="1"/>
  <c r="D384" i="3"/>
  <c r="L384" i="3" s="1"/>
  <c r="E384" i="3"/>
  <c r="F384" i="3"/>
  <c r="H384" i="3" s="1"/>
  <c r="F383" i="3"/>
  <c r="E383" i="3"/>
  <c r="G383" i="3" s="1"/>
  <c r="N383" i="3" s="1"/>
  <c r="R383" i="3" s="1"/>
  <c r="D383" i="3"/>
  <c r="D382" i="3"/>
  <c r="E382" i="3"/>
  <c r="F382" i="3"/>
  <c r="H382" i="3" s="1"/>
  <c r="E381" i="3"/>
  <c r="F381" i="3"/>
  <c r="H381" i="3" s="1"/>
  <c r="D381" i="3"/>
  <c r="L381" i="3" s="1"/>
  <c r="F380" i="3"/>
  <c r="E380" i="3"/>
  <c r="G380" i="3" s="1"/>
  <c r="D380" i="3"/>
  <c r="L380" i="3" s="1"/>
  <c r="F379" i="3"/>
  <c r="E379" i="3"/>
  <c r="G379" i="3" s="1"/>
  <c r="D379" i="3"/>
  <c r="L379" i="3" s="1"/>
  <c r="F378" i="3"/>
  <c r="E378" i="3"/>
  <c r="G378" i="3" s="1"/>
  <c r="D378" i="3"/>
  <c r="L378" i="3" s="1"/>
  <c r="D377" i="3"/>
  <c r="L377" i="3" s="1"/>
  <c r="F377" i="3"/>
  <c r="E377" i="3"/>
  <c r="G377" i="3" s="1"/>
  <c r="F376" i="3"/>
  <c r="D376" i="3"/>
  <c r="L376" i="3" s="1"/>
  <c r="E376" i="3"/>
  <c r="G376" i="3" s="1"/>
  <c r="D375" i="3"/>
  <c r="L375" i="3" s="1"/>
  <c r="E375" i="3"/>
  <c r="F375" i="3"/>
  <c r="H375" i="3" s="1"/>
  <c r="E374" i="3"/>
  <c r="D374" i="3"/>
  <c r="F374" i="3"/>
  <c r="H374" i="3" s="1"/>
  <c r="D373" i="3"/>
  <c r="L373" i="3" s="1"/>
  <c r="E373" i="3"/>
  <c r="F373" i="3"/>
  <c r="H373" i="3" s="1"/>
  <c r="F372" i="3"/>
  <c r="E372" i="3"/>
  <c r="G372" i="3" s="1"/>
  <c r="N372" i="3" s="1"/>
  <c r="R372" i="3" s="1"/>
  <c r="D372" i="3"/>
  <c r="D371" i="3"/>
  <c r="F371" i="3"/>
  <c r="E371" i="3"/>
  <c r="G371" i="3" s="1"/>
  <c r="N371" i="3" s="1"/>
  <c r="R371" i="3" s="1"/>
  <c r="F370" i="3"/>
  <c r="E370" i="3"/>
  <c r="G370" i="3" s="1"/>
  <c r="N370" i="3" s="1"/>
  <c r="R370" i="3" s="1"/>
  <c r="D370" i="3"/>
  <c r="D369" i="3"/>
  <c r="L369" i="3" s="1"/>
  <c r="F369" i="3"/>
  <c r="E369" i="3"/>
  <c r="G369" i="3" s="1"/>
  <c r="D368" i="3"/>
  <c r="L368" i="3" s="1"/>
  <c r="E368" i="3"/>
  <c r="F368" i="3"/>
  <c r="H368" i="3" s="1"/>
  <c r="E367" i="3"/>
  <c r="F367" i="3"/>
  <c r="H367" i="3" s="1"/>
  <c r="D367" i="3"/>
  <c r="E366" i="3"/>
  <c r="F366" i="3"/>
  <c r="H366" i="3" s="1"/>
  <c r="D366" i="3"/>
  <c r="L366" i="3" s="1"/>
  <c r="D365" i="3"/>
  <c r="L365" i="3" s="1"/>
  <c r="E365" i="3"/>
  <c r="F365" i="3"/>
  <c r="H365" i="3" s="1"/>
  <c r="D364" i="3"/>
  <c r="L364" i="3" s="1"/>
  <c r="E364" i="3"/>
  <c r="F364" i="3"/>
  <c r="H364" i="3" s="1"/>
  <c r="F363" i="3"/>
  <c r="D363" i="3"/>
  <c r="L363" i="3" s="1"/>
  <c r="E363" i="3"/>
  <c r="G363" i="3" s="1"/>
  <c r="F362" i="3"/>
  <c r="E362" i="3"/>
  <c r="G362" i="3" s="1"/>
  <c r="D362" i="3"/>
  <c r="L362" i="3" s="1"/>
  <c r="F361" i="3"/>
  <c r="E361" i="3"/>
  <c r="G361" i="3" s="1"/>
  <c r="N361" i="3" s="1"/>
  <c r="R361" i="3" s="1"/>
  <c r="D361" i="3"/>
  <c r="F360" i="3"/>
  <c r="E360" i="3"/>
  <c r="G360" i="3" s="1"/>
  <c r="D360" i="3"/>
  <c r="L360" i="3" s="1"/>
  <c r="F359" i="3"/>
  <c r="E359" i="3"/>
  <c r="G359" i="3" s="1"/>
  <c r="D359" i="3"/>
  <c r="L359" i="3" s="1"/>
  <c r="F358" i="3"/>
  <c r="E358" i="3"/>
  <c r="G358" i="3" s="1"/>
  <c r="D358" i="3"/>
  <c r="L358" i="3" s="1"/>
  <c r="F357" i="3"/>
  <c r="E357" i="3"/>
  <c r="G357" i="3" s="1"/>
  <c r="N357" i="3" s="1"/>
  <c r="R357" i="3" s="1"/>
  <c r="D357" i="3"/>
  <c r="F356" i="3"/>
  <c r="E356" i="3"/>
  <c r="G356" i="3" s="1"/>
  <c r="D356" i="3"/>
  <c r="L356" i="3" s="1"/>
  <c r="F355" i="3"/>
  <c r="D355" i="3"/>
  <c r="L355" i="3" s="1"/>
  <c r="E355" i="3"/>
  <c r="G355" i="3" s="1"/>
  <c r="E354" i="3"/>
  <c r="D354" i="3"/>
  <c r="F354" i="3"/>
  <c r="H354" i="3" s="1"/>
  <c r="D353" i="3"/>
  <c r="L353" i="3" s="1"/>
  <c r="E353" i="3"/>
  <c r="F353" i="3"/>
  <c r="H353" i="3" s="1"/>
  <c r="F352" i="3"/>
  <c r="E352" i="3"/>
  <c r="G352" i="3" s="1"/>
  <c r="D352" i="3"/>
  <c r="L352" i="3" s="1"/>
  <c r="F351" i="3"/>
  <c r="D351" i="3"/>
  <c r="L351" i="3" s="1"/>
  <c r="E351" i="3"/>
  <c r="G351" i="3" s="1"/>
  <c r="F350" i="3"/>
  <c r="D350" i="3"/>
  <c r="L350" i="3" s="1"/>
  <c r="E350" i="3"/>
  <c r="G350" i="3" s="1"/>
  <c r="D349" i="3"/>
  <c r="E349" i="3"/>
  <c r="F349" i="3"/>
  <c r="H349" i="3" s="1"/>
  <c r="F348" i="3"/>
  <c r="E348" i="3"/>
  <c r="G348" i="3" s="1"/>
  <c r="N348" i="3" s="1"/>
  <c r="R348" i="3" s="1"/>
  <c r="D348" i="3"/>
  <c r="F347" i="3"/>
  <c r="E347" i="3"/>
  <c r="G347" i="3" s="1"/>
  <c r="D347" i="3"/>
  <c r="L347" i="3" s="1"/>
  <c r="F346" i="3"/>
  <c r="E346" i="3"/>
  <c r="G346" i="3" s="1"/>
  <c r="D346" i="3"/>
  <c r="L346" i="3" s="1"/>
  <c r="F345" i="3"/>
  <c r="E345" i="3"/>
  <c r="G345" i="3" s="1"/>
  <c r="D345" i="3"/>
  <c r="L345" i="3" s="1"/>
  <c r="E344" i="3"/>
  <c r="F344" i="3"/>
  <c r="H344" i="3" s="1"/>
  <c r="D344" i="3"/>
  <c r="F343" i="3"/>
  <c r="E343" i="3"/>
  <c r="G343" i="3" s="1"/>
  <c r="D343" i="3"/>
  <c r="L343" i="3" s="1"/>
  <c r="F342" i="3"/>
  <c r="E342" i="3"/>
  <c r="G342" i="3" s="1"/>
  <c r="D342" i="3"/>
  <c r="L342" i="3" s="1"/>
  <c r="F341" i="3"/>
  <c r="D341" i="3"/>
  <c r="L341" i="3" s="1"/>
  <c r="E341" i="3"/>
  <c r="G341" i="3" s="1"/>
  <c r="F340" i="3"/>
  <c r="E340" i="3"/>
  <c r="G340" i="3" s="1"/>
  <c r="D340" i="3"/>
  <c r="L340" i="3" s="1"/>
  <c r="E339" i="3"/>
  <c r="D339" i="3"/>
  <c r="F339" i="3"/>
  <c r="H339" i="3" s="1"/>
  <c r="F338" i="3"/>
  <c r="E338" i="3"/>
  <c r="G338" i="3" s="1"/>
  <c r="N338" i="3" s="1"/>
  <c r="R338" i="3" s="1"/>
  <c r="D338" i="3"/>
  <c r="D337" i="3"/>
  <c r="F337" i="3"/>
  <c r="E337" i="3"/>
  <c r="G337" i="3" s="1"/>
  <c r="N337" i="3" s="1"/>
  <c r="R337" i="3" s="1"/>
  <c r="E336" i="3"/>
  <c r="F336" i="3"/>
  <c r="H336" i="3" s="1"/>
  <c r="D336" i="3"/>
  <c r="F335" i="3"/>
  <c r="D335" i="3"/>
  <c r="L335" i="3" s="1"/>
  <c r="E335" i="3"/>
  <c r="G335" i="3" s="1"/>
  <c r="E334" i="3"/>
  <c r="D334" i="3"/>
  <c r="F334" i="3"/>
  <c r="H334" i="3" s="1"/>
  <c r="F333" i="3"/>
  <c r="E333" i="3"/>
  <c r="G333" i="3" s="1"/>
  <c r="N333" i="3" s="1"/>
  <c r="R333" i="3" s="1"/>
  <c r="D333" i="3"/>
  <c r="D332" i="3"/>
  <c r="E332" i="3"/>
  <c r="F332" i="3"/>
  <c r="H332" i="3" s="1"/>
  <c r="F331" i="3"/>
  <c r="E331" i="3"/>
  <c r="G331" i="3" s="1"/>
  <c r="D331" i="3"/>
  <c r="L331" i="3" s="1"/>
  <c r="D330" i="3"/>
  <c r="E330" i="3"/>
  <c r="F330" i="3"/>
  <c r="H330" i="3" s="1"/>
  <c r="F329" i="3"/>
  <c r="E329" i="3"/>
  <c r="G329" i="3" s="1"/>
  <c r="D329" i="3"/>
  <c r="L329" i="3" s="1"/>
  <c r="F328" i="3"/>
  <c r="E328" i="3"/>
  <c r="G328" i="3" s="1"/>
  <c r="N328" i="3" s="1"/>
  <c r="R328" i="3" s="1"/>
  <c r="D328" i="3"/>
  <c r="F327" i="3"/>
  <c r="E327" i="3"/>
  <c r="G327" i="3" s="1"/>
  <c r="N327" i="3" s="1"/>
  <c r="R327" i="3" s="1"/>
  <c r="D327" i="3"/>
  <c r="F326" i="3"/>
  <c r="E326" i="3"/>
  <c r="G326" i="3" s="1"/>
  <c r="N326" i="3" s="1"/>
  <c r="R326" i="3" s="1"/>
  <c r="D326" i="3"/>
  <c r="F325" i="3"/>
  <c r="D325" i="3"/>
  <c r="L325" i="3" s="1"/>
  <c r="E325" i="3"/>
  <c r="G325" i="3" s="1"/>
  <c r="F324" i="3"/>
  <c r="D324" i="3"/>
  <c r="L324" i="3" s="1"/>
  <c r="E324" i="3"/>
  <c r="G324" i="3" s="1"/>
  <c r="F323" i="3"/>
  <c r="D323" i="3"/>
  <c r="L323" i="3" s="1"/>
  <c r="E323" i="3"/>
  <c r="G323" i="3" s="1"/>
  <c r="E322" i="3"/>
  <c r="F322" i="3"/>
  <c r="H322" i="3" s="1"/>
  <c r="D322" i="3"/>
  <c r="L322" i="3" s="1"/>
  <c r="D321" i="3"/>
  <c r="L321" i="3" s="1"/>
  <c r="E321" i="3"/>
  <c r="F321" i="3"/>
  <c r="H321" i="3" s="1"/>
  <c r="D320" i="3"/>
  <c r="L320" i="3" s="1"/>
  <c r="E320" i="3"/>
  <c r="F320" i="3"/>
  <c r="H320" i="3" s="1"/>
  <c r="F319" i="3"/>
  <c r="E319" i="3"/>
  <c r="G319" i="3" s="1"/>
  <c r="D319" i="3"/>
  <c r="L319" i="3" s="1"/>
  <c r="D318" i="3"/>
  <c r="L318" i="3" s="1"/>
  <c r="E318" i="3"/>
  <c r="F318" i="3"/>
  <c r="H318" i="3" s="1"/>
  <c r="D317" i="3"/>
  <c r="L317" i="3" s="1"/>
  <c r="F317" i="3"/>
  <c r="E317" i="3"/>
  <c r="G317" i="3" s="1"/>
  <c r="F316" i="3"/>
  <c r="D316" i="3"/>
  <c r="L316" i="3" s="1"/>
  <c r="E316" i="3"/>
  <c r="G316" i="3" s="1"/>
  <c r="F315" i="3"/>
  <c r="E315" i="3"/>
  <c r="G315" i="3" s="1"/>
  <c r="N315" i="3" s="1"/>
  <c r="R315" i="3" s="1"/>
  <c r="D315" i="3"/>
  <c r="F314" i="3"/>
  <c r="E314" i="3"/>
  <c r="G314" i="3" s="1"/>
  <c r="D314" i="3"/>
  <c r="L314" i="3" s="1"/>
  <c r="F313" i="3"/>
  <c r="E313" i="3"/>
  <c r="G313" i="3" s="1"/>
  <c r="N313" i="3" s="1"/>
  <c r="R313" i="3" s="1"/>
  <c r="D313" i="3"/>
  <c r="F312" i="3"/>
  <c r="F311" i="3"/>
  <c r="E311" i="3"/>
  <c r="G311" i="3" s="1"/>
  <c r="F310" i="3"/>
  <c r="F309" i="3"/>
  <c r="D309" i="3"/>
  <c r="L309" i="3" s="1"/>
  <c r="E308" i="3"/>
  <c r="E307" i="3"/>
  <c r="F307" i="3"/>
  <c r="H307" i="3" s="1"/>
  <c r="F306" i="3"/>
  <c r="F305" i="3"/>
  <c r="D305" i="3"/>
  <c r="E304" i="3"/>
  <c r="F303" i="3"/>
  <c r="F89" i="3"/>
  <c r="D88" i="3"/>
  <c r="L88" i="3" s="1"/>
  <c r="E303" i="3"/>
  <c r="G303" i="3" s="1"/>
  <c r="F302" i="3"/>
  <c r="E302" i="3"/>
  <c r="G302" i="3" s="1"/>
  <c r="D302" i="3"/>
  <c r="L302" i="3" s="1"/>
  <c r="F301" i="3"/>
  <c r="E301" i="3"/>
  <c r="G301" i="3" s="1"/>
  <c r="D301" i="3"/>
  <c r="L301" i="3" s="1"/>
  <c r="F300" i="3"/>
  <c r="E300" i="3"/>
  <c r="G300" i="3" s="1"/>
  <c r="D300" i="3"/>
  <c r="L300" i="3" s="1"/>
  <c r="F299" i="3"/>
  <c r="E299" i="3"/>
  <c r="D299" i="3"/>
  <c r="F294" i="3"/>
  <c r="E294" i="3"/>
  <c r="G294" i="3" s="1"/>
  <c r="N294" i="3" s="1"/>
  <c r="R294" i="3" s="1"/>
  <c r="D294" i="3"/>
  <c r="L294" i="3" s="1"/>
  <c r="F293" i="3"/>
  <c r="E293" i="3"/>
  <c r="G293" i="3" s="1"/>
  <c r="D293" i="3"/>
  <c r="L293" i="3" s="1"/>
  <c r="F292" i="3"/>
  <c r="E292" i="3"/>
  <c r="G292" i="3" s="1"/>
  <c r="N292" i="3" s="1"/>
  <c r="R292" i="3" s="1"/>
  <c r="D292" i="3"/>
  <c r="F291" i="3"/>
  <c r="E291" i="3"/>
  <c r="G291" i="3" s="1"/>
  <c r="N291" i="3" s="1"/>
  <c r="R291" i="3" s="1"/>
  <c r="D291" i="3"/>
  <c r="D290" i="3"/>
  <c r="F290" i="3"/>
  <c r="E290" i="3"/>
  <c r="G290" i="3" s="1"/>
  <c r="N290" i="3" s="1"/>
  <c r="R290" i="3" s="1"/>
  <c r="D289" i="3"/>
  <c r="E289" i="3"/>
  <c r="F289" i="3"/>
  <c r="H289" i="3" s="1"/>
  <c r="D288" i="3"/>
  <c r="F288" i="3"/>
  <c r="E288" i="3"/>
  <c r="G288" i="3" s="1"/>
  <c r="N288" i="3" s="1"/>
  <c r="R288" i="3" s="1"/>
  <c r="D287" i="3"/>
  <c r="E287" i="3"/>
  <c r="F287" i="3"/>
  <c r="H287" i="3" s="1"/>
  <c r="F286" i="3"/>
  <c r="D286" i="3"/>
  <c r="E286" i="3"/>
  <c r="G286" i="3" s="1"/>
  <c r="N286" i="3" s="1"/>
  <c r="R286" i="3" s="1"/>
  <c r="F285" i="3"/>
  <c r="E285" i="3"/>
  <c r="G285" i="3" s="1"/>
  <c r="N285" i="3" s="1"/>
  <c r="R285" i="3" s="1"/>
  <c r="D285" i="3"/>
  <c r="F284" i="3"/>
  <c r="D284" i="3"/>
  <c r="L284" i="3" s="1"/>
  <c r="E284" i="3"/>
  <c r="G284" i="3" s="1"/>
  <c r="D283" i="3"/>
  <c r="L283" i="3" s="1"/>
  <c r="E283" i="3"/>
  <c r="F283" i="3"/>
  <c r="H283" i="3" s="1"/>
  <c r="E282" i="3"/>
  <c r="D282" i="3"/>
  <c r="F282" i="3"/>
  <c r="H282" i="3" s="1"/>
  <c r="E281" i="3"/>
  <c r="F281" i="3"/>
  <c r="H281" i="3" s="1"/>
  <c r="D281" i="3"/>
  <c r="F280" i="3"/>
  <c r="E280" i="3"/>
  <c r="G280" i="3" s="1"/>
  <c r="N280" i="3" s="1"/>
  <c r="R280" i="3" s="1"/>
  <c r="D280" i="3"/>
  <c r="F279" i="3"/>
  <c r="E279" i="3"/>
  <c r="G279" i="3" s="1"/>
  <c r="D279" i="3"/>
  <c r="L279" i="3" s="1"/>
  <c r="D278" i="3"/>
  <c r="L278" i="3" s="1"/>
  <c r="F278" i="3"/>
  <c r="E278" i="3"/>
  <c r="G278" i="3" s="1"/>
  <c r="F277" i="3"/>
  <c r="E277" i="3"/>
  <c r="G277" i="3" s="1"/>
  <c r="N277" i="3" s="1"/>
  <c r="R277" i="3" s="1"/>
  <c r="D277" i="3"/>
  <c r="F276" i="3"/>
  <c r="E276" i="3"/>
  <c r="G276" i="3" s="1"/>
  <c r="N276" i="3" s="1"/>
  <c r="R276" i="3" s="1"/>
  <c r="D276" i="3"/>
  <c r="D275" i="3"/>
  <c r="L275" i="3" s="1"/>
  <c r="E275" i="3"/>
  <c r="F275" i="3"/>
  <c r="H275" i="3" s="1"/>
  <c r="E274" i="3"/>
  <c r="F274" i="3"/>
  <c r="H274" i="3" s="1"/>
  <c r="D274" i="3"/>
  <c r="E273" i="3"/>
  <c r="F273" i="3"/>
  <c r="H273" i="3" s="1"/>
  <c r="D273" i="3"/>
  <c r="L273" i="3" s="1"/>
  <c r="F272" i="3"/>
  <c r="E272" i="3"/>
  <c r="G272" i="3" s="1"/>
  <c r="D272" i="3"/>
  <c r="L272" i="3" s="1"/>
  <c r="F271" i="3"/>
  <c r="E271" i="3"/>
  <c r="G271" i="3" s="1"/>
  <c r="N271" i="3" s="1"/>
  <c r="R271" i="3" s="1"/>
  <c r="D271" i="3"/>
  <c r="E270" i="3"/>
  <c r="F270" i="3"/>
  <c r="H270" i="3" s="1"/>
  <c r="D270" i="3"/>
  <c r="F269" i="3"/>
  <c r="E269" i="3"/>
  <c r="G269" i="3" s="1"/>
  <c r="D269" i="3"/>
  <c r="L269" i="3" s="1"/>
  <c r="F268" i="3"/>
  <c r="E268" i="3"/>
  <c r="G268" i="3" s="1"/>
  <c r="N268" i="3" s="1"/>
  <c r="R268" i="3" s="1"/>
  <c r="D268" i="3"/>
  <c r="L268" i="3" s="1"/>
  <c r="F267" i="3"/>
  <c r="E267" i="3"/>
  <c r="G267" i="3" s="1"/>
  <c r="N267" i="3" s="1"/>
  <c r="R267" i="3" s="1"/>
  <c r="D267" i="3"/>
  <c r="E266" i="3"/>
  <c r="F266" i="3"/>
  <c r="H266" i="3" s="1"/>
  <c r="D266" i="3"/>
  <c r="L266" i="3" s="1"/>
  <c r="F265" i="3"/>
  <c r="E265" i="3"/>
  <c r="G265" i="3" s="1"/>
  <c r="D265" i="3"/>
  <c r="L265" i="3" s="1"/>
  <c r="F264" i="3"/>
  <c r="E264" i="3"/>
  <c r="G264" i="3" s="1"/>
  <c r="N264" i="3" s="1"/>
  <c r="R264" i="3" s="1"/>
  <c r="D264" i="3"/>
  <c r="E263" i="3"/>
  <c r="D263" i="3"/>
  <c r="F263" i="3"/>
  <c r="H263" i="3" s="1"/>
  <c r="F262" i="3"/>
  <c r="E262" i="3"/>
  <c r="G262" i="3" s="1"/>
  <c r="N262" i="3" s="1"/>
  <c r="R262" i="3" s="1"/>
  <c r="D262" i="3"/>
  <c r="F261" i="3"/>
  <c r="E261" i="3"/>
  <c r="G261" i="3" s="1"/>
  <c r="D261" i="3"/>
  <c r="L261" i="3" s="1"/>
  <c r="F260" i="3"/>
  <c r="E260" i="3"/>
  <c r="G260" i="3" s="1"/>
  <c r="D260" i="3"/>
  <c r="L260" i="3" s="1"/>
  <c r="F259" i="3"/>
  <c r="E259" i="3"/>
  <c r="G259" i="3" s="1"/>
  <c r="N259" i="3" s="1"/>
  <c r="R259" i="3" s="1"/>
  <c r="D259" i="3"/>
  <c r="F258" i="3"/>
  <c r="E258" i="3"/>
  <c r="G258" i="3" s="1"/>
  <c r="N258" i="3" s="1"/>
  <c r="R258" i="3" s="1"/>
  <c r="D258" i="3"/>
  <c r="F257" i="3"/>
  <c r="E257" i="3"/>
  <c r="G257" i="3" s="1"/>
  <c r="D257" i="3"/>
  <c r="L257" i="3" s="1"/>
  <c r="D256" i="3"/>
  <c r="F256" i="3"/>
  <c r="E256" i="3"/>
  <c r="G256" i="3" s="1"/>
  <c r="N256" i="3" s="1"/>
  <c r="R256" i="3" s="1"/>
  <c r="F255" i="3"/>
  <c r="E255" i="3"/>
  <c r="G255" i="3" s="1"/>
  <c r="N255" i="3" s="1"/>
  <c r="R255" i="3" s="1"/>
  <c r="D255" i="3"/>
  <c r="E254" i="3"/>
  <c r="D254" i="3"/>
  <c r="L254" i="3" s="1"/>
  <c r="F254" i="3"/>
  <c r="H254" i="3" s="1"/>
  <c r="F253" i="3"/>
  <c r="E253" i="3"/>
  <c r="G253" i="3" s="1"/>
  <c r="N253" i="3" s="1"/>
  <c r="R253" i="3" s="1"/>
  <c r="D253" i="3"/>
  <c r="E252" i="3"/>
  <c r="D252" i="3"/>
  <c r="F252" i="3"/>
  <c r="H252" i="3" s="1"/>
  <c r="E251" i="3"/>
  <c r="F251" i="3"/>
  <c r="H251" i="3" s="1"/>
  <c r="D251" i="3"/>
  <c r="L251" i="3" s="1"/>
  <c r="F250" i="3"/>
  <c r="E250" i="3"/>
  <c r="G250" i="3" s="1"/>
  <c r="D250" i="3"/>
  <c r="L250" i="3" s="1"/>
  <c r="E249" i="3"/>
  <c r="D249" i="3"/>
  <c r="L249" i="3" s="1"/>
  <c r="F249" i="3"/>
  <c r="H249" i="3" s="1"/>
  <c r="F248" i="3"/>
  <c r="E248" i="3"/>
  <c r="G248" i="3" s="1"/>
  <c r="D248" i="3"/>
  <c r="L248" i="3" s="1"/>
  <c r="F247" i="3"/>
  <c r="E247" i="3"/>
  <c r="G247" i="3" s="1"/>
  <c r="N247" i="3" s="1"/>
  <c r="R247" i="3" s="1"/>
  <c r="D247" i="3"/>
  <c r="D246" i="3"/>
  <c r="L246" i="3" s="1"/>
  <c r="F246" i="3"/>
  <c r="E246" i="3"/>
  <c r="G246" i="3" s="1"/>
  <c r="D245" i="3"/>
  <c r="E245" i="3"/>
  <c r="F245" i="3"/>
  <c r="H245" i="3" s="1"/>
  <c r="D244" i="3"/>
  <c r="L244" i="3" s="1"/>
  <c r="E244" i="3"/>
  <c r="F244" i="3"/>
  <c r="H244" i="3" s="1"/>
  <c r="F243" i="3"/>
  <c r="E243" i="3"/>
  <c r="G243" i="3" s="1"/>
  <c r="N243" i="3" s="1"/>
  <c r="R243" i="3" s="1"/>
  <c r="D243" i="3"/>
  <c r="E242" i="3"/>
  <c r="D242" i="3"/>
  <c r="F242" i="3"/>
  <c r="H242" i="3" s="1"/>
  <c r="D241" i="3"/>
  <c r="L241" i="3" s="1"/>
  <c r="E241" i="3"/>
  <c r="F241" i="3"/>
  <c r="H241" i="3" s="1"/>
  <c r="D240" i="3"/>
  <c r="L240" i="3" s="1"/>
  <c r="E240" i="3"/>
  <c r="F240" i="3"/>
  <c r="H240" i="3" s="1"/>
  <c r="E239" i="3"/>
  <c r="D239" i="3"/>
  <c r="F239" i="3"/>
  <c r="H239" i="3" s="1"/>
  <c r="F238" i="3"/>
  <c r="E238" i="3"/>
  <c r="G238" i="3" s="1"/>
  <c r="N238" i="3" s="1"/>
  <c r="R238" i="3" s="1"/>
  <c r="D238" i="3"/>
  <c r="E237" i="3"/>
  <c r="D237" i="3"/>
  <c r="F237" i="3"/>
  <c r="H237" i="3" s="1"/>
  <c r="D236" i="3"/>
  <c r="F236" i="3"/>
  <c r="E236" i="3"/>
  <c r="G236" i="3" s="1"/>
  <c r="N236" i="3" s="1"/>
  <c r="R236" i="3" s="1"/>
  <c r="D235" i="3"/>
  <c r="E235" i="3"/>
  <c r="F235" i="3"/>
  <c r="H235" i="3" s="1"/>
  <c r="D234" i="3"/>
  <c r="L234" i="3" s="1"/>
  <c r="E234" i="3"/>
  <c r="F234" i="3"/>
  <c r="H234" i="3" s="1"/>
  <c r="D233" i="3"/>
  <c r="E233" i="3"/>
  <c r="F233" i="3"/>
  <c r="H233" i="3" s="1"/>
  <c r="D232" i="3"/>
  <c r="L232" i="3" s="1"/>
  <c r="E232" i="3"/>
  <c r="F232" i="3"/>
  <c r="H232" i="3" s="1"/>
  <c r="E231" i="3"/>
  <c r="D231" i="3"/>
  <c r="L231" i="3" s="1"/>
  <c r="F231" i="3"/>
  <c r="H231" i="3" s="1"/>
  <c r="D230" i="3"/>
  <c r="E230" i="3"/>
  <c r="F230" i="3"/>
  <c r="H230" i="3" s="1"/>
  <c r="F229" i="3"/>
  <c r="E229" i="3"/>
  <c r="G229" i="3" s="1"/>
  <c r="D229" i="3"/>
  <c r="L229" i="3" s="1"/>
  <c r="F228" i="3"/>
  <c r="E228" i="3"/>
  <c r="G228" i="3" s="1"/>
  <c r="D228" i="3"/>
  <c r="L228" i="3" s="1"/>
  <c r="D227" i="3"/>
  <c r="F227" i="3"/>
  <c r="E227" i="3"/>
  <c r="G227" i="3" s="1"/>
  <c r="N227" i="3" s="1"/>
  <c r="R227" i="3" s="1"/>
  <c r="E226" i="3"/>
  <c r="F226" i="3"/>
  <c r="H226" i="3" s="1"/>
  <c r="D226" i="3"/>
  <c r="F225" i="3"/>
  <c r="E225" i="3"/>
  <c r="G225" i="3" s="1"/>
  <c r="D225" i="3"/>
  <c r="L225" i="3" s="1"/>
  <c r="F224" i="3"/>
  <c r="E224" i="3"/>
  <c r="G224" i="3" s="1"/>
  <c r="D224" i="3"/>
  <c r="L224" i="3" s="1"/>
  <c r="F223" i="3"/>
  <c r="E223" i="3"/>
  <c r="G223" i="3" s="1"/>
  <c r="N223" i="3" s="1"/>
  <c r="R223" i="3" s="1"/>
  <c r="D223" i="3"/>
  <c r="F222" i="3"/>
  <c r="E222" i="3"/>
  <c r="G222" i="3" s="1"/>
  <c r="N222" i="3" s="1"/>
  <c r="R222" i="3" s="1"/>
  <c r="D222" i="3"/>
  <c r="F221" i="3"/>
  <c r="D221" i="3"/>
  <c r="E221" i="3"/>
  <c r="G221" i="3" s="1"/>
  <c r="N221" i="3" s="1"/>
  <c r="R221" i="3" s="1"/>
  <c r="F220" i="3"/>
  <c r="E220" i="3"/>
  <c r="G220" i="3" s="1"/>
  <c r="D220" i="3"/>
  <c r="L220" i="3" s="1"/>
  <c r="D219" i="3"/>
  <c r="F219" i="3"/>
  <c r="E219" i="3"/>
  <c r="G219" i="3" s="1"/>
  <c r="N219" i="3" s="1"/>
  <c r="R219" i="3" s="1"/>
  <c r="F218" i="3"/>
  <c r="E218" i="3"/>
  <c r="G218" i="3" s="1"/>
  <c r="D218" i="3"/>
  <c r="L218" i="3" s="1"/>
  <c r="D217" i="3"/>
  <c r="F217" i="3"/>
  <c r="E217" i="3"/>
  <c r="G217" i="3" s="1"/>
  <c r="N217" i="3" s="1"/>
  <c r="R217" i="3" s="1"/>
  <c r="F216" i="3"/>
  <c r="E216" i="3"/>
  <c r="G216" i="3" s="1"/>
  <c r="N216" i="3" s="1"/>
  <c r="R216" i="3" s="1"/>
  <c r="D216" i="3"/>
  <c r="F215" i="3"/>
  <c r="E215" i="3"/>
  <c r="G215" i="3" s="1"/>
  <c r="N215" i="3" s="1"/>
  <c r="R215" i="3" s="1"/>
  <c r="D215" i="3"/>
  <c r="D214" i="3"/>
  <c r="E214" i="3"/>
  <c r="F214" i="3"/>
  <c r="H214" i="3" s="1"/>
  <c r="D213" i="3"/>
  <c r="L213" i="3" s="1"/>
  <c r="E213" i="3"/>
  <c r="F213" i="3"/>
  <c r="H213" i="3" s="1"/>
  <c r="D212" i="3"/>
  <c r="E212" i="3"/>
  <c r="F212" i="3"/>
  <c r="H212" i="3" s="1"/>
  <c r="D211" i="3"/>
  <c r="E211" i="3"/>
  <c r="F211" i="3"/>
  <c r="H211" i="3" s="1"/>
  <c r="F210" i="3"/>
  <c r="E210" i="3"/>
  <c r="G210" i="3" s="1"/>
  <c r="N210" i="3" s="1"/>
  <c r="R210" i="3" s="1"/>
  <c r="D210" i="3"/>
  <c r="F209" i="3"/>
  <c r="E209" i="3"/>
  <c r="G209" i="3" s="1"/>
  <c r="D209" i="3"/>
  <c r="L209" i="3" s="1"/>
  <c r="E208" i="3"/>
  <c r="F208" i="3"/>
  <c r="H208" i="3" s="1"/>
  <c r="D208" i="3"/>
  <c r="F207" i="3"/>
  <c r="E207" i="3"/>
  <c r="G207" i="3" s="1"/>
  <c r="D207" i="3"/>
  <c r="L207" i="3" s="1"/>
  <c r="D206" i="3"/>
  <c r="L206" i="3" s="1"/>
  <c r="F206" i="3"/>
  <c r="E206" i="3"/>
  <c r="G206" i="3" s="1"/>
  <c r="D205" i="3"/>
  <c r="L205" i="3" s="1"/>
  <c r="F205" i="3"/>
  <c r="E205" i="3"/>
  <c r="G205" i="3" s="1"/>
  <c r="F204" i="3"/>
  <c r="D204" i="3"/>
  <c r="L204" i="3" s="1"/>
  <c r="E204" i="3"/>
  <c r="G204" i="3" s="1"/>
  <c r="F203" i="3"/>
  <c r="D203" i="3"/>
  <c r="L203" i="3" s="1"/>
  <c r="E203" i="3"/>
  <c r="G203" i="3" s="1"/>
  <c r="F202" i="3"/>
  <c r="E202" i="3"/>
  <c r="G202" i="3" s="1"/>
  <c r="D202" i="3"/>
  <c r="L202" i="3" s="1"/>
  <c r="D201" i="3"/>
  <c r="L201" i="3" s="1"/>
  <c r="F201" i="3"/>
  <c r="E201" i="3"/>
  <c r="G201" i="3" s="1"/>
  <c r="D200" i="3"/>
  <c r="E200" i="3"/>
  <c r="F200" i="3"/>
  <c r="H200" i="3" s="1"/>
  <c r="F199" i="3"/>
  <c r="E199" i="3"/>
  <c r="G199" i="3" s="1"/>
  <c r="N199" i="3" s="1"/>
  <c r="R199" i="3" s="1"/>
  <c r="D199" i="3"/>
  <c r="E198" i="3"/>
  <c r="D198" i="3"/>
  <c r="L198" i="3" s="1"/>
  <c r="F198" i="3"/>
  <c r="H198" i="3" s="1"/>
  <c r="E197" i="3"/>
  <c r="D197" i="3"/>
  <c r="L197" i="3" s="1"/>
  <c r="F197" i="3"/>
  <c r="H197" i="3" s="1"/>
  <c r="D196" i="3"/>
  <c r="L196" i="3" s="1"/>
  <c r="F196" i="3"/>
  <c r="E196" i="3"/>
  <c r="G196" i="3" s="1"/>
  <c r="D195" i="3"/>
  <c r="E195" i="3"/>
  <c r="F195" i="3"/>
  <c r="H195" i="3" s="1"/>
  <c r="D194" i="3"/>
  <c r="E194" i="3"/>
  <c r="F194" i="3"/>
  <c r="H194" i="3" s="1"/>
  <c r="E193" i="3"/>
  <c r="D193" i="3"/>
  <c r="F193" i="3"/>
  <c r="H193" i="3" s="1"/>
  <c r="D192" i="3"/>
  <c r="E192" i="3"/>
  <c r="F192" i="3"/>
  <c r="H192" i="3" s="1"/>
  <c r="D191" i="3"/>
  <c r="L191" i="3" s="1"/>
  <c r="E191" i="3"/>
  <c r="F191" i="3"/>
  <c r="H191" i="3" s="1"/>
  <c r="D190" i="3"/>
  <c r="F190" i="3"/>
  <c r="E190" i="3"/>
  <c r="G190" i="3" s="1"/>
  <c r="N190" i="3" s="1"/>
  <c r="R190" i="3" s="1"/>
  <c r="F189" i="3"/>
  <c r="D189" i="3"/>
  <c r="L189" i="3" s="1"/>
  <c r="E189" i="3"/>
  <c r="G189" i="3" s="1"/>
  <c r="D188" i="3"/>
  <c r="L188" i="3" s="1"/>
  <c r="E188" i="3"/>
  <c r="F188" i="3"/>
  <c r="H188" i="3" s="1"/>
  <c r="D187" i="3"/>
  <c r="L187" i="3" s="1"/>
  <c r="E187" i="3"/>
  <c r="F187" i="3"/>
  <c r="H187" i="3" s="1"/>
  <c r="F186" i="3"/>
  <c r="D186" i="3"/>
  <c r="L186" i="3" s="1"/>
  <c r="E186" i="3"/>
  <c r="G186" i="3" s="1"/>
  <c r="D185" i="3"/>
  <c r="L185" i="3" s="1"/>
  <c r="E185" i="3"/>
  <c r="F185" i="3"/>
  <c r="H185" i="3" s="1"/>
  <c r="F184" i="3"/>
  <c r="E184" i="3"/>
  <c r="G184" i="3" s="1"/>
  <c r="D184" i="3"/>
  <c r="L184" i="3" s="1"/>
  <c r="D183" i="3"/>
  <c r="L183" i="3" s="1"/>
  <c r="F183" i="3"/>
  <c r="E183" i="3"/>
  <c r="G183" i="3" s="1"/>
  <c r="D182" i="3"/>
  <c r="L182" i="3" s="1"/>
  <c r="F182" i="3"/>
  <c r="E182" i="3"/>
  <c r="G182" i="3" s="1"/>
  <c r="D181" i="3"/>
  <c r="L181" i="3" s="1"/>
  <c r="E181" i="3"/>
  <c r="F181" i="3"/>
  <c r="H181" i="3" s="1"/>
  <c r="D180" i="3"/>
  <c r="E180" i="3"/>
  <c r="F180" i="3"/>
  <c r="H180" i="3" s="1"/>
  <c r="D179" i="3"/>
  <c r="L179" i="3" s="1"/>
  <c r="E179" i="3"/>
  <c r="F179" i="3"/>
  <c r="H179" i="3" s="1"/>
  <c r="E178" i="3"/>
  <c r="F178" i="3"/>
  <c r="H178" i="3" s="1"/>
  <c r="D178" i="3"/>
  <c r="L178" i="3" s="1"/>
  <c r="F177" i="3"/>
  <c r="E177" i="3"/>
  <c r="G177" i="3" s="1"/>
  <c r="D177" i="3"/>
  <c r="L177" i="3" s="1"/>
  <c r="F176" i="3"/>
  <c r="E176" i="3"/>
  <c r="G176" i="3" s="1"/>
  <c r="D176" i="3"/>
  <c r="L176" i="3" s="1"/>
  <c r="F175" i="3"/>
  <c r="E175" i="3"/>
  <c r="G175" i="3" s="1"/>
  <c r="D175" i="3"/>
  <c r="L175" i="3" s="1"/>
  <c r="D174" i="3"/>
  <c r="L174" i="3" s="1"/>
  <c r="E174" i="3"/>
  <c r="F174" i="3"/>
  <c r="H174" i="3" s="1"/>
  <c r="E173" i="3"/>
  <c r="D173" i="3"/>
  <c r="L173" i="3" s="1"/>
  <c r="F173" i="3"/>
  <c r="H173" i="3" s="1"/>
  <c r="D172" i="3"/>
  <c r="L172" i="3" s="1"/>
  <c r="E172" i="3"/>
  <c r="F172" i="3"/>
  <c r="H172" i="3" s="1"/>
  <c r="D171" i="3"/>
  <c r="L171" i="3" s="1"/>
  <c r="E171" i="3"/>
  <c r="F171" i="3"/>
  <c r="H171" i="3" s="1"/>
  <c r="D170" i="3"/>
  <c r="L170" i="3" s="1"/>
  <c r="E170" i="3"/>
  <c r="F170" i="3"/>
  <c r="H170" i="3" s="1"/>
  <c r="F169" i="3"/>
  <c r="D169" i="3"/>
  <c r="L169" i="3" s="1"/>
  <c r="E169" i="3"/>
  <c r="G169" i="3" s="1"/>
  <c r="D168" i="3"/>
  <c r="L168" i="3" s="1"/>
  <c r="E168" i="3"/>
  <c r="F168" i="3"/>
  <c r="H168" i="3" s="1"/>
  <c r="D167" i="3"/>
  <c r="F167" i="3"/>
  <c r="E167" i="3"/>
  <c r="G167" i="3" s="1"/>
  <c r="N167" i="3" s="1"/>
  <c r="R167" i="3" s="1"/>
  <c r="F166" i="3"/>
  <c r="D166" i="3"/>
  <c r="L166" i="3" s="1"/>
  <c r="E166" i="3"/>
  <c r="G166" i="3" s="1"/>
  <c r="E165" i="3"/>
  <c r="D165" i="3"/>
  <c r="F165" i="3"/>
  <c r="H165" i="3" s="1"/>
  <c r="E164" i="3"/>
  <c r="F164" i="3"/>
  <c r="H164" i="3" s="1"/>
  <c r="D164" i="3"/>
  <c r="L164" i="3" s="1"/>
  <c r="F163" i="3"/>
  <c r="E163" i="3"/>
  <c r="G163" i="3" s="1"/>
  <c r="N163" i="3" s="1"/>
  <c r="R163" i="3" s="1"/>
  <c r="D163" i="3"/>
  <c r="F162" i="3"/>
  <c r="E162" i="3"/>
  <c r="G162" i="3" s="1"/>
  <c r="D162" i="3"/>
  <c r="L162" i="3" s="1"/>
  <c r="F151" i="3"/>
  <c r="E151" i="3"/>
  <c r="G151" i="3" s="1"/>
  <c r="N151" i="3" s="1"/>
  <c r="R151" i="3" s="1"/>
  <c r="D151" i="3"/>
  <c r="D150" i="3"/>
  <c r="L150" i="3" s="1"/>
  <c r="E150" i="3"/>
  <c r="F150" i="3"/>
  <c r="H150" i="3" s="1"/>
  <c r="F149" i="3"/>
  <c r="D149" i="3"/>
  <c r="E149" i="3"/>
  <c r="G149" i="3" s="1"/>
  <c r="N149" i="3" s="1"/>
  <c r="R149" i="3" s="1"/>
  <c r="D148" i="3"/>
  <c r="F148" i="3"/>
  <c r="E148" i="3"/>
  <c r="G148" i="3" s="1"/>
  <c r="N148" i="3" s="1"/>
  <c r="R148" i="3" s="1"/>
  <c r="E147" i="3"/>
  <c r="F147" i="3"/>
  <c r="H147" i="3" s="1"/>
  <c r="D147" i="3"/>
  <c r="E146" i="3"/>
  <c r="F146" i="3"/>
  <c r="H146" i="3" s="1"/>
  <c r="D146" i="3"/>
  <c r="D145" i="3"/>
  <c r="E145" i="3"/>
  <c r="F145" i="3"/>
  <c r="H145" i="3" s="1"/>
  <c r="D144" i="3"/>
  <c r="L144" i="3" s="1"/>
  <c r="F144" i="3"/>
  <c r="E144" i="3"/>
  <c r="G144" i="3" s="1"/>
  <c r="D143" i="3"/>
  <c r="E143" i="3"/>
  <c r="F143" i="3"/>
  <c r="H143" i="3" s="1"/>
  <c r="D142" i="3"/>
  <c r="E142" i="3"/>
  <c r="F142" i="3"/>
  <c r="H142" i="3" s="1"/>
  <c r="E141" i="3"/>
  <c r="D141" i="3"/>
  <c r="L141" i="3" s="1"/>
  <c r="F141" i="3"/>
  <c r="H141" i="3" s="1"/>
  <c r="E140" i="3"/>
  <c r="F140" i="3"/>
  <c r="H140" i="3" s="1"/>
  <c r="D140" i="3"/>
  <c r="E139" i="3"/>
  <c r="F139" i="3"/>
  <c r="H139" i="3" s="1"/>
  <c r="D139" i="3"/>
  <c r="L139" i="3" s="1"/>
  <c r="D138" i="3"/>
  <c r="E138" i="3"/>
  <c r="F138" i="3"/>
  <c r="H138" i="3" s="1"/>
  <c r="D137" i="3"/>
  <c r="E137" i="3"/>
  <c r="F137" i="3"/>
  <c r="H137" i="3" s="1"/>
  <c r="F136" i="3"/>
  <c r="D136" i="3"/>
  <c r="E136" i="3"/>
  <c r="G136" i="3" s="1"/>
  <c r="N136" i="3" s="1"/>
  <c r="R136" i="3" s="1"/>
  <c r="E135" i="3"/>
  <c r="F135" i="3"/>
  <c r="H135" i="3" s="1"/>
  <c r="D135" i="3"/>
  <c r="L135" i="3" s="1"/>
  <c r="F134" i="3"/>
  <c r="E134" i="3"/>
  <c r="G134" i="3" s="1"/>
  <c r="N134" i="3" s="1"/>
  <c r="R134" i="3" s="1"/>
  <c r="D134" i="3"/>
  <c r="D133" i="3"/>
  <c r="L133" i="3" s="1"/>
  <c r="F133" i="3"/>
  <c r="E133" i="3"/>
  <c r="G133" i="3" s="1"/>
  <c r="E132" i="3"/>
  <c r="F132" i="3"/>
  <c r="H132" i="3" s="1"/>
  <c r="D132" i="3"/>
  <c r="E131" i="3"/>
  <c r="D131" i="3"/>
  <c r="F131" i="3"/>
  <c r="H131" i="3" s="1"/>
  <c r="E130" i="3"/>
  <c r="F130" i="3"/>
  <c r="H130" i="3" s="1"/>
  <c r="D130" i="3"/>
  <c r="F129" i="3"/>
  <c r="E129" i="3"/>
  <c r="G129" i="3" s="1"/>
  <c r="N129" i="3" s="1"/>
  <c r="R129" i="3" s="1"/>
  <c r="D129" i="3"/>
  <c r="E128" i="3"/>
  <c r="F128" i="3"/>
  <c r="H128" i="3" s="1"/>
  <c r="D128" i="3"/>
  <c r="D127" i="3"/>
  <c r="E127" i="3"/>
  <c r="F127" i="3"/>
  <c r="H127" i="3" s="1"/>
  <c r="D126" i="3"/>
  <c r="E126" i="3"/>
  <c r="F126" i="3"/>
  <c r="H126" i="3" s="1"/>
  <c r="D125" i="3"/>
  <c r="F125" i="3"/>
  <c r="E125" i="3"/>
  <c r="G125" i="3" s="1"/>
  <c r="N125" i="3" s="1"/>
  <c r="R125" i="3" s="1"/>
  <c r="D124" i="3"/>
  <c r="L124" i="3" s="1"/>
  <c r="E124" i="3"/>
  <c r="F124" i="3"/>
  <c r="H124" i="3" s="1"/>
  <c r="D123" i="3"/>
  <c r="E123" i="3"/>
  <c r="F123" i="3"/>
  <c r="H123" i="3" s="1"/>
  <c r="F122" i="3"/>
  <c r="E122" i="3"/>
  <c r="G122" i="3" s="1"/>
  <c r="D122" i="3"/>
  <c r="L122" i="3" s="1"/>
  <c r="E121" i="3"/>
  <c r="F121" i="3"/>
  <c r="H121" i="3" s="1"/>
  <c r="D121" i="3"/>
  <c r="L121" i="3" s="1"/>
  <c r="F120" i="3"/>
  <c r="E120" i="3"/>
  <c r="G120" i="3" s="1"/>
  <c r="D120" i="3"/>
  <c r="L120" i="3" s="1"/>
  <c r="F119" i="3"/>
  <c r="E119" i="3"/>
  <c r="G119" i="3" s="1"/>
  <c r="D119" i="3"/>
  <c r="L119" i="3" s="1"/>
  <c r="D118" i="3"/>
  <c r="F118" i="3"/>
  <c r="E118" i="3"/>
  <c r="G118" i="3" s="1"/>
  <c r="N118" i="3" s="1"/>
  <c r="R118" i="3" s="1"/>
  <c r="F117" i="3"/>
  <c r="E117" i="3"/>
  <c r="G117" i="3" s="1"/>
  <c r="D117" i="3"/>
  <c r="L117" i="3" s="1"/>
  <c r="F116" i="3"/>
  <c r="E116" i="3"/>
  <c r="G116" i="3" s="1"/>
  <c r="D116" i="3"/>
  <c r="L116" i="3" s="1"/>
  <c r="D115" i="3"/>
  <c r="L115" i="3" s="1"/>
  <c r="F115" i="3"/>
  <c r="E115" i="3"/>
  <c r="G115" i="3" s="1"/>
  <c r="F114" i="3"/>
  <c r="E114" i="3"/>
  <c r="G114" i="3" s="1"/>
  <c r="N114" i="3" s="1"/>
  <c r="R114" i="3" s="1"/>
  <c r="D114" i="3"/>
  <c r="F113" i="3"/>
  <c r="E113" i="3"/>
  <c r="G113" i="3" s="1"/>
  <c r="D113" i="3"/>
  <c r="L113" i="3" s="1"/>
  <c r="F112" i="3"/>
  <c r="E112" i="3"/>
  <c r="G112" i="3" s="1"/>
  <c r="D112" i="3"/>
  <c r="L112" i="3" s="1"/>
  <c r="E111" i="3"/>
  <c r="D111" i="3"/>
  <c r="L111" i="3" s="1"/>
  <c r="F111" i="3"/>
  <c r="H111" i="3" s="1"/>
  <c r="F110" i="3"/>
  <c r="E110" i="3"/>
  <c r="G110" i="3" s="1"/>
  <c r="D110" i="3"/>
  <c r="L110" i="3" s="1"/>
  <c r="D109" i="3"/>
  <c r="F109" i="3"/>
  <c r="E109" i="3"/>
  <c r="G109" i="3" s="1"/>
  <c r="N109" i="3" s="1"/>
  <c r="R109" i="3" s="1"/>
  <c r="F108" i="3"/>
  <c r="E108" i="3"/>
  <c r="G108" i="3" s="1"/>
  <c r="N108" i="3" s="1"/>
  <c r="R108" i="3" s="1"/>
  <c r="D108" i="3"/>
  <c r="F107" i="3"/>
  <c r="E107" i="3"/>
  <c r="G107" i="3" s="1"/>
  <c r="N107" i="3" s="1"/>
  <c r="R107" i="3" s="1"/>
  <c r="D107" i="3"/>
  <c r="E106" i="3"/>
  <c r="D106" i="3"/>
  <c r="F106" i="3"/>
  <c r="H106" i="3" s="1"/>
  <c r="F105" i="3"/>
  <c r="D105" i="3"/>
  <c r="L105" i="3" s="1"/>
  <c r="E105" i="3"/>
  <c r="G105" i="3" s="1"/>
  <c r="F104" i="3"/>
  <c r="E104" i="3"/>
  <c r="G104" i="3" s="1"/>
  <c r="N104" i="3" s="1"/>
  <c r="R104" i="3" s="1"/>
  <c r="D104" i="3"/>
  <c r="D103" i="3"/>
  <c r="L103" i="3" s="1"/>
  <c r="E103" i="3"/>
  <c r="F103" i="3"/>
  <c r="H103" i="3" s="1"/>
  <c r="E102" i="3"/>
  <c r="F102" i="3"/>
  <c r="H102" i="3" s="1"/>
  <c r="D102" i="3"/>
  <c r="D101" i="3"/>
  <c r="L101" i="3" s="1"/>
  <c r="E101" i="3"/>
  <c r="F101" i="3"/>
  <c r="H101" i="3" s="1"/>
  <c r="D100" i="3"/>
  <c r="L100" i="3" s="1"/>
  <c r="E100" i="3"/>
  <c r="F100" i="3"/>
  <c r="H100" i="3" s="1"/>
  <c r="E99" i="3"/>
  <c r="F99" i="3"/>
  <c r="H99" i="3" s="1"/>
  <c r="D99" i="3"/>
  <c r="F98" i="3"/>
  <c r="E98" i="3"/>
  <c r="G98" i="3" s="1"/>
  <c r="N98" i="3" s="1"/>
  <c r="R98" i="3" s="1"/>
  <c r="D98" i="3"/>
  <c r="E97" i="3"/>
  <c r="D97" i="3"/>
  <c r="F97" i="3"/>
  <c r="H97" i="3" s="1"/>
  <c r="D96" i="3"/>
  <c r="L96" i="3" s="1"/>
  <c r="F96" i="3"/>
  <c r="E96" i="3"/>
  <c r="G96" i="3" s="1"/>
  <c r="D95" i="3"/>
  <c r="L95" i="3" s="1"/>
  <c r="E95" i="3"/>
  <c r="F95" i="3"/>
  <c r="H95" i="3" s="1"/>
  <c r="D94" i="3"/>
  <c r="E94" i="3"/>
  <c r="F94" i="3"/>
  <c r="H94" i="3" s="1"/>
  <c r="D93" i="3"/>
  <c r="E93" i="3"/>
  <c r="F93" i="3"/>
  <c r="H93" i="3" s="1"/>
  <c r="E92" i="3"/>
  <c r="F92" i="3"/>
  <c r="H92" i="3" s="1"/>
  <c r="D92" i="3"/>
  <c r="F91" i="3"/>
  <c r="E91" i="3"/>
  <c r="G91" i="3" s="1"/>
  <c r="D91" i="3"/>
  <c r="L91" i="3" s="1"/>
  <c r="E90" i="3"/>
  <c r="D90" i="3"/>
  <c r="L90" i="3" s="1"/>
  <c r="F90" i="3"/>
  <c r="H90" i="3" s="1"/>
  <c r="D89" i="3"/>
  <c r="L89" i="3" s="1"/>
  <c r="E89" i="3"/>
  <c r="G89" i="3" s="1"/>
  <c r="F88" i="3"/>
  <c r="H88" i="3" s="1"/>
  <c r="F87" i="3"/>
  <c r="E87" i="3"/>
  <c r="G87" i="3" s="1"/>
  <c r="N87" i="3" s="1"/>
  <c r="R87" i="3" s="1"/>
  <c r="D87" i="3"/>
  <c r="F86" i="3"/>
  <c r="E86" i="3"/>
  <c r="G86" i="3" s="1"/>
  <c r="D86" i="3"/>
  <c r="L86" i="3" s="1"/>
  <c r="D85" i="3"/>
  <c r="F85" i="3"/>
  <c r="E85" i="3"/>
  <c r="G85" i="3" s="1"/>
  <c r="N85" i="3" s="1"/>
  <c r="R85" i="3" s="1"/>
  <c r="F84" i="3"/>
  <c r="E84" i="3"/>
  <c r="G84" i="3" s="1"/>
  <c r="D84" i="3"/>
  <c r="L84" i="3" s="1"/>
  <c r="E83" i="3"/>
  <c r="D83" i="3"/>
  <c r="F83" i="3"/>
  <c r="H83" i="3" s="1"/>
  <c r="E82" i="3"/>
  <c r="F82" i="3"/>
  <c r="H82" i="3" s="1"/>
  <c r="D82" i="3"/>
  <c r="L82" i="3" s="1"/>
  <c r="D81" i="3"/>
  <c r="L81" i="3" s="1"/>
  <c r="F81" i="3"/>
  <c r="E81" i="3"/>
  <c r="G81" i="3" s="1"/>
  <c r="E80" i="3"/>
  <c r="F80" i="3"/>
  <c r="H80" i="3" s="1"/>
  <c r="D80" i="3"/>
  <c r="L80" i="3" s="1"/>
  <c r="F79" i="3"/>
  <c r="E79" i="3"/>
  <c r="G79" i="3" s="1"/>
  <c r="D79" i="3"/>
  <c r="L79" i="3" s="1"/>
  <c r="F78" i="3"/>
  <c r="E78" i="3"/>
  <c r="G78" i="3" s="1"/>
  <c r="D78" i="3"/>
  <c r="L78" i="3" s="1"/>
  <c r="E77" i="3"/>
  <c r="D77" i="3"/>
  <c r="L77" i="3" s="1"/>
  <c r="F77" i="3"/>
  <c r="H77" i="3" s="1"/>
  <c r="F76" i="3"/>
  <c r="E76" i="3"/>
  <c r="G76" i="3" s="1"/>
  <c r="D76" i="3"/>
  <c r="L76" i="3" s="1"/>
  <c r="E75" i="3"/>
  <c r="D75" i="3"/>
  <c r="L75" i="3" s="1"/>
  <c r="F75" i="3"/>
  <c r="H75" i="3" s="1"/>
  <c r="F74" i="3"/>
  <c r="E74" i="3"/>
  <c r="G74" i="3" s="1"/>
  <c r="D74" i="3"/>
  <c r="L74" i="3" s="1"/>
  <c r="F73" i="3"/>
  <c r="E73" i="3"/>
  <c r="G73" i="3" s="1"/>
  <c r="D73" i="3"/>
  <c r="L73" i="3" s="1"/>
  <c r="F72" i="3"/>
  <c r="E72" i="3"/>
  <c r="G72" i="3" s="1"/>
  <c r="D72" i="3"/>
  <c r="L72" i="3" s="1"/>
  <c r="F71" i="3"/>
  <c r="E71" i="3"/>
  <c r="G71" i="3" s="1"/>
  <c r="D71" i="3"/>
  <c r="L71" i="3" s="1"/>
  <c r="F70" i="3"/>
  <c r="E70" i="3"/>
  <c r="G70" i="3" s="1"/>
  <c r="D70" i="3"/>
  <c r="L70" i="3" s="1"/>
  <c r="F69" i="3"/>
  <c r="E69" i="3"/>
  <c r="G69" i="3" s="1"/>
  <c r="D69" i="3"/>
  <c r="L69" i="3" s="1"/>
  <c r="F68" i="3"/>
  <c r="E68" i="3"/>
  <c r="G68" i="3" s="1"/>
  <c r="D68" i="3"/>
  <c r="L68" i="3" s="1"/>
  <c r="F64" i="3"/>
  <c r="E64" i="3"/>
  <c r="G64" i="3" s="1"/>
  <c r="N64" i="3" s="1"/>
  <c r="R64" i="3" s="1"/>
  <c r="D64" i="3"/>
  <c r="E63" i="3"/>
  <c r="D63" i="3"/>
  <c r="L63" i="3" s="1"/>
  <c r="F63" i="3"/>
  <c r="H63" i="3" s="1"/>
  <c r="F62" i="3"/>
  <c r="E62" i="3"/>
  <c r="G62" i="3" s="1"/>
  <c r="N62" i="3" s="1"/>
  <c r="R62" i="3" s="1"/>
  <c r="D62" i="3"/>
  <c r="E61" i="3"/>
  <c r="F61" i="3"/>
  <c r="H61" i="3" s="1"/>
  <c r="D61" i="3"/>
  <c r="F60" i="3"/>
  <c r="E60" i="3"/>
  <c r="G60" i="3" s="1"/>
  <c r="N60" i="3" s="1"/>
  <c r="R60" i="3" s="1"/>
  <c r="D60" i="3"/>
  <c r="E59" i="3"/>
  <c r="D59" i="3"/>
  <c r="F59" i="3"/>
  <c r="H59" i="3" s="1"/>
  <c r="E58" i="3"/>
  <c r="F58" i="3"/>
  <c r="H58" i="3" s="1"/>
  <c r="D58" i="3"/>
  <c r="L58" i="3" s="1"/>
  <c r="F57" i="3"/>
  <c r="E57" i="3"/>
  <c r="G57" i="3" s="1"/>
  <c r="D57" i="3"/>
  <c r="L57" i="3" s="1"/>
  <c r="F56" i="3"/>
  <c r="E56" i="3"/>
  <c r="G56" i="3" s="1"/>
  <c r="D56" i="3"/>
  <c r="L56" i="3" s="1"/>
  <c r="F55" i="3"/>
  <c r="E55" i="3"/>
  <c r="G55" i="3" s="1"/>
  <c r="N55" i="3" s="1"/>
  <c r="R55" i="3" s="1"/>
  <c r="D55" i="3"/>
  <c r="F54" i="3"/>
  <c r="E54" i="3"/>
  <c r="G54" i="3" s="1"/>
  <c r="D54" i="3"/>
  <c r="L54" i="3" s="1"/>
  <c r="D53" i="3"/>
  <c r="F53" i="3"/>
  <c r="E53" i="3"/>
  <c r="G53" i="3" s="1"/>
  <c r="N53" i="3" s="1"/>
  <c r="R53" i="3" s="1"/>
  <c r="F52" i="3"/>
  <c r="E52" i="3"/>
  <c r="G52" i="3" s="1"/>
  <c r="D52" i="3"/>
  <c r="L52" i="3" s="1"/>
  <c r="E51" i="3"/>
  <c r="D51" i="3"/>
  <c r="F51" i="3"/>
  <c r="H51" i="3" s="1"/>
  <c r="E50" i="3"/>
  <c r="F50" i="3"/>
  <c r="H50" i="3" s="1"/>
  <c r="D50" i="3"/>
  <c r="L50" i="3" s="1"/>
  <c r="F49" i="3"/>
  <c r="E49" i="3"/>
  <c r="G49" i="3" s="1"/>
  <c r="D49" i="3"/>
  <c r="L49" i="3" s="1"/>
  <c r="E48" i="3"/>
  <c r="F48" i="3"/>
  <c r="H48" i="3" s="1"/>
  <c r="D48" i="3"/>
  <c r="L48" i="3" s="1"/>
  <c r="F47" i="3"/>
  <c r="E47" i="3"/>
  <c r="G47" i="3" s="1"/>
  <c r="N47" i="3" s="1"/>
  <c r="R47" i="3" s="1"/>
  <c r="D47" i="3"/>
  <c r="F46" i="3"/>
  <c r="E46" i="3"/>
  <c r="G46" i="3" s="1"/>
  <c r="N46" i="3" s="1"/>
  <c r="R46" i="3" s="1"/>
  <c r="D46" i="3"/>
  <c r="E45" i="3"/>
  <c r="D45" i="3"/>
  <c r="F45" i="3"/>
  <c r="H45" i="3" s="1"/>
  <c r="F44" i="3"/>
  <c r="E44" i="3"/>
  <c r="G44" i="3" s="1"/>
  <c r="N44" i="3" s="1"/>
  <c r="R44" i="3" s="1"/>
  <c r="D44" i="3"/>
  <c r="F43" i="3"/>
  <c r="E43" i="3"/>
  <c r="G43" i="3" s="1"/>
  <c r="D43" i="3"/>
  <c r="L43" i="3" s="1"/>
  <c r="F42" i="3"/>
  <c r="E42" i="3"/>
  <c r="G42" i="3" s="1"/>
  <c r="D42" i="3"/>
  <c r="L42" i="3" s="1"/>
  <c r="F41" i="3"/>
  <c r="E41" i="3"/>
  <c r="G41" i="3" s="1"/>
  <c r="N41" i="3" s="1"/>
  <c r="R41" i="3" s="1"/>
  <c r="D41" i="3"/>
  <c r="F40" i="3"/>
  <c r="E40" i="3"/>
  <c r="G40" i="3" s="1"/>
  <c r="D40" i="3"/>
  <c r="L40" i="3" s="1"/>
  <c r="F39" i="3"/>
  <c r="E39" i="3"/>
  <c r="G39" i="3" s="1"/>
  <c r="N39" i="3" s="1"/>
  <c r="R39" i="3" s="1"/>
  <c r="D39" i="3"/>
  <c r="D38" i="3"/>
  <c r="L38" i="3" s="1"/>
  <c r="F38" i="3"/>
  <c r="E38" i="3"/>
  <c r="G38" i="3" s="1"/>
  <c r="F37" i="3"/>
  <c r="E37" i="3"/>
  <c r="G37" i="3" s="1"/>
  <c r="D37" i="3"/>
  <c r="L37" i="3" s="1"/>
  <c r="E36" i="3"/>
  <c r="D36" i="3"/>
  <c r="F36" i="3"/>
  <c r="H36" i="3" s="1"/>
  <c r="F35" i="3"/>
  <c r="E35" i="3"/>
  <c r="G35" i="3" s="1"/>
  <c r="N35" i="3" s="1"/>
  <c r="R35" i="3" s="1"/>
  <c r="D35" i="3"/>
  <c r="E34" i="3"/>
  <c r="F34" i="3"/>
  <c r="H34" i="3" s="1"/>
  <c r="D34" i="3"/>
  <c r="L34" i="3" s="1"/>
  <c r="F33" i="3"/>
  <c r="E33" i="3"/>
  <c r="G33" i="3" s="1"/>
  <c r="D33" i="3"/>
  <c r="L33" i="3" s="1"/>
  <c r="D32" i="3"/>
  <c r="L32" i="3" s="1"/>
  <c r="F32" i="3"/>
  <c r="E32" i="3"/>
  <c r="G32" i="3" s="1"/>
  <c r="F31" i="3"/>
  <c r="E31" i="3"/>
  <c r="G31" i="3" s="1"/>
  <c r="N31" i="3" s="1"/>
  <c r="R31" i="3" s="1"/>
  <c r="D31" i="3"/>
  <c r="E30" i="3"/>
  <c r="D30" i="3"/>
  <c r="L30" i="3" s="1"/>
  <c r="F30" i="3"/>
  <c r="H30" i="3" s="1"/>
  <c r="F29" i="3"/>
  <c r="E29" i="3"/>
  <c r="G29" i="3" s="1"/>
  <c r="N29" i="3" s="1"/>
  <c r="R29" i="3" s="1"/>
  <c r="D29" i="3"/>
  <c r="F28" i="3"/>
  <c r="E28" i="3"/>
  <c r="G28" i="3" s="1"/>
  <c r="D28" i="3"/>
  <c r="L28" i="3" s="1"/>
  <c r="F27" i="3"/>
  <c r="E27" i="3"/>
  <c r="G27" i="3" s="1"/>
  <c r="D27" i="3"/>
  <c r="L27" i="3" s="1"/>
  <c r="F26" i="3"/>
  <c r="E26" i="3"/>
  <c r="G26" i="3" s="1"/>
  <c r="D26" i="3"/>
  <c r="L26" i="3" s="1"/>
  <c r="F25" i="3"/>
  <c r="E25" i="3"/>
  <c r="G25" i="3" s="1"/>
  <c r="D25" i="3"/>
  <c r="L25" i="3" s="1"/>
  <c r="F24" i="3"/>
  <c r="E24" i="3"/>
  <c r="G24" i="3" s="1"/>
  <c r="N24" i="3" s="1"/>
  <c r="R24" i="3" s="1"/>
  <c r="D24" i="3"/>
  <c r="F23" i="3"/>
  <c r="D23" i="3"/>
  <c r="L23" i="3" s="1"/>
  <c r="E23" i="3"/>
  <c r="G23" i="3" s="1"/>
  <c r="F22" i="3"/>
  <c r="E22" i="3"/>
  <c r="G22" i="3" s="1"/>
  <c r="D22" i="3"/>
  <c r="L22" i="3" s="1"/>
  <c r="D21" i="3"/>
  <c r="L21" i="3" s="1"/>
  <c r="F21" i="3"/>
  <c r="E21" i="3"/>
  <c r="G21" i="3" s="1"/>
  <c r="E20" i="3"/>
  <c r="F20" i="3"/>
  <c r="H20" i="3" s="1"/>
  <c r="D20" i="3"/>
  <c r="F19" i="3"/>
  <c r="E19" i="3"/>
  <c r="G19" i="3" s="1"/>
  <c r="N19" i="3" s="1"/>
  <c r="R19" i="3" s="1"/>
  <c r="D19" i="3"/>
  <c r="F18" i="3"/>
  <c r="E18" i="3"/>
  <c r="G18" i="3" s="1"/>
  <c r="N18" i="3" s="1"/>
  <c r="R18" i="3" s="1"/>
  <c r="D18" i="3"/>
  <c r="F17" i="3"/>
  <c r="E17" i="3"/>
  <c r="G17" i="3" s="1"/>
  <c r="N17" i="3" s="1"/>
  <c r="R17" i="3" s="1"/>
  <c r="D17" i="3"/>
  <c r="F16" i="3"/>
  <c r="E16" i="3"/>
  <c r="G16" i="3" s="1"/>
  <c r="D16" i="3"/>
  <c r="L16" i="3" s="1"/>
  <c r="D15" i="3"/>
  <c r="F15" i="3"/>
  <c r="E15" i="3"/>
  <c r="G15" i="3" s="1"/>
  <c r="N15" i="3" s="1"/>
  <c r="R15" i="3" s="1"/>
  <c r="F14" i="3"/>
  <c r="E14" i="3"/>
  <c r="G14" i="3" s="1"/>
  <c r="D14" i="3"/>
  <c r="L14" i="3" s="1"/>
  <c r="F13" i="3"/>
  <c r="E13" i="3"/>
  <c r="G13" i="3" s="1"/>
  <c r="D13" i="3"/>
  <c r="L13" i="3" s="1"/>
  <c r="AE30" i="1"/>
  <c r="AE52" i="1" s="1"/>
  <c r="I914" i="2" a="1"/>
  <c r="I914" i="2" s="1"/>
  <c r="AD29" i="1"/>
  <c r="I881" i="2" a="1"/>
  <c r="I881" i="2" s="1"/>
  <c r="AC30" i="1"/>
  <c r="AC52" i="1" s="1"/>
  <c r="I849" i="2" a="1"/>
  <c r="I849" i="2" s="1"/>
  <c r="AA30" i="1"/>
  <c r="AA52" i="1" s="1"/>
  <c r="I785" i="2" a="1"/>
  <c r="I785" i="2" s="1"/>
  <c r="Y30" i="1"/>
  <c r="Y52" i="1" s="1"/>
  <c r="I721" i="2" a="1"/>
  <c r="I721" i="2" s="1"/>
  <c r="X30" i="1"/>
  <c r="X52" i="1" s="1"/>
  <c r="I689" i="2" a="1"/>
  <c r="I689" i="2" s="1"/>
  <c r="I465" i="2" a="1"/>
  <c r="I465" i="2" s="1"/>
  <c r="Q30" i="1"/>
  <c r="Q52" i="1" s="1"/>
  <c r="M30" i="1"/>
  <c r="M52" i="1" s="1"/>
  <c r="I338" i="2" a="1"/>
  <c r="I338" i="2" s="1"/>
  <c r="I306" i="2" a="1"/>
  <c r="I306" i="2" s="1"/>
  <c r="L30" i="1"/>
  <c r="L52" i="1" s="1"/>
  <c r="K30" i="1"/>
  <c r="K52" i="1" s="1"/>
  <c r="I274" i="2" a="1"/>
  <c r="I274" i="2" s="1"/>
  <c r="I242" i="2" a="1"/>
  <c r="I242" i="2" s="1"/>
  <c r="J30" i="1"/>
  <c r="J52" i="1" s="1"/>
  <c r="I210" i="2" a="1"/>
  <c r="I210" i="2" s="1"/>
  <c r="I30" i="1"/>
  <c r="I52" i="1" s="1"/>
  <c r="G30" i="1"/>
  <c r="G52" i="1" s="1"/>
  <c r="I146" i="2" a="1"/>
  <c r="I146" i="2" s="1"/>
  <c r="F30" i="1"/>
  <c r="F52" i="1" s="1"/>
  <c r="I114" i="2" a="1"/>
  <c r="I114" i="2" s="1"/>
  <c r="C30" i="1"/>
  <c r="C52" i="1" s="1"/>
  <c r="I17" i="2" a="1"/>
  <c r="I17" i="2" s="1"/>
  <c r="W29" i="1"/>
  <c r="I658" i="2" s="1" a="1"/>
  <c r="I658" i="2" s="1"/>
  <c r="I657" i="2" a="1"/>
  <c r="I657" i="2" s="1"/>
  <c r="W30" i="1"/>
  <c r="W52" i="1" s="1"/>
  <c r="I625" i="2" a="1"/>
  <c r="I625" i="2" s="1"/>
  <c r="V29" i="1"/>
  <c r="U30" i="1"/>
  <c r="U52" i="1" s="1"/>
  <c r="I593" i="2" a="1"/>
  <c r="I593" i="2" s="1"/>
  <c r="I402" i="2" a="1"/>
  <c r="I402" i="2" s="1"/>
  <c r="O30" i="1"/>
  <c r="O52" i="1" s="1"/>
  <c r="I370" i="2" a="1"/>
  <c r="I370" i="2" s="1"/>
  <c r="N30" i="1"/>
  <c r="N52" i="1" s="1"/>
  <c r="Q14" i="9"/>
  <c r="Q13" i="9"/>
  <c r="B9" i="10" l="1"/>
  <c r="J844" i="4"/>
  <c r="F852" i="4"/>
  <c r="J948" i="4"/>
  <c r="F958" i="4"/>
  <c r="I961" i="4"/>
  <c r="E966" i="4"/>
  <c r="I1006" i="4"/>
  <c r="E1011" i="4"/>
  <c r="J1046" i="4"/>
  <c r="F1051" i="4"/>
  <c r="I758" i="4"/>
  <c r="E757" i="4"/>
  <c r="J823" i="4"/>
  <c r="F827" i="4"/>
  <c r="I871" i="4"/>
  <c r="E883" i="4"/>
  <c r="J914" i="4"/>
  <c r="F913" i="4"/>
  <c r="F917" i="4" s="1"/>
  <c r="J1026" i="4"/>
  <c r="F1034" i="4"/>
  <c r="I948" i="4"/>
  <c r="E958" i="4"/>
  <c r="E988" i="4"/>
  <c r="I971" i="4"/>
  <c r="I1014" i="4"/>
  <c r="E1021" i="4"/>
  <c r="J805" i="4"/>
  <c r="I823" i="4"/>
  <c r="E827" i="4"/>
  <c r="J865" i="4"/>
  <c r="F868" i="4"/>
  <c r="J871" i="4"/>
  <c r="J895" i="4"/>
  <c r="F901" i="4"/>
  <c r="E913" i="4"/>
  <c r="E917" i="4" s="1"/>
  <c r="I914" i="4"/>
  <c r="F988" i="4"/>
  <c r="J971" i="4"/>
  <c r="E1043" i="4"/>
  <c r="I1038" i="4"/>
  <c r="I1046" i="4"/>
  <c r="E1051" i="4"/>
  <c r="L727" i="3"/>
  <c r="L726" i="3" s="1"/>
  <c r="D726" i="3"/>
  <c r="G727" i="3"/>
  <c r="E726" i="3"/>
  <c r="H727" i="3"/>
  <c r="F726" i="3"/>
  <c r="I10" i="4"/>
  <c r="E9" i="4"/>
  <c r="J10" i="4"/>
  <c r="F9" i="4"/>
  <c r="I13" i="4"/>
  <c r="E12" i="4"/>
  <c r="E23" i="4" s="1"/>
  <c r="J13" i="4"/>
  <c r="F12" i="4"/>
  <c r="F23" i="4" s="1"/>
  <c r="I26" i="4"/>
  <c r="E25" i="4"/>
  <c r="J26" i="4"/>
  <c r="F25" i="4"/>
  <c r="I30" i="4"/>
  <c r="E29" i="4"/>
  <c r="J30" i="4"/>
  <c r="F29" i="4"/>
  <c r="D33" i="7"/>
  <c r="J32" i="12" s="1"/>
  <c r="AB32" i="4"/>
  <c r="D37" i="7"/>
  <c r="J36" i="12" s="1"/>
  <c r="AB36" i="4"/>
  <c r="I40" i="4"/>
  <c r="E39" i="4"/>
  <c r="E41" i="4" s="1"/>
  <c r="J40" i="4"/>
  <c r="F39" i="4"/>
  <c r="F41" i="4" s="1"/>
  <c r="I45" i="4"/>
  <c r="E44" i="4"/>
  <c r="J45" i="4"/>
  <c r="F44" i="4"/>
  <c r="I810" i="4"/>
  <c r="E820" i="4"/>
  <c r="I834" i="4"/>
  <c r="E842" i="4"/>
  <c r="I844" i="4"/>
  <c r="E852" i="4"/>
  <c r="I855" i="4"/>
  <c r="E857" i="4"/>
  <c r="E859" i="4" s="1"/>
  <c r="E892" i="4"/>
  <c r="I895" i="4"/>
  <c r="E901" i="4"/>
  <c r="F931" i="4"/>
  <c r="J921" i="4"/>
  <c r="E1003" i="4"/>
  <c r="I991" i="4"/>
  <c r="J1038" i="4"/>
  <c r="F1043" i="4"/>
  <c r="I335" i="4"/>
  <c r="E334" i="4"/>
  <c r="J335" i="4"/>
  <c r="F334" i="4"/>
  <c r="I674" i="4"/>
  <c r="E673" i="4"/>
  <c r="J674" i="4"/>
  <c r="F673" i="4"/>
  <c r="F807" i="4" s="1"/>
  <c r="I715" i="4"/>
  <c r="E714" i="4"/>
  <c r="J715" i="4"/>
  <c r="F714" i="4"/>
  <c r="J991" i="4"/>
  <c r="F1003" i="4"/>
  <c r="F1011" i="4"/>
  <c r="J1006" i="4"/>
  <c r="I1026" i="4"/>
  <c r="E1034" i="4"/>
  <c r="J758" i="4"/>
  <c r="F757" i="4"/>
  <c r="I805" i="4"/>
  <c r="E807" i="4"/>
  <c r="F820" i="4"/>
  <c r="J810" i="4"/>
  <c r="J834" i="4"/>
  <c r="F842" i="4"/>
  <c r="J855" i="4"/>
  <c r="F857" i="4"/>
  <c r="F859" i="4" s="1"/>
  <c r="E868" i="4"/>
  <c r="I865" i="4"/>
  <c r="E931" i="4"/>
  <c r="I921" i="4"/>
  <c r="F943" i="4"/>
  <c r="J961" i="4"/>
  <c r="F966" i="4"/>
  <c r="J1014" i="4"/>
  <c r="F1021" i="4"/>
  <c r="AG28" i="1"/>
  <c r="I49" i="2" a="1"/>
  <c r="I49" i="2" s="1"/>
  <c r="I50" i="2" a="1"/>
  <c r="I50" i="2" s="1"/>
  <c r="F886" i="4" s="1"/>
  <c r="I886" i="4" s="1"/>
  <c r="AG29" i="1"/>
  <c r="N717" i="3"/>
  <c r="M717" i="3"/>
  <c r="P717" i="3" s="1"/>
  <c r="Q717" i="3" s="1"/>
  <c r="N716" i="3"/>
  <c r="M716" i="3"/>
  <c r="P716" i="3" s="1"/>
  <c r="Q716" i="3" s="1"/>
  <c r="N715" i="3"/>
  <c r="M715" i="3"/>
  <c r="P715" i="3" s="1"/>
  <c r="Q715" i="3" s="1"/>
  <c r="N700" i="3"/>
  <c r="M700" i="3"/>
  <c r="P700" i="3" s="1"/>
  <c r="Q700" i="3" s="1"/>
  <c r="N698" i="3"/>
  <c r="M698" i="3"/>
  <c r="P698" i="3" s="1"/>
  <c r="Q698" i="3" s="1"/>
  <c r="N696" i="3"/>
  <c r="M696" i="3"/>
  <c r="P696" i="3" s="1"/>
  <c r="Q696" i="3" s="1"/>
  <c r="N686" i="3"/>
  <c r="M686" i="3"/>
  <c r="P686" i="3" s="1"/>
  <c r="Q686" i="3" s="1"/>
  <c r="N685" i="3"/>
  <c r="M685" i="3"/>
  <c r="P685" i="3" s="1"/>
  <c r="Q685" i="3" s="1"/>
  <c r="F682" i="3"/>
  <c r="H683" i="3"/>
  <c r="H682" i="3" s="1"/>
  <c r="E682" i="3"/>
  <c r="G683" i="3"/>
  <c r="D682" i="3"/>
  <c r="L683" i="3"/>
  <c r="L682" i="3" s="1"/>
  <c r="N676" i="3"/>
  <c r="M676" i="3"/>
  <c r="N675" i="3"/>
  <c r="M675" i="3"/>
  <c r="N674" i="3"/>
  <c r="M674" i="3"/>
  <c r="P674" i="3" s="1"/>
  <c r="Q674" i="3" s="1"/>
  <c r="N673" i="3"/>
  <c r="M673" i="3"/>
  <c r="P673" i="3" s="1"/>
  <c r="Q673" i="3" s="1"/>
  <c r="N659" i="3"/>
  <c r="M659" i="3"/>
  <c r="P659" i="3" s="1"/>
  <c r="Q659" i="3" s="1"/>
  <c r="N658" i="3"/>
  <c r="M658" i="3"/>
  <c r="N655" i="3"/>
  <c r="M655" i="3"/>
  <c r="N653" i="3"/>
  <c r="M653" i="3"/>
  <c r="N650" i="3"/>
  <c r="M650" i="3"/>
  <c r="N647" i="3"/>
  <c r="M647" i="3"/>
  <c r="N646" i="3"/>
  <c r="M646" i="3"/>
  <c r="N645" i="3"/>
  <c r="M645" i="3"/>
  <c r="N644" i="3"/>
  <c r="M644" i="3"/>
  <c r="N643" i="3"/>
  <c r="M643" i="3"/>
  <c r="N642" i="3"/>
  <c r="M642" i="3"/>
  <c r="E639" i="3"/>
  <c r="G640" i="3"/>
  <c r="F639" i="3"/>
  <c r="H640" i="3"/>
  <c r="H639" i="3" s="1"/>
  <c r="N623" i="3"/>
  <c r="M623" i="3"/>
  <c r="N622" i="3"/>
  <c r="M622" i="3"/>
  <c r="N615" i="3"/>
  <c r="M615" i="3"/>
  <c r="N614" i="3"/>
  <c r="M614" i="3"/>
  <c r="N612" i="3"/>
  <c r="M612" i="3"/>
  <c r="N607" i="3"/>
  <c r="M607" i="3"/>
  <c r="N606" i="3"/>
  <c r="M606" i="3"/>
  <c r="N604" i="3"/>
  <c r="M604" i="3"/>
  <c r="N591" i="3"/>
  <c r="M591" i="3"/>
  <c r="N587" i="3"/>
  <c r="M587" i="3"/>
  <c r="N586" i="3"/>
  <c r="M586" i="3"/>
  <c r="N570" i="3"/>
  <c r="M570" i="3"/>
  <c r="N566" i="3"/>
  <c r="M566" i="3"/>
  <c r="N557" i="3"/>
  <c r="M557" i="3"/>
  <c r="N552" i="3"/>
  <c r="M552" i="3"/>
  <c r="N542" i="3"/>
  <c r="M542" i="3"/>
  <c r="N541" i="3"/>
  <c r="M541" i="3"/>
  <c r="N536" i="3"/>
  <c r="M536" i="3"/>
  <c r="N530" i="3"/>
  <c r="M530" i="3"/>
  <c r="N529" i="3"/>
  <c r="M529" i="3"/>
  <c r="N528" i="3"/>
  <c r="M528" i="3"/>
  <c r="N527" i="3"/>
  <c r="M527" i="3"/>
  <c r="N312" i="3"/>
  <c r="M312" i="3"/>
  <c r="N310" i="3"/>
  <c r="M310" i="3"/>
  <c r="N309" i="3"/>
  <c r="M309" i="3"/>
  <c r="F7" i="3"/>
  <c r="H9" i="3"/>
  <c r="H7" i="3" s="1"/>
  <c r="E7" i="3"/>
  <c r="G9" i="3"/>
  <c r="D7" i="3"/>
  <c r="L9" i="3"/>
  <c r="L7" i="3" s="1"/>
  <c r="N524" i="3"/>
  <c r="M524" i="3"/>
  <c r="P524" i="3" s="1"/>
  <c r="Q524" i="3" s="1"/>
  <c r="N520" i="3"/>
  <c r="M520" i="3"/>
  <c r="N519" i="3"/>
  <c r="M519" i="3"/>
  <c r="N518" i="3"/>
  <c r="M518" i="3"/>
  <c r="N513" i="3"/>
  <c r="M513" i="3"/>
  <c r="N512" i="3"/>
  <c r="M512" i="3"/>
  <c r="N500" i="3"/>
  <c r="M500" i="3"/>
  <c r="N499" i="3"/>
  <c r="M499" i="3"/>
  <c r="N498" i="3"/>
  <c r="M498" i="3"/>
  <c r="N497" i="3"/>
  <c r="M497" i="3"/>
  <c r="N496" i="3"/>
  <c r="M496" i="3"/>
  <c r="N495" i="3"/>
  <c r="M495" i="3"/>
  <c r="N494" i="3"/>
  <c r="M494" i="3"/>
  <c r="N492" i="3"/>
  <c r="M492" i="3"/>
  <c r="N491" i="3"/>
  <c r="M491" i="3"/>
  <c r="N490" i="3"/>
  <c r="M490" i="3"/>
  <c r="N489" i="3"/>
  <c r="M489" i="3"/>
  <c r="N488" i="3"/>
  <c r="M488" i="3"/>
  <c r="N487" i="3"/>
  <c r="M487" i="3"/>
  <c r="N486" i="3"/>
  <c r="M486" i="3"/>
  <c r="N480" i="3"/>
  <c r="M480" i="3"/>
  <c r="N476" i="3"/>
  <c r="M476" i="3"/>
  <c r="N475" i="3"/>
  <c r="M475" i="3"/>
  <c r="N474" i="3"/>
  <c r="M474" i="3"/>
  <c r="N473" i="3"/>
  <c r="M473" i="3"/>
  <c r="N472" i="3"/>
  <c r="M472" i="3"/>
  <c r="N471" i="3"/>
  <c r="M471" i="3"/>
  <c r="N466" i="3"/>
  <c r="M466" i="3"/>
  <c r="N465" i="3"/>
  <c r="M465" i="3"/>
  <c r="N446" i="3"/>
  <c r="M446" i="3"/>
  <c r="N445" i="3"/>
  <c r="M445" i="3"/>
  <c r="N444" i="3"/>
  <c r="M444" i="3"/>
  <c r="N443" i="3"/>
  <c r="M443" i="3"/>
  <c r="N441" i="3"/>
  <c r="M441" i="3"/>
  <c r="N439" i="3"/>
  <c r="M439" i="3"/>
  <c r="N423" i="3"/>
  <c r="M423" i="3"/>
  <c r="N420" i="3"/>
  <c r="M420" i="3"/>
  <c r="N418" i="3"/>
  <c r="M418" i="3"/>
  <c r="N414" i="3"/>
  <c r="M414" i="3"/>
  <c r="N413" i="3"/>
  <c r="M413" i="3"/>
  <c r="N411" i="3"/>
  <c r="M411" i="3"/>
  <c r="N410" i="3"/>
  <c r="M410" i="3"/>
  <c r="N401" i="3"/>
  <c r="M401" i="3"/>
  <c r="P401" i="3" s="1"/>
  <c r="Q401" i="3" s="1"/>
  <c r="N400" i="3"/>
  <c r="M400" i="3"/>
  <c r="N399" i="3"/>
  <c r="M399" i="3"/>
  <c r="N397" i="3"/>
  <c r="M397" i="3"/>
  <c r="N396" i="3"/>
  <c r="M396" i="3"/>
  <c r="N395" i="3"/>
  <c r="M395" i="3"/>
  <c r="P395" i="3" s="1"/>
  <c r="Q395" i="3" s="1"/>
  <c r="N392" i="3"/>
  <c r="M392" i="3"/>
  <c r="N391" i="3"/>
  <c r="M391" i="3"/>
  <c r="N390" i="3"/>
  <c r="M390" i="3"/>
  <c r="N389" i="3"/>
  <c r="M389" i="3"/>
  <c r="N386" i="3"/>
  <c r="M386" i="3"/>
  <c r="N385" i="3"/>
  <c r="M385" i="3"/>
  <c r="N380" i="3"/>
  <c r="M380" i="3"/>
  <c r="N379" i="3"/>
  <c r="M379" i="3"/>
  <c r="N378" i="3"/>
  <c r="M378" i="3"/>
  <c r="N377" i="3"/>
  <c r="M377" i="3"/>
  <c r="N376" i="3"/>
  <c r="M376" i="3"/>
  <c r="N369" i="3"/>
  <c r="M369" i="3"/>
  <c r="N363" i="3"/>
  <c r="M363" i="3"/>
  <c r="N362" i="3"/>
  <c r="M362" i="3"/>
  <c r="N360" i="3"/>
  <c r="M360" i="3"/>
  <c r="N359" i="3"/>
  <c r="M359" i="3"/>
  <c r="N358" i="3"/>
  <c r="M358" i="3"/>
  <c r="N356" i="3"/>
  <c r="M356" i="3"/>
  <c r="N355" i="3"/>
  <c r="M355" i="3"/>
  <c r="N352" i="3"/>
  <c r="M352" i="3"/>
  <c r="N351" i="3"/>
  <c r="M351" i="3"/>
  <c r="N350" i="3"/>
  <c r="M350" i="3"/>
  <c r="N347" i="3"/>
  <c r="M347" i="3"/>
  <c r="N346" i="3"/>
  <c r="M346" i="3"/>
  <c r="P346" i="3" s="1"/>
  <c r="Q346" i="3" s="1"/>
  <c r="N345" i="3"/>
  <c r="M345" i="3"/>
  <c r="N343" i="3"/>
  <c r="M343" i="3"/>
  <c r="N342" i="3"/>
  <c r="M342" i="3"/>
  <c r="N341" i="3"/>
  <c r="M341" i="3"/>
  <c r="N340" i="3"/>
  <c r="M340" i="3"/>
  <c r="N335" i="3"/>
  <c r="M335" i="3"/>
  <c r="N331" i="3"/>
  <c r="M331" i="3"/>
  <c r="N329" i="3"/>
  <c r="M329" i="3"/>
  <c r="N325" i="3"/>
  <c r="M325" i="3"/>
  <c r="N324" i="3"/>
  <c r="M324" i="3"/>
  <c r="N323" i="3"/>
  <c r="M323" i="3"/>
  <c r="N319" i="3"/>
  <c r="M319" i="3"/>
  <c r="N317" i="3"/>
  <c r="M317" i="3"/>
  <c r="N316" i="3"/>
  <c r="M316" i="3"/>
  <c r="N314" i="3"/>
  <c r="M314" i="3"/>
  <c r="N311" i="3"/>
  <c r="M311" i="3"/>
  <c r="N303" i="3"/>
  <c r="M303" i="3"/>
  <c r="N302" i="3"/>
  <c r="M302" i="3"/>
  <c r="N301" i="3"/>
  <c r="M301" i="3"/>
  <c r="N300" i="3"/>
  <c r="M300" i="3"/>
  <c r="F297" i="3"/>
  <c r="H299" i="3"/>
  <c r="E297" i="3"/>
  <c r="G299" i="3"/>
  <c r="N293" i="3"/>
  <c r="M293" i="3"/>
  <c r="P293" i="3" s="1"/>
  <c r="Q293" i="3" s="1"/>
  <c r="N284" i="3"/>
  <c r="M284" i="3"/>
  <c r="N279" i="3"/>
  <c r="M279" i="3"/>
  <c r="N278" i="3"/>
  <c r="M278" i="3"/>
  <c r="N272" i="3"/>
  <c r="M272" i="3"/>
  <c r="P272" i="3" s="1"/>
  <c r="Q272" i="3" s="1"/>
  <c r="N269" i="3"/>
  <c r="M269" i="3"/>
  <c r="N265" i="3"/>
  <c r="M265" i="3"/>
  <c r="N261" i="3"/>
  <c r="M261" i="3"/>
  <c r="N260" i="3"/>
  <c r="M260" i="3"/>
  <c r="N257" i="3"/>
  <c r="M257" i="3"/>
  <c r="N250" i="3"/>
  <c r="M250" i="3"/>
  <c r="N248" i="3"/>
  <c r="M248" i="3"/>
  <c r="P248" i="3" s="1"/>
  <c r="Q248" i="3" s="1"/>
  <c r="N246" i="3"/>
  <c r="M246" i="3"/>
  <c r="P246" i="3" s="1"/>
  <c r="Q246" i="3" s="1"/>
  <c r="N229" i="3"/>
  <c r="M229" i="3"/>
  <c r="N228" i="3"/>
  <c r="M228" i="3"/>
  <c r="N225" i="3"/>
  <c r="M225" i="3"/>
  <c r="N224" i="3"/>
  <c r="M224" i="3"/>
  <c r="N220" i="3"/>
  <c r="M220" i="3"/>
  <c r="N218" i="3"/>
  <c r="M218" i="3"/>
  <c r="N209" i="3"/>
  <c r="M209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196" i="3"/>
  <c r="M196" i="3"/>
  <c r="N189" i="3"/>
  <c r="M189" i="3"/>
  <c r="N186" i="3"/>
  <c r="M186" i="3"/>
  <c r="N184" i="3"/>
  <c r="M184" i="3"/>
  <c r="N183" i="3"/>
  <c r="M183" i="3"/>
  <c r="N182" i="3"/>
  <c r="M182" i="3"/>
  <c r="N177" i="3"/>
  <c r="M177" i="3"/>
  <c r="P177" i="3" s="1"/>
  <c r="Q177" i="3" s="1"/>
  <c r="N176" i="3"/>
  <c r="M176" i="3"/>
  <c r="N175" i="3"/>
  <c r="M175" i="3"/>
  <c r="N169" i="3"/>
  <c r="M169" i="3"/>
  <c r="N166" i="3"/>
  <c r="M166" i="3"/>
  <c r="N162" i="3"/>
  <c r="M162" i="3"/>
  <c r="N144" i="3"/>
  <c r="M144" i="3"/>
  <c r="N133" i="3"/>
  <c r="M133" i="3"/>
  <c r="N122" i="3"/>
  <c r="M122" i="3"/>
  <c r="N120" i="3"/>
  <c r="M120" i="3"/>
  <c r="N119" i="3"/>
  <c r="M119" i="3"/>
  <c r="N117" i="3"/>
  <c r="M117" i="3"/>
  <c r="N116" i="3"/>
  <c r="M116" i="3"/>
  <c r="N115" i="3"/>
  <c r="M115" i="3"/>
  <c r="N113" i="3"/>
  <c r="M113" i="3"/>
  <c r="N112" i="3"/>
  <c r="M112" i="3"/>
  <c r="N110" i="3"/>
  <c r="M110" i="3"/>
  <c r="N105" i="3"/>
  <c r="M105" i="3"/>
  <c r="N96" i="3"/>
  <c r="M96" i="3"/>
  <c r="N91" i="3"/>
  <c r="M91" i="3"/>
  <c r="N89" i="3"/>
  <c r="M89" i="3"/>
  <c r="N86" i="3"/>
  <c r="M86" i="3"/>
  <c r="N84" i="3"/>
  <c r="M84" i="3"/>
  <c r="N81" i="3"/>
  <c r="M81" i="3"/>
  <c r="N79" i="3"/>
  <c r="M79" i="3"/>
  <c r="N78" i="3"/>
  <c r="M78" i="3"/>
  <c r="N76" i="3"/>
  <c r="M76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57" i="3"/>
  <c r="M57" i="3"/>
  <c r="N56" i="3"/>
  <c r="M56" i="3"/>
  <c r="N54" i="3"/>
  <c r="M54" i="3"/>
  <c r="N52" i="3"/>
  <c r="M52" i="3"/>
  <c r="N49" i="3"/>
  <c r="M49" i="3"/>
  <c r="N43" i="3"/>
  <c r="M43" i="3"/>
  <c r="N42" i="3"/>
  <c r="M42" i="3"/>
  <c r="N40" i="3"/>
  <c r="M40" i="3"/>
  <c r="N38" i="3"/>
  <c r="M38" i="3"/>
  <c r="N37" i="3"/>
  <c r="M37" i="3"/>
  <c r="N33" i="3"/>
  <c r="M33" i="3"/>
  <c r="N32" i="3"/>
  <c r="M32" i="3"/>
  <c r="N28" i="3"/>
  <c r="M28" i="3"/>
  <c r="N27" i="3"/>
  <c r="M27" i="3"/>
  <c r="N26" i="3"/>
  <c r="M26" i="3"/>
  <c r="N25" i="3"/>
  <c r="M25" i="3"/>
  <c r="N23" i="3"/>
  <c r="M23" i="3"/>
  <c r="N22" i="3"/>
  <c r="M22" i="3"/>
  <c r="N21" i="3"/>
  <c r="M21" i="3"/>
  <c r="N16" i="3"/>
  <c r="M16" i="3"/>
  <c r="N14" i="3"/>
  <c r="M14" i="3"/>
  <c r="N13" i="3"/>
  <c r="M13" i="3"/>
  <c r="J17" i="2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738" i="4"/>
  <c r="I741" i="4"/>
  <c r="J750" i="4"/>
  <c r="I752" i="4"/>
  <c r="J766" i="4"/>
  <c r="J768" i="4"/>
  <c r="I770" i="4"/>
  <c r="I772" i="4"/>
  <c r="J774" i="4"/>
  <c r="I776" i="4"/>
  <c r="I784" i="4"/>
  <c r="I789" i="4"/>
  <c r="J790" i="4"/>
  <c r="I795" i="4"/>
  <c r="J796" i="4"/>
  <c r="J801" i="4"/>
  <c r="J802" i="4"/>
  <c r="I803" i="4"/>
  <c r="J976" i="4"/>
  <c r="I980" i="4"/>
  <c r="I987" i="4"/>
  <c r="J1007" i="4"/>
  <c r="I1015" i="4"/>
  <c r="J1018" i="4"/>
  <c r="J1020" i="4"/>
  <c r="J1029" i="4"/>
  <c r="J1031" i="4"/>
  <c r="I1033" i="4"/>
  <c r="J1039" i="4"/>
  <c r="I1042" i="4"/>
  <c r="I1048" i="4"/>
  <c r="J737" i="4"/>
  <c r="I739" i="4"/>
  <c r="J744" i="4"/>
  <c r="I746" i="4"/>
  <c r="I749" i="4"/>
  <c r="J755" i="4"/>
  <c r="I759" i="4"/>
  <c r="J762" i="4"/>
  <c r="J765" i="4"/>
  <c r="J773" i="4"/>
  <c r="J775" i="4"/>
  <c r="J778" i="4"/>
  <c r="J780" i="4"/>
  <c r="I787" i="4"/>
  <c r="J788" i="4"/>
  <c r="J792" i="4"/>
  <c r="J793" i="4"/>
  <c r="I794" i="4"/>
  <c r="I826" i="4"/>
  <c r="I851" i="4"/>
  <c r="I856" i="4"/>
  <c r="J872" i="4"/>
  <c r="I874" i="4"/>
  <c r="J877" i="4"/>
  <c r="J880" i="4"/>
  <c r="J887" i="4"/>
  <c r="J888" i="4"/>
  <c r="I890" i="4"/>
  <c r="J897" i="4"/>
  <c r="I900" i="4"/>
  <c r="I907" i="4"/>
  <c r="J909" i="4"/>
  <c r="J911" i="4"/>
  <c r="J916" i="4"/>
  <c r="J927" i="4"/>
  <c r="J928" i="4"/>
  <c r="I950" i="4"/>
  <c r="I992" i="4"/>
  <c r="I994" i="4"/>
  <c r="I1028" i="4"/>
  <c r="I1030" i="4"/>
  <c r="I742" i="4"/>
  <c r="J753" i="4"/>
  <c r="J761" i="4"/>
  <c r="J764" i="4"/>
  <c r="I767" i="4"/>
  <c r="I769" i="4"/>
  <c r="J779" i="4"/>
  <c r="J782" i="4"/>
  <c r="J785" i="4"/>
  <c r="I797" i="4"/>
  <c r="I812" i="4"/>
  <c r="I813" i="4"/>
  <c r="I816" i="4"/>
  <c r="J818" i="4"/>
  <c r="I824" i="4"/>
  <c r="I839" i="4"/>
  <c r="I848" i="4"/>
  <c r="I891" i="4"/>
  <c r="J965" i="4"/>
  <c r="J977" i="4"/>
  <c r="I996" i="4"/>
  <c r="G67" i="3"/>
  <c r="N67" i="3" s="1"/>
  <c r="R67" i="3" s="1"/>
  <c r="D757" i="4"/>
  <c r="J781" i="4"/>
  <c r="J835" i="4"/>
  <c r="G504" i="3"/>
  <c r="N504" i="3" s="1"/>
  <c r="R504" i="3" s="1"/>
  <c r="G546" i="3"/>
  <c r="N546" i="3" s="1"/>
  <c r="R546" i="3" s="1"/>
  <c r="H547" i="3"/>
  <c r="G634" i="3"/>
  <c r="N634" i="3" s="1"/>
  <c r="R634" i="3" s="1"/>
  <c r="G734" i="3"/>
  <c r="N734" i="3" s="1"/>
  <c r="G736" i="3"/>
  <c r="N736" i="3" s="1"/>
  <c r="H738" i="3"/>
  <c r="H747" i="3"/>
  <c r="G767" i="3"/>
  <c r="N767" i="3" s="1"/>
  <c r="R767" i="3" s="1"/>
  <c r="J27" i="4"/>
  <c r="I53" i="4"/>
  <c r="J56" i="4"/>
  <c r="I62" i="4"/>
  <c r="I70" i="4"/>
  <c r="I78" i="4"/>
  <c r="I86" i="4"/>
  <c r="I94" i="4"/>
  <c r="I875" i="4"/>
  <c r="I878" i="4"/>
  <c r="J881" i="4"/>
  <c r="I889" i="4"/>
  <c r="J896" i="4"/>
  <c r="J899" i="4"/>
  <c r="I906" i="4"/>
  <c r="J910" i="4"/>
  <c r="I912" i="4"/>
  <c r="I923" i="4"/>
  <c r="I925" i="4"/>
  <c r="J940" i="4"/>
  <c r="I949" i="4"/>
  <c r="J954" i="4"/>
  <c r="I956" i="4"/>
  <c r="I964" i="4"/>
  <c r="J974" i="4"/>
  <c r="J985" i="4"/>
  <c r="I993" i="4"/>
  <c r="I1008" i="4"/>
  <c r="J1017" i="4"/>
  <c r="J1019" i="4"/>
  <c r="I1032" i="4"/>
  <c r="J1040" i="4"/>
  <c r="G152" i="3"/>
  <c r="N152" i="3" s="1"/>
  <c r="R152" i="3" s="1"/>
  <c r="G153" i="3"/>
  <c r="N153" i="3" s="1"/>
  <c r="R153" i="3" s="1"/>
  <c r="G154" i="3"/>
  <c r="N154" i="3" s="1"/>
  <c r="R154" i="3" s="1"/>
  <c r="G155" i="3"/>
  <c r="N155" i="3" s="1"/>
  <c r="R155" i="3" s="1"/>
  <c r="G156" i="3"/>
  <c r="N156" i="3" s="1"/>
  <c r="R156" i="3" s="1"/>
  <c r="G157" i="3"/>
  <c r="N157" i="3" s="1"/>
  <c r="R157" i="3" s="1"/>
  <c r="G158" i="3"/>
  <c r="N158" i="3" s="1"/>
  <c r="R158" i="3" s="1"/>
  <c r="G159" i="3"/>
  <c r="N159" i="3" s="1"/>
  <c r="R159" i="3" s="1"/>
  <c r="G160" i="3"/>
  <c r="N160" i="3" s="1"/>
  <c r="R160" i="3" s="1"/>
  <c r="G161" i="3"/>
  <c r="N161" i="3" s="1"/>
  <c r="R161" i="3" s="1"/>
  <c r="G295" i="3"/>
  <c r="N295" i="3" s="1"/>
  <c r="R295" i="3" s="1"/>
  <c r="G405" i="3"/>
  <c r="N405" i="3" s="1"/>
  <c r="R405" i="3" s="1"/>
  <c r="G406" i="3"/>
  <c r="N406" i="3" s="1"/>
  <c r="R406" i="3" s="1"/>
  <c r="G424" i="3"/>
  <c r="N424" i="3" s="1"/>
  <c r="R424" i="3" s="1"/>
  <c r="G425" i="3"/>
  <c r="N425" i="3" s="1"/>
  <c r="R425" i="3" s="1"/>
  <c r="G426" i="3"/>
  <c r="N426" i="3" s="1"/>
  <c r="R426" i="3" s="1"/>
  <c r="G427" i="3"/>
  <c r="N427" i="3" s="1"/>
  <c r="R427" i="3" s="1"/>
  <c r="G448" i="3"/>
  <c r="N448" i="3" s="1"/>
  <c r="R448" i="3" s="1"/>
  <c r="G449" i="3"/>
  <c r="N449" i="3" s="1"/>
  <c r="R449" i="3" s="1"/>
  <c r="G450" i="3"/>
  <c r="N450" i="3" s="1"/>
  <c r="R450" i="3" s="1"/>
  <c r="G451" i="3"/>
  <c r="N451" i="3" s="1"/>
  <c r="R451" i="3" s="1"/>
  <c r="G467" i="3"/>
  <c r="N467" i="3" s="1"/>
  <c r="R467" i="3" s="1"/>
  <c r="G468" i="3"/>
  <c r="N468" i="3" s="1"/>
  <c r="R468" i="3" s="1"/>
  <c r="G469" i="3"/>
  <c r="N469" i="3" s="1"/>
  <c r="R469" i="3" s="1"/>
  <c r="G470" i="3"/>
  <c r="N470" i="3" s="1"/>
  <c r="R470" i="3" s="1"/>
  <c r="G534" i="3"/>
  <c r="N534" i="3" s="1"/>
  <c r="R534" i="3" s="1"/>
  <c r="H535" i="3"/>
  <c r="H584" i="3"/>
  <c r="G731" i="3"/>
  <c r="N731" i="3" s="1"/>
  <c r="G732" i="3"/>
  <c r="N732" i="3" s="1"/>
  <c r="G733" i="3"/>
  <c r="N733" i="3" s="1"/>
  <c r="G741" i="3"/>
  <c r="N741" i="3" s="1"/>
  <c r="G752" i="3"/>
  <c r="N752" i="3" s="1"/>
  <c r="H766" i="3"/>
  <c r="I11" i="4"/>
  <c r="I47" i="4"/>
  <c r="I48" i="4"/>
  <c r="I49" i="4"/>
  <c r="I54" i="4"/>
  <c r="I57" i="4"/>
  <c r="I65" i="4"/>
  <c r="I73" i="4"/>
  <c r="I81" i="4"/>
  <c r="I89" i="4"/>
  <c r="I96" i="4"/>
  <c r="J10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745" i="4"/>
  <c r="I748" i="4"/>
  <c r="J811" i="4"/>
  <c r="J815" i="4"/>
  <c r="I837" i="4"/>
  <c r="I873" i="4"/>
  <c r="J908" i="4"/>
  <c r="I953" i="4"/>
  <c r="J975" i="4"/>
  <c r="I1001" i="4"/>
  <c r="H723" i="3"/>
  <c r="H722" i="3"/>
  <c r="G721" i="3"/>
  <c r="N721" i="3" s="1"/>
  <c r="R721" i="3" s="1"/>
  <c r="H719" i="3"/>
  <c r="G713" i="3"/>
  <c r="G712" i="3"/>
  <c r="H704" i="3"/>
  <c r="H700" i="3"/>
  <c r="G693" i="3"/>
  <c r="H673" i="3"/>
  <c r="H585" i="3"/>
  <c r="G753" i="3"/>
  <c r="N753" i="3" s="1"/>
  <c r="H758" i="3"/>
  <c r="G760" i="3"/>
  <c r="N760" i="3" s="1"/>
  <c r="R760" i="3" s="1"/>
  <c r="Y50" i="4"/>
  <c r="I59" i="4"/>
  <c r="I63" i="4"/>
  <c r="I71" i="4"/>
  <c r="I79" i="4"/>
  <c r="I87" i="4"/>
  <c r="I107" i="4"/>
  <c r="I955" i="4"/>
  <c r="I957" i="4"/>
  <c r="J962" i="4"/>
  <c r="I972" i="4"/>
  <c r="I978" i="4"/>
  <c r="J982" i="4"/>
  <c r="J995" i="4"/>
  <c r="I997" i="4"/>
  <c r="I999" i="4"/>
  <c r="J1002" i="4"/>
  <c r="J1009" i="4"/>
  <c r="J1016" i="4"/>
  <c r="I1027" i="4"/>
  <c r="I1041" i="4"/>
  <c r="J1049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D334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590" i="4"/>
  <c r="I592" i="4"/>
  <c r="I594" i="4"/>
  <c r="I596" i="4"/>
  <c r="I598" i="4"/>
  <c r="I600" i="4"/>
  <c r="I603" i="4"/>
  <c r="J604" i="4"/>
  <c r="J608" i="4"/>
  <c r="I611" i="4"/>
  <c r="I612" i="4"/>
  <c r="I613" i="4"/>
  <c r="I614" i="4"/>
  <c r="I615" i="4"/>
  <c r="I616" i="4"/>
  <c r="I617" i="4"/>
  <c r="I619" i="4"/>
  <c r="I620" i="4"/>
  <c r="I623" i="4"/>
  <c r="I625" i="4"/>
  <c r="I627" i="4"/>
  <c r="I628" i="4"/>
  <c r="I629" i="4"/>
  <c r="I630" i="4"/>
  <c r="I631" i="4"/>
  <c r="I632" i="4"/>
  <c r="I633" i="4"/>
  <c r="I981" i="4"/>
  <c r="I1010" i="4"/>
  <c r="H717" i="3"/>
  <c r="H716" i="3"/>
  <c r="H715" i="3"/>
  <c r="G711" i="3"/>
  <c r="N711" i="3" s="1"/>
  <c r="R711" i="3" s="1"/>
  <c r="H710" i="3"/>
  <c r="G709" i="3"/>
  <c r="N709" i="3" s="1"/>
  <c r="R709" i="3" s="1"/>
  <c r="H705" i="3"/>
  <c r="H702" i="3"/>
  <c r="H698" i="3"/>
  <c r="H697" i="3"/>
  <c r="H696" i="3"/>
  <c r="G695" i="3"/>
  <c r="G692" i="3"/>
  <c r="H688" i="3"/>
  <c r="H685" i="3"/>
  <c r="G684" i="3"/>
  <c r="H674" i="3"/>
  <c r="G633" i="3"/>
  <c r="N633" i="3" s="1"/>
  <c r="R633" i="3" s="1"/>
  <c r="G728" i="3"/>
  <c r="N728" i="3" s="1"/>
  <c r="G729" i="3"/>
  <c r="N729" i="3" s="1"/>
  <c r="G730" i="3"/>
  <c r="N730" i="3" s="1"/>
  <c r="G735" i="3"/>
  <c r="N735" i="3" s="1"/>
  <c r="G745" i="3"/>
  <c r="N745" i="3" s="1"/>
  <c r="G750" i="3"/>
  <c r="N750" i="3" s="1"/>
  <c r="R750" i="3" s="1"/>
  <c r="G769" i="3"/>
  <c r="N769" i="3" s="1"/>
  <c r="R769" i="3" s="1"/>
  <c r="I61" i="4"/>
  <c r="I69" i="4"/>
  <c r="I77" i="4"/>
  <c r="I85" i="4"/>
  <c r="J90" i="4"/>
  <c r="I95" i="4"/>
  <c r="I103" i="4"/>
  <c r="I106" i="4"/>
  <c r="I108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1" i="4"/>
  <c r="I593" i="4"/>
  <c r="I595" i="4"/>
  <c r="I597" i="4"/>
  <c r="I599" i="4"/>
  <c r="I601" i="4"/>
  <c r="I602" i="4"/>
  <c r="I605" i="4"/>
  <c r="I607" i="4"/>
  <c r="I609" i="4"/>
  <c r="I618" i="4"/>
  <c r="I621" i="4"/>
  <c r="I622" i="4"/>
  <c r="I624" i="4"/>
  <c r="I626" i="4"/>
  <c r="I979" i="4"/>
  <c r="G714" i="3"/>
  <c r="H701" i="3"/>
  <c r="G694" i="3"/>
  <c r="H690" i="3"/>
  <c r="G689" i="3"/>
  <c r="N689" i="3" s="1"/>
  <c r="R689" i="3" s="1"/>
  <c r="H686" i="3"/>
  <c r="H676" i="3"/>
  <c r="H675" i="3"/>
  <c r="G672" i="3"/>
  <c r="G671" i="3"/>
  <c r="H578" i="3"/>
  <c r="G637" i="3"/>
  <c r="N637" i="3" s="1"/>
  <c r="R637" i="3" s="1"/>
  <c r="H743" i="3"/>
  <c r="G751" i="3"/>
  <c r="N751" i="3" s="1"/>
  <c r="R751" i="3" s="1"/>
  <c r="G768" i="3"/>
  <c r="N768" i="3" s="1"/>
  <c r="R768" i="3" s="1"/>
  <c r="I17" i="4"/>
  <c r="I21" i="4"/>
  <c r="I28" i="4"/>
  <c r="I33" i="4"/>
  <c r="I37" i="4"/>
  <c r="I60" i="4"/>
  <c r="I68" i="4"/>
  <c r="I76" i="4"/>
  <c r="I84" i="4"/>
  <c r="I92" i="4"/>
  <c r="I97" i="4"/>
  <c r="J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D673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D714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J747" i="4"/>
  <c r="J751" i="4"/>
  <c r="J760" i="4"/>
  <c r="J763" i="4"/>
  <c r="J771" i="4"/>
  <c r="I777" i="4"/>
  <c r="I783" i="4"/>
  <c r="J786" i="4"/>
  <c r="I798" i="4"/>
  <c r="I799" i="4"/>
  <c r="I814" i="4"/>
  <c r="J817" i="4"/>
  <c r="J825" i="4"/>
  <c r="J836" i="4"/>
  <c r="J840" i="4"/>
  <c r="I846" i="4"/>
  <c r="J849" i="4"/>
  <c r="I866" i="4"/>
  <c r="I879" i="4"/>
  <c r="J882" i="4"/>
  <c r="I898" i="4"/>
  <c r="I915" i="4"/>
  <c r="J922" i="4"/>
  <c r="I926" i="4"/>
  <c r="J929" i="4"/>
  <c r="I938" i="4"/>
  <c r="I941" i="4"/>
  <c r="J942" i="4"/>
  <c r="J951" i="4"/>
  <c r="I952" i="4"/>
  <c r="J973" i="4"/>
  <c r="I984" i="4"/>
  <c r="J986" i="4"/>
  <c r="J998" i="4"/>
  <c r="I1000" i="4"/>
  <c r="I1047" i="4"/>
  <c r="J1050" i="4"/>
  <c r="J740" i="4"/>
  <c r="I743" i="4"/>
  <c r="J754" i="4"/>
  <c r="I791" i="4"/>
  <c r="I800" i="4"/>
  <c r="I819" i="4"/>
  <c r="J838" i="4"/>
  <c r="I841" i="4"/>
  <c r="I845" i="4"/>
  <c r="J850" i="4"/>
  <c r="J924" i="4"/>
  <c r="J930" i="4"/>
  <c r="I963" i="4"/>
  <c r="I983" i="4"/>
  <c r="G720" i="3"/>
  <c r="N720" i="3" s="1"/>
  <c r="R720" i="3" s="1"/>
  <c r="H718" i="3"/>
  <c r="H708" i="3"/>
  <c r="G707" i="3"/>
  <c r="N707" i="3" s="1"/>
  <c r="R707" i="3" s="1"/>
  <c r="G706" i="3"/>
  <c r="N706" i="3" s="1"/>
  <c r="R706" i="3" s="1"/>
  <c r="H703" i="3"/>
  <c r="H699" i="3"/>
  <c r="G691" i="3"/>
  <c r="H687" i="3"/>
  <c r="G670" i="3"/>
  <c r="G737" i="3"/>
  <c r="N737" i="3" s="1"/>
  <c r="H739" i="3"/>
  <c r="G744" i="3"/>
  <c r="N744" i="3" s="1"/>
  <c r="G746" i="3"/>
  <c r="N746" i="3" s="1"/>
  <c r="G754" i="3"/>
  <c r="N754" i="3" s="1"/>
  <c r="G762" i="3"/>
  <c r="N762" i="3" s="1"/>
  <c r="R762" i="3" s="1"/>
  <c r="G764" i="3"/>
  <c r="N764" i="3" s="1"/>
  <c r="R764" i="3" s="1"/>
  <c r="H771" i="3"/>
  <c r="I14" i="4"/>
  <c r="I18" i="4"/>
  <c r="I22" i="4"/>
  <c r="I34" i="4"/>
  <c r="I52" i="4"/>
  <c r="J55" i="4"/>
  <c r="J58" i="4"/>
  <c r="I66" i="4"/>
  <c r="I74" i="4"/>
  <c r="I82" i="4"/>
  <c r="I104" i="4"/>
  <c r="I110" i="4"/>
  <c r="G669" i="3"/>
  <c r="G668" i="3"/>
  <c r="G667" i="3"/>
  <c r="G666" i="3"/>
  <c r="G665" i="3"/>
  <c r="N665" i="3" s="1"/>
  <c r="R665" i="3" s="1"/>
  <c r="G664" i="3"/>
  <c r="N664" i="3" s="1"/>
  <c r="R664" i="3" s="1"/>
  <c r="G663" i="3"/>
  <c r="N663" i="3" s="1"/>
  <c r="R663" i="3" s="1"/>
  <c r="G662" i="3"/>
  <c r="G661" i="3"/>
  <c r="G660" i="3"/>
  <c r="N660" i="3" s="1"/>
  <c r="R660" i="3" s="1"/>
  <c r="H659" i="3"/>
  <c r="H658" i="3"/>
  <c r="G657" i="3"/>
  <c r="H656" i="3"/>
  <c r="H655" i="3"/>
  <c r="G654" i="3"/>
  <c r="N654" i="3" s="1"/>
  <c r="R654" i="3" s="1"/>
  <c r="H653" i="3"/>
  <c r="H652" i="3"/>
  <c r="H651" i="3"/>
  <c r="H650" i="3"/>
  <c r="H649" i="3"/>
  <c r="G648" i="3"/>
  <c r="N648" i="3" s="1"/>
  <c r="R648" i="3" s="1"/>
  <c r="H647" i="3"/>
  <c r="H646" i="3"/>
  <c r="H645" i="3"/>
  <c r="H644" i="3"/>
  <c r="H643" i="3"/>
  <c r="H642" i="3"/>
  <c r="L639" i="3"/>
  <c r="G641" i="3"/>
  <c r="D639" i="3"/>
  <c r="G636" i="3"/>
  <c r="G635" i="3"/>
  <c r="N635" i="3" s="1"/>
  <c r="R635" i="3" s="1"/>
  <c r="G632" i="3"/>
  <c r="N632" i="3" s="1"/>
  <c r="R632" i="3" s="1"/>
  <c r="G631" i="3"/>
  <c r="H630" i="3"/>
  <c r="G629" i="3"/>
  <c r="G628" i="3"/>
  <c r="N628" i="3" s="1"/>
  <c r="R628" i="3" s="1"/>
  <c r="H536" i="3"/>
  <c r="G627" i="3"/>
  <c r="G626" i="3"/>
  <c r="N626" i="3" s="1"/>
  <c r="R626" i="3" s="1"/>
  <c r="G625" i="3"/>
  <c r="N625" i="3" s="1"/>
  <c r="R625" i="3" s="1"/>
  <c r="H624" i="3"/>
  <c r="H623" i="3"/>
  <c r="H622" i="3"/>
  <c r="G621" i="3"/>
  <c r="N621" i="3" s="1"/>
  <c r="R621" i="3" s="1"/>
  <c r="G620" i="3"/>
  <c r="N620" i="3" s="1"/>
  <c r="R620" i="3" s="1"/>
  <c r="G619" i="3"/>
  <c r="N619" i="3" s="1"/>
  <c r="R619" i="3" s="1"/>
  <c r="G618" i="3"/>
  <c r="H617" i="3"/>
  <c r="G616" i="3"/>
  <c r="N616" i="3" s="1"/>
  <c r="R616" i="3" s="1"/>
  <c r="H615" i="3"/>
  <c r="H614" i="3"/>
  <c r="H613" i="3"/>
  <c r="H612" i="3"/>
  <c r="H611" i="3"/>
  <c r="H610" i="3"/>
  <c r="H609" i="3"/>
  <c r="H608" i="3"/>
  <c r="H607" i="3"/>
  <c r="H606" i="3"/>
  <c r="H605" i="3"/>
  <c r="H604" i="3"/>
  <c r="G603" i="3"/>
  <c r="G602" i="3"/>
  <c r="N602" i="3" s="1"/>
  <c r="R602" i="3" s="1"/>
  <c r="G601" i="3"/>
  <c r="N601" i="3" s="1"/>
  <c r="R601" i="3" s="1"/>
  <c r="G600" i="3"/>
  <c r="G599" i="3"/>
  <c r="N599" i="3" s="1"/>
  <c r="R599" i="3" s="1"/>
  <c r="G598" i="3"/>
  <c r="G597" i="3"/>
  <c r="N597" i="3" s="1"/>
  <c r="R597" i="3" s="1"/>
  <c r="G596" i="3"/>
  <c r="N596" i="3" s="1"/>
  <c r="R596" i="3" s="1"/>
  <c r="G595" i="3"/>
  <c r="N595" i="3" s="1"/>
  <c r="R595" i="3" s="1"/>
  <c r="H594" i="3"/>
  <c r="H593" i="3"/>
  <c r="H592" i="3"/>
  <c r="H591" i="3"/>
  <c r="H590" i="3"/>
  <c r="G589" i="3"/>
  <c r="G588" i="3"/>
  <c r="H587" i="3"/>
  <c r="H586" i="3"/>
  <c r="H583" i="3"/>
  <c r="G582" i="3"/>
  <c r="G581" i="3"/>
  <c r="G580" i="3"/>
  <c r="G579" i="3"/>
  <c r="H577" i="3"/>
  <c r="G576" i="3"/>
  <c r="N576" i="3" s="1"/>
  <c r="R576" i="3" s="1"/>
  <c r="G575" i="3"/>
  <c r="N575" i="3" s="1"/>
  <c r="R575" i="3" s="1"/>
  <c r="G574" i="3"/>
  <c r="N574" i="3" s="1"/>
  <c r="R574" i="3" s="1"/>
  <c r="G573" i="3"/>
  <c r="N573" i="3" s="1"/>
  <c r="R573" i="3" s="1"/>
  <c r="G572" i="3"/>
  <c r="N572" i="3" s="1"/>
  <c r="R572" i="3" s="1"/>
  <c r="G571" i="3"/>
  <c r="H570" i="3"/>
  <c r="G569" i="3"/>
  <c r="G568" i="3"/>
  <c r="G567" i="3"/>
  <c r="H566" i="3"/>
  <c r="G565" i="3"/>
  <c r="N565" i="3" s="1"/>
  <c r="R565" i="3" s="1"/>
  <c r="G564" i="3"/>
  <c r="G563" i="3"/>
  <c r="N563" i="3" s="1"/>
  <c r="R563" i="3" s="1"/>
  <c r="G562" i="3"/>
  <c r="N562" i="3" s="1"/>
  <c r="R562" i="3" s="1"/>
  <c r="G561" i="3"/>
  <c r="N561" i="3" s="1"/>
  <c r="R561" i="3" s="1"/>
  <c r="G560" i="3"/>
  <c r="N560" i="3" s="1"/>
  <c r="R560" i="3" s="1"/>
  <c r="G559" i="3"/>
  <c r="G558" i="3"/>
  <c r="N558" i="3" s="1"/>
  <c r="R558" i="3" s="1"/>
  <c r="H557" i="3"/>
  <c r="G556" i="3"/>
  <c r="G555" i="3"/>
  <c r="G554" i="3"/>
  <c r="G553" i="3"/>
  <c r="H552" i="3"/>
  <c r="H551" i="3"/>
  <c r="G550" i="3"/>
  <c r="G549" i="3"/>
  <c r="H545" i="3"/>
  <c r="G544" i="3"/>
  <c r="N544" i="3" s="1"/>
  <c r="R544" i="3" s="1"/>
  <c r="G543" i="3"/>
  <c r="H542" i="3"/>
  <c r="H541" i="3"/>
  <c r="G540" i="3"/>
  <c r="N540" i="3" s="1"/>
  <c r="R540" i="3" s="1"/>
  <c r="G539" i="3"/>
  <c r="H538" i="3"/>
  <c r="G537" i="3"/>
  <c r="N537" i="3" s="1"/>
  <c r="R537" i="3" s="1"/>
  <c r="G12" i="3"/>
  <c r="N12" i="3" s="1"/>
  <c r="R12" i="3" s="1"/>
  <c r="G532" i="3"/>
  <c r="N532" i="3" s="1"/>
  <c r="R532" i="3" s="1"/>
  <c r="G531" i="3"/>
  <c r="H530" i="3"/>
  <c r="H529" i="3"/>
  <c r="H528" i="3"/>
  <c r="H527" i="3"/>
  <c r="G526" i="3"/>
  <c r="G88" i="3"/>
  <c r="H11" i="3"/>
  <c r="H10" i="3"/>
  <c r="G525" i="3"/>
  <c r="H524" i="3"/>
  <c r="G523" i="3"/>
  <c r="N523" i="3" s="1"/>
  <c r="R523" i="3" s="1"/>
  <c r="G522" i="3"/>
  <c r="G521" i="3"/>
  <c r="H520" i="3"/>
  <c r="H519" i="3"/>
  <c r="H518" i="3"/>
  <c r="H517" i="3"/>
  <c r="H516" i="3"/>
  <c r="H515" i="3"/>
  <c r="H514" i="3"/>
  <c r="H513" i="3"/>
  <c r="H512" i="3"/>
  <c r="G511" i="3"/>
  <c r="N511" i="3" s="1"/>
  <c r="R511" i="3" s="1"/>
  <c r="H510" i="3"/>
  <c r="G509" i="3"/>
  <c r="H508" i="3"/>
  <c r="H507" i="3"/>
  <c r="G506" i="3"/>
  <c r="N506" i="3" s="1"/>
  <c r="R506" i="3" s="1"/>
  <c r="H505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G485" i="3"/>
  <c r="G484" i="3"/>
  <c r="N484" i="3" s="1"/>
  <c r="R484" i="3" s="1"/>
  <c r="G483" i="3"/>
  <c r="G482" i="3"/>
  <c r="H481" i="3"/>
  <c r="H480" i="3"/>
  <c r="G479" i="3"/>
  <c r="G478" i="3"/>
  <c r="G477" i="3"/>
  <c r="N477" i="3" s="1"/>
  <c r="R477" i="3" s="1"/>
  <c r="H476" i="3"/>
  <c r="H475" i="3"/>
  <c r="H474" i="3"/>
  <c r="H473" i="3"/>
  <c r="H472" i="3"/>
  <c r="H471" i="3"/>
  <c r="H466" i="3"/>
  <c r="H465" i="3"/>
  <c r="H464" i="3"/>
  <c r="H463" i="3"/>
  <c r="G462" i="3"/>
  <c r="N462" i="3" s="1"/>
  <c r="R462" i="3" s="1"/>
  <c r="H461" i="3"/>
  <c r="H460" i="3"/>
  <c r="H459" i="3"/>
  <c r="H458" i="3"/>
  <c r="G457" i="3"/>
  <c r="N457" i="3" s="1"/>
  <c r="R457" i="3" s="1"/>
  <c r="G456" i="3"/>
  <c r="N456" i="3" s="1"/>
  <c r="R456" i="3" s="1"/>
  <c r="H455" i="3"/>
  <c r="G454" i="3"/>
  <c r="G453" i="3"/>
  <c r="N453" i="3" s="1"/>
  <c r="R453" i="3" s="1"/>
  <c r="H452" i="3"/>
  <c r="H447" i="3"/>
  <c r="H446" i="3"/>
  <c r="H445" i="3"/>
  <c r="H444" i="3"/>
  <c r="H443" i="3"/>
  <c r="H442" i="3"/>
  <c r="H441" i="3"/>
  <c r="G440" i="3"/>
  <c r="H439" i="3"/>
  <c r="G438" i="3"/>
  <c r="G437" i="3"/>
  <c r="N437" i="3" s="1"/>
  <c r="R437" i="3" s="1"/>
  <c r="G436" i="3"/>
  <c r="H435" i="3"/>
  <c r="G434" i="3"/>
  <c r="G433" i="3"/>
  <c r="H432" i="3"/>
  <c r="G431" i="3"/>
  <c r="N431" i="3" s="1"/>
  <c r="R431" i="3" s="1"/>
  <c r="G430" i="3"/>
  <c r="G429" i="3"/>
  <c r="N429" i="3" s="1"/>
  <c r="R429" i="3" s="1"/>
  <c r="G428" i="3"/>
  <c r="H423" i="3"/>
  <c r="G422" i="3"/>
  <c r="H421" i="3"/>
  <c r="H420" i="3"/>
  <c r="G419" i="3"/>
  <c r="H418" i="3"/>
  <c r="H417" i="3"/>
  <c r="G416" i="3"/>
  <c r="G415" i="3"/>
  <c r="N415" i="3" s="1"/>
  <c r="R415" i="3" s="1"/>
  <c r="H414" i="3"/>
  <c r="H413" i="3"/>
  <c r="G412" i="3"/>
  <c r="H411" i="3"/>
  <c r="H410" i="3"/>
  <c r="H409" i="3"/>
  <c r="G408" i="3"/>
  <c r="N408" i="3" s="1"/>
  <c r="R408" i="3" s="1"/>
  <c r="H407" i="3"/>
  <c r="G404" i="3"/>
  <c r="N404" i="3" s="1"/>
  <c r="R404" i="3" s="1"/>
  <c r="G403" i="3"/>
  <c r="G402" i="3"/>
  <c r="H401" i="3"/>
  <c r="H400" i="3"/>
  <c r="H399" i="3"/>
  <c r="G398" i="3"/>
  <c r="H397" i="3"/>
  <c r="H396" i="3"/>
  <c r="H395" i="3"/>
  <c r="G394" i="3"/>
  <c r="G393" i="3"/>
  <c r="H392" i="3"/>
  <c r="H391" i="3"/>
  <c r="H390" i="3"/>
  <c r="H389" i="3"/>
  <c r="G388" i="3"/>
  <c r="N388" i="3" s="1"/>
  <c r="R388" i="3" s="1"/>
  <c r="G387" i="3"/>
  <c r="H386" i="3"/>
  <c r="H385" i="3"/>
  <c r="G384" i="3"/>
  <c r="H383" i="3"/>
  <c r="G382" i="3"/>
  <c r="N382" i="3" s="1"/>
  <c r="R382" i="3" s="1"/>
  <c r="G381" i="3"/>
  <c r="H380" i="3"/>
  <c r="H379" i="3"/>
  <c r="H378" i="3"/>
  <c r="H377" i="3"/>
  <c r="H376" i="3"/>
  <c r="G375" i="3"/>
  <c r="N375" i="3" s="1"/>
  <c r="R375" i="3" s="1"/>
  <c r="G374" i="3"/>
  <c r="N374" i="3" s="1"/>
  <c r="R374" i="3" s="1"/>
  <c r="G373" i="3"/>
  <c r="H372" i="3"/>
  <c r="H371" i="3"/>
  <c r="H370" i="3"/>
  <c r="H369" i="3"/>
  <c r="G368" i="3"/>
  <c r="G367" i="3"/>
  <c r="N367" i="3" s="1"/>
  <c r="R367" i="3" s="1"/>
  <c r="G366" i="3"/>
  <c r="G365" i="3"/>
  <c r="G364" i="3"/>
  <c r="H363" i="3"/>
  <c r="H362" i="3"/>
  <c r="H361" i="3"/>
  <c r="H360" i="3"/>
  <c r="H359" i="3"/>
  <c r="H358" i="3"/>
  <c r="H357" i="3"/>
  <c r="H356" i="3"/>
  <c r="H355" i="3"/>
  <c r="G354" i="3"/>
  <c r="N354" i="3" s="1"/>
  <c r="R354" i="3" s="1"/>
  <c r="G353" i="3"/>
  <c r="H352" i="3"/>
  <c r="H351" i="3"/>
  <c r="H350" i="3"/>
  <c r="G349" i="3"/>
  <c r="N349" i="3" s="1"/>
  <c r="R349" i="3" s="1"/>
  <c r="H348" i="3"/>
  <c r="H347" i="3"/>
  <c r="H346" i="3"/>
  <c r="H345" i="3"/>
  <c r="G344" i="3"/>
  <c r="N344" i="3" s="1"/>
  <c r="R344" i="3" s="1"/>
  <c r="H343" i="3"/>
  <c r="H342" i="3"/>
  <c r="H341" i="3"/>
  <c r="H340" i="3"/>
  <c r="G339" i="3"/>
  <c r="N339" i="3" s="1"/>
  <c r="R339" i="3" s="1"/>
  <c r="H338" i="3"/>
  <c r="H337" i="3"/>
  <c r="G336" i="3"/>
  <c r="N336" i="3" s="1"/>
  <c r="R336" i="3" s="1"/>
  <c r="H335" i="3"/>
  <c r="G334" i="3"/>
  <c r="N334" i="3" s="1"/>
  <c r="R334" i="3" s="1"/>
  <c r="H333" i="3"/>
  <c r="G533" i="3"/>
  <c r="N533" i="3" s="1"/>
  <c r="R533" i="3" s="1"/>
  <c r="G748" i="3"/>
  <c r="N748" i="3" s="1"/>
  <c r="R748" i="3" s="1"/>
  <c r="G756" i="3"/>
  <c r="N756" i="3" s="1"/>
  <c r="G761" i="3"/>
  <c r="N761" i="3" s="1"/>
  <c r="R761" i="3" s="1"/>
  <c r="G763" i="3"/>
  <c r="N763" i="3" s="1"/>
  <c r="R763" i="3" s="1"/>
  <c r="G765" i="3"/>
  <c r="N765" i="3" s="1"/>
  <c r="R765" i="3" s="1"/>
  <c r="G770" i="3"/>
  <c r="N770" i="3" s="1"/>
  <c r="R770" i="3" s="1"/>
  <c r="I15" i="4"/>
  <c r="I19" i="4"/>
  <c r="I31" i="4"/>
  <c r="I35" i="4"/>
  <c r="D44" i="4"/>
  <c r="I64" i="4"/>
  <c r="I72" i="4"/>
  <c r="I80" i="4"/>
  <c r="I88" i="4"/>
  <c r="J93" i="4"/>
  <c r="J98" i="4"/>
  <c r="J100" i="4"/>
  <c r="J105" i="4"/>
  <c r="I111" i="4"/>
  <c r="G332" i="3"/>
  <c r="N332" i="3" s="1"/>
  <c r="R332" i="3" s="1"/>
  <c r="H331" i="3"/>
  <c r="G330" i="3"/>
  <c r="N330" i="3" s="1"/>
  <c r="R330" i="3" s="1"/>
  <c r="H329" i="3"/>
  <c r="H328" i="3"/>
  <c r="H327" i="3"/>
  <c r="H326" i="3"/>
  <c r="H325" i="3"/>
  <c r="H324" i="3"/>
  <c r="H323" i="3"/>
  <c r="G322" i="3"/>
  <c r="G321" i="3"/>
  <c r="G320" i="3"/>
  <c r="H319" i="3"/>
  <c r="G318" i="3"/>
  <c r="H317" i="3"/>
  <c r="H316" i="3"/>
  <c r="H315" i="3"/>
  <c r="H314" i="3"/>
  <c r="H313" i="3"/>
  <c r="H312" i="3"/>
  <c r="H311" i="3"/>
  <c r="H310" i="3"/>
  <c r="H309" i="3"/>
  <c r="G308" i="3"/>
  <c r="G307" i="3"/>
  <c r="H306" i="3"/>
  <c r="H305" i="3"/>
  <c r="G304" i="3"/>
  <c r="H303" i="3"/>
  <c r="H89" i="3"/>
  <c r="H302" i="3"/>
  <c r="H301" i="3"/>
  <c r="H300" i="3"/>
  <c r="L297" i="3"/>
  <c r="D297" i="3"/>
  <c r="H294" i="3"/>
  <c r="H293" i="3"/>
  <c r="H292" i="3"/>
  <c r="H291" i="3"/>
  <c r="H290" i="3"/>
  <c r="G289" i="3"/>
  <c r="N289" i="3" s="1"/>
  <c r="R289" i="3" s="1"/>
  <c r="H288" i="3"/>
  <c r="G287" i="3"/>
  <c r="N287" i="3" s="1"/>
  <c r="R287" i="3" s="1"/>
  <c r="H286" i="3"/>
  <c r="H285" i="3"/>
  <c r="H284" i="3"/>
  <c r="G283" i="3"/>
  <c r="G282" i="3"/>
  <c r="N282" i="3" s="1"/>
  <c r="R282" i="3" s="1"/>
  <c r="G281" i="3"/>
  <c r="N281" i="3" s="1"/>
  <c r="R281" i="3" s="1"/>
  <c r="H280" i="3"/>
  <c r="H279" i="3"/>
  <c r="H278" i="3"/>
  <c r="H277" i="3"/>
  <c r="H276" i="3"/>
  <c r="G275" i="3"/>
  <c r="G274" i="3"/>
  <c r="N274" i="3" s="1"/>
  <c r="R274" i="3" s="1"/>
  <c r="G273" i="3"/>
  <c r="H272" i="3"/>
  <c r="H271" i="3"/>
  <c r="G270" i="3"/>
  <c r="N270" i="3" s="1"/>
  <c r="R270" i="3" s="1"/>
  <c r="H269" i="3"/>
  <c r="H268" i="3"/>
  <c r="H267" i="3"/>
  <c r="G266" i="3"/>
  <c r="H265" i="3"/>
  <c r="H264" i="3"/>
  <c r="G263" i="3"/>
  <c r="N263" i="3" s="1"/>
  <c r="R263" i="3" s="1"/>
  <c r="H262" i="3"/>
  <c r="H261" i="3"/>
  <c r="H260" i="3"/>
  <c r="H259" i="3"/>
  <c r="H258" i="3"/>
  <c r="H257" i="3"/>
  <c r="H256" i="3"/>
  <c r="H255" i="3"/>
  <c r="G254" i="3"/>
  <c r="H253" i="3"/>
  <c r="G252" i="3"/>
  <c r="N252" i="3" s="1"/>
  <c r="R252" i="3" s="1"/>
  <c r="G251" i="3"/>
  <c r="H250" i="3"/>
  <c r="G249" i="3"/>
  <c r="H248" i="3"/>
  <c r="H247" i="3"/>
  <c r="H246" i="3"/>
  <c r="G245" i="3"/>
  <c r="N245" i="3" s="1"/>
  <c r="R245" i="3" s="1"/>
  <c r="G244" i="3"/>
  <c r="H243" i="3"/>
  <c r="G242" i="3"/>
  <c r="N242" i="3" s="1"/>
  <c r="R242" i="3" s="1"/>
  <c r="G241" i="3"/>
  <c r="G240" i="3"/>
  <c r="G239" i="3"/>
  <c r="N239" i="3" s="1"/>
  <c r="R239" i="3" s="1"/>
  <c r="H238" i="3"/>
  <c r="G237" i="3"/>
  <c r="N237" i="3" s="1"/>
  <c r="R237" i="3" s="1"/>
  <c r="H236" i="3"/>
  <c r="G235" i="3"/>
  <c r="N235" i="3" s="1"/>
  <c r="R235" i="3" s="1"/>
  <c r="G234" i="3"/>
  <c r="G233" i="3"/>
  <c r="N233" i="3" s="1"/>
  <c r="R233" i="3" s="1"/>
  <c r="G232" i="3"/>
  <c r="G231" i="3"/>
  <c r="G230" i="3"/>
  <c r="N230" i="3" s="1"/>
  <c r="R230" i="3" s="1"/>
  <c r="H229" i="3"/>
  <c r="H228" i="3"/>
  <c r="H227" i="3"/>
  <c r="G226" i="3"/>
  <c r="N226" i="3" s="1"/>
  <c r="R226" i="3" s="1"/>
  <c r="H225" i="3"/>
  <c r="H224" i="3"/>
  <c r="H223" i="3"/>
  <c r="H222" i="3"/>
  <c r="H221" i="3"/>
  <c r="H220" i="3"/>
  <c r="H219" i="3"/>
  <c r="H218" i="3"/>
  <c r="H217" i="3"/>
  <c r="H216" i="3"/>
  <c r="H215" i="3"/>
  <c r="G214" i="3"/>
  <c r="N214" i="3" s="1"/>
  <c r="R214" i="3" s="1"/>
  <c r="G213" i="3"/>
  <c r="G212" i="3"/>
  <c r="N212" i="3" s="1"/>
  <c r="R212" i="3" s="1"/>
  <c r="G211" i="3"/>
  <c r="N211" i="3" s="1"/>
  <c r="R211" i="3" s="1"/>
  <c r="H210" i="3"/>
  <c r="H209" i="3"/>
  <c r="G208" i="3"/>
  <c r="N208" i="3" s="1"/>
  <c r="R208" i="3" s="1"/>
  <c r="H207" i="3"/>
  <c r="H206" i="3"/>
  <c r="H205" i="3"/>
  <c r="H204" i="3"/>
  <c r="H203" i="3"/>
  <c r="H202" i="3"/>
  <c r="H201" i="3"/>
  <c r="G200" i="3"/>
  <c r="N200" i="3" s="1"/>
  <c r="R200" i="3" s="1"/>
  <c r="H199" i="3"/>
  <c r="G198" i="3"/>
  <c r="G197" i="3"/>
  <c r="H196" i="3"/>
  <c r="G195" i="3"/>
  <c r="N195" i="3" s="1"/>
  <c r="R195" i="3" s="1"/>
  <c r="G194" i="3"/>
  <c r="N194" i="3" s="1"/>
  <c r="R194" i="3" s="1"/>
  <c r="G193" i="3"/>
  <c r="N193" i="3" s="1"/>
  <c r="R193" i="3" s="1"/>
  <c r="G192" i="3"/>
  <c r="N192" i="3" s="1"/>
  <c r="R192" i="3" s="1"/>
  <c r="G191" i="3"/>
  <c r="H190" i="3"/>
  <c r="H189" i="3"/>
  <c r="G188" i="3"/>
  <c r="G187" i="3"/>
  <c r="H186" i="3"/>
  <c r="G185" i="3"/>
  <c r="H184" i="3"/>
  <c r="H183" i="3"/>
  <c r="H182" i="3"/>
  <c r="G181" i="3"/>
  <c r="G180" i="3"/>
  <c r="N180" i="3" s="1"/>
  <c r="R180" i="3" s="1"/>
  <c r="G179" i="3"/>
  <c r="G178" i="3"/>
  <c r="H177" i="3"/>
  <c r="H176" i="3"/>
  <c r="H175" i="3"/>
  <c r="G174" i="3"/>
  <c r="G173" i="3"/>
  <c r="G172" i="3"/>
  <c r="G171" i="3"/>
  <c r="G170" i="3"/>
  <c r="H169" i="3"/>
  <c r="G168" i="3"/>
  <c r="H167" i="3"/>
  <c r="H166" i="3"/>
  <c r="G165" i="3"/>
  <c r="N165" i="3" s="1"/>
  <c r="R165" i="3" s="1"/>
  <c r="G164" i="3"/>
  <c r="H163" i="3"/>
  <c r="H162" i="3"/>
  <c r="H151" i="3"/>
  <c r="G150" i="3"/>
  <c r="H149" i="3"/>
  <c r="H148" i="3"/>
  <c r="G147" i="3"/>
  <c r="N147" i="3" s="1"/>
  <c r="R147" i="3" s="1"/>
  <c r="G146" i="3"/>
  <c r="N146" i="3" s="1"/>
  <c r="R146" i="3" s="1"/>
  <c r="G145" i="3"/>
  <c r="N145" i="3" s="1"/>
  <c r="R145" i="3" s="1"/>
  <c r="H144" i="3"/>
  <c r="G143" i="3"/>
  <c r="N143" i="3" s="1"/>
  <c r="R143" i="3" s="1"/>
  <c r="G142" i="3"/>
  <c r="N142" i="3" s="1"/>
  <c r="R142" i="3" s="1"/>
  <c r="G141" i="3"/>
  <c r="G140" i="3"/>
  <c r="N140" i="3" s="1"/>
  <c r="R140" i="3" s="1"/>
  <c r="G139" i="3"/>
  <c r="G138" i="3"/>
  <c r="N138" i="3" s="1"/>
  <c r="R138" i="3" s="1"/>
  <c r="G137" i="3"/>
  <c r="N137" i="3" s="1"/>
  <c r="R137" i="3" s="1"/>
  <c r="H136" i="3"/>
  <c r="G135" i="3"/>
  <c r="H134" i="3"/>
  <c r="H133" i="3"/>
  <c r="G132" i="3"/>
  <c r="N132" i="3" s="1"/>
  <c r="R132" i="3" s="1"/>
  <c r="G131" i="3"/>
  <c r="N131" i="3" s="1"/>
  <c r="R131" i="3" s="1"/>
  <c r="G130" i="3"/>
  <c r="N130" i="3" s="1"/>
  <c r="R130" i="3" s="1"/>
  <c r="H129" i="3"/>
  <c r="G128" i="3"/>
  <c r="N128" i="3" s="1"/>
  <c r="R128" i="3" s="1"/>
  <c r="G127" i="3"/>
  <c r="N127" i="3" s="1"/>
  <c r="R127" i="3" s="1"/>
  <c r="G126" i="3"/>
  <c r="N126" i="3" s="1"/>
  <c r="R126" i="3" s="1"/>
  <c r="H125" i="3"/>
  <c r="G124" i="3"/>
  <c r="G123" i="3"/>
  <c r="N123" i="3" s="1"/>
  <c r="R123" i="3" s="1"/>
  <c r="H122" i="3"/>
  <c r="G121" i="3"/>
  <c r="H120" i="3"/>
  <c r="H119" i="3"/>
  <c r="H118" i="3"/>
  <c r="H117" i="3"/>
  <c r="H116" i="3"/>
  <c r="H115" i="3"/>
  <c r="H114" i="3"/>
  <c r="H113" i="3"/>
  <c r="H112" i="3"/>
  <c r="G111" i="3"/>
  <c r="H110" i="3"/>
  <c r="H109" i="3"/>
  <c r="H108" i="3"/>
  <c r="H107" i="3"/>
  <c r="G106" i="3"/>
  <c r="N106" i="3" s="1"/>
  <c r="R106" i="3" s="1"/>
  <c r="H105" i="3"/>
  <c r="H104" i="3"/>
  <c r="G103" i="3"/>
  <c r="G102" i="3"/>
  <c r="N102" i="3" s="1"/>
  <c r="R102" i="3" s="1"/>
  <c r="G101" i="3"/>
  <c r="G100" i="3"/>
  <c r="G99" i="3"/>
  <c r="N99" i="3" s="1"/>
  <c r="R99" i="3" s="1"/>
  <c r="H98" i="3"/>
  <c r="G97" i="3"/>
  <c r="N97" i="3" s="1"/>
  <c r="R97" i="3" s="1"/>
  <c r="H96" i="3"/>
  <c r="G95" i="3"/>
  <c r="G94" i="3"/>
  <c r="N94" i="3" s="1"/>
  <c r="R94" i="3" s="1"/>
  <c r="G93" i="3"/>
  <c r="N93" i="3" s="1"/>
  <c r="R93" i="3" s="1"/>
  <c r="G92" i="3"/>
  <c r="N92" i="3" s="1"/>
  <c r="R92" i="3" s="1"/>
  <c r="H91" i="3"/>
  <c r="G90" i="3"/>
  <c r="H87" i="3"/>
  <c r="H86" i="3"/>
  <c r="H85" i="3"/>
  <c r="H84" i="3"/>
  <c r="G83" i="3"/>
  <c r="N83" i="3" s="1"/>
  <c r="R83" i="3" s="1"/>
  <c r="G82" i="3"/>
  <c r="H81" i="3"/>
  <c r="G80" i="3"/>
  <c r="H79" i="3"/>
  <c r="H78" i="3"/>
  <c r="G77" i="3"/>
  <c r="H76" i="3"/>
  <c r="G75" i="3"/>
  <c r="H74" i="3"/>
  <c r="H73" i="3"/>
  <c r="H72" i="3"/>
  <c r="H71" i="3"/>
  <c r="H70" i="3"/>
  <c r="H69" i="3"/>
  <c r="H68" i="3"/>
  <c r="H64" i="3"/>
  <c r="G63" i="3"/>
  <c r="H62" i="3"/>
  <c r="G61" i="3"/>
  <c r="N61" i="3" s="1"/>
  <c r="R61" i="3" s="1"/>
  <c r="H60" i="3"/>
  <c r="G59" i="3"/>
  <c r="N59" i="3" s="1"/>
  <c r="R59" i="3" s="1"/>
  <c r="G58" i="3"/>
  <c r="H57" i="3"/>
  <c r="H56" i="3"/>
  <c r="H55" i="3"/>
  <c r="H54" i="3"/>
  <c r="H53" i="3"/>
  <c r="H52" i="3"/>
  <c r="G51" i="3"/>
  <c r="N51" i="3" s="1"/>
  <c r="R51" i="3" s="1"/>
  <c r="G50" i="3"/>
  <c r="H49" i="3"/>
  <c r="G48" i="3"/>
  <c r="H47" i="3"/>
  <c r="H46" i="3"/>
  <c r="G45" i="3"/>
  <c r="N45" i="3" s="1"/>
  <c r="R45" i="3" s="1"/>
  <c r="H44" i="3"/>
  <c r="H43" i="3"/>
  <c r="H42" i="3"/>
  <c r="H41" i="3"/>
  <c r="H40" i="3"/>
  <c r="H39" i="3"/>
  <c r="H38" i="3"/>
  <c r="H37" i="3"/>
  <c r="G36" i="3"/>
  <c r="N36" i="3" s="1"/>
  <c r="R36" i="3" s="1"/>
  <c r="H35" i="3"/>
  <c r="G34" i="3"/>
  <c r="H33" i="3"/>
  <c r="H32" i="3"/>
  <c r="H31" i="3"/>
  <c r="G30" i="3"/>
  <c r="H29" i="3"/>
  <c r="H28" i="3"/>
  <c r="H27" i="3"/>
  <c r="H26" i="3"/>
  <c r="H25" i="3"/>
  <c r="H24" i="3"/>
  <c r="H23" i="3"/>
  <c r="H22" i="3"/>
  <c r="H21" i="3"/>
  <c r="G20" i="3"/>
  <c r="N20" i="3" s="1"/>
  <c r="R20" i="3" s="1"/>
  <c r="H19" i="3"/>
  <c r="H18" i="3"/>
  <c r="H17" i="3"/>
  <c r="H16" i="3"/>
  <c r="H15" i="3"/>
  <c r="H14" i="3"/>
  <c r="H13" i="3"/>
  <c r="G65" i="3"/>
  <c r="N65" i="3" s="1"/>
  <c r="R65" i="3" s="1"/>
  <c r="G66" i="3"/>
  <c r="N66" i="3" s="1"/>
  <c r="R66" i="3" s="1"/>
  <c r="J847" i="4"/>
  <c r="G503" i="3"/>
  <c r="N503" i="3" s="1"/>
  <c r="R503" i="3" s="1"/>
  <c r="G548" i="3"/>
  <c r="N548" i="3" s="1"/>
  <c r="R548" i="3" s="1"/>
  <c r="G740" i="3"/>
  <c r="N740" i="3" s="1"/>
  <c r="G742" i="3"/>
  <c r="N742" i="3" s="1"/>
  <c r="H749" i="3"/>
  <c r="G757" i="3"/>
  <c r="N757" i="3" s="1"/>
  <c r="G759" i="3"/>
  <c r="N759" i="3" s="1"/>
  <c r="I16" i="4"/>
  <c r="I20" i="4"/>
  <c r="I46" i="4"/>
  <c r="J51" i="4"/>
  <c r="I67" i="4"/>
  <c r="I75" i="4"/>
  <c r="I102" i="4"/>
  <c r="I109" i="4"/>
  <c r="I882" i="2" a="1"/>
  <c r="I882" i="2" s="1"/>
  <c r="AD30" i="1"/>
  <c r="AD52" i="1" s="1"/>
  <c r="I626" i="2" a="1"/>
  <c r="I626" i="2" s="1"/>
  <c r="V30" i="1"/>
  <c r="V52" i="1" s="1"/>
  <c r="O844" i="4" l="1"/>
  <c r="S844" i="4" s="1"/>
  <c r="J852" i="4"/>
  <c r="O948" i="4"/>
  <c r="J958" i="4"/>
  <c r="N961" i="4"/>
  <c r="I966" i="4"/>
  <c r="I1011" i="4"/>
  <c r="N1006" i="4"/>
  <c r="O1046" i="4"/>
  <c r="J1051" i="4"/>
  <c r="N758" i="4"/>
  <c r="R758" i="4" s="1"/>
  <c r="I757" i="4"/>
  <c r="O823" i="4"/>
  <c r="J827" i="4"/>
  <c r="N871" i="4"/>
  <c r="J913" i="4"/>
  <c r="J917" i="4" s="1"/>
  <c r="O914" i="4"/>
  <c r="J1034" i="4"/>
  <c r="O1026" i="4"/>
  <c r="N948" i="4"/>
  <c r="I958" i="4"/>
  <c r="N971" i="4"/>
  <c r="I988" i="4"/>
  <c r="I1021" i="4"/>
  <c r="N1014" i="4"/>
  <c r="O805" i="4"/>
  <c r="N823" i="4"/>
  <c r="I827" i="4"/>
  <c r="O865" i="4"/>
  <c r="J868" i="4"/>
  <c r="O871" i="4"/>
  <c r="O895" i="4"/>
  <c r="J901" i="4"/>
  <c r="I913" i="4"/>
  <c r="I917" i="4" s="1"/>
  <c r="N914" i="4"/>
  <c r="O971" i="4"/>
  <c r="J988" i="4"/>
  <c r="N1038" i="4"/>
  <c r="I1043" i="4"/>
  <c r="N1046" i="4"/>
  <c r="I1051" i="4"/>
  <c r="N727" i="3"/>
  <c r="G726" i="3"/>
  <c r="N10" i="4"/>
  <c r="I9" i="4"/>
  <c r="O10" i="4"/>
  <c r="J9" i="4"/>
  <c r="N13" i="4"/>
  <c r="I12" i="4"/>
  <c r="I23" i="4" s="1"/>
  <c r="O13" i="4"/>
  <c r="J12" i="4"/>
  <c r="J23" i="4" s="1"/>
  <c r="N26" i="4"/>
  <c r="I25" i="4"/>
  <c r="O26" i="4"/>
  <c r="J25" i="4"/>
  <c r="N30" i="4"/>
  <c r="I29" i="4"/>
  <c r="O30" i="4"/>
  <c r="J29" i="4"/>
  <c r="N40" i="4"/>
  <c r="I39" i="4"/>
  <c r="I41" i="4" s="1"/>
  <c r="O40" i="4"/>
  <c r="J39" i="4"/>
  <c r="J41" i="4" s="1"/>
  <c r="N45" i="4"/>
  <c r="R45" i="4" s="1"/>
  <c r="I44" i="4"/>
  <c r="O45" i="4"/>
  <c r="S45" i="4" s="1"/>
  <c r="Y45" i="4" s="1"/>
  <c r="J44" i="4"/>
  <c r="O44" i="4" s="1"/>
  <c r="N810" i="4"/>
  <c r="I820" i="4"/>
  <c r="N834" i="4"/>
  <c r="R834" i="4" s="1"/>
  <c r="I842" i="4"/>
  <c r="N844" i="4"/>
  <c r="R844" i="4" s="1"/>
  <c r="X844" i="4" s="1"/>
  <c r="I852" i="4"/>
  <c r="N852" i="4" s="1"/>
  <c r="R852" i="4" s="1"/>
  <c r="N855" i="4"/>
  <c r="I857" i="4"/>
  <c r="I859" i="4" s="1"/>
  <c r="I892" i="4"/>
  <c r="I901" i="4"/>
  <c r="N895" i="4"/>
  <c r="O921" i="4"/>
  <c r="J931" i="4"/>
  <c r="N991" i="4"/>
  <c r="I1003" i="4"/>
  <c r="O1038" i="4"/>
  <c r="J1043" i="4"/>
  <c r="N335" i="4"/>
  <c r="R335" i="4" s="1"/>
  <c r="I334" i="4"/>
  <c r="N334" i="4" s="1"/>
  <c r="R334" i="4" s="1"/>
  <c r="O335" i="4"/>
  <c r="S335" i="4" s="1"/>
  <c r="Y335" i="4" s="1"/>
  <c r="J334" i="4"/>
  <c r="O334" i="4" s="1"/>
  <c r="N674" i="4"/>
  <c r="R674" i="4" s="1"/>
  <c r="I673" i="4"/>
  <c r="O674" i="4"/>
  <c r="S674" i="4" s="1"/>
  <c r="Y674" i="4" s="1"/>
  <c r="J673" i="4"/>
  <c r="N715" i="4"/>
  <c r="R715" i="4" s="1"/>
  <c r="I714" i="4"/>
  <c r="O715" i="4"/>
  <c r="S715" i="4" s="1"/>
  <c r="Y715" i="4" s="1"/>
  <c r="J714" i="4"/>
  <c r="O714" i="4" s="1"/>
  <c r="O991" i="4"/>
  <c r="J1003" i="4"/>
  <c r="J1011" i="4"/>
  <c r="O1006" i="4"/>
  <c r="N1026" i="4"/>
  <c r="I1034" i="4"/>
  <c r="O758" i="4"/>
  <c r="S758" i="4" s="1"/>
  <c r="Y758" i="4" s="1"/>
  <c r="J757" i="4"/>
  <c r="O757" i="4" s="1"/>
  <c r="S757" i="4" s="1"/>
  <c r="N805" i="4"/>
  <c r="I807" i="4"/>
  <c r="O810" i="4"/>
  <c r="J820" i="4"/>
  <c r="O834" i="4"/>
  <c r="J842" i="4"/>
  <c r="O855" i="4"/>
  <c r="J857" i="4"/>
  <c r="J859" i="4" s="1"/>
  <c r="N865" i="4"/>
  <c r="I868" i="4"/>
  <c r="N921" i="4"/>
  <c r="I931" i="4"/>
  <c r="O961" i="4"/>
  <c r="J966" i="4"/>
  <c r="J1021" i="4"/>
  <c r="O1014" i="4"/>
  <c r="AG30" i="1"/>
  <c r="AG52" i="1" s="1"/>
  <c r="AB876" i="4"/>
  <c r="F876" i="4"/>
  <c r="F892" i="4"/>
  <c r="J886" i="4"/>
  <c r="N886" i="4" s="1"/>
  <c r="M683" i="3"/>
  <c r="N683" i="3"/>
  <c r="G682" i="3"/>
  <c r="P676" i="3"/>
  <c r="Q676" i="3" s="1"/>
  <c r="R676" i="3" s="1"/>
  <c r="T676" i="3"/>
  <c r="P675" i="3"/>
  <c r="Q675" i="3" s="1"/>
  <c r="R675" i="3" s="1"/>
  <c r="T675" i="3"/>
  <c r="P658" i="3"/>
  <c r="Q658" i="3" s="1"/>
  <c r="R658" i="3" s="1"/>
  <c r="T658" i="3"/>
  <c r="P655" i="3"/>
  <c r="Q655" i="3" s="1"/>
  <c r="R655" i="3" s="1"/>
  <c r="T655" i="3"/>
  <c r="P653" i="3"/>
  <c r="Q653" i="3" s="1"/>
  <c r="R653" i="3" s="1"/>
  <c r="T653" i="3"/>
  <c r="P650" i="3"/>
  <c r="Q650" i="3" s="1"/>
  <c r="R650" i="3" s="1"/>
  <c r="T650" i="3"/>
  <c r="P647" i="3"/>
  <c r="Q647" i="3" s="1"/>
  <c r="R647" i="3" s="1"/>
  <c r="T647" i="3"/>
  <c r="P646" i="3"/>
  <c r="Q646" i="3" s="1"/>
  <c r="R646" i="3" s="1"/>
  <c r="T646" i="3"/>
  <c r="P645" i="3"/>
  <c r="Q645" i="3" s="1"/>
  <c r="R645" i="3" s="1"/>
  <c r="T645" i="3"/>
  <c r="P644" i="3"/>
  <c r="Q644" i="3" s="1"/>
  <c r="R644" i="3" s="1"/>
  <c r="T644" i="3"/>
  <c r="P643" i="3"/>
  <c r="Q643" i="3" s="1"/>
  <c r="R643" i="3" s="1"/>
  <c r="T643" i="3"/>
  <c r="P642" i="3"/>
  <c r="Q642" i="3" s="1"/>
  <c r="R642" i="3" s="1"/>
  <c r="T642" i="3"/>
  <c r="N640" i="3"/>
  <c r="G639" i="3"/>
  <c r="P623" i="3"/>
  <c r="Q623" i="3" s="1"/>
  <c r="R623" i="3" s="1"/>
  <c r="T623" i="3"/>
  <c r="P622" i="3"/>
  <c r="Q622" i="3" s="1"/>
  <c r="R622" i="3" s="1"/>
  <c r="T622" i="3"/>
  <c r="P615" i="3"/>
  <c r="Q615" i="3" s="1"/>
  <c r="R615" i="3" s="1"/>
  <c r="T615" i="3"/>
  <c r="P614" i="3"/>
  <c r="Q614" i="3" s="1"/>
  <c r="R614" i="3" s="1"/>
  <c r="T614" i="3"/>
  <c r="P612" i="3"/>
  <c r="Q612" i="3" s="1"/>
  <c r="R612" i="3" s="1"/>
  <c r="T612" i="3"/>
  <c r="P607" i="3"/>
  <c r="Q607" i="3" s="1"/>
  <c r="R607" i="3" s="1"/>
  <c r="T607" i="3"/>
  <c r="P606" i="3"/>
  <c r="Q606" i="3" s="1"/>
  <c r="R606" i="3" s="1"/>
  <c r="T606" i="3"/>
  <c r="P604" i="3"/>
  <c r="Q604" i="3" s="1"/>
  <c r="R604" i="3" s="1"/>
  <c r="T604" i="3"/>
  <c r="P591" i="3"/>
  <c r="Q591" i="3" s="1"/>
  <c r="R591" i="3" s="1"/>
  <c r="T591" i="3"/>
  <c r="P587" i="3"/>
  <c r="Q587" i="3" s="1"/>
  <c r="R587" i="3" s="1"/>
  <c r="T587" i="3"/>
  <c r="P586" i="3"/>
  <c r="Q586" i="3" s="1"/>
  <c r="R586" i="3" s="1"/>
  <c r="T586" i="3"/>
  <c r="P570" i="3"/>
  <c r="Q570" i="3" s="1"/>
  <c r="R570" i="3" s="1"/>
  <c r="T570" i="3"/>
  <c r="P566" i="3"/>
  <c r="Q566" i="3" s="1"/>
  <c r="R566" i="3" s="1"/>
  <c r="T566" i="3"/>
  <c r="P557" i="3"/>
  <c r="Q557" i="3" s="1"/>
  <c r="R557" i="3" s="1"/>
  <c r="T557" i="3"/>
  <c r="P552" i="3"/>
  <c r="Q552" i="3" s="1"/>
  <c r="R552" i="3" s="1"/>
  <c r="T552" i="3"/>
  <c r="P542" i="3"/>
  <c r="Q542" i="3" s="1"/>
  <c r="R542" i="3" s="1"/>
  <c r="T542" i="3"/>
  <c r="P541" i="3"/>
  <c r="Q541" i="3" s="1"/>
  <c r="R541" i="3" s="1"/>
  <c r="T541" i="3"/>
  <c r="P536" i="3"/>
  <c r="Q536" i="3" s="1"/>
  <c r="R536" i="3" s="1"/>
  <c r="T536" i="3"/>
  <c r="P530" i="3"/>
  <c r="Q530" i="3" s="1"/>
  <c r="R530" i="3" s="1"/>
  <c r="T530" i="3"/>
  <c r="P529" i="3"/>
  <c r="Q529" i="3" s="1"/>
  <c r="R529" i="3" s="1"/>
  <c r="T529" i="3"/>
  <c r="P528" i="3"/>
  <c r="Q528" i="3" s="1"/>
  <c r="R528" i="3" s="1"/>
  <c r="T528" i="3"/>
  <c r="P527" i="3"/>
  <c r="Q527" i="3" s="1"/>
  <c r="R527" i="3" s="1"/>
  <c r="T527" i="3"/>
  <c r="P312" i="3"/>
  <c r="Q312" i="3" s="1"/>
  <c r="R312" i="3" s="1"/>
  <c r="T312" i="3"/>
  <c r="P310" i="3"/>
  <c r="Q310" i="3" s="1"/>
  <c r="R310" i="3" s="1"/>
  <c r="T310" i="3"/>
  <c r="P309" i="3"/>
  <c r="Q309" i="3" s="1"/>
  <c r="R309" i="3" s="1"/>
  <c r="T309" i="3"/>
  <c r="M9" i="3"/>
  <c r="N9" i="3"/>
  <c r="G7" i="3"/>
  <c r="P520" i="3"/>
  <c r="Q520" i="3" s="1"/>
  <c r="R520" i="3" s="1"/>
  <c r="T520" i="3"/>
  <c r="P519" i="3"/>
  <c r="Q519" i="3" s="1"/>
  <c r="R519" i="3" s="1"/>
  <c r="T519" i="3"/>
  <c r="P518" i="3"/>
  <c r="Q518" i="3" s="1"/>
  <c r="R518" i="3" s="1"/>
  <c r="T518" i="3"/>
  <c r="P513" i="3"/>
  <c r="Q513" i="3" s="1"/>
  <c r="R513" i="3" s="1"/>
  <c r="T513" i="3"/>
  <c r="P512" i="3"/>
  <c r="Q512" i="3" s="1"/>
  <c r="R512" i="3" s="1"/>
  <c r="T512" i="3"/>
  <c r="P500" i="3"/>
  <c r="Q500" i="3" s="1"/>
  <c r="R500" i="3" s="1"/>
  <c r="T500" i="3"/>
  <c r="P499" i="3"/>
  <c r="Q499" i="3" s="1"/>
  <c r="R499" i="3" s="1"/>
  <c r="T499" i="3"/>
  <c r="P498" i="3"/>
  <c r="Q498" i="3" s="1"/>
  <c r="R498" i="3" s="1"/>
  <c r="T498" i="3"/>
  <c r="P497" i="3"/>
  <c r="Q497" i="3" s="1"/>
  <c r="R497" i="3" s="1"/>
  <c r="T497" i="3"/>
  <c r="P496" i="3"/>
  <c r="Q496" i="3" s="1"/>
  <c r="R496" i="3" s="1"/>
  <c r="T496" i="3"/>
  <c r="P495" i="3"/>
  <c r="Q495" i="3" s="1"/>
  <c r="R495" i="3" s="1"/>
  <c r="T495" i="3"/>
  <c r="P494" i="3"/>
  <c r="Q494" i="3" s="1"/>
  <c r="R494" i="3" s="1"/>
  <c r="T494" i="3"/>
  <c r="P492" i="3"/>
  <c r="Q492" i="3" s="1"/>
  <c r="R492" i="3" s="1"/>
  <c r="T492" i="3"/>
  <c r="P491" i="3"/>
  <c r="Q491" i="3" s="1"/>
  <c r="R491" i="3" s="1"/>
  <c r="T491" i="3"/>
  <c r="P490" i="3"/>
  <c r="Q490" i="3" s="1"/>
  <c r="R490" i="3" s="1"/>
  <c r="T490" i="3"/>
  <c r="P489" i="3"/>
  <c r="Q489" i="3" s="1"/>
  <c r="R489" i="3" s="1"/>
  <c r="T489" i="3"/>
  <c r="P488" i="3"/>
  <c r="Q488" i="3" s="1"/>
  <c r="R488" i="3" s="1"/>
  <c r="T488" i="3"/>
  <c r="P487" i="3"/>
  <c r="Q487" i="3" s="1"/>
  <c r="R487" i="3" s="1"/>
  <c r="T487" i="3"/>
  <c r="P486" i="3"/>
  <c r="Q486" i="3" s="1"/>
  <c r="R486" i="3" s="1"/>
  <c r="T486" i="3"/>
  <c r="P480" i="3"/>
  <c r="Q480" i="3" s="1"/>
  <c r="R480" i="3" s="1"/>
  <c r="T480" i="3"/>
  <c r="P476" i="3"/>
  <c r="Q476" i="3" s="1"/>
  <c r="R476" i="3" s="1"/>
  <c r="T476" i="3"/>
  <c r="P475" i="3"/>
  <c r="Q475" i="3" s="1"/>
  <c r="R475" i="3" s="1"/>
  <c r="T475" i="3"/>
  <c r="P474" i="3"/>
  <c r="Q474" i="3" s="1"/>
  <c r="R474" i="3" s="1"/>
  <c r="T474" i="3"/>
  <c r="P473" i="3"/>
  <c r="Q473" i="3" s="1"/>
  <c r="R473" i="3" s="1"/>
  <c r="T473" i="3"/>
  <c r="P472" i="3"/>
  <c r="Q472" i="3" s="1"/>
  <c r="R472" i="3" s="1"/>
  <c r="T472" i="3"/>
  <c r="P471" i="3"/>
  <c r="Q471" i="3" s="1"/>
  <c r="R471" i="3" s="1"/>
  <c r="T471" i="3"/>
  <c r="P466" i="3"/>
  <c r="Q466" i="3" s="1"/>
  <c r="R466" i="3" s="1"/>
  <c r="T466" i="3"/>
  <c r="P465" i="3"/>
  <c r="Q465" i="3" s="1"/>
  <c r="R465" i="3" s="1"/>
  <c r="T465" i="3"/>
  <c r="P446" i="3"/>
  <c r="Q446" i="3" s="1"/>
  <c r="R446" i="3" s="1"/>
  <c r="T446" i="3"/>
  <c r="P445" i="3"/>
  <c r="Q445" i="3" s="1"/>
  <c r="R445" i="3" s="1"/>
  <c r="T445" i="3"/>
  <c r="P444" i="3"/>
  <c r="Q444" i="3" s="1"/>
  <c r="R444" i="3" s="1"/>
  <c r="T444" i="3"/>
  <c r="P443" i="3"/>
  <c r="Q443" i="3" s="1"/>
  <c r="R443" i="3" s="1"/>
  <c r="T443" i="3"/>
  <c r="P441" i="3"/>
  <c r="Q441" i="3" s="1"/>
  <c r="R441" i="3" s="1"/>
  <c r="T441" i="3"/>
  <c r="P439" i="3"/>
  <c r="Q439" i="3" s="1"/>
  <c r="R439" i="3" s="1"/>
  <c r="T439" i="3"/>
  <c r="P423" i="3"/>
  <c r="Q423" i="3" s="1"/>
  <c r="R423" i="3" s="1"/>
  <c r="T423" i="3"/>
  <c r="P420" i="3"/>
  <c r="Q420" i="3" s="1"/>
  <c r="R420" i="3" s="1"/>
  <c r="T420" i="3"/>
  <c r="P418" i="3"/>
  <c r="Q418" i="3" s="1"/>
  <c r="R418" i="3" s="1"/>
  <c r="T418" i="3"/>
  <c r="P414" i="3"/>
  <c r="Q414" i="3" s="1"/>
  <c r="R414" i="3" s="1"/>
  <c r="T414" i="3"/>
  <c r="P413" i="3"/>
  <c r="Q413" i="3" s="1"/>
  <c r="R413" i="3" s="1"/>
  <c r="T413" i="3"/>
  <c r="P411" i="3"/>
  <c r="Q411" i="3" s="1"/>
  <c r="R411" i="3" s="1"/>
  <c r="T411" i="3"/>
  <c r="P410" i="3"/>
  <c r="Q410" i="3" s="1"/>
  <c r="R410" i="3" s="1"/>
  <c r="T410" i="3"/>
  <c r="P400" i="3"/>
  <c r="Q400" i="3" s="1"/>
  <c r="R400" i="3" s="1"/>
  <c r="T400" i="3"/>
  <c r="P399" i="3"/>
  <c r="Q399" i="3" s="1"/>
  <c r="R399" i="3" s="1"/>
  <c r="T399" i="3"/>
  <c r="P397" i="3"/>
  <c r="Q397" i="3" s="1"/>
  <c r="R397" i="3" s="1"/>
  <c r="T397" i="3"/>
  <c r="P396" i="3"/>
  <c r="Q396" i="3" s="1"/>
  <c r="R396" i="3" s="1"/>
  <c r="T396" i="3"/>
  <c r="P392" i="3"/>
  <c r="Q392" i="3" s="1"/>
  <c r="R392" i="3" s="1"/>
  <c r="T392" i="3"/>
  <c r="P391" i="3"/>
  <c r="Q391" i="3" s="1"/>
  <c r="R391" i="3" s="1"/>
  <c r="T391" i="3"/>
  <c r="P390" i="3"/>
  <c r="Q390" i="3" s="1"/>
  <c r="R390" i="3" s="1"/>
  <c r="T390" i="3"/>
  <c r="P389" i="3"/>
  <c r="Q389" i="3" s="1"/>
  <c r="R389" i="3" s="1"/>
  <c r="T389" i="3"/>
  <c r="P386" i="3"/>
  <c r="Q386" i="3" s="1"/>
  <c r="R386" i="3" s="1"/>
  <c r="T386" i="3"/>
  <c r="P385" i="3"/>
  <c r="Q385" i="3" s="1"/>
  <c r="R385" i="3" s="1"/>
  <c r="T385" i="3"/>
  <c r="P380" i="3"/>
  <c r="Q380" i="3" s="1"/>
  <c r="R380" i="3" s="1"/>
  <c r="T380" i="3"/>
  <c r="P379" i="3"/>
  <c r="Q379" i="3" s="1"/>
  <c r="R379" i="3" s="1"/>
  <c r="T379" i="3"/>
  <c r="P378" i="3"/>
  <c r="Q378" i="3" s="1"/>
  <c r="R378" i="3" s="1"/>
  <c r="T378" i="3"/>
  <c r="P377" i="3"/>
  <c r="Q377" i="3" s="1"/>
  <c r="R377" i="3" s="1"/>
  <c r="T377" i="3"/>
  <c r="P376" i="3"/>
  <c r="Q376" i="3" s="1"/>
  <c r="R376" i="3" s="1"/>
  <c r="T376" i="3"/>
  <c r="P369" i="3"/>
  <c r="Q369" i="3" s="1"/>
  <c r="R369" i="3" s="1"/>
  <c r="T369" i="3"/>
  <c r="P363" i="3"/>
  <c r="Q363" i="3" s="1"/>
  <c r="R363" i="3" s="1"/>
  <c r="T363" i="3"/>
  <c r="P362" i="3"/>
  <c r="Q362" i="3" s="1"/>
  <c r="R362" i="3" s="1"/>
  <c r="T362" i="3"/>
  <c r="P360" i="3"/>
  <c r="Q360" i="3" s="1"/>
  <c r="R360" i="3" s="1"/>
  <c r="T360" i="3"/>
  <c r="P359" i="3"/>
  <c r="Q359" i="3" s="1"/>
  <c r="R359" i="3" s="1"/>
  <c r="T359" i="3"/>
  <c r="P358" i="3"/>
  <c r="Q358" i="3" s="1"/>
  <c r="R358" i="3" s="1"/>
  <c r="T358" i="3"/>
  <c r="P356" i="3"/>
  <c r="Q356" i="3" s="1"/>
  <c r="R356" i="3" s="1"/>
  <c r="T356" i="3"/>
  <c r="P355" i="3"/>
  <c r="Q355" i="3" s="1"/>
  <c r="R355" i="3" s="1"/>
  <c r="T355" i="3"/>
  <c r="P352" i="3"/>
  <c r="Q352" i="3" s="1"/>
  <c r="R352" i="3" s="1"/>
  <c r="T352" i="3"/>
  <c r="P351" i="3"/>
  <c r="Q351" i="3" s="1"/>
  <c r="R351" i="3" s="1"/>
  <c r="T351" i="3"/>
  <c r="P350" i="3"/>
  <c r="Q350" i="3" s="1"/>
  <c r="R350" i="3" s="1"/>
  <c r="T350" i="3"/>
  <c r="P347" i="3"/>
  <c r="Q347" i="3" s="1"/>
  <c r="R347" i="3" s="1"/>
  <c r="T347" i="3"/>
  <c r="P345" i="3"/>
  <c r="Q345" i="3" s="1"/>
  <c r="R345" i="3" s="1"/>
  <c r="T345" i="3"/>
  <c r="P343" i="3"/>
  <c r="Q343" i="3" s="1"/>
  <c r="R343" i="3" s="1"/>
  <c r="T343" i="3"/>
  <c r="P342" i="3"/>
  <c r="Q342" i="3" s="1"/>
  <c r="R342" i="3" s="1"/>
  <c r="T342" i="3"/>
  <c r="P341" i="3"/>
  <c r="Q341" i="3" s="1"/>
  <c r="R341" i="3" s="1"/>
  <c r="T341" i="3"/>
  <c r="P340" i="3"/>
  <c r="Q340" i="3" s="1"/>
  <c r="R340" i="3" s="1"/>
  <c r="T340" i="3"/>
  <c r="P335" i="3"/>
  <c r="Q335" i="3" s="1"/>
  <c r="R335" i="3" s="1"/>
  <c r="T335" i="3"/>
  <c r="P331" i="3"/>
  <c r="Q331" i="3" s="1"/>
  <c r="R331" i="3" s="1"/>
  <c r="T331" i="3"/>
  <c r="P329" i="3"/>
  <c r="Q329" i="3" s="1"/>
  <c r="R329" i="3" s="1"/>
  <c r="T329" i="3"/>
  <c r="P325" i="3"/>
  <c r="Q325" i="3" s="1"/>
  <c r="R325" i="3" s="1"/>
  <c r="T325" i="3"/>
  <c r="P324" i="3"/>
  <c r="Q324" i="3" s="1"/>
  <c r="R324" i="3" s="1"/>
  <c r="T324" i="3"/>
  <c r="P323" i="3"/>
  <c r="Q323" i="3" s="1"/>
  <c r="R323" i="3" s="1"/>
  <c r="T323" i="3"/>
  <c r="P319" i="3"/>
  <c r="Q319" i="3" s="1"/>
  <c r="R319" i="3" s="1"/>
  <c r="T319" i="3"/>
  <c r="P317" i="3"/>
  <c r="Q317" i="3" s="1"/>
  <c r="R317" i="3" s="1"/>
  <c r="T317" i="3"/>
  <c r="P316" i="3"/>
  <c r="Q316" i="3" s="1"/>
  <c r="R316" i="3" s="1"/>
  <c r="T316" i="3"/>
  <c r="P314" i="3"/>
  <c r="Q314" i="3" s="1"/>
  <c r="R314" i="3" s="1"/>
  <c r="T314" i="3"/>
  <c r="P311" i="3"/>
  <c r="Q311" i="3" s="1"/>
  <c r="R311" i="3" s="1"/>
  <c r="T311" i="3"/>
  <c r="P303" i="3"/>
  <c r="Q303" i="3" s="1"/>
  <c r="R303" i="3" s="1"/>
  <c r="T303" i="3"/>
  <c r="P302" i="3"/>
  <c r="Q302" i="3" s="1"/>
  <c r="R302" i="3" s="1"/>
  <c r="T302" i="3"/>
  <c r="P301" i="3"/>
  <c r="Q301" i="3" s="1"/>
  <c r="R301" i="3" s="1"/>
  <c r="T301" i="3"/>
  <c r="P300" i="3"/>
  <c r="T300" i="3"/>
  <c r="M297" i="3"/>
  <c r="N299" i="3"/>
  <c r="G297" i="3"/>
  <c r="P284" i="3"/>
  <c r="Q284" i="3" s="1"/>
  <c r="R284" i="3" s="1"/>
  <c r="T284" i="3"/>
  <c r="P279" i="3"/>
  <c r="Q279" i="3" s="1"/>
  <c r="R279" i="3" s="1"/>
  <c r="T279" i="3"/>
  <c r="P278" i="3"/>
  <c r="Q278" i="3" s="1"/>
  <c r="R278" i="3" s="1"/>
  <c r="T278" i="3"/>
  <c r="P269" i="3"/>
  <c r="Q269" i="3" s="1"/>
  <c r="R269" i="3" s="1"/>
  <c r="T269" i="3"/>
  <c r="P265" i="3"/>
  <c r="Q265" i="3" s="1"/>
  <c r="R265" i="3" s="1"/>
  <c r="T265" i="3"/>
  <c r="P261" i="3"/>
  <c r="Q261" i="3" s="1"/>
  <c r="R261" i="3" s="1"/>
  <c r="T261" i="3"/>
  <c r="P260" i="3"/>
  <c r="Q260" i="3" s="1"/>
  <c r="R260" i="3" s="1"/>
  <c r="T260" i="3"/>
  <c r="P257" i="3"/>
  <c r="Q257" i="3" s="1"/>
  <c r="R257" i="3" s="1"/>
  <c r="T257" i="3"/>
  <c r="P250" i="3"/>
  <c r="Q250" i="3" s="1"/>
  <c r="R250" i="3" s="1"/>
  <c r="T250" i="3"/>
  <c r="P229" i="3"/>
  <c r="Q229" i="3" s="1"/>
  <c r="R229" i="3" s="1"/>
  <c r="T229" i="3"/>
  <c r="P228" i="3"/>
  <c r="Q228" i="3" s="1"/>
  <c r="R228" i="3" s="1"/>
  <c r="T228" i="3"/>
  <c r="P225" i="3"/>
  <c r="Q225" i="3" s="1"/>
  <c r="R225" i="3" s="1"/>
  <c r="T225" i="3"/>
  <c r="P224" i="3"/>
  <c r="Q224" i="3" s="1"/>
  <c r="R224" i="3" s="1"/>
  <c r="T224" i="3"/>
  <c r="P220" i="3"/>
  <c r="Q220" i="3" s="1"/>
  <c r="R220" i="3" s="1"/>
  <c r="T220" i="3"/>
  <c r="P218" i="3"/>
  <c r="Q218" i="3" s="1"/>
  <c r="R218" i="3" s="1"/>
  <c r="T218" i="3"/>
  <c r="P209" i="3"/>
  <c r="Q209" i="3" s="1"/>
  <c r="R209" i="3" s="1"/>
  <c r="T209" i="3"/>
  <c r="P207" i="3"/>
  <c r="Q207" i="3" s="1"/>
  <c r="R207" i="3" s="1"/>
  <c r="T207" i="3"/>
  <c r="P206" i="3"/>
  <c r="Q206" i="3" s="1"/>
  <c r="R206" i="3" s="1"/>
  <c r="T206" i="3"/>
  <c r="P205" i="3"/>
  <c r="Q205" i="3" s="1"/>
  <c r="R205" i="3" s="1"/>
  <c r="T205" i="3"/>
  <c r="P204" i="3"/>
  <c r="Q204" i="3" s="1"/>
  <c r="R204" i="3" s="1"/>
  <c r="T204" i="3"/>
  <c r="P203" i="3"/>
  <c r="Q203" i="3" s="1"/>
  <c r="R203" i="3" s="1"/>
  <c r="T203" i="3"/>
  <c r="P202" i="3"/>
  <c r="Q202" i="3" s="1"/>
  <c r="R202" i="3" s="1"/>
  <c r="T202" i="3"/>
  <c r="P201" i="3"/>
  <c r="Q201" i="3" s="1"/>
  <c r="R201" i="3" s="1"/>
  <c r="T201" i="3"/>
  <c r="P196" i="3"/>
  <c r="Q196" i="3" s="1"/>
  <c r="R196" i="3" s="1"/>
  <c r="T196" i="3"/>
  <c r="P189" i="3"/>
  <c r="Q189" i="3" s="1"/>
  <c r="R189" i="3" s="1"/>
  <c r="T189" i="3"/>
  <c r="P186" i="3"/>
  <c r="Q186" i="3" s="1"/>
  <c r="R186" i="3" s="1"/>
  <c r="T186" i="3"/>
  <c r="P184" i="3"/>
  <c r="Q184" i="3" s="1"/>
  <c r="R184" i="3" s="1"/>
  <c r="T184" i="3"/>
  <c r="P183" i="3"/>
  <c r="Q183" i="3" s="1"/>
  <c r="R183" i="3" s="1"/>
  <c r="T183" i="3"/>
  <c r="P182" i="3"/>
  <c r="Q182" i="3" s="1"/>
  <c r="R182" i="3" s="1"/>
  <c r="T182" i="3"/>
  <c r="P176" i="3"/>
  <c r="Q176" i="3" s="1"/>
  <c r="R176" i="3" s="1"/>
  <c r="T176" i="3"/>
  <c r="P175" i="3"/>
  <c r="Q175" i="3" s="1"/>
  <c r="R175" i="3" s="1"/>
  <c r="T175" i="3"/>
  <c r="P169" i="3"/>
  <c r="Q169" i="3" s="1"/>
  <c r="R169" i="3" s="1"/>
  <c r="T169" i="3"/>
  <c r="P166" i="3"/>
  <c r="Q166" i="3" s="1"/>
  <c r="R166" i="3" s="1"/>
  <c r="T166" i="3"/>
  <c r="P162" i="3"/>
  <c r="Q162" i="3" s="1"/>
  <c r="R162" i="3" s="1"/>
  <c r="T162" i="3"/>
  <c r="P144" i="3"/>
  <c r="Q144" i="3" s="1"/>
  <c r="R144" i="3" s="1"/>
  <c r="T144" i="3"/>
  <c r="P133" i="3"/>
  <c r="Q133" i="3" s="1"/>
  <c r="R133" i="3" s="1"/>
  <c r="T133" i="3"/>
  <c r="P122" i="3"/>
  <c r="Q122" i="3" s="1"/>
  <c r="R122" i="3" s="1"/>
  <c r="T122" i="3"/>
  <c r="P120" i="3"/>
  <c r="Q120" i="3" s="1"/>
  <c r="R120" i="3" s="1"/>
  <c r="T120" i="3"/>
  <c r="P119" i="3"/>
  <c r="Q119" i="3" s="1"/>
  <c r="R119" i="3" s="1"/>
  <c r="T119" i="3"/>
  <c r="P117" i="3"/>
  <c r="Q117" i="3" s="1"/>
  <c r="R117" i="3" s="1"/>
  <c r="T117" i="3"/>
  <c r="P116" i="3"/>
  <c r="Q116" i="3" s="1"/>
  <c r="R116" i="3" s="1"/>
  <c r="T116" i="3"/>
  <c r="P115" i="3"/>
  <c r="Q115" i="3" s="1"/>
  <c r="R115" i="3" s="1"/>
  <c r="T115" i="3"/>
  <c r="P113" i="3"/>
  <c r="Q113" i="3" s="1"/>
  <c r="R113" i="3" s="1"/>
  <c r="T113" i="3"/>
  <c r="P112" i="3"/>
  <c r="Q112" i="3" s="1"/>
  <c r="R112" i="3" s="1"/>
  <c r="T112" i="3"/>
  <c r="P110" i="3"/>
  <c r="Q110" i="3" s="1"/>
  <c r="R110" i="3" s="1"/>
  <c r="T110" i="3"/>
  <c r="P105" i="3"/>
  <c r="Q105" i="3" s="1"/>
  <c r="R105" i="3" s="1"/>
  <c r="T105" i="3"/>
  <c r="P96" i="3"/>
  <c r="Q96" i="3" s="1"/>
  <c r="R96" i="3" s="1"/>
  <c r="T96" i="3"/>
  <c r="P91" i="3"/>
  <c r="Q91" i="3" s="1"/>
  <c r="R91" i="3" s="1"/>
  <c r="T91" i="3"/>
  <c r="P89" i="3"/>
  <c r="Q89" i="3" s="1"/>
  <c r="R89" i="3" s="1"/>
  <c r="T89" i="3"/>
  <c r="P86" i="3"/>
  <c r="Q86" i="3" s="1"/>
  <c r="R86" i="3" s="1"/>
  <c r="T86" i="3"/>
  <c r="P84" i="3"/>
  <c r="Q84" i="3" s="1"/>
  <c r="R84" i="3" s="1"/>
  <c r="T84" i="3"/>
  <c r="P81" i="3"/>
  <c r="Q81" i="3" s="1"/>
  <c r="R81" i="3" s="1"/>
  <c r="T81" i="3"/>
  <c r="P79" i="3"/>
  <c r="Q79" i="3" s="1"/>
  <c r="R79" i="3" s="1"/>
  <c r="T79" i="3"/>
  <c r="P78" i="3"/>
  <c r="Q78" i="3" s="1"/>
  <c r="R78" i="3" s="1"/>
  <c r="T78" i="3"/>
  <c r="P76" i="3"/>
  <c r="Q76" i="3" s="1"/>
  <c r="R76" i="3" s="1"/>
  <c r="T76" i="3"/>
  <c r="P74" i="3"/>
  <c r="Q74" i="3" s="1"/>
  <c r="R74" i="3" s="1"/>
  <c r="T74" i="3"/>
  <c r="P73" i="3"/>
  <c r="Q73" i="3" s="1"/>
  <c r="R73" i="3" s="1"/>
  <c r="T73" i="3"/>
  <c r="P72" i="3"/>
  <c r="Q72" i="3" s="1"/>
  <c r="R72" i="3" s="1"/>
  <c r="T72" i="3"/>
  <c r="P71" i="3"/>
  <c r="Q71" i="3" s="1"/>
  <c r="R71" i="3" s="1"/>
  <c r="T71" i="3"/>
  <c r="P70" i="3"/>
  <c r="Q70" i="3" s="1"/>
  <c r="R70" i="3" s="1"/>
  <c r="T70" i="3"/>
  <c r="P69" i="3"/>
  <c r="Q69" i="3" s="1"/>
  <c r="R69" i="3" s="1"/>
  <c r="T69" i="3"/>
  <c r="P68" i="3"/>
  <c r="Q68" i="3" s="1"/>
  <c r="R68" i="3" s="1"/>
  <c r="T68" i="3"/>
  <c r="P57" i="3"/>
  <c r="Q57" i="3" s="1"/>
  <c r="R57" i="3" s="1"/>
  <c r="T57" i="3"/>
  <c r="P56" i="3"/>
  <c r="Q56" i="3" s="1"/>
  <c r="R56" i="3" s="1"/>
  <c r="T56" i="3"/>
  <c r="P54" i="3"/>
  <c r="Q54" i="3" s="1"/>
  <c r="R54" i="3" s="1"/>
  <c r="T54" i="3"/>
  <c r="P52" i="3"/>
  <c r="Q52" i="3" s="1"/>
  <c r="R52" i="3" s="1"/>
  <c r="T52" i="3"/>
  <c r="P49" i="3"/>
  <c r="Q49" i="3" s="1"/>
  <c r="R49" i="3" s="1"/>
  <c r="T49" i="3"/>
  <c r="P43" i="3"/>
  <c r="Q43" i="3" s="1"/>
  <c r="R43" i="3" s="1"/>
  <c r="T43" i="3"/>
  <c r="P42" i="3"/>
  <c r="Q42" i="3" s="1"/>
  <c r="R42" i="3" s="1"/>
  <c r="T42" i="3"/>
  <c r="P40" i="3"/>
  <c r="Q40" i="3" s="1"/>
  <c r="R40" i="3" s="1"/>
  <c r="T40" i="3"/>
  <c r="P38" i="3"/>
  <c r="Q38" i="3" s="1"/>
  <c r="R38" i="3" s="1"/>
  <c r="T38" i="3"/>
  <c r="P37" i="3"/>
  <c r="Q37" i="3" s="1"/>
  <c r="R37" i="3" s="1"/>
  <c r="T37" i="3"/>
  <c r="P33" i="3"/>
  <c r="Q33" i="3" s="1"/>
  <c r="R33" i="3" s="1"/>
  <c r="T33" i="3"/>
  <c r="P32" i="3"/>
  <c r="Q32" i="3" s="1"/>
  <c r="R32" i="3" s="1"/>
  <c r="T32" i="3"/>
  <c r="P28" i="3"/>
  <c r="Q28" i="3" s="1"/>
  <c r="R28" i="3" s="1"/>
  <c r="T28" i="3"/>
  <c r="P27" i="3"/>
  <c r="Q27" i="3" s="1"/>
  <c r="R27" i="3" s="1"/>
  <c r="T27" i="3"/>
  <c r="P26" i="3"/>
  <c r="Q26" i="3" s="1"/>
  <c r="R26" i="3" s="1"/>
  <c r="T26" i="3"/>
  <c r="P25" i="3"/>
  <c r="Q25" i="3" s="1"/>
  <c r="R25" i="3" s="1"/>
  <c r="T25" i="3"/>
  <c r="P23" i="3"/>
  <c r="Q23" i="3" s="1"/>
  <c r="R23" i="3" s="1"/>
  <c r="T23" i="3"/>
  <c r="P22" i="3"/>
  <c r="Q22" i="3" s="1"/>
  <c r="R22" i="3" s="1"/>
  <c r="T22" i="3"/>
  <c r="P21" i="3"/>
  <c r="Q21" i="3" s="1"/>
  <c r="R21" i="3" s="1"/>
  <c r="T21" i="3"/>
  <c r="P16" i="3"/>
  <c r="Q16" i="3" s="1"/>
  <c r="R16" i="3" s="1"/>
  <c r="T16" i="3"/>
  <c r="P14" i="3"/>
  <c r="Q14" i="3" s="1"/>
  <c r="R14" i="3" s="1"/>
  <c r="T14" i="3"/>
  <c r="P13" i="3"/>
  <c r="Q13" i="3" s="1"/>
  <c r="R13" i="3" s="1"/>
  <c r="T13" i="3"/>
  <c r="N738" i="4"/>
  <c r="R738" i="4" s="1"/>
  <c r="O738" i="4"/>
  <c r="S738" i="4" s="1"/>
  <c r="Y738" i="4" s="1"/>
  <c r="O741" i="4"/>
  <c r="S741" i="4" s="1"/>
  <c r="N741" i="4"/>
  <c r="R741" i="4" s="1"/>
  <c r="X741" i="4" s="1"/>
  <c r="N750" i="4"/>
  <c r="R750" i="4" s="1"/>
  <c r="O750" i="4"/>
  <c r="S750" i="4" s="1"/>
  <c r="Y750" i="4" s="1"/>
  <c r="O752" i="4"/>
  <c r="S752" i="4" s="1"/>
  <c r="N752" i="4"/>
  <c r="R752" i="4" s="1"/>
  <c r="X752" i="4" s="1"/>
  <c r="N766" i="4"/>
  <c r="R766" i="4" s="1"/>
  <c r="O766" i="4"/>
  <c r="S766" i="4" s="1"/>
  <c r="Y766" i="4" s="1"/>
  <c r="N768" i="4"/>
  <c r="R768" i="4" s="1"/>
  <c r="O768" i="4"/>
  <c r="S768" i="4" s="1"/>
  <c r="Y768" i="4" s="1"/>
  <c r="O770" i="4"/>
  <c r="S770" i="4" s="1"/>
  <c r="N770" i="4"/>
  <c r="R770" i="4" s="1"/>
  <c r="X770" i="4" s="1"/>
  <c r="O772" i="4"/>
  <c r="S772" i="4" s="1"/>
  <c r="N772" i="4"/>
  <c r="R772" i="4" s="1"/>
  <c r="X772" i="4" s="1"/>
  <c r="N774" i="4"/>
  <c r="R774" i="4" s="1"/>
  <c r="O774" i="4"/>
  <c r="S774" i="4" s="1"/>
  <c r="Y774" i="4" s="1"/>
  <c r="O776" i="4"/>
  <c r="S776" i="4" s="1"/>
  <c r="N776" i="4"/>
  <c r="R776" i="4" s="1"/>
  <c r="X776" i="4" s="1"/>
  <c r="O784" i="4"/>
  <c r="S784" i="4" s="1"/>
  <c r="N784" i="4"/>
  <c r="R784" i="4" s="1"/>
  <c r="X784" i="4" s="1"/>
  <c r="O789" i="4"/>
  <c r="S789" i="4" s="1"/>
  <c r="N789" i="4"/>
  <c r="R789" i="4" s="1"/>
  <c r="X789" i="4" s="1"/>
  <c r="N790" i="4"/>
  <c r="R790" i="4" s="1"/>
  <c r="O790" i="4"/>
  <c r="S790" i="4" s="1"/>
  <c r="Y790" i="4" s="1"/>
  <c r="O795" i="4"/>
  <c r="S795" i="4" s="1"/>
  <c r="N795" i="4"/>
  <c r="R795" i="4" s="1"/>
  <c r="X795" i="4" s="1"/>
  <c r="N796" i="4"/>
  <c r="R796" i="4" s="1"/>
  <c r="O796" i="4"/>
  <c r="S796" i="4" s="1"/>
  <c r="Y796" i="4" s="1"/>
  <c r="N801" i="4"/>
  <c r="R801" i="4" s="1"/>
  <c r="O801" i="4"/>
  <c r="S801" i="4" s="1"/>
  <c r="Y801" i="4" s="1"/>
  <c r="N802" i="4"/>
  <c r="R802" i="4" s="1"/>
  <c r="O802" i="4"/>
  <c r="S802" i="4" s="1"/>
  <c r="Y802" i="4" s="1"/>
  <c r="O803" i="4"/>
  <c r="S803" i="4" s="1"/>
  <c r="N803" i="4"/>
  <c r="R803" i="4" s="1"/>
  <c r="X803" i="4" s="1"/>
  <c r="N976" i="4"/>
  <c r="R976" i="4" s="1"/>
  <c r="O976" i="4"/>
  <c r="S976" i="4" s="1"/>
  <c r="Y976" i="4" s="1"/>
  <c r="O980" i="4"/>
  <c r="S980" i="4" s="1"/>
  <c r="N980" i="4"/>
  <c r="R980" i="4" s="1"/>
  <c r="X980" i="4" s="1"/>
  <c r="O987" i="4"/>
  <c r="S987" i="4" s="1"/>
  <c r="N987" i="4"/>
  <c r="R987" i="4" s="1"/>
  <c r="X987" i="4" s="1"/>
  <c r="N1007" i="4"/>
  <c r="R1007" i="4" s="1"/>
  <c r="O1007" i="4"/>
  <c r="S1007" i="4" s="1"/>
  <c r="Y1007" i="4" s="1"/>
  <c r="O1015" i="4"/>
  <c r="S1015" i="4" s="1"/>
  <c r="N1015" i="4"/>
  <c r="R1015" i="4" s="1"/>
  <c r="X1015" i="4" s="1"/>
  <c r="N1018" i="4"/>
  <c r="R1018" i="4" s="1"/>
  <c r="O1018" i="4"/>
  <c r="S1018" i="4" s="1"/>
  <c r="Y1018" i="4" s="1"/>
  <c r="N1020" i="4"/>
  <c r="R1020" i="4" s="1"/>
  <c r="O1020" i="4"/>
  <c r="S1020" i="4" s="1"/>
  <c r="Y1020" i="4" s="1"/>
  <c r="N1029" i="4"/>
  <c r="R1029" i="4" s="1"/>
  <c r="O1029" i="4"/>
  <c r="S1029" i="4" s="1"/>
  <c r="Y1029" i="4" s="1"/>
  <c r="N1031" i="4"/>
  <c r="R1031" i="4" s="1"/>
  <c r="O1031" i="4"/>
  <c r="S1031" i="4" s="1"/>
  <c r="Y1031" i="4" s="1"/>
  <c r="O1033" i="4"/>
  <c r="S1033" i="4" s="1"/>
  <c r="N1033" i="4"/>
  <c r="R1033" i="4" s="1"/>
  <c r="X1033" i="4" s="1"/>
  <c r="N1039" i="4"/>
  <c r="R1039" i="4" s="1"/>
  <c r="O1039" i="4"/>
  <c r="S1039" i="4" s="1"/>
  <c r="Y1039" i="4" s="1"/>
  <c r="O1042" i="4"/>
  <c r="S1042" i="4" s="1"/>
  <c r="N1042" i="4"/>
  <c r="R1042" i="4" s="1"/>
  <c r="X1042" i="4" s="1"/>
  <c r="O1048" i="4"/>
  <c r="S1048" i="4" s="1"/>
  <c r="N1048" i="4"/>
  <c r="R1048" i="4" s="1"/>
  <c r="X1048" i="4" s="1"/>
  <c r="N737" i="4"/>
  <c r="R737" i="4" s="1"/>
  <c r="O737" i="4"/>
  <c r="S737" i="4" s="1"/>
  <c r="Y737" i="4" s="1"/>
  <c r="O739" i="4"/>
  <c r="S739" i="4" s="1"/>
  <c r="N739" i="4"/>
  <c r="R739" i="4" s="1"/>
  <c r="X739" i="4" s="1"/>
  <c r="N744" i="4"/>
  <c r="R744" i="4" s="1"/>
  <c r="O744" i="4"/>
  <c r="S744" i="4" s="1"/>
  <c r="Y744" i="4" s="1"/>
  <c r="O746" i="4"/>
  <c r="S746" i="4" s="1"/>
  <c r="N746" i="4"/>
  <c r="R746" i="4" s="1"/>
  <c r="X746" i="4" s="1"/>
  <c r="O749" i="4"/>
  <c r="S749" i="4" s="1"/>
  <c r="N749" i="4"/>
  <c r="R749" i="4" s="1"/>
  <c r="X749" i="4" s="1"/>
  <c r="N755" i="4"/>
  <c r="R755" i="4" s="1"/>
  <c r="O755" i="4"/>
  <c r="S755" i="4" s="1"/>
  <c r="Y755" i="4" s="1"/>
  <c r="O759" i="4"/>
  <c r="S759" i="4" s="1"/>
  <c r="N759" i="4"/>
  <c r="R759" i="4" s="1"/>
  <c r="X759" i="4" s="1"/>
  <c r="N762" i="4"/>
  <c r="R762" i="4" s="1"/>
  <c r="O762" i="4"/>
  <c r="S762" i="4" s="1"/>
  <c r="Y762" i="4" s="1"/>
  <c r="N765" i="4"/>
  <c r="R765" i="4" s="1"/>
  <c r="O765" i="4"/>
  <c r="S765" i="4" s="1"/>
  <c r="Y765" i="4" s="1"/>
  <c r="N773" i="4"/>
  <c r="R773" i="4" s="1"/>
  <c r="O773" i="4"/>
  <c r="S773" i="4" s="1"/>
  <c r="Y773" i="4" s="1"/>
  <c r="N775" i="4"/>
  <c r="R775" i="4" s="1"/>
  <c r="O775" i="4"/>
  <c r="S775" i="4" s="1"/>
  <c r="Y775" i="4" s="1"/>
  <c r="N778" i="4"/>
  <c r="R778" i="4" s="1"/>
  <c r="O778" i="4"/>
  <c r="S778" i="4" s="1"/>
  <c r="Y778" i="4" s="1"/>
  <c r="N780" i="4"/>
  <c r="R780" i="4" s="1"/>
  <c r="O780" i="4"/>
  <c r="S780" i="4" s="1"/>
  <c r="Y780" i="4" s="1"/>
  <c r="O787" i="4"/>
  <c r="S787" i="4" s="1"/>
  <c r="N787" i="4"/>
  <c r="R787" i="4" s="1"/>
  <c r="X787" i="4" s="1"/>
  <c r="N788" i="4"/>
  <c r="R788" i="4" s="1"/>
  <c r="O788" i="4"/>
  <c r="S788" i="4" s="1"/>
  <c r="Y788" i="4" s="1"/>
  <c r="N792" i="4"/>
  <c r="R792" i="4" s="1"/>
  <c r="O792" i="4"/>
  <c r="S792" i="4" s="1"/>
  <c r="Y792" i="4" s="1"/>
  <c r="N793" i="4"/>
  <c r="R793" i="4" s="1"/>
  <c r="O793" i="4"/>
  <c r="S793" i="4" s="1"/>
  <c r="Y793" i="4" s="1"/>
  <c r="O794" i="4"/>
  <c r="S794" i="4" s="1"/>
  <c r="N794" i="4"/>
  <c r="R794" i="4" s="1"/>
  <c r="X794" i="4" s="1"/>
  <c r="O826" i="4"/>
  <c r="S826" i="4" s="1"/>
  <c r="N826" i="4"/>
  <c r="R826" i="4" s="1"/>
  <c r="X826" i="4" s="1"/>
  <c r="O851" i="4"/>
  <c r="S851" i="4" s="1"/>
  <c r="N851" i="4"/>
  <c r="R851" i="4" s="1"/>
  <c r="X851" i="4" s="1"/>
  <c r="O856" i="4"/>
  <c r="S856" i="4" s="1"/>
  <c r="N856" i="4"/>
  <c r="R856" i="4" s="1"/>
  <c r="X856" i="4" s="1"/>
  <c r="N872" i="4"/>
  <c r="R872" i="4" s="1"/>
  <c r="O872" i="4"/>
  <c r="S872" i="4" s="1"/>
  <c r="Y872" i="4" s="1"/>
  <c r="O874" i="4"/>
  <c r="S874" i="4" s="1"/>
  <c r="N874" i="4"/>
  <c r="R874" i="4" s="1"/>
  <c r="X874" i="4" s="1"/>
  <c r="N877" i="4"/>
  <c r="R877" i="4" s="1"/>
  <c r="O877" i="4"/>
  <c r="S877" i="4" s="1"/>
  <c r="Y877" i="4" s="1"/>
  <c r="N880" i="4"/>
  <c r="R880" i="4" s="1"/>
  <c r="O880" i="4"/>
  <c r="S880" i="4" s="1"/>
  <c r="Y880" i="4" s="1"/>
  <c r="N887" i="4"/>
  <c r="R887" i="4" s="1"/>
  <c r="O887" i="4"/>
  <c r="S887" i="4" s="1"/>
  <c r="Y887" i="4" s="1"/>
  <c r="N888" i="4"/>
  <c r="R888" i="4" s="1"/>
  <c r="O888" i="4"/>
  <c r="S888" i="4" s="1"/>
  <c r="Y888" i="4" s="1"/>
  <c r="O890" i="4"/>
  <c r="S890" i="4" s="1"/>
  <c r="N890" i="4"/>
  <c r="R890" i="4" s="1"/>
  <c r="X890" i="4" s="1"/>
  <c r="N897" i="4"/>
  <c r="R897" i="4" s="1"/>
  <c r="O897" i="4"/>
  <c r="S897" i="4" s="1"/>
  <c r="Y897" i="4" s="1"/>
  <c r="O900" i="4"/>
  <c r="S900" i="4" s="1"/>
  <c r="N900" i="4"/>
  <c r="R900" i="4" s="1"/>
  <c r="X900" i="4" s="1"/>
  <c r="O907" i="4"/>
  <c r="S907" i="4" s="1"/>
  <c r="N907" i="4"/>
  <c r="R907" i="4" s="1"/>
  <c r="X907" i="4" s="1"/>
  <c r="N909" i="4"/>
  <c r="R909" i="4" s="1"/>
  <c r="O909" i="4"/>
  <c r="S909" i="4" s="1"/>
  <c r="Y909" i="4" s="1"/>
  <c r="N911" i="4"/>
  <c r="R911" i="4" s="1"/>
  <c r="O911" i="4"/>
  <c r="S911" i="4" s="1"/>
  <c r="Y911" i="4" s="1"/>
  <c r="N916" i="4"/>
  <c r="R916" i="4" s="1"/>
  <c r="O916" i="4"/>
  <c r="S916" i="4" s="1"/>
  <c r="Y916" i="4" s="1"/>
  <c r="N927" i="4"/>
  <c r="R927" i="4" s="1"/>
  <c r="O927" i="4"/>
  <c r="S927" i="4" s="1"/>
  <c r="Y927" i="4" s="1"/>
  <c r="N928" i="4"/>
  <c r="R928" i="4" s="1"/>
  <c r="O928" i="4"/>
  <c r="S928" i="4" s="1"/>
  <c r="Y928" i="4" s="1"/>
  <c r="O950" i="4"/>
  <c r="S950" i="4" s="1"/>
  <c r="N950" i="4"/>
  <c r="R950" i="4" s="1"/>
  <c r="X950" i="4" s="1"/>
  <c r="O992" i="4"/>
  <c r="S992" i="4" s="1"/>
  <c r="N992" i="4"/>
  <c r="R992" i="4" s="1"/>
  <c r="X992" i="4" s="1"/>
  <c r="O994" i="4"/>
  <c r="S994" i="4" s="1"/>
  <c r="N994" i="4"/>
  <c r="R994" i="4" s="1"/>
  <c r="X994" i="4" s="1"/>
  <c r="O1028" i="4"/>
  <c r="S1028" i="4" s="1"/>
  <c r="N1028" i="4"/>
  <c r="R1028" i="4" s="1"/>
  <c r="X1028" i="4" s="1"/>
  <c r="O1030" i="4"/>
  <c r="S1030" i="4" s="1"/>
  <c r="N1030" i="4"/>
  <c r="R1030" i="4" s="1"/>
  <c r="X1030" i="4" s="1"/>
  <c r="O742" i="4"/>
  <c r="S742" i="4" s="1"/>
  <c r="N742" i="4"/>
  <c r="R742" i="4" s="1"/>
  <c r="X742" i="4" s="1"/>
  <c r="N753" i="4"/>
  <c r="R753" i="4" s="1"/>
  <c r="O753" i="4"/>
  <c r="S753" i="4" s="1"/>
  <c r="Y753" i="4" s="1"/>
  <c r="N761" i="4"/>
  <c r="R761" i="4" s="1"/>
  <c r="O761" i="4"/>
  <c r="S761" i="4" s="1"/>
  <c r="Y761" i="4" s="1"/>
  <c r="N764" i="4"/>
  <c r="R764" i="4" s="1"/>
  <c r="O764" i="4"/>
  <c r="S764" i="4" s="1"/>
  <c r="Y764" i="4" s="1"/>
  <c r="O767" i="4"/>
  <c r="S767" i="4" s="1"/>
  <c r="N767" i="4"/>
  <c r="R767" i="4" s="1"/>
  <c r="X767" i="4" s="1"/>
  <c r="O769" i="4"/>
  <c r="S769" i="4" s="1"/>
  <c r="N769" i="4"/>
  <c r="R769" i="4" s="1"/>
  <c r="X769" i="4" s="1"/>
  <c r="N779" i="4"/>
  <c r="R779" i="4" s="1"/>
  <c r="O779" i="4"/>
  <c r="S779" i="4" s="1"/>
  <c r="Y779" i="4" s="1"/>
  <c r="N782" i="4"/>
  <c r="R782" i="4" s="1"/>
  <c r="O782" i="4"/>
  <c r="S782" i="4" s="1"/>
  <c r="Y782" i="4" s="1"/>
  <c r="N785" i="4"/>
  <c r="R785" i="4" s="1"/>
  <c r="O785" i="4"/>
  <c r="S785" i="4" s="1"/>
  <c r="Y785" i="4" s="1"/>
  <c r="O797" i="4"/>
  <c r="S797" i="4" s="1"/>
  <c r="N797" i="4"/>
  <c r="R797" i="4" s="1"/>
  <c r="X797" i="4" s="1"/>
  <c r="O812" i="4"/>
  <c r="S812" i="4" s="1"/>
  <c r="N812" i="4"/>
  <c r="R812" i="4" s="1"/>
  <c r="X812" i="4" s="1"/>
  <c r="O813" i="4"/>
  <c r="S813" i="4" s="1"/>
  <c r="N813" i="4"/>
  <c r="R813" i="4" s="1"/>
  <c r="X813" i="4" s="1"/>
  <c r="O816" i="4"/>
  <c r="S816" i="4" s="1"/>
  <c r="N816" i="4"/>
  <c r="R816" i="4" s="1"/>
  <c r="X816" i="4" s="1"/>
  <c r="N818" i="4"/>
  <c r="R818" i="4" s="1"/>
  <c r="O818" i="4"/>
  <c r="S818" i="4" s="1"/>
  <c r="Y818" i="4" s="1"/>
  <c r="O824" i="4"/>
  <c r="S824" i="4" s="1"/>
  <c r="N824" i="4"/>
  <c r="R824" i="4" s="1"/>
  <c r="X824" i="4" s="1"/>
  <c r="O839" i="4"/>
  <c r="S839" i="4" s="1"/>
  <c r="N839" i="4"/>
  <c r="R839" i="4" s="1"/>
  <c r="X839" i="4" s="1"/>
  <c r="O848" i="4"/>
  <c r="S848" i="4" s="1"/>
  <c r="N848" i="4"/>
  <c r="R848" i="4" s="1"/>
  <c r="X848" i="4" s="1"/>
  <c r="O891" i="4"/>
  <c r="S891" i="4" s="1"/>
  <c r="N891" i="4"/>
  <c r="R891" i="4" s="1"/>
  <c r="X891" i="4" s="1"/>
  <c r="N965" i="4"/>
  <c r="R965" i="4" s="1"/>
  <c r="O965" i="4"/>
  <c r="S965" i="4" s="1"/>
  <c r="Y965" i="4" s="1"/>
  <c r="N977" i="4"/>
  <c r="R977" i="4" s="1"/>
  <c r="O977" i="4"/>
  <c r="S977" i="4" s="1"/>
  <c r="Y977" i="4" s="1"/>
  <c r="O996" i="4"/>
  <c r="S996" i="4" s="1"/>
  <c r="N996" i="4"/>
  <c r="R996" i="4" s="1"/>
  <c r="X996" i="4" s="1"/>
  <c r="N781" i="4"/>
  <c r="R781" i="4" s="1"/>
  <c r="O781" i="4"/>
  <c r="S781" i="4" s="1"/>
  <c r="Y781" i="4" s="1"/>
  <c r="N835" i="4"/>
  <c r="R835" i="4" s="1"/>
  <c r="O835" i="4"/>
  <c r="S835" i="4" s="1"/>
  <c r="Y835" i="4" s="1"/>
  <c r="N27" i="4"/>
  <c r="R27" i="4" s="1"/>
  <c r="O27" i="4"/>
  <c r="S27" i="4" s="1"/>
  <c r="Y27" i="4" s="1"/>
  <c r="O53" i="4"/>
  <c r="S53" i="4" s="1"/>
  <c r="N53" i="4"/>
  <c r="R53" i="4" s="1"/>
  <c r="X53" i="4" s="1"/>
  <c r="N56" i="4"/>
  <c r="R56" i="4" s="1"/>
  <c r="O56" i="4"/>
  <c r="S56" i="4" s="1"/>
  <c r="Y56" i="4" s="1"/>
  <c r="O62" i="4"/>
  <c r="S62" i="4" s="1"/>
  <c r="N62" i="4"/>
  <c r="R62" i="4" s="1"/>
  <c r="X62" i="4" s="1"/>
  <c r="O70" i="4"/>
  <c r="S70" i="4" s="1"/>
  <c r="N70" i="4"/>
  <c r="R70" i="4" s="1"/>
  <c r="X70" i="4" s="1"/>
  <c r="O78" i="4"/>
  <c r="S78" i="4" s="1"/>
  <c r="N78" i="4"/>
  <c r="R78" i="4" s="1"/>
  <c r="X78" i="4" s="1"/>
  <c r="O86" i="4"/>
  <c r="S86" i="4" s="1"/>
  <c r="N86" i="4"/>
  <c r="R86" i="4" s="1"/>
  <c r="X86" i="4" s="1"/>
  <c r="O94" i="4"/>
  <c r="S94" i="4" s="1"/>
  <c r="N94" i="4"/>
  <c r="R94" i="4" s="1"/>
  <c r="X94" i="4" s="1"/>
  <c r="O875" i="4"/>
  <c r="S875" i="4" s="1"/>
  <c r="N875" i="4"/>
  <c r="R875" i="4" s="1"/>
  <c r="X875" i="4" s="1"/>
  <c r="O878" i="4"/>
  <c r="S878" i="4" s="1"/>
  <c r="N878" i="4"/>
  <c r="R878" i="4" s="1"/>
  <c r="X878" i="4" s="1"/>
  <c r="N881" i="4"/>
  <c r="R881" i="4" s="1"/>
  <c r="O881" i="4"/>
  <c r="S881" i="4" s="1"/>
  <c r="Y881" i="4" s="1"/>
  <c r="O889" i="4"/>
  <c r="S889" i="4" s="1"/>
  <c r="N889" i="4"/>
  <c r="R889" i="4" s="1"/>
  <c r="X889" i="4" s="1"/>
  <c r="N896" i="4"/>
  <c r="R896" i="4" s="1"/>
  <c r="O896" i="4"/>
  <c r="S896" i="4" s="1"/>
  <c r="Y896" i="4" s="1"/>
  <c r="N899" i="4"/>
  <c r="R899" i="4" s="1"/>
  <c r="O899" i="4"/>
  <c r="S899" i="4" s="1"/>
  <c r="Y899" i="4" s="1"/>
  <c r="O906" i="4"/>
  <c r="N906" i="4"/>
  <c r="N910" i="4"/>
  <c r="R910" i="4" s="1"/>
  <c r="O910" i="4"/>
  <c r="S910" i="4" s="1"/>
  <c r="Y910" i="4" s="1"/>
  <c r="O912" i="4"/>
  <c r="S912" i="4" s="1"/>
  <c r="N912" i="4"/>
  <c r="R912" i="4" s="1"/>
  <c r="X912" i="4" s="1"/>
  <c r="O923" i="4"/>
  <c r="S923" i="4" s="1"/>
  <c r="N923" i="4"/>
  <c r="R923" i="4" s="1"/>
  <c r="X923" i="4" s="1"/>
  <c r="O925" i="4"/>
  <c r="S925" i="4" s="1"/>
  <c r="N925" i="4"/>
  <c r="R925" i="4" s="1"/>
  <c r="X925" i="4" s="1"/>
  <c r="N940" i="4"/>
  <c r="R940" i="4" s="1"/>
  <c r="O940" i="4"/>
  <c r="S940" i="4" s="1"/>
  <c r="Y940" i="4" s="1"/>
  <c r="O949" i="4"/>
  <c r="S949" i="4" s="1"/>
  <c r="N949" i="4"/>
  <c r="R949" i="4" s="1"/>
  <c r="X949" i="4" s="1"/>
  <c r="N954" i="4"/>
  <c r="R954" i="4" s="1"/>
  <c r="O954" i="4"/>
  <c r="S954" i="4" s="1"/>
  <c r="Y954" i="4" s="1"/>
  <c r="O956" i="4"/>
  <c r="S956" i="4" s="1"/>
  <c r="N956" i="4"/>
  <c r="R956" i="4" s="1"/>
  <c r="X956" i="4" s="1"/>
  <c r="O964" i="4"/>
  <c r="S964" i="4" s="1"/>
  <c r="N964" i="4"/>
  <c r="R964" i="4" s="1"/>
  <c r="X964" i="4" s="1"/>
  <c r="N974" i="4"/>
  <c r="R974" i="4" s="1"/>
  <c r="O974" i="4"/>
  <c r="S974" i="4" s="1"/>
  <c r="Y974" i="4" s="1"/>
  <c r="N985" i="4"/>
  <c r="R985" i="4" s="1"/>
  <c r="O985" i="4"/>
  <c r="S985" i="4" s="1"/>
  <c r="Y985" i="4" s="1"/>
  <c r="O993" i="4"/>
  <c r="S993" i="4" s="1"/>
  <c r="N993" i="4"/>
  <c r="R993" i="4" s="1"/>
  <c r="X993" i="4" s="1"/>
  <c r="O1008" i="4"/>
  <c r="S1008" i="4" s="1"/>
  <c r="N1008" i="4"/>
  <c r="R1008" i="4" s="1"/>
  <c r="X1008" i="4" s="1"/>
  <c r="N1017" i="4"/>
  <c r="R1017" i="4" s="1"/>
  <c r="O1017" i="4"/>
  <c r="S1017" i="4" s="1"/>
  <c r="Y1017" i="4" s="1"/>
  <c r="N1019" i="4"/>
  <c r="R1019" i="4" s="1"/>
  <c r="O1019" i="4"/>
  <c r="S1019" i="4" s="1"/>
  <c r="Y1019" i="4" s="1"/>
  <c r="O1032" i="4"/>
  <c r="S1032" i="4" s="1"/>
  <c r="N1032" i="4"/>
  <c r="R1032" i="4" s="1"/>
  <c r="X1032" i="4" s="1"/>
  <c r="N1040" i="4"/>
  <c r="R1040" i="4" s="1"/>
  <c r="O1040" i="4"/>
  <c r="S1040" i="4" s="1"/>
  <c r="Y1040" i="4" s="1"/>
  <c r="O11" i="4"/>
  <c r="S11" i="4" s="1"/>
  <c r="N11" i="4"/>
  <c r="R11" i="4" s="1"/>
  <c r="X11" i="4" s="1"/>
  <c r="O47" i="4"/>
  <c r="S47" i="4" s="1"/>
  <c r="N47" i="4"/>
  <c r="R47" i="4" s="1"/>
  <c r="X47" i="4" s="1"/>
  <c r="O48" i="4"/>
  <c r="S48" i="4" s="1"/>
  <c r="N48" i="4"/>
  <c r="R48" i="4" s="1"/>
  <c r="X48" i="4" s="1"/>
  <c r="O49" i="4"/>
  <c r="S49" i="4" s="1"/>
  <c r="N49" i="4"/>
  <c r="R49" i="4" s="1"/>
  <c r="X49" i="4" s="1"/>
  <c r="O54" i="4"/>
  <c r="S54" i="4" s="1"/>
  <c r="N54" i="4"/>
  <c r="R54" i="4" s="1"/>
  <c r="X54" i="4" s="1"/>
  <c r="O57" i="4"/>
  <c r="S57" i="4" s="1"/>
  <c r="N57" i="4"/>
  <c r="R57" i="4" s="1"/>
  <c r="X57" i="4" s="1"/>
  <c r="O65" i="4"/>
  <c r="S65" i="4" s="1"/>
  <c r="N65" i="4"/>
  <c r="R65" i="4" s="1"/>
  <c r="X65" i="4" s="1"/>
  <c r="O73" i="4"/>
  <c r="S73" i="4" s="1"/>
  <c r="N73" i="4"/>
  <c r="R73" i="4" s="1"/>
  <c r="X73" i="4" s="1"/>
  <c r="O81" i="4"/>
  <c r="S81" i="4" s="1"/>
  <c r="N81" i="4"/>
  <c r="R81" i="4" s="1"/>
  <c r="X81" i="4" s="1"/>
  <c r="O89" i="4"/>
  <c r="S89" i="4" s="1"/>
  <c r="N89" i="4"/>
  <c r="R89" i="4" s="1"/>
  <c r="X89" i="4" s="1"/>
  <c r="O96" i="4"/>
  <c r="S96" i="4" s="1"/>
  <c r="N96" i="4"/>
  <c r="R96" i="4" s="1"/>
  <c r="X96" i="4" s="1"/>
  <c r="N101" i="4"/>
  <c r="R101" i="4" s="1"/>
  <c r="O101" i="4"/>
  <c r="S101" i="4" s="1"/>
  <c r="Y101" i="4" s="1"/>
  <c r="O112" i="4"/>
  <c r="S112" i="4" s="1"/>
  <c r="N112" i="4"/>
  <c r="R112" i="4" s="1"/>
  <c r="X112" i="4" s="1"/>
  <c r="O113" i="4"/>
  <c r="S113" i="4" s="1"/>
  <c r="N113" i="4"/>
  <c r="R113" i="4" s="1"/>
  <c r="X113" i="4" s="1"/>
  <c r="O114" i="4"/>
  <c r="S114" i="4" s="1"/>
  <c r="N114" i="4"/>
  <c r="R114" i="4" s="1"/>
  <c r="X114" i="4" s="1"/>
  <c r="O115" i="4"/>
  <c r="S115" i="4" s="1"/>
  <c r="N115" i="4"/>
  <c r="R115" i="4" s="1"/>
  <c r="X115" i="4" s="1"/>
  <c r="O116" i="4"/>
  <c r="S116" i="4" s="1"/>
  <c r="N116" i="4"/>
  <c r="R116" i="4" s="1"/>
  <c r="X116" i="4" s="1"/>
  <c r="O117" i="4"/>
  <c r="S117" i="4" s="1"/>
  <c r="N117" i="4"/>
  <c r="R117" i="4" s="1"/>
  <c r="X117" i="4" s="1"/>
  <c r="O118" i="4"/>
  <c r="S118" i="4" s="1"/>
  <c r="N118" i="4"/>
  <c r="R118" i="4" s="1"/>
  <c r="X118" i="4" s="1"/>
  <c r="O119" i="4"/>
  <c r="S119" i="4" s="1"/>
  <c r="N119" i="4"/>
  <c r="R119" i="4" s="1"/>
  <c r="X119" i="4" s="1"/>
  <c r="O120" i="4"/>
  <c r="S120" i="4" s="1"/>
  <c r="N120" i="4"/>
  <c r="R120" i="4" s="1"/>
  <c r="X120" i="4" s="1"/>
  <c r="O121" i="4"/>
  <c r="S121" i="4" s="1"/>
  <c r="N121" i="4"/>
  <c r="R121" i="4" s="1"/>
  <c r="X121" i="4" s="1"/>
  <c r="O122" i="4"/>
  <c r="S122" i="4" s="1"/>
  <c r="N122" i="4"/>
  <c r="R122" i="4" s="1"/>
  <c r="X122" i="4" s="1"/>
  <c r="O123" i="4"/>
  <c r="S123" i="4" s="1"/>
  <c r="N123" i="4"/>
  <c r="R123" i="4" s="1"/>
  <c r="X123" i="4" s="1"/>
  <c r="O124" i="4"/>
  <c r="S124" i="4" s="1"/>
  <c r="N124" i="4"/>
  <c r="R124" i="4" s="1"/>
  <c r="X124" i="4" s="1"/>
  <c r="O125" i="4"/>
  <c r="S125" i="4" s="1"/>
  <c r="N125" i="4"/>
  <c r="R125" i="4" s="1"/>
  <c r="X125" i="4" s="1"/>
  <c r="O126" i="4"/>
  <c r="S126" i="4" s="1"/>
  <c r="N126" i="4"/>
  <c r="R126" i="4" s="1"/>
  <c r="X126" i="4" s="1"/>
  <c r="O127" i="4"/>
  <c r="S127" i="4" s="1"/>
  <c r="N127" i="4"/>
  <c r="R127" i="4" s="1"/>
  <c r="X127" i="4" s="1"/>
  <c r="O128" i="4"/>
  <c r="S128" i="4" s="1"/>
  <c r="N128" i="4"/>
  <c r="R128" i="4" s="1"/>
  <c r="X128" i="4" s="1"/>
  <c r="O129" i="4"/>
  <c r="S129" i="4" s="1"/>
  <c r="N129" i="4"/>
  <c r="R129" i="4" s="1"/>
  <c r="X129" i="4" s="1"/>
  <c r="O130" i="4"/>
  <c r="S130" i="4" s="1"/>
  <c r="N130" i="4"/>
  <c r="R130" i="4" s="1"/>
  <c r="X130" i="4" s="1"/>
  <c r="O131" i="4"/>
  <c r="S131" i="4" s="1"/>
  <c r="N131" i="4"/>
  <c r="R131" i="4" s="1"/>
  <c r="X131" i="4" s="1"/>
  <c r="O132" i="4"/>
  <c r="S132" i="4" s="1"/>
  <c r="N132" i="4"/>
  <c r="R132" i="4" s="1"/>
  <c r="X132" i="4" s="1"/>
  <c r="O133" i="4"/>
  <c r="S133" i="4" s="1"/>
  <c r="N133" i="4"/>
  <c r="R133" i="4" s="1"/>
  <c r="X133" i="4" s="1"/>
  <c r="O134" i="4"/>
  <c r="S134" i="4" s="1"/>
  <c r="N134" i="4"/>
  <c r="R134" i="4" s="1"/>
  <c r="X134" i="4" s="1"/>
  <c r="O135" i="4"/>
  <c r="S135" i="4" s="1"/>
  <c r="N135" i="4"/>
  <c r="R135" i="4" s="1"/>
  <c r="X135" i="4" s="1"/>
  <c r="O136" i="4"/>
  <c r="S136" i="4" s="1"/>
  <c r="N136" i="4"/>
  <c r="R136" i="4" s="1"/>
  <c r="X136" i="4" s="1"/>
  <c r="O137" i="4"/>
  <c r="S137" i="4" s="1"/>
  <c r="N137" i="4"/>
  <c r="R137" i="4" s="1"/>
  <c r="X137" i="4" s="1"/>
  <c r="O138" i="4"/>
  <c r="S138" i="4" s="1"/>
  <c r="N138" i="4"/>
  <c r="R138" i="4" s="1"/>
  <c r="X138" i="4" s="1"/>
  <c r="O139" i="4"/>
  <c r="S139" i="4" s="1"/>
  <c r="N139" i="4"/>
  <c r="R139" i="4" s="1"/>
  <c r="X139" i="4" s="1"/>
  <c r="O140" i="4"/>
  <c r="S140" i="4" s="1"/>
  <c r="N140" i="4"/>
  <c r="R140" i="4" s="1"/>
  <c r="X140" i="4" s="1"/>
  <c r="O141" i="4"/>
  <c r="S141" i="4" s="1"/>
  <c r="N141" i="4"/>
  <c r="R141" i="4" s="1"/>
  <c r="X141" i="4" s="1"/>
  <c r="O142" i="4"/>
  <c r="S142" i="4" s="1"/>
  <c r="N142" i="4"/>
  <c r="R142" i="4" s="1"/>
  <c r="X142" i="4" s="1"/>
  <c r="O143" i="4"/>
  <c r="S143" i="4" s="1"/>
  <c r="N143" i="4"/>
  <c r="R143" i="4" s="1"/>
  <c r="X143" i="4" s="1"/>
  <c r="O144" i="4"/>
  <c r="S144" i="4" s="1"/>
  <c r="N144" i="4"/>
  <c r="R144" i="4" s="1"/>
  <c r="X144" i="4" s="1"/>
  <c r="O145" i="4"/>
  <c r="S145" i="4" s="1"/>
  <c r="N145" i="4"/>
  <c r="R145" i="4" s="1"/>
  <c r="X145" i="4" s="1"/>
  <c r="O146" i="4"/>
  <c r="S146" i="4" s="1"/>
  <c r="N146" i="4"/>
  <c r="R146" i="4" s="1"/>
  <c r="X146" i="4" s="1"/>
  <c r="O147" i="4"/>
  <c r="S147" i="4" s="1"/>
  <c r="N147" i="4"/>
  <c r="R147" i="4" s="1"/>
  <c r="X147" i="4" s="1"/>
  <c r="O148" i="4"/>
  <c r="S148" i="4" s="1"/>
  <c r="N148" i="4"/>
  <c r="R148" i="4" s="1"/>
  <c r="X148" i="4" s="1"/>
  <c r="O149" i="4"/>
  <c r="S149" i="4" s="1"/>
  <c r="N149" i="4"/>
  <c r="R149" i="4" s="1"/>
  <c r="X149" i="4" s="1"/>
  <c r="O150" i="4"/>
  <c r="S150" i="4" s="1"/>
  <c r="N150" i="4"/>
  <c r="R150" i="4" s="1"/>
  <c r="X150" i="4" s="1"/>
  <c r="O151" i="4"/>
  <c r="S151" i="4" s="1"/>
  <c r="N151" i="4"/>
  <c r="R151" i="4" s="1"/>
  <c r="X151" i="4" s="1"/>
  <c r="O152" i="4"/>
  <c r="S152" i="4" s="1"/>
  <c r="N152" i="4"/>
  <c r="R152" i="4" s="1"/>
  <c r="X152" i="4" s="1"/>
  <c r="O153" i="4"/>
  <c r="S153" i="4" s="1"/>
  <c r="N153" i="4"/>
  <c r="R153" i="4" s="1"/>
  <c r="X153" i="4" s="1"/>
  <c r="O154" i="4"/>
  <c r="S154" i="4" s="1"/>
  <c r="N154" i="4"/>
  <c r="R154" i="4" s="1"/>
  <c r="X154" i="4" s="1"/>
  <c r="O155" i="4"/>
  <c r="S155" i="4" s="1"/>
  <c r="N155" i="4"/>
  <c r="R155" i="4" s="1"/>
  <c r="X155" i="4" s="1"/>
  <c r="O156" i="4"/>
  <c r="S156" i="4" s="1"/>
  <c r="N156" i="4"/>
  <c r="R156" i="4" s="1"/>
  <c r="X156" i="4" s="1"/>
  <c r="O157" i="4"/>
  <c r="S157" i="4" s="1"/>
  <c r="N157" i="4"/>
  <c r="R157" i="4" s="1"/>
  <c r="X157" i="4" s="1"/>
  <c r="O158" i="4"/>
  <c r="S158" i="4" s="1"/>
  <c r="N158" i="4"/>
  <c r="R158" i="4" s="1"/>
  <c r="X158" i="4" s="1"/>
  <c r="O159" i="4"/>
  <c r="S159" i="4" s="1"/>
  <c r="N159" i="4"/>
  <c r="R159" i="4" s="1"/>
  <c r="X159" i="4" s="1"/>
  <c r="O160" i="4"/>
  <c r="S160" i="4" s="1"/>
  <c r="N160" i="4"/>
  <c r="R160" i="4" s="1"/>
  <c r="X160" i="4" s="1"/>
  <c r="O161" i="4"/>
  <c r="S161" i="4" s="1"/>
  <c r="N161" i="4"/>
  <c r="R161" i="4" s="1"/>
  <c r="X161" i="4" s="1"/>
  <c r="O162" i="4"/>
  <c r="S162" i="4" s="1"/>
  <c r="N162" i="4"/>
  <c r="R162" i="4" s="1"/>
  <c r="X162" i="4" s="1"/>
  <c r="O163" i="4"/>
  <c r="S163" i="4" s="1"/>
  <c r="N163" i="4"/>
  <c r="R163" i="4" s="1"/>
  <c r="X163" i="4" s="1"/>
  <c r="O164" i="4"/>
  <c r="S164" i="4" s="1"/>
  <c r="N164" i="4"/>
  <c r="R164" i="4" s="1"/>
  <c r="X164" i="4" s="1"/>
  <c r="O165" i="4"/>
  <c r="S165" i="4" s="1"/>
  <c r="N165" i="4"/>
  <c r="R165" i="4" s="1"/>
  <c r="X165" i="4" s="1"/>
  <c r="O166" i="4"/>
  <c r="S166" i="4" s="1"/>
  <c r="N166" i="4"/>
  <c r="R166" i="4" s="1"/>
  <c r="X166" i="4" s="1"/>
  <c r="O167" i="4"/>
  <c r="S167" i="4" s="1"/>
  <c r="N167" i="4"/>
  <c r="R167" i="4" s="1"/>
  <c r="X167" i="4" s="1"/>
  <c r="O168" i="4"/>
  <c r="S168" i="4" s="1"/>
  <c r="N168" i="4"/>
  <c r="R168" i="4" s="1"/>
  <c r="X168" i="4" s="1"/>
  <c r="O169" i="4"/>
  <c r="S169" i="4" s="1"/>
  <c r="N169" i="4"/>
  <c r="R169" i="4" s="1"/>
  <c r="X169" i="4" s="1"/>
  <c r="O170" i="4"/>
  <c r="S170" i="4" s="1"/>
  <c r="N170" i="4"/>
  <c r="R170" i="4" s="1"/>
  <c r="X170" i="4" s="1"/>
  <c r="O171" i="4"/>
  <c r="S171" i="4" s="1"/>
  <c r="N171" i="4"/>
  <c r="R171" i="4" s="1"/>
  <c r="X171" i="4" s="1"/>
  <c r="O172" i="4"/>
  <c r="S172" i="4" s="1"/>
  <c r="N172" i="4"/>
  <c r="R172" i="4" s="1"/>
  <c r="X172" i="4" s="1"/>
  <c r="O173" i="4"/>
  <c r="S173" i="4" s="1"/>
  <c r="N173" i="4"/>
  <c r="R173" i="4" s="1"/>
  <c r="X173" i="4" s="1"/>
  <c r="O174" i="4"/>
  <c r="S174" i="4" s="1"/>
  <c r="N174" i="4"/>
  <c r="R174" i="4" s="1"/>
  <c r="X174" i="4" s="1"/>
  <c r="O175" i="4"/>
  <c r="S175" i="4" s="1"/>
  <c r="N175" i="4"/>
  <c r="R175" i="4" s="1"/>
  <c r="X175" i="4" s="1"/>
  <c r="O176" i="4"/>
  <c r="S176" i="4" s="1"/>
  <c r="N176" i="4"/>
  <c r="R176" i="4" s="1"/>
  <c r="X176" i="4" s="1"/>
  <c r="O177" i="4"/>
  <c r="S177" i="4" s="1"/>
  <c r="N177" i="4"/>
  <c r="R177" i="4" s="1"/>
  <c r="X177" i="4" s="1"/>
  <c r="O178" i="4"/>
  <c r="S178" i="4" s="1"/>
  <c r="N178" i="4"/>
  <c r="R178" i="4" s="1"/>
  <c r="X178" i="4" s="1"/>
  <c r="O179" i="4"/>
  <c r="S179" i="4" s="1"/>
  <c r="N179" i="4"/>
  <c r="R179" i="4" s="1"/>
  <c r="X179" i="4" s="1"/>
  <c r="O180" i="4"/>
  <c r="S180" i="4" s="1"/>
  <c r="N180" i="4"/>
  <c r="R180" i="4" s="1"/>
  <c r="X180" i="4" s="1"/>
  <c r="O181" i="4"/>
  <c r="S181" i="4" s="1"/>
  <c r="N181" i="4"/>
  <c r="R181" i="4" s="1"/>
  <c r="X181" i="4" s="1"/>
  <c r="O182" i="4"/>
  <c r="S182" i="4" s="1"/>
  <c r="N182" i="4"/>
  <c r="R182" i="4" s="1"/>
  <c r="X182" i="4" s="1"/>
  <c r="O183" i="4"/>
  <c r="S183" i="4" s="1"/>
  <c r="N183" i="4"/>
  <c r="R183" i="4" s="1"/>
  <c r="X183" i="4" s="1"/>
  <c r="O184" i="4"/>
  <c r="S184" i="4" s="1"/>
  <c r="N184" i="4"/>
  <c r="R184" i="4" s="1"/>
  <c r="X184" i="4" s="1"/>
  <c r="O185" i="4"/>
  <c r="S185" i="4" s="1"/>
  <c r="N185" i="4"/>
  <c r="R185" i="4" s="1"/>
  <c r="X185" i="4" s="1"/>
  <c r="O186" i="4"/>
  <c r="S186" i="4" s="1"/>
  <c r="N186" i="4"/>
  <c r="R186" i="4" s="1"/>
  <c r="X186" i="4" s="1"/>
  <c r="O187" i="4"/>
  <c r="S187" i="4" s="1"/>
  <c r="N187" i="4"/>
  <c r="R187" i="4" s="1"/>
  <c r="X187" i="4" s="1"/>
  <c r="O188" i="4"/>
  <c r="S188" i="4" s="1"/>
  <c r="N188" i="4"/>
  <c r="R188" i="4" s="1"/>
  <c r="X188" i="4" s="1"/>
  <c r="O189" i="4"/>
  <c r="S189" i="4" s="1"/>
  <c r="N189" i="4"/>
  <c r="R189" i="4" s="1"/>
  <c r="X189" i="4" s="1"/>
  <c r="O190" i="4"/>
  <c r="S190" i="4" s="1"/>
  <c r="N190" i="4"/>
  <c r="R190" i="4" s="1"/>
  <c r="X190" i="4" s="1"/>
  <c r="O191" i="4"/>
  <c r="S191" i="4" s="1"/>
  <c r="N191" i="4"/>
  <c r="R191" i="4" s="1"/>
  <c r="X191" i="4" s="1"/>
  <c r="O192" i="4"/>
  <c r="S192" i="4" s="1"/>
  <c r="N192" i="4"/>
  <c r="R192" i="4" s="1"/>
  <c r="X192" i="4" s="1"/>
  <c r="O193" i="4"/>
  <c r="S193" i="4" s="1"/>
  <c r="N193" i="4"/>
  <c r="R193" i="4" s="1"/>
  <c r="X193" i="4" s="1"/>
  <c r="O194" i="4"/>
  <c r="S194" i="4" s="1"/>
  <c r="N194" i="4"/>
  <c r="R194" i="4" s="1"/>
  <c r="X194" i="4" s="1"/>
  <c r="O195" i="4"/>
  <c r="S195" i="4" s="1"/>
  <c r="N195" i="4"/>
  <c r="R195" i="4" s="1"/>
  <c r="X195" i="4" s="1"/>
  <c r="O196" i="4"/>
  <c r="S196" i="4" s="1"/>
  <c r="N196" i="4"/>
  <c r="R196" i="4" s="1"/>
  <c r="X196" i="4" s="1"/>
  <c r="O197" i="4"/>
  <c r="S197" i="4" s="1"/>
  <c r="N197" i="4"/>
  <c r="R197" i="4" s="1"/>
  <c r="X197" i="4" s="1"/>
  <c r="O198" i="4"/>
  <c r="S198" i="4" s="1"/>
  <c r="N198" i="4"/>
  <c r="R198" i="4" s="1"/>
  <c r="X198" i="4" s="1"/>
  <c r="O199" i="4"/>
  <c r="S199" i="4" s="1"/>
  <c r="N199" i="4"/>
  <c r="R199" i="4" s="1"/>
  <c r="X199" i="4" s="1"/>
  <c r="O200" i="4"/>
  <c r="S200" i="4" s="1"/>
  <c r="N200" i="4"/>
  <c r="R200" i="4" s="1"/>
  <c r="X200" i="4" s="1"/>
  <c r="O201" i="4"/>
  <c r="S201" i="4" s="1"/>
  <c r="N201" i="4"/>
  <c r="R201" i="4" s="1"/>
  <c r="X201" i="4" s="1"/>
  <c r="O202" i="4"/>
  <c r="S202" i="4" s="1"/>
  <c r="N202" i="4"/>
  <c r="R202" i="4" s="1"/>
  <c r="X202" i="4" s="1"/>
  <c r="O203" i="4"/>
  <c r="S203" i="4" s="1"/>
  <c r="N203" i="4"/>
  <c r="R203" i="4" s="1"/>
  <c r="X203" i="4" s="1"/>
  <c r="O204" i="4"/>
  <c r="S204" i="4" s="1"/>
  <c r="N204" i="4"/>
  <c r="R204" i="4" s="1"/>
  <c r="X204" i="4" s="1"/>
  <c r="O205" i="4"/>
  <c r="S205" i="4" s="1"/>
  <c r="N205" i="4"/>
  <c r="R205" i="4" s="1"/>
  <c r="X205" i="4" s="1"/>
  <c r="O206" i="4"/>
  <c r="S206" i="4" s="1"/>
  <c r="N206" i="4"/>
  <c r="R206" i="4" s="1"/>
  <c r="X206" i="4" s="1"/>
  <c r="O207" i="4"/>
  <c r="S207" i="4" s="1"/>
  <c r="N207" i="4"/>
  <c r="R207" i="4" s="1"/>
  <c r="X207" i="4" s="1"/>
  <c r="O208" i="4"/>
  <c r="S208" i="4" s="1"/>
  <c r="N208" i="4"/>
  <c r="R208" i="4" s="1"/>
  <c r="X208" i="4" s="1"/>
  <c r="O209" i="4"/>
  <c r="S209" i="4" s="1"/>
  <c r="N209" i="4"/>
  <c r="R209" i="4" s="1"/>
  <c r="X209" i="4" s="1"/>
  <c r="O210" i="4"/>
  <c r="S210" i="4" s="1"/>
  <c r="N210" i="4"/>
  <c r="R210" i="4" s="1"/>
  <c r="X210" i="4" s="1"/>
  <c r="O211" i="4"/>
  <c r="S211" i="4" s="1"/>
  <c r="N211" i="4"/>
  <c r="R211" i="4" s="1"/>
  <c r="X211" i="4" s="1"/>
  <c r="O212" i="4"/>
  <c r="S212" i="4" s="1"/>
  <c r="N212" i="4"/>
  <c r="R212" i="4" s="1"/>
  <c r="X212" i="4" s="1"/>
  <c r="O213" i="4"/>
  <c r="S213" i="4" s="1"/>
  <c r="N213" i="4"/>
  <c r="R213" i="4" s="1"/>
  <c r="X213" i="4" s="1"/>
  <c r="O214" i="4"/>
  <c r="S214" i="4" s="1"/>
  <c r="N214" i="4"/>
  <c r="R214" i="4" s="1"/>
  <c r="X214" i="4" s="1"/>
  <c r="O215" i="4"/>
  <c r="S215" i="4" s="1"/>
  <c r="N215" i="4"/>
  <c r="R215" i="4" s="1"/>
  <c r="X215" i="4" s="1"/>
  <c r="O216" i="4"/>
  <c r="S216" i="4" s="1"/>
  <c r="N216" i="4"/>
  <c r="R216" i="4" s="1"/>
  <c r="X216" i="4" s="1"/>
  <c r="O217" i="4"/>
  <c r="S217" i="4" s="1"/>
  <c r="N217" i="4"/>
  <c r="R217" i="4" s="1"/>
  <c r="X217" i="4" s="1"/>
  <c r="O218" i="4"/>
  <c r="S218" i="4" s="1"/>
  <c r="N218" i="4"/>
  <c r="R218" i="4" s="1"/>
  <c r="X218" i="4" s="1"/>
  <c r="O219" i="4"/>
  <c r="S219" i="4" s="1"/>
  <c r="N219" i="4"/>
  <c r="R219" i="4" s="1"/>
  <c r="X219" i="4" s="1"/>
  <c r="O220" i="4"/>
  <c r="S220" i="4" s="1"/>
  <c r="N220" i="4"/>
  <c r="R220" i="4" s="1"/>
  <c r="X220" i="4" s="1"/>
  <c r="O221" i="4"/>
  <c r="S221" i="4" s="1"/>
  <c r="N221" i="4"/>
  <c r="R221" i="4" s="1"/>
  <c r="X221" i="4" s="1"/>
  <c r="O222" i="4"/>
  <c r="S222" i="4" s="1"/>
  <c r="N222" i="4"/>
  <c r="R222" i="4" s="1"/>
  <c r="X222" i="4" s="1"/>
  <c r="O223" i="4"/>
  <c r="S223" i="4" s="1"/>
  <c r="N223" i="4"/>
  <c r="R223" i="4" s="1"/>
  <c r="X223" i="4" s="1"/>
  <c r="O224" i="4"/>
  <c r="S224" i="4" s="1"/>
  <c r="N224" i="4"/>
  <c r="R224" i="4" s="1"/>
  <c r="X224" i="4" s="1"/>
  <c r="O225" i="4"/>
  <c r="S225" i="4" s="1"/>
  <c r="N225" i="4"/>
  <c r="R225" i="4" s="1"/>
  <c r="X225" i="4" s="1"/>
  <c r="O226" i="4"/>
  <c r="S226" i="4" s="1"/>
  <c r="N226" i="4"/>
  <c r="R226" i="4" s="1"/>
  <c r="X226" i="4" s="1"/>
  <c r="O227" i="4"/>
  <c r="S227" i="4" s="1"/>
  <c r="N227" i="4"/>
  <c r="R227" i="4" s="1"/>
  <c r="X227" i="4" s="1"/>
  <c r="O228" i="4"/>
  <c r="S228" i="4" s="1"/>
  <c r="N228" i="4"/>
  <c r="R228" i="4" s="1"/>
  <c r="X228" i="4" s="1"/>
  <c r="O229" i="4"/>
  <c r="S229" i="4" s="1"/>
  <c r="N229" i="4"/>
  <c r="R229" i="4" s="1"/>
  <c r="X229" i="4" s="1"/>
  <c r="O230" i="4"/>
  <c r="S230" i="4" s="1"/>
  <c r="N230" i="4"/>
  <c r="R230" i="4" s="1"/>
  <c r="X230" i="4" s="1"/>
  <c r="O231" i="4"/>
  <c r="S231" i="4" s="1"/>
  <c r="N231" i="4"/>
  <c r="R231" i="4" s="1"/>
  <c r="X231" i="4" s="1"/>
  <c r="O232" i="4"/>
  <c r="S232" i="4" s="1"/>
  <c r="N232" i="4"/>
  <c r="R232" i="4" s="1"/>
  <c r="X232" i="4" s="1"/>
  <c r="O233" i="4"/>
  <c r="S233" i="4" s="1"/>
  <c r="N233" i="4"/>
  <c r="R233" i="4" s="1"/>
  <c r="X233" i="4" s="1"/>
  <c r="O234" i="4"/>
  <c r="S234" i="4" s="1"/>
  <c r="N234" i="4"/>
  <c r="R234" i="4" s="1"/>
  <c r="X234" i="4" s="1"/>
  <c r="O235" i="4"/>
  <c r="S235" i="4" s="1"/>
  <c r="N235" i="4"/>
  <c r="R235" i="4" s="1"/>
  <c r="X235" i="4" s="1"/>
  <c r="O236" i="4"/>
  <c r="S236" i="4" s="1"/>
  <c r="N236" i="4"/>
  <c r="R236" i="4" s="1"/>
  <c r="X236" i="4" s="1"/>
  <c r="O237" i="4"/>
  <c r="S237" i="4" s="1"/>
  <c r="N237" i="4"/>
  <c r="R237" i="4" s="1"/>
  <c r="X237" i="4" s="1"/>
  <c r="O238" i="4"/>
  <c r="S238" i="4" s="1"/>
  <c r="N238" i="4"/>
  <c r="R238" i="4" s="1"/>
  <c r="X238" i="4" s="1"/>
  <c r="O239" i="4"/>
  <c r="S239" i="4" s="1"/>
  <c r="N239" i="4"/>
  <c r="R239" i="4" s="1"/>
  <c r="X239" i="4" s="1"/>
  <c r="O240" i="4"/>
  <c r="S240" i="4" s="1"/>
  <c r="N240" i="4"/>
  <c r="R240" i="4" s="1"/>
  <c r="X240" i="4" s="1"/>
  <c r="O241" i="4"/>
  <c r="S241" i="4" s="1"/>
  <c r="N241" i="4"/>
  <c r="R241" i="4" s="1"/>
  <c r="X241" i="4" s="1"/>
  <c r="O242" i="4"/>
  <c r="S242" i="4" s="1"/>
  <c r="N242" i="4"/>
  <c r="R242" i="4" s="1"/>
  <c r="X242" i="4" s="1"/>
  <c r="O243" i="4"/>
  <c r="S243" i="4" s="1"/>
  <c r="N243" i="4"/>
  <c r="R243" i="4" s="1"/>
  <c r="X243" i="4" s="1"/>
  <c r="O244" i="4"/>
  <c r="S244" i="4" s="1"/>
  <c r="N244" i="4"/>
  <c r="R244" i="4" s="1"/>
  <c r="X244" i="4" s="1"/>
  <c r="O245" i="4"/>
  <c r="S245" i="4" s="1"/>
  <c r="N245" i="4"/>
  <c r="R245" i="4" s="1"/>
  <c r="X245" i="4" s="1"/>
  <c r="O246" i="4"/>
  <c r="S246" i="4" s="1"/>
  <c r="N246" i="4"/>
  <c r="R246" i="4" s="1"/>
  <c r="X246" i="4" s="1"/>
  <c r="O247" i="4"/>
  <c r="S247" i="4" s="1"/>
  <c r="N247" i="4"/>
  <c r="R247" i="4" s="1"/>
  <c r="X247" i="4" s="1"/>
  <c r="O248" i="4"/>
  <c r="S248" i="4" s="1"/>
  <c r="N248" i="4"/>
  <c r="R248" i="4" s="1"/>
  <c r="X248" i="4" s="1"/>
  <c r="O249" i="4"/>
  <c r="S249" i="4" s="1"/>
  <c r="N249" i="4"/>
  <c r="R249" i="4" s="1"/>
  <c r="X249" i="4" s="1"/>
  <c r="O250" i="4"/>
  <c r="S250" i="4" s="1"/>
  <c r="N250" i="4"/>
  <c r="R250" i="4" s="1"/>
  <c r="X250" i="4" s="1"/>
  <c r="O251" i="4"/>
  <c r="S251" i="4" s="1"/>
  <c r="N251" i="4"/>
  <c r="R251" i="4" s="1"/>
  <c r="X251" i="4" s="1"/>
  <c r="O252" i="4"/>
  <c r="S252" i="4" s="1"/>
  <c r="N252" i="4"/>
  <c r="R252" i="4" s="1"/>
  <c r="X252" i="4" s="1"/>
  <c r="O253" i="4"/>
  <c r="S253" i="4" s="1"/>
  <c r="N253" i="4"/>
  <c r="R253" i="4" s="1"/>
  <c r="X253" i="4" s="1"/>
  <c r="O254" i="4"/>
  <c r="S254" i="4" s="1"/>
  <c r="N254" i="4"/>
  <c r="R254" i="4" s="1"/>
  <c r="X254" i="4" s="1"/>
  <c r="O255" i="4"/>
  <c r="S255" i="4" s="1"/>
  <c r="N255" i="4"/>
  <c r="R255" i="4" s="1"/>
  <c r="X255" i="4" s="1"/>
  <c r="O256" i="4"/>
  <c r="S256" i="4" s="1"/>
  <c r="N256" i="4"/>
  <c r="R256" i="4" s="1"/>
  <c r="X256" i="4" s="1"/>
  <c r="O257" i="4"/>
  <c r="S257" i="4" s="1"/>
  <c r="N257" i="4"/>
  <c r="R257" i="4" s="1"/>
  <c r="X257" i="4" s="1"/>
  <c r="O258" i="4"/>
  <c r="S258" i="4" s="1"/>
  <c r="N258" i="4"/>
  <c r="R258" i="4" s="1"/>
  <c r="X258" i="4" s="1"/>
  <c r="O259" i="4"/>
  <c r="S259" i="4" s="1"/>
  <c r="N259" i="4"/>
  <c r="R259" i="4" s="1"/>
  <c r="X259" i="4" s="1"/>
  <c r="O260" i="4"/>
  <c r="S260" i="4" s="1"/>
  <c r="N260" i="4"/>
  <c r="R260" i="4" s="1"/>
  <c r="X260" i="4" s="1"/>
  <c r="O261" i="4"/>
  <c r="S261" i="4" s="1"/>
  <c r="N261" i="4"/>
  <c r="R261" i="4" s="1"/>
  <c r="X261" i="4" s="1"/>
  <c r="O262" i="4"/>
  <c r="S262" i="4" s="1"/>
  <c r="N262" i="4"/>
  <c r="R262" i="4" s="1"/>
  <c r="X262" i="4" s="1"/>
  <c r="O263" i="4"/>
  <c r="S263" i="4" s="1"/>
  <c r="N263" i="4"/>
  <c r="R263" i="4" s="1"/>
  <c r="X263" i="4" s="1"/>
  <c r="O264" i="4"/>
  <c r="S264" i="4" s="1"/>
  <c r="N264" i="4"/>
  <c r="R264" i="4" s="1"/>
  <c r="X264" i="4" s="1"/>
  <c r="O265" i="4"/>
  <c r="S265" i="4" s="1"/>
  <c r="N265" i="4"/>
  <c r="R265" i="4" s="1"/>
  <c r="X265" i="4" s="1"/>
  <c r="O266" i="4"/>
  <c r="S266" i="4" s="1"/>
  <c r="N266" i="4"/>
  <c r="R266" i="4" s="1"/>
  <c r="X266" i="4" s="1"/>
  <c r="O267" i="4"/>
  <c r="S267" i="4" s="1"/>
  <c r="N267" i="4"/>
  <c r="R267" i="4" s="1"/>
  <c r="X267" i="4" s="1"/>
  <c r="O268" i="4"/>
  <c r="S268" i="4" s="1"/>
  <c r="N268" i="4"/>
  <c r="R268" i="4" s="1"/>
  <c r="X268" i="4" s="1"/>
  <c r="O269" i="4"/>
  <c r="S269" i="4" s="1"/>
  <c r="N269" i="4"/>
  <c r="R269" i="4" s="1"/>
  <c r="X269" i="4" s="1"/>
  <c r="O270" i="4"/>
  <c r="S270" i="4" s="1"/>
  <c r="N270" i="4"/>
  <c r="R270" i="4" s="1"/>
  <c r="X270" i="4" s="1"/>
  <c r="O271" i="4"/>
  <c r="S271" i="4" s="1"/>
  <c r="N271" i="4"/>
  <c r="R271" i="4" s="1"/>
  <c r="X271" i="4" s="1"/>
  <c r="O272" i="4"/>
  <c r="S272" i="4" s="1"/>
  <c r="N272" i="4"/>
  <c r="R272" i="4" s="1"/>
  <c r="X272" i="4" s="1"/>
  <c r="O273" i="4"/>
  <c r="S273" i="4" s="1"/>
  <c r="N273" i="4"/>
  <c r="R273" i="4" s="1"/>
  <c r="X273" i="4" s="1"/>
  <c r="O274" i="4"/>
  <c r="S274" i="4" s="1"/>
  <c r="N274" i="4"/>
  <c r="R274" i="4" s="1"/>
  <c r="X274" i="4" s="1"/>
  <c r="O275" i="4"/>
  <c r="S275" i="4" s="1"/>
  <c r="N275" i="4"/>
  <c r="R275" i="4" s="1"/>
  <c r="X275" i="4" s="1"/>
  <c r="N745" i="4"/>
  <c r="R745" i="4" s="1"/>
  <c r="O745" i="4"/>
  <c r="S745" i="4" s="1"/>
  <c r="Y745" i="4" s="1"/>
  <c r="O748" i="4"/>
  <c r="S748" i="4" s="1"/>
  <c r="N748" i="4"/>
  <c r="R748" i="4" s="1"/>
  <c r="X748" i="4" s="1"/>
  <c r="N811" i="4"/>
  <c r="R811" i="4" s="1"/>
  <c r="O811" i="4"/>
  <c r="S811" i="4" s="1"/>
  <c r="Y811" i="4" s="1"/>
  <c r="N815" i="4"/>
  <c r="R815" i="4" s="1"/>
  <c r="O815" i="4"/>
  <c r="S815" i="4" s="1"/>
  <c r="Y815" i="4" s="1"/>
  <c r="O837" i="4"/>
  <c r="S837" i="4" s="1"/>
  <c r="N837" i="4"/>
  <c r="R837" i="4" s="1"/>
  <c r="X837" i="4" s="1"/>
  <c r="O873" i="4"/>
  <c r="S873" i="4" s="1"/>
  <c r="N873" i="4"/>
  <c r="R873" i="4" s="1"/>
  <c r="X873" i="4" s="1"/>
  <c r="N908" i="4"/>
  <c r="R908" i="4" s="1"/>
  <c r="O908" i="4"/>
  <c r="S908" i="4" s="1"/>
  <c r="Y908" i="4" s="1"/>
  <c r="O953" i="4"/>
  <c r="S953" i="4" s="1"/>
  <c r="N953" i="4"/>
  <c r="R953" i="4" s="1"/>
  <c r="X953" i="4" s="1"/>
  <c r="N975" i="4"/>
  <c r="R975" i="4" s="1"/>
  <c r="O975" i="4"/>
  <c r="S975" i="4" s="1"/>
  <c r="Y975" i="4" s="1"/>
  <c r="O1001" i="4"/>
  <c r="S1001" i="4" s="1"/>
  <c r="N1001" i="4"/>
  <c r="R1001" i="4" s="1"/>
  <c r="X1001" i="4" s="1"/>
  <c r="M713" i="3"/>
  <c r="P713" i="3" s="1"/>
  <c r="Q713" i="3" s="1"/>
  <c r="N713" i="3"/>
  <c r="R713" i="3" s="1"/>
  <c r="M712" i="3"/>
  <c r="P712" i="3" s="1"/>
  <c r="Q712" i="3" s="1"/>
  <c r="N712" i="3"/>
  <c r="R712" i="3" s="1"/>
  <c r="M693" i="3"/>
  <c r="P693" i="3" s="1"/>
  <c r="Q693" i="3" s="1"/>
  <c r="N693" i="3"/>
  <c r="R693" i="3" s="1"/>
  <c r="O59" i="4"/>
  <c r="S59" i="4" s="1"/>
  <c r="N59" i="4"/>
  <c r="R59" i="4" s="1"/>
  <c r="X59" i="4" s="1"/>
  <c r="O63" i="4"/>
  <c r="S63" i="4" s="1"/>
  <c r="N63" i="4"/>
  <c r="R63" i="4" s="1"/>
  <c r="X63" i="4" s="1"/>
  <c r="O71" i="4"/>
  <c r="S71" i="4" s="1"/>
  <c r="N71" i="4"/>
  <c r="R71" i="4" s="1"/>
  <c r="X71" i="4" s="1"/>
  <c r="O79" i="4"/>
  <c r="S79" i="4" s="1"/>
  <c r="N79" i="4"/>
  <c r="R79" i="4" s="1"/>
  <c r="X79" i="4" s="1"/>
  <c r="O87" i="4"/>
  <c r="S87" i="4" s="1"/>
  <c r="N87" i="4"/>
  <c r="R87" i="4" s="1"/>
  <c r="X87" i="4" s="1"/>
  <c r="O107" i="4"/>
  <c r="S107" i="4" s="1"/>
  <c r="N107" i="4"/>
  <c r="R107" i="4" s="1"/>
  <c r="X107" i="4" s="1"/>
  <c r="O955" i="4"/>
  <c r="S955" i="4" s="1"/>
  <c r="N955" i="4"/>
  <c r="R955" i="4" s="1"/>
  <c r="X955" i="4" s="1"/>
  <c r="O957" i="4"/>
  <c r="S957" i="4" s="1"/>
  <c r="N957" i="4"/>
  <c r="R957" i="4" s="1"/>
  <c r="X957" i="4" s="1"/>
  <c r="N962" i="4"/>
  <c r="R962" i="4" s="1"/>
  <c r="O962" i="4"/>
  <c r="S962" i="4" s="1"/>
  <c r="Y962" i="4" s="1"/>
  <c r="O972" i="4"/>
  <c r="S972" i="4" s="1"/>
  <c r="N972" i="4"/>
  <c r="R972" i="4" s="1"/>
  <c r="X972" i="4" s="1"/>
  <c r="O978" i="4"/>
  <c r="S978" i="4" s="1"/>
  <c r="N978" i="4"/>
  <c r="R978" i="4" s="1"/>
  <c r="X978" i="4" s="1"/>
  <c r="N982" i="4"/>
  <c r="R982" i="4" s="1"/>
  <c r="O982" i="4"/>
  <c r="S982" i="4" s="1"/>
  <c r="Y982" i="4" s="1"/>
  <c r="N995" i="4"/>
  <c r="R995" i="4" s="1"/>
  <c r="O995" i="4"/>
  <c r="S995" i="4" s="1"/>
  <c r="Y995" i="4" s="1"/>
  <c r="O997" i="4"/>
  <c r="S997" i="4" s="1"/>
  <c r="N997" i="4"/>
  <c r="R997" i="4" s="1"/>
  <c r="X997" i="4" s="1"/>
  <c r="O999" i="4"/>
  <c r="S999" i="4" s="1"/>
  <c r="N999" i="4"/>
  <c r="R999" i="4" s="1"/>
  <c r="X999" i="4" s="1"/>
  <c r="N1002" i="4"/>
  <c r="R1002" i="4" s="1"/>
  <c r="O1002" i="4"/>
  <c r="S1002" i="4" s="1"/>
  <c r="Y1002" i="4" s="1"/>
  <c r="N1009" i="4"/>
  <c r="R1009" i="4" s="1"/>
  <c r="O1009" i="4"/>
  <c r="S1009" i="4" s="1"/>
  <c r="Y1009" i="4" s="1"/>
  <c r="N1016" i="4"/>
  <c r="R1016" i="4" s="1"/>
  <c r="O1016" i="4"/>
  <c r="S1016" i="4" s="1"/>
  <c r="Y1016" i="4" s="1"/>
  <c r="O1027" i="4"/>
  <c r="S1027" i="4" s="1"/>
  <c r="N1027" i="4"/>
  <c r="R1027" i="4" s="1"/>
  <c r="X1027" i="4" s="1"/>
  <c r="O1041" i="4"/>
  <c r="S1041" i="4" s="1"/>
  <c r="N1041" i="4"/>
  <c r="R1041" i="4" s="1"/>
  <c r="X1041" i="4" s="1"/>
  <c r="N1049" i="4"/>
  <c r="R1049" i="4" s="1"/>
  <c r="O1049" i="4"/>
  <c r="S1049" i="4" s="1"/>
  <c r="Y1049" i="4" s="1"/>
  <c r="O276" i="4"/>
  <c r="S276" i="4" s="1"/>
  <c r="N276" i="4"/>
  <c r="R276" i="4" s="1"/>
  <c r="X276" i="4" s="1"/>
  <c r="O277" i="4"/>
  <c r="S277" i="4" s="1"/>
  <c r="N277" i="4"/>
  <c r="R277" i="4" s="1"/>
  <c r="X277" i="4" s="1"/>
  <c r="O278" i="4"/>
  <c r="S278" i="4" s="1"/>
  <c r="N278" i="4"/>
  <c r="R278" i="4" s="1"/>
  <c r="X278" i="4" s="1"/>
  <c r="O279" i="4"/>
  <c r="S279" i="4" s="1"/>
  <c r="N279" i="4"/>
  <c r="R279" i="4" s="1"/>
  <c r="X279" i="4" s="1"/>
  <c r="O280" i="4"/>
  <c r="S280" i="4" s="1"/>
  <c r="N280" i="4"/>
  <c r="R280" i="4" s="1"/>
  <c r="X280" i="4" s="1"/>
  <c r="O281" i="4"/>
  <c r="S281" i="4" s="1"/>
  <c r="N281" i="4"/>
  <c r="R281" i="4" s="1"/>
  <c r="X281" i="4" s="1"/>
  <c r="O282" i="4"/>
  <c r="S282" i="4" s="1"/>
  <c r="N282" i="4"/>
  <c r="R282" i="4" s="1"/>
  <c r="X282" i="4" s="1"/>
  <c r="O283" i="4"/>
  <c r="S283" i="4" s="1"/>
  <c r="N283" i="4"/>
  <c r="R283" i="4" s="1"/>
  <c r="X283" i="4" s="1"/>
  <c r="O284" i="4"/>
  <c r="S284" i="4" s="1"/>
  <c r="N284" i="4"/>
  <c r="R284" i="4" s="1"/>
  <c r="X284" i="4" s="1"/>
  <c r="O285" i="4"/>
  <c r="S285" i="4" s="1"/>
  <c r="N285" i="4"/>
  <c r="R285" i="4" s="1"/>
  <c r="X285" i="4" s="1"/>
  <c r="O286" i="4"/>
  <c r="S286" i="4" s="1"/>
  <c r="N286" i="4"/>
  <c r="R286" i="4" s="1"/>
  <c r="X286" i="4" s="1"/>
  <c r="O287" i="4"/>
  <c r="S287" i="4" s="1"/>
  <c r="N287" i="4"/>
  <c r="R287" i="4" s="1"/>
  <c r="X287" i="4" s="1"/>
  <c r="O288" i="4"/>
  <c r="S288" i="4" s="1"/>
  <c r="N288" i="4"/>
  <c r="R288" i="4" s="1"/>
  <c r="X288" i="4" s="1"/>
  <c r="O289" i="4"/>
  <c r="S289" i="4" s="1"/>
  <c r="N289" i="4"/>
  <c r="R289" i="4" s="1"/>
  <c r="X289" i="4" s="1"/>
  <c r="O290" i="4"/>
  <c r="S290" i="4" s="1"/>
  <c r="N290" i="4"/>
  <c r="R290" i="4" s="1"/>
  <c r="X290" i="4" s="1"/>
  <c r="O291" i="4"/>
  <c r="S291" i="4" s="1"/>
  <c r="N291" i="4"/>
  <c r="R291" i="4" s="1"/>
  <c r="X291" i="4" s="1"/>
  <c r="O292" i="4"/>
  <c r="S292" i="4" s="1"/>
  <c r="N292" i="4"/>
  <c r="R292" i="4" s="1"/>
  <c r="X292" i="4" s="1"/>
  <c r="O293" i="4"/>
  <c r="S293" i="4" s="1"/>
  <c r="N293" i="4"/>
  <c r="R293" i="4" s="1"/>
  <c r="X293" i="4" s="1"/>
  <c r="O294" i="4"/>
  <c r="S294" i="4" s="1"/>
  <c r="N294" i="4"/>
  <c r="R294" i="4" s="1"/>
  <c r="X294" i="4" s="1"/>
  <c r="O295" i="4"/>
  <c r="S295" i="4" s="1"/>
  <c r="N295" i="4"/>
  <c r="R295" i="4" s="1"/>
  <c r="X295" i="4" s="1"/>
  <c r="O296" i="4"/>
  <c r="S296" i="4" s="1"/>
  <c r="N296" i="4"/>
  <c r="R296" i="4" s="1"/>
  <c r="X296" i="4" s="1"/>
  <c r="O297" i="4"/>
  <c r="S297" i="4" s="1"/>
  <c r="N297" i="4"/>
  <c r="R297" i="4" s="1"/>
  <c r="X297" i="4" s="1"/>
  <c r="O298" i="4"/>
  <c r="S298" i="4" s="1"/>
  <c r="N298" i="4"/>
  <c r="R298" i="4" s="1"/>
  <c r="X298" i="4" s="1"/>
  <c r="O299" i="4"/>
  <c r="S299" i="4" s="1"/>
  <c r="N299" i="4"/>
  <c r="R299" i="4" s="1"/>
  <c r="X299" i="4" s="1"/>
  <c r="O300" i="4"/>
  <c r="S300" i="4" s="1"/>
  <c r="N300" i="4"/>
  <c r="R300" i="4" s="1"/>
  <c r="X300" i="4" s="1"/>
  <c r="O301" i="4"/>
  <c r="S301" i="4" s="1"/>
  <c r="N301" i="4"/>
  <c r="R301" i="4" s="1"/>
  <c r="X301" i="4" s="1"/>
  <c r="O302" i="4"/>
  <c r="S302" i="4" s="1"/>
  <c r="N302" i="4"/>
  <c r="R302" i="4" s="1"/>
  <c r="X302" i="4" s="1"/>
  <c r="O303" i="4"/>
  <c r="S303" i="4" s="1"/>
  <c r="N303" i="4"/>
  <c r="R303" i="4" s="1"/>
  <c r="X303" i="4" s="1"/>
  <c r="O304" i="4"/>
  <c r="S304" i="4" s="1"/>
  <c r="N304" i="4"/>
  <c r="R304" i="4" s="1"/>
  <c r="X304" i="4" s="1"/>
  <c r="O305" i="4"/>
  <c r="S305" i="4" s="1"/>
  <c r="N305" i="4"/>
  <c r="R305" i="4" s="1"/>
  <c r="X305" i="4" s="1"/>
  <c r="O306" i="4"/>
  <c r="S306" i="4" s="1"/>
  <c r="N306" i="4"/>
  <c r="R306" i="4" s="1"/>
  <c r="X306" i="4" s="1"/>
  <c r="O307" i="4"/>
  <c r="S307" i="4" s="1"/>
  <c r="N307" i="4"/>
  <c r="R307" i="4" s="1"/>
  <c r="X307" i="4" s="1"/>
  <c r="O308" i="4"/>
  <c r="S308" i="4" s="1"/>
  <c r="N308" i="4"/>
  <c r="R308" i="4" s="1"/>
  <c r="X308" i="4" s="1"/>
  <c r="O309" i="4"/>
  <c r="S309" i="4" s="1"/>
  <c r="N309" i="4"/>
  <c r="R309" i="4" s="1"/>
  <c r="X309" i="4" s="1"/>
  <c r="O310" i="4"/>
  <c r="S310" i="4" s="1"/>
  <c r="N310" i="4"/>
  <c r="R310" i="4" s="1"/>
  <c r="X310" i="4" s="1"/>
  <c r="O311" i="4"/>
  <c r="S311" i="4" s="1"/>
  <c r="N311" i="4"/>
  <c r="R311" i="4" s="1"/>
  <c r="X311" i="4" s="1"/>
  <c r="O312" i="4"/>
  <c r="S312" i="4" s="1"/>
  <c r="N312" i="4"/>
  <c r="R312" i="4" s="1"/>
  <c r="X312" i="4" s="1"/>
  <c r="O313" i="4"/>
  <c r="S313" i="4" s="1"/>
  <c r="N313" i="4"/>
  <c r="R313" i="4" s="1"/>
  <c r="X313" i="4" s="1"/>
  <c r="O314" i="4"/>
  <c r="S314" i="4" s="1"/>
  <c r="N314" i="4"/>
  <c r="R314" i="4" s="1"/>
  <c r="X314" i="4" s="1"/>
  <c r="O315" i="4"/>
  <c r="S315" i="4" s="1"/>
  <c r="N315" i="4"/>
  <c r="R315" i="4" s="1"/>
  <c r="X315" i="4" s="1"/>
  <c r="O316" i="4"/>
  <c r="S316" i="4" s="1"/>
  <c r="N316" i="4"/>
  <c r="R316" i="4" s="1"/>
  <c r="X316" i="4" s="1"/>
  <c r="O317" i="4"/>
  <c r="S317" i="4" s="1"/>
  <c r="N317" i="4"/>
  <c r="R317" i="4" s="1"/>
  <c r="X317" i="4" s="1"/>
  <c r="O318" i="4"/>
  <c r="S318" i="4" s="1"/>
  <c r="N318" i="4"/>
  <c r="R318" i="4" s="1"/>
  <c r="X318" i="4" s="1"/>
  <c r="O319" i="4"/>
  <c r="S319" i="4" s="1"/>
  <c r="N319" i="4"/>
  <c r="R319" i="4" s="1"/>
  <c r="X319" i="4" s="1"/>
  <c r="O320" i="4"/>
  <c r="S320" i="4" s="1"/>
  <c r="N320" i="4"/>
  <c r="R320" i="4" s="1"/>
  <c r="X320" i="4" s="1"/>
  <c r="O321" i="4"/>
  <c r="S321" i="4" s="1"/>
  <c r="N321" i="4"/>
  <c r="R321" i="4" s="1"/>
  <c r="X321" i="4" s="1"/>
  <c r="O322" i="4"/>
  <c r="S322" i="4" s="1"/>
  <c r="N322" i="4"/>
  <c r="R322" i="4" s="1"/>
  <c r="X322" i="4" s="1"/>
  <c r="O323" i="4"/>
  <c r="S323" i="4" s="1"/>
  <c r="N323" i="4"/>
  <c r="R323" i="4" s="1"/>
  <c r="X323" i="4" s="1"/>
  <c r="O324" i="4"/>
  <c r="S324" i="4" s="1"/>
  <c r="N324" i="4"/>
  <c r="R324" i="4" s="1"/>
  <c r="X324" i="4" s="1"/>
  <c r="O325" i="4"/>
  <c r="S325" i="4" s="1"/>
  <c r="N325" i="4"/>
  <c r="R325" i="4" s="1"/>
  <c r="X325" i="4" s="1"/>
  <c r="O326" i="4"/>
  <c r="S326" i="4" s="1"/>
  <c r="N326" i="4"/>
  <c r="R326" i="4" s="1"/>
  <c r="X326" i="4" s="1"/>
  <c r="O327" i="4"/>
  <c r="S327" i="4" s="1"/>
  <c r="N327" i="4"/>
  <c r="R327" i="4" s="1"/>
  <c r="X327" i="4" s="1"/>
  <c r="O328" i="4"/>
  <c r="S328" i="4" s="1"/>
  <c r="N328" i="4"/>
  <c r="R328" i="4" s="1"/>
  <c r="X328" i="4" s="1"/>
  <c r="O329" i="4"/>
  <c r="S329" i="4" s="1"/>
  <c r="N329" i="4"/>
  <c r="R329" i="4" s="1"/>
  <c r="X329" i="4" s="1"/>
  <c r="O330" i="4"/>
  <c r="S330" i="4" s="1"/>
  <c r="N330" i="4"/>
  <c r="R330" i="4" s="1"/>
  <c r="X330" i="4" s="1"/>
  <c r="O331" i="4"/>
  <c r="S331" i="4" s="1"/>
  <c r="N331" i="4"/>
  <c r="R331" i="4" s="1"/>
  <c r="X331" i="4" s="1"/>
  <c r="O332" i="4"/>
  <c r="S332" i="4" s="1"/>
  <c r="N332" i="4"/>
  <c r="R332" i="4" s="1"/>
  <c r="X332" i="4" s="1"/>
  <c r="O333" i="4"/>
  <c r="S333" i="4" s="1"/>
  <c r="N333" i="4"/>
  <c r="R333" i="4" s="1"/>
  <c r="X333" i="4" s="1"/>
  <c r="O336" i="4"/>
  <c r="S336" i="4" s="1"/>
  <c r="N336" i="4"/>
  <c r="R336" i="4" s="1"/>
  <c r="X336" i="4" s="1"/>
  <c r="O337" i="4"/>
  <c r="S337" i="4" s="1"/>
  <c r="N337" i="4"/>
  <c r="R337" i="4" s="1"/>
  <c r="X337" i="4" s="1"/>
  <c r="O338" i="4"/>
  <c r="S338" i="4" s="1"/>
  <c r="N338" i="4"/>
  <c r="R338" i="4" s="1"/>
  <c r="X338" i="4" s="1"/>
  <c r="O339" i="4"/>
  <c r="S339" i="4" s="1"/>
  <c r="N339" i="4"/>
  <c r="R339" i="4" s="1"/>
  <c r="X339" i="4" s="1"/>
  <c r="O340" i="4"/>
  <c r="S340" i="4" s="1"/>
  <c r="N340" i="4"/>
  <c r="R340" i="4" s="1"/>
  <c r="X340" i="4" s="1"/>
  <c r="O341" i="4"/>
  <c r="S341" i="4" s="1"/>
  <c r="N341" i="4"/>
  <c r="R341" i="4" s="1"/>
  <c r="X341" i="4" s="1"/>
  <c r="O342" i="4"/>
  <c r="S342" i="4" s="1"/>
  <c r="N342" i="4"/>
  <c r="R342" i="4" s="1"/>
  <c r="X342" i="4" s="1"/>
  <c r="O343" i="4"/>
  <c r="S343" i="4" s="1"/>
  <c r="N343" i="4"/>
  <c r="R343" i="4" s="1"/>
  <c r="X343" i="4" s="1"/>
  <c r="O344" i="4"/>
  <c r="S344" i="4" s="1"/>
  <c r="N344" i="4"/>
  <c r="R344" i="4" s="1"/>
  <c r="X344" i="4" s="1"/>
  <c r="O345" i="4"/>
  <c r="S345" i="4" s="1"/>
  <c r="N345" i="4"/>
  <c r="R345" i="4" s="1"/>
  <c r="X345" i="4" s="1"/>
  <c r="O346" i="4"/>
  <c r="S346" i="4" s="1"/>
  <c r="N346" i="4"/>
  <c r="R346" i="4" s="1"/>
  <c r="X346" i="4" s="1"/>
  <c r="O347" i="4"/>
  <c r="S347" i="4" s="1"/>
  <c r="N347" i="4"/>
  <c r="R347" i="4" s="1"/>
  <c r="X347" i="4" s="1"/>
  <c r="O348" i="4"/>
  <c r="S348" i="4" s="1"/>
  <c r="N348" i="4"/>
  <c r="R348" i="4" s="1"/>
  <c r="X348" i="4" s="1"/>
  <c r="O349" i="4"/>
  <c r="S349" i="4" s="1"/>
  <c r="N349" i="4"/>
  <c r="R349" i="4" s="1"/>
  <c r="X349" i="4" s="1"/>
  <c r="O350" i="4"/>
  <c r="S350" i="4" s="1"/>
  <c r="N350" i="4"/>
  <c r="R350" i="4" s="1"/>
  <c r="X350" i="4" s="1"/>
  <c r="O351" i="4"/>
  <c r="S351" i="4" s="1"/>
  <c r="N351" i="4"/>
  <c r="R351" i="4" s="1"/>
  <c r="X351" i="4" s="1"/>
  <c r="O352" i="4"/>
  <c r="S352" i="4" s="1"/>
  <c r="N352" i="4"/>
  <c r="R352" i="4" s="1"/>
  <c r="X352" i="4" s="1"/>
  <c r="O353" i="4"/>
  <c r="S353" i="4" s="1"/>
  <c r="N353" i="4"/>
  <c r="R353" i="4" s="1"/>
  <c r="X353" i="4" s="1"/>
  <c r="O354" i="4"/>
  <c r="S354" i="4" s="1"/>
  <c r="N354" i="4"/>
  <c r="R354" i="4" s="1"/>
  <c r="X354" i="4" s="1"/>
  <c r="O355" i="4"/>
  <c r="S355" i="4" s="1"/>
  <c r="N355" i="4"/>
  <c r="R355" i="4" s="1"/>
  <c r="X355" i="4" s="1"/>
  <c r="O356" i="4"/>
  <c r="S356" i="4" s="1"/>
  <c r="N356" i="4"/>
  <c r="R356" i="4" s="1"/>
  <c r="X356" i="4" s="1"/>
  <c r="O357" i="4"/>
  <c r="S357" i="4" s="1"/>
  <c r="N357" i="4"/>
  <c r="R357" i="4" s="1"/>
  <c r="X357" i="4" s="1"/>
  <c r="O358" i="4"/>
  <c r="S358" i="4" s="1"/>
  <c r="N358" i="4"/>
  <c r="R358" i="4" s="1"/>
  <c r="X358" i="4" s="1"/>
  <c r="O359" i="4"/>
  <c r="S359" i="4" s="1"/>
  <c r="N359" i="4"/>
  <c r="R359" i="4" s="1"/>
  <c r="X359" i="4" s="1"/>
  <c r="O360" i="4"/>
  <c r="S360" i="4" s="1"/>
  <c r="N360" i="4"/>
  <c r="R360" i="4" s="1"/>
  <c r="X360" i="4" s="1"/>
  <c r="O361" i="4"/>
  <c r="S361" i="4" s="1"/>
  <c r="N361" i="4"/>
  <c r="R361" i="4" s="1"/>
  <c r="X361" i="4" s="1"/>
  <c r="O362" i="4"/>
  <c r="S362" i="4" s="1"/>
  <c r="N362" i="4"/>
  <c r="R362" i="4" s="1"/>
  <c r="X362" i="4" s="1"/>
  <c r="O363" i="4"/>
  <c r="S363" i="4" s="1"/>
  <c r="N363" i="4"/>
  <c r="R363" i="4" s="1"/>
  <c r="X363" i="4" s="1"/>
  <c r="O364" i="4"/>
  <c r="S364" i="4" s="1"/>
  <c r="N364" i="4"/>
  <c r="R364" i="4" s="1"/>
  <c r="X364" i="4" s="1"/>
  <c r="O365" i="4"/>
  <c r="S365" i="4" s="1"/>
  <c r="N365" i="4"/>
  <c r="R365" i="4" s="1"/>
  <c r="X365" i="4" s="1"/>
  <c r="O366" i="4"/>
  <c r="S366" i="4" s="1"/>
  <c r="N366" i="4"/>
  <c r="R366" i="4" s="1"/>
  <c r="X366" i="4" s="1"/>
  <c r="O367" i="4"/>
  <c r="S367" i="4" s="1"/>
  <c r="N367" i="4"/>
  <c r="R367" i="4" s="1"/>
  <c r="X367" i="4" s="1"/>
  <c r="O368" i="4"/>
  <c r="S368" i="4" s="1"/>
  <c r="N368" i="4"/>
  <c r="R368" i="4" s="1"/>
  <c r="X368" i="4" s="1"/>
  <c r="O369" i="4"/>
  <c r="S369" i="4" s="1"/>
  <c r="N369" i="4"/>
  <c r="R369" i="4" s="1"/>
  <c r="X369" i="4" s="1"/>
  <c r="O370" i="4"/>
  <c r="S370" i="4" s="1"/>
  <c r="N370" i="4"/>
  <c r="R370" i="4" s="1"/>
  <c r="X370" i="4" s="1"/>
  <c r="O371" i="4"/>
  <c r="S371" i="4" s="1"/>
  <c r="N371" i="4"/>
  <c r="R371" i="4" s="1"/>
  <c r="X371" i="4" s="1"/>
  <c r="O372" i="4"/>
  <c r="S372" i="4" s="1"/>
  <c r="N372" i="4"/>
  <c r="R372" i="4" s="1"/>
  <c r="X372" i="4" s="1"/>
  <c r="O373" i="4"/>
  <c r="S373" i="4" s="1"/>
  <c r="N373" i="4"/>
  <c r="R373" i="4" s="1"/>
  <c r="X373" i="4" s="1"/>
  <c r="O374" i="4"/>
  <c r="S374" i="4" s="1"/>
  <c r="N374" i="4"/>
  <c r="R374" i="4" s="1"/>
  <c r="X374" i="4" s="1"/>
  <c r="O375" i="4"/>
  <c r="S375" i="4" s="1"/>
  <c r="N375" i="4"/>
  <c r="R375" i="4" s="1"/>
  <c r="X375" i="4" s="1"/>
  <c r="O376" i="4"/>
  <c r="S376" i="4" s="1"/>
  <c r="N376" i="4"/>
  <c r="R376" i="4" s="1"/>
  <c r="X376" i="4" s="1"/>
  <c r="O377" i="4"/>
  <c r="S377" i="4" s="1"/>
  <c r="N377" i="4"/>
  <c r="R377" i="4" s="1"/>
  <c r="X377" i="4" s="1"/>
  <c r="O378" i="4"/>
  <c r="S378" i="4" s="1"/>
  <c r="N378" i="4"/>
  <c r="R378" i="4" s="1"/>
  <c r="X378" i="4" s="1"/>
  <c r="O379" i="4"/>
  <c r="S379" i="4" s="1"/>
  <c r="N379" i="4"/>
  <c r="R379" i="4" s="1"/>
  <c r="X379" i="4" s="1"/>
  <c r="O380" i="4"/>
  <c r="S380" i="4" s="1"/>
  <c r="N380" i="4"/>
  <c r="R380" i="4" s="1"/>
  <c r="X380" i="4" s="1"/>
  <c r="O381" i="4"/>
  <c r="S381" i="4" s="1"/>
  <c r="N381" i="4"/>
  <c r="R381" i="4" s="1"/>
  <c r="X381" i="4" s="1"/>
  <c r="O382" i="4"/>
  <c r="S382" i="4" s="1"/>
  <c r="N382" i="4"/>
  <c r="R382" i="4" s="1"/>
  <c r="X382" i="4" s="1"/>
  <c r="O383" i="4"/>
  <c r="S383" i="4" s="1"/>
  <c r="N383" i="4"/>
  <c r="R383" i="4" s="1"/>
  <c r="X383" i="4" s="1"/>
  <c r="O384" i="4"/>
  <c r="S384" i="4" s="1"/>
  <c r="N384" i="4"/>
  <c r="R384" i="4" s="1"/>
  <c r="X384" i="4" s="1"/>
  <c r="O385" i="4"/>
  <c r="S385" i="4" s="1"/>
  <c r="N385" i="4"/>
  <c r="R385" i="4" s="1"/>
  <c r="X385" i="4" s="1"/>
  <c r="O386" i="4"/>
  <c r="S386" i="4" s="1"/>
  <c r="N386" i="4"/>
  <c r="R386" i="4" s="1"/>
  <c r="X386" i="4" s="1"/>
  <c r="O387" i="4"/>
  <c r="S387" i="4" s="1"/>
  <c r="N387" i="4"/>
  <c r="R387" i="4" s="1"/>
  <c r="X387" i="4" s="1"/>
  <c r="O388" i="4"/>
  <c r="S388" i="4" s="1"/>
  <c r="N388" i="4"/>
  <c r="R388" i="4" s="1"/>
  <c r="X388" i="4" s="1"/>
  <c r="O389" i="4"/>
  <c r="S389" i="4" s="1"/>
  <c r="N389" i="4"/>
  <c r="R389" i="4" s="1"/>
  <c r="X389" i="4" s="1"/>
  <c r="O390" i="4"/>
  <c r="S390" i="4" s="1"/>
  <c r="N390" i="4"/>
  <c r="R390" i="4" s="1"/>
  <c r="X390" i="4" s="1"/>
  <c r="O391" i="4"/>
  <c r="S391" i="4" s="1"/>
  <c r="N391" i="4"/>
  <c r="R391" i="4" s="1"/>
  <c r="X391" i="4" s="1"/>
  <c r="O392" i="4"/>
  <c r="S392" i="4" s="1"/>
  <c r="N392" i="4"/>
  <c r="R392" i="4" s="1"/>
  <c r="X392" i="4" s="1"/>
  <c r="O393" i="4"/>
  <c r="S393" i="4" s="1"/>
  <c r="N393" i="4"/>
  <c r="R393" i="4" s="1"/>
  <c r="X393" i="4" s="1"/>
  <c r="O394" i="4"/>
  <c r="S394" i="4" s="1"/>
  <c r="N394" i="4"/>
  <c r="R394" i="4" s="1"/>
  <c r="X394" i="4" s="1"/>
  <c r="O395" i="4"/>
  <c r="S395" i="4" s="1"/>
  <c r="N395" i="4"/>
  <c r="R395" i="4" s="1"/>
  <c r="X395" i="4" s="1"/>
  <c r="O396" i="4"/>
  <c r="S396" i="4" s="1"/>
  <c r="N396" i="4"/>
  <c r="R396" i="4" s="1"/>
  <c r="X396" i="4" s="1"/>
  <c r="O397" i="4"/>
  <c r="S397" i="4" s="1"/>
  <c r="N397" i="4"/>
  <c r="R397" i="4" s="1"/>
  <c r="X397" i="4" s="1"/>
  <c r="O398" i="4"/>
  <c r="S398" i="4" s="1"/>
  <c r="N398" i="4"/>
  <c r="R398" i="4" s="1"/>
  <c r="X398" i="4" s="1"/>
  <c r="O399" i="4"/>
  <c r="S399" i="4" s="1"/>
  <c r="N399" i="4"/>
  <c r="R399" i="4" s="1"/>
  <c r="X399" i="4" s="1"/>
  <c r="O400" i="4"/>
  <c r="S400" i="4" s="1"/>
  <c r="N400" i="4"/>
  <c r="R400" i="4" s="1"/>
  <c r="X400" i="4" s="1"/>
  <c r="O401" i="4"/>
  <c r="S401" i="4" s="1"/>
  <c r="N401" i="4"/>
  <c r="R401" i="4" s="1"/>
  <c r="X401" i="4" s="1"/>
  <c r="O402" i="4"/>
  <c r="S402" i="4" s="1"/>
  <c r="N402" i="4"/>
  <c r="R402" i="4" s="1"/>
  <c r="X402" i="4" s="1"/>
  <c r="O403" i="4"/>
  <c r="S403" i="4" s="1"/>
  <c r="N403" i="4"/>
  <c r="R403" i="4" s="1"/>
  <c r="X403" i="4" s="1"/>
  <c r="O404" i="4"/>
  <c r="S404" i="4" s="1"/>
  <c r="N404" i="4"/>
  <c r="R404" i="4" s="1"/>
  <c r="X404" i="4" s="1"/>
  <c r="O405" i="4"/>
  <c r="S405" i="4" s="1"/>
  <c r="N405" i="4"/>
  <c r="R405" i="4" s="1"/>
  <c r="X405" i="4" s="1"/>
  <c r="O406" i="4"/>
  <c r="S406" i="4" s="1"/>
  <c r="N406" i="4"/>
  <c r="R406" i="4" s="1"/>
  <c r="X406" i="4" s="1"/>
  <c r="O407" i="4"/>
  <c r="S407" i="4" s="1"/>
  <c r="N407" i="4"/>
  <c r="R407" i="4" s="1"/>
  <c r="X407" i="4" s="1"/>
  <c r="O408" i="4"/>
  <c r="S408" i="4" s="1"/>
  <c r="N408" i="4"/>
  <c r="R408" i="4" s="1"/>
  <c r="X408" i="4" s="1"/>
  <c r="O409" i="4"/>
  <c r="S409" i="4" s="1"/>
  <c r="N409" i="4"/>
  <c r="R409" i="4" s="1"/>
  <c r="X409" i="4" s="1"/>
  <c r="O410" i="4"/>
  <c r="S410" i="4" s="1"/>
  <c r="N410" i="4"/>
  <c r="R410" i="4" s="1"/>
  <c r="X410" i="4" s="1"/>
  <c r="O411" i="4"/>
  <c r="S411" i="4" s="1"/>
  <c r="N411" i="4"/>
  <c r="R411" i="4" s="1"/>
  <c r="X411" i="4" s="1"/>
  <c r="O412" i="4"/>
  <c r="S412" i="4" s="1"/>
  <c r="N412" i="4"/>
  <c r="R412" i="4" s="1"/>
  <c r="X412" i="4" s="1"/>
  <c r="O413" i="4"/>
  <c r="S413" i="4" s="1"/>
  <c r="N413" i="4"/>
  <c r="R413" i="4" s="1"/>
  <c r="X413" i="4" s="1"/>
  <c r="O414" i="4"/>
  <c r="S414" i="4" s="1"/>
  <c r="N414" i="4"/>
  <c r="R414" i="4" s="1"/>
  <c r="X414" i="4" s="1"/>
  <c r="O415" i="4"/>
  <c r="S415" i="4" s="1"/>
  <c r="N415" i="4"/>
  <c r="R415" i="4" s="1"/>
  <c r="X415" i="4" s="1"/>
  <c r="O416" i="4"/>
  <c r="S416" i="4" s="1"/>
  <c r="N416" i="4"/>
  <c r="R416" i="4" s="1"/>
  <c r="X416" i="4" s="1"/>
  <c r="O417" i="4"/>
  <c r="S417" i="4" s="1"/>
  <c r="N417" i="4"/>
  <c r="R417" i="4" s="1"/>
  <c r="X417" i="4" s="1"/>
  <c r="O418" i="4"/>
  <c r="S418" i="4" s="1"/>
  <c r="N418" i="4"/>
  <c r="R418" i="4" s="1"/>
  <c r="X418" i="4" s="1"/>
  <c r="O419" i="4"/>
  <c r="S419" i="4" s="1"/>
  <c r="N419" i="4"/>
  <c r="R419" i="4" s="1"/>
  <c r="X419" i="4" s="1"/>
  <c r="O420" i="4"/>
  <c r="S420" i="4" s="1"/>
  <c r="N420" i="4"/>
  <c r="R420" i="4" s="1"/>
  <c r="X420" i="4" s="1"/>
  <c r="O421" i="4"/>
  <c r="S421" i="4" s="1"/>
  <c r="N421" i="4"/>
  <c r="R421" i="4" s="1"/>
  <c r="X421" i="4" s="1"/>
  <c r="O422" i="4"/>
  <c r="S422" i="4" s="1"/>
  <c r="N422" i="4"/>
  <c r="R422" i="4" s="1"/>
  <c r="X422" i="4" s="1"/>
  <c r="O423" i="4"/>
  <c r="S423" i="4" s="1"/>
  <c r="N423" i="4"/>
  <c r="R423" i="4" s="1"/>
  <c r="X423" i="4" s="1"/>
  <c r="O424" i="4"/>
  <c r="S424" i="4" s="1"/>
  <c r="N424" i="4"/>
  <c r="R424" i="4" s="1"/>
  <c r="X424" i="4" s="1"/>
  <c r="O425" i="4"/>
  <c r="S425" i="4" s="1"/>
  <c r="N425" i="4"/>
  <c r="R425" i="4" s="1"/>
  <c r="X425" i="4" s="1"/>
  <c r="O426" i="4"/>
  <c r="S426" i="4" s="1"/>
  <c r="N426" i="4"/>
  <c r="R426" i="4" s="1"/>
  <c r="X426" i="4" s="1"/>
  <c r="O427" i="4"/>
  <c r="S427" i="4" s="1"/>
  <c r="N427" i="4"/>
  <c r="R427" i="4" s="1"/>
  <c r="X427" i="4" s="1"/>
  <c r="O428" i="4"/>
  <c r="S428" i="4" s="1"/>
  <c r="N428" i="4"/>
  <c r="R428" i="4" s="1"/>
  <c r="X428" i="4" s="1"/>
  <c r="O429" i="4"/>
  <c r="S429" i="4" s="1"/>
  <c r="N429" i="4"/>
  <c r="R429" i="4" s="1"/>
  <c r="X429" i="4" s="1"/>
  <c r="O430" i="4"/>
  <c r="S430" i="4" s="1"/>
  <c r="N430" i="4"/>
  <c r="R430" i="4" s="1"/>
  <c r="X430" i="4" s="1"/>
  <c r="O431" i="4"/>
  <c r="S431" i="4" s="1"/>
  <c r="N431" i="4"/>
  <c r="R431" i="4" s="1"/>
  <c r="X431" i="4" s="1"/>
  <c r="O432" i="4"/>
  <c r="S432" i="4" s="1"/>
  <c r="N432" i="4"/>
  <c r="R432" i="4" s="1"/>
  <c r="X432" i="4" s="1"/>
  <c r="O433" i="4"/>
  <c r="S433" i="4" s="1"/>
  <c r="N433" i="4"/>
  <c r="R433" i="4" s="1"/>
  <c r="X433" i="4" s="1"/>
  <c r="O434" i="4"/>
  <c r="S434" i="4" s="1"/>
  <c r="N434" i="4"/>
  <c r="R434" i="4" s="1"/>
  <c r="X434" i="4" s="1"/>
  <c r="O435" i="4"/>
  <c r="S435" i="4" s="1"/>
  <c r="N435" i="4"/>
  <c r="R435" i="4" s="1"/>
  <c r="X435" i="4" s="1"/>
  <c r="O436" i="4"/>
  <c r="S436" i="4" s="1"/>
  <c r="N436" i="4"/>
  <c r="R436" i="4" s="1"/>
  <c r="X436" i="4" s="1"/>
  <c r="O437" i="4"/>
  <c r="S437" i="4" s="1"/>
  <c r="N437" i="4"/>
  <c r="R437" i="4" s="1"/>
  <c r="X437" i="4" s="1"/>
  <c r="O438" i="4"/>
  <c r="S438" i="4" s="1"/>
  <c r="N438" i="4"/>
  <c r="R438" i="4" s="1"/>
  <c r="X438" i="4" s="1"/>
  <c r="O439" i="4"/>
  <c r="S439" i="4" s="1"/>
  <c r="N439" i="4"/>
  <c r="R439" i="4" s="1"/>
  <c r="X439" i="4" s="1"/>
  <c r="O440" i="4"/>
  <c r="S440" i="4" s="1"/>
  <c r="N440" i="4"/>
  <c r="R440" i="4" s="1"/>
  <c r="X440" i="4" s="1"/>
  <c r="O441" i="4"/>
  <c r="S441" i="4" s="1"/>
  <c r="N441" i="4"/>
  <c r="R441" i="4" s="1"/>
  <c r="X441" i="4" s="1"/>
  <c r="O442" i="4"/>
  <c r="S442" i="4" s="1"/>
  <c r="N442" i="4"/>
  <c r="R442" i="4" s="1"/>
  <c r="X442" i="4" s="1"/>
  <c r="O443" i="4"/>
  <c r="S443" i="4" s="1"/>
  <c r="N443" i="4"/>
  <c r="R443" i="4" s="1"/>
  <c r="X443" i="4" s="1"/>
  <c r="O444" i="4"/>
  <c r="S444" i="4" s="1"/>
  <c r="N444" i="4"/>
  <c r="R444" i="4" s="1"/>
  <c r="X444" i="4" s="1"/>
  <c r="O445" i="4"/>
  <c r="S445" i="4" s="1"/>
  <c r="N445" i="4"/>
  <c r="R445" i="4" s="1"/>
  <c r="X445" i="4" s="1"/>
  <c r="O446" i="4"/>
  <c r="S446" i="4" s="1"/>
  <c r="N446" i="4"/>
  <c r="R446" i="4" s="1"/>
  <c r="X446" i="4" s="1"/>
  <c r="O447" i="4"/>
  <c r="S447" i="4" s="1"/>
  <c r="N447" i="4"/>
  <c r="R447" i="4" s="1"/>
  <c r="X447" i="4" s="1"/>
  <c r="O448" i="4"/>
  <c r="S448" i="4" s="1"/>
  <c r="N448" i="4"/>
  <c r="R448" i="4" s="1"/>
  <c r="X448" i="4" s="1"/>
  <c r="O449" i="4"/>
  <c r="S449" i="4" s="1"/>
  <c r="N449" i="4"/>
  <c r="R449" i="4" s="1"/>
  <c r="X449" i="4" s="1"/>
  <c r="O450" i="4"/>
  <c r="S450" i="4" s="1"/>
  <c r="N450" i="4"/>
  <c r="R450" i="4" s="1"/>
  <c r="X450" i="4" s="1"/>
  <c r="O590" i="4"/>
  <c r="S590" i="4" s="1"/>
  <c r="N590" i="4"/>
  <c r="R590" i="4" s="1"/>
  <c r="X590" i="4" s="1"/>
  <c r="O592" i="4"/>
  <c r="S592" i="4" s="1"/>
  <c r="N592" i="4"/>
  <c r="R592" i="4" s="1"/>
  <c r="X592" i="4" s="1"/>
  <c r="O594" i="4"/>
  <c r="S594" i="4" s="1"/>
  <c r="N594" i="4"/>
  <c r="R594" i="4" s="1"/>
  <c r="X594" i="4" s="1"/>
  <c r="O596" i="4"/>
  <c r="S596" i="4" s="1"/>
  <c r="N596" i="4"/>
  <c r="R596" i="4" s="1"/>
  <c r="X596" i="4" s="1"/>
  <c r="O598" i="4"/>
  <c r="S598" i="4" s="1"/>
  <c r="N598" i="4"/>
  <c r="R598" i="4" s="1"/>
  <c r="X598" i="4" s="1"/>
  <c r="O600" i="4"/>
  <c r="S600" i="4" s="1"/>
  <c r="N600" i="4"/>
  <c r="R600" i="4" s="1"/>
  <c r="X600" i="4" s="1"/>
  <c r="O603" i="4"/>
  <c r="S603" i="4" s="1"/>
  <c r="N603" i="4"/>
  <c r="R603" i="4" s="1"/>
  <c r="X603" i="4" s="1"/>
  <c r="N604" i="4"/>
  <c r="R604" i="4" s="1"/>
  <c r="O604" i="4"/>
  <c r="S604" i="4" s="1"/>
  <c r="Y604" i="4" s="1"/>
  <c r="N608" i="4"/>
  <c r="R608" i="4" s="1"/>
  <c r="O608" i="4"/>
  <c r="S608" i="4" s="1"/>
  <c r="Y608" i="4" s="1"/>
  <c r="O611" i="4"/>
  <c r="S611" i="4" s="1"/>
  <c r="N611" i="4"/>
  <c r="R611" i="4" s="1"/>
  <c r="X611" i="4" s="1"/>
  <c r="O612" i="4"/>
  <c r="S612" i="4" s="1"/>
  <c r="N612" i="4"/>
  <c r="R612" i="4" s="1"/>
  <c r="X612" i="4" s="1"/>
  <c r="O613" i="4"/>
  <c r="S613" i="4" s="1"/>
  <c r="N613" i="4"/>
  <c r="R613" i="4" s="1"/>
  <c r="X613" i="4" s="1"/>
  <c r="O614" i="4"/>
  <c r="S614" i="4" s="1"/>
  <c r="N614" i="4"/>
  <c r="R614" i="4" s="1"/>
  <c r="X614" i="4" s="1"/>
  <c r="O615" i="4"/>
  <c r="S615" i="4" s="1"/>
  <c r="N615" i="4"/>
  <c r="R615" i="4" s="1"/>
  <c r="X615" i="4" s="1"/>
  <c r="O616" i="4"/>
  <c r="S616" i="4" s="1"/>
  <c r="N616" i="4"/>
  <c r="R616" i="4" s="1"/>
  <c r="X616" i="4" s="1"/>
  <c r="O617" i="4"/>
  <c r="S617" i="4" s="1"/>
  <c r="N617" i="4"/>
  <c r="R617" i="4" s="1"/>
  <c r="X617" i="4" s="1"/>
  <c r="O619" i="4"/>
  <c r="S619" i="4" s="1"/>
  <c r="N619" i="4"/>
  <c r="R619" i="4" s="1"/>
  <c r="X619" i="4" s="1"/>
  <c r="O620" i="4"/>
  <c r="S620" i="4" s="1"/>
  <c r="N620" i="4"/>
  <c r="R620" i="4" s="1"/>
  <c r="X620" i="4" s="1"/>
  <c r="O623" i="4"/>
  <c r="S623" i="4" s="1"/>
  <c r="N623" i="4"/>
  <c r="R623" i="4" s="1"/>
  <c r="X623" i="4" s="1"/>
  <c r="O625" i="4"/>
  <c r="S625" i="4" s="1"/>
  <c r="N625" i="4"/>
  <c r="R625" i="4" s="1"/>
  <c r="X625" i="4" s="1"/>
  <c r="O627" i="4"/>
  <c r="S627" i="4" s="1"/>
  <c r="N627" i="4"/>
  <c r="R627" i="4" s="1"/>
  <c r="X627" i="4" s="1"/>
  <c r="O628" i="4"/>
  <c r="S628" i="4" s="1"/>
  <c r="N628" i="4"/>
  <c r="R628" i="4" s="1"/>
  <c r="X628" i="4" s="1"/>
  <c r="O629" i="4"/>
  <c r="S629" i="4" s="1"/>
  <c r="N629" i="4"/>
  <c r="R629" i="4" s="1"/>
  <c r="X629" i="4" s="1"/>
  <c r="O630" i="4"/>
  <c r="S630" i="4" s="1"/>
  <c r="N630" i="4"/>
  <c r="R630" i="4" s="1"/>
  <c r="X630" i="4" s="1"/>
  <c r="O631" i="4"/>
  <c r="S631" i="4" s="1"/>
  <c r="N631" i="4"/>
  <c r="R631" i="4" s="1"/>
  <c r="X631" i="4" s="1"/>
  <c r="O632" i="4"/>
  <c r="S632" i="4" s="1"/>
  <c r="N632" i="4"/>
  <c r="R632" i="4" s="1"/>
  <c r="X632" i="4" s="1"/>
  <c r="O633" i="4"/>
  <c r="S633" i="4" s="1"/>
  <c r="N633" i="4"/>
  <c r="R633" i="4" s="1"/>
  <c r="X633" i="4" s="1"/>
  <c r="O981" i="4"/>
  <c r="S981" i="4" s="1"/>
  <c r="N981" i="4"/>
  <c r="R981" i="4" s="1"/>
  <c r="X981" i="4" s="1"/>
  <c r="O1010" i="4"/>
  <c r="S1010" i="4" s="1"/>
  <c r="N1010" i="4"/>
  <c r="R1010" i="4" s="1"/>
  <c r="X1010" i="4" s="1"/>
  <c r="M695" i="3"/>
  <c r="P695" i="3" s="1"/>
  <c r="Q695" i="3" s="1"/>
  <c r="N695" i="3"/>
  <c r="R695" i="3" s="1"/>
  <c r="M692" i="3"/>
  <c r="P692" i="3" s="1"/>
  <c r="Q692" i="3" s="1"/>
  <c r="N692" i="3"/>
  <c r="R692" i="3" s="1"/>
  <c r="M684" i="3"/>
  <c r="P684" i="3" s="1"/>
  <c r="Q684" i="3" s="1"/>
  <c r="N684" i="3"/>
  <c r="R684" i="3" s="1"/>
  <c r="O61" i="4"/>
  <c r="S61" i="4" s="1"/>
  <c r="N61" i="4"/>
  <c r="R61" i="4" s="1"/>
  <c r="X61" i="4" s="1"/>
  <c r="O69" i="4"/>
  <c r="S69" i="4" s="1"/>
  <c r="N69" i="4"/>
  <c r="R69" i="4" s="1"/>
  <c r="X69" i="4" s="1"/>
  <c r="O77" i="4"/>
  <c r="S77" i="4" s="1"/>
  <c r="N77" i="4"/>
  <c r="R77" i="4" s="1"/>
  <c r="X77" i="4" s="1"/>
  <c r="O85" i="4"/>
  <c r="S85" i="4" s="1"/>
  <c r="N85" i="4"/>
  <c r="R85" i="4" s="1"/>
  <c r="X85" i="4" s="1"/>
  <c r="N90" i="4"/>
  <c r="R90" i="4" s="1"/>
  <c r="O90" i="4"/>
  <c r="S90" i="4" s="1"/>
  <c r="Y90" i="4" s="1"/>
  <c r="O95" i="4"/>
  <c r="S95" i="4" s="1"/>
  <c r="N95" i="4"/>
  <c r="R95" i="4" s="1"/>
  <c r="X95" i="4" s="1"/>
  <c r="O103" i="4"/>
  <c r="S103" i="4" s="1"/>
  <c r="N103" i="4"/>
  <c r="R103" i="4" s="1"/>
  <c r="X103" i="4" s="1"/>
  <c r="O106" i="4"/>
  <c r="S106" i="4" s="1"/>
  <c r="N106" i="4"/>
  <c r="R106" i="4" s="1"/>
  <c r="X106" i="4" s="1"/>
  <c r="O108" i="4"/>
  <c r="S108" i="4" s="1"/>
  <c r="N108" i="4"/>
  <c r="R108" i="4" s="1"/>
  <c r="X108" i="4" s="1"/>
  <c r="O451" i="4"/>
  <c r="S451" i="4" s="1"/>
  <c r="N451" i="4"/>
  <c r="R451" i="4" s="1"/>
  <c r="X451" i="4" s="1"/>
  <c r="O452" i="4"/>
  <c r="S452" i="4" s="1"/>
  <c r="N452" i="4"/>
  <c r="R452" i="4" s="1"/>
  <c r="X452" i="4" s="1"/>
  <c r="O453" i="4"/>
  <c r="S453" i="4" s="1"/>
  <c r="N453" i="4"/>
  <c r="R453" i="4" s="1"/>
  <c r="X453" i="4" s="1"/>
  <c r="O454" i="4"/>
  <c r="S454" i="4" s="1"/>
  <c r="N454" i="4"/>
  <c r="R454" i="4" s="1"/>
  <c r="X454" i="4" s="1"/>
  <c r="O455" i="4"/>
  <c r="S455" i="4" s="1"/>
  <c r="N455" i="4"/>
  <c r="R455" i="4" s="1"/>
  <c r="X455" i="4" s="1"/>
  <c r="O456" i="4"/>
  <c r="S456" i="4" s="1"/>
  <c r="N456" i="4"/>
  <c r="R456" i="4" s="1"/>
  <c r="X456" i="4" s="1"/>
  <c r="O457" i="4"/>
  <c r="S457" i="4" s="1"/>
  <c r="N457" i="4"/>
  <c r="R457" i="4" s="1"/>
  <c r="X457" i="4" s="1"/>
  <c r="O458" i="4"/>
  <c r="S458" i="4" s="1"/>
  <c r="N458" i="4"/>
  <c r="R458" i="4" s="1"/>
  <c r="X458" i="4" s="1"/>
  <c r="O459" i="4"/>
  <c r="S459" i="4" s="1"/>
  <c r="N459" i="4"/>
  <c r="R459" i="4" s="1"/>
  <c r="X459" i="4" s="1"/>
  <c r="O460" i="4"/>
  <c r="S460" i="4" s="1"/>
  <c r="N460" i="4"/>
  <c r="R460" i="4" s="1"/>
  <c r="X460" i="4" s="1"/>
  <c r="O461" i="4"/>
  <c r="S461" i="4" s="1"/>
  <c r="N461" i="4"/>
  <c r="R461" i="4" s="1"/>
  <c r="X461" i="4" s="1"/>
  <c r="O462" i="4"/>
  <c r="S462" i="4" s="1"/>
  <c r="N462" i="4"/>
  <c r="R462" i="4" s="1"/>
  <c r="X462" i="4" s="1"/>
  <c r="O463" i="4"/>
  <c r="S463" i="4" s="1"/>
  <c r="N463" i="4"/>
  <c r="R463" i="4" s="1"/>
  <c r="X463" i="4" s="1"/>
  <c r="O464" i="4"/>
  <c r="S464" i="4" s="1"/>
  <c r="N464" i="4"/>
  <c r="R464" i="4" s="1"/>
  <c r="X464" i="4" s="1"/>
  <c r="O465" i="4"/>
  <c r="S465" i="4" s="1"/>
  <c r="N465" i="4"/>
  <c r="R465" i="4" s="1"/>
  <c r="X465" i="4" s="1"/>
  <c r="O466" i="4"/>
  <c r="S466" i="4" s="1"/>
  <c r="N466" i="4"/>
  <c r="R466" i="4" s="1"/>
  <c r="X466" i="4" s="1"/>
  <c r="O467" i="4"/>
  <c r="S467" i="4" s="1"/>
  <c r="N467" i="4"/>
  <c r="R467" i="4" s="1"/>
  <c r="X467" i="4" s="1"/>
  <c r="O468" i="4"/>
  <c r="S468" i="4" s="1"/>
  <c r="N468" i="4"/>
  <c r="R468" i="4" s="1"/>
  <c r="X468" i="4" s="1"/>
  <c r="O469" i="4"/>
  <c r="S469" i="4" s="1"/>
  <c r="N469" i="4"/>
  <c r="R469" i="4" s="1"/>
  <c r="X469" i="4" s="1"/>
  <c r="O470" i="4"/>
  <c r="S470" i="4" s="1"/>
  <c r="N470" i="4"/>
  <c r="R470" i="4" s="1"/>
  <c r="X470" i="4" s="1"/>
  <c r="O471" i="4"/>
  <c r="S471" i="4" s="1"/>
  <c r="N471" i="4"/>
  <c r="R471" i="4" s="1"/>
  <c r="X471" i="4" s="1"/>
  <c r="O472" i="4"/>
  <c r="S472" i="4" s="1"/>
  <c r="N472" i="4"/>
  <c r="R472" i="4" s="1"/>
  <c r="X472" i="4" s="1"/>
  <c r="O473" i="4"/>
  <c r="S473" i="4" s="1"/>
  <c r="N473" i="4"/>
  <c r="R473" i="4" s="1"/>
  <c r="X473" i="4" s="1"/>
  <c r="O474" i="4"/>
  <c r="S474" i="4" s="1"/>
  <c r="N474" i="4"/>
  <c r="R474" i="4" s="1"/>
  <c r="X474" i="4" s="1"/>
  <c r="O475" i="4"/>
  <c r="S475" i="4" s="1"/>
  <c r="N475" i="4"/>
  <c r="R475" i="4" s="1"/>
  <c r="X475" i="4" s="1"/>
  <c r="O476" i="4"/>
  <c r="S476" i="4" s="1"/>
  <c r="N476" i="4"/>
  <c r="R476" i="4" s="1"/>
  <c r="X476" i="4" s="1"/>
  <c r="O477" i="4"/>
  <c r="S477" i="4" s="1"/>
  <c r="N477" i="4"/>
  <c r="R477" i="4" s="1"/>
  <c r="X477" i="4" s="1"/>
  <c r="O478" i="4"/>
  <c r="S478" i="4" s="1"/>
  <c r="N478" i="4"/>
  <c r="R478" i="4" s="1"/>
  <c r="X478" i="4" s="1"/>
  <c r="O479" i="4"/>
  <c r="S479" i="4" s="1"/>
  <c r="N479" i="4"/>
  <c r="R479" i="4" s="1"/>
  <c r="X479" i="4" s="1"/>
  <c r="O480" i="4"/>
  <c r="S480" i="4" s="1"/>
  <c r="N480" i="4"/>
  <c r="R480" i="4" s="1"/>
  <c r="X480" i="4" s="1"/>
  <c r="O481" i="4"/>
  <c r="S481" i="4" s="1"/>
  <c r="N481" i="4"/>
  <c r="R481" i="4" s="1"/>
  <c r="X481" i="4" s="1"/>
  <c r="O482" i="4"/>
  <c r="S482" i="4" s="1"/>
  <c r="N482" i="4"/>
  <c r="R482" i="4" s="1"/>
  <c r="X482" i="4" s="1"/>
  <c r="O483" i="4"/>
  <c r="S483" i="4" s="1"/>
  <c r="N483" i="4"/>
  <c r="R483" i="4" s="1"/>
  <c r="X483" i="4" s="1"/>
  <c r="O484" i="4"/>
  <c r="S484" i="4" s="1"/>
  <c r="N484" i="4"/>
  <c r="R484" i="4" s="1"/>
  <c r="X484" i="4" s="1"/>
  <c r="O485" i="4"/>
  <c r="S485" i="4" s="1"/>
  <c r="N485" i="4"/>
  <c r="R485" i="4" s="1"/>
  <c r="X485" i="4" s="1"/>
  <c r="O486" i="4"/>
  <c r="S486" i="4" s="1"/>
  <c r="N486" i="4"/>
  <c r="R486" i="4" s="1"/>
  <c r="X486" i="4" s="1"/>
  <c r="O487" i="4"/>
  <c r="S487" i="4" s="1"/>
  <c r="N487" i="4"/>
  <c r="R487" i="4" s="1"/>
  <c r="X487" i="4" s="1"/>
  <c r="O488" i="4"/>
  <c r="S488" i="4" s="1"/>
  <c r="N488" i="4"/>
  <c r="R488" i="4" s="1"/>
  <c r="X488" i="4" s="1"/>
  <c r="O489" i="4"/>
  <c r="S489" i="4" s="1"/>
  <c r="N489" i="4"/>
  <c r="R489" i="4" s="1"/>
  <c r="X489" i="4" s="1"/>
  <c r="O490" i="4"/>
  <c r="S490" i="4" s="1"/>
  <c r="N490" i="4"/>
  <c r="R490" i="4" s="1"/>
  <c r="X490" i="4" s="1"/>
  <c r="O491" i="4"/>
  <c r="S491" i="4" s="1"/>
  <c r="N491" i="4"/>
  <c r="R491" i="4" s="1"/>
  <c r="X491" i="4" s="1"/>
  <c r="O492" i="4"/>
  <c r="S492" i="4" s="1"/>
  <c r="N492" i="4"/>
  <c r="R492" i="4" s="1"/>
  <c r="X492" i="4" s="1"/>
  <c r="O493" i="4"/>
  <c r="S493" i="4" s="1"/>
  <c r="N493" i="4"/>
  <c r="R493" i="4" s="1"/>
  <c r="X493" i="4" s="1"/>
  <c r="O494" i="4"/>
  <c r="S494" i="4" s="1"/>
  <c r="N494" i="4"/>
  <c r="R494" i="4" s="1"/>
  <c r="X494" i="4" s="1"/>
  <c r="O495" i="4"/>
  <c r="S495" i="4" s="1"/>
  <c r="N495" i="4"/>
  <c r="R495" i="4" s="1"/>
  <c r="X495" i="4" s="1"/>
  <c r="O496" i="4"/>
  <c r="S496" i="4" s="1"/>
  <c r="N496" i="4"/>
  <c r="R496" i="4" s="1"/>
  <c r="X496" i="4" s="1"/>
  <c r="O497" i="4"/>
  <c r="S497" i="4" s="1"/>
  <c r="N497" i="4"/>
  <c r="R497" i="4" s="1"/>
  <c r="X497" i="4" s="1"/>
  <c r="O498" i="4"/>
  <c r="S498" i="4" s="1"/>
  <c r="N498" i="4"/>
  <c r="R498" i="4" s="1"/>
  <c r="X498" i="4" s="1"/>
  <c r="O499" i="4"/>
  <c r="S499" i="4" s="1"/>
  <c r="N499" i="4"/>
  <c r="R499" i="4" s="1"/>
  <c r="X499" i="4" s="1"/>
  <c r="O500" i="4"/>
  <c r="S500" i="4" s="1"/>
  <c r="N500" i="4"/>
  <c r="R500" i="4" s="1"/>
  <c r="X500" i="4" s="1"/>
  <c r="O501" i="4"/>
  <c r="S501" i="4" s="1"/>
  <c r="N501" i="4"/>
  <c r="R501" i="4" s="1"/>
  <c r="X501" i="4" s="1"/>
  <c r="O502" i="4"/>
  <c r="S502" i="4" s="1"/>
  <c r="N502" i="4"/>
  <c r="R502" i="4" s="1"/>
  <c r="X502" i="4" s="1"/>
  <c r="O503" i="4"/>
  <c r="S503" i="4" s="1"/>
  <c r="N503" i="4"/>
  <c r="R503" i="4" s="1"/>
  <c r="X503" i="4" s="1"/>
  <c r="O504" i="4"/>
  <c r="S504" i="4" s="1"/>
  <c r="N504" i="4"/>
  <c r="R504" i="4" s="1"/>
  <c r="X504" i="4" s="1"/>
  <c r="O505" i="4"/>
  <c r="S505" i="4" s="1"/>
  <c r="N505" i="4"/>
  <c r="R505" i="4" s="1"/>
  <c r="X505" i="4" s="1"/>
  <c r="O506" i="4"/>
  <c r="S506" i="4" s="1"/>
  <c r="N506" i="4"/>
  <c r="R506" i="4" s="1"/>
  <c r="X506" i="4" s="1"/>
  <c r="O507" i="4"/>
  <c r="S507" i="4" s="1"/>
  <c r="N507" i="4"/>
  <c r="R507" i="4" s="1"/>
  <c r="X507" i="4" s="1"/>
  <c r="O508" i="4"/>
  <c r="S508" i="4" s="1"/>
  <c r="N508" i="4"/>
  <c r="R508" i="4" s="1"/>
  <c r="X508" i="4" s="1"/>
  <c r="O509" i="4"/>
  <c r="S509" i="4" s="1"/>
  <c r="N509" i="4"/>
  <c r="R509" i="4" s="1"/>
  <c r="X509" i="4" s="1"/>
  <c r="O510" i="4"/>
  <c r="S510" i="4" s="1"/>
  <c r="N510" i="4"/>
  <c r="R510" i="4" s="1"/>
  <c r="X510" i="4" s="1"/>
  <c r="O511" i="4"/>
  <c r="S511" i="4" s="1"/>
  <c r="N511" i="4"/>
  <c r="R511" i="4" s="1"/>
  <c r="X511" i="4" s="1"/>
  <c r="O512" i="4"/>
  <c r="S512" i="4" s="1"/>
  <c r="N512" i="4"/>
  <c r="R512" i="4" s="1"/>
  <c r="X512" i="4" s="1"/>
  <c r="O513" i="4"/>
  <c r="S513" i="4" s="1"/>
  <c r="N513" i="4"/>
  <c r="R513" i="4" s="1"/>
  <c r="X513" i="4" s="1"/>
  <c r="O514" i="4"/>
  <c r="S514" i="4" s="1"/>
  <c r="N514" i="4"/>
  <c r="R514" i="4" s="1"/>
  <c r="X514" i="4" s="1"/>
  <c r="O515" i="4"/>
  <c r="S515" i="4" s="1"/>
  <c r="N515" i="4"/>
  <c r="R515" i="4" s="1"/>
  <c r="X515" i="4" s="1"/>
  <c r="O516" i="4"/>
  <c r="S516" i="4" s="1"/>
  <c r="N516" i="4"/>
  <c r="R516" i="4" s="1"/>
  <c r="X516" i="4" s="1"/>
  <c r="O517" i="4"/>
  <c r="S517" i="4" s="1"/>
  <c r="N517" i="4"/>
  <c r="R517" i="4" s="1"/>
  <c r="X517" i="4" s="1"/>
  <c r="O518" i="4"/>
  <c r="S518" i="4" s="1"/>
  <c r="N518" i="4"/>
  <c r="R518" i="4" s="1"/>
  <c r="X518" i="4" s="1"/>
  <c r="O519" i="4"/>
  <c r="S519" i="4" s="1"/>
  <c r="N519" i="4"/>
  <c r="R519" i="4" s="1"/>
  <c r="X519" i="4" s="1"/>
  <c r="O520" i="4"/>
  <c r="S520" i="4" s="1"/>
  <c r="N520" i="4"/>
  <c r="R520" i="4" s="1"/>
  <c r="X520" i="4" s="1"/>
  <c r="O521" i="4"/>
  <c r="S521" i="4" s="1"/>
  <c r="N521" i="4"/>
  <c r="R521" i="4" s="1"/>
  <c r="X521" i="4" s="1"/>
  <c r="O522" i="4"/>
  <c r="S522" i="4" s="1"/>
  <c r="N522" i="4"/>
  <c r="R522" i="4" s="1"/>
  <c r="X522" i="4" s="1"/>
  <c r="O523" i="4"/>
  <c r="S523" i="4" s="1"/>
  <c r="N523" i="4"/>
  <c r="R523" i="4" s="1"/>
  <c r="X523" i="4" s="1"/>
  <c r="O524" i="4"/>
  <c r="S524" i="4" s="1"/>
  <c r="N524" i="4"/>
  <c r="R524" i="4" s="1"/>
  <c r="X524" i="4" s="1"/>
  <c r="O525" i="4"/>
  <c r="S525" i="4" s="1"/>
  <c r="N525" i="4"/>
  <c r="R525" i="4" s="1"/>
  <c r="X525" i="4" s="1"/>
  <c r="O526" i="4"/>
  <c r="S526" i="4" s="1"/>
  <c r="N526" i="4"/>
  <c r="R526" i="4" s="1"/>
  <c r="X526" i="4" s="1"/>
  <c r="O527" i="4"/>
  <c r="S527" i="4" s="1"/>
  <c r="N527" i="4"/>
  <c r="R527" i="4" s="1"/>
  <c r="X527" i="4" s="1"/>
  <c r="O528" i="4"/>
  <c r="S528" i="4" s="1"/>
  <c r="N528" i="4"/>
  <c r="R528" i="4" s="1"/>
  <c r="X528" i="4" s="1"/>
  <c r="O529" i="4"/>
  <c r="S529" i="4" s="1"/>
  <c r="N529" i="4"/>
  <c r="R529" i="4" s="1"/>
  <c r="X529" i="4" s="1"/>
  <c r="O530" i="4"/>
  <c r="S530" i="4" s="1"/>
  <c r="N530" i="4"/>
  <c r="R530" i="4" s="1"/>
  <c r="X530" i="4" s="1"/>
  <c r="O531" i="4"/>
  <c r="S531" i="4" s="1"/>
  <c r="N531" i="4"/>
  <c r="R531" i="4" s="1"/>
  <c r="X531" i="4" s="1"/>
  <c r="O532" i="4"/>
  <c r="S532" i="4" s="1"/>
  <c r="N532" i="4"/>
  <c r="R532" i="4" s="1"/>
  <c r="X532" i="4" s="1"/>
  <c r="O533" i="4"/>
  <c r="S533" i="4" s="1"/>
  <c r="N533" i="4"/>
  <c r="R533" i="4" s="1"/>
  <c r="X533" i="4" s="1"/>
  <c r="O534" i="4"/>
  <c r="S534" i="4" s="1"/>
  <c r="N534" i="4"/>
  <c r="R534" i="4" s="1"/>
  <c r="X534" i="4" s="1"/>
  <c r="O535" i="4"/>
  <c r="S535" i="4" s="1"/>
  <c r="N535" i="4"/>
  <c r="R535" i="4" s="1"/>
  <c r="X535" i="4" s="1"/>
  <c r="O536" i="4"/>
  <c r="S536" i="4" s="1"/>
  <c r="N536" i="4"/>
  <c r="R536" i="4" s="1"/>
  <c r="X536" i="4" s="1"/>
  <c r="O537" i="4"/>
  <c r="S537" i="4" s="1"/>
  <c r="N537" i="4"/>
  <c r="R537" i="4" s="1"/>
  <c r="X537" i="4" s="1"/>
  <c r="O538" i="4"/>
  <c r="S538" i="4" s="1"/>
  <c r="N538" i="4"/>
  <c r="R538" i="4" s="1"/>
  <c r="X538" i="4" s="1"/>
  <c r="O539" i="4"/>
  <c r="S539" i="4" s="1"/>
  <c r="N539" i="4"/>
  <c r="R539" i="4" s="1"/>
  <c r="X539" i="4" s="1"/>
  <c r="O540" i="4"/>
  <c r="S540" i="4" s="1"/>
  <c r="N540" i="4"/>
  <c r="R540" i="4" s="1"/>
  <c r="X540" i="4" s="1"/>
  <c r="O541" i="4"/>
  <c r="S541" i="4" s="1"/>
  <c r="N541" i="4"/>
  <c r="R541" i="4" s="1"/>
  <c r="X541" i="4" s="1"/>
  <c r="O542" i="4"/>
  <c r="S542" i="4" s="1"/>
  <c r="N542" i="4"/>
  <c r="R542" i="4" s="1"/>
  <c r="X542" i="4" s="1"/>
  <c r="O543" i="4"/>
  <c r="S543" i="4" s="1"/>
  <c r="N543" i="4"/>
  <c r="R543" i="4" s="1"/>
  <c r="X543" i="4" s="1"/>
  <c r="O544" i="4"/>
  <c r="S544" i="4" s="1"/>
  <c r="N544" i="4"/>
  <c r="R544" i="4" s="1"/>
  <c r="X544" i="4" s="1"/>
  <c r="O545" i="4"/>
  <c r="S545" i="4" s="1"/>
  <c r="N545" i="4"/>
  <c r="R545" i="4" s="1"/>
  <c r="X545" i="4" s="1"/>
  <c r="O546" i="4"/>
  <c r="S546" i="4" s="1"/>
  <c r="N546" i="4"/>
  <c r="R546" i="4" s="1"/>
  <c r="X546" i="4" s="1"/>
  <c r="O547" i="4"/>
  <c r="S547" i="4" s="1"/>
  <c r="N547" i="4"/>
  <c r="R547" i="4" s="1"/>
  <c r="X547" i="4" s="1"/>
  <c r="O548" i="4"/>
  <c r="S548" i="4" s="1"/>
  <c r="N548" i="4"/>
  <c r="R548" i="4" s="1"/>
  <c r="X548" i="4" s="1"/>
  <c r="O549" i="4"/>
  <c r="S549" i="4" s="1"/>
  <c r="N549" i="4"/>
  <c r="R549" i="4" s="1"/>
  <c r="X549" i="4" s="1"/>
  <c r="O550" i="4"/>
  <c r="S550" i="4" s="1"/>
  <c r="N550" i="4"/>
  <c r="R550" i="4" s="1"/>
  <c r="X550" i="4" s="1"/>
  <c r="O551" i="4"/>
  <c r="S551" i="4" s="1"/>
  <c r="N551" i="4"/>
  <c r="R551" i="4" s="1"/>
  <c r="X551" i="4" s="1"/>
  <c r="O552" i="4"/>
  <c r="S552" i="4" s="1"/>
  <c r="N552" i="4"/>
  <c r="R552" i="4" s="1"/>
  <c r="X552" i="4" s="1"/>
  <c r="O553" i="4"/>
  <c r="S553" i="4" s="1"/>
  <c r="N553" i="4"/>
  <c r="R553" i="4" s="1"/>
  <c r="X553" i="4" s="1"/>
  <c r="O554" i="4"/>
  <c r="S554" i="4" s="1"/>
  <c r="N554" i="4"/>
  <c r="R554" i="4" s="1"/>
  <c r="X554" i="4" s="1"/>
  <c r="O555" i="4"/>
  <c r="S555" i="4" s="1"/>
  <c r="N555" i="4"/>
  <c r="R555" i="4" s="1"/>
  <c r="X555" i="4" s="1"/>
  <c r="O556" i="4"/>
  <c r="S556" i="4" s="1"/>
  <c r="N556" i="4"/>
  <c r="R556" i="4" s="1"/>
  <c r="X556" i="4" s="1"/>
  <c r="O557" i="4"/>
  <c r="S557" i="4" s="1"/>
  <c r="N557" i="4"/>
  <c r="R557" i="4" s="1"/>
  <c r="X557" i="4" s="1"/>
  <c r="O558" i="4"/>
  <c r="S558" i="4" s="1"/>
  <c r="N558" i="4"/>
  <c r="R558" i="4" s="1"/>
  <c r="X558" i="4" s="1"/>
  <c r="O559" i="4"/>
  <c r="S559" i="4" s="1"/>
  <c r="N559" i="4"/>
  <c r="R559" i="4" s="1"/>
  <c r="X559" i="4" s="1"/>
  <c r="O560" i="4"/>
  <c r="S560" i="4" s="1"/>
  <c r="N560" i="4"/>
  <c r="R560" i="4" s="1"/>
  <c r="X560" i="4" s="1"/>
  <c r="O561" i="4"/>
  <c r="S561" i="4" s="1"/>
  <c r="N561" i="4"/>
  <c r="R561" i="4" s="1"/>
  <c r="X561" i="4" s="1"/>
  <c r="O562" i="4"/>
  <c r="S562" i="4" s="1"/>
  <c r="N562" i="4"/>
  <c r="R562" i="4" s="1"/>
  <c r="X562" i="4" s="1"/>
  <c r="O563" i="4"/>
  <c r="S563" i="4" s="1"/>
  <c r="N563" i="4"/>
  <c r="R563" i="4" s="1"/>
  <c r="X563" i="4" s="1"/>
  <c r="O564" i="4"/>
  <c r="S564" i="4" s="1"/>
  <c r="N564" i="4"/>
  <c r="R564" i="4" s="1"/>
  <c r="X564" i="4" s="1"/>
  <c r="O565" i="4"/>
  <c r="S565" i="4" s="1"/>
  <c r="N565" i="4"/>
  <c r="R565" i="4" s="1"/>
  <c r="X565" i="4" s="1"/>
  <c r="O566" i="4"/>
  <c r="S566" i="4" s="1"/>
  <c r="N566" i="4"/>
  <c r="R566" i="4" s="1"/>
  <c r="X566" i="4" s="1"/>
  <c r="O567" i="4"/>
  <c r="S567" i="4" s="1"/>
  <c r="N567" i="4"/>
  <c r="R567" i="4" s="1"/>
  <c r="X567" i="4" s="1"/>
  <c r="O568" i="4"/>
  <c r="S568" i="4" s="1"/>
  <c r="N568" i="4"/>
  <c r="R568" i="4" s="1"/>
  <c r="X568" i="4" s="1"/>
  <c r="O569" i="4"/>
  <c r="S569" i="4" s="1"/>
  <c r="N569" i="4"/>
  <c r="R569" i="4" s="1"/>
  <c r="X569" i="4" s="1"/>
  <c r="O570" i="4"/>
  <c r="S570" i="4" s="1"/>
  <c r="N570" i="4"/>
  <c r="R570" i="4" s="1"/>
  <c r="X570" i="4" s="1"/>
  <c r="O571" i="4"/>
  <c r="S571" i="4" s="1"/>
  <c r="N571" i="4"/>
  <c r="R571" i="4" s="1"/>
  <c r="X571" i="4" s="1"/>
  <c r="O572" i="4"/>
  <c r="S572" i="4" s="1"/>
  <c r="N572" i="4"/>
  <c r="R572" i="4" s="1"/>
  <c r="X572" i="4" s="1"/>
  <c r="O573" i="4"/>
  <c r="S573" i="4" s="1"/>
  <c r="N573" i="4"/>
  <c r="R573" i="4" s="1"/>
  <c r="X573" i="4" s="1"/>
  <c r="O574" i="4"/>
  <c r="S574" i="4" s="1"/>
  <c r="N574" i="4"/>
  <c r="R574" i="4" s="1"/>
  <c r="X574" i="4" s="1"/>
  <c r="O575" i="4"/>
  <c r="S575" i="4" s="1"/>
  <c r="N575" i="4"/>
  <c r="R575" i="4" s="1"/>
  <c r="X575" i="4" s="1"/>
  <c r="O576" i="4"/>
  <c r="S576" i="4" s="1"/>
  <c r="N576" i="4"/>
  <c r="R576" i="4" s="1"/>
  <c r="X576" i="4" s="1"/>
  <c r="O577" i="4"/>
  <c r="S577" i="4" s="1"/>
  <c r="N577" i="4"/>
  <c r="R577" i="4" s="1"/>
  <c r="X577" i="4" s="1"/>
  <c r="O578" i="4"/>
  <c r="S578" i="4" s="1"/>
  <c r="N578" i="4"/>
  <c r="R578" i="4" s="1"/>
  <c r="X578" i="4" s="1"/>
  <c r="O579" i="4"/>
  <c r="S579" i="4" s="1"/>
  <c r="N579" i="4"/>
  <c r="R579" i="4" s="1"/>
  <c r="X579" i="4" s="1"/>
  <c r="O580" i="4"/>
  <c r="S580" i="4" s="1"/>
  <c r="N580" i="4"/>
  <c r="R580" i="4" s="1"/>
  <c r="X580" i="4" s="1"/>
  <c r="O581" i="4"/>
  <c r="S581" i="4" s="1"/>
  <c r="N581" i="4"/>
  <c r="R581" i="4" s="1"/>
  <c r="X581" i="4" s="1"/>
  <c r="O582" i="4"/>
  <c r="S582" i="4" s="1"/>
  <c r="N582" i="4"/>
  <c r="R582" i="4" s="1"/>
  <c r="X582" i="4" s="1"/>
  <c r="O583" i="4"/>
  <c r="S583" i="4" s="1"/>
  <c r="N583" i="4"/>
  <c r="R583" i="4" s="1"/>
  <c r="X583" i="4" s="1"/>
  <c r="O584" i="4"/>
  <c r="S584" i="4" s="1"/>
  <c r="N584" i="4"/>
  <c r="R584" i="4" s="1"/>
  <c r="X584" i="4" s="1"/>
  <c r="O585" i="4"/>
  <c r="S585" i="4" s="1"/>
  <c r="N585" i="4"/>
  <c r="R585" i="4" s="1"/>
  <c r="X585" i="4" s="1"/>
  <c r="O586" i="4"/>
  <c r="S586" i="4" s="1"/>
  <c r="N586" i="4"/>
  <c r="R586" i="4" s="1"/>
  <c r="X586" i="4" s="1"/>
  <c r="O587" i="4"/>
  <c r="S587" i="4" s="1"/>
  <c r="N587" i="4"/>
  <c r="R587" i="4" s="1"/>
  <c r="X587" i="4" s="1"/>
  <c r="O588" i="4"/>
  <c r="S588" i="4" s="1"/>
  <c r="N588" i="4"/>
  <c r="R588" i="4" s="1"/>
  <c r="X588" i="4" s="1"/>
  <c r="O589" i="4"/>
  <c r="S589" i="4" s="1"/>
  <c r="N589" i="4"/>
  <c r="R589" i="4" s="1"/>
  <c r="X589" i="4" s="1"/>
  <c r="O591" i="4"/>
  <c r="S591" i="4" s="1"/>
  <c r="N591" i="4"/>
  <c r="R591" i="4" s="1"/>
  <c r="X591" i="4" s="1"/>
  <c r="O593" i="4"/>
  <c r="S593" i="4" s="1"/>
  <c r="N593" i="4"/>
  <c r="R593" i="4" s="1"/>
  <c r="X593" i="4" s="1"/>
  <c r="O595" i="4"/>
  <c r="S595" i="4" s="1"/>
  <c r="N595" i="4"/>
  <c r="R595" i="4" s="1"/>
  <c r="X595" i="4" s="1"/>
  <c r="O597" i="4"/>
  <c r="S597" i="4" s="1"/>
  <c r="N597" i="4"/>
  <c r="R597" i="4" s="1"/>
  <c r="X597" i="4" s="1"/>
  <c r="O599" i="4"/>
  <c r="S599" i="4" s="1"/>
  <c r="N599" i="4"/>
  <c r="R599" i="4" s="1"/>
  <c r="X599" i="4" s="1"/>
  <c r="O601" i="4"/>
  <c r="S601" i="4" s="1"/>
  <c r="N601" i="4"/>
  <c r="R601" i="4" s="1"/>
  <c r="X601" i="4" s="1"/>
  <c r="O602" i="4"/>
  <c r="S602" i="4" s="1"/>
  <c r="N602" i="4"/>
  <c r="R602" i="4" s="1"/>
  <c r="X602" i="4" s="1"/>
  <c r="O605" i="4"/>
  <c r="S605" i="4" s="1"/>
  <c r="N605" i="4"/>
  <c r="R605" i="4" s="1"/>
  <c r="X605" i="4" s="1"/>
  <c r="O607" i="4"/>
  <c r="S607" i="4" s="1"/>
  <c r="N607" i="4"/>
  <c r="R607" i="4" s="1"/>
  <c r="X607" i="4" s="1"/>
  <c r="O609" i="4"/>
  <c r="S609" i="4" s="1"/>
  <c r="N609" i="4"/>
  <c r="R609" i="4" s="1"/>
  <c r="X609" i="4" s="1"/>
  <c r="O618" i="4"/>
  <c r="S618" i="4" s="1"/>
  <c r="N618" i="4"/>
  <c r="R618" i="4" s="1"/>
  <c r="X618" i="4" s="1"/>
  <c r="O621" i="4"/>
  <c r="S621" i="4" s="1"/>
  <c r="N621" i="4"/>
  <c r="R621" i="4" s="1"/>
  <c r="X621" i="4" s="1"/>
  <c r="O622" i="4"/>
  <c r="S622" i="4" s="1"/>
  <c r="N622" i="4"/>
  <c r="R622" i="4" s="1"/>
  <c r="X622" i="4" s="1"/>
  <c r="O624" i="4"/>
  <c r="S624" i="4" s="1"/>
  <c r="N624" i="4"/>
  <c r="R624" i="4" s="1"/>
  <c r="X624" i="4" s="1"/>
  <c r="O626" i="4"/>
  <c r="S626" i="4" s="1"/>
  <c r="N626" i="4"/>
  <c r="R626" i="4" s="1"/>
  <c r="X626" i="4" s="1"/>
  <c r="O979" i="4"/>
  <c r="S979" i="4" s="1"/>
  <c r="N979" i="4"/>
  <c r="R979" i="4" s="1"/>
  <c r="X979" i="4" s="1"/>
  <c r="M714" i="3"/>
  <c r="P714" i="3" s="1"/>
  <c r="Q714" i="3" s="1"/>
  <c r="N714" i="3"/>
  <c r="R714" i="3" s="1"/>
  <c r="M694" i="3"/>
  <c r="P694" i="3" s="1"/>
  <c r="Q694" i="3" s="1"/>
  <c r="N694" i="3"/>
  <c r="R694" i="3" s="1"/>
  <c r="M672" i="3"/>
  <c r="P672" i="3" s="1"/>
  <c r="Q672" i="3" s="1"/>
  <c r="N672" i="3"/>
  <c r="R672" i="3" s="1"/>
  <c r="M671" i="3"/>
  <c r="P671" i="3" s="1"/>
  <c r="Q671" i="3" s="1"/>
  <c r="N671" i="3"/>
  <c r="R671" i="3" s="1"/>
  <c r="O17" i="4"/>
  <c r="S17" i="4" s="1"/>
  <c r="N17" i="4"/>
  <c r="R17" i="4" s="1"/>
  <c r="X17" i="4" s="1"/>
  <c r="O21" i="4"/>
  <c r="S21" i="4" s="1"/>
  <c r="N21" i="4"/>
  <c r="R21" i="4" s="1"/>
  <c r="X21" i="4" s="1"/>
  <c r="O28" i="4"/>
  <c r="S28" i="4" s="1"/>
  <c r="N28" i="4"/>
  <c r="R28" i="4" s="1"/>
  <c r="X28" i="4" s="1"/>
  <c r="O33" i="4"/>
  <c r="S33" i="4" s="1"/>
  <c r="N33" i="4"/>
  <c r="R33" i="4" s="1"/>
  <c r="X33" i="4" s="1"/>
  <c r="O37" i="4"/>
  <c r="S37" i="4" s="1"/>
  <c r="N37" i="4"/>
  <c r="R37" i="4" s="1"/>
  <c r="X37" i="4" s="1"/>
  <c r="O60" i="4"/>
  <c r="S60" i="4" s="1"/>
  <c r="N60" i="4"/>
  <c r="R60" i="4" s="1"/>
  <c r="X60" i="4" s="1"/>
  <c r="O68" i="4"/>
  <c r="S68" i="4" s="1"/>
  <c r="N68" i="4"/>
  <c r="R68" i="4" s="1"/>
  <c r="X68" i="4" s="1"/>
  <c r="O76" i="4"/>
  <c r="S76" i="4" s="1"/>
  <c r="N76" i="4"/>
  <c r="R76" i="4" s="1"/>
  <c r="X76" i="4" s="1"/>
  <c r="O84" i="4"/>
  <c r="S84" i="4" s="1"/>
  <c r="N84" i="4"/>
  <c r="R84" i="4" s="1"/>
  <c r="X84" i="4" s="1"/>
  <c r="O92" i="4"/>
  <c r="S92" i="4" s="1"/>
  <c r="N92" i="4"/>
  <c r="R92" i="4" s="1"/>
  <c r="X92" i="4" s="1"/>
  <c r="O97" i="4"/>
  <c r="S97" i="4" s="1"/>
  <c r="N97" i="4"/>
  <c r="R97" i="4" s="1"/>
  <c r="X97" i="4" s="1"/>
  <c r="N634" i="4"/>
  <c r="R634" i="4" s="1"/>
  <c r="O634" i="4"/>
  <c r="S634" i="4" s="1"/>
  <c r="Y634" i="4" s="1"/>
  <c r="O635" i="4"/>
  <c r="S635" i="4" s="1"/>
  <c r="N635" i="4"/>
  <c r="R635" i="4" s="1"/>
  <c r="X635" i="4" s="1"/>
  <c r="O636" i="4"/>
  <c r="S636" i="4" s="1"/>
  <c r="N636" i="4"/>
  <c r="R636" i="4" s="1"/>
  <c r="X636" i="4" s="1"/>
  <c r="O637" i="4"/>
  <c r="S637" i="4" s="1"/>
  <c r="N637" i="4"/>
  <c r="R637" i="4" s="1"/>
  <c r="X637" i="4" s="1"/>
  <c r="O638" i="4"/>
  <c r="S638" i="4" s="1"/>
  <c r="N638" i="4"/>
  <c r="R638" i="4" s="1"/>
  <c r="X638" i="4" s="1"/>
  <c r="O639" i="4"/>
  <c r="S639" i="4" s="1"/>
  <c r="N639" i="4"/>
  <c r="R639" i="4" s="1"/>
  <c r="X639" i="4" s="1"/>
  <c r="O640" i="4"/>
  <c r="S640" i="4" s="1"/>
  <c r="N640" i="4"/>
  <c r="R640" i="4" s="1"/>
  <c r="X640" i="4" s="1"/>
  <c r="O641" i="4"/>
  <c r="S641" i="4" s="1"/>
  <c r="N641" i="4"/>
  <c r="R641" i="4" s="1"/>
  <c r="X641" i="4" s="1"/>
  <c r="O642" i="4"/>
  <c r="S642" i="4" s="1"/>
  <c r="N642" i="4"/>
  <c r="R642" i="4" s="1"/>
  <c r="X642" i="4" s="1"/>
  <c r="O643" i="4"/>
  <c r="S643" i="4" s="1"/>
  <c r="N643" i="4"/>
  <c r="R643" i="4" s="1"/>
  <c r="X643" i="4" s="1"/>
  <c r="O644" i="4"/>
  <c r="S644" i="4" s="1"/>
  <c r="N644" i="4"/>
  <c r="R644" i="4" s="1"/>
  <c r="X644" i="4" s="1"/>
  <c r="O645" i="4"/>
  <c r="S645" i="4" s="1"/>
  <c r="N645" i="4"/>
  <c r="R645" i="4" s="1"/>
  <c r="X645" i="4" s="1"/>
  <c r="O646" i="4"/>
  <c r="S646" i="4" s="1"/>
  <c r="N646" i="4"/>
  <c r="R646" i="4" s="1"/>
  <c r="X646" i="4" s="1"/>
  <c r="O647" i="4"/>
  <c r="S647" i="4" s="1"/>
  <c r="N647" i="4"/>
  <c r="R647" i="4" s="1"/>
  <c r="X647" i="4" s="1"/>
  <c r="O648" i="4"/>
  <c r="S648" i="4" s="1"/>
  <c r="N648" i="4"/>
  <c r="R648" i="4" s="1"/>
  <c r="X648" i="4" s="1"/>
  <c r="O649" i="4"/>
  <c r="S649" i="4" s="1"/>
  <c r="N649" i="4"/>
  <c r="R649" i="4" s="1"/>
  <c r="X649" i="4" s="1"/>
  <c r="O650" i="4"/>
  <c r="S650" i="4" s="1"/>
  <c r="N650" i="4"/>
  <c r="R650" i="4" s="1"/>
  <c r="X650" i="4" s="1"/>
  <c r="O651" i="4"/>
  <c r="S651" i="4" s="1"/>
  <c r="N651" i="4"/>
  <c r="R651" i="4" s="1"/>
  <c r="X651" i="4" s="1"/>
  <c r="O652" i="4"/>
  <c r="S652" i="4" s="1"/>
  <c r="N652" i="4"/>
  <c r="R652" i="4" s="1"/>
  <c r="X652" i="4" s="1"/>
  <c r="O653" i="4"/>
  <c r="S653" i="4" s="1"/>
  <c r="N653" i="4"/>
  <c r="R653" i="4" s="1"/>
  <c r="X653" i="4" s="1"/>
  <c r="O654" i="4"/>
  <c r="S654" i="4" s="1"/>
  <c r="N654" i="4"/>
  <c r="R654" i="4" s="1"/>
  <c r="X654" i="4" s="1"/>
  <c r="O655" i="4"/>
  <c r="S655" i="4" s="1"/>
  <c r="N655" i="4"/>
  <c r="R655" i="4" s="1"/>
  <c r="X655" i="4" s="1"/>
  <c r="O656" i="4"/>
  <c r="S656" i="4" s="1"/>
  <c r="N656" i="4"/>
  <c r="R656" i="4" s="1"/>
  <c r="X656" i="4" s="1"/>
  <c r="O657" i="4"/>
  <c r="S657" i="4" s="1"/>
  <c r="N657" i="4"/>
  <c r="R657" i="4" s="1"/>
  <c r="X657" i="4" s="1"/>
  <c r="O658" i="4"/>
  <c r="S658" i="4" s="1"/>
  <c r="N658" i="4"/>
  <c r="R658" i="4" s="1"/>
  <c r="X658" i="4" s="1"/>
  <c r="O659" i="4"/>
  <c r="S659" i="4" s="1"/>
  <c r="N659" i="4"/>
  <c r="R659" i="4" s="1"/>
  <c r="X659" i="4" s="1"/>
  <c r="O660" i="4"/>
  <c r="S660" i="4" s="1"/>
  <c r="N660" i="4"/>
  <c r="R660" i="4" s="1"/>
  <c r="X660" i="4" s="1"/>
  <c r="O661" i="4"/>
  <c r="S661" i="4" s="1"/>
  <c r="N661" i="4"/>
  <c r="R661" i="4" s="1"/>
  <c r="X661" i="4" s="1"/>
  <c r="O662" i="4"/>
  <c r="S662" i="4" s="1"/>
  <c r="N662" i="4"/>
  <c r="R662" i="4" s="1"/>
  <c r="X662" i="4" s="1"/>
  <c r="O663" i="4"/>
  <c r="S663" i="4" s="1"/>
  <c r="N663" i="4"/>
  <c r="R663" i="4" s="1"/>
  <c r="X663" i="4" s="1"/>
  <c r="O664" i="4"/>
  <c r="S664" i="4" s="1"/>
  <c r="N664" i="4"/>
  <c r="R664" i="4" s="1"/>
  <c r="X664" i="4" s="1"/>
  <c r="O665" i="4"/>
  <c r="S665" i="4" s="1"/>
  <c r="N665" i="4"/>
  <c r="R665" i="4" s="1"/>
  <c r="X665" i="4" s="1"/>
  <c r="O666" i="4"/>
  <c r="S666" i="4" s="1"/>
  <c r="N666" i="4"/>
  <c r="R666" i="4" s="1"/>
  <c r="X666" i="4" s="1"/>
  <c r="O667" i="4"/>
  <c r="S667" i="4" s="1"/>
  <c r="N667" i="4"/>
  <c r="R667" i="4" s="1"/>
  <c r="X667" i="4" s="1"/>
  <c r="O668" i="4"/>
  <c r="S668" i="4" s="1"/>
  <c r="N668" i="4"/>
  <c r="R668" i="4" s="1"/>
  <c r="X668" i="4" s="1"/>
  <c r="O669" i="4"/>
  <c r="S669" i="4" s="1"/>
  <c r="N669" i="4"/>
  <c r="R669" i="4" s="1"/>
  <c r="X669" i="4" s="1"/>
  <c r="O670" i="4"/>
  <c r="S670" i="4" s="1"/>
  <c r="N670" i="4"/>
  <c r="R670" i="4" s="1"/>
  <c r="X670" i="4" s="1"/>
  <c r="O671" i="4"/>
  <c r="S671" i="4" s="1"/>
  <c r="N671" i="4"/>
  <c r="R671" i="4" s="1"/>
  <c r="X671" i="4" s="1"/>
  <c r="O672" i="4"/>
  <c r="S672" i="4" s="1"/>
  <c r="N672" i="4"/>
  <c r="R672" i="4" s="1"/>
  <c r="X672" i="4" s="1"/>
  <c r="O675" i="4"/>
  <c r="S675" i="4" s="1"/>
  <c r="N675" i="4"/>
  <c r="R675" i="4" s="1"/>
  <c r="X675" i="4" s="1"/>
  <c r="O676" i="4"/>
  <c r="S676" i="4" s="1"/>
  <c r="N676" i="4"/>
  <c r="R676" i="4" s="1"/>
  <c r="X676" i="4" s="1"/>
  <c r="O677" i="4"/>
  <c r="S677" i="4" s="1"/>
  <c r="N677" i="4"/>
  <c r="R677" i="4" s="1"/>
  <c r="X677" i="4" s="1"/>
  <c r="O678" i="4"/>
  <c r="S678" i="4" s="1"/>
  <c r="N678" i="4"/>
  <c r="R678" i="4" s="1"/>
  <c r="X678" i="4" s="1"/>
  <c r="O679" i="4"/>
  <c r="S679" i="4" s="1"/>
  <c r="N679" i="4"/>
  <c r="R679" i="4" s="1"/>
  <c r="X679" i="4" s="1"/>
  <c r="O680" i="4"/>
  <c r="S680" i="4" s="1"/>
  <c r="N680" i="4"/>
  <c r="R680" i="4" s="1"/>
  <c r="X680" i="4" s="1"/>
  <c r="O681" i="4"/>
  <c r="S681" i="4" s="1"/>
  <c r="N681" i="4"/>
  <c r="R681" i="4" s="1"/>
  <c r="X681" i="4" s="1"/>
  <c r="O682" i="4"/>
  <c r="S682" i="4" s="1"/>
  <c r="N682" i="4"/>
  <c r="R682" i="4" s="1"/>
  <c r="X682" i="4" s="1"/>
  <c r="O683" i="4"/>
  <c r="S683" i="4" s="1"/>
  <c r="N683" i="4"/>
  <c r="R683" i="4" s="1"/>
  <c r="X683" i="4" s="1"/>
  <c r="O684" i="4"/>
  <c r="S684" i="4" s="1"/>
  <c r="N684" i="4"/>
  <c r="R684" i="4" s="1"/>
  <c r="X684" i="4" s="1"/>
  <c r="O685" i="4"/>
  <c r="S685" i="4" s="1"/>
  <c r="N685" i="4"/>
  <c r="R685" i="4" s="1"/>
  <c r="X685" i="4" s="1"/>
  <c r="O686" i="4"/>
  <c r="S686" i="4" s="1"/>
  <c r="N686" i="4"/>
  <c r="R686" i="4" s="1"/>
  <c r="X686" i="4" s="1"/>
  <c r="O687" i="4"/>
  <c r="S687" i="4" s="1"/>
  <c r="N687" i="4"/>
  <c r="R687" i="4" s="1"/>
  <c r="X687" i="4" s="1"/>
  <c r="O688" i="4"/>
  <c r="S688" i="4" s="1"/>
  <c r="N688" i="4"/>
  <c r="R688" i="4" s="1"/>
  <c r="X688" i="4" s="1"/>
  <c r="O689" i="4"/>
  <c r="S689" i="4" s="1"/>
  <c r="N689" i="4"/>
  <c r="R689" i="4" s="1"/>
  <c r="X689" i="4" s="1"/>
  <c r="O690" i="4"/>
  <c r="S690" i="4" s="1"/>
  <c r="N690" i="4"/>
  <c r="R690" i="4" s="1"/>
  <c r="X690" i="4" s="1"/>
  <c r="O691" i="4"/>
  <c r="S691" i="4" s="1"/>
  <c r="N691" i="4"/>
  <c r="R691" i="4" s="1"/>
  <c r="X691" i="4" s="1"/>
  <c r="O692" i="4"/>
  <c r="S692" i="4" s="1"/>
  <c r="N692" i="4"/>
  <c r="R692" i="4" s="1"/>
  <c r="X692" i="4" s="1"/>
  <c r="O693" i="4"/>
  <c r="S693" i="4" s="1"/>
  <c r="N693" i="4"/>
  <c r="R693" i="4" s="1"/>
  <c r="X693" i="4" s="1"/>
  <c r="O694" i="4"/>
  <c r="S694" i="4" s="1"/>
  <c r="N694" i="4"/>
  <c r="R694" i="4" s="1"/>
  <c r="X694" i="4" s="1"/>
  <c r="O695" i="4"/>
  <c r="S695" i="4" s="1"/>
  <c r="N695" i="4"/>
  <c r="R695" i="4" s="1"/>
  <c r="X695" i="4" s="1"/>
  <c r="O696" i="4"/>
  <c r="S696" i="4" s="1"/>
  <c r="N696" i="4"/>
  <c r="R696" i="4" s="1"/>
  <c r="X696" i="4" s="1"/>
  <c r="O697" i="4"/>
  <c r="S697" i="4" s="1"/>
  <c r="N697" i="4"/>
  <c r="R697" i="4" s="1"/>
  <c r="X697" i="4" s="1"/>
  <c r="O698" i="4"/>
  <c r="S698" i="4" s="1"/>
  <c r="N698" i="4"/>
  <c r="R698" i="4" s="1"/>
  <c r="X698" i="4" s="1"/>
  <c r="O699" i="4"/>
  <c r="S699" i="4" s="1"/>
  <c r="N699" i="4"/>
  <c r="R699" i="4" s="1"/>
  <c r="X699" i="4" s="1"/>
  <c r="O700" i="4"/>
  <c r="S700" i="4" s="1"/>
  <c r="N700" i="4"/>
  <c r="R700" i="4" s="1"/>
  <c r="X700" i="4" s="1"/>
  <c r="O701" i="4"/>
  <c r="S701" i="4" s="1"/>
  <c r="N701" i="4"/>
  <c r="R701" i="4" s="1"/>
  <c r="X701" i="4" s="1"/>
  <c r="O702" i="4"/>
  <c r="S702" i="4" s="1"/>
  <c r="N702" i="4"/>
  <c r="R702" i="4" s="1"/>
  <c r="X702" i="4" s="1"/>
  <c r="O703" i="4"/>
  <c r="S703" i="4" s="1"/>
  <c r="N703" i="4"/>
  <c r="R703" i="4" s="1"/>
  <c r="X703" i="4" s="1"/>
  <c r="O704" i="4"/>
  <c r="S704" i="4" s="1"/>
  <c r="N704" i="4"/>
  <c r="R704" i="4" s="1"/>
  <c r="X704" i="4" s="1"/>
  <c r="O705" i="4"/>
  <c r="S705" i="4" s="1"/>
  <c r="N705" i="4"/>
  <c r="R705" i="4" s="1"/>
  <c r="X705" i="4" s="1"/>
  <c r="O706" i="4"/>
  <c r="S706" i="4" s="1"/>
  <c r="N706" i="4"/>
  <c r="R706" i="4" s="1"/>
  <c r="X706" i="4" s="1"/>
  <c r="O707" i="4"/>
  <c r="S707" i="4" s="1"/>
  <c r="N707" i="4"/>
  <c r="R707" i="4" s="1"/>
  <c r="X707" i="4" s="1"/>
  <c r="O708" i="4"/>
  <c r="S708" i="4" s="1"/>
  <c r="N708" i="4"/>
  <c r="R708" i="4" s="1"/>
  <c r="X708" i="4" s="1"/>
  <c r="O709" i="4"/>
  <c r="S709" i="4" s="1"/>
  <c r="N709" i="4"/>
  <c r="R709" i="4" s="1"/>
  <c r="X709" i="4" s="1"/>
  <c r="O710" i="4"/>
  <c r="S710" i="4" s="1"/>
  <c r="N710" i="4"/>
  <c r="R710" i="4" s="1"/>
  <c r="X710" i="4" s="1"/>
  <c r="O716" i="4"/>
  <c r="S716" i="4" s="1"/>
  <c r="N716" i="4"/>
  <c r="R716" i="4" s="1"/>
  <c r="X716" i="4" s="1"/>
  <c r="O717" i="4"/>
  <c r="S717" i="4" s="1"/>
  <c r="N717" i="4"/>
  <c r="R717" i="4" s="1"/>
  <c r="X717" i="4" s="1"/>
  <c r="O718" i="4"/>
  <c r="S718" i="4" s="1"/>
  <c r="N718" i="4"/>
  <c r="R718" i="4" s="1"/>
  <c r="X718" i="4" s="1"/>
  <c r="O719" i="4"/>
  <c r="S719" i="4" s="1"/>
  <c r="N719" i="4"/>
  <c r="R719" i="4" s="1"/>
  <c r="X719" i="4" s="1"/>
  <c r="O720" i="4"/>
  <c r="S720" i="4" s="1"/>
  <c r="N720" i="4"/>
  <c r="R720" i="4" s="1"/>
  <c r="X720" i="4" s="1"/>
  <c r="O721" i="4"/>
  <c r="S721" i="4" s="1"/>
  <c r="N721" i="4"/>
  <c r="R721" i="4" s="1"/>
  <c r="X721" i="4" s="1"/>
  <c r="O722" i="4"/>
  <c r="S722" i="4" s="1"/>
  <c r="N722" i="4"/>
  <c r="R722" i="4" s="1"/>
  <c r="X722" i="4" s="1"/>
  <c r="O723" i="4"/>
  <c r="S723" i="4" s="1"/>
  <c r="N723" i="4"/>
  <c r="R723" i="4" s="1"/>
  <c r="X723" i="4" s="1"/>
  <c r="O724" i="4"/>
  <c r="S724" i="4" s="1"/>
  <c r="N724" i="4"/>
  <c r="R724" i="4" s="1"/>
  <c r="X724" i="4" s="1"/>
  <c r="O725" i="4"/>
  <c r="S725" i="4" s="1"/>
  <c r="N725" i="4"/>
  <c r="R725" i="4" s="1"/>
  <c r="X725" i="4" s="1"/>
  <c r="O726" i="4"/>
  <c r="S726" i="4" s="1"/>
  <c r="N726" i="4"/>
  <c r="R726" i="4" s="1"/>
  <c r="X726" i="4" s="1"/>
  <c r="O727" i="4"/>
  <c r="S727" i="4" s="1"/>
  <c r="N727" i="4"/>
  <c r="R727" i="4" s="1"/>
  <c r="X727" i="4" s="1"/>
  <c r="O728" i="4"/>
  <c r="S728" i="4" s="1"/>
  <c r="N728" i="4"/>
  <c r="R728" i="4" s="1"/>
  <c r="X728" i="4" s="1"/>
  <c r="O729" i="4"/>
  <c r="S729" i="4" s="1"/>
  <c r="N729" i="4"/>
  <c r="R729" i="4" s="1"/>
  <c r="X729" i="4" s="1"/>
  <c r="O730" i="4"/>
  <c r="S730" i="4" s="1"/>
  <c r="N730" i="4"/>
  <c r="R730" i="4" s="1"/>
  <c r="X730" i="4" s="1"/>
  <c r="O731" i="4"/>
  <c r="S731" i="4" s="1"/>
  <c r="N731" i="4"/>
  <c r="R731" i="4" s="1"/>
  <c r="X731" i="4" s="1"/>
  <c r="O732" i="4"/>
  <c r="S732" i="4" s="1"/>
  <c r="N732" i="4"/>
  <c r="R732" i="4" s="1"/>
  <c r="X732" i="4" s="1"/>
  <c r="O733" i="4"/>
  <c r="S733" i="4" s="1"/>
  <c r="N733" i="4"/>
  <c r="R733" i="4" s="1"/>
  <c r="X733" i="4" s="1"/>
  <c r="O734" i="4"/>
  <c r="S734" i="4" s="1"/>
  <c r="N734" i="4"/>
  <c r="R734" i="4" s="1"/>
  <c r="X734" i="4" s="1"/>
  <c r="O735" i="4"/>
  <c r="S735" i="4" s="1"/>
  <c r="N735" i="4"/>
  <c r="R735" i="4" s="1"/>
  <c r="X735" i="4" s="1"/>
  <c r="O736" i="4"/>
  <c r="S736" i="4" s="1"/>
  <c r="N736" i="4"/>
  <c r="R736" i="4" s="1"/>
  <c r="X736" i="4" s="1"/>
  <c r="N747" i="4"/>
  <c r="R747" i="4" s="1"/>
  <c r="O747" i="4"/>
  <c r="S747" i="4" s="1"/>
  <c r="Y747" i="4" s="1"/>
  <c r="N751" i="4"/>
  <c r="R751" i="4" s="1"/>
  <c r="O751" i="4"/>
  <c r="S751" i="4" s="1"/>
  <c r="Y751" i="4" s="1"/>
  <c r="N760" i="4"/>
  <c r="R760" i="4" s="1"/>
  <c r="O760" i="4"/>
  <c r="S760" i="4" s="1"/>
  <c r="Y760" i="4" s="1"/>
  <c r="N763" i="4"/>
  <c r="R763" i="4" s="1"/>
  <c r="O763" i="4"/>
  <c r="S763" i="4" s="1"/>
  <c r="Y763" i="4" s="1"/>
  <c r="N771" i="4"/>
  <c r="R771" i="4" s="1"/>
  <c r="O771" i="4"/>
  <c r="S771" i="4" s="1"/>
  <c r="Y771" i="4" s="1"/>
  <c r="O777" i="4"/>
  <c r="S777" i="4" s="1"/>
  <c r="N777" i="4"/>
  <c r="R777" i="4" s="1"/>
  <c r="X777" i="4" s="1"/>
  <c r="O783" i="4"/>
  <c r="S783" i="4" s="1"/>
  <c r="N783" i="4"/>
  <c r="R783" i="4" s="1"/>
  <c r="X783" i="4" s="1"/>
  <c r="N786" i="4"/>
  <c r="R786" i="4" s="1"/>
  <c r="O786" i="4"/>
  <c r="S786" i="4" s="1"/>
  <c r="Y786" i="4" s="1"/>
  <c r="O798" i="4"/>
  <c r="S798" i="4" s="1"/>
  <c r="N798" i="4"/>
  <c r="R798" i="4" s="1"/>
  <c r="X798" i="4" s="1"/>
  <c r="O799" i="4"/>
  <c r="S799" i="4" s="1"/>
  <c r="N799" i="4"/>
  <c r="R799" i="4" s="1"/>
  <c r="X799" i="4" s="1"/>
  <c r="O814" i="4"/>
  <c r="S814" i="4" s="1"/>
  <c r="N814" i="4"/>
  <c r="R814" i="4" s="1"/>
  <c r="X814" i="4" s="1"/>
  <c r="N817" i="4"/>
  <c r="R817" i="4" s="1"/>
  <c r="O817" i="4"/>
  <c r="S817" i="4" s="1"/>
  <c r="Y817" i="4" s="1"/>
  <c r="N825" i="4"/>
  <c r="R825" i="4" s="1"/>
  <c r="O825" i="4"/>
  <c r="S825" i="4" s="1"/>
  <c r="Y825" i="4" s="1"/>
  <c r="N836" i="4"/>
  <c r="R836" i="4" s="1"/>
  <c r="O836" i="4"/>
  <c r="S836" i="4" s="1"/>
  <c r="Y836" i="4" s="1"/>
  <c r="N840" i="4"/>
  <c r="R840" i="4" s="1"/>
  <c r="O840" i="4"/>
  <c r="S840" i="4" s="1"/>
  <c r="Y840" i="4" s="1"/>
  <c r="O846" i="4"/>
  <c r="S846" i="4" s="1"/>
  <c r="N846" i="4"/>
  <c r="R846" i="4" s="1"/>
  <c r="X846" i="4" s="1"/>
  <c r="N849" i="4"/>
  <c r="R849" i="4" s="1"/>
  <c r="O849" i="4"/>
  <c r="S849" i="4" s="1"/>
  <c r="Y849" i="4" s="1"/>
  <c r="AE849" i="4" s="1"/>
  <c r="O866" i="4"/>
  <c r="S866" i="4" s="1"/>
  <c r="N866" i="4"/>
  <c r="R866" i="4" s="1"/>
  <c r="X866" i="4" s="1"/>
  <c r="O879" i="4"/>
  <c r="S879" i="4" s="1"/>
  <c r="N879" i="4"/>
  <c r="R879" i="4" s="1"/>
  <c r="X879" i="4" s="1"/>
  <c r="N882" i="4"/>
  <c r="R882" i="4" s="1"/>
  <c r="O882" i="4"/>
  <c r="S882" i="4" s="1"/>
  <c r="Y882" i="4" s="1"/>
  <c r="O898" i="4"/>
  <c r="S898" i="4" s="1"/>
  <c r="N898" i="4"/>
  <c r="R898" i="4" s="1"/>
  <c r="X898" i="4" s="1"/>
  <c r="O915" i="4"/>
  <c r="S915" i="4" s="1"/>
  <c r="N915" i="4"/>
  <c r="R915" i="4" s="1"/>
  <c r="X915" i="4" s="1"/>
  <c r="N922" i="4"/>
  <c r="R922" i="4" s="1"/>
  <c r="O922" i="4"/>
  <c r="S922" i="4" s="1"/>
  <c r="Y922" i="4" s="1"/>
  <c r="O926" i="4"/>
  <c r="S926" i="4" s="1"/>
  <c r="N926" i="4"/>
  <c r="R926" i="4" s="1"/>
  <c r="X926" i="4" s="1"/>
  <c r="N929" i="4"/>
  <c r="R929" i="4" s="1"/>
  <c r="O929" i="4"/>
  <c r="S929" i="4" s="1"/>
  <c r="Y929" i="4" s="1"/>
  <c r="O938" i="4"/>
  <c r="S938" i="4" s="1"/>
  <c r="N938" i="4"/>
  <c r="R938" i="4" s="1"/>
  <c r="X938" i="4" s="1"/>
  <c r="O941" i="4"/>
  <c r="S941" i="4" s="1"/>
  <c r="N941" i="4"/>
  <c r="R941" i="4" s="1"/>
  <c r="X941" i="4" s="1"/>
  <c r="N942" i="4"/>
  <c r="R942" i="4" s="1"/>
  <c r="O942" i="4"/>
  <c r="S942" i="4" s="1"/>
  <c r="Y942" i="4" s="1"/>
  <c r="N951" i="4"/>
  <c r="R951" i="4" s="1"/>
  <c r="O951" i="4"/>
  <c r="S951" i="4" s="1"/>
  <c r="Y951" i="4" s="1"/>
  <c r="O952" i="4"/>
  <c r="S952" i="4" s="1"/>
  <c r="N952" i="4"/>
  <c r="R952" i="4" s="1"/>
  <c r="X952" i="4" s="1"/>
  <c r="N973" i="4"/>
  <c r="R973" i="4" s="1"/>
  <c r="O973" i="4"/>
  <c r="S973" i="4" s="1"/>
  <c r="Y973" i="4" s="1"/>
  <c r="O984" i="4"/>
  <c r="S984" i="4" s="1"/>
  <c r="N984" i="4"/>
  <c r="R984" i="4" s="1"/>
  <c r="X984" i="4" s="1"/>
  <c r="N986" i="4"/>
  <c r="R986" i="4" s="1"/>
  <c r="O986" i="4"/>
  <c r="S986" i="4" s="1"/>
  <c r="Y986" i="4" s="1"/>
  <c r="N998" i="4"/>
  <c r="R998" i="4" s="1"/>
  <c r="O998" i="4"/>
  <c r="S998" i="4" s="1"/>
  <c r="Y998" i="4" s="1"/>
  <c r="O1000" i="4"/>
  <c r="S1000" i="4" s="1"/>
  <c r="N1000" i="4"/>
  <c r="R1000" i="4" s="1"/>
  <c r="X1000" i="4" s="1"/>
  <c r="O1047" i="4"/>
  <c r="S1047" i="4" s="1"/>
  <c r="N1047" i="4"/>
  <c r="R1047" i="4" s="1"/>
  <c r="X1047" i="4" s="1"/>
  <c r="N1050" i="4"/>
  <c r="R1050" i="4" s="1"/>
  <c r="O1050" i="4"/>
  <c r="S1050" i="4" s="1"/>
  <c r="Y1050" i="4" s="1"/>
  <c r="N740" i="4"/>
  <c r="R740" i="4" s="1"/>
  <c r="O740" i="4"/>
  <c r="S740" i="4" s="1"/>
  <c r="Y740" i="4" s="1"/>
  <c r="O743" i="4"/>
  <c r="S743" i="4" s="1"/>
  <c r="N743" i="4"/>
  <c r="R743" i="4" s="1"/>
  <c r="X743" i="4" s="1"/>
  <c r="N754" i="4"/>
  <c r="R754" i="4" s="1"/>
  <c r="O754" i="4"/>
  <c r="S754" i="4" s="1"/>
  <c r="Y754" i="4" s="1"/>
  <c r="O791" i="4"/>
  <c r="S791" i="4" s="1"/>
  <c r="N791" i="4"/>
  <c r="R791" i="4" s="1"/>
  <c r="X791" i="4" s="1"/>
  <c r="O800" i="4"/>
  <c r="S800" i="4" s="1"/>
  <c r="N800" i="4"/>
  <c r="R800" i="4" s="1"/>
  <c r="X800" i="4" s="1"/>
  <c r="O819" i="4"/>
  <c r="S819" i="4" s="1"/>
  <c r="N819" i="4"/>
  <c r="R819" i="4" s="1"/>
  <c r="X819" i="4" s="1"/>
  <c r="N838" i="4"/>
  <c r="R838" i="4" s="1"/>
  <c r="O838" i="4"/>
  <c r="S838" i="4" s="1"/>
  <c r="Y838" i="4" s="1"/>
  <c r="O841" i="4"/>
  <c r="S841" i="4" s="1"/>
  <c r="N841" i="4"/>
  <c r="R841" i="4" s="1"/>
  <c r="X841" i="4" s="1"/>
  <c r="O845" i="4"/>
  <c r="S845" i="4" s="1"/>
  <c r="N845" i="4"/>
  <c r="R845" i="4" s="1"/>
  <c r="X845" i="4" s="1"/>
  <c r="N850" i="4"/>
  <c r="R850" i="4" s="1"/>
  <c r="O850" i="4"/>
  <c r="S850" i="4" s="1"/>
  <c r="Y850" i="4" s="1"/>
  <c r="AE850" i="4" s="1"/>
  <c r="N924" i="4"/>
  <c r="R924" i="4" s="1"/>
  <c r="O924" i="4"/>
  <c r="S924" i="4" s="1"/>
  <c r="Y924" i="4" s="1"/>
  <c r="N930" i="4"/>
  <c r="R930" i="4" s="1"/>
  <c r="O930" i="4"/>
  <c r="S930" i="4" s="1"/>
  <c r="Y930" i="4" s="1"/>
  <c r="O963" i="4"/>
  <c r="S963" i="4" s="1"/>
  <c r="N963" i="4"/>
  <c r="R963" i="4" s="1"/>
  <c r="X963" i="4" s="1"/>
  <c r="O983" i="4"/>
  <c r="S983" i="4" s="1"/>
  <c r="N983" i="4"/>
  <c r="R983" i="4" s="1"/>
  <c r="X983" i="4" s="1"/>
  <c r="M691" i="3"/>
  <c r="P691" i="3" s="1"/>
  <c r="Q691" i="3" s="1"/>
  <c r="N691" i="3"/>
  <c r="R691" i="3" s="1"/>
  <c r="M670" i="3"/>
  <c r="P670" i="3" s="1"/>
  <c r="Q670" i="3" s="1"/>
  <c r="N670" i="3"/>
  <c r="R670" i="3" s="1"/>
  <c r="O14" i="4"/>
  <c r="S14" i="4" s="1"/>
  <c r="N14" i="4"/>
  <c r="R14" i="4" s="1"/>
  <c r="X14" i="4" s="1"/>
  <c r="O18" i="4"/>
  <c r="S18" i="4" s="1"/>
  <c r="N18" i="4"/>
  <c r="R18" i="4" s="1"/>
  <c r="X18" i="4" s="1"/>
  <c r="O22" i="4"/>
  <c r="S22" i="4" s="1"/>
  <c r="N22" i="4"/>
  <c r="R22" i="4" s="1"/>
  <c r="X22" i="4" s="1"/>
  <c r="O34" i="4"/>
  <c r="S34" i="4" s="1"/>
  <c r="N34" i="4"/>
  <c r="R34" i="4" s="1"/>
  <c r="X34" i="4" s="1"/>
  <c r="O52" i="4"/>
  <c r="S52" i="4" s="1"/>
  <c r="N52" i="4"/>
  <c r="R52" i="4" s="1"/>
  <c r="X52" i="4" s="1"/>
  <c r="N55" i="4"/>
  <c r="R55" i="4" s="1"/>
  <c r="O55" i="4"/>
  <c r="S55" i="4" s="1"/>
  <c r="Y55" i="4" s="1"/>
  <c r="N58" i="4"/>
  <c r="R58" i="4" s="1"/>
  <c r="O58" i="4"/>
  <c r="S58" i="4" s="1"/>
  <c r="Y58" i="4" s="1"/>
  <c r="O66" i="4"/>
  <c r="S66" i="4" s="1"/>
  <c r="N66" i="4"/>
  <c r="R66" i="4" s="1"/>
  <c r="X66" i="4" s="1"/>
  <c r="O74" i="4"/>
  <c r="S74" i="4" s="1"/>
  <c r="N74" i="4"/>
  <c r="R74" i="4" s="1"/>
  <c r="X74" i="4" s="1"/>
  <c r="O82" i="4"/>
  <c r="S82" i="4" s="1"/>
  <c r="N82" i="4"/>
  <c r="R82" i="4" s="1"/>
  <c r="X82" i="4" s="1"/>
  <c r="O104" i="4"/>
  <c r="S104" i="4" s="1"/>
  <c r="N104" i="4"/>
  <c r="R104" i="4" s="1"/>
  <c r="X104" i="4" s="1"/>
  <c r="O110" i="4"/>
  <c r="S110" i="4" s="1"/>
  <c r="N110" i="4"/>
  <c r="R110" i="4" s="1"/>
  <c r="X110" i="4" s="1"/>
  <c r="M669" i="3"/>
  <c r="P669" i="3" s="1"/>
  <c r="Q669" i="3" s="1"/>
  <c r="N669" i="3"/>
  <c r="R669" i="3" s="1"/>
  <c r="M668" i="3"/>
  <c r="P668" i="3" s="1"/>
  <c r="Q668" i="3" s="1"/>
  <c r="N668" i="3"/>
  <c r="R668" i="3" s="1"/>
  <c r="M667" i="3"/>
  <c r="N667" i="3"/>
  <c r="M666" i="3"/>
  <c r="N666" i="3"/>
  <c r="M662" i="3"/>
  <c r="N662" i="3"/>
  <c r="M661" i="3"/>
  <c r="N661" i="3"/>
  <c r="M657" i="3"/>
  <c r="N657" i="3"/>
  <c r="M641" i="3"/>
  <c r="N641" i="3"/>
  <c r="M636" i="3"/>
  <c r="N636" i="3"/>
  <c r="M631" i="3"/>
  <c r="N631" i="3"/>
  <c r="M629" i="3"/>
  <c r="N629" i="3"/>
  <c r="M627" i="3"/>
  <c r="N627" i="3"/>
  <c r="M618" i="3"/>
  <c r="N618" i="3"/>
  <c r="M603" i="3"/>
  <c r="N603" i="3"/>
  <c r="M600" i="3"/>
  <c r="N600" i="3"/>
  <c r="M598" i="3"/>
  <c r="N598" i="3"/>
  <c r="M589" i="3"/>
  <c r="N589" i="3"/>
  <c r="M588" i="3"/>
  <c r="N588" i="3"/>
  <c r="M582" i="3"/>
  <c r="N582" i="3"/>
  <c r="M581" i="3"/>
  <c r="N581" i="3"/>
  <c r="M580" i="3"/>
  <c r="N580" i="3"/>
  <c r="M579" i="3"/>
  <c r="N579" i="3"/>
  <c r="M571" i="3"/>
  <c r="N571" i="3"/>
  <c r="M569" i="3"/>
  <c r="N569" i="3"/>
  <c r="M568" i="3"/>
  <c r="N568" i="3"/>
  <c r="M567" i="3"/>
  <c r="N567" i="3"/>
  <c r="M564" i="3"/>
  <c r="N564" i="3"/>
  <c r="M559" i="3"/>
  <c r="N559" i="3"/>
  <c r="M556" i="3"/>
  <c r="N556" i="3"/>
  <c r="M555" i="3"/>
  <c r="N555" i="3"/>
  <c r="M554" i="3"/>
  <c r="N554" i="3"/>
  <c r="M553" i="3"/>
  <c r="N553" i="3"/>
  <c r="M550" i="3"/>
  <c r="N550" i="3"/>
  <c r="M549" i="3"/>
  <c r="N549" i="3"/>
  <c r="M543" i="3"/>
  <c r="N543" i="3"/>
  <c r="M539" i="3"/>
  <c r="P539" i="3" s="1"/>
  <c r="Q539" i="3" s="1"/>
  <c r="N539" i="3"/>
  <c r="R539" i="3" s="1"/>
  <c r="M531" i="3"/>
  <c r="N531" i="3"/>
  <c r="M526" i="3"/>
  <c r="N526" i="3"/>
  <c r="M88" i="3"/>
  <c r="N88" i="3"/>
  <c r="M525" i="3"/>
  <c r="N525" i="3"/>
  <c r="M522" i="3"/>
  <c r="N522" i="3"/>
  <c r="M521" i="3"/>
  <c r="N521" i="3"/>
  <c r="M509" i="3"/>
  <c r="N509" i="3"/>
  <c r="M485" i="3"/>
  <c r="N485" i="3"/>
  <c r="M483" i="3"/>
  <c r="N483" i="3"/>
  <c r="M482" i="3"/>
  <c r="N482" i="3"/>
  <c r="M479" i="3"/>
  <c r="N479" i="3"/>
  <c r="M478" i="3"/>
  <c r="N478" i="3"/>
  <c r="M454" i="3"/>
  <c r="N454" i="3"/>
  <c r="M440" i="3"/>
  <c r="N440" i="3"/>
  <c r="M438" i="3"/>
  <c r="P438" i="3" s="1"/>
  <c r="Q438" i="3" s="1"/>
  <c r="N438" i="3"/>
  <c r="R438" i="3" s="1"/>
  <c r="M436" i="3"/>
  <c r="N436" i="3"/>
  <c r="M434" i="3"/>
  <c r="N434" i="3"/>
  <c r="M433" i="3"/>
  <c r="N433" i="3"/>
  <c r="M430" i="3"/>
  <c r="N430" i="3"/>
  <c r="M428" i="3"/>
  <c r="N428" i="3"/>
  <c r="M422" i="3"/>
  <c r="N422" i="3"/>
  <c r="M419" i="3"/>
  <c r="N419" i="3"/>
  <c r="M416" i="3"/>
  <c r="N416" i="3"/>
  <c r="M412" i="3"/>
  <c r="N412" i="3"/>
  <c r="M403" i="3"/>
  <c r="N403" i="3"/>
  <c r="M402" i="3"/>
  <c r="P402" i="3" s="1"/>
  <c r="Q402" i="3" s="1"/>
  <c r="N402" i="3"/>
  <c r="R402" i="3" s="1"/>
  <c r="M398" i="3"/>
  <c r="N398" i="3"/>
  <c r="M394" i="3"/>
  <c r="N394" i="3"/>
  <c r="M393" i="3"/>
  <c r="N393" i="3"/>
  <c r="M387" i="3"/>
  <c r="N387" i="3"/>
  <c r="M384" i="3"/>
  <c r="N384" i="3"/>
  <c r="M381" i="3"/>
  <c r="N381" i="3"/>
  <c r="M373" i="3"/>
  <c r="N373" i="3"/>
  <c r="M368" i="3"/>
  <c r="N368" i="3"/>
  <c r="M366" i="3"/>
  <c r="N366" i="3"/>
  <c r="M365" i="3"/>
  <c r="N365" i="3"/>
  <c r="M364" i="3"/>
  <c r="N364" i="3"/>
  <c r="M353" i="3"/>
  <c r="N353" i="3"/>
  <c r="O15" i="4"/>
  <c r="S15" i="4" s="1"/>
  <c r="N15" i="4"/>
  <c r="R15" i="4" s="1"/>
  <c r="X15" i="4" s="1"/>
  <c r="O19" i="4"/>
  <c r="S19" i="4" s="1"/>
  <c r="N19" i="4"/>
  <c r="R19" i="4" s="1"/>
  <c r="X19" i="4" s="1"/>
  <c r="O31" i="4"/>
  <c r="S31" i="4" s="1"/>
  <c r="N31" i="4"/>
  <c r="R31" i="4" s="1"/>
  <c r="X31" i="4" s="1"/>
  <c r="O35" i="4"/>
  <c r="S35" i="4" s="1"/>
  <c r="N35" i="4"/>
  <c r="R35" i="4" s="1"/>
  <c r="X35" i="4" s="1"/>
  <c r="O64" i="4"/>
  <c r="S64" i="4" s="1"/>
  <c r="N64" i="4"/>
  <c r="R64" i="4" s="1"/>
  <c r="X64" i="4" s="1"/>
  <c r="O72" i="4"/>
  <c r="S72" i="4" s="1"/>
  <c r="N72" i="4"/>
  <c r="R72" i="4" s="1"/>
  <c r="X72" i="4" s="1"/>
  <c r="O80" i="4"/>
  <c r="S80" i="4" s="1"/>
  <c r="N80" i="4"/>
  <c r="R80" i="4" s="1"/>
  <c r="X80" i="4" s="1"/>
  <c r="O88" i="4"/>
  <c r="S88" i="4" s="1"/>
  <c r="N88" i="4"/>
  <c r="R88" i="4" s="1"/>
  <c r="X88" i="4" s="1"/>
  <c r="N93" i="4"/>
  <c r="R93" i="4" s="1"/>
  <c r="O93" i="4"/>
  <c r="S93" i="4" s="1"/>
  <c r="Y93" i="4" s="1"/>
  <c r="N98" i="4"/>
  <c r="R98" i="4" s="1"/>
  <c r="O98" i="4"/>
  <c r="S98" i="4" s="1"/>
  <c r="Y98" i="4" s="1"/>
  <c r="N100" i="4"/>
  <c r="R100" i="4" s="1"/>
  <c r="O100" i="4"/>
  <c r="S100" i="4" s="1"/>
  <c r="Y100" i="4" s="1"/>
  <c r="N105" i="4"/>
  <c r="R105" i="4" s="1"/>
  <c r="O105" i="4"/>
  <c r="S105" i="4" s="1"/>
  <c r="Y105" i="4" s="1"/>
  <c r="O111" i="4"/>
  <c r="S111" i="4" s="1"/>
  <c r="N111" i="4"/>
  <c r="R111" i="4" s="1"/>
  <c r="X111" i="4" s="1"/>
  <c r="M322" i="3"/>
  <c r="N322" i="3"/>
  <c r="M321" i="3"/>
  <c r="N321" i="3"/>
  <c r="M320" i="3"/>
  <c r="N320" i="3"/>
  <c r="M318" i="3"/>
  <c r="N318" i="3"/>
  <c r="M308" i="3"/>
  <c r="N308" i="3"/>
  <c r="M307" i="3"/>
  <c r="N307" i="3"/>
  <c r="M304" i="3"/>
  <c r="N304" i="3"/>
  <c r="M283" i="3"/>
  <c r="N283" i="3"/>
  <c r="M275" i="3"/>
  <c r="N275" i="3"/>
  <c r="M273" i="3"/>
  <c r="N273" i="3"/>
  <c r="M266" i="3"/>
  <c r="N266" i="3"/>
  <c r="M254" i="3"/>
  <c r="N254" i="3"/>
  <c r="M251" i="3"/>
  <c r="N251" i="3"/>
  <c r="M249" i="3"/>
  <c r="N249" i="3"/>
  <c r="M244" i="3"/>
  <c r="N244" i="3"/>
  <c r="M241" i="3"/>
  <c r="N241" i="3"/>
  <c r="M240" i="3"/>
  <c r="P240" i="3" s="1"/>
  <c r="Q240" i="3" s="1"/>
  <c r="N240" i="3"/>
  <c r="M234" i="3"/>
  <c r="P234" i="3" s="1"/>
  <c r="Q234" i="3" s="1"/>
  <c r="N234" i="3"/>
  <c r="M232" i="3"/>
  <c r="N232" i="3"/>
  <c r="M231" i="3"/>
  <c r="N231" i="3"/>
  <c r="M213" i="3"/>
  <c r="N213" i="3"/>
  <c r="M198" i="3"/>
  <c r="N198" i="3"/>
  <c r="M197" i="3"/>
  <c r="N197" i="3"/>
  <c r="M191" i="3"/>
  <c r="N191" i="3"/>
  <c r="M188" i="3"/>
  <c r="N188" i="3"/>
  <c r="M187" i="3"/>
  <c r="N187" i="3"/>
  <c r="M185" i="3"/>
  <c r="P185" i="3" s="1"/>
  <c r="Q185" i="3" s="1"/>
  <c r="N185" i="3"/>
  <c r="M181" i="3"/>
  <c r="N181" i="3"/>
  <c r="M179" i="3"/>
  <c r="N179" i="3"/>
  <c r="M178" i="3"/>
  <c r="N178" i="3"/>
  <c r="M174" i="3"/>
  <c r="N174" i="3"/>
  <c r="M173" i="3"/>
  <c r="N173" i="3"/>
  <c r="M172" i="3"/>
  <c r="N172" i="3"/>
  <c r="M171" i="3"/>
  <c r="N171" i="3"/>
  <c r="M170" i="3"/>
  <c r="N170" i="3"/>
  <c r="M168" i="3"/>
  <c r="P168" i="3" s="1"/>
  <c r="Q168" i="3" s="1"/>
  <c r="N168" i="3"/>
  <c r="M164" i="3"/>
  <c r="N164" i="3"/>
  <c r="M150" i="3"/>
  <c r="N150" i="3"/>
  <c r="M141" i="3"/>
  <c r="N141" i="3"/>
  <c r="M139" i="3"/>
  <c r="N139" i="3"/>
  <c r="M135" i="3"/>
  <c r="N135" i="3"/>
  <c r="M124" i="3"/>
  <c r="N124" i="3"/>
  <c r="M121" i="3"/>
  <c r="N121" i="3"/>
  <c r="M111" i="3"/>
  <c r="N111" i="3"/>
  <c r="M103" i="3"/>
  <c r="N103" i="3"/>
  <c r="M101" i="3"/>
  <c r="N101" i="3"/>
  <c r="M100" i="3"/>
  <c r="N100" i="3"/>
  <c r="M95" i="3"/>
  <c r="N95" i="3"/>
  <c r="M90" i="3"/>
  <c r="N90" i="3"/>
  <c r="M82" i="3"/>
  <c r="N82" i="3"/>
  <c r="M80" i="3"/>
  <c r="N80" i="3"/>
  <c r="M77" i="3"/>
  <c r="N77" i="3"/>
  <c r="M75" i="3"/>
  <c r="N75" i="3"/>
  <c r="M63" i="3"/>
  <c r="N63" i="3"/>
  <c r="M58" i="3"/>
  <c r="N58" i="3"/>
  <c r="M50" i="3"/>
  <c r="N50" i="3"/>
  <c r="M48" i="3"/>
  <c r="N48" i="3"/>
  <c r="M34" i="3"/>
  <c r="N34" i="3"/>
  <c r="M30" i="3"/>
  <c r="N30" i="3"/>
  <c r="N847" i="4"/>
  <c r="R847" i="4" s="1"/>
  <c r="O847" i="4"/>
  <c r="S847" i="4" s="1"/>
  <c r="Y847" i="4" s="1"/>
  <c r="AE847" i="4" s="1"/>
  <c r="O16" i="4"/>
  <c r="S16" i="4" s="1"/>
  <c r="N16" i="4"/>
  <c r="R16" i="4" s="1"/>
  <c r="X16" i="4" s="1"/>
  <c r="O20" i="4"/>
  <c r="S20" i="4" s="1"/>
  <c r="N20" i="4"/>
  <c r="R20" i="4" s="1"/>
  <c r="X20" i="4" s="1"/>
  <c r="O46" i="4"/>
  <c r="S46" i="4" s="1"/>
  <c r="N46" i="4"/>
  <c r="R46" i="4" s="1"/>
  <c r="X46" i="4" s="1"/>
  <c r="N51" i="4"/>
  <c r="R51" i="4" s="1"/>
  <c r="O51" i="4"/>
  <c r="S51" i="4" s="1"/>
  <c r="Y51" i="4" s="1"/>
  <c r="O67" i="4"/>
  <c r="S67" i="4" s="1"/>
  <c r="N67" i="4"/>
  <c r="R67" i="4" s="1"/>
  <c r="X67" i="4" s="1"/>
  <c r="O75" i="4"/>
  <c r="S75" i="4" s="1"/>
  <c r="N75" i="4"/>
  <c r="R75" i="4" s="1"/>
  <c r="X75" i="4" s="1"/>
  <c r="O102" i="4"/>
  <c r="S102" i="4" s="1"/>
  <c r="Y102" i="4" s="1"/>
  <c r="N102" i="4"/>
  <c r="R102" i="4" s="1"/>
  <c r="X102" i="4" s="1"/>
  <c r="O109" i="4"/>
  <c r="S109" i="4" s="1"/>
  <c r="N109" i="4"/>
  <c r="R109" i="4" s="1"/>
  <c r="X109" i="4" s="1"/>
  <c r="F829" i="4"/>
  <c r="F861" i="4" s="1"/>
  <c r="E829" i="4"/>
  <c r="E861" i="4" s="1"/>
  <c r="H726" i="3"/>
  <c r="E903" i="4"/>
  <c r="R346" i="3"/>
  <c r="H297" i="3"/>
  <c r="R293" i="3"/>
  <c r="R272" i="3"/>
  <c r="R248" i="3"/>
  <c r="R246" i="3"/>
  <c r="R177" i="3"/>
  <c r="J49" i="2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R715" i="3"/>
  <c r="R698" i="3"/>
  <c r="D807" i="4"/>
  <c r="R717" i="3"/>
  <c r="R686" i="3"/>
  <c r="R716" i="3"/>
  <c r="R696" i="3"/>
  <c r="R685" i="3"/>
  <c r="R674" i="3"/>
  <c r="R401" i="3"/>
  <c r="R395" i="3"/>
  <c r="R700" i="3"/>
  <c r="R673" i="3"/>
  <c r="R659" i="3"/>
  <c r="R524" i="3"/>
  <c r="S948" i="4" l="1"/>
  <c r="O958" i="4"/>
  <c r="R961" i="4"/>
  <c r="N966" i="4"/>
  <c r="R1006" i="4"/>
  <c r="N1011" i="4"/>
  <c r="S1046" i="4"/>
  <c r="O1051" i="4"/>
  <c r="S823" i="4"/>
  <c r="O827" i="4"/>
  <c r="R871" i="4"/>
  <c r="S914" i="4"/>
  <c r="O913" i="4"/>
  <c r="O917" i="4" s="1"/>
  <c r="S1026" i="4"/>
  <c r="O1034" i="4"/>
  <c r="R948" i="4"/>
  <c r="N958" i="4"/>
  <c r="R971" i="4"/>
  <c r="N988" i="4"/>
  <c r="R1014" i="4"/>
  <c r="N1021" i="4"/>
  <c r="S805" i="4"/>
  <c r="O807" i="4"/>
  <c r="R823" i="4"/>
  <c r="N827" i="4"/>
  <c r="S865" i="4"/>
  <c r="O868" i="4"/>
  <c r="S871" i="4"/>
  <c r="S895" i="4"/>
  <c r="O901" i="4"/>
  <c r="R914" i="4"/>
  <c r="N913" i="4"/>
  <c r="N917" i="4" s="1"/>
  <c r="S971" i="4"/>
  <c r="O988" i="4"/>
  <c r="R1038" i="4"/>
  <c r="N1043" i="4"/>
  <c r="R1046" i="4"/>
  <c r="N1051" i="4"/>
  <c r="R727" i="3"/>
  <c r="R726" i="3" s="1"/>
  <c r="H5874" i="2" s="1"/>
  <c r="N726" i="3"/>
  <c r="R10" i="4"/>
  <c r="N9" i="4"/>
  <c r="S10" i="4"/>
  <c r="O9" i="4"/>
  <c r="R13" i="4"/>
  <c r="N12" i="4"/>
  <c r="N23" i="4" s="1"/>
  <c r="S13" i="4"/>
  <c r="O12" i="4"/>
  <c r="O23" i="4" s="1"/>
  <c r="R26" i="4"/>
  <c r="N25" i="4"/>
  <c r="S26" i="4"/>
  <c r="O25" i="4"/>
  <c r="R30" i="4"/>
  <c r="N29" i="4"/>
  <c r="S30" i="4"/>
  <c r="O29" i="4"/>
  <c r="R40" i="4"/>
  <c r="N39" i="4"/>
  <c r="N41" i="4" s="1"/>
  <c r="S40" i="4"/>
  <c r="O39" i="4"/>
  <c r="O41" i="4" s="1"/>
  <c r="R810" i="4"/>
  <c r="N820" i="4"/>
  <c r="R842" i="4"/>
  <c r="R855" i="4"/>
  <c r="N857" i="4"/>
  <c r="N859" i="4"/>
  <c r="R859" i="4" s="1"/>
  <c r="I861" i="4"/>
  <c r="R886" i="4"/>
  <c r="N892" i="4"/>
  <c r="R895" i="4"/>
  <c r="N901" i="4"/>
  <c r="S921" i="4"/>
  <c r="O931" i="4"/>
  <c r="R991" i="4"/>
  <c r="N1003" i="4"/>
  <c r="S1038" i="4"/>
  <c r="O1043" i="4"/>
  <c r="S991" i="4"/>
  <c r="O1003" i="4"/>
  <c r="S1006" i="4"/>
  <c r="O1011" i="4"/>
  <c r="R1026" i="4"/>
  <c r="N1034" i="4"/>
  <c r="R805" i="4"/>
  <c r="S810" i="4"/>
  <c r="O820" i="4"/>
  <c r="S834" i="4"/>
  <c r="X834" i="4" s="1"/>
  <c r="O842" i="4"/>
  <c r="S855" i="4"/>
  <c r="O857" i="4"/>
  <c r="O859" i="4"/>
  <c r="S859" i="4" s="1"/>
  <c r="Y859" i="4" s="1"/>
  <c r="R865" i="4"/>
  <c r="N868" i="4"/>
  <c r="R921" i="4"/>
  <c r="N931" i="4"/>
  <c r="S961" i="4"/>
  <c r="O966" i="4"/>
  <c r="S1014" i="4"/>
  <c r="O1021" i="4"/>
  <c r="F883" i="4"/>
  <c r="F903" i="4" s="1"/>
  <c r="F1053" i="4" s="1"/>
  <c r="I876" i="4"/>
  <c r="J876" i="4"/>
  <c r="O886" i="4"/>
  <c r="J892" i="4"/>
  <c r="P683" i="3"/>
  <c r="M682" i="3"/>
  <c r="N682" i="3"/>
  <c r="R640" i="3"/>
  <c r="N639" i="3"/>
  <c r="P9" i="3"/>
  <c r="T9" i="3"/>
  <c r="M7" i="3"/>
  <c r="N7" i="3"/>
  <c r="Q300" i="3"/>
  <c r="R299" i="3"/>
  <c r="N297" i="3"/>
  <c r="AC887" i="4"/>
  <c r="D130" i="7"/>
  <c r="J129" i="12" s="1"/>
  <c r="J159" i="12"/>
  <c r="D160" i="7"/>
  <c r="D13" i="6"/>
  <c r="AB927" i="4"/>
  <c r="AB928" i="4"/>
  <c r="D14" i="6"/>
  <c r="AE839" i="4"/>
  <c r="D82" i="7"/>
  <c r="J81" i="12" s="1"/>
  <c r="O905" i="4"/>
  <c r="S906" i="4"/>
  <c r="N905" i="4"/>
  <c r="R906" i="4"/>
  <c r="AE837" i="4"/>
  <c r="D80" i="7"/>
  <c r="J79" i="12" s="1"/>
  <c r="AB17" i="4"/>
  <c r="D17" i="7"/>
  <c r="J16" i="12" s="1"/>
  <c r="AB922" i="4"/>
  <c r="D8" i="6"/>
  <c r="D15" i="6"/>
  <c r="AB929" i="4"/>
  <c r="D84" i="7"/>
  <c r="J83" i="12" s="1"/>
  <c r="AE841" i="4"/>
  <c r="AB924" i="4"/>
  <c r="D10" i="6"/>
  <c r="AB14" i="4"/>
  <c r="D14" i="7"/>
  <c r="J13" i="12" s="1"/>
  <c r="AB18" i="4"/>
  <c r="D18" i="7"/>
  <c r="J17" i="12" s="1"/>
  <c r="AB34" i="4"/>
  <c r="D35" i="7"/>
  <c r="J34" i="12" s="1"/>
  <c r="P667" i="3"/>
  <c r="Q667" i="3" s="1"/>
  <c r="R667" i="3" s="1"/>
  <c r="T667" i="3"/>
  <c r="P666" i="3"/>
  <c r="Q666" i="3" s="1"/>
  <c r="R666" i="3" s="1"/>
  <c r="T666" i="3"/>
  <c r="P662" i="3"/>
  <c r="Q662" i="3" s="1"/>
  <c r="R662" i="3" s="1"/>
  <c r="T662" i="3"/>
  <c r="P661" i="3"/>
  <c r="Q661" i="3" s="1"/>
  <c r="R661" i="3" s="1"/>
  <c r="T661" i="3"/>
  <c r="P657" i="3"/>
  <c r="Q657" i="3" s="1"/>
  <c r="R657" i="3" s="1"/>
  <c r="T657" i="3"/>
  <c r="P641" i="3"/>
  <c r="T641" i="3"/>
  <c r="M639" i="3"/>
  <c r="P636" i="3"/>
  <c r="Q636" i="3" s="1"/>
  <c r="R636" i="3" s="1"/>
  <c r="T636" i="3"/>
  <c r="P631" i="3"/>
  <c r="Q631" i="3" s="1"/>
  <c r="R631" i="3" s="1"/>
  <c r="T631" i="3"/>
  <c r="P629" i="3"/>
  <c r="Q629" i="3" s="1"/>
  <c r="R629" i="3" s="1"/>
  <c r="T629" i="3"/>
  <c r="P627" i="3"/>
  <c r="Q627" i="3" s="1"/>
  <c r="R627" i="3" s="1"/>
  <c r="T627" i="3"/>
  <c r="P618" i="3"/>
  <c r="Q618" i="3" s="1"/>
  <c r="R618" i="3" s="1"/>
  <c r="T618" i="3"/>
  <c r="P603" i="3"/>
  <c r="Q603" i="3" s="1"/>
  <c r="R603" i="3" s="1"/>
  <c r="T603" i="3"/>
  <c r="P600" i="3"/>
  <c r="Q600" i="3" s="1"/>
  <c r="R600" i="3" s="1"/>
  <c r="T600" i="3"/>
  <c r="P598" i="3"/>
  <c r="Q598" i="3" s="1"/>
  <c r="R598" i="3" s="1"/>
  <c r="T598" i="3"/>
  <c r="P589" i="3"/>
  <c r="Q589" i="3" s="1"/>
  <c r="R589" i="3" s="1"/>
  <c r="T589" i="3"/>
  <c r="P588" i="3"/>
  <c r="Q588" i="3" s="1"/>
  <c r="R588" i="3" s="1"/>
  <c r="T588" i="3"/>
  <c r="P582" i="3"/>
  <c r="Q582" i="3" s="1"/>
  <c r="R582" i="3" s="1"/>
  <c r="T582" i="3"/>
  <c r="P581" i="3"/>
  <c r="Q581" i="3" s="1"/>
  <c r="R581" i="3" s="1"/>
  <c r="T581" i="3"/>
  <c r="P580" i="3"/>
  <c r="Q580" i="3" s="1"/>
  <c r="R580" i="3" s="1"/>
  <c r="T580" i="3"/>
  <c r="P579" i="3"/>
  <c r="Q579" i="3" s="1"/>
  <c r="R579" i="3" s="1"/>
  <c r="T579" i="3"/>
  <c r="P571" i="3"/>
  <c r="Q571" i="3" s="1"/>
  <c r="R571" i="3" s="1"/>
  <c r="T571" i="3"/>
  <c r="P569" i="3"/>
  <c r="Q569" i="3" s="1"/>
  <c r="R569" i="3" s="1"/>
  <c r="T569" i="3"/>
  <c r="P568" i="3"/>
  <c r="Q568" i="3" s="1"/>
  <c r="R568" i="3" s="1"/>
  <c r="T568" i="3"/>
  <c r="P567" i="3"/>
  <c r="Q567" i="3" s="1"/>
  <c r="R567" i="3" s="1"/>
  <c r="T567" i="3"/>
  <c r="P564" i="3"/>
  <c r="Q564" i="3" s="1"/>
  <c r="R564" i="3" s="1"/>
  <c r="T564" i="3"/>
  <c r="P559" i="3"/>
  <c r="Q559" i="3" s="1"/>
  <c r="R559" i="3" s="1"/>
  <c r="T559" i="3"/>
  <c r="P556" i="3"/>
  <c r="Q556" i="3" s="1"/>
  <c r="R556" i="3" s="1"/>
  <c r="T556" i="3"/>
  <c r="P555" i="3"/>
  <c r="Q555" i="3" s="1"/>
  <c r="R555" i="3" s="1"/>
  <c r="T555" i="3"/>
  <c r="P554" i="3"/>
  <c r="Q554" i="3" s="1"/>
  <c r="R554" i="3" s="1"/>
  <c r="T554" i="3"/>
  <c r="P553" i="3"/>
  <c r="Q553" i="3" s="1"/>
  <c r="R553" i="3" s="1"/>
  <c r="T553" i="3"/>
  <c r="P550" i="3"/>
  <c r="Q550" i="3" s="1"/>
  <c r="R550" i="3" s="1"/>
  <c r="T550" i="3"/>
  <c r="P549" i="3"/>
  <c r="Q549" i="3" s="1"/>
  <c r="R549" i="3" s="1"/>
  <c r="T549" i="3"/>
  <c r="P543" i="3"/>
  <c r="Q543" i="3" s="1"/>
  <c r="R543" i="3" s="1"/>
  <c r="T543" i="3"/>
  <c r="P531" i="3"/>
  <c r="Q531" i="3" s="1"/>
  <c r="R531" i="3" s="1"/>
  <c r="T531" i="3"/>
  <c r="P526" i="3"/>
  <c r="Q526" i="3" s="1"/>
  <c r="R526" i="3" s="1"/>
  <c r="T526" i="3"/>
  <c r="P88" i="3"/>
  <c r="Q88" i="3" s="1"/>
  <c r="R88" i="3" s="1"/>
  <c r="T88" i="3"/>
  <c r="P525" i="3"/>
  <c r="Q525" i="3" s="1"/>
  <c r="R525" i="3" s="1"/>
  <c r="T525" i="3"/>
  <c r="P522" i="3"/>
  <c r="Q522" i="3" s="1"/>
  <c r="R522" i="3" s="1"/>
  <c r="T522" i="3"/>
  <c r="P521" i="3"/>
  <c r="Q521" i="3" s="1"/>
  <c r="R521" i="3" s="1"/>
  <c r="T521" i="3"/>
  <c r="P509" i="3"/>
  <c r="Q509" i="3" s="1"/>
  <c r="R509" i="3" s="1"/>
  <c r="T509" i="3"/>
  <c r="P485" i="3"/>
  <c r="Q485" i="3" s="1"/>
  <c r="R485" i="3" s="1"/>
  <c r="T485" i="3"/>
  <c r="P483" i="3"/>
  <c r="Q483" i="3" s="1"/>
  <c r="R483" i="3" s="1"/>
  <c r="T483" i="3"/>
  <c r="P482" i="3"/>
  <c r="Q482" i="3" s="1"/>
  <c r="R482" i="3" s="1"/>
  <c r="T482" i="3"/>
  <c r="P479" i="3"/>
  <c r="Q479" i="3" s="1"/>
  <c r="R479" i="3" s="1"/>
  <c r="T479" i="3"/>
  <c r="P478" i="3"/>
  <c r="Q478" i="3" s="1"/>
  <c r="R478" i="3" s="1"/>
  <c r="T478" i="3"/>
  <c r="P454" i="3"/>
  <c r="Q454" i="3" s="1"/>
  <c r="R454" i="3" s="1"/>
  <c r="T454" i="3"/>
  <c r="P440" i="3"/>
  <c r="Q440" i="3" s="1"/>
  <c r="R440" i="3" s="1"/>
  <c r="T440" i="3"/>
  <c r="P436" i="3"/>
  <c r="Q436" i="3" s="1"/>
  <c r="R436" i="3" s="1"/>
  <c r="T436" i="3"/>
  <c r="P434" i="3"/>
  <c r="Q434" i="3" s="1"/>
  <c r="R434" i="3" s="1"/>
  <c r="T434" i="3"/>
  <c r="P433" i="3"/>
  <c r="Q433" i="3" s="1"/>
  <c r="R433" i="3" s="1"/>
  <c r="T433" i="3"/>
  <c r="P430" i="3"/>
  <c r="Q430" i="3" s="1"/>
  <c r="R430" i="3" s="1"/>
  <c r="T430" i="3"/>
  <c r="P428" i="3"/>
  <c r="Q428" i="3" s="1"/>
  <c r="R428" i="3" s="1"/>
  <c r="T428" i="3"/>
  <c r="P422" i="3"/>
  <c r="Q422" i="3" s="1"/>
  <c r="R422" i="3" s="1"/>
  <c r="T422" i="3"/>
  <c r="P419" i="3"/>
  <c r="Q419" i="3" s="1"/>
  <c r="R419" i="3" s="1"/>
  <c r="T419" i="3"/>
  <c r="P416" i="3"/>
  <c r="Q416" i="3" s="1"/>
  <c r="R416" i="3" s="1"/>
  <c r="T416" i="3"/>
  <c r="P412" i="3"/>
  <c r="Q412" i="3" s="1"/>
  <c r="R412" i="3" s="1"/>
  <c r="T412" i="3"/>
  <c r="P403" i="3"/>
  <c r="Q403" i="3" s="1"/>
  <c r="R403" i="3" s="1"/>
  <c r="T403" i="3"/>
  <c r="P398" i="3"/>
  <c r="Q398" i="3" s="1"/>
  <c r="R398" i="3" s="1"/>
  <c r="T398" i="3"/>
  <c r="P394" i="3"/>
  <c r="Q394" i="3" s="1"/>
  <c r="R394" i="3" s="1"/>
  <c r="T394" i="3"/>
  <c r="P393" i="3"/>
  <c r="Q393" i="3" s="1"/>
  <c r="R393" i="3" s="1"/>
  <c r="T393" i="3"/>
  <c r="P387" i="3"/>
  <c r="Q387" i="3" s="1"/>
  <c r="R387" i="3" s="1"/>
  <c r="T387" i="3"/>
  <c r="P384" i="3"/>
  <c r="Q384" i="3" s="1"/>
  <c r="R384" i="3" s="1"/>
  <c r="T384" i="3"/>
  <c r="P381" i="3"/>
  <c r="Q381" i="3" s="1"/>
  <c r="R381" i="3" s="1"/>
  <c r="T381" i="3"/>
  <c r="P373" i="3"/>
  <c r="Q373" i="3" s="1"/>
  <c r="R373" i="3" s="1"/>
  <c r="T373" i="3"/>
  <c r="P368" i="3"/>
  <c r="Q368" i="3" s="1"/>
  <c r="R368" i="3" s="1"/>
  <c r="T368" i="3"/>
  <c r="P366" i="3"/>
  <c r="Q366" i="3" s="1"/>
  <c r="R366" i="3" s="1"/>
  <c r="T366" i="3"/>
  <c r="P365" i="3"/>
  <c r="Q365" i="3" s="1"/>
  <c r="R365" i="3" s="1"/>
  <c r="T365" i="3"/>
  <c r="P364" i="3"/>
  <c r="Q364" i="3" s="1"/>
  <c r="R364" i="3" s="1"/>
  <c r="T364" i="3"/>
  <c r="P353" i="3"/>
  <c r="Q353" i="3" s="1"/>
  <c r="R353" i="3" s="1"/>
  <c r="T353" i="3"/>
  <c r="AB15" i="4"/>
  <c r="D15" i="7"/>
  <c r="J14" i="12" s="1"/>
  <c r="AB19" i="4"/>
  <c r="D19" i="7"/>
  <c r="J18" i="12" s="1"/>
  <c r="P322" i="3"/>
  <c r="Q322" i="3" s="1"/>
  <c r="R322" i="3" s="1"/>
  <c r="T322" i="3"/>
  <c r="P321" i="3"/>
  <c r="Q321" i="3" s="1"/>
  <c r="R321" i="3" s="1"/>
  <c r="T321" i="3"/>
  <c r="P320" i="3"/>
  <c r="Q320" i="3" s="1"/>
  <c r="R320" i="3" s="1"/>
  <c r="T320" i="3"/>
  <c r="P318" i="3"/>
  <c r="Q318" i="3" s="1"/>
  <c r="R318" i="3" s="1"/>
  <c r="T318" i="3"/>
  <c r="P308" i="3"/>
  <c r="Q308" i="3" s="1"/>
  <c r="R308" i="3" s="1"/>
  <c r="T308" i="3"/>
  <c r="P307" i="3"/>
  <c r="Q307" i="3" s="1"/>
  <c r="R307" i="3" s="1"/>
  <c r="T307" i="3"/>
  <c r="P304" i="3"/>
  <c r="T304" i="3"/>
  <c r="P283" i="3"/>
  <c r="Q283" i="3" s="1"/>
  <c r="R283" i="3" s="1"/>
  <c r="T283" i="3"/>
  <c r="P275" i="3"/>
  <c r="Q275" i="3" s="1"/>
  <c r="R275" i="3" s="1"/>
  <c r="T275" i="3"/>
  <c r="P273" i="3"/>
  <c r="Q273" i="3" s="1"/>
  <c r="R273" i="3" s="1"/>
  <c r="T273" i="3"/>
  <c r="P266" i="3"/>
  <c r="Q266" i="3" s="1"/>
  <c r="R266" i="3" s="1"/>
  <c r="T266" i="3"/>
  <c r="P254" i="3"/>
  <c r="Q254" i="3" s="1"/>
  <c r="R254" i="3" s="1"/>
  <c r="T254" i="3"/>
  <c r="P251" i="3"/>
  <c r="Q251" i="3" s="1"/>
  <c r="R251" i="3" s="1"/>
  <c r="T251" i="3"/>
  <c r="P249" i="3"/>
  <c r="Q249" i="3" s="1"/>
  <c r="R249" i="3" s="1"/>
  <c r="T249" i="3"/>
  <c r="P244" i="3"/>
  <c r="Q244" i="3" s="1"/>
  <c r="R244" i="3" s="1"/>
  <c r="T244" i="3"/>
  <c r="P241" i="3"/>
  <c r="Q241" i="3" s="1"/>
  <c r="R241" i="3" s="1"/>
  <c r="T241" i="3"/>
  <c r="P232" i="3"/>
  <c r="Q232" i="3" s="1"/>
  <c r="R232" i="3" s="1"/>
  <c r="T232" i="3"/>
  <c r="P231" i="3"/>
  <c r="Q231" i="3" s="1"/>
  <c r="R231" i="3" s="1"/>
  <c r="T231" i="3"/>
  <c r="P213" i="3"/>
  <c r="Q213" i="3" s="1"/>
  <c r="R213" i="3" s="1"/>
  <c r="T213" i="3"/>
  <c r="P198" i="3"/>
  <c r="Q198" i="3" s="1"/>
  <c r="R198" i="3" s="1"/>
  <c r="T198" i="3"/>
  <c r="P197" i="3"/>
  <c r="Q197" i="3" s="1"/>
  <c r="R197" i="3" s="1"/>
  <c r="T197" i="3"/>
  <c r="P191" i="3"/>
  <c r="Q191" i="3" s="1"/>
  <c r="R191" i="3" s="1"/>
  <c r="T191" i="3"/>
  <c r="P188" i="3"/>
  <c r="Q188" i="3" s="1"/>
  <c r="R188" i="3" s="1"/>
  <c r="T188" i="3"/>
  <c r="P187" i="3"/>
  <c r="Q187" i="3" s="1"/>
  <c r="R187" i="3" s="1"/>
  <c r="T187" i="3"/>
  <c r="P181" i="3"/>
  <c r="Q181" i="3" s="1"/>
  <c r="R181" i="3" s="1"/>
  <c r="T181" i="3"/>
  <c r="P179" i="3"/>
  <c r="Q179" i="3" s="1"/>
  <c r="R179" i="3" s="1"/>
  <c r="T179" i="3"/>
  <c r="P178" i="3"/>
  <c r="Q178" i="3" s="1"/>
  <c r="R178" i="3" s="1"/>
  <c r="T178" i="3"/>
  <c r="P174" i="3"/>
  <c r="Q174" i="3" s="1"/>
  <c r="R174" i="3" s="1"/>
  <c r="T174" i="3"/>
  <c r="P173" i="3"/>
  <c r="Q173" i="3" s="1"/>
  <c r="R173" i="3" s="1"/>
  <c r="T173" i="3"/>
  <c r="P172" i="3"/>
  <c r="Q172" i="3" s="1"/>
  <c r="R172" i="3" s="1"/>
  <c r="T172" i="3"/>
  <c r="P171" i="3"/>
  <c r="Q171" i="3" s="1"/>
  <c r="R171" i="3" s="1"/>
  <c r="T171" i="3"/>
  <c r="P170" i="3"/>
  <c r="Q170" i="3" s="1"/>
  <c r="R170" i="3" s="1"/>
  <c r="T170" i="3"/>
  <c r="P164" i="3"/>
  <c r="Q164" i="3" s="1"/>
  <c r="R164" i="3" s="1"/>
  <c r="T164" i="3"/>
  <c r="P150" i="3"/>
  <c r="Q150" i="3" s="1"/>
  <c r="R150" i="3" s="1"/>
  <c r="T150" i="3"/>
  <c r="P141" i="3"/>
  <c r="Q141" i="3" s="1"/>
  <c r="R141" i="3" s="1"/>
  <c r="T141" i="3"/>
  <c r="P139" i="3"/>
  <c r="Q139" i="3" s="1"/>
  <c r="R139" i="3" s="1"/>
  <c r="T139" i="3"/>
  <c r="P135" i="3"/>
  <c r="Q135" i="3" s="1"/>
  <c r="R135" i="3" s="1"/>
  <c r="T135" i="3"/>
  <c r="P124" i="3"/>
  <c r="Q124" i="3" s="1"/>
  <c r="R124" i="3" s="1"/>
  <c r="T124" i="3"/>
  <c r="P121" i="3"/>
  <c r="Q121" i="3" s="1"/>
  <c r="R121" i="3" s="1"/>
  <c r="T121" i="3"/>
  <c r="P111" i="3"/>
  <c r="Q111" i="3" s="1"/>
  <c r="R111" i="3" s="1"/>
  <c r="T111" i="3"/>
  <c r="P103" i="3"/>
  <c r="Q103" i="3" s="1"/>
  <c r="R103" i="3" s="1"/>
  <c r="T103" i="3"/>
  <c r="P101" i="3"/>
  <c r="Q101" i="3" s="1"/>
  <c r="R101" i="3" s="1"/>
  <c r="T101" i="3"/>
  <c r="P100" i="3"/>
  <c r="Q100" i="3" s="1"/>
  <c r="R100" i="3" s="1"/>
  <c r="T100" i="3"/>
  <c r="P95" i="3"/>
  <c r="Q95" i="3" s="1"/>
  <c r="R95" i="3" s="1"/>
  <c r="T95" i="3"/>
  <c r="P90" i="3"/>
  <c r="Q90" i="3" s="1"/>
  <c r="R90" i="3" s="1"/>
  <c r="T90" i="3"/>
  <c r="P82" i="3"/>
  <c r="Q82" i="3" s="1"/>
  <c r="R82" i="3" s="1"/>
  <c r="T82" i="3"/>
  <c r="P80" i="3"/>
  <c r="Q80" i="3" s="1"/>
  <c r="R80" i="3" s="1"/>
  <c r="T80" i="3"/>
  <c r="P77" i="3"/>
  <c r="Q77" i="3" s="1"/>
  <c r="R77" i="3" s="1"/>
  <c r="T77" i="3"/>
  <c r="P75" i="3"/>
  <c r="Q75" i="3" s="1"/>
  <c r="R75" i="3" s="1"/>
  <c r="T75" i="3"/>
  <c r="P63" i="3"/>
  <c r="Q63" i="3" s="1"/>
  <c r="R63" i="3" s="1"/>
  <c r="T63" i="3"/>
  <c r="P58" i="3"/>
  <c r="Q58" i="3" s="1"/>
  <c r="R58" i="3" s="1"/>
  <c r="T58" i="3"/>
  <c r="P50" i="3"/>
  <c r="Q50" i="3" s="1"/>
  <c r="R50" i="3" s="1"/>
  <c r="T50" i="3"/>
  <c r="P48" i="3"/>
  <c r="Q48" i="3" s="1"/>
  <c r="R48" i="3" s="1"/>
  <c r="T48" i="3"/>
  <c r="P34" i="3"/>
  <c r="Q34" i="3" s="1"/>
  <c r="R34" i="3" s="1"/>
  <c r="T34" i="3"/>
  <c r="P30" i="3"/>
  <c r="Q30" i="3" s="1"/>
  <c r="R30" i="3" s="1"/>
  <c r="T30" i="3"/>
  <c r="AB16" i="4"/>
  <c r="D16" i="7"/>
  <c r="J15" i="12" s="1"/>
  <c r="J1099" i="2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51" i="2" s="1"/>
  <c r="J1552" i="2" s="1"/>
  <c r="J1553" i="2" s="1"/>
  <c r="J1554" i="2" s="1"/>
  <c r="J1548" i="2" s="1"/>
  <c r="J1549" i="2" s="1"/>
  <c r="J1550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J2707" i="2" s="1"/>
  <c r="J2708" i="2" s="1"/>
  <c r="J2709" i="2" s="1"/>
  <c r="J2710" i="2" s="1"/>
  <c r="J2711" i="2" s="1"/>
  <c r="J2712" i="2" s="1"/>
  <c r="J2713" i="2" s="1"/>
  <c r="J2714" i="2" s="1"/>
  <c r="J2715" i="2" s="1"/>
  <c r="J2716" i="2" s="1"/>
  <c r="J2717" i="2" s="1"/>
  <c r="J2718" i="2" s="1"/>
  <c r="J2719" i="2" s="1"/>
  <c r="J2720" i="2" s="1"/>
  <c r="J2721" i="2" s="1"/>
  <c r="J2722" i="2" s="1"/>
  <c r="J2723" i="2" s="1"/>
  <c r="J2724" i="2" s="1"/>
  <c r="J2725" i="2" s="1"/>
  <c r="J2726" i="2" s="1"/>
  <c r="J2727" i="2" s="1"/>
  <c r="J2728" i="2" s="1"/>
  <c r="J2729" i="2" s="1"/>
  <c r="J2730" i="2" s="1"/>
  <c r="J2731" i="2" s="1"/>
  <c r="J2732" i="2" s="1"/>
  <c r="J2733" i="2" s="1"/>
  <c r="J2734" i="2" s="1"/>
  <c r="J2735" i="2" s="1"/>
  <c r="J2736" i="2" s="1"/>
  <c r="J2737" i="2" s="1"/>
  <c r="J2738" i="2" s="1"/>
  <c r="J2739" i="2" s="1"/>
  <c r="J2740" i="2" s="1"/>
  <c r="J2741" i="2" s="1"/>
  <c r="J2742" i="2" s="1"/>
  <c r="J2743" i="2" s="1"/>
  <c r="J2744" i="2" s="1"/>
  <c r="J2745" i="2" s="1"/>
  <c r="J2746" i="2" s="1"/>
  <c r="J2747" i="2" s="1"/>
  <c r="J2748" i="2" s="1"/>
  <c r="J2749" i="2" s="1"/>
  <c r="J2750" i="2" s="1"/>
  <c r="J2751" i="2" s="1"/>
  <c r="J2752" i="2" s="1"/>
  <c r="J2753" i="2" s="1"/>
  <c r="J2754" i="2" s="1"/>
  <c r="J2755" i="2" s="1"/>
  <c r="J2756" i="2" s="1"/>
  <c r="J2757" i="2" s="1"/>
  <c r="J2758" i="2" s="1"/>
  <c r="J2759" i="2" s="1"/>
  <c r="J2760" i="2" s="1"/>
  <c r="J2761" i="2" s="1"/>
  <c r="J2762" i="2" s="1"/>
  <c r="J2763" i="2" s="1"/>
  <c r="J2764" i="2" s="1"/>
  <c r="J2765" i="2" s="1"/>
  <c r="J2766" i="2" s="1"/>
  <c r="J2767" i="2" s="1"/>
  <c r="J2768" i="2" s="1"/>
  <c r="J2769" i="2" s="1"/>
  <c r="J2770" i="2" s="1"/>
  <c r="J2771" i="2" s="1"/>
  <c r="J2772" i="2" s="1"/>
  <c r="J2773" i="2" s="1"/>
  <c r="J2774" i="2" s="1"/>
  <c r="J2775" i="2" s="1"/>
  <c r="J2776" i="2" s="1"/>
  <c r="J2777" i="2" s="1"/>
  <c r="J2778" i="2" s="1"/>
  <c r="J2779" i="2" s="1"/>
  <c r="J2780" i="2" s="1"/>
  <c r="J2781" i="2" s="1"/>
  <c r="J2782" i="2" s="1"/>
  <c r="J2783" i="2" s="1"/>
  <c r="J2784" i="2" s="1"/>
  <c r="J2785" i="2" s="1"/>
  <c r="J2786" i="2" s="1"/>
  <c r="J2787" i="2" s="1"/>
  <c r="J2788" i="2" s="1"/>
  <c r="J2789" i="2" s="1"/>
  <c r="J2790" i="2" s="1"/>
  <c r="J2791" i="2" s="1"/>
  <c r="J2792" i="2" s="1"/>
  <c r="J2793" i="2" s="1"/>
  <c r="J2794" i="2" s="1"/>
  <c r="J2795" i="2" s="1"/>
  <c r="J2796" i="2" s="1"/>
  <c r="J2797" i="2" s="1"/>
  <c r="J2798" i="2" s="1"/>
  <c r="J2799" i="2" s="1"/>
  <c r="J2800" i="2" s="1"/>
  <c r="J2801" i="2" s="1"/>
  <c r="J2802" i="2" s="1"/>
  <c r="J2803" i="2" s="1"/>
  <c r="J2804" i="2" s="1"/>
  <c r="J2805" i="2" s="1"/>
  <c r="J2806" i="2" s="1"/>
  <c r="J2807" i="2" s="1"/>
  <c r="J2808" i="2" s="1"/>
  <c r="J2809" i="2" s="1"/>
  <c r="J2810" i="2" s="1"/>
  <c r="J2811" i="2" s="1"/>
  <c r="J2812" i="2" s="1"/>
  <c r="J2813" i="2" s="1"/>
  <c r="J2814" i="2" s="1"/>
  <c r="J2815" i="2" s="1"/>
  <c r="J2816" i="2" s="1"/>
  <c r="J2817" i="2" s="1"/>
  <c r="J2818" i="2" s="1"/>
  <c r="J2819" i="2" s="1"/>
  <c r="J2820" i="2" s="1"/>
  <c r="J2821" i="2" s="1"/>
  <c r="J2822" i="2" s="1"/>
  <c r="J2823" i="2" s="1"/>
  <c r="J2824" i="2" s="1"/>
  <c r="J2825" i="2" s="1"/>
  <c r="J2826" i="2" s="1"/>
  <c r="J2827" i="2" s="1"/>
  <c r="J2828" i="2" s="1"/>
  <c r="J2829" i="2" s="1"/>
  <c r="J2830" i="2" s="1"/>
  <c r="J2831" i="2" s="1"/>
  <c r="J2832" i="2" s="1"/>
  <c r="J2833" i="2" s="1"/>
  <c r="J2834" i="2" s="1"/>
  <c r="J2835" i="2" s="1"/>
  <c r="J2836" i="2" s="1"/>
  <c r="J2837" i="2" s="1"/>
  <c r="J2838" i="2" s="1"/>
  <c r="J2839" i="2" s="1"/>
  <c r="J2840" i="2" s="1"/>
  <c r="J2841" i="2" s="1"/>
  <c r="J2842" i="2" s="1"/>
  <c r="J2843" i="2" s="1"/>
  <c r="J2844" i="2" s="1"/>
  <c r="J2845" i="2" s="1"/>
  <c r="J2846" i="2" s="1"/>
  <c r="J2847" i="2" s="1"/>
  <c r="J2848" i="2" s="1"/>
  <c r="J2849" i="2" s="1"/>
  <c r="J2850" i="2" s="1"/>
  <c r="J2851" i="2" s="1"/>
  <c r="J2852" i="2" s="1"/>
  <c r="J2853" i="2" s="1"/>
  <c r="J2854" i="2" s="1"/>
  <c r="J2855" i="2" s="1"/>
  <c r="J2856" i="2" s="1"/>
  <c r="J2857" i="2" s="1"/>
  <c r="J2858" i="2" s="1"/>
  <c r="J2859" i="2" s="1"/>
  <c r="J2860" i="2" s="1"/>
  <c r="J2861" i="2" s="1"/>
  <c r="J2862" i="2" s="1"/>
  <c r="J2863" i="2" s="1"/>
  <c r="J2864" i="2" s="1"/>
  <c r="J2865" i="2" s="1"/>
  <c r="J2866" i="2" s="1"/>
  <c r="J2867" i="2" s="1"/>
  <c r="J2868" i="2" s="1"/>
  <c r="J2869" i="2" s="1"/>
  <c r="J2870" i="2" s="1"/>
  <c r="J2871" i="2" s="1"/>
  <c r="J2872" i="2" s="1"/>
  <c r="J2873" i="2" s="1"/>
  <c r="J2874" i="2" s="1"/>
  <c r="J2875" i="2" s="1"/>
  <c r="J2876" i="2" s="1"/>
  <c r="J2877" i="2" s="1"/>
  <c r="J2878" i="2" s="1"/>
  <c r="J2879" i="2" s="1"/>
  <c r="J2880" i="2" s="1"/>
  <c r="J2881" i="2" s="1"/>
  <c r="J2882" i="2" s="1"/>
  <c r="J2883" i="2" s="1"/>
  <c r="J2884" i="2" s="1"/>
  <c r="J2885" i="2" s="1"/>
  <c r="J2886" i="2" s="1"/>
  <c r="J2887" i="2" s="1"/>
  <c r="J2888" i="2" s="1"/>
  <c r="J2889" i="2" s="1"/>
  <c r="J2890" i="2" s="1"/>
  <c r="J2891" i="2" s="1"/>
  <c r="J2892" i="2" s="1"/>
  <c r="J2893" i="2" s="1"/>
  <c r="J2894" i="2" s="1"/>
  <c r="J2895" i="2" s="1"/>
  <c r="J2896" i="2" s="1"/>
  <c r="J2897" i="2" s="1"/>
  <c r="J2898" i="2" s="1"/>
  <c r="J2899" i="2" s="1"/>
  <c r="J2900" i="2" s="1"/>
  <c r="J2901" i="2" s="1"/>
  <c r="J2902" i="2" s="1"/>
  <c r="J2903" i="2" s="1"/>
  <c r="J2904" i="2" s="1"/>
  <c r="J2905" i="2" s="1"/>
  <c r="J2906" i="2" s="1"/>
  <c r="J2907" i="2" s="1"/>
  <c r="J2908" i="2" s="1"/>
  <c r="J2909" i="2" s="1"/>
  <c r="J2910" i="2" s="1"/>
  <c r="J2911" i="2" s="1"/>
  <c r="J2912" i="2" s="1"/>
  <c r="J2913" i="2" s="1"/>
  <c r="J2914" i="2" s="1"/>
  <c r="J2915" i="2" s="1"/>
  <c r="J2916" i="2" s="1"/>
  <c r="J2917" i="2" s="1"/>
  <c r="J2918" i="2" s="1"/>
  <c r="J2919" i="2" s="1"/>
  <c r="J2920" i="2" s="1"/>
  <c r="J2921" i="2" s="1"/>
  <c r="J2922" i="2" s="1"/>
  <c r="J2923" i="2" s="1"/>
  <c r="J2924" i="2" s="1"/>
  <c r="J2925" i="2" s="1"/>
  <c r="J2926" i="2" s="1"/>
  <c r="J2927" i="2" s="1"/>
  <c r="J2928" i="2" s="1"/>
  <c r="J2929" i="2" s="1"/>
  <c r="J2930" i="2" s="1"/>
  <c r="J2931" i="2" s="1"/>
  <c r="J2932" i="2" s="1"/>
  <c r="J2933" i="2" s="1"/>
  <c r="J2934" i="2" s="1"/>
  <c r="J2935" i="2" s="1"/>
  <c r="J2936" i="2" s="1"/>
  <c r="J2937" i="2" s="1"/>
  <c r="J2938" i="2" s="1"/>
  <c r="J2939" i="2" s="1"/>
  <c r="J2940" i="2" s="1"/>
  <c r="J2941" i="2" s="1"/>
  <c r="J2942" i="2" s="1"/>
  <c r="J2943" i="2" s="1"/>
  <c r="J2944" i="2" s="1"/>
  <c r="J2945" i="2" s="1"/>
  <c r="J2946" i="2" s="1"/>
  <c r="J2947" i="2" s="1"/>
  <c r="J2948" i="2" s="1"/>
  <c r="J2949" i="2" s="1"/>
  <c r="J2950" i="2" s="1"/>
  <c r="J2951" i="2" s="1"/>
  <c r="J2952" i="2" s="1"/>
  <c r="J2953" i="2" s="1"/>
  <c r="J2954" i="2" s="1"/>
  <c r="J2955" i="2" s="1"/>
  <c r="J2956" i="2" s="1"/>
  <c r="J2957" i="2" s="1"/>
  <c r="J2958" i="2" s="1"/>
  <c r="J2959" i="2" s="1"/>
  <c r="J2960" i="2" s="1"/>
  <c r="J2961" i="2" s="1"/>
  <c r="J2962" i="2" s="1"/>
  <c r="J2963" i="2" s="1"/>
  <c r="J2964" i="2" s="1"/>
  <c r="J2965" i="2" s="1"/>
  <c r="J2966" i="2" s="1"/>
  <c r="J2967" i="2" s="1"/>
  <c r="J2968" i="2" s="1"/>
  <c r="J2969" i="2" s="1"/>
  <c r="J2970" i="2" s="1"/>
  <c r="J2971" i="2" s="1"/>
  <c r="J2972" i="2" s="1"/>
  <c r="J2973" i="2" s="1"/>
  <c r="J2974" i="2" s="1"/>
  <c r="J2975" i="2" s="1"/>
  <c r="J2976" i="2" s="1"/>
  <c r="J2977" i="2" s="1"/>
  <c r="J2978" i="2" s="1"/>
  <c r="J2979" i="2" s="1"/>
  <c r="J2980" i="2" s="1"/>
  <c r="J2981" i="2" s="1"/>
  <c r="J2982" i="2" s="1"/>
  <c r="J2983" i="2" s="1"/>
  <c r="J2984" i="2" s="1"/>
  <c r="J2985" i="2" s="1"/>
  <c r="J2986" i="2" s="1"/>
  <c r="J2987" i="2" s="1"/>
  <c r="J2988" i="2" s="1"/>
  <c r="J2989" i="2" s="1"/>
  <c r="J2990" i="2" s="1"/>
  <c r="J2991" i="2" s="1"/>
  <c r="J2992" i="2" s="1"/>
  <c r="J2993" i="2" s="1"/>
  <c r="J2994" i="2" s="1"/>
  <c r="J2995" i="2" s="1"/>
  <c r="J2996" i="2" s="1"/>
  <c r="J2997" i="2" s="1"/>
  <c r="J2998" i="2" s="1"/>
  <c r="J2999" i="2" s="1"/>
  <c r="J3000" i="2" s="1"/>
  <c r="J3001" i="2" s="1"/>
  <c r="J3002" i="2" s="1"/>
  <c r="J3003" i="2" s="1"/>
  <c r="J3004" i="2" s="1"/>
  <c r="J3005" i="2" s="1"/>
  <c r="J3006" i="2" s="1"/>
  <c r="J3007" i="2" s="1"/>
  <c r="J3008" i="2" s="1"/>
  <c r="J3009" i="2" s="1"/>
  <c r="J3010" i="2" s="1"/>
  <c r="J3011" i="2" s="1"/>
  <c r="J3012" i="2" s="1"/>
  <c r="J3013" i="2" s="1"/>
  <c r="J3014" i="2" s="1"/>
  <c r="J3015" i="2" s="1"/>
  <c r="J3016" i="2" s="1"/>
  <c r="J3017" i="2" s="1"/>
  <c r="J3018" i="2" s="1"/>
  <c r="J3019" i="2" s="1"/>
  <c r="J3020" i="2" s="1"/>
  <c r="J3021" i="2" s="1"/>
  <c r="J3022" i="2" s="1"/>
  <c r="J3023" i="2" s="1"/>
  <c r="J3024" i="2" s="1"/>
  <c r="J3025" i="2" s="1"/>
  <c r="J3026" i="2" s="1"/>
  <c r="J3027" i="2" s="1"/>
  <c r="J3028" i="2" s="1"/>
  <c r="J3029" i="2" s="1"/>
  <c r="J3030" i="2" s="1"/>
  <c r="J3031" i="2" s="1"/>
  <c r="J3032" i="2" s="1"/>
  <c r="J3033" i="2" s="1"/>
  <c r="J3034" i="2" s="1"/>
  <c r="J3035" i="2" s="1"/>
  <c r="J3036" i="2" s="1"/>
  <c r="J3037" i="2" s="1"/>
  <c r="J3038" i="2" s="1"/>
  <c r="J3039" i="2" s="1"/>
  <c r="J3040" i="2" s="1"/>
  <c r="J3041" i="2" s="1"/>
  <c r="J3042" i="2" s="1"/>
  <c r="J3043" i="2" s="1"/>
  <c r="J3044" i="2" s="1"/>
  <c r="J3045" i="2" s="1"/>
  <c r="J3046" i="2" s="1"/>
  <c r="J3047" i="2" s="1"/>
  <c r="J3048" i="2" s="1"/>
  <c r="J3049" i="2" s="1"/>
  <c r="J3050" i="2" s="1"/>
  <c r="J3051" i="2" s="1"/>
  <c r="J3052" i="2" s="1"/>
  <c r="J3053" i="2" s="1"/>
  <c r="J3054" i="2" s="1"/>
  <c r="J3055" i="2" s="1"/>
  <c r="J3056" i="2" s="1"/>
  <c r="J3057" i="2" s="1"/>
  <c r="J3058" i="2" s="1"/>
  <c r="J3059" i="2" s="1"/>
  <c r="J3060" i="2" s="1"/>
  <c r="J3061" i="2" s="1"/>
  <c r="J3062" i="2" s="1"/>
  <c r="J3063" i="2" s="1"/>
  <c r="J3064" i="2" s="1"/>
  <c r="J3065" i="2" s="1"/>
  <c r="J3066" i="2" s="1"/>
  <c r="J3067" i="2" s="1"/>
  <c r="J3068" i="2" s="1"/>
  <c r="J3069" i="2" s="1"/>
  <c r="J3070" i="2" s="1"/>
  <c r="J3071" i="2" s="1"/>
  <c r="J3072" i="2" s="1"/>
  <c r="J3073" i="2" s="1"/>
  <c r="J3074" i="2" s="1"/>
  <c r="J3075" i="2" s="1"/>
  <c r="J3076" i="2" s="1"/>
  <c r="J3077" i="2" s="1"/>
  <c r="J3078" i="2" s="1"/>
  <c r="J3079" i="2" s="1"/>
  <c r="J3080" i="2" s="1"/>
  <c r="J3081" i="2" s="1"/>
  <c r="J3082" i="2" s="1"/>
  <c r="J3083" i="2" s="1"/>
  <c r="J3084" i="2" s="1"/>
  <c r="J3085" i="2" s="1"/>
  <c r="J3086" i="2" s="1"/>
  <c r="J3087" i="2" s="1"/>
  <c r="J3088" i="2" s="1"/>
  <c r="J3089" i="2" s="1"/>
  <c r="J3090" i="2" s="1"/>
  <c r="J3091" i="2" s="1"/>
  <c r="J3092" i="2" s="1"/>
  <c r="J3093" i="2" s="1"/>
  <c r="J3094" i="2" s="1"/>
  <c r="J3095" i="2" s="1"/>
  <c r="J3096" i="2" s="1"/>
  <c r="J3097" i="2" s="1"/>
  <c r="J3098" i="2" s="1"/>
  <c r="J3099" i="2" s="1"/>
  <c r="J3100" i="2" s="1"/>
  <c r="J3101" i="2" s="1"/>
  <c r="J3102" i="2" s="1"/>
  <c r="J3103" i="2" s="1"/>
  <c r="J3104" i="2" s="1"/>
  <c r="J3105" i="2" s="1"/>
  <c r="J3106" i="2" s="1"/>
  <c r="J3107" i="2" s="1"/>
  <c r="J3108" i="2" s="1"/>
  <c r="J3109" i="2" s="1"/>
  <c r="J3110" i="2" s="1"/>
  <c r="J3111" i="2" s="1"/>
  <c r="J3112" i="2" s="1"/>
  <c r="J3113" i="2" s="1"/>
  <c r="J3114" i="2" s="1"/>
  <c r="J3115" i="2" s="1"/>
  <c r="J3116" i="2" s="1"/>
  <c r="J3117" i="2" s="1"/>
  <c r="J3118" i="2" s="1"/>
  <c r="J3119" i="2" s="1"/>
  <c r="J3120" i="2" s="1"/>
  <c r="J3121" i="2" s="1"/>
  <c r="J3122" i="2" s="1"/>
  <c r="J3123" i="2" s="1"/>
  <c r="J3124" i="2" s="1"/>
  <c r="J3125" i="2" s="1"/>
  <c r="J3126" i="2" s="1"/>
  <c r="J3127" i="2" s="1"/>
  <c r="J3128" i="2" s="1"/>
  <c r="J3129" i="2" s="1"/>
  <c r="J3130" i="2" s="1"/>
  <c r="J3131" i="2" s="1"/>
  <c r="J3132" i="2" s="1"/>
  <c r="J3133" i="2" s="1"/>
  <c r="J3134" i="2" s="1"/>
  <c r="J3135" i="2" s="1"/>
  <c r="J3136" i="2" s="1"/>
  <c r="J3137" i="2" s="1"/>
  <c r="J3138" i="2" s="1"/>
  <c r="J3139" i="2" s="1"/>
  <c r="J3140" i="2" s="1"/>
  <c r="J3141" i="2" s="1"/>
  <c r="J3142" i="2" s="1"/>
  <c r="J3143" i="2" s="1"/>
  <c r="J3144" i="2" s="1"/>
  <c r="J3145" i="2" s="1"/>
  <c r="J3146" i="2" s="1"/>
  <c r="J3147" i="2" s="1"/>
  <c r="J3148" i="2" s="1"/>
  <c r="J3149" i="2" s="1"/>
  <c r="J3150" i="2" s="1"/>
  <c r="J3151" i="2" s="1"/>
  <c r="J3152" i="2" s="1"/>
  <c r="J3153" i="2" s="1"/>
  <c r="J3154" i="2" s="1"/>
  <c r="J3155" i="2" s="1"/>
  <c r="J3156" i="2" s="1"/>
  <c r="J3157" i="2" s="1"/>
  <c r="J3158" i="2" s="1"/>
  <c r="J3159" i="2" s="1"/>
  <c r="J3160" i="2" s="1"/>
  <c r="J3161" i="2" s="1"/>
  <c r="J3162" i="2" s="1"/>
  <c r="J3163" i="2" s="1"/>
  <c r="J3164" i="2" s="1"/>
  <c r="J3165" i="2" s="1"/>
  <c r="J3166" i="2" s="1"/>
  <c r="J3167" i="2" s="1"/>
  <c r="J3168" i="2" s="1"/>
  <c r="J3169" i="2" s="1"/>
  <c r="J3170" i="2" s="1"/>
  <c r="J3171" i="2" s="1"/>
  <c r="J3172" i="2" s="1"/>
  <c r="J3173" i="2" s="1"/>
  <c r="J3174" i="2" s="1"/>
  <c r="J3175" i="2" s="1"/>
  <c r="J3176" i="2" s="1"/>
  <c r="J3177" i="2" s="1"/>
  <c r="J3178" i="2" s="1"/>
  <c r="J3179" i="2" s="1"/>
  <c r="J3180" i="2" s="1"/>
  <c r="J3181" i="2" s="1"/>
  <c r="J3182" i="2" s="1"/>
  <c r="J3183" i="2" s="1"/>
  <c r="J3184" i="2" s="1"/>
  <c r="J3185" i="2" s="1"/>
  <c r="J3186" i="2" s="1"/>
  <c r="J3187" i="2" s="1"/>
  <c r="J3188" i="2" s="1"/>
  <c r="J3189" i="2" s="1"/>
  <c r="J3190" i="2" s="1"/>
  <c r="J3191" i="2" s="1"/>
  <c r="J3192" i="2" s="1"/>
  <c r="J3193" i="2" s="1"/>
  <c r="J3194" i="2" s="1"/>
  <c r="J3195" i="2" s="1"/>
  <c r="J3196" i="2" s="1"/>
  <c r="J3197" i="2" s="1"/>
  <c r="J3198" i="2" s="1"/>
  <c r="J3199" i="2" s="1"/>
  <c r="J3200" i="2" s="1"/>
  <c r="J3201" i="2" s="1"/>
  <c r="J3202" i="2" s="1"/>
  <c r="J3203" i="2" s="1"/>
  <c r="J3204" i="2" s="1"/>
  <c r="J3205" i="2" s="1"/>
  <c r="J3206" i="2" s="1"/>
  <c r="J3207" i="2" s="1"/>
  <c r="J3208" i="2" s="1"/>
  <c r="J3209" i="2" s="1"/>
  <c r="J3210" i="2" s="1"/>
  <c r="J3211" i="2" s="1"/>
  <c r="J3212" i="2" s="1"/>
  <c r="J3213" i="2" s="1"/>
  <c r="J3214" i="2" s="1"/>
  <c r="J3215" i="2" s="1"/>
  <c r="J3216" i="2" s="1"/>
  <c r="J3217" i="2" s="1"/>
  <c r="J3218" i="2" s="1"/>
  <c r="J3219" i="2" s="1"/>
  <c r="J3220" i="2" s="1"/>
  <c r="J3221" i="2" s="1"/>
  <c r="J3222" i="2" s="1"/>
  <c r="J3223" i="2" s="1"/>
  <c r="J3224" i="2" s="1"/>
  <c r="J3225" i="2" s="1"/>
  <c r="J3226" i="2" s="1"/>
  <c r="J3227" i="2" s="1"/>
  <c r="J3228" i="2" s="1"/>
  <c r="J3229" i="2" s="1"/>
  <c r="J3230" i="2" s="1"/>
  <c r="J3231" i="2" s="1"/>
  <c r="J3232" i="2" s="1"/>
  <c r="J3233" i="2" s="1"/>
  <c r="J3234" i="2" s="1"/>
  <c r="J3235" i="2" s="1"/>
  <c r="J3236" i="2" s="1"/>
  <c r="J3237" i="2" s="1"/>
  <c r="J3238" i="2" s="1"/>
  <c r="J3239" i="2" s="1"/>
  <c r="J3240" i="2" s="1"/>
  <c r="J3241" i="2" s="1"/>
  <c r="J3242" i="2" s="1"/>
  <c r="J3243" i="2" s="1"/>
  <c r="J3244" i="2" s="1"/>
  <c r="J3245" i="2" s="1"/>
  <c r="J3246" i="2" s="1"/>
  <c r="J3247" i="2" s="1"/>
  <c r="J3248" i="2" s="1"/>
  <c r="J3249" i="2" s="1"/>
  <c r="J3250" i="2" s="1"/>
  <c r="J3251" i="2" s="1"/>
  <c r="J3252" i="2" s="1"/>
  <c r="J3253" i="2" s="1"/>
  <c r="J3254" i="2" s="1"/>
  <c r="J3255" i="2" s="1"/>
  <c r="J3256" i="2" s="1"/>
  <c r="J3257" i="2" s="1"/>
  <c r="J3258" i="2" s="1"/>
  <c r="J3259" i="2" s="1"/>
  <c r="J3260" i="2" s="1"/>
  <c r="J3261" i="2" s="1"/>
  <c r="J3262" i="2" s="1"/>
  <c r="J3263" i="2" s="1"/>
  <c r="J3264" i="2" s="1"/>
  <c r="J3265" i="2" s="1"/>
  <c r="J3266" i="2" s="1"/>
  <c r="J3267" i="2" s="1"/>
  <c r="J3268" i="2" s="1"/>
  <c r="J3269" i="2" s="1"/>
  <c r="J3270" i="2" s="1"/>
  <c r="J3271" i="2" s="1"/>
  <c r="J3272" i="2" s="1"/>
  <c r="J3273" i="2" s="1"/>
  <c r="J3274" i="2" s="1"/>
  <c r="J3275" i="2" s="1"/>
  <c r="J3276" i="2" s="1"/>
  <c r="J3277" i="2" s="1"/>
  <c r="J3278" i="2" s="1"/>
  <c r="J3279" i="2" s="1"/>
  <c r="J3280" i="2" s="1"/>
  <c r="J3281" i="2" s="1"/>
  <c r="J3282" i="2" s="1"/>
  <c r="J3283" i="2" s="1"/>
  <c r="J3284" i="2" s="1"/>
  <c r="J3285" i="2" s="1"/>
  <c r="J3286" i="2" s="1"/>
  <c r="J3287" i="2" s="1"/>
  <c r="J3288" i="2" s="1"/>
  <c r="J3289" i="2" s="1"/>
  <c r="J3290" i="2" s="1"/>
  <c r="J3291" i="2" s="1"/>
  <c r="J3292" i="2" s="1"/>
  <c r="J3293" i="2" s="1"/>
  <c r="J3294" i="2" s="1"/>
  <c r="J3295" i="2" s="1"/>
  <c r="J3296" i="2" s="1"/>
  <c r="J3297" i="2" s="1"/>
  <c r="J3298" i="2" s="1"/>
  <c r="J3299" i="2" s="1"/>
  <c r="J3300" i="2" s="1"/>
  <c r="J3301" i="2" s="1"/>
  <c r="J3302" i="2" s="1"/>
  <c r="J3303" i="2" s="1"/>
  <c r="J3304" i="2" s="1"/>
  <c r="J3305" i="2" s="1"/>
  <c r="J3306" i="2" s="1"/>
  <c r="J3307" i="2" s="1"/>
  <c r="J3308" i="2" s="1"/>
  <c r="J3309" i="2" s="1"/>
  <c r="J3310" i="2" s="1"/>
  <c r="J3311" i="2" s="1"/>
  <c r="J3312" i="2" s="1"/>
  <c r="J3313" i="2" s="1"/>
  <c r="J3314" i="2" s="1"/>
  <c r="J3315" i="2" s="1"/>
  <c r="J3316" i="2" s="1"/>
  <c r="J3317" i="2" s="1"/>
  <c r="J3318" i="2" s="1"/>
  <c r="J3319" i="2" s="1"/>
  <c r="J3320" i="2" s="1"/>
  <c r="J3321" i="2" s="1"/>
  <c r="J3322" i="2" s="1"/>
  <c r="J3323" i="2" s="1"/>
  <c r="J3324" i="2" s="1"/>
  <c r="J3325" i="2" s="1"/>
  <c r="J3326" i="2" s="1"/>
  <c r="J3327" i="2" s="1"/>
  <c r="J3328" i="2" s="1"/>
  <c r="J3329" i="2" s="1"/>
  <c r="J3330" i="2" s="1"/>
  <c r="J3331" i="2" s="1"/>
  <c r="J3332" i="2" s="1"/>
  <c r="J3333" i="2" s="1"/>
  <c r="J3334" i="2" s="1"/>
  <c r="J3335" i="2" s="1"/>
  <c r="J3336" i="2" s="1"/>
  <c r="J3337" i="2" s="1"/>
  <c r="J3338" i="2" s="1"/>
  <c r="J3339" i="2" s="1"/>
  <c r="J3340" i="2" s="1"/>
  <c r="J3341" i="2" s="1"/>
  <c r="J3342" i="2" s="1"/>
  <c r="J3343" i="2" s="1"/>
  <c r="J3344" i="2" s="1"/>
  <c r="J3345" i="2" s="1"/>
  <c r="J3346" i="2" s="1"/>
  <c r="J3347" i="2" s="1"/>
  <c r="J3348" i="2" s="1"/>
  <c r="J3349" i="2" s="1"/>
  <c r="J3350" i="2" s="1"/>
  <c r="J3351" i="2" s="1"/>
  <c r="J3352" i="2" s="1"/>
  <c r="J3353" i="2" s="1"/>
  <c r="J3354" i="2" s="1"/>
  <c r="J3355" i="2" s="1"/>
  <c r="J3356" i="2" s="1"/>
  <c r="J3357" i="2" s="1"/>
  <c r="J3358" i="2" s="1"/>
  <c r="J3359" i="2" s="1"/>
  <c r="J3360" i="2" s="1"/>
  <c r="J3361" i="2" s="1"/>
  <c r="J3362" i="2" s="1"/>
  <c r="J3363" i="2" s="1"/>
  <c r="J3364" i="2" s="1"/>
  <c r="J3365" i="2" s="1"/>
  <c r="J3366" i="2" s="1"/>
  <c r="J3367" i="2" s="1"/>
  <c r="J3368" i="2" s="1"/>
  <c r="J3369" i="2" s="1"/>
  <c r="J3370" i="2" s="1"/>
  <c r="J3371" i="2" s="1"/>
  <c r="J3372" i="2" s="1"/>
  <c r="J3373" i="2" s="1"/>
  <c r="J3374" i="2" s="1"/>
  <c r="J3375" i="2" s="1"/>
  <c r="J3376" i="2" s="1"/>
  <c r="J3377" i="2" s="1"/>
  <c r="J3378" i="2" s="1"/>
  <c r="J3379" i="2" s="1"/>
  <c r="J3380" i="2" s="1"/>
  <c r="J3381" i="2" s="1"/>
  <c r="J3382" i="2" s="1"/>
  <c r="J3383" i="2" s="1"/>
  <c r="J3384" i="2" s="1"/>
  <c r="J3385" i="2" s="1"/>
  <c r="J3386" i="2" s="1"/>
  <c r="J3387" i="2" s="1"/>
  <c r="J3388" i="2" s="1"/>
  <c r="J3389" i="2" s="1"/>
  <c r="J3390" i="2" s="1"/>
  <c r="J3391" i="2" s="1"/>
  <c r="J3392" i="2" s="1"/>
  <c r="J3393" i="2" s="1"/>
  <c r="J3394" i="2" s="1"/>
  <c r="J3395" i="2" s="1"/>
  <c r="J3396" i="2" s="1"/>
  <c r="J3397" i="2" s="1"/>
  <c r="J3398" i="2" s="1"/>
  <c r="J3399" i="2" s="1"/>
  <c r="J3400" i="2" s="1"/>
  <c r="J3401" i="2" s="1"/>
  <c r="J3402" i="2" s="1"/>
  <c r="J3403" i="2" s="1"/>
  <c r="J3404" i="2" s="1"/>
  <c r="J3405" i="2" s="1"/>
  <c r="J3406" i="2" s="1"/>
  <c r="J3407" i="2" s="1"/>
  <c r="J3408" i="2" s="1"/>
  <c r="J3409" i="2" s="1"/>
  <c r="J3410" i="2" s="1"/>
  <c r="J3411" i="2" s="1"/>
  <c r="J3412" i="2" s="1"/>
  <c r="J3413" i="2" s="1"/>
  <c r="J3414" i="2" s="1"/>
  <c r="J3415" i="2" s="1"/>
  <c r="J3416" i="2" s="1"/>
  <c r="J3417" i="2" s="1"/>
  <c r="J3418" i="2" s="1"/>
  <c r="J3419" i="2" s="1"/>
  <c r="J3420" i="2" s="1"/>
  <c r="J3421" i="2" s="1"/>
  <c r="J3422" i="2" s="1"/>
  <c r="J3423" i="2" s="1"/>
  <c r="J3424" i="2" s="1"/>
  <c r="J3425" i="2" s="1"/>
  <c r="J3426" i="2" s="1"/>
  <c r="J3427" i="2" s="1"/>
  <c r="J3428" i="2" s="1"/>
  <c r="J3429" i="2" s="1"/>
  <c r="J3430" i="2" s="1"/>
  <c r="J3431" i="2" s="1"/>
  <c r="J3432" i="2" s="1"/>
  <c r="J3433" i="2" s="1"/>
  <c r="J3434" i="2" s="1"/>
  <c r="J3435" i="2" s="1"/>
  <c r="J3436" i="2" s="1"/>
  <c r="J3437" i="2" s="1"/>
  <c r="J3438" i="2" s="1"/>
  <c r="J3439" i="2" s="1"/>
  <c r="J3440" i="2" s="1"/>
  <c r="J3441" i="2" s="1"/>
  <c r="J3442" i="2" s="1"/>
  <c r="J3443" i="2" s="1"/>
  <c r="J3444" i="2" s="1"/>
  <c r="J3445" i="2" s="1"/>
  <c r="J3446" i="2" s="1"/>
  <c r="J3447" i="2" s="1"/>
  <c r="J3448" i="2" s="1"/>
  <c r="J3449" i="2" s="1"/>
  <c r="J3450" i="2" s="1"/>
  <c r="J3451" i="2" s="1"/>
  <c r="J3452" i="2" s="1"/>
  <c r="J3453" i="2" s="1"/>
  <c r="J3454" i="2" s="1"/>
  <c r="J3455" i="2" s="1"/>
  <c r="J3456" i="2" s="1"/>
  <c r="J3457" i="2" s="1"/>
  <c r="J3458" i="2" s="1"/>
  <c r="J3459" i="2" s="1"/>
  <c r="J3460" i="2" s="1"/>
  <c r="J3461" i="2" s="1"/>
  <c r="J3462" i="2" s="1"/>
  <c r="J3463" i="2" s="1"/>
  <c r="J3464" i="2" s="1"/>
  <c r="J3465" i="2" s="1"/>
  <c r="J3466" i="2" s="1"/>
  <c r="J3467" i="2" s="1"/>
  <c r="J3468" i="2" s="1"/>
  <c r="J3469" i="2" s="1"/>
  <c r="J3470" i="2" s="1"/>
  <c r="J3471" i="2" s="1"/>
  <c r="J3472" i="2" s="1"/>
  <c r="J3473" i="2" s="1"/>
  <c r="J3474" i="2" s="1"/>
  <c r="J3475" i="2" s="1"/>
  <c r="J3476" i="2" s="1"/>
  <c r="J3477" i="2" s="1"/>
  <c r="J3478" i="2" s="1"/>
  <c r="J3479" i="2" s="1"/>
  <c r="J3480" i="2" s="1"/>
  <c r="J3481" i="2" s="1"/>
  <c r="J3482" i="2" s="1"/>
  <c r="J3483" i="2" s="1"/>
  <c r="J3484" i="2" s="1"/>
  <c r="J3485" i="2" s="1"/>
  <c r="J3486" i="2" s="1"/>
  <c r="J3487" i="2" s="1"/>
  <c r="J3488" i="2" s="1"/>
  <c r="J3489" i="2" s="1"/>
  <c r="J3490" i="2" s="1"/>
  <c r="J3491" i="2" s="1"/>
  <c r="J3492" i="2" s="1"/>
  <c r="J3493" i="2" s="1"/>
  <c r="J3494" i="2" s="1"/>
  <c r="J3495" i="2" s="1"/>
  <c r="J3496" i="2" s="1"/>
  <c r="J3497" i="2" s="1"/>
  <c r="J3498" i="2" s="1"/>
  <c r="J3499" i="2" s="1"/>
  <c r="J3500" i="2" s="1"/>
  <c r="J3501" i="2" s="1"/>
  <c r="J3502" i="2" s="1"/>
  <c r="J3503" i="2" s="1"/>
  <c r="J3504" i="2" s="1"/>
  <c r="J3505" i="2" s="1"/>
  <c r="J3506" i="2" s="1"/>
  <c r="J3507" i="2" s="1"/>
  <c r="J3508" i="2" s="1"/>
  <c r="J3509" i="2" s="1"/>
  <c r="J3510" i="2" s="1"/>
  <c r="J3511" i="2" s="1"/>
  <c r="J3512" i="2" s="1"/>
  <c r="J3513" i="2" s="1"/>
  <c r="J3514" i="2" s="1"/>
  <c r="J3515" i="2" s="1"/>
  <c r="J3516" i="2" s="1"/>
  <c r="J3517" i="2" s="1"/>
  <c r="J3518" i="2" s="1"/>
  <c r="J3519" i="2" s="1"/>
  <c r="J3520" i="2" s="1"/>
  <c r="J3521" i="2" s="1"/>
  <c r="J3522" i="2" s="1"/>
  <c r="J3523" i="2" s="1"/>
  <c r="J3524" i="2" s="1"/>
  <c r="J3525" i="2" s="1"/>
  <c r="J3526" i="2" s="1"/>
  <c r="J3527" i="2" s="1"/>
  <c r="J3528" i="2" s="1"/>
  <c r="J3529" i="2" s="1"/>
  <c r="J3530" i="2" s="1"/>
  <c r="J3531" i="2" s="1"/>
  <c r="J3532" i="2" s="1"/>
  <c r="J3533" i="2" s="1"/>
  <c r="J3534" i="2" s="1"/>
  <c r="J3535" i="2" s="1"/>
  <c r="J3536" i="2" s="1"/>
  <c r="J3537" i="2" s="1"/>
  <c r="J3538" i="2" s="1"/>
  <c r="J3539" i="2" s="1"/>
  <c r="J3540" i="2" s="1"/>
  <c r="J3541" i="2" s="1"/>
  <c r="J3542" i="2" s="1"/>
  <c r="J3543" i="2" s="1"/>
  <c r="J3544" i="2" s="1"/>
  <c r="J3545" i="2" s="1"/>
  <c r="J3546" i="2" s="1"/>
  <c r="J3547" i="2" s="1"/>
  <c r="J3548" i="2" s="1"/>
  <c r="J3549" i="2" s="1"/>
  <c r="J3550" i="2" s="1"/>
  <c r="J3551" i="2" s="1"/>
  <c r="J3552" i="2" s="1"/>
  <c r="J3553" i="2" s="1"/>
  <c r="J3554" i="2" s="1"/>
  <c r="J3555" i="2" s="1"/>
  <c r="J3556" i="2" s="1"/>
  <c r="J3557" i="2" s="1"/>
  <c r="J3558" i="2" s="1"/>
  <c r="J3559" i="2" s="1"/>
  <c r="J3560" i="2" s="1"/>
  <c r="J3561" i="2" s="1"/>
  <c r="J3562" i="2" s="1"/>
  <c r="J3563" i="2" s="1"/>
  <c r="J3564" i="2" s="1"/>
  <c r="J3565" i="2" s="1"/>
  <c r="J3566" i="2" s="1"/>
  <c r="J3567" i="2" s="1"/>
  <c r="J3568" i="2" s="1"/>
  <c r="J3569" i="2" s="1"/>
  <c r="J3570" i="2" s="1"/>
  <c r="J3571" i="2" s="1"/>
  <c r="J3572" i="2" s="1"/>
  <c r="J3573" i="2" s="1"/>
  <c r="J3574" i="2" s="1"/>
  <c r="J3575" i="2" s="1"/>
  <c r="J3576" i="2" s="1"/>
  <c r="J3577" i="2" s="1"/>
  <c r="J3578" i="2" s="1"/>
  <c r="J3579" i="2" s="1"/>
  <c r="J3580" i="2" s="1"/>
  <c r="J3581" i="2" s="1"/>
  <c r="J3582" i="2" s="1"/>
  <c r="J3583" i="2" s="1"/>
  <c r="J3584" i="2" s="1"/>
  <c r="J3585" i="2" s="1"/>
  <c r="J3586" i="2" s="1"/>
  <c r="J3587" i="2" s="1"/>
  <c r="J3588" i="2" s="1"/>
  <c r="J3589" i="2" s="1"/>
  <c r="J3590" i="2" s="1"/>
  <c r="J3591" i="2" s="1"/>
  <c r="J3592" i="2" s="1"/>
  <c r="J3593" i="2" s="1"/>
  <c r="J3594" i="2" s="1"/>
  <c r="J3595" i="2" s="1"/>
  <c r="J3596" i="2" s="1"/>
  <c r="J3597" i="2" s="1"/>
  <c r="J3598" i="2" s="1"/>
  <c r="J3599" i="2" s="1"/>
  <c r="J3600" i="2" s="1"/>
  <c r="J3601" i="2" s="1"/>
  <c r="J3602" i="2" s="1"/>
  <c r="J3603" i="2" s="1"/>
  <c r="J3604" i="2" s="1"/>
  <c r="J3605" i="2" s="1"/>
  <c r="J3606" i="2" s="1"/>
  <c r="J3607" i="2" s="1"/>
  <c r="J3608" i="2" s="1"/>
  <c r="J3609" i="2" s="1"/>
  <c r="J3610" i="2" s="1"/>
  <c r="J3611" i="2" s="1"/>
  <c r="J3612" i="2" s="1"/>
  <c r="J3613" i="2" s="1"/>
  <c r="J3614" i="2" s="1"/>
  <c r="J3615" i="2" s="1"/>
  <c r="J3616" i="2" s="1"/>
  <c r="J3617" i="2" s="1"/>
  <c r="J3618" i="2" s="1"/>
  <c r="J3619" i="2" s="1"/>
  <c r="J3620" i="2" s="1"/>
  <c r="J3621" i="2" s="1"/>
  <c r="J3622" i="2" s="1"/>
  <c r="J3623" i="2" s="1"/>
  <c r="J3624" i="2" s="1"/>
  <c r="J3625" i="2" s="1"/>
  <c r="J3626" i="2" s="1"/>
  <c r="J3627" i="2" s="1"/>
  <c r="J3628" i="2" s="1"/>
  <c r="J3629" i="2" s="1"/>
  <c r="J3630" i="2" s="1"/>
  <c r="J3631" i="2" s="1"/>
  <c r="J3632" i="2" s="1"/>
  <c r="J3633" i="2" s="1"/>
  <c r="J3634" i="2" s="1"/>
  <c r="J3635" i="2" s="1"/>
  <c r="J3636" i="2" s="1"/>
  <c r="J3637" i="2" s="1"/>
  <c r="J3638" i="2" s="1"/>
  <c r="J3639" i="2" s="1"/>
  <c r="J3640" i="2" s="1"/>
  <c r="J3641" i="2" s="1"/>
  <c r="J3642" i="2" s="1"/>
  <c r="J3643" i="2" s="1"/>
  <c r="J3644" i="2" s="1"/>
  <c r="J3645" i="2" s="1"/>
  <c r="J3646" i="2" s="1"/>
  <c r="J3647" i="2" s="1"/>
  <c r="J3648" i="2" s="1"/>
  <c r="J3649" i="2" s="1"/>
  <c r="J3650" i="2" s="1"/>
  <c r="J3651" i="2" s="1"/>
  <c r="J3652" i="2" s="1"/>
  <c r="J3653" i="2" s="1"/>
  <c r="J3654" i="2" s="1"/>
  <c r="J3655" i="2" s="1"/>
  <c r="J3656" i="2" s="1"/>
  <c r="J3657" i="2" s="1"/>
  <c r="J3658" i="2" s="1"/>
  <c r="J3659" i="2" s="1"/>
  <c r="J3660" i="2" s="1"/>
  <c r="J3661" i="2" s="1"/>
  <c r="J3662" i="2" s="1"/>
  <c r="J3663" i="2" s="1"/>
  <c r="J3664" i="2" s="1"/>
  <c r="J3665" i="2" s="1"/>
  <c r="J3666" i="2" s="1"/>
  <c r="J3667" i="2" s="1"/>
  <c r="J3668" i="2" s="1"/>
  <c r="J3669" i="2" s="1"/>
  <c r="J3670" i="2" s="1"/>
  <c r="J3671" i="2" s="1"/>
  <c r="J3672" i="2" s="1"/>
  <c r="J3673" i="2" s="1"/>
  <c r="J3674" i="2" s="1"/>
  <c r="J3675" i="2" s="1"/>
  <c r="J3676" i="2" s="1"/>
  <c r="J3677" i="2" s="1"/>
  <c r="J3678" i="2" s="1"/>
  <c r="J3679" i="2" s="1"/>
  <c r="J3680" i="2" s="1"/>
  <c r="J3681" i="2" s="1"/>
  <c r="J3682" i="2" s="1"/>
  <c r="J3683" i="2" s="1"/>
  <c r="J3684" i="2" s="1"/>
  <c r="J3685" i="2" s="1"/>
  <c r="J3686" i="2" s="1"/>
  <c r="J3687" i="2" s="1"/>
  <c r="J3688" i="2" s="1"/>
  <c r="J3689" i="2" s="1"/>
  <c r="J3690" i="2" s="1"/>
  <c r="J3691" i="2" s="1"/>
  <c r="J3692" i="2" s="1"/>
  <c r="J3693" i="2" s="1"/>
  <c r="J3694" i="2" s="1"/>
  <c r="J3695" i="2" s="1"/>
  <c r="J3696" i="2" s="1"/>
  <c r="J3697" i="2" s="1"/>
  <c r="J3698" i="2" s="1"/>
  <c r="J3699" i="2" s="1"/>
  <c r="J3700" i="2" s="1"/>
  <c r="J3701" i="2" s="1"/>
  <c r="J3702" i="2" s="1"/>
  <c r="J3703" i="2" s="1"/>
  <c r="J3704" i="2" s="1"/>
  <c r="J3705" i="2" s="1"/>
  <c r="J3706" i="2" s="1"/>
  <c r="J3707" i="2" s="1"/>
  <c r="J3708" i="2" s="1"/>
  <c r="J3709" i="2" s="1"/>
  <c r="J3710" i="2" s="1"/>
  <c r="J3711" i="2" s="1"/>
  <c r="J3712" i="2" s="1"/>
  <c r="J3713" i="2" s="1"/>
  <c r="J3714" i="2" s="1"/>
  <c r="J3715" i="2" s="1"/>
  <c r="J3716" i="2" s="1"/>
  <c r="J3717" i="2" s="1"/>
  <c r="J3718" i="2" s="1"/>
  <c r="J3719" i="2" s="1"/>
  <c r="J3720" i="2" s="1"/>
  <c r="J3721" i="2" s="1"/>
  <c r="J3722" i="2" s="1"/>
  <c r="J3723" i="2" s="1"/>
  <c r="J3724" i="2" s="1"/>
  <c r="J3725" i="2" s="1"/>
  <c r="J3726" i="2" s="1"/>
  <c r="J3727" i="2" s="1"/>
  <c r="J3728" i="2" s="1"/>
  <c r="J3729" i="2" s="1"/>
  <c r="J3730" i="2" s="1"/>
  <c r="J3731" i="2" s="1"/>
  <c r="J3732" i="2" s="1"/>
  <c r="J3733" i="2" s="1"/>
  <c r="J3734" i="2" s="1"/>
  <c r="J3735" i="2" s="1"/>
  <c r="J3736" i="2" s="1"/>
  <c r="J3737" i="2" s="1"/>
  <c r="J3738" i="2" s="1"/>
  <c r="J3739" i="2" s="1"/>
  <c r="J3740" i="2" s="1"/>
  <c r="J3741" i="2" s="1"/>
  <c r="J3742" i="2" s="1"/>
  <c r="J3743" i="2" s="1"/>
  <c r="J3744" i="2" s="1"/>
  <c r="J3745" i="2" s="1"/>
  <c r="J3746" i="2" s="1"/>
  <c r="J3747" i="2" s="1"/>
  <c r="J3748" i="2" s="1"/>
  <c r="J3749" i="2" s="1"/>
  <c r="J3750" i="2" s="1"/>
  <c r="J3751" i="2" s="1"/>
  <c r="J3752" i="2" s="1"/>
  <c r="J3753" i="2" s="1"/>
  <c r="J3754" i="2" s="1"/>
  <c r="J3755" i="2" s="1"/>
  <c r="J3756" i="2" s="1"/>
  <c r="J3757" i="2" s="1"/>
  <c r="J3758" i="2" s="1"/>
  <c r="J3759" i="2" s="1"/>
  <c r="J3760" i="2" s="1"/>
  <c r="J3761" i="2" s="1"/>
  <c r="J3762" i="2" s="1"/>
  <c r="J3763" i="2" s="1"/>
  <c r="J3764" i="2" s="1"/>
  <c r="J3765" i="2" s="1"/>
  <c r="J3766" i="2" s="1"/>
  <c r="J3767" i="2" s="1"/>
  <c r="J3768" i="2" s="1"/>
  <c r="J3769" i="2" s="1"/>
  <c r="J3770" i="2" s="1"/>
  <c r="J3771" i="2" s="1"/>
  <c r="J3772" i="2" s="1"/>
  <c r="J3773" i="2" s="1"/>
  <c r="J3774" i="2" s="1"/>
  <c r="J3775" i="2" s="1"/>
  <c r="J3776" i="2" s="1"/>
  <c r="J3777" i="2" s="1"/>
  <c r="J3778" i="2" s="1"/>
  <c r="J3779" i="2" s="1"/>
  <c r="J3780" i="2" s="1"/>
  <c r="J3781" i="2" s="1"/>
  <c r="J3782" i="2" s="1"/>
  <c r="J3783" i="2" s="1"/>
  <c r="J3784" i="2" s="1"/>
  <c r="J3785" i="2" s="1"/>
  <c r="J3786" i="2" s="1"/>
  <c r="J3787" i="2" s="1"/>
  <c r="J3788" i="2" s="1"/>
  <c r="J3789" i="2" s="1"/>
  <c r="J3790" i="2" s="1"/>
  <c r="J3791" i="2" s="1"/>
  <c r="J3792" i="2" s="1"/>
  <c r="J3793" i="2" s="1"/>
  <c r="J3794" i="2" s="1"/>
  <c r="J3795" i="2" s="1"/>
  <c r="J3796" i="2" s="1"/>
  <c r="J3797" i="2" s="1"/>
  <c r="J3798" i="2" s="1"/>
  <c r="J3799" i="2" s="1"/>
  <c r="J3800" i="2" s="1"/>
  <c r="J3801" i="2" s="1"/>
  <c r="J3802" i="2" s="1"/>
  <c r="J3803" i="2" s="1"/>
  <c r="J3804" i="2" s="1"/>
  <c r="J3805" i="2" s="1"/>
  <c r="J3806" i="2" s="1"/>
  <c r="J3807" i="2" s="1"/>
  <c r="J3808" i="2" s="1"/>
  <c r="J3809" i="2" s="1"/>
  <c r="J3810" i="2" s="1"/>
  <c r="J3811" i="2" s="1"/>
  <c r="J3812" i="2" s="1"/>
  <c r="J3813" i="2" s="1"/>
  <c r="J3814" i="2" s="1"/>
  <c r="J3815" i="2" s="1"/>
  <c r="J3816" i="2" s="1"/>
  <c r="J3817" i="2" s="1"/>
  <c r="J3818" i="2" s="1"/>
  <c r="J3819" i="2" s="1"/>
  <c r="J3820" i="2" s="1"/>
  <c r="J3821" i="2" s="1"/>
  <c r="J3822" i="2" s="1"/>
  <c r="J3823" i="2" s="1"/>
  <c r="J3824" i="2" s="1"/>
  <c r="J3825" i="2" s="1"/>
  <c r="J3826" i="2" s="1"/>
  <c r="J3827" i="2" s="1"/>
  <c r="J3828" i="2" s="1"/>
  <c r="J3829" i="2" s="1"/>
  <c r="J3830" i="2" s="1"/>
  <c r="J3831" i="2" s="1"/>
  <c r="J3832" i="2" s="1"/>
  <c r="J3833" i="2" s="1"/>
  <c r="J3834" i="2" s="1"/>
  <c r="J3835" i="2" s="1"/>
  <c r="J3836" i="2" s="1"/>
  <c r="J3837" i="2" s="1"/>
  <c r="J3838" i="2" s="1"/>
  <c r="J3839" i="2" s="1"/>
  <c r="J3840" i="2" s="1"/>
  <c r="J3841" i="2" s="1"/>
  <c r="J3842" i="2" s="1"/>
  <c r="J3843" i="2" s="1"/>
  <c r="J3844" i="2" s="1"/>
  <c r="J3845" i="2" s="1"/>
  <c r="J3846" i="2" s="1"/>
  <c r="J3847" i="2" s="1"/>
  <c r="J3848" i="2" s="1"/>
  <c r="J3849" i="2" s="1"/>
  <c r="J3850" i="2" s="1"/>
  <c r="J3851" i="2" s="1"/>
  <c r="J3852" i="2" s="1"/>
  <c r="J3853" i="2" s="1"/>
  <c r="J3854" i="2" s="1"/>
  <c r="J3855" i="2" s="1"/>
  <c r="J3856" i="2" s="1"/>
  <c r="J3857" i="2" s="1"/>
  <c r="J3858" i="2" s="1"/>
  <c r="J3859" i="2" s="1"/>
  <c r="J3860" i="2" s="1"/>
  <c r="J3861" i="2" s="1"/>
  <c r="J3862" i="2" s="1"/>
  <c r="J3863" i="2" s="1"/>
  <c r="J3864" i="2" s="1"/>
  <c r="J3865" i="2" s="1"/>
  <c r="J3866" i="2" s="1"/>
  <c r="J3867" i="2" s="1"/>
  <c r="J3868" i="2" s="1"/>
  <c r="J3869" i="2" s="1"/>
  <c r="J3870" i="2" s="1"/>
  <c r="J3871" i="2" s="1"/>
  <c r="J3872" i="2" s="1"/>
  <c r="J3873" i="2" s="1"/>
  <c r="J3874" i="2" s="1"/>
  <c r="J3875" i="2" s="1"/>
  <c r="J3876" i="2" s="1"/>
  <c r="J3877" i="2" s="1"/>
  <c r="J3878" i="2" s="1"/>
  <c r="J3879" i="2" s="1"/>
  <c r="J3880" i="2" s="1"/>
  <c r="J3881" i="2" s="1"/>
  <c r="J3882" i="2" s="1"/>
  <c r="J3883" i="2" s="1"/>
  <c r="J3884" i="2" s="1"/>
  <c r="J3885" i="2" s="1"/>
  <c r="J3886" i="2" s="1"/>
  <c r="J3887" i="2" s="1"/>
  <c r="J3888" i="2" s="1"/>
  <c r="J3889" i="2" s="1"/>
  <c r="J3890" i="2" s="1"/>
  <c r="J3891" i="2" s="1"/>
  <c r="J3892" i="2" s="1"/>
  <c r="J3893" i="2" s="1"/>
  <c r="J3894" i="2" s="1"/>
  <c r="J3895" i="2" s="1"/>
  <c r="J3896" i="2" s="1"/>
  <c r="J3897" i="2" s="1"/>
  <c r="J3898" i="2" s="1"/>
  <c r="J3899" i="2" s="1"/>
  <c r="J3900" i="2" s="1"/>
  <c r="J3901" i="2" s="1"/>
  <c r="J3902" i="2" s="1"/>
  <c r="J3903" i="2" s="1"/>
  <c r="J3904" i="2" s="1"/>
  <c r="J3905" i="2" s="1"/>
  <c r="J3906" i="2" s="1"/>
  <c r="J3907" i="2" s="1"/>
  <c r="J3908" i="2" s="1"/>
  <c r="J3909" i="2" s="1"/>
  <c r="J3910" i="2" s="1"/>
  <c r="J3911" i="2" s="1"/>
  <c r="J3912" i="2" s="1"/>
  <c r="J3913" i="2" s="1"/>
  <c r="J3914" i="2" s="1"/>
  <c r="J3915" i="2" s="1"/>
  <c r="J3916" i="2" s="1"/>
  <c r="J3917" i="2" s="1"/>
  <c r="J3918" i="2" s="1"/>
  <c r="J3919" i="2" s="1"/>
  <c r="J3920" i="2" s="1"/>
  <c r="J3921" i="2" s="1"/>
  <c r="J3922" i="2" s="1"/>
  <c r="J3923" i="2" s="1"/>
  <c r="J3924" i="2" s="1"/>
  <c r="J3925" i="2" s="1"/>
  <c r="J3926" i="2" s="1"/>
  <c r="J3927" i="2" s="1"/>
  <c r="J3928" i="2" s="1"/>
  <c r="J3929" i="2" s="1"/>
  <c r="J3930" i="2" s="1"/>
  <c r="J3931" i="2" s="1"/>
  <c r="J3932" i="2" s="1"/>
  <c r="J3933" i="2" s="1"/>
  <c r="J3934" i="2" s="1"/>
  <c r="J3935" i="2" s="1"/>
  <c r="J3936" i="2" s="1"/>
  <c r="J3937" i="2" s="1"/>
  <c r="J3938" i="2" s="1"/>
  <c r="J3939" i="2" s="1"/>
  <c r="J3940" i="2" s="1"/>
  <c r="J3941" i="2" s="1"/>
  <c r="J3942" i="2" s="1"/>
  <c r="J3943" i="2" s="1"/>
  <c r="J3944" i="2" s="1"/>
  <c r="J3945" i="2" s="1"/>
  <c r="J3946" i="2" s="1"/>
  <c r="J3947" i="2" s="1"/>
  <c r="J3948" i="2" s="1"/>
  <c r="J3949" i="2" s="1"/>
  <c r="J3950" i="2" s="1"/>
  <c r="J3951" i="2" s="1"/>
  <c r="J3952" i="2" s="1"/>
  <c r="J3953" i="2" s="1"/>
  <c r="J3954" i="2" s="1"/>
  <c r="J3955" i="2" s="1"/>
  <c r="J3956" i="2" s="1"/>
  <c r="J3957" i="2" s="1"/>
  <c r="J3958" i="2" s="1"/>
  <c r="J3959" i="2" s="1"/>
  <c r="J3960" i="2" s="1"/>
  <c r="J3961" i="2" s="1"/>
  <c r="J3962" i="2" s="1"/>
  <c r="J3963" i="2" s="1"/>
  <c r="J3964" i="2" s="1"/>
  <c r="J3965" i="2" s="1"/>
  <c r="J3966" i="2" s="1"/>
  <c r="J3967" i="2" s="1"/>
  <c r="J3968" i="2" s="1"/>
  <c r="J3969" i="2" s="1"/>
  <c r="J3970" i="2" s="1"/>
  <c r="J3971" i="2" s="1"/>
  <c r="J3972" i="2" s="1"/>
  <c r="J3973" i="2" s="1"/>
  <c r="J3974" i="2" s="1"/>
  <c r="J3975" i="2" s="1"/>
  <c r="J3976" i="2" s="1"/>
  <c r="J3977" i="2" s="1"/>
  <c r="J3978" i="2" s="1"/>
  <c r="J3979" i="2" s="1"/>
  <c r="J3980" i="2" s="1"/>
  <c r="J3981" i="2" s="1"/>
  <c r="J3982" i="2" s="1"/>
  <c r="J3983" i="2" s="1"/>
  <c r="J3984" i="2" s="1"/>
  <c r="J3985" i="2" s="1"/>
  <c r="J3986" i="2" s="1"/>
  <c r="J3987" i="2" s="1"/>
  <c r="J3988" i="2" s="1"/>
  <c r="J3989" i="2" s="1"/>
  <c r="J3990" i="2" s="1"/>
  <c r="J3991" i="2" s="1"/>
  <c r="J3992" i="2" s="1"/>
  <c r="J3993" i="2" s="1"/>
  <c r="J3994" i="2" s="1"/>
  <c r="J3995" i="2" s="1"/>
  <c r="J3996" i="2" s="1"/>
  <c r="J3997" i="2" s="1"/>
  <c r="J3998" i="2" s="1"/>
  <c r="J3999" i="2" s="1"/>
  <c r="J4000" i="2" s="1"/>
  <c r="J4001" i="2" s="1"/>
  <c r="J4002" i="2" s="1"/>
  <c r="J4003" i="2" s="1"/>
  <c r="J4004" i="2" s="1"/>
  <c r="J4005" i="2" s="1"/>
  <c r="J4006" i="2" s="1"/>
  <c r="J4007" i="2" s="1"/>
  <c r="J4008" i="2" s="1"/>
  <c r="J4009" i="2" s="1"/>
  <c r="J4010" i="2" s="1"/>
  <c r="J4011" i="2" s="1"/>
  <c r="J4012" i="2" s="1"/>
  <c r="J4013" i="2" s="1"/>
  <c r="J4014" i="2" s="1"/>
  <c r="J4015" i="2" s="1"/>
  <c r="J4016" i="2" s="1"/>
  <c r="J4017" i="2" s="1"/>
  <c r="J4018" i="2" s="1"/>
  <c r="J4019" i="2" s="1"/>
  <c r="J4020" i="2" s="1"/>
  <c r="J4021" i="2" s="1"/>
  <c r="J4022" i="2" s="1"/>
  <c r="J4023" i="2" s="1"/>
  <c r="J4024" i="2" s="1"/>
  <c r="J4025" i="2" s="1"/>
  <c r="J4026" i="2" s="1"/>
  <c r="J4027" i="2" s="1"/>
  <c r="J4028" i="2" s="1"/>
  <c r="J4029" i="2" s="1"/>
  <c r="J4030" i="2" s="1"/>
  <c r="J4031" i="2" s="1"/>
  <c r="J4032" i="2" s="1"/>
  <c r="J4033" i="2" s="1"/>
  <c r="J4034" i="2" s="1"/>
  <c r="J4035" i="2" s="1"/>
  <c r="J4036" i="2" s="1"/>
  <c r="J4037" i="2" s="1"/>
  <c r="J4038" i="2" s="1"/>
  <c r="J4039" i="2" s="1"/>
  <c r="J4040" i="2" s="1"/>
  <c r="J4041" i="2" s="1"/>
  <c r="J4042" i="2" s="1"/>
  <c r="J4043" i="2" s="1"/>
  <c r="J4044" i="2" s="1"/>
  <c r="J4045" i="2" s="1"/>
  <c r="J4046" i="2" s="1"/>
  <c r="J4047" i="2" s="1"/>
  <c r="J4048" i="2" s="1"/>
  <c r="J4049" i="2" s="1"/>
  <c r="J4050" i="2" s="1"/>
  <c r="J4051" i="2" s="1"/>
  <c r="J4052" i="2" s="1"/>
  <c r="J4053" i="2" s="1"/>
  <c r="J4054" i="2" s="1"/>
  <c r="J4055" i="2" s="1"/>
  <c r="J4056" i="2" s="1"/>
  <c r="J4057" i="2" s="1"/>
  <c r="J4058" i="2" s="1"/>
  <c r="J4059" i="2" s="1"/>
  <c r="J4060" i="2" s="1"/>
  <c r="J4061" i="2" s="1"/>
  <c r="J4062" i="2" s="1"/>
  <c r="J4063" i="2" s="1"/>
  <c r="J4064" i="2" s="1"/>
  <c r="J4065" i="2" s="1"/>
  <c r="J4066" i="2" s="1"/>
  <c r="J4067" i="2" s="1"/>
  <c r="J4068" i="2" s="1"/>
  <c r="J4069" i="2" s="1"/>
  <c r="J4070" i="2" s="1"/>
  <c r="J4071" i="2" s="1"/>
  <c r="J4072" i="2" s="1"/>
  <c r="J4073" i="2" s="1"/>
  <c r="J4074" i="2" s="1"/>
  <c r="J4075" i="2" s="1"/>
  <c r="J4076" i="2" s="1"/>
  <c r="J4077" i="2" s="1"/>
  <c r="J4078" i="2" s="1"/>
  <c r="J4079" i="2" s="1"/>
  <c r="J4080" i="2" s="1"/>
  <c r="J4081" i="2" s="1"/>
  <c r="J4082" i="2" s="1"/>
  <c r="J4083" i="2" s="1"/>
  <c r="J4084" i="2" s="1"/>
  <c r="J4085" i="2" s="1"/>
  <c r="J4086" i="2" s="1"/>
  <c r="J4087" i="2" s="1"/>
  <c r="J4088" i="2" s="1"/>
  <c r="J4089" i="2" s="1"/>
  <c r="J4090" i="2" s="1"/>
  <c r="J4091" i="2" s="1"/>
  <c r="J4092" i="2" s="1"/>
  <c r="J4093" i="2" s="1"/>
  <c r="J4094" i="2" s="1"/>
  <c r="J4095" i="2" s="1"/>
  <c r="J4096" i="2" s="1"/>
  <c r="J4097" i="2" s="1"/>
  <c r="J4098" i="2" s="1"/>
  <c r="J4099" i="2" s="1"/>
  <c r="J4100" i="2" s="1"/>
  <c r="J4101" i="2" s="1"/>
  <c r="J4102" i="2" s="1"/>
  <c r="J4103" i="2" s="1"/>
  <c r="J4104" i="2" s="1"/>
  <c r="J4105" i="2" s="1"/>
  <c r="J4106" i="2" s="1"/>
  <c r="J4107" i="2" s="1"/>
  <c r="J4108" i="2" s="1"/>
  <c r="J4109" i="2" s="1"/>
  <c r="J4110" i="2" s="1"/>
  <c r="J4111" i="2" s="1"/>
  <c r="J4112" i="2" s="1"/>
  <c r="J4113" i="2" s="1"/>
  <c r="J4114" i="2" s="1"/>
  <c r="J4115" i="2" s="1"/>
  <c r="J4116" i="2" s="1"/>
  <c r="J4117" i="2" s="1"/>
  <c r="J4118" i="2" s="1"/>
  <c r="J4119" i="2" s="1"/>
  <c r="J4120" i="2" s="1"/>
  <c r="J4121" i="2" s="1"/>
  <c r="J4122" i="2" s="1"/>
  <c r="J4123" i="2" s="1"/>
  <c r="J4124" i="2" s="1"/>
  <c r="J4125" i="2" s="1"/>
  <c r="J4126" i="2" s="1"/>
  <c r="J4127" i="2" s="1"/>
  <c r="J4128" i="2" s="1"/>
  <c r="J4129" i="2" s="1"/>
  <c r="J4130" i="2" s="1"/>
  <c r="J4131" i="2" s="1"/>
  <c r="J4132" i="2" s="1"/>
  <c r="J4133" i="2" s="1"/>
  <c r="J4134" i="2" s="1"/>
  <c r="J4135" i="2" s="1"/>
  <c r="J4136" i="2" s="1"/>
  <c r="J4137" i="2" s="1"/>
  <c r="J4138" i="2" s="1"/>
  <c r="J4139" i="2" s="1"/>
  <c r="J4140" i="2" s="1"/>
  <c r="J4141" i="2" s="1"/>
  <c r="J4142" i="2" s="1"/>
  <c r="J4143" i="2" s="1"/>
  <c r="J4144" i="2" s="1"/>
  <c r="J4145" i="2" s="1"/>
  <c r="J4146" i="2" s="1"/>
  <c r="J4147" i="2" s="1"/>
  <c r="J4148" i="2" s="1"/>
  <c r="J4149" i="2" s="1"/>
  <c r="J4150" i="2" s="1"/>
  <c r="J4151" i="2" s="1"/>
  <c r="J4152" i="2" s="1"/>
  <c r="J4153" i="2" s="1"/>
  <c r="J4154" i="2" s="1"/>
  <c r="J4155" i="2" s="1"/>
  <c r="J4156" i="2" s="1"/>
  <c r="J4157" i="2" s="1"/>
  <c r="J4158" i="2" s="1"/>
  <c r="J4159" i="2" s="1"/>
  <c r="J4160" i="2" s="1"/>
  <c r="J4161" i="2" s="1"/>
  <c r="J4162" i="2" s="1"/>
  <c r="J4163" i="2" s="1"/>
  <c r="J4164" i="2" s="1"/>
  <c r="J4165" i="2" s="1"/>
  <c r="J4166" i="2" s="1"/>
  <c r="J4167" i="2" s="1"/>
  <c r="J4168" i="2" s="1"/>
  <c r="J4169" i="2" s="1"/>
  <c r="J4170" i="2" s="1"/>
  <c r="J4171" i="2" s="1"/>
  <c r="J4172" i="2" s="1"/>
  <c r="J4173" i="2" s="1"/>
  <c r="J4174" i="2" s="1"/>
  <c r="J4175" i="2" s="1"/>
  <c r="J4176" i="2" s="1"/>
  <c r="J4177" i="2" s="1"/>
  <c r="J4178" i="2" s="1"/>
  <c r="J4179" i="2" s="1"/>
  <c r="J4180" i="2" s="1"/>
  <c r="J4181" i="2" s="1"/>
  <c r="J4182" i="2" s="1"/>
  <c r="J4183" i="2" s="1"/>
  <c r="J4184" i="2" s="1"/>
  <c r="J4185" i="2" s="1"/>
  <c r="J4186" i="2" s="1"/>
  <c r="J4187" i="2" s="1"/>
  <c r="J4188" i="2" s="1"/>
  <c r="J4189" i="2" s="1"/>
  <c r="J4190" i="2" s="1"/>
  <c r="J4191" i="2" s="1"/>
  <c r="J4192" i="2" s="1"/>
  <c r="J4193" i="2" s="1"/>
  <c r="J4194" i="2" s="1"/>
  <c r="J4195" i="2" s="1"/>
  <c r="J4196" i="2" s="1"/>
  <c r="J4197" i="2" s="1"/>
  <c r="J4198" i="2" s="1"/>
  <c r="J4199" i="2" s="1"/>
  <c r="J4200" i="2" s="1"/>
  <c r="J4201" i="2" s="1"/>
  <c r="J4202" i="2" s="1"/>
  <c r="J4203" i="2" s="1"/>
  <c r="J4204" i="2" s="1"/>
  <c r="J4205" i="2" s="1"/>
  <c r="J4206" i="2" s="1"/>
  <c r="J4207" i="2" s="1"/>
  <c r="J4208" i="2" s="1"/>
  <c r="J4209" i="2" s="1"/>
  <c r="J4210" i="2" s="1"/>
  <c r="J4211" i="2" s="1"/>
  <c r="J4212" i="2" s="1"/>
  <c r="J4213" i="2" s="1"/>
  <c r="J4214" i="2" s="1"/>
  <c r="J4215" i="2" s="1"/>
  <c r="J4216" i="2" s="1"/>
  <c r="J4217" i="2" s="1"/>
  <c r="J4218" i="2" s="1"/>
  <c r="J4219" i="2" s="1"/>
  <c r="J4220" i="2" s="1"/>
  <c r="J4221" i="2" s="1"/>
  <c r="J4222" i="2" s="1"/>
  <c r="J4223" i="2" s="1"/>
  <c r="J4224" i="2" s="1"/>
  <c r="J4225" i="2" s="1"/>
  <c r="J4226" i="2" s="1"/>
  <c r="J4227" i="2" s="1"/>
  <c r="J4228" i="2" s="1"/>
  <c r="J4229" i="2" s="1"/>
  <c r="J4230" i="2" s="1"/>
  <c r="J4231" i="2" s="1"/>
  <c r="J4232" i="2" s="1"/>
  <c r="J4233" i="2" s="1"/>
  <c r="J4234" i="2" s="1"/>
  <c r="J4235" i="2" s="1"/>
  <c r="J4236" i="2" s="1"/>
  <c r="J4237" i="2" s="1"/>
  <c r="J4238" i="2" s="1"/>
  <c r="J4239" i="2" s="1"/>
  <c r="J4240" i="2" s="1"/>
  <c r="J4241" i="2" s="1"/>
  <c r="J4242" i="2" s="1"/>
  <c r="J4243" i="2" s="1"/>
  <c r="J4244" i="2" s="1"/>
  <c r="J4245" i="2" s="1"/>
  <c r="J4246" i="2" s="1"/>
  <c r="J4247" i="2" s="1"/>
  <c r="J4248" i="2" s="1"/>
  <c r="J4249" i="2" s="1"/>
  <c r="J4250" i="2" s="1"/>
  <c r="J4251" i="2" s="1"/>
  <c r="J4252" i="2" s="1"/>
  <c r="J4253" i="2" s="1"/>
  <c r="J4254" i="2" s="1"/>
  <c r="J4255" i="2" s="1"/>
  <c r="J4256" i="2" s="1"/>
  <c r="J4257" i="2" s="1"/>
  <c r="J4258" i="2" s="1"/>
  <c r="J4259" i="2" s="1"/>
  <c r="J4260" i="2" s="1"/>
  <c r="J4261" i="2" s="1"/>
  <c r="J4262" i="2" s="1"/>
  <c r="J4263" i="2" s="1"/>
  <c r="J4264" i="2" s="1"/>
  <c r="J4265" i="2" s="1"/>
  <c r="J4266" i="2" s="1"/>
  <c r="J4267" i="2" s="1"/>
  <c r="J4268" i="2" s="1"/>
  <c r="J4269" i="2" s="1"/>
  <c r="J4270" i="2" s="1"/>
  <c r="J4271" i="2" s="1"/>
  <c r="J4272" i="2" s="1"/>
  <c r="J4273" i="2" s="1"/>
  <c r="J4274" i="2" s="1"/>
  <c r="J4275" i="2" s="1"/>
  <c r="J4276" i="2" s="1"/>
  <c r="J4277" i="2" s="1"/>
  <c r="J4278" i="2" s="1"/>
  <c r="J4279" i="2" s="1"/>
  <c r="J4280" i="2" s="1"/>
  <c r="J4281" i="2" s="1"/>
  <c r="J4282" i="2" s="1"/>
  <c r="J4283" i="2" s="1"/>
  <c r="J4284" i="2" s="1"/>
  <c r="J4285" i="2" s="1"/>
  <c r="J4286" i="2" s="1"/>
  <c r="J4287" i="2" s="1"/>
  <c r="J4288" i="2" s="1"/>
  <c r="J4289" i="2" s="1"/>
  <c r="J4290" i="2" s="1"/>
  <c r="J4291" i="2" s="1"/>
  <c r="J4292" i="2" s="1"/>
  <c r="J4293" i="2" s="1"/>
  <c r="J4294" i="2" s="1"/>
  <c r="J4295" i="2" s="1"/>
  <c r="J4296" i="2" s="1"/>
  <c r="J4297" i="2" s="1"/>
  <c r="J4298" i="2" s="1"/>
  <c r="J4299" i="2" s="1"/>
  <c r="J4300" i="2" s="1"/>
  <c r="J4301" i="2" s="1"/>
  <c r="J4302" i="2" s="1"/>
  <c r="J4303" i="2" s="1"/>
  <c r="J4304" i="2" s="1"/>
  <c r="J4305" i="2" s="1"/>
  <c r="J4306" i="2" s="1"/>
  <c r="J4307" i="2" s="1"/>
  <c r="J4308" i="2" s="1"/>
  <c r="J4309" i="2" s="1"/>
  <c r="J4310" i="2" s="1"/>
  <c r="J4311" i="2" s="1"/>
  <c r="J4312" i="2" s="1"/>
  <c r="J4313" i="2" s="1"/>
  <c r="J4314" i="2" s="1"/>
  <c r="J4315" i="2" s="1"/>
  <c r="J4316" i="2" s="1"/>
  <c r="J4317" i="2" s="1"/>
  <c r="J4318" i="2" s="1"/>
  <c r="J4319" i="2" s="1"/>
  <c r="J4320" i="2" s="1"/>
  <c r="J4321" i="2" s="1"/>
  <c r="J4322" i="2" s="1"/>
  <c r="J4323" i="2" s="1"/>
  <c r="J4324" i="2" s="1"/>
  <c r="J4325" i="2" s="1"/>
  <c r="J4326" i="2" s="1"/>
  <c r="J4327" i="2" s="1"/>
  <c r="J4328" i="2" s="1"/>
  <c r="J4329" i="2" s="1"/>
  <c r="J4330" i="2" s="1"/>
  <c r="J4331" i="2" s="1"/>
  <c r="J4332" i="2" s="1"/>
  <c r="J4333" i="2" s="1"/>
  <c r="J4334" i="2" s="1"/>
  <c r="J4335" i="2" s="1"/>
  <c r="J4336" i="2" s="1"/>
  <c r="J4337" i="2" s="1"/>
  <c r="J4338" i="2" s="1"/>
  <c r="J4339" i="2" s="1"/>
  <c r="J4340" i="2" s="1"/>
  <c r="J4341" i="2" s="1"/>
  <c r="J4342" i="2" s="1"/>
  <c r="J4343" i="2" s="1"/>
  <c r="J4344" i="2" s="1"/>
  <c r="J4345" i="2" s="1"/>
  <c r="J4346" i="2" s="1"/>
  <c r="J4347" i="2" s="1"/>
  <c r="J4348" i="2" s="1"/>
  <c r="J4349" i="2" s="1"/>
  <c r="J4350" i="2" s="1"/>
  <c r="J4351" i="2" s="1"/>
  <c r="J4352" i="2" s="1"/>
  <c r="J4353" i="2" s="1"/>
  <c r="J4354" i="2" s="1"/>
  <c r="J4355" i="2" s="1"/>
  <c r="J4356" i="2" s="1"/>
  <c r="J4357" i="2" s="1"/>
  <c r="J4358" i="2" s="1"/>
  <c r="J4359" i="2" s="1"/>
  <c r="J4360" i="2" s="1"/>
  <c r="J4361" i="2" s="1"/>
  <c r="J4362" i="2" s="1"/>
  <c r="J4363" i="2" s="1"/>
  <c r="J4364" i="2" s="1"/>
  <c r="J4365" i="2" s="1"/>
  <c r="J4366" i="2" s="1"/>
  <c r="J4367" i="2" s="1"/>
  <c r="J4368" i="2" s="1"/>
  <c r="J4369" i="2" s="1"/>
  <c r="J4370" i="2" s="1"/>
  <c r="J4371" i="2" s="1"/>
  <c r="J4372" i="2" s="1"/>
  <c r="J4373" i="2" s="1"/>
  <c r="J4374" i="2" s="1"/>
  <c r="J4375" i="2" s="1"/>
  <c r="J4376" i="2" s="1"/>
  <c r="J4377" i="2" s="1"/>
  <c r="J4378" i="2" s="1"/>
  <c r="J4379" i="2" s="1"/>
  <c r="J4380" i="2" s="1"/>
  <c r="J4381" i="2" s="1"/>
  <c r="J4382" i="2" s="1"/>
  <c r="J4383" i="2" s="1"/>
  <c r="J4384" i="2" s="1"/>
  <c r="J4385" i="2" s="1"/>
  <c r="J4386" i="2" s="1"/>
  <c r="J4387" i="2" s="1"/>
  <c r="J4388" i="2" s="1"/>
  <c r="J4389" i="2" s="1"/>
  <c r="J4390" i="2" s="1"/>
  <c r="J4391" i="2" s="1"/>
  <c r="J4392" i="2" s="1"/>
  <c r="J4393" i="2" s="1"/>
  <c r="J4394" i="2" s="1"/>
  <c r="J4395" i="2" s="1"/>
  <c r="J4396" i="2" s="1"/>
  <c r="J4397" i="2" s="1"/>
  <c r="J4398" i="2" s="1"/>
  <c r="J4399" i="2" s="1"/>
  <c r="J4400" i="2" s="1"/>
  <c r="J4401" i="2" s="1"/>
  <c r="J4402" i="2" s="1"/>
  <c r="J4403" i="2" s="1"/>
  <c r="J4404" i="2" s="1"/>
  <c r="J4405" i="2" s="1"/>
  <c r="J4406" i="2" s="1"/>
  <c r="J4407" i="2" s="1"/>
  <c r="J4408" i="2" s="1"/>
  <c r="J4409" i="2" s="1"/>
  <c r="J4410" i="2" s="1"/>
  <c r="J4411" i="2" s="1"/>
  <c r="J4412" i="2" s="1"/>
  <c r="J4413" i="2" s="1"/>
  <c r="J4414" i="2" s="1"/>
  <c r="J4415" i="2" s="1"/>
  <c r="J4416" i="2" s="1"/>
  <c r="J4417" i="2" s="1"/>
  <c r="J4418" i="2" s="1"/>
  <c r="J4419" i="2" s="1"/>
  <c r="J4420" i="2" s="1"/>
  <c r="J4421" i="2" s="1"/>
  <c r="J4422" i="2" s="1"/>
  <c r="J4423" i="2" s="1"/>
  <c r="J4424" i="2" s="1"/>
  <c r="J4425" i="2" s="1"/>
  <c r="J4426" i="2" s="1"/>
  <c r="J4427" i="2" s="1"/>
  <c r="J4428" i="2" s="1"/>
  <c r="J4429" i="2" s="1"/>
  <c r="J4430" i="2" s="1"/>
  <c r="J4431" i="2" s="1"/>
  <c r="J4432" i="2" s="1"/>
  <c r="J4433" i="2" s="1"/>
  <c r="J4434" i="2" s="1"/>
  <c r="J4435" i="2" s="1"/>
  <c r="J4436" i="2" s="1"/>
  <c r="J4437" i="2" s="1"/>
  <c r="J4438" i="2" s="1"/>
  <c r="J4439" i="2" s="1"/>
  <c r="J4440" i="2" s="1"/>
  <c r="J4441" i="2" s="1"/>
  <c r="J4442" i="2" s="1"/>
  <c r="J4443" i="2" s="1"/>
  <c r="J4444" i="2" s="1"/>
  <c r="J4445" i="2" s="1"/>
  <c r="J4446" i="2" s="1"/>
  <c r="J4447" i="2" s="1"/>
  <c r="J4448" i="2" s="1"/>
  <c r="J4449" i="2" s="1"/>
  <c r="J4450" i="2" s="1"/>
  <c r="J4451" i="2" s="1"/>
  <c r="J4452" i="2" s="1"/>
  <c r="J4453" i="2" s="1"/>
  <c r="J4454" i="2" s="1"/>
  <c r="J4455" i="2" s="1"/>
  <c r="J4456" i="2" s="1"/>
  <c r="J4457" i="2" s="1"/>
  <c r="J4458" i="2" s="1"/>
  <c r="J4459" i="2" s="1"/>
  <c r="J4460" i="2" s="1"/>
  <c r="J4461" i="2" s="1"/>
  <c r="J4462" i="2" s="1"/>
  <c r="J4463" i="2" s="1"/>
  <c r="J4464" i="2" s="1"/>
  <c r="J4465" i="2" s="1"/>
  <c r="J4466" i="2" s="1"/>
  <c r="J4467" i="2" s="1"/>
  <c r="J4468" i="2" s="1"/>
  <c r="J4469" i="2" s="1"/>
  <c r="J4470" i="2" s="1"/>
  <c r="J4471" i="2" s="1"/>
  <c r="J4472" i="2" s="1"/>
  <c r="J4473" i="2" s="1"/>
  <c r="J4474" i="2" s="1"/>
  <c r="J4475" i="2" s="1"/>
  <c r="J4476" i="2" s="1"/>
  <c r="J4477" i="2" s="1"/>
  <c r="J4478" i="2" s="1"/>
  <c r="J4479" i="2" s="1"/>
  <c r="J4480" i="2" s="1"/>
  <c r="J4481" i="2" s="1"/>
  <c r="J4482" i="2" s="1"/>
  <c r="J4483" i="2" s="1"/>
  <c r="J4484" i="2" s="1"/>
  <c r="J4485" i="2" s="1"/>
  <c r="J4486" i="2" s="1"/>
  <c r="J4487" i="2" s="1"/>
  <c r="J4488" i="2" s="1"/>
  <c r="J4489" i="2" s="1"/>
  <c r="J4490" i="2" s="1"/>
  <c r="J4491" i="2" s="1"/>
  <c r="J4492" i="2" s="1"/>
  <c r="J4493" i="2" s="1"/>
  <c r="J4494" i="2" s="1"/>
  <c r="J4495" i="2" s="1"/>
  <c r="J4496" i="2" s="1"/>
  <c r="J4497" i="2" s="1"/>
  <c r="J4498" i="2" s="1"/>
  <c r="J4499" i="2" s="1"/>
  <c r="J4500" i="2" s="1"/>
  <c r="J4501" i="2" s="1"/>
  <c r="J4502" i="2" s="1"/>
  <c r="J4503" i="2" s="1"/>
  <c r="J4504" i="2" s="1"/>
  <c r="J4505" i="2" s="1"/>
  <c r="J4506" i="2" s="1"/>
  <c r="J4507" i="2" s="1"/>
  <c r="J4508" i="2" s="1"/>
  <c r="J4509" i="2" s="1"/>
  <c r="J4510" i="2" s="1"/>
  <c r="J4511" i="2" s="1"/>
  <c r="J4512" i="2" s="1"/>
  <c r="J4513" i="2" s="1"/>
  <c r="J4514" i="2" s="1"/>
  <c r="J4515" i="2" s="1"/>
  <c r="J4516" i="2" s="1"/>
  <c r="J4517" i="2" s="1"/>
  <c r="J4518" i="2" s="1"/>
  <c r="J4519" i="2" s="1"/>
  <c r="J4520" i="2" s="1"/>
  <c r="J4521" i="2" s="1"/>
  <c r="J4522" i="2" s="1"/>
  <c r="J4523" i="2" s="1"/>
  <c r="J4524" i="2" s="1"/>
  <c r="J4525" i="2" s="1"/>
  <c r="J4526" i="2" s="1"/>
  <c r="J4527" i="2" s="1"/>
  <c r="J4528" i="2" s="1"/>
  <c r="J4529" i="2" s="1"/>
  <c r="J4530" i="2" s="1"/>
  <c r="J4531" i="2" s="1"/>
  <c r="J4532" i="2" s="1"/>
  <c r="J4533" i="2" s="1"/>
  <c r="J4534" i="2" s="1"/>
  <c r="J4535" i="2" s="1"/>
  <c r="J4536" i="2" s="1"/>
  <c r="J4537" i="2" s="1"/>
  <c r="J4538" i="2" s="1"/>
  <c r="J4539" i="2" s="1"/>
  <c r="J4540" i="2" s="1"/>
  <c r="J4541" i="2" s="1"/>
  <c r="J4542" i="2" s="1"/>
  <c r="J4543" i="2" s="1"/>
  <c r="J4544" i="2" s="1"/>
  <c r="J4545" i="2" s="1"/>
  <c r="J4546" i="2" s="1"/>
  <c r="J4547" i="2" s="1"/>
  <c r="J4548" i="2" s="1"/>
  <c r="J4549" i="2" s="1"/>
  <c r="J4550" i="2" s="1"/>
  <c r="J4551" i="2" s="1"/>
  <c r="J4552" i="2" s="1"/>
  <c r="J4553" i="2" s="1"/>
  <c r="J4554" i="2" s="1"/>
  <c r="J4555" i="2" s="1"/>
  <c r="J4556" i="2" s="1"/>
  <c r="J4557" i="2" s="1"/>
  <c r="J4558" i="2" s="1"/>
  <c r="J4559" i="2" s="1"/>
  <c r="J4560" i="2" s="1"/>
  <c r="J4561" i="2" s="1"/>
  <c r="J4562" i="2" s="1"/>
  <c r="J4563" i="2" s="1"/>
  <c r="J4564" i="2" s="1"/>
  <c r="J4565" i="2" s="1"/>
  <c r="J4566" i="2" s="1"/>
  <c r="J4567" i="2" s="1"/>
  <c r="J4568" i="2" s="1"/>
  <c r="J4569" i="2" s="1"/>
  <c r="J4570" i="2" s="1"/>
  <c r="J4571" i="2" s="1"/>
  <c r="J4572" i="2" s="1"/>
  <c r="J4573" i="2" s="1"/>
  <c r="J4574" i="2" s="1"/>
  <c r="J4575" i="2" s="1"/>
  <c r="J4576" i="2" s="1"/>
  <c r="J4577" i="2" s="1"/>
  <c r="J4578" i="2" s="1"/>
  <c r="J4579" i="2" s="1"/>
  <c r="J4580" i="2" s="1"/>
  <c r="J4581" i="2" s="1"/>
  <c r="J4582" i="2" s="1"/>
  <c r="J4583" i="2" s="1"/>
  <c r="J4584" i="2" s="1"/>
  <c r="J4585" i="2" s="1"/>
  <c r="J4586" i="2" s="1"/>
  <c r="J4587" i="2" s="1"/>
  <c r="J4588" i="2" s="1"/>
  <c r="J4589" i="2" s="1"/>
  <c r="J4590" i="2" s="1"/>
  <c r="J4591" i="2" s="1"/>
  <c r="J4592" i="2" s="1"/>
  <c r="J4593" i="2" s="1"/>
  <c r="J4594" i="2" s="1"/>
  <c r="J4595" i="2" s="1"/>
  <c r="J4596" i="2" s="1"/>
  <c r="J4597" i="2" s="1"/>
  <c r="J4598" i="2" s="1"/>
  <c r="J4599" i="2" s="1"/>
  <c r="J4600" i="2" s="1"/>
  <c r="J4601" i="2" s="1"/>
  <c r="J4602" i="2" s="1"/>
  <c r="J4603" i="2" s="1"/>
  <c r="J4604" i="2" s="1"/>
  <c r="J4605" i="2" s="1"/>
  <c r="J4606" i="2" s="1"/>
  <c r="J4607" i="2" s="1"/>
  <c r="J4608" i="2" s="1"/>
  <c r="J4609" i="2" s="1"/>
  <c r="J4610" i="2" s="1"/>
  <c r="J4611" i="2" s="1"/>
  <c r="J4612" i="2" s="1"/>
  <c r="J4613" i="2" s="1"/>
  <c r="J4614" i="2" s="1"/>
  <c r="J4615" i="2" s="1"/>
  <c r="J4616" i="2" s="1"/>
  <c r="J4617" i="2" s="1"/>
  <c r="J4618" i="2" s="1"/>
  <c r="J4619" i="2" s="1"/>
  <c r="J4620" i="2" s="1"/>
  <c r="J4621" i="2" s="1"/>
  <c r="J4622" i="2" s="1"/>
  <c r="J4623" i="2" s="1"/>
  <c r="J4624" i="2" s="1"/>
  <c r="J4625" i="2" s="1"/>
  <c r="J4626" i="2" s="1"/>
  <c r="J4627" i="2" s="1"/>
  <c r="J4628" i="2" s="1"/>
  <c r="J4629" i="2" s="1"/>
  <c r="J4630" i="2" s="1"/>
  <c r="J4631" i="2" s="1"/>
  <c r="J4632" i="2" s="1"/>
  <c r="J4633" i="2" s="1"/>
  <c r="J4634" i="2" s="1"/>
  <c r="J4635" i="2" s="1"/>
  <c r="J4636" i="2" s="1"/>
  <c r="J4637" i="2" s="1"/>
  <c r="J4638" i="2" s="1"/>
  <c r="J4639" i="2" s="1"/>
  <c r="J4640" i="2" s="1"/>
  <c r="J4641" i="2" s="1"/>
  <c r="J4642" i="2" s="1"/>
  <c r="J4643" i="2" s="1"/>
  <c r="J4644" i="2" s="1"/>
  <c r="J4645" i="2" s="1"/>
  <c r="J4646" i="2" s="1"/>
  <c r="J4647" i="2" s="1"/>
  <c r="J4648" i="2" s="1"/>
  <c r="J4649" i="2" s="1"/>
  <c r="J4650" i="2" s="1"/>
  <c r="J4651" i="2" s="1"/>
  <c r="J4652" i="2" s="1"/>
  <c r="J4653" i="2" s="1"/>
  <c r="J4654" i="2" s="1"/>
  <c r="J4655" i="2" s="1"/>
  <c r="J4656" i="2" s="1"/>
  <c r="J4657" i="2" s="1"/>
  <c r="J4658" i="2" s="1"/>
  <c r="J4659" i="2" s="1"/>
  <c r="J4660" i="2" s="1"/>
  <c r="J4661" i="2" s="1"/>
  <c r="J4662" i="2" s="1"/>
  <c r="J4663" i="2" s="1"/>
  <c r="J4664" i="2" s="1"/>
  <c r="J4665" i="2" s="1"/>
  <c r="J4666" i="2" s="1"/>
  <c r="J4667" i="2" s="1"/>
  <c r="J4668" i="2" s="1"/>
  <c r="J4669" i="2" s="1"/>
  <c r="J4670" i="2" s="1"/>
  <c r="J4671" i="2" s="1"/>
  <c r="J4672" i="2" s="1"/>
  <c r="J4673" i="2" s="1"/>
  <c r="J4674" i="2" s="1"/>
  <c r="J4675" i="2" s="1"/>
  <c r="J4676" i="2" s="1"/>
  <c r="J4677" i="2" s="1"/>
  <c r="J4678" i="2" s="1"/>
  <c r="J4679" i="2" s="1"/>
  <c r="J4680" i="2" s="1"/>
  <c r="J4681" i="2" s="1"/>
  <c r="J4682" i="2" s="1"/>
  <c r="J4683" i="2" s="1"/>
  <c r="J4684" i="2" s="1"/>
  <c r="J4685" i="2" s="1"/>
  <c r="J4686" i="2" s="1"/>
  <c r="J4687" i="2" s="1"/>
  <c r="J4688" i="2" s="1"/>
  <c r="J4689" i="2" s="1"/>
  <c r="J4690" i="2" s="1"/>
  <c r="J4691" i="2" s="1"/>
  <c r="J4692" i="2" s="1"/>
  <c r="J4693" i="2" s="1"/>
  <c r="J4694" i="2" s="1"/>
  <c r="J4695" i="2" s="1"/>
  <c r="J4696" i="2" s="1"/>
  <c r="J4697" i="2" s="1"/>
  <c r="J4698" i="2" s="1"/>
  <c r="J4699" i="2" s="1"/>
  <c r="J4700" i="2" s="1"/>
  <c r="J4701" i="2" s="1"/>
  <c r="J4702" i="2" s="1"/>
  <c r="J4703" i="2" s="1"/>
  <c r="J4704" i="2" s="1"/>
  <c r="J4705" i="2" s="1"/>
  <c r="J4706" i="2" s="1"/>
  <c r="J4707" i="2" s="1"/>
  <c r="J4708" i="2" s="1"/>
  <c r="J4709" i="2" s="1"/>
  <c r="J4710" i="2" s="1"/>
  <c r="J4711" i="2" s="1"/>
  <c r="J4712" i="2" s="1"/>
  <c r="J4713" i="2" s="1"/>
  <c r="J4714" i="2" s="1"/>
  <c r="J4715" i="2" s="1"/>
  <c r="J4716" i="2" s="1"/>
  <c r="J4717" i="2" s="1"/>
  <c r="J4718" i="2" s="1"/>
  <c r="J4719" i="2" s="1"/>
  <c r="J4720" i="2" s="1"/>
  <c r="J4721" i="2" s="1"/>
  <c r="J4722" i="2" s="1"/>
  <c r="J4723" i="2" s="1"/>
  <c r="J4724" i="2" s="1"/>
  <c r="J4725" i="2" s="1"/>
  <c r="J4726" i="2" s="1"/>
  <c r="J4727" i="2" s="1"/>
  <c r="J4728" i="2" s="1"/>
  <c r="J4729" i="2" s="1"/>
  <c r="J4730" i="2" s="1"/>
  <c r="J4731" i="2" s="1"/>
  <c r="J4732" i="2" s="1"/>
  <c r="J4733" i="2" s="1"/>
  <c r="J4734" i="2" s="1"/>
  <c r="J4735" i="2" s="1"/>
  <c r="J4736" i="2" s="1"/>
  <c r="J4737" i="2" s="1"/>
  <c r="J4738" i="2" s="1"/>
  <c r="J4739" i="2" s="1"/>
  <c r="J4740" i="2" s="1"/>
  <c r="J4741" i="2" s="1"/>
  <c r="J4742" i="2" s="1"/>
  <c r="J4743" i="2" s="1"/>
  <c r="J4744" i="2" s="1"/>
  <c r="J4745" i="2" s="1"/>
  <c r="J4746" i="2" s="1"/>
  <c r="J4747" i="2" s="1"/>
  <c r="J4748" i="2" s="1"/>
  <c r="J4749" i="2" s="1"/>
  <c r="J4750" i="2" s="1"/>
  <c r="J4751" i="2" s="1"/>
  <c r="J4752" i="2" s="1"/>
  <c r="J4753" i="2" s="1"/>
  <c r="J4754" i="2" s="1"/>
  <c r="J4755" i="2" s="1"/>
  <c r="J4756" i="2" s="1"/>
  <c r="J4757" i="2" s="1"/>
  <c r="J4758" i="2" s="1"/>
  <c r="J4759" i="2" s="1"/>
  <c r="J4760" i="2" s="1"/>
  <c r="J4761" i="2" s="1"/>
  <c r="J4762" i="2" s="1"/>
  <c r="J4763" i="2" s="1"/>
  <c r="J4764" i="2" s="1"/>
  <c r="J4765" i="2" s="1"/>
  <c r="J4766" i="2" s="1"/>
  <c r="J4767" i="2" s="1"/>
  <c r="J4768" i="2" s="1"/>
  <c r="J4769" i="2" s="1"/>
  <c r="J4770" i="2" s="1"/>
  <c r="J4771" i="2" s="1"/>
  <c r="J4772" i="2" s="1"/>
  <c r="J4773" i="2" s="1"/>
  <c r="J4774" i="2" s="1"/>
  <c r="J4775" i="2" s="1"/>
  <c r="J4776" i="2" s="1"/>
  <c r="J4777" i="2" s="1"/>
  <c r="J4778" i="2" s="1"/>
  <c r="J4779" i="2" s="1"/>
  <c r="J4780" i="2" s="1"/>
  <c r="J4781" i="2" s="1"/>
  <c r="J4782" i="2" s="1"/>
  <c r="J4783" i="2" s="1"/>
  <c r="J4784" i="2" s="1"/>
  <c r="J4785" i="2" s="1"/>
  <c r="J4786" i="2" s="1"/>
  <c r="J4787" i="2" s="1"/>
  <c r="J4788" i="2" s="1"/>
  <c r="J4789" i="2" s="1"/>
  <c r="J4790" i="2" s="1"/>
  <c r="J4791" i="2" s="1"/>
  <c r="J4792" i="2" s="1"/>
  <c r="J4793" i="2" s="1"/>
  <c r="J4794" i="2" s="1"/>
  <c r="J4795" i="2" s="1"/>
  <c r="J4796" i="2" s="1"/>
  <c r="J4797" i="2" s="1"/>
  <c r="J4798" i="2" s="1"/>
  <c r="J4799" i="2" s="1"/>
  <c r="J4800" i="2" s="1"/>
  <c r="J4801" i="2" s="1"/>
  <c r="J4802" i="2" s="1"/>
  <c r="J4803" i="2" s="1"/>
  <c r="J4804" i="2" s="1"/>
  <c r="J4805" i="2" s="1"/>
  <c r="J4806" i="2" s="1"/>
  <c r="J4807" i="2" s="1"/>
  <c r="J4808" i="2" s="1"/>
  <c r="J4809" i="2" s="1"/>
  <c r="J4810" i="2" s="1"/>
  <c r="J4811" i="2" s="1"/>
  <c r="J4812" i="2" s="1"/>
  <c r="J4813" i="2" s="1"/>
  <c r="J4814" i="2" s="1"/>
  <c r="J4815" i="2" s="1"/>
  <c r="J4816" i="2" s="1"/>
  <c r="J4817" i="2" s="1"/>
  <c r="J4818" i="2" s="1"/>
  <c r="J4819" i="2" s="1"/>
  <c r="J4820" i="2" s="1"/>
  <c r="J4821" i="2" s="1"/>
  <c r="J4822" i="2" s="1"/>
  <c r="J4823" i="2" s="1"/>
  <c r="J4824" i="2" s="1"/>
  <c r="J4825" i="2" s="1"/>
  <c r="J4826" i="2" s="1"/>
  <c r="J4827" i="2" s="1"/>
  <c r="J4828" i="2" s="1"/>
  <c r="J4829" i="2" s="1"/>
  <c r="J4830" i="2" s="1"/>
  <c r="J4831" i="2" s="1"/>
  <c r="J4832" i="2" s="1"/>
  <c r="J4833" i="2" s="1"/>
  <c r="J4834" i="2" s="1"/>
  <c r="J4835" i="2" s="1"/>
  <c r="J4836" i="2" s="1"/>
  <c r="J4837" i="2" s="1"/>
  <c r="J4838" i="2" s="1"/>
  <c r="J4839" i="2" s="1"/>
  <c r="J4840" i="2" s="1"/>
  <c r="J4841" i="2" s="1"/>
  <c r="J4842" i="2" s="1"/>
  <c r="J4843" i="2" s="1"/>
  <c r="J4844" i="2" s="1"/>
  <c r="J4845" i="2" s="1"/>
  <c r="J4846" i="2" s="1"/>
  <c r="J4847" i="2" s="1"/>
  <c r="J4848" i="2" s="1"/>
  <c r="J4849" i="2" s="1"/>
  <c r="J4850" i="2" s="1"/>
  <c r="J4851" i="2" s="1"/>
  <c r="J4852" i="2" s="1"/>
  <c r="J4853" i="2" s="1"/>
  <c r="J4854" i="2" s="1"/>
  <c r="J4855" i="2" s="1"/>
  <c r="J4856" i="2" s="1"/>
  <c r="J4857" i="2" s="1"/>
  <c r="J4858" i="2" s="1"/>
  <c r="J4859" i="2" s="1"/>
  <c r="J4860" i="2" s="1"/>
  <c r="J4861" i="2" s="1"/>
  <c r="J4862" i="2" s="1"/>
  <c r="J4863" i="2" s="1"/>
  <c r="J4864" i="2" s="1"/>
  <c r="J4865" i="2" s="1"/>
  <c r="J4866" i="2" s="1"/>
  <c r="J4867" i="2" s="1"/>
  <c r="J4868" i="2" s="1"/>
  <c r="J4869" i="2" s="1"/>
  <c r="J4870" i="2" s="1"/>
  <c r="J4871" i="2" s="1"/>
  <c r="J4872" i="2" s="1"/>
  <c r="J4873" i="2" s="1"/>
  <c r="J4874" i="2" s="1"/>
  <c r="J4875" i="2" s="1"/>
  <c r="J4876" i="2" s="1"/>
  <c r="J4877" i="2" s="1"/>
  <c r="J4878" i="2" s="1"/>
  <c r="J4879" i="2" s="1"/>
  <c r="J4880" i="2" s="1"/>
  <c r="J4881" i="2" s="1"/>
  <c r="J4882" i="2" s="1"/>
  <c r="J4883" i="2" s="1"/>
  <c r="J4884" i="2" s="1"/>
  <c r="J4885" i="2" s="1"/>
  <c r="J4886" i="2" s="1"/>
  <c r="J4887" i="2" s="1"/>
  <c r="J4888" i="2" s="1"/>
  <c r="J4889" i="2" s="1"/>
  <c r="J4890" i="2" s="1"/>
  <c r="J4891" i="2" s="1"/>
  <c r="J4892" i="2" s="1"/>
  <c r="J4893" i="2" s="1"/>
  <c r="J4894" i="2" s="1"/>
  <c r="J4895" i="2" s="1"/>
  <c r="J4896" i="2" s="1"/>
  <c r="J4897" i="2" s="1"/>
  <c r="J4898" i="2" s="1"/>
  <c r="J4899" i="2" s="1"/>
  <c r="J4900" i="2" s="1"/>
  <c r="J4901" i="2" s="1"/>
  <c r="J4902" i="2" s="1"/>
  <c r="J4903" i="2" s="1"/>
  <c r="J4904" i="2" s="1"/>
  <c r="J4905" i="2" s="1"/>
  <c r="J4906" i="2" s="1"/>
  <c r="J4907" i="2" s="1"/>
  <c r="J4908" i="2" s="1"/>
  <c r="J4909" i="2" s="1"/>
  <c r="J4910" i="2" s="1"/>
  <c r="J4911" i="2" s="1"/>
  <c r="J4912" i="2" s="1"/>
  <c r="J4913" i="2" s="1"/>
  <c r="J4914" i="2" s="1"/>
  <c r="J4915" i="2" s="1"/>
  <c r="J4916" i="2" s="1"/>
  <c r="J4917" i="2" s="1"/>
  <c r="J4918" i="2" s="1"/>
  <c r="J4919" i="2" s="1"/>
  <c r="J4920" i="2" s="1"/>
  <c r="J4921" i="2" s="1"/>
  <c r="J4922" i="2" s="1"/>
  <c r="J4923" i="2" s="1"/>
  <c r="J4924" i="2" s="1"/>
  <c r="J4925" i="2" s="1"/>
  <c r="J4926" i="2" s="1"/>
  <c r="J4927" i="2" s="1"/>
  <c r="J4928" i="2" s="1"/>
  <c r="J4929" i="2" s="1"/>
  <c r="J4930" i="2" s="1"/>
  <c r="J4931" i="2" s="1"/>
  <c r="J4932" i="2" s="1"/>
  <c r="J4933" i="2" s="1"/>
  <c r="J4934" i="2" s="1"/>
  <c r="J4935" i="2" s="1"/>
  <c r="J4936" i="2" s="1"/>
  <c r="J4937" i="2" s="1"/>
  <c r="J4938" i="2" s="1"/>
  <c r="J4939" i="2" s="1"/>
  <c r="J4940" i="2" s="1"/>
  <c r="J4941" i="2" s="1"/>
  <c r="J4942" i="2" s="1"/>
  <c r="J4943" i="2" s="1"/>
  <c r="J4944" i="2" s="1"/>
  <c r="J4945" i="2" s="1"/>
  <c r="J4946" i="2" s="1"/>
  <c r="J4947" i="2" s="1"/>
  <c r="J4948" i="2" s="1"/>
  <c r="J4949" i="2" s="1"/>
  <c r="J4950" i="2" s="1"/>
  <c r="J4951" i="2" s="1"/>
  <c r="J4952" i="2" s="1"/>
  <c r="J4953" i="2" s="1"/>
  <c r="J4954" i="2" s="1"/>
  <c r="J4955" i="2" s="1"/>
  <c r="J4956" i="2" s="1"/>
  <c r="J4957" i="2" s="1"/>
  <c r="J4958" i="2" s="1"/>
  <c r="J4959" i="2" s="1"/>
  <c r="J4960" i="2" s="1"/>
  <c r="J4961" i="2" s="1"/>
  <c r="J4962" i="2" s="1"/>
  <c r="J4963" i="2" s="1"/>
  <c r="J4964" i="2" s="1"/>
  <c r="J4965" i="2" s="1"/>
  <c r="J4966" i="2" s="1"/>
  <c r="J4967" i="2" s="1"/>
  <c r="J4968" i="2" s="1"/>
  <c r="J4969" i="2" s="1"/>
  <c r="J4970" i="2" s="1"/>
  <c r="J4971" i="2" s="1"/>
  <c r="J4972" i="2" s="1"/>
  <c r="J4973" i="2" s="1"/>
  <c r="J4974" i="2" s="1"/>
  <c r="J4975" i="2" s="1"/>
  <c r="J4976" i="2" s="1"/>
  <c r="J4977" i="2" s="1"/>
  <c r="J4978" i="2" s="1"/>
  <c r="J4979" i="2" s="1"/>
  <c r="J4980" i="2" s="1"/>
  <c r="J4981" i="2" s="1"/>
  <c r="J4982" i="2" s="1"/>
  <c r="J4983" i="2" s="1"/>
  <c r="J4984" i="2" s="1"/>
  <c r="J4985" i="2" s="1"/>
  <c r="J4986" i="2" s="1"/>
  <c r="J4987" i="2" s="1"/>
  <c r="J4988" i="2" s="1"/>
  <c r="J4989" i="2" s="1"/>
  <c r="J4990" i="2" s="1"/>
  <c r="J4991" i="2" s="1"/>
  <c r="J4992" i="2" s="1"/>
  <c r="J4993" i="2" s="1"/>
  <c r="J4994" i="2" s="1"/>
  <c r="J4995" i="2" s="1"/>
  <c r="J4996" i="2" s="1"/>
  <c r="J4997" i="2" s="1"/>
  <c r="J4998" i="2" s="1"/>
  <c r="J4999" i="2" s="1"/>
  <c r="J5000" i="2" s="1"/>
  <c r="J5001" i="2" s="1"/>
  <c r="J5002" i="2" s="1"/>
  <c r="J5003" i="2" s="1"/>
  <c r="J5004" i="2" s="1"/>
  <c r="J5005" i="2" s="1"/>
  <c r="J5006" i="2" s="1"/>
  <c r="J5007" i="2" s="1"/>
  <c r="J5008" i="2" s="1"/>
  <c r="J5009" i="2" s="1"/>
  <c r="J5010" i="2" s="1"/>
  <c r="J5011" i="2" s="1"/>
  <c r="J5012" i="2" s="1"/>
  <c r="J5013" i="2" s="1"/>
  <c r="J5014" i="2" s="1"/>
  <c r="J5015" i="2" s="1"/>
  <c r="J5016" i="2" s="1"/>
  <c r="J5017" i="2" s="1"/>
  <c r="J5018" i="2" s="1"/>
  <c r="J5019" i="2" s="1"/>
  <c r="J5020" i="2" s="1"/>
  <c r="J5021" i="2" s="1"/>
  <c r="J5022" i="2" s="1"/>
  <c r="J5023" i="2" s="1"/>
  <c r="J5024" i="2" s="1"/>
  <c r="J5025" i="2" s="1"/>
  <c r="J5026" i="2" s="1"/>
  <c r="J5027" i="2" s="1"/>
  <c r="J5028" i="2" s="1"/>
  <c r="J5029" i="2" s="1"/>
  <c r="J5030" i="2" s="1"/>
  <c r="J5031" i="2" s="1"/>
  <c r="J5032" i="2" s="1"/>
  <c r="J5033" i="2" s="1"/>
  <c r="J5034" i="2" s="1"/>
  <c r="J5035" i="2" s="1"/>
  <c r="J5036" i="2" s="1"/>
  <c r="J5037" i="2" s="1"/>
  <c r="J5038" i="2" s="1"/>
  <c r="J5039" i="2" s="1"/>
  <c r="J5040" i="2" s="1"/>
  <c r="J5041" i="2" s="1"/>
  <c r="J5042" i="2" s="1"/>
  <c r="J5043" i="2" s="1"/>
  <c r="J5044" i="2" s="1"/>
  <c r="J5045" i="2" s="1"/>
  <c r="J5046" i="2" s="1"/>
  <c r="J5047" i="2" s="1"/>
  <c r="J5048" i="2" s="1"/>
  <c r="J5049" i="2" s="1"/>
  <c r="J5050" i="2" s="1"/>
  <c r="J5051" i="2" s="1"/>
  <c r="J5052" i="2" s="1"/>
  <c r="J5053" i="2" s="1"/>
  <c r="J5054" i="2" s="1"/>
  <c r="J5055" i="2" s="1"/>
  <c r="J5056" i="2" s="1"/>
  <c r="J5057" i="2" s="1"/>
  <c r="J5058" i="2" s="1"/>
  <c r="J5059" i="2" s="1"/>
  <c r="J5060" i="2" s="1"/>
  <c r="J5061" i="2" s="1"/>
  <c r="J5062" i="2" s="1"/>
  <c r="J5063" i="2" s="1"/>
  <c r="J5064" i="2" s="1"/>
  <c r="J5065" i="2" s="1"/>
  <c r="J5066" i="2" s="1"/>
  <c r="J5067" i="2" s="1"/>
  <c r="J5068" i="2" s="1"/>
  <c r="J5069" i="2" s="1"/>
  <c r="J5070" i="2" s="1"/>
  <c r="J5071" i="2" s="1"/>
  <c r="J5072" i="2" s="1"/>
  <c r="J5073" i="2" s="1"/>
  <c r="J5074" i="2" s="1"/>
  <c r="J5075" i="2" s="1"/>
  <c r="J5076" i="2" s="1"/>
  <c r="J5077" i="2" s="1"/>
  <c r="J5078" i="2" s="1"/>
  <c r="J5079" i="2" s="1"/>
  <c r="J5080" i="2" s="1"/>
  <c r="J5081" i="2" s="1"/>
  <c r="J5082" i="2" s="1"/>
  <c r="J5083" i="2" s="1"/>
  <c r="J5084" i="2" s="1"/>
  <c r="J5085" i="2" s="1"/>
  <c r="J5086" i="2" s="1"/>
  <c r="J5087" i="2" s="1"/>
  <c r="J5088" i="2" s="1"/>
  <c r="J5089" i="2" s="1"/>
  <c r="J5090" i="2" s="1"/>
  <c r="J5091" i="2" s="1"/>
  <c r="J5092" i="2" s="1"/>
  <c r="J5093" i="2" s="1"/>
  <c r="J5094" i="2" s="1"/>
  <c r="J5095" i="2" s="1"/>
  <c r="J5096" i="2" s="1"/>
  <c r="J5097" i="2" s="1"/>
  <c r="J5098" i="2" s="1"/>
  <c r="J5099" i="2" s="1"/>
  <c r="J5100" i="2" s="1"/>
  <c r="J5101" i="2" s="1"/>
  <c r="J5102" i="2" s="1"/>
  <c r="J5103" i="2" s="1"/>
  <c r="J5104" i="2" s="1"/>
  <c r="J5105" i="2" s="1"/>
  <c r="J5106" i="2" s="1"/>
  <c r="J5107" i="2" s="1"/>
  <c r="J5108" i="2" s="1"/>
  <c r="J5109" i="2" s="1"/>
  <c r="J5110" i="2" s="1"/>
  <c r="J5111" i="2" s="1"/>
  <c r="J5112" i="2" s="1"/>
  <c r="J5113" i="2" s="1"/>
  <c r="J5114" i="2" s="1"/>
  <c r="J5115" i="2" s="1"/>
  <c r="J5116" i="2" s="1"/>
  <c r="J5117" i="2" s="1"/>
  <c r="J5118" i="2" s="1"/>
  <c r="J5119" i="2" s="1"/>
  <c r="J5120" i="2" s="1"/>
  <c r="J5121" i="2" s="1"/>
  <c r="J5122" i="2" s="1"/>
  <c r="J5123" i="2" s="1"/>
  <c r="J5124" i="2" s="1"/>
  <c r="J5125" i="2" s="1"/>
  <c r="J5126" i="2" s="1"/>
  <c r="J5127" i="2" s="1"/>
  <c r="J5128" i="2" s="1"/>
  <c r="J5129" i="2" s="1"/>
  <c r="J5130" i="2" s="1"/>
  <c r="J5131" i="2" s="1"/>
  <c r="J5132" i="2" s="1"/>
  <c r="J5133" i="2" s="1"/>
  <c r="J5134" i="2" s="1"/>
  <c r="J5135" i="2" s="1"/>
  <c r="J5136" i="2" s="1"/>
  <c r="J5137" i="2" s="1"/>
  <c r="J5138" i="2" s="1"/>
  <c r="J5139" i="2" s="1"/>
  <c r="J5140" i="2" s="1"/>
  <c r="J5141" i="2" s="1"/>
  <c r="J5142" i="2" s="1"/>
  <c r="J5143" i="2" s="1"/>
  <c r="J5144" i="2" s="1"/>
  <c r="J5145" i="2" s="1"/>
  <c r="J5146" i="2" s="1"/>
  <c r="J5147" i="2" s="1"/>
  <c r="J5148" i="2" s="1"/>
  <c r="J5149" i="2" s="1"/>
  <c r="J5150" i="2" s="1"/>
  <c r="J5151" i="2" s="1"/>
  <c r="J5152" i="2" s="1"/>
  <c r="J5153" i="2" s="1"/>
  <c r="J5154" i="2" s="1"/>
  <c r="J5155" i="2" s="1"/>
  <c r="J5156" i="2" s="1"/>
  <c r="J5157" i="2" s="1"/>
  <c r="J5158" i="2" s="1"/>
  <c r="J5159" i="2" s="1"/>
  <c r="J5160" i="2" s="1"/>
  <c r="J5161" i="2" s="1"/>
  <c r="J5162" i="2" s="1"/>
  <c r="J5163" i="2" s="1"/>
  <c r="J5164" i="2" s="1"/>
  <c r="J5165" i="2" s="1"/>
  <c r="J5166" i="2" s="1"/>
  <c r="J5167" i="2" s="1"/>
  <c r="J5168" i="2" s="1"/>
  <c r="J5169" i="2" s="1"/>
  <c r="J5170" i="2" s="1"/>
  <c r="J5171" i="2" s="1"/>
  <c r="J5172" i="2" s="1"/>
  <c r="J5173" i="2" s="1"/>
  <c r="J5174" i="2" s="1"/>
  <c r="J5175" i="2" s="1"/>
  <c r="J5176" i="2" s="1"/>
  <c r="J5177" i="2" s="1"/>
  <c r="J5178" i="2" s="1"/>
  <c r="J5179" i="2" s="1"/>
  <c r="J5180" i="2" s="1"/>
  <c r="J5181" i="2" s="1"/>
  <c r="J5182" i="2" s="1"/>
  <c r="J5183" i="2" s="1"/>
  <c r="J5184" i="2" s="1"/>
  <c r="J5185" i="2" s="1"/>
  <c r="J5186" i="2" s="1"/>
  <c r="J5187" i="2" s="1"/>
  <c r="J5188" i="2" s="1"/>
  <c r="J5189" i="2" s="1"/>
  <c r="J5190" i="2" s="1"/>
  <c r="J5191" i="2" s="1"/>
  <c r="J5192" i="2" s="1"/>
  <c r="J5193" i="2" s="1"/>
  <c r="J5194" i="2" s="1"/>
  <c r="J5195" i="2" s="1"/>
  <c r="J5196" i="2" s="1"/>
  <c r="J5197" i="2" s="1"/>
  <c r="J5198" i="2" s="1"/>
  <c r="J5199" i="2" s="1"/>
  <c r="J5200" i="2" s="1"/>
  <c r="J5201" i="2" s="1"/>
  <c r="J5202" i="2" s="1"/>
  <c r="J5203" i="2" s="1"/>
  <c r="J5204" i="2" s="1"/>
  <c r="J5205" i="2" s="1"/>
  <c r="J5206" i="2" s="1"/>
  <c r="J5207" i="2" s="1"/>
  <c r="J5208" i="2" s="1"/>
  <c r="J5209" i="2" s="1"/>
  <c r="J5210" i="2" s="1"/>
  <c r="J5211" i="2" s="1"/>
  <c r="J5212" i="2" s="1"/>
  <c r="J5213" i="2" s="1"/>
  <c r="J5214" i="2" s="1"/>
  <c r="J5215" i="2" s="1"/>
  <c r="J5216" i="2" s="1"/>
  <c r="J5217" i="2" s="1"/>
  <c r="J5218" i="2" s="1"/>
  <c r="J5219" i="2" s="1"/>
  <c r="J5220" i="2" s="1"/>
  <c r="J5221" i="2" s="1"/>
  <c r="J5222" i="2" s="1"/>
  <c r="J5223" i="2" s="1"/>
  <c r="J5224" i="2" s="1"/>
  <c r="J5225" i="2" s="1"/>
  <c r="J5226" i="2" s="1"/>
  <c r="J5227" i="2" s="1"/>
  <c r="J5228" i="2" s="1"/>
  <c r="J5229" i="2" s="1"/>
  <c r="J5230" i="2" s="1"/>
  <c r="J5231" i="2" s="1"/>
  <c r="J5232" i="2" s="1"/>
  <c r="J5233" i="2" s="1"/>
  <c r="J5234" i="2" s="1"/>
  <c r="J5235" i="2" s="1"/>
  <c r="J5236" i="2" s="1"/>
  <c r="J5237" i="2" s="1"/>
  <c r="J5238" i="2" s="1"/>
  <c r="J5239" i="2" s="1"/>
  <c r="J5240" i="2" s="1"/>
  <c r="J5241" i="2" s="1"/>
  <c r="J5242" i="2" s="1"/>
  <c r="J5243" i="2" s="1"/>
  <c r="J5244" i="2" s="1"/>
  <c r="J5245" i="2" s="1"/>
  <c r="J5246" i="2" s="1"/>
  <c r="J5247" i="2" s="1"/>
  <c r="J5248" i="2" s="1"/>
  <c r="J5249" i="2" s="1"/>
  <c r="J5250" i="2" s="1"/>
  <c r="J5251" i="2" s="1"/>
  <c r="J5252" i="2" s="1"/>
  <c r="J5253" i="2" s="1"/>
  <c r="J5254" i="2" s="1"/>
  <c r="J5255" i="2" s="1"/>
  <c r="J5256" i="2" s="1"/>
  <c r="J5257" i="2" s="1"/>
  <c r="J5258" i="2" s="1"/>
  <c r="J5259" i="2" s="1"/>
  <c r="J5260" i="2" s="1"/>
  <c r="J5261" i="2" s="1"/>
  <c r="J5262" i="2" s="1"/>
  <c r="J5263" i="2" s="1"/>
  <c r="J5264" i="2" s="1"/>
  <c r="J5265" i="2" s="1"/>
  <c r="J5266" i="2" s="1"/>
  <c r="J5267" i="2" s="1"/>
  <c r="J5268" i="2" s="1"/>
  <c r="J5269" i="2" s="1"/>
  <c r="J5270" i="2" s="1"/>
  <c r="J5271" i="2" s="1"/>
  <c r="J5272" i="2" s="1"/>
  <c r="J5273" i="2" s="1"/>
  <c r="J5274" i="2" s="1"/>
  <c r="J5275" i="2" s="1"/>
  <c r="J5276" i="2" s="1"/>
  <c r="J5277" i="2" s="1"/>
  <c r="J5278" i="2" s="1"/>
  <c r="J5279" i="2" s="1"/>
  <c r="J5280" i="2" s="1"/>
  <c r="J5281" i="2" s="1"/>
  <c r="J5282" i="2" s="1"/>
  <c r="J5283" i="2" s="1"/>
  <c r="J5284" i="2" s="1"/>
  <c r="J5285" i="2" s="1"/>
  <c r="J5286" i="2" s="1"/>
  <c r="J5287" i="2" s="1"/>
  <c r="J5288" i="2" s="1"/>
  <c r="J5289" i="2" s="1"/>
  <c r="J5290" i="2" s="1"/>
  <c r="J5291" i="2" s="1"/>
  <c r="J5292" i="2" s="1"/>
  <c r="J5293" i="2" s="1"/>
  <c r="J5294" i="2" s="1"/>
  <c r="J5295" i="2" s="1"/>
  <c r="J5296" i="2" s="1"/>
  <c r="J5297" i="2" s="1"/>
  <c r="J5298" i="2" s="1"/>
  <c r="J5299" i="2" s="1"/>
  <c r="J5300" i="2" s="1"/>
  <c r="J5301" i="2" s="1"/>
  <c r="J5302" i="2" s="1"/>
  <c r="J5303" i="2" s="1"/>
  <c r="J5304" i="2" s="1"/>
  <c r="J5305" i="2" s="1"/>
  <c r="J5306" i="2" s="1"/>
  <c r="J5307" i="2" s="1"/>
  <c r="J5308" i="2" s="1"/>
  <c r="J5309" i="2" s="1"/>
  <c r="J5310" i="2" s="1"/>
  <c r="J5311" i="2" s="1"/>
  <c r="J5312" i="2" s="1"/>
  <c r="J5313" i="2" s="1"/>
  <c r="J5314" i="2" s="1"/>
  <c r="J5315" i="2" s="1"/>
  <c r="J5316" i="2" s="1"/>
  <c r="J5317" i="2" s="1"/>
  <c r="J5318" i="2" s="1"/>
  <c r="J5319" i="2" s="1"/>
  <c r="J5320" i="2" s="1"/>
  <c r="J5321" i="2" s="1"/>
  <c r="J5322" i="2" s="1"/>
  <c r="J5323" i="2" s="1"/>
  <c r="J5324" i="2" s="1"/>
  <c r="J5325" i="2" s="1"/>
  <c r="J5326" i="2" s="1"/>
  <c r="J5327" i="2" s="1"/>
  <c r="J5328" i="2" s="1"/>
  <c r="J5329" i="2" s="1"/>
  <c r="J5330" i="2" s="1"/>
  <c r="J5331" i="2" s="1"/>
  <c r="J5332" i="2" s="1"/>
  <c r="J5333" i="2" s="1"/>
  <c r="J5334" i="2" s="1"/>
  <c r="J5335" i="2" s="1"/>
  <c r="J5336" i="2" s="1"/>
  <c r="J5337" i="2" s="1"/>
  <c r="J5338" i="2" s="1"/>
  <c r="J5339" i="2" s="1"/>
  <c r="J5340" i="2" s="1"/>
  <c r="J5341" i="2" s="1"/>
  <c r="J5342" i="2" s="1"/>
  <c r="J5343" i="2" s="1"/>
  <c r="J5344" i="2" s="1"/>
  <c r="J5345" i="2" s="1"/>
  <c r="J5346" i="2" s="1"/>
  <c r="J5347" i="2" s="1"/>
  <c r="J5348" i="2" s="1"/>
  <c r="J5349" i="2" s="1"/>
  <c r="J5350" i="2" s="1"/>
  <c r="J5351" i="2" s="1"/>
  <c r="J5352" i="2" s="1"/>
  <c r="J5353" i="2" s="1"/>
  <c r="J5354" i="2" s="1"/>
  <c r="J5355" i="2" s="1"/>
  <c r="J5356" i="2" s="1"/>
  <c r="J5357" i="2" s="1"/>
  <c r="J5358" i="2" s="1"/>
  <c r="J5359" i="2" s="1"/>
  <c r="J5360" i="2" s="1"/>
  <c r="J5361" i="2" s="1"/>
  <c r="J5362" i="2" s="1"/>
  <c r="J5363" i="2" s="1"/>
  <c r="J5364" i="2" s="1"/>
  <c r="J5365" i="2" s="1"/>
  <c r="J5366" i="2" s="1"/>
  <c r="J5367" i="2" s="1"/>
  <c r="J5368" i="2" s="1"/>
  <c r="J5369" i="2" s="1"/>
  <c r="J5370" i="2" s="1"/>
  <c r="J5371" i="2" s="1"/>
  <c r="J5372" i="2" s="1"/>
  <c r="J5373" i="2" s="1"/>
  <c r="J5374" i="2" s="1"/>
  <c r="J5375" i="2" s="1"/>
  <c r="J5376" i="2" s="1"/>
  <c r="J5377" i="2" s="1"/>
  <c r="J5378" i="2" s="1"/>
  <c r="J5379" i="2" s="1"/>
  <c r="J5380" i="2" s="1"/>
  <c r="J5381" i="2" s="1"/>
  <c r="J5382" i="2" s="1"/>
  <c r="J5383" i="2" s="1"/>
  <c r="J5384" i="2" s="1"/>
  <c r="J5385" i="2" s="1"/>
  <c r="J5386" i="2" s="1"/>
  <c r="J5387" i="2" s="1"/>
  <c r="J5388" i="2" s="1"/>
  <c r="J5389" i="2" s="1"/>
  <c r="J5390" i="2" s="1"/>
  <c r="J5391" i="2" s="1"/>
  <c r="J5392" i="2" s="1"/>
  <c r="J5393" i="2" s="1"/>
  <c r="J5394" i="2" s="1"/>
  <c r="J5395" i="2" s="1"/>
  <c r="J5396" i="2" s="1"/>
  <c r="J5397" i="2" s="1"/>
  <c r="J5398" i="2" s="1"/>
  <c r="J5399" i="2" s="1"/>
  <c r="J5400" i="2" s="1"/>
  <c r="J5401" i="2" s="1"/>
  <c r="J5402" i="2" s="1"/>
  <c r="J5403" i="2" s="1"/>
  <c r="J5404" i="2" s="1"/>
  <c r="J5405" i="2" s="1"/>
  <c r="J5406" i="2" s="1"/>
  <c r="J5407" i="2" s="1"/>
  <c r="J5408" i="2" s="1"/>
  <c r="J5409" i="2" s="1"/>
  <c r="J5410" i="2" s="1"/>
  <c r="J5411" i="2" s="1"/>
  <c r="J5412" i="2" s="1"/>
  <c r="J5413" i="2" s="1"/>
  <c r="J5414" i="2" s="1"/>
  <c r="J5415" i="2" s="1"/>
  <c r="J5416" i="2" s="1"/>
  <c r="J5417" i="2" s="1"/>
  <c r="J5418" i="2" s="1"/>
  <c r="J5419" i="2" s="1"/>
  <c r="J5420" i="2" s="1"/>
  <c r="J5421" i="2" s="1"/>
  <c r="J5422" i="2" s="1"/>
  <c r="J5423" i="2" s="1"/>
  <c r="J5424" i="2" s="1"/>
  <c r="J5425" i="2" s="1"/>
  <c r="J5426" i="2" s="1"/>
  <c r="J5427" i="2" s="1"/>
  <c r="J5428" i="2" s="1"/>
  <c r="J5429" i="2" s="1"/>
  <c r="J5430" i="2" s="1"/>
  <c r="J5431" i="2" s="1"/>
  <c r="J5432" i="2" s="1"/>
  <c r="J5433" i="2" s="1"/>
  <c r="J5434" i="2" s="1"/>
  <c r="J5435" i="2" s="1"/>
  <c r="J5436" i="2" s="1"/>
  <c r="J5437" i="2" s="1"/>
  <c r="J5438" i="2" s="1"/>
  <c r="J5439" i="2" s="1"/>
  <c r="J5440" i="2" s="1"/>
  <c r="J5441" i="2" s="1"/>
  <c r="J5442" i="2" s="1"/>
  <c r="J5443" i="2" s="1"/>
  <c r="J5444" i="2" s="1"/>
  <c r="J5445" i="2" s="1"/>
  <c r="J5446" i="2" s="1"/>
  <c r="J5447" i="2" s="1"/>
  <c r="J5448" i="2" s="1"/>
  <c r="J5449" i="2" s="1"/>
  <c r="J5450" i="2" s="1"/>
  <c r="J5451" i="2" s="1"/>
  <c r="J5452" i="2" s="1"/>
  <c r="J5453" i="2" s="1"/>
  <c r="J5454" i="2" s="1"/>
  <c r="J5455" i="2" s="1"/>
  <c r="J5456" i="2" s="1"/>
  <c r="J5457" i="2" s="1"/>
  <c r="J5458" i="2" s="1"/>
  <c r="J5459" i="2" s="1"/>
  <c r="J5460" i="2" s="1"/>
  <c r="J5461" i="2" s="1"/>
  <c r="J5462" i="2" s="1"/>
  <c r="J5463" i="2" s="1"/>
  <c r="J5464" i="2" s="1"/>
  <c r="J5465" i="2" s="1"/>
  <c r="J5466" i="2" s="1"/>
  <c r="J5467" i="2" s="1"/>
  <c r="J5468" i="2" s="1"/>
  <c r="J5469" i="2" s="1"/>
  <c r="J5470" i="2" s="1"/>
  <c r="J5471" i="2" s="1"/>
  <c r="J5472" i="2" s="1"/>
  <c r="J5473" i="2" s="1"/>
  <c r="J5474" i="2" s="1"/>
  <c r="J5475" i="2" s="1"/>
  <c r="J5476" i="2" s="1"/>
  <c r="J5477" i="2" s="1"/>
  <c r="J5478" i="2" s="1"/>
  <c r="J5479" i="2" s="1"/>
  <c r="J5480" i="2" s="1"/>
  <c r="J5481" i="2" s="1"/>
  <c r="J5482" i="2" s="1"/>
  <c r="J5483" i="2" s="1"/>
  <c r="J5484" i="2" s="1"/>
  <c r="J5485" i="2" s="1"/>
  <c r="J5486" i="2" s="1"/>
  <c r="J5487" i="2" s="1"/>
  <c r="J5488" i="2" s="1"/>
  <c r="J5489" i="2" s="1"/>
  <c r="J5490" i="2" s="1"/>
  <c r="J5491" i="2" s="1"/>
  <c r="J5492" i="2" s="1"/>
  <c r="J5493" i="2" s="1"/>
  <c r="J5494" i="2" s="1"/>
  <c r="J5495" i="2" s="1"/>
  <c r="J5496" i="2" s="1"/>
  <c r="J5497" i="2" s="1"/>
  <c r="J5498" i="2" s="1"/>
  <c r="J5499" i="2" s="1"/>
  <c r="J5500" i="2" s="1"/>
  <c r="J5501" i="2" s="1"/>
  <c r="J5502" i="2" s="1"/>
  <c r="J5503" i="2" s="1"/>
  <c r="J5504" i="2" s="1"/>
  <c r="J5505" i="2" s="1"/>
  <c r="J5506" i="2" s="1"/>
  <c r="J5507" i="2" s="1"/>
  <c r="J5508" i="2" s="1"/>
  <c r="J5509" i="2" s="1"/>
  <c r="J5510" i="2" s="1"/>
  <c r="J5511" i="2" s="1"/>
  <c r="J5512" i="2" s="1"/>
  <c r="J5513" i="2" s="1"/>
  <c r="J5514" i="2" s="1"/>
  <c r="J5515" i="2" s="1"/>
  <c r="J5516" i="2" s="1"/>
  <c r="J5517" i="2" s="1"/>
  <c r="J5518" i="2" s="1"/>
  <c r="J5519" i="2" s="1"/>
  <c r="J5520" i="2" s="1"/>
  <c r="J5521" i="2" s="1"/>
  <c r="J5522" i="2" s="1"/>
  <c r="J5523" i="2" s="1"/>
  <c r="J5524" i="2" s="1"/>
  <c r="J5525" i="2" s="1"/>
  <c r="J5526" i="2" s="1"/>
  <c r="J5527" i="2" s="1"/>
  <c r="J5528" i="2" s="1"/>
  <c r="J5529" i="2" s="1"/>
  <c r="J5530" i="2" s="1"/>
  <c r="J5531" i="2" s="1"/>
  <c r="J5532" i="2" s="1"/>
  <c r="J5533" i="2" s="1"/>
  <c r="J5534" i="2" s="1"/>
  <c r="J5535" i="2" s="1"/>
  <c r="J5536" i="2" s="1"/>
  <c r="J5537" i="2" s="1"/>
  <c r="J5538" i="2" s="1"/>
  <c r="J5539" i="2" s="1"/>
  <c r="J5540" i="2" s="1"/>
  <c r="J5541" i="2" s="1"/>
  <c r="J5542" i="2" s="1"/>
  <c r="J5543" i="2" s="1"/>
  <c r="J5544" i="2" s="1"/>
  <c r="J5545" i="2" s="1"/>
  <c r="J5546" i="2" s="1"/>
  <c r="J5547" i="2" s="1"/>
  <c r="J5548" i="2" s="1"/>
  <c r="J5549" i="2" s="1"/>
  <c r="J5550" i="2" s="1"/>
  <c r="J5551" i="2" s="1"/>
  <c r="J5552" i="2" s="1"/>
  <c r="J5553" i="2" s="1"/>
  <c r="J5554" i="2" s="1"/>
  <c r="J5555" i="2" s="1"/>
  <c r="J5556" i="2" s="1"/>
  <c r="J5557" i="2" s="1"/>
  <c r="J5558" i="2" s="1"/>
  <c r="J5559" i="2" s="1"/>
  <c r="J5560" i="2" s="1"/>
  <c r="J5561" i="2" s="1"/>
  <c r="J5562" i="2" s="1"/>
  <c r="J5563" i="2" s="1"/>
  <c r="J5564" i="2" s="1"/>
  <c r="J5565" i="2" s="1"/>
  <c r="J5566" i="2" s="1"/>
  <c r="J5567" i="2" s="1"/>
  <c r="J5568" i="2" s="1"/>
  <c r="J5569" i="2" s="1"/>
  <c r="J5570" i="2" s="1"/>
  <c r="J5571" i="2" s="1"/>
  <c r="J5572" i="2" s="1"/>
  <c r="J5573" i="2" s="1"/>
  <c r="J5574" i="2" s="1"/>
  <c r="J5575" i="2" s="1"/>
  <c r="J5576" i="2" s="1"/>
  <c r="J5577" i="2" s="1"/>
  <c r="J5578" i="2" s="1"/>
  <c r="J5579" i="2" s="1"/>
  <c r="J5580" i="2" s="1"/>
  <c r="J5581" i="2" s="1"/>
  <c r="J5582" i="2" s="1"/>
  <c r="J5583" i="2" s="1"/>
  <c r="J5584" i="2" s="1"/>
  <c r="J5585" i="2" s="1"/>
  <c r="J5586" i="2" s="1"/>
  <c r="J5587" i="2" s="1"/>
  <c r="J5588" i="2" s="1"/>
  <c r="J5589" i="2" s="1"/>
  <c r="J5590" i="2" s="1"/>
  <c r="J5591" i="2" s="1"/>
  <c r="J5592" i="2" s="1"/>
  <c r="J5593" i="2" s="1"/>
  <c r="J5594" i="2" s="1"/>
  <c r="J5595" i="2" s="1"/>
  <c r="J5596" i="2" s="1"/>
  <c r="J5597" i="2" s="1"/>
  <c r="J5598" i="2" s="1"/>
  <c r="J5599" i="2" s="1"/>
  <c r="J5600" i="2" s="1"/>
  <c r="J5601" i="2" s="1"/>
  <c r="J5602" i="2" s="1"/>
  <c r="J5603" i="2" s="1"/>
  <c r="J5604" i="2" s="1"/>
  <c r="J5605" i="2" s="1"/>
  <c r="J5606" i="2" s="1"/>
  <c r="J5607" i="2" s="1"/>
  <c r="J5608" i="2" s="1"/>
  <c r="J5609" i="2" s="1"/>
  <c r="J5610" i="2" s="1"/>
  <c r="J5611" i="2" s="1"/>
  <c r="J5612" i="2" s="1"/>
  <c r="J5613" i="2" s="1"/>
  <c r="J5614" i="2" s="1"/>
  <c r="J5615" i="2" s="1"/>
  <c r="J5616" i="2" s="1"/>
  <c r="J5617" i="2" s="1"/>
  <c r="J5618" i="2" s="1"/>
  <c r="J5619" i="2" s="1"/>
  <c r="J5620" i="2" s="1"/>
  <c r="J5621" i="2" s="1"/>
  <c r="J5622" i="2" s="1"/>
  <c r="J5623" i="2" s="1"/>
  <c r="J5624" i="2" s="1"/>
  <c r="J5625" i="2" s="1"/>
  <c r="J5626" i="2" s="1"/>
  <c r="J5627" i="2" s="1"/>
  <c r="J5628" i="2" s="1"/>
  <c r="J5629" i="2" s="1"/>
  <c r="J5630" i="2" s="1"/>
  <c r="J5631" i="2" s="1"/>
  <c r="J5632" i="2" s="1"/>
  <c r="J5633" i="2" s="1"/>
  <c r="J5634" i="2" s="1"/>
  <c r="J5635" i="2" s="1"/>
  <c r="J5636" i="2" s="1"/>
  <c r="J5637" i="2" s="1"/>
  <c r="J5638" i="2" s="1"/>
  <c r="J5639" i="2" s="1"/>
  <c r="J5640" i="2" s="1"/>
  <c r="J5641" i="2" s="1"/>
  <c r="J5642" i="2" s="1"/>
  <c r="J5643" i="2" s="1"/>
  <c r="J5644" i="2" s="1"/>
  <c r="J5645" i="2" s="1"/>
  <c r="J5646" i="2" s="1"/>
  <c r="J5647" i="2" s="1"/>
  <c r="J5648" i="2" s="1"/>
  <c r="J5649" i="2" s="1"/>
  <c r="J5650" i="2" s="1"/>
  <c r="J5651" i="2" s="1"/>
  <c r="J5652" i="2" s="1"/>
  <c r="J5653" i="2" s="1"/>
  <c r="J5654" i="2" s="1"/>
  <c r="J5655" i="2" s="1"/>
  <c r="J5656" i="2" s="1"/>
  <c r="J5657" i="2" s="1"/>
  <c r="J5658" i="2" s="1"/>
  <c r="J5659" i="2" s="1"/>
  <c r="J5660" i="2" s="1"/>
  <c r="J5661" i="2" s="1"/>
  <c r="J5662" i="2" s="1"/>
  <c r="J5663" i="2" s="1"/>
  <c r="J5664" i="2" s="1"/>
  <c r="J5665" i="2" s="1"/>
  <c r="J5666" i="2" s="1"/>
  <c r="J5667" i="2" s="1"/>
  <c r="J5668" i="2" s="1"/>
  <c r="J5669" i="2" s="1"/>
  <c r="J5670" i="2" s="1"/>
  <c r="J5671" i="2" s="1"/>
  <c r="J5672" i="2" s="1"/>
  <c r="J5673" i="2" s="1"/>
  <c r="J5674" i="2" s="1"/>
  <c r="J5675" i="2" s="1"/>
  <c r="J5676" i="2" s="1"/>
  <c r="J5677" i="2" s="1"/>
  <c r="J5678" i="2" s="1"/>
  <c r="J5679" i="2" s="1"/>
  <c r="J5680" i="2" s="1"/>
  <c r="J5681" i="2" s="1"/>
  <c r="J5682" i="2" s="1"/>
  <c r="J5683" i="2" s="1"/>
  <c r="J5684" i="2" s="1"/>
  <c r="J5685" i="2" s="1"/>
  <c r="J5686" i="2" s="1"/>
  <c r="J5687" i="2" s="1"/>
  <c r="J5688" i="2" s="1"/>
  <c r="J5689" i="2" s="1"/>
  <c r="J5690" i="2" s="1"/>
  <c r="J5691" i="2" s="1"/>
  <c r="J5692" i="2" s="1"/>
  <c r="J5693" i="2" s="1"/>
  <c r="J5694" i="2" s="1"/>
  <c r="J5695" i="2" s="1"/>
  <c r="J5696" i="2" s="1"/>
  <c r="J5697" i="2" s="1"/>
  <c r="J5698" i="2" s="1"/>
  <c r="J5699" i="2" s="1"/>
  <c r="J5700" i="2" s="1"/>
  <c r="J5701" i="2" s="1"/>
  <c r="J5702" i="2" s="1"/>
  <c r="J5703" i="2" s="1"/>
  <c r="J5704" i="2" s="1"/>
  <c r="J5705" i="2" s="1"/>
  <c r="J5706" i="2" s="1"/>
  <c r="J5707" i="2" s="1"/>
  <c r="J5708" i="2" s="1"/>
  <c r="J5709" i="2" s="1"/>
  <c r="J5710" i="2" s="1"/>
  <c r="J5711" i="2" s="1"/>
  <c r="J5712" i="2" s="1"/>
  <c r="J5713" i="2" s="1"/>
  <c r="J5714" i="2" s="1"/>
  <c r="J5715" i="2" s="1"/>
  <c r="J5716" i="2" s="1"/>
  <c r="J5717" i="2" s="1"/>
  <c r="J5718" i="2" s="1"/>
  <c r="J5719" i="2" s="1"/>
  <c r="J5720" i="2" s="1"/>
  <c r="J5721" i="2" s="1"/>
  <c r="J5722" i="2" s="1"/>
  <c r="J5723" i="2" s="1"/>
  <c r="J5724" i="2" s="1"/>
  <c r="J5725" i="2" s="1"/>
  <c r="J5726" i="2" s="1"/>
  <c r="J5727" i="2" s="1"/>
  <c r="J5728" i="2" s="1"/>
  <c r="J5729" i="2" s="1"/>
  <c r="J5730" i="2" s="1"/>
  <c r="J5731" i="2" s="1"/>
  <c r="J5732" i="2" s="1"/>
  <c r="J5733" i="2" s="1"/>
  <c r="J5734" i="2" s="1"/>
  <c r="J5735" i="2" s="1"/>
  <c r="J5736" i="2" s="1"/>
  <c r="J5737" i="2" s="1"/>
  <c r="J5738" i="2" s="1"/>
  <c r="J5739" i="2" s="1"/>
  <c r="J5740" i="2" s="1"/>
  <c r="J5741" i="2" s="1"/>
  <c r="J5742" i="2" s="1"/>
  <c r="J5743" i="2" s="1"/>
  <c r="J5744" i="2" s="1"/>
  <c r="J5745" i="2" s="1"/>
  <c r="J5746" i="2" s="1"/>
  <c r="J5747" i="2" s="1"/>
  <c r="J5748" i="2" s="1"/>
  <c r="J5749" i="2" s="1"/>
  <c r="J5750" i="2" s="1"/>
  <c r="J5751" i="2" s="1"/>
  <c r="J5752" i="2" s="1"/>
  <c r="J5753" i="2" s="1"/>
  <c r="J5754" i="2" s="1"/>
  <c r="J5755" i="2" s="1"/>
  <c r="J5756" i="2" s="1"/>
  <c r="J5757" i="2" s="1"/>
  <c r="J5758" i="2" s="1"/>
  <c r="J5759" i="2" s="1"/>
  <c r="J5760" i="2" s="1"/>
  <c r="J5761" i="2" s="1"/>
  <c r="J5762" i="2" s="1"/>
  <c r="J5763" i="2" s="1"/>
  <c r="J5764" i="2" s="1"/>
  <c r="J5765" i="2" s="1"/>
  <c r="J5766" i="2" s="1"/>
  <c r="J5767" i="2" s="1"/>
  <c r="J5768" i="2" s="1"/>
  <c r="J5769" i="2" s="1"/>
  <c r="J5770" i="2" s="1"/>
  <c r="J5771" i="2" s="1"/>
  <c r="J5772" i="2" s="1"/>
  <c r="J5773" i="2" s="1"/>
  <c r="J5774" i="2" s="1"/>
  <c r="J5775" i="2" s="1"/>
  <c r="J5776" i="2" s="1"/>
  <c r="J5777" i="2" s="1"/>
  <c r="J5778" i="2" s="1"/>
  <c r="J5779" i="2" s="1"/>
  <c r="J5780" i="2" s="1"/>
  <c r="J5781" i="2" s="1"/>
  <c r="J5782" i="2" s="1"/>
  <c r="J5783" i="2" s="1"/>
  <c r="J5784" i="2" s="1"/>
  <c r="J5785" i="2" s="1"/>
  <c r="J5786" i="2" s="1"/>
  <c r="J5787" i="2" s="1"/>
  <c r="J5788" i="2" s="1"/>
  <c r="J5789" i="2" s="1"/>
  <c r="J5790" i="2" s="1"/>
  <c r="J5791" i="2" s="1"/>
  <c r="J5792" i="2" s="1"/>
  <c r="J5793" i="2" s="1"/>
  <c r="J5794" i="2" s="1"/>
  <c r="J5795" i="2" s="1"/>
  <c r="J5796" i="2" s="1"/>
  <c r="J5797" i="2" s="1"/>
  <c r="J5798" i="2" s="1"/>
  <c r="J5799" i="2" s="1"/>
  <c r="J5800" i="2" s="1"/>
  <c r="J5801" i="2" s="1"/>
  <c r="J5802" i="2" s="1"/>
  <c r="J5803" i="2" s="1"/>
  <c r="J5804" i="2" s="1"/>
  <c r="J5805" i="2" s="1"/>
  <c r="J5806" i="2" s="1"/>
  <c r="J5807" i="2" s="1"/>
  <c r="J5808" i="2" s="1"/>
  <c r="J5809" i="2" s="1"/>
  <c r="J5810" i="2" s="1"/>
  <c r="J5811" i="2" s="1"/>
  <c r="J5812" i="2" s="1"/>
  <c r="J5813" i="2" s="1"/>
  <c r="J5814" i="2" s="1"/>
  <c r="J5815" i="2" s="1"/>
  <c r="J5816" i="2" s="1"/>
  <c r="J5817" i="2" s="1"/>
  <c r="J5818" i="2" s="1"/>
  <c r="J5819" i="2" s="1"/>
  <c r="J5820" i="2" s="1"/>
  <c r="J5821" i="2" s="1"/>
  <c r="J5822" i="2" s="1"/>
  <c r="J5823" i="2" s="1"/>
  <c r="J5824" i="2" s="1"/>
  <c r="J5825" i="2" s="1"/>
  <c r="J5826" i="2" s="1"/>
  <c r="J5827" i="2" s="1"/>
  <c r="J5828" i="2" s="1"/>
  <c r="J5829" i="2" s="1"/>
  <c r="J5830" i="2" s="1"/>
  <c r="J5831" i="2" s="1"/>
  <c r="J5832" i="2" s="1"/>
  <c r="J5833" i="2" s="1"/>
  <c r="J5834" i="2" s="1"/>
  <c r="J5835" i="2" s="1"/>
  <c r="J5836" i="2" s="1"/>
  <c r="J5837" i="2" s="1"/>
  <c r="J5838" i="2" s="1"/>
  <c r="J5839" i="2" s="1"/>
  <c r="J5840" i="2" s="1"/>
  <c r="J5841" i="2" s="1"/>
  <c r="J5842" i="2" s="1"/>
  <c r="J5843" i="2" s="1"/>
  <c r="J5844" i="2" s="1"/>
  <c r="J5845" i="2" s="1"/>
  <c r="J5846" i="2" s="1"/>
  <c r="J5847" i="2" s="1"/>
  <c r="J5848" i="2" s="1"/>
  <c r="J5849" i="2" s="1"/>
  <c r="J5850" i="2" s="1"/>
  <c r="J5851" i="2" s="1"/>
  <c r="J5852" i="2" s="1"/>
  <c r="J5853" i="2" s="1"/>
  <c r="J5854" i="2" s="1"/>
  <c r="J5855" i="2" s="1"/>
  <c r="J5856" i="2" s="1"/>
  <c r="J5857" i="2" s="1"/>
  <c r="J5858" i="2" s="1"/>
  <c r="J5859" i="2" s="1"/>
  <c r="J5860" i="2" s="1"/>
  <c r="J5861" i="2" s="1"/>
  <c r="J5862" i="2" s="1"/>
  <c r="J5863" i="2" s="1"/>
  <c r="J5864" i="2" s="1"/>
  <c r="J5865" i="2" s="1"/>
  <c r="J5866" i="2" s="1"/>
  <c r="J5867" i="2" s="1"/>
  <c r="J5868" i="2" s="1"/>
  <c r="J5869" i="2" s="1"/>
  <c r="J1070" i="2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Y844" i="4"/>
  <c r="O852" i="4"/>
  <c r="S852" i="4" s="1"/>
  <c r="X758" i="4"/>
  <c r="I829" i="4"/>
  <c r="X45" i="4"/>
  <c r="X335" i="4"/>
  <c r="X674" i="4"/>
  <c r="N714" i="4"/>
  <c r="R714" i="4" s="1"/>
  <c r="X738" i="4"/>
  <c r="Y741" i="4"/>
  <c r="X750" i="4"/>
  <c r="Y752" i="4"/>
  <c r="X766" i="4"/>
  <c r="X768" i="4"/>
  <c r="Y770" i="4"/>
  <c r="Y772" i="4"/>
  <c r="X774" i="4"/>
  <c r="Y776" i="4"/>
  <c r="Y784" i="4"/>
  <c r="Y789" i="4"/>
  <c r="X790" i="4"/>
  <c r="Y795" i="4"/>
  <c r="X796" i="4"/>
  <c r="X801" i="4"/>
  <c r="X802" i="4"/>
  <c r="Y803" i="4"/>
  <c r="X976" i="4"/>
  <c r="D62" i="6" s="1"/>
  <c r="Y980" i="4"/>
  <c r="D66" i="6" s="1"/>
  <c r="Y987" i="4"/>
  <c r="D73" i="6" s="1"/>
  <c r="X1007" i="4"/>
  <c r="D93" i="6" s="1"/>
  <c r="Y1015" i="4"/>
  <c r="D101" i="6" s="1"/>
  <c r="X1018" i="4"/>
  <c r="D104" i="6" s="1"/>
  <c r="X1020" i="4"/>
  <c r="D106" i="6" s="1"/>
  <c r="X1029" i="4"/>
  <c r="D115" i="6" s="1"/>
  <c r="X1031" i="4"/>
  <c r="D117" i="6" s="1"/>
  <c r="Y1033" i="4"/>
  <c r="D119" i="6" s="1"/>
  <c r="X1039" i="4"/>
  <c r="D124" i="6" s="1"/>
  <c r="Y1042" i="4"/>
  <c r="D127" i="6" s="1"/>
  <c r="Y1048" i="4"/>
  <c r="D133" i="6" s="1"/>
  <c r="X737" i="4"/>
  <c r="Y739" i="4"/>
  <c r="X744" i="4"/>
  <c r="Y746" i="4"/>
  <c r="Y749" i="4"/>
  <c r="X755" i="4"/>
  <c r="Y759" i="4"/>
  <c r="X762" i="4"/>
  <c r="X765" i="4"/>
  <c r="X773" i="4"/>
  <c r="X775" i="4"/>
  <c r="X778" i="4"/>
  <c r="X780" i="4"/>
  <c r="Y787" i="4"/>
  <c r="X788" i="4"/>
  <c r="X792" i="4"/>
  <c r="X793" i="4"/>
  <c r="Y794" i="4"/>
  <c r="Y826" i="4"/>
  <c r="D69" i="7" s="1"/>
  <c r="J68" i="12" s="1"/>
  <c r="Y851" i="4"/>
  <c r="Y856" i="4"/>
  <c r="D99" i="7" s="1"/>
  <c r="J98" i="12" s="1"/>
  <c r="X872" i="4"/>
  <c r="D115" i="7" s="1"/>
  <c r="Y874" i="4"/>
  <c r="D117" i="7" s="1"/>
  <c r="J116" i="12" s="1"/>
  <c r="X877" i="4"/>
  <c r="D120" i="7" s="1"/>
  <c r="J119" i="12" s="1"/>
  <c r="X880" i="4"/>
  <c r="D123" i="7" s="1"/>
  <c r="J122" i="12" s="1"/>
  <c r="X887" i="4"/>
  <c r="X888" i="4"/>
  <c r="D131" i="7" s="1"/>
  <c r="J130" i="12" s="1"/>
  <c r="Y890" i="4"/>
  <c r="D133" i="7" s="1"/>
  <c r="J132" i="12" s="1"/>
  <c r="X897" i="4"/>
  <c r="D140" i="7" s="1"/>
  <c r="J139" i="12" s="1"/>
  <c r="Y900" i="4"/>
  <c r="Y907" i="4"/>
  <c r="D150" i="7" s="1"/>
  <c r="J149" i="12" s="1"/>
  <c r="X909" i="4"/>
  <c r="D152" i="7" s="1"/>
  <c r="J151" i="12" s="1"/>
  <c r="X911" i="4"/>
  <c r="D154" i="7" s="1"/>
  <c r="J153" i="12" s="1"/>
  <c r="X916" i="4"/>
  <c r="X927" i="4"/>
  <c r="X928" i="4"/>
  <c r="Y950" i="4"/>
  <c r="D36" i="6" s="1"/>
  <c r="Y992" i="4"/>
  <c r="D78" i="6" s="1"/>
  <c r="Y994" i="4"/>
  <c r="D80" i="6" s="1"/>
  <c r="Y1028" i="4"/>
  <c r="D114" i="6" s="1"/>
  <c r="Y1030" i="4"/>
  <c r="D116" i="6" s="1"/>
  <c r="Y742" i="4"/>
  <c r="X753" i="4"/>
  <c r="X761" i="4"/>
  <c r="X764" i="4"/>
  <c r="Y767" i="4"/>
  <c r="Y769" i="4"/>
  <c r="X779" i="4"/>
  <c r="X782" i="4"/>
  <c r="X785" i="4"/>
  <c r="Y797" i="4"/>
  <c r="Y812" i="4"/>
  <c r="D55" i="7" s="1"/>
  <c r="Y813" i="4"/>
  <c r="D56" i="7" s="1"/>
  <c r="J55" i="12" s="1"/>
  <c r="Y816" i="4"/>
  <c r="D59" i="7" s="1"/>
  <c r="X818" i="4"/>
  <c r="Y824" i="4"/>
  <c r="D67" i="7" s="1"/>
  <c r="J66" i="12" s="1"/>
  <c r="Y839" i="4"/>
  <c r="Y848" i="4"/>
  <c r="Y891" i="4"/>
  <c r="D134" i="7" s="1"/>
  <c r="J133" i="12" s="1"/>
  <c r="X965" i="4"/>
  <c r="D51" i="6" s="1"/>
  <c r="X977" i="4"/>
  <c r="D63" i="6" s="1"/>
  <c r="Y996" i="4"/>
  <c r="D82" i="6" s="1"/>
  <c r="X781" i="4"/>
  <c r="X835" i="4"/>
  <c r="X27" i="4"/>
  <c r="D27" i="7" s="1"/>
  <c r="Y53" i="4"/>
  <c r="X56" i="4"/>
  <c r="Y62" i="4"/>
  <c r="Y70" i="4"/>
  <c r="Y78" i="4"/>
  <c r="Y86" i="4"/>
  <c r="Y94" i="4"/>
  <c r="Y875" i="4"/>
  <c r="D118" i="7" s="1"/>
  <c r="Y878" i="4"/>
  <c r="D121" i="7" s="1"/>
  <c r="J120" i="12" s="1"/>
  <c r="X881" i="4"/>
  <c r="D124" i="7" s="1"/>
  <c r="J123" i="12" s="1"/>
  <c r="Y889" i="4"/>
  <c r="D132" i="7" s="1"/>
  <c r="J131" i="12" s="1"/>
  <c r="X896" i="4"/>
  <c r="D139" i="7" s="1"/>
  <c r="X899" i="4"/>
  <c r="D142" i="7" s="1"/>
  <c r="J141" i="12" s="1"/>
  <c r="X910" i="4"/>
  <c r="D153" i="7" s="1"/>
  <c r="J152" i="12" s="1"/>
  <c r="Y912" i="4"/>
  <c r="D155" i="7" s="1"/>
  <c r="J154" i="12" s="1"/>
  <c r="Y923" i="4"/>
  <c r="Y925" i="4"/>
  <c r="X940" i="4"/>
  <c r="D26" i="6" s="1"/>
  <c r="Y949" i="4"/>
  <c r="D35" i="6" s="1"/>
  <c r="X954" i="4"/>
  <c r="D40" i="6" s="1"/>
  <c r="Y956" i="4"/>
  <c r="D42" i="6" s="1"/>
  <c r="Y964" i="4"/>
  <c r="D50" i="6" s="1"/>
  <c r="X974" i="4"/>
  <c r="D60" i="6" s="1"/>
  <c r="X985" i="4"/>
  <c r="D71" i="6" s="1"/>
  <c r="Y993" i="4"/>
  <c r="D79" i="6" s="1"/>
  <c r="Y1008" i="4"/>
  <c r="D94" i="6" s="1"/>
  <c r="X1017" i="4"/>
  <c r="D103" i="6" s="1"/>
  <c r="X1019" i="4"/>
  <c r="D105" i="6" s="1"/>
  <c r="Y1032" i="4"/>
  <c r="D118" i="6" s="1"/>
  <c r="X1040" i="4"/>
  <c r="D125" i="6" s="1"/>
  <c r="Y11" i="4"/>
  <c r="D10" i="7" s="1"/>
  <c r="J9" i="12" s="1"/>
  <c r="Y47" i="4"/>
  <c r="Y48" i="4"/>
  <c r="Y49" i="4"/>
  <c r="Y54" i="4"/>
  <c r="Y57" i="4"/>
  <c r="Y65" i="4"/>
  <c r="Y73" i="4"/>
  <c r="Y81" i="4"/>
  <c r="Y89" i="4"/>
  <c r="Y96" i="4"/>
  <c r="X10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X745" i="4"/>
  <c r="Y748" i="4"/>
  <c r="X811" i="4"/>
  <c r="D54" i="7" s="1"/>
  <c r="X815" i="4"/>
  <c r="D58" i="7" s="1"/>
  <c r="J57" i="12" s="1"/>
  <c r="Y837" i="4"/>
  <c r="Y873" i="4"/>
  <c r="D116" i="7" s="1"/>
  <c r="J115" i="12" s="1"/>
  <c r="X908" i="4"/>
  <c r="Y953" i="4"/>
  <c r="D39" i="6" s="1"/>
  <c r="X975" i="4"/>
  <c r="D61" i="6" s="1"/>
  <c r="Y1001" i="4"/>
  <c r="D87" i="6" s="1"/>
  <c r="Y59" i="4"/>
  <c r="Y423" i="4"/>
  <c r="Y63" i="4"/>
  <c r="Y71" i="4"/>
  <c r="Y79" i="4"/>
  <c r="Y87" i="4"/>
  <c r="Y107" i="4"/>
  <c r="Y955" i="4"/>
  <c r="D41" i="6" s="1"/>
  <c r="Y957" i="4"/>
  <c r="D43" i="6" s="1"/>
  <c r="X962" i="4"/>
  <c r="D48" i="6" s="1"/>
  <c r="Y972" i="4"/>
  <c r="D58" i="6" s="1"/>
  <c r="Y978" i="4"/>
  <c r="D64" i="6" s="1"/>
  <c r="X982" i="4"/>
  <c r="D68" i="6" s="1"/>
  <c r="X995" i="4"/>
  <c r="D81" i="6" s="1"/>
  <c r="Y997" i="4"/>
  <c r="D83" i="6" s="1"/>
  <c r="Y999" i="4"/>
  <c r="D85" i="6" s="1"/>
  <c r="X1002" i="4"/>
  <c r="D88" i="6" s="1"/>
  <c r="X1009" i="4"/>
  <c r="D95" i="6" s="1"/>
  <c r="X1016" i="4"/>
  <c r="D102" i="6" s="1"/>
  <c r="Y1027" i="4"/>
  <c r="D113" i="6" s="1"/>
  <c r="Y1041" i="4"/>
  <c r="D126" i="6" s="1"/>
  <c r="X1049" i="4"/>
  <c r="D134" i="6" s="1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590" i="4"/>
  <c r="Y592" i="4"/>
  <c r="Y594" i="4"/>
  <c r="Y596" i="4"/>
  <c r="Y598" i="4"/>
  <c r="Y600" i="4"/>
  <c r="Y603" i="4"/>
  <c r="X604" i="4"/>
  <c r="X608" i="4"/>
  <c r="Y611" i="4"/>
  <c r="Y612" i="4"/>
  <c r="Y613" i="4"/>
  <c r="Y614" i="4"/>
  <c r="Y615" i="4"/>
  <c r="Y616" i="4"/>
  <c r="Y617" i="4"/>
  <c r="Y619" i="4"/>
  <c r="Y620" i="4"/>
  <c r="Y623" i="4"/>
  <c r="Y625" i="4"/>
  <c r="Y627" i="4"/>
  <c r="Y628" i="4"/>
  <c r="Y629" i="4"/>
  <c r="Y630" i="4"/>
  <c r="Y631" i="4"/>
  <c r="Y632" i="4"/>
  <c r="Y633" i="4"/>
  <c r="Y981" i="4"/>
  <c r="D67" i="6" s="1"/>
  <c r="Y1010" i="4"/>
  <c r="D96" i="6" s="1"/>
  <c r="Y61" i="4"/>
  <c r="Y69" i="4"/>
  <c r="Y77" i="4"/>
  <c r="Y85" i="4"/>
  <c r="X90" i="4"/>
  <c r="Y95" i="4"/>
  <c r="Y103" i="4"/>
  <c r="Y106" i="4"/>
  <c r="Y108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1" i="4"/>
  <c r="Y593" i="4"/>
  <c r="Y595" i="4"/>
  <c r="Y597" i="4"/>
  <c r="Y599" i="4"/>
  <c r="Y601" i="4"/>
  <c r="Y602" i="4"/>
  <c r="Y605" i="4"/>
  <c r="Y607" i="4"/>
  <c r="Y609" i="4"/>
  <c r="Y618" i="4"/>
  <c r="Y621" i="4"/>
  <c r="Y622" i="4"/>
  <c r="Y624" i="4"/>
  <c r="Y626" i="4"/>
  <c r="Y979" i="4"/>
  <c r="D65" i="6" s="1"/>
  <c r="Y17" i="4"/>
  <c r="Y21" i="4"/>
  <c r="D21" i="7" s="1"/>
  <c r="J20" i="12" s="1"/>
  <c r="Y28" i="4"/>
  <c r="D28" i="7" s="1"/>
  <c r="Y33" i="4"/>
  <c r="D34" i="7" s="1"/>
  <c r="J33" i="12" s="1"/>
  <c r="Y37" i="4"/>
  <c r="D38" i="7" s="1"/>
  <c r="J37" i="12" s="1"/>
  <c r="Y60" i="4"/>
  <c r="Y68" i="4"/>
  <c r="Y76" i="4"/>
  <c r="Y84" i="4"/>
  <c r="Y92" i="4"/>
  <c r="Y97" i="4"/>
  <c r="X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X747" i="4"/>
  <c r="X751" i="4"/>
  <c r="X760" i="4"/>
  <c r="R240" i="3"/>
  <c r="R185" i="3"/>
  <c r="X847" i="4"/>
  <c r="D90" i="7" s="1"/>
  <c r="J89" i="12" s="1"/>
  <c r="Y16" i="4"/>
  <c r="Y20" i="4"/>
  <c r="D20" i="7" s="1"/>
  <c r="J19" i="12" s="1"/>
  <c r="Y46" i="4"/>
  <c r="X51" i="4"/>
  <c r="Y75" i="4"/>
  <c r="X763" i="4"/>
  <c r="X771" i="4"/>
  <c r="Y777" i="4"/>
  <c r="Y783" i="4"/>
  <c r="X786" i="4"/>
  <c r="Y798" i="4"/>
  <c r="Y799" i="4"/>
  <c r="Y814" i="4"/>
  <c r="D57" i="7" s="1"/>
  <c r="J56" i="12" s="1"/>
  <c r="X817" i="4"/>
  <c r="D60" i="7" s="1"/>
  <c r="J59" i="12" s="1"/>
  <c r="X825" i="4"/>
  <c r="D68" i="7" s="1"/>
  <c r="J67" i="12" s="1"/>
  <c r="X836" i="4"/>
  <c r="X840" i="4"/>
  <c r="Y846" i="4"/>
  <c r="X849" i="4"/>
  <c r="D92" i="7" s="1"/>
  <c r="J91" i="12" s="1"/>
  <c r="Y866" i="4"/>
  <c r="D109" i="7" s="1"/>
  <c r="Y879" i="4"/>
  <c r="D122" i="7" s="1"/>
  <c r="J121" i="12" s="1"/>
  <c r="X882" i="4"/>
  <c r="D125" i="7" s="1"/>
  <c r="Y898" i="4"/>
  <c r="D141" i="7" s="1"/>
  <c r="J140" i="12" s="1"/>
  <c r="Y915" i="4"/>
  <c r="D159" i="7" s="1"/>
  <c r="J158" i="12" s="1"/>
  <c r="X922" i="4"/>
  <c r="Y926" i="4"/>
  <c r="X929" i="4"/>
  <c r="Y938" i="4"/>
  <c r="D24" i="6" s="1"/>
  <c r="Y941" i="4"/>
  <c r="D27" i="6" s="1"/>
  <c r="X942" i="4"/>
  <c r="D28" i="6" s="1"/>
  <c r="X951" i="4"/>
  <c r="D37" i="6" s="1"/>
  <c r="Y952" i="4"/>
  <c r="D38" i="6" s="1"/>
  <c r="F37" i="8" s="1"/>
  <c r="X973" i="4"/>
  <c r="D59" i="6" s="1"/>
  <c r="Y984" i="4"/>
  <c r="D70" i="6" s="1"/>
  <c r="X986" i="4"/>
  <c r="D72" i="6" s="1"/>
  <c r="X998" i="4"/>
  <c r="D84" i="6" s="1"/>
  <c r="Y1000" i="4"/>
  <c r="D86" i="6" s="1"/>
  <c r="Y1047" i="4"/>
  <c r="D132" i="6" s="1"/>
  <c r="X1050" i="4"/>
  <c r="D135" i="6" s="1"/>
  <c r="X740" i="4"/>
  <c r="Y743" i="4"/>
  <c r="X754" i="4"/>
  <c r="Y791" i="4"/>
  <c r="Y800" i="4"/>
  <c r="Y819" i="4"/>
  <c r="D62" i="7" s="1"/>
  <c r="X838" i="4"/>
  <c r="Y841" i="4"/>
  <c r="Y845" i="4"/>
  <c r="X850" i="4"/>
  <c r="D93" i="7" s="1"/>
  <c r="J92" i="12" s="1"/>
  <c r="X924" i="4"/>
  <c r="X930" i="4"/>
  <c r="Y963" i="4"/>
  <c r="D49" i="6" s="1"/>
  <c r="Y983" i="4"/>
  <c r="D69" i="6" s="1"/>
  <c r="Y14" i="4"/>
  <c r="Y18" i="4"/>
  <c r="Y22" i="4"/>
  <c r="D22" i="7" s="1"/>
  <c r="J21" i="12" s="1"/>
  <c r="Y34" i="4"/>
  <c r="Y52" i="4"/>
  <c r="X55" i="4"/>
  <c r="X58" i="4"/>
  <c r="Y66" i="4"/>
  <c r="Y74" i="4"/>
  <c r="Y82" i="4"/>
  <c r="Y104" i="4"/>
  <c r="Y110" i="4"/>
  <c r="Y15" i="4"/>
  <c r="Y19" i="4"/>
  <c r="Y31" i="4"/>
  <c r="D32" i="7" s="1"/>
  <c r="J31" i="12" s="1"/>
  <c r="Y35" i="4"/>
  <c r="D36" i="7" s="1"/>
  <c r="J35" i="12" s="1"/>
  <c r="Y64" i="4"/>
  <c r="Y72" i="4"/>
  <c r="Y80" i="4"/>
  <c r="Y88" i="4"/>
  <c r="X93" i="4"/>
  <c r="X98" i="4"/>
  <c r="X100" i="4"/>
  <c r="X105" i="4"/>
  <c r="Y111" i="4"/>
  <c r="R234" i="3"/>
  <c r="R168" i="3"/>
  <c r="Y67" i="4"/>
  <c r="Y109" i="4"/>
  <c r="N757" i="4"/>
  <c r="R757" i="4" s="1"/>
  <c r="N44" i="4"/>
  <c r="R44" i="4" s="1"/>
  <c r="N842" i="4"/>
  <c r="N673" i="4"/>
  <c r="X715" i="4"/>
  <c r="O673" i="4"/>
  <c r="J807" i="4"/>
  <c r="J829" i="4" s="1"/>
  <c r="J861" i="4" s="1"/>
  <c r="O861" i="4" s="1"/>
  <c r="S861" i="4" s="1"/>
  <c r="Y948" i="4" l="1"/>
  <c r="Y958" i="4" s="1"/>
  <c r="S958" i="4"/>
  <c r="R966" i="4"/>
  <c r="X961" i="4"/>
  <c r="R1011" i="4"/>
  <c r="X1006" i="4"/>
  <c r="S1051" i="4"/>
  <c r="Y1046" i="4"/>
  <c r="Y1051" i="4" s="1"/>
  <c r="S827" i="4"/>
  <c r="Y823" i="4"/>
  <c r="X871" i="4"/>
  <c r="S913" i="4"/>
  <c r="S917" i="4" s="1"/>
  <c r="Y914" i="4"/>
  <c r="S1034" i="4"/>
  <c r="Y1026" i="4"/>
  <c r="Y1034" i="4" s="1"/>
  <c r="R958" i="4"/>
  <c r="X948" i="4"/>
  <c r="R988" i="4"/>
  <c r="X971" i="4"/>
  <c r="R1021" i="4"/>
  <c r="X1014" i="4"/>
  <c r="Y805" i="4"/>
  <c r="X823" i="4"/>
  <c r="D66" i="7" s="1"/>
  <c r="R827" i="4"/>
  <c r="S868" i="4"/>
  <c r="Y865" i="4"/>
  <c r="Y871" i="4"/>
  <c r="S901" i="4"/>
  <c r="Y895" i="4"/>
  <c r="X914" i="4"/>
  <c r="X913" i="4" s="1"/>
  <c r="R913" i="4"/>
  <c r="R917" i="4" s="1"/>
  <c r="S988" i="4"/>
  <c r="Y971" i="4"/>
  <c r="Y988" i="4" s="1"/>
  <c r="R1043" i="4"/>
  <c r="X1038" i="4"/>
  <c r="X1043" i="4" s="1"/>
  <c r="R1051" i="4"/>
  <c r="X1046" i="4"/>
  <c r="E939" i="4"/>
  <c r="I5879" i="2"/>
  <c r="R9" i="4"/>
  <c r="X10" i="4"/>
  <c r="S9" i="4"/>
  <c r="Y10" i="4"/>
  <c r="Y9" i="4" s="1"/>
  <c r="R12" i="4"/>
  <c r="R23" i="4" s="1"/>
  <c r="X13" i="4"/>
  <c r="S12" i="4"/>
  <c r="S23" i="4" s="1"/>
  <c r="Y13" i="4"/>
  <c r="Y12" i="4" s="1"/>
  <c r="R25" i="4"/>
  <c r="X26" i="4"/>
  <c r="S25" i="4"/>
  <c r="Y26" i="4"/>
  <c r="R29" i="4"/>
  <c r="X30" i="4"/>
  <c r="S29" i="4"/>
  <c r="Y30" i="4"/>
  <c r="Y29" i="4" s="1"/>
  <c r="R39" i="4"/>
  <c r="R41" i="4" s="1"/>
  <c r="X40" i="4"/>
  <c r="S39" i="4"/>
  <c r="S41" i="4" s="1"/>
  <c r="Y40" i="4"/>
  <c r="Y39" i="4" s="1"/>
  <c r="R820" i="4"/>
  <c r="X810" i="4"/>
  <c r="AE834" i="4"/>
  <c r="X842" i="4"/>
  <c r="R857" i="4"/>
  <c r="X855" i="4"/>
  <c r="R892" i="4"/>
  <c r="R901" i="4"/>
  <c r="X895" i="4"/>
  <c r="X901" i="4" s="1"/>
  <c r="S931" i="4"/>
  <c r="Y921" i="4"/>
  <c r="R1003" i="4"/>
  <c r="X991" i="4"/>
  <c r="S1043" i="4"/>
  <c r="Y1038" i="4"/>
  <c r="S1003" i="4"/>
  <c r="Y991" i="4"/>
  <c r="Y1003" i="4" s="1"/>
  <c r="S1011" i="4"/>
  <c r="Y1006" i="4"/>
  <c r="Y1011" i="4" s="1"/>
  <c r="X1026" i="4"/>
  <c r="R1034" i="4"/>
  <c r="R807" i="4"/>
  <c r="X805" i="4"/>
  <c r="S820" i="4"/>
  <c r="Y820" i="4" s="1"/>
  <c r="Y810" i="4"/>
  <c r="Y834" i="4"/>
  <c r="S842" i="4"/>
  <c r="Y855" i="4"/>
  <c r="S857" i="4"/>
  <c r="Y857" i="4" s="1"/>
  <c r="X865" i="4"/>
  <c r="X868" i="4" s="1"/>
  <c r="R868" i="4"/>
  <c r="X921" i="4"/>
  <c r="X931" i="4" s="1"/>
  <c r="R931" i="4"/>
  <c r="S966" i="4"/>
  <c r="Y961" i="4"/>
  <c r="Y966" i="4" s="1"/>
  <c r="S1021" i="4"/>
  <c r="Y1014" i="4"/>
  <c r="Y1021" i="4" s="1"/>
  <c r="I883" i="4"/>
  <c r="I903" i="4" s="1"/>
  <c r="N876" i="4"/>
  <c r="J883" i="4"/>
  <c r="J903" i="4" s="1"/>
  <c r="O876" i="4"/>
  <c r="S886" i="4"/>
  <c r="X886" i="4" s="1"/>
  <c r="X892" i="4" s="1"/>
  <c r="O892" i="4"/>
  <c r="Q683" i="3"/>
  <c r="P682" i="3"/>
  <c r="Q9" i="3"/>
  <c r="P7" i="3"/>
  <c r="R300" i="3"/>
  <c r="R297" i="3" s="1"/>
  <c r="H5871" i="2" s="1"/>
  <c r="Q297" i="3"/>
  <c r="E935" i="4"/>
  <c r="F12" i="8"/>
  <c r="H12" i="8" s="1"/>
  <c r="Z12" i="11"/>
  <c r="AB12" i="11" s="1"/>
  <c r="F13" i="8"/>
  <c r="Z13" i="11"/>
  <c r="AB13" i="11" s="1"/>
  <c r="S905" i="4"/>
  <c r="Y906" i="4"/>
  <c r="R905" i="4"/>
  <c r="X906" i="4"/>
  <c r="X905" i="4" s="1"/>
  <c r="Z7" i="11"/>
  <c r="AB7" i="11" s="1"/>
  <c r="F7" i="8"/>
  <c r="H7" i="8" s="1"/>
  <c r="F14" i="8"/>
  <c r="Z14" i="11"/>
  <c r="AB14" i="11" s="1"/>
  <c r="F9" i="8"/>
  <c r="H9" i="8" s="1"/>
  <c r="Z9" i="11"/>
  <c r="AB9" i="11" s="1"/>
  <c r="Q641" i="3"/>
  <c r="P639" i="3"/>
  <c r="D87" i="7"/>
  <c r="AE844" i="4"/>
  <c r="X852" i="4"/>
  <c r="Y852" i="4"/>
  <c r="F61" i="8"/>
  <c r="H61" i="8" s="1"/>
  <c r="Z61" i="11"/>
  <c r="AB61" i="11" s="1"/>
  <c r="F65" i="8"/>
  <c r="H65" i="8" s="1"/>
  <c r="Z65" i="11"/>
  <c r="AB65" i="11" s="1"/>
  <c r="F72" i="8"/>
  <c r="Z72" i="11"/>
  <c r="AB72" i="11" s="1"/>
  <c r="F92" i="8"/>
  <c r="H92" i="8" s="1"/>
  <c r="Z92" i="11"/>
  <c r="AB92" i="11" s="1"/>
  <c r="Z100" i="11"/>
  <c r="AB100" i="11" s="1"/>
  <c r="F100" i="8"/>
  <c r="Z103" i="11"/>
  <c r="AB103" i="11" s="1"/>
  <c r="F103" i="8"/>
  <c r="F105" i="8"/>
  <c r="Z105" i="11"/>
  <c r="AB105" i="11" s="1"/>
  <c r="Z114" i="11"/>
  <c r="AB114" i="11" s="1"/>
  <c r="F114" i="8"/>
  <c r="H114" i="8" s="1"/>
  <c r="F116" i="8"/>
  <c r="H116" i="8" s="1"/>
  <c r="Z116" i="11"/>
  <c r="AB116" i="11" s="1"/>
  <c r="Z118" i="11"/>
  <c r="AB118" i="11" s="1"/>
  <c r="F118" i="8"/>
  <c r="H118" i="8" s="1"/>
  <c r="F123" i="8"/>
  <c r="Z123" i="11"/>
  <c r="AB123" i="11" s="1"/>
  <c r="Z126" i="11"/>
  <c r="AB126" i="11" s="1"/>
  <c r="F126" i="8"/>
  <c r="Z132" i="11"/>
  <c r="AB132" i="11" s="1"/>
  <c r="F132" i="8"/>
  <c r="D94" i="7"/>
  <c r="J93" i="12" s="1"/>
  <c r="AE851" i="4"/>
  <c r="J114" i="12"/>
  <c r="D143" i="7"/>
  <c r="J142" i="12" s="1"/>
  <c r="Z35" i="11"/>
  <c r="AB35" i="11" s="1"/>
  <c r="F35" i="8"/>
  <c r="F77" i="8"/>
  <c r="H77" i="8" s="1"/>
  <c r="Z77" i="11"/>
  <c r="AB77" i="11" s="1"/>
  <c r="Z79" i="11"/>
  <c r="AB79" i="11" s="1"/>
  <c r="F79" i="8"/>
  <c r="Z113" i="11"/>
  <c r="AB113" i="11" s="1"/>
  <c r="F113" i="8"/>
  <c r="H113" i="8" s="1"/>
  <c r="F115" i="8"/>
  <c r="Z115" i="11"/>
  <c r="AB115" i="11" s="1"/>
  <c r="J54" i="12"/>
  <c r="J58" i="12"/>
  <c r="D61" i="7"/>
  <c r="J60" i="12" s="1"/>
  <c r="AC848" i="4"/>
  <c r="AE848" i="4" s="1"/>
  <c r="D91" i="7"/>
  <c r="J90" i="12" s="1"/>
  <c r="Z50" i="11"/>
  <c r="AB50" i="11" s="1"/>
  <c r="F50" i="8"/>
  <c r="F62" i="8"/>
  <c r="H62" i="8" s="1"/>
  <c r="Z62" i="11"/>
  <c r="AB62" i="11" s="1"/>
  <c r="Z81" i="11"/>
  <c r="AB81" i="11" s="1"/>
  <c r="F81" i="8"/>
  <c r="D78" i="7"/>
  <c r="J77" i="12" s="1"/>
  <c r="AE835" i="4"/>
  <c r="J26" i="12"/>
  <c r="J117" i="12"/>
  <c r="J138" i="12"/>
  <c r="D9" i="6"/>
  <c r="AB923" i="4"/>
  <c r="AB925" i="4"/>
  <c r="D11" i="6"/>
  <c r="Z25" i="11"/>
  <c r="F25" i="8"/>
  <c r="Z34" i="11"/>
  <c r="AB34" i="11" s="1"/>
  <c r="F34" i="8"/>
  <c r="H34" i="8" s="1"/>
  <c r="Z39" i="11"/>
  <c r="AB39" i="11" s="1"/>
  <c r="F39" i="8"/>
  <c r="H39" i="8" s="1"/>
  <c r="Z41" i="11"/>
  <c r="AB41" i="11" s="1"/>
  <c r="F41" i="8"/>
  <c r="H41" i="8" s="1"/>
  <c r="Z49" i="11"/>
  <c r="AB49" i="11" s="1"/>
  <c r="F49" i="8"/>
  <c r="H49" i="8" s="1"/>
  <c r="Z59" i="11"/>
  <c r="AB59" i="11" s="1"/>
  <c r="F59" i="8"/>
  <c r="H59" i="8" s="1"/>
  <c r="Z70" i="11"/>
  <c r="AB70" i="11" s="1"/>
  <c r="F70" i="8"/>
  <c r="H70" i="8" s="1"/>
  <c r="Z78" i="11"/>
  <c r="AB78" i="11" s="1"/>
  <c r="F78" i="8"/>
  <c r="H78" i="8" s="1"/>
  <c r="F93" i="8"/>
  <c r="H93" i="8" s="1"/>
  <c r="Z93" i="11"/>
  <c r="AB93" i="11" s="1"/>
  <c r="F102" i="8"/>
  <c r="Z102" i="11"/>
  <c r="AB102" i="11" s="1"/>
  <c r="Z104" i="11"/>
  <c r="AB104" i="11" s="1"/>
  <c r="F104" i="8"/>
  <c r="Z117" i="11"/>
  <c r="AB117" i="11" s="1"/>
  <c r="F117" i="8"/>
  <c r="H117" i="8" s="1"/>
  <c r="F124" i="8"/>
  <c r="H124" i="8" s="1"/>
  <c r="Z124" i="11"/>
  <c r="AB124" i="11" s="1"/>
  <c r="J53" i="12"/>
  <c r="Z38" i="11"/>
  <c r="AB38" i="11" s="1"/>
  <c r="F38" i="8"/>
  <c r="H38" i="8" s="1"/>
  <c r="Z60" i="11"/>
  <c r="AB60" i="11" s="1"/>
  <c r="F60" i="8"/>
  <c r="H60" i="8" s="1"/>
  <c r="F86" i="8"/>
  <c r="H86" i="8" s="1"/>
  <c r="Z86" i="11"/>
  <c r="AB86" i="11" s="1"/>
  <c r="F40" i="8"/>
  <c r="H40" i="8" s="1"/>
  <c r="Z40" i="11"/>
  <c r="AB40" i="11" s="1"/>
  <c r="Z42" i="11"/>
  <c r="AB42" i="11" s="1"/>
  <c r="F42" i="8"/>
  <c r="H42" i="8" s="1"/>
  <c r="F47" i="8"/>
  <c r="H47" i="8" s="1"/>
  <c r="Z47" i="11"/>
  <c r="AB47" i="11" s="1"/>
  <c r="F57" i="8"/>
  <c r="Z57" i="11"/>
  <c r="AB57" i="11" s="1"/>
  <c r="Z63" i="11"/>
  <c r="AB63" i="11" s="1"/>
  <c r="F63" i="8"/>
  <c r="Z67" i="11"/>
  <c r="AB67" i="11" s="1"/>
  <c r="F67" i="8"/>
  <c r="Z80" i="11"/>
  <c r="AB80" i="11" s="1"/>
  <c r="F80" i="8"/>
  <c r="H80" i="8" s="1"/>
  <c r="Z82" i="11"/>
  <c r="AB82" i="11" s="1"/>
  <c r="F82" i="8"/>
  <c r="H82" i="8" s="1"/>
  <c r="F84" i="8"/>
  <c r="Z84" i="11"/>
  <c r="AB84" i="11" s="1"/>
  <c r="F87" i="8"/>
  <c r="H87" i="8" s="1"/>
  <c r="Z87" i="11"/>
  <c r="AB87" i="11" s="1"/>
  <c r="Z94" i="11"/>
  <c r="AB94" i="11" s="1"/>
  <c r="F94" i="8"/>
  <c r="H94" i="8" s="1"/>
  <c r="F101" i="8"/>
  <c r="Z101" i="11"/>
  <c r="AB101" i="11" s="1"/>
  <c r="F112" i="8"/>
  <c r="H112" i="8" s="1"/>
  <c r="Z112" i="11"/>
  <c r="AB112" i="11" s="1"/>
  <c r="Z125" i="11"/>
  <c r="AB125" i="11" s="1"/>
  <c r="F125" i="8"/>
  <c r="Z133" i="11"/>
  <c r="AB133" i="11" s="1"/>
  <c r="F133" i="8"/>
  <c r="Z66" i="11"/>
  <c r="AB66" i="11" s="1"/>
  <c r="F66" i="8"/>
  <c r="F95" i="8"/>
  <c r="H95" i="8" s="1"/>
  <c r="Z95" i="11"/>
  <c r="AB95" i="11" s="1"/>
  <c r="Z64" i="11"/>
  <c r="AB64" i="11" s="1"/>
  <c r="F64" i="8"/>
  <c r="H64" i="8" s="1"/>
  <c r="J27" i="12"/>
  <c r="AE836" i="4"/>
  <c r="D79" i="7"/>
  <c r="J78" i="12" s="1"/>
  <c r="D83" i="7"/>
  <c r="J82" i="12" s="1"/>
  <c r="AE840" i="4"/>
  <c r="D89" i="7"/>
  <c r="J88" i="12" s="1"/>
  <c r="AE846" i="4"/>
  <c r="J108" i="12"/>
  <c r="J124" i="12"/>
  <c r="D12" i="6"/>
  <c r="AB926" i="4"/>
  <c r="Z23" i="11"/>
  <c r="F23" i="8"/>
  <c r="F26" i="8"/>
  <c r="Z26" i="11"/>
  <c r="Z27" i="11"/>
  <c r="F27" i="8"/>
  <c r="F36" i="8"/>
  <c r="H36" i="8" s="1"/>
  <c r="Z36" i="11"/>
  <c r="AB36" i="11" s="1"/>
  <c r="Z58" i="11"/>
  <c r="AB58" i="11" s="1"/>
  <c r="F58" i="8"/>
  <c r="H58" i="8" s="1"/>
  <c r="Z69" i="11"/>
  <c r="AB69" i="11" s="1"/>
  <c r="F69" i="8"/>
  <c r="H69" i="8" s="1"/>
  <c r="Z71" i="11"/>
  <c r="AB71" i="11" s="1"/>
  <c r="F71" i="8"/>
  <c r="H71" i="8" s="1"/>
  <c r="Z83" i="11"/>
  <c r="AB83" i="11" s="1"/>
  <c r="F83" i="8"/>
  <c r="F85" i="8"/>
  <c r="Z85" i="11"/>
  <c r="AB85" i="11" s="1"/>
  <c r="Z131" i="11"/>
  <c r="AB131" i="11" s="1"/>
  <c r="F131" i="8"/>
  <c r="H131" i="8" s="1"/>
  <c r="F134" i="8"/>
  <c r="Z134" i="11"/>
  <c r="AB134" i="11" s="1"/>
  <c r="J61" i="12"/>
  <c r="AC838" i="4"/>
  <c r="AE838" i="4" s="1"/>
  <c r="D81" i="7"/>
  <c r="J80" i="12" s="1"/>
  <c r="D88" i="7"/>
  <c r="J87" i="12" s="1"/>
  <c r="AE845" i="4"/>
  <c r="D16" i="6"/>
  <c r="AB930" i="4"/>
  <c r="F48" i="8"/>
  <c r="H48" i="8" s="1"/>
  <c r="Z48" i="11"/>
  <c r="AB48" i="11" s="1"/>
  <c r="Z68" i="11"/>
  <c r="AB68" i="11" s="1"/>
  <c r="F68" i="8"/>
  <c r="H68" i="8" s="1"/>
  <c r="Y757" i="4"/>
  <c r="X757" i="4"/>
  <c r="O829" i="4"/>
  <c r="X859" i="4"/>
  <c r="N861" i="4"/>
  <c r="R861" i="4" s="1"/>
  <c r="Q304" i="3"/>
  <c r="R304" i="3" s="1"/>
  <c r="P297" i="3"/>
  <c r="R673" i="4"/>
  <c r="N807" i="4"/>
  <c r="N829" i="4" s="1"/>
  <c r="X966" i="4" l="1"/>
  <c r="D47" i="6"/>
  <c r="D92" i="6"/>
  <c r="X1011" i="4"/>
  <c r="Y827" i="4"/>
  <c r="Y913" i="4"/>
  <c r="Y917" i="4" s="1"/>
  <c r="D158" i="7"/>
  <c r="X958" i="4"/>
  <c r="D34" i="6"/>
  <c r="D57" i="6"/>
  <c r="X988" i="4"/>
  <c r="X1021" i="4"/>
  <c r="D100" i="6"/>
  <c r="D70" i="7"/>
  <c r="J65" i="12"/>
  <c r="J69" i="12" s="1"/>
  <c r="R829" i="4"/>
  <c r="X827" i="4"/>
  <c r="Y868" i="4"/>
  <c r="D108" i="7"/>
  <c r="D114" i="7"/>
  <c r="Y901" i="4"/>
  <c r="D138" i="7"/>
  <c r="D131" i="6"/>
  <c r="X1051" i="4"/>
  <c r="J939" i="4"/>
  <c r="O939" i="4" s="1"/>
  <c r="S939" i="4" s="1"/>
  <c r="Y939" i="4" s="1"/>
  <c r="I939" i="4"/>
  <c r="N939" i="4" s="1"/>
  <c r="R939" i="4" s="1"/>
  <c r="X939" i="4" s="1"/>
  <c r="D25" i="6" s="1"/>
  <c r="AB10" i="4"/>
  <c r="D9" i="7"/>
  <c r="X9" i="4"/>
  <c r="D13" i="7"/>
  <c r="X12" i="4"/>
  <c r="X23" i="4" s="1"/>
  <c r="D26" i="7"/>
  <c r="D25" i="7" s="1"/>
  <c r="X25" i="4"/>
  <c r="J25" i="12"/>
  <c r="J24" i="12" s="1"/>
  <c r="Y25" i="4"/>
  <c r="Y41" i="4" s="1"/>
  <c r="D31" i="7"/>
  <c r="X29" i="4"/>
  <c r="X39" i="4"/>
  <c r="AB921" i="4"/>
  <c r="D7" i="6"/>
  <c r="Y931" i="4"/>
  <c r="D77" i="6"/>
  <c r="X1003" i="4"/>
  <c r="Y1043" i="4"/>
  <c r="D123" i="6"/>
  <c r="X1034" i="4"/>
  <c r="D112" i="6"/>
  <c r="D48" i="7"/>
  <c r="J47" i="12" s="1"/>
  <c r="N883" i="4"/>
  <c r="N903" i="4" s="1"/>
  <c r="R876" i="4"/>
  <c r="O883" i="4"/>
  <c r="O903" i="4" s="1"/>
  <c r="S876" i="4"/>
  <c r="S892" i="4"/>
  <c r="Y886" i="4"/>
  <c r="R683" i="3"/>
  <c r="R682" i="3" s="1"/>
  <c r="H5873" i="2" s="1"/>
  <c r="Q682" i="3"/>
  <c r="R9" i="3"/>
  <c r="R7" i="3" s="1"/>
  <c r="H5870" i="2" s="1"/>
  <c r="Q7" i="3"/>
  <c r="J935" i="4"/>
  <c r="I935" i="4"/>
  <c r="N935" i="4" s="1"/>
  <c r="R935" i="4" s="1"/>
  <c r="Y905" i="4"/>
  <c r="D149" i="7"/>
  <c r="J148" i="12" s="1"/>
  <c r="R641" i="3"/>
  <c r="R639" i="3" s="1"/>
  <c r="H5872" i="2" s="1"/>
  <c r="Q639" i="3"/>
  <c r="J86" i="12"/>
  <c r="J94" i="12" s="1"/>
  <c r="D95" i="7"/>
  <c r="F8" i="8"/>
  <c r="H8" i="8" s="1"/>
  <c r="Z8" i="11"/>
  <c r="AB8" i="11" s="1"/>
  <c r="F10" i="8"/>
  <c r="H10" i="8" s="1"/>
  <c r="Z10" i="11"/>
  <c r="AB10" i="11" s="1"/>
  <c r="AB25" i="11"/>
  <c r="H25" i="8"/>
  <c r="F11" i="8"/>
  <c r="Z11" i="11"/>
  <c r="AB11" i="11" s="1"/>
  <c r="AB23" i="11"/>
  <c r="H23" i="8"/>
  <c r="H26" i="8"/>
  <c r="AB26" i="11"/>
  <c r="AB27" i="11"/>
  <c r="H27" i="8"/>
  <c r="Z15" i="11"/>
  <c r="AB15" i="11" s="1"/>
  <c r="F15" i="8"/>
  <c r="H15" i="8" s="1"/>
  <c r="S726" i="3"/>
  <c r="T726" i="3" s="1"/>
  <c r="D49" i="7"/>
  <c r="J48" i="12" s="1"/>
  <c r="Y861" i="4"/>
  <c r="X861" i="4"/>
  <c r="X917" i="4"/>
  <c r="Y23" i="4"/>
  <c r="X820" i="4"/>
  <c r="D53" i="7"/>
  <c r="X857" i="4"/>
  <c r="D98" i="7"/>
  <c r="Y842" i="4"/>
  <c r="D77" i="7"/>
  <c r="I5876" i="2"/>
  <c r="Q334" i="4"/>
  <c r="S334" i="4" s="1"/>
  <c r="D52" i="6" l="1"/>
  <c r="F46" i="8"/>
  <c r="Z46" i="11"/>
  <c r="D97" i="6"/>
  <c r="F91" i="8"/>
  <c r="F96" i="8" s="1"/>
  <c r="Z91" i="11"/>
  <c r="D157" i="7"/>
  <c r="J157" i="12"/>
  <c r="J156" i="12" s="1"/>
  <c r="D44" i="6"/>
  <c r="Z33" i="11"/>
  <c r="F33" i="8"/>
  <c r="Z56" i="11"/>
  <c r="D74" i="6"/>
  <c r="F56" i="8"/>
  <c r="F73" i="8" s="1"/>
  <c r="Z99" i="11"/>
  <c r="F99" i="8"/>
  <c r="F106" i="8" s="1"/>
  <c r="D107" i="6"/>
  <c r="J107" i="12"/>
  <c r="J110" i="12" s="1"/>
  <c r="D111" i="7"/>
  <c r="J113" i="12"/>
  <c r="J137" i="12"/>
  <c r="J143" i="12" s="1"/>
  <c r="D144" i="7"/>
  <c r="D136" i="6"/>
  <c r="Z130" i="11"/>
  <c r="F130" i="8"/>
  <c r="Z24" i="11"/>
  <c r="AB24" i="11" s="1"/>
  <c r="F24" i="8"/>
  <c r="J8" i="12"/>
  <c r="J7" i="12" s="1"/>
  <c r="D8" i="7"/>
  <c r="J12" i="12"/>
  <c r="J11" i="12" s="1"/>
  <c r="J22" i="12" s="1"/>
  <c r="D12" i="7"/>
  <c r="D23" i="7" s="1"/>
  <c r="D30" i="7"/>
  <c r="J30" i="12"/>
  <c r="J29" i="12" s="1"/>
  <c r="X41" i="4"/>
  <c r="D40" i="7"/>
  <c r="D17" i="6"/>
  <c r="F6" i="8"/>
  <c r="Z6" i="11"/>
  <c r="F76" i="8"/>
  <c r="Z76" i="11"/>
  <c r="D89" i="6"/>
  <c r="D128" i="6"/>
  <c r="Z122" i="11"/>
  <c r="F122" i="8"/>
  <c r="F111" i="8"/>
  <c r="Z111" i="11"/>
  <c r="D120" i="6"/>
  <c r="R883" i="4"/>
  <c r="R903" i="4" s="1"/>
  <c r="X876" i="4"/>
  <c r="X883" i="4" s="1"/>
  <c r="X903" i="4" s="1"/>
  <c r="S883" i="4"/>
  <c r="S903" i="4" s="1"/>
  <c r="Y876" i="4"/>
  <c r="D129" i="7"/>
  <c r="Y892" i="4"/>
  <c r="Q714" i="4"/>
  <c r="S714" i="4" s="1"/>
  <c r="I5878" i="2"/>
  <c r="E937" i="4"/>
  <c r="Q44" i="4"/>
  <c r="S44" i="4" s="1"/>
  <c r="I5875" i="2"/>
  <c r="I4" i="2" s="1"/>
  <c r="H4" i="2"/>
  <c r="E934" i="4"/>
  <c r="J5870" i="2"/>
  <c r="J5871" i="2" s="1"/>
  <c r="J5872" i="2" s="1"/>
  <c r="J5873" i="2" s="1"/>
  <c r="J5874" i="2" s="1"/>
  <c r="J5875" i="2" s="1"/>
  <c r="J5876" i="2" s="1"/>
  <c r="J5877" i="2" s="1"/>
  <c r="J5878" i="2" s="1"/>
  <c r="J5879" i="2" s="1"/>
  <c r="J5880" i="2" s="1"/>
  <c r="J5881" i="2" s="1"/>
  <c r="J5882" i="2" s="1"/>
  <c r="J5883" i="2" s="1"/>
  <c r="J5884" i="2" s="1"/>
  <c r="J5885" i="2" s="1"/>
  <c r="J5886" i="2" s="1"/>
  <c r="J5887" i="2" s="1"/>
  <c r="J5888" i="2" s="1"/>
  <c r="J5889" i="2" s="1"/>
  <c r="J5890" i="2" s="1"/>
  <c r="J5891" i="2" s="1"/>
  <c r="J5892" i="2" s="1"/>
  <c r="J5893" i="2" s="1"/>
  <c r="J5894" i="2" s="1"/>
  <c r="J5895" i="2" s="1"/>
  <c r="J5896" i="2" s="1"/>
  <c r="J5897" i="2" s="1"/>
  <c r="J5898" i="2" s="1"/>
  <c r="J5899" i="2" s="1"/>
  <c r="J5900" i="2" s="1"/>
  <c r="J5901" i="2" s="1"/>
  <c r="J5902" i="2" s="1"/>
  <c r="J5903" i="2" s="1"/>
  <c r="J5904" i="2" s="1"/>
  <c r="J5905" i="2" s="1"/>
  <c r="J5906" i="2" s="1"/>
  <c r="J5907" i="2" s="1"/>
  <c r="J5908" i="2" s="1"/>
  <c r="J5909" i="2" s="1"/>
  <c r="J5910" i="2" s="1"/>
  <c r="J5911" i="2" s="1"/>
  <c r="J5912" i="2" s="1"/>
  <c r="J5913" i="2" s="1"/>
  <c r="J5914" i="2" s="1"/>
  <c r="J5915" i="2" s="1"/>
  <c r="J5916" i="2" s="1"/>
  <c r="J5917" i="2" s="1"/>
  <c r="J5918" i="2" s="1"/>
  <c r="J5919" i="2" s="1"/>
  <c r="J5920" i="2" s="1"/>
  <c r="J5921" i="2" s="1"/>
  <c r="J5922" i="2" s="1"/>
  <c r="J5923" i="2" s="1"/>
  <c r="J5924" i="2" s="1"/>
  <c r="J5925" i="2" s="1"/>
  <c r="J5926" i="2" s="1"/>
  <c r="J5927" i="2" s="1"/>
  <c r="J5928" i="2" s="1"/>
  <c r="J5929" i="2" s="1"/>
  <c r="J5930" i="2" s="1"/>
  <c r="J5931" i="2" s="1"/>
  <c r="J5932" i="2" s="1"/>
  <c r="J5933" i="2" s="1"/>
  <c r="J5934" i="2" s="1"/>
  <c r="J5935" i="2" s="1"/>
  <c r="J5936" i="2" s="1"/>
  <c r="J5937" i="2" s="1"/>
  <c r="J5938" i="2" s="1"/>
  <c r="J5939" i="2" s="1"/>
  <c r="J5940" i="2" s="1"/>
  <c r="J5941" i="2" s="1"/>
  <c r="J5942" i="2" s="1"/>
  <c r="J5943" i="2" s="1"/>
  <c r="J5944" i="2" s="1"/>
  <c r="J5945" i="2" s="1"/>
  <c r="J5946" i="2" s="1"/>
  <c r="J5947" i="2" s="1"/>
  <c r="J5948" i="2" s="1"/>
  <c r="J5949" i="2" s="1"/>
  <c r="J5950" i="2" s="1"/>
  <c r="J5951" i="2" s="1"/>
  <c r="J5952" i="2" s="1"/>
  <c r="J5953" i="2" s="1"/>
  <c r="J5954" i="2" s="1"/>
  <c r="J5955" i="2" s="1"/>
  <c r="J5956" i="2" s="1"/>
  <c r="J5957" i="2" s="1"/>
  <c r="J5958" i="2" s="1"/>
  <c r="J5959" i="2" s="1"/>
  <c r="J5960" i="2" s="1"/>
  <c r="J5961" i="2" s="1"/>
  <c r="J5962" i="2" s="1"/>
  <c r="J5963" i="2" s="1"/>
  <c r="J5964" i="2" s="1"/>
  <c r="J5965" i="2" s="1"/>
  <c r="J5966" i="2" s="1"/>
  <c r="J5967" i="2" s="1"/>
  <c r="J5968" i="2" s="1"/>
  <c r="J5969" i="2" s="1"/>
  <c r="J5970" i="2" s="1"/>
  <c r="J5971" i="2" s="1"/>
  <c r="J5972" i="2" s="1"/>
  <c r="J5973" i="2" s="1"/>
  <c r="J5974" i="2" s="1"/>
  <c r="J5975" i="2" s="1"/>
  <c r="J5976" i="2" s="1"/>
  <c r="J5977" i="2" s="1"/>
  <c r="J5978" i="2" s="1"/>
  <c r="J5979" i="2" s="1"/>
  <c r="J5980" i="2" s="1"/>
  <c r="J5981" i="2" s="1"/>
  <c r="J5982" i="2" s="1"/>
  <c r="J5983" i="2" s="1"/>
  <c r="J5984" i="2" s="1"/>
  <c r="J5985" i="2" s="1"/>
  <c r="J5986" i="2" s="1"/>
  <c r="J5987" i="2" s="1"/>
  <c r="J5988" i="2" s="1"/>
  <c r="J5989" i="2" s="1"/>
  <c r="J5990" i="2" s="1"/>
  <c r="J5991" i="2" s="1"/>
  <c r="J5992" i="2" s="1"/>
  <c r="J5993" i="2" s="1"/>
  <c r="J5994" i="2" s="1"/>
  <c r="J5995" i="2" s="1"/>
  <c r="J5996" i="2" s="1"/>
  <c r="J5997" i="2" s="1"/>
  <c r="J5998" i="2" s="1"/>
  <c r="J5999" i="2" s="1"/>
  <c r="J6000" i="2" s="1"/>
  <c r="J6001" i="2" s="1"/>
  <c r="J6002" i="2" s="1"/>
  <c r="J6003" i="2" s="1"/>
  <c r="J6004" i="2" s="1"/>
  <c r="J6005" i="2" s="1"/>
  <c r="J6006" i="2" s="1"/>
  <c r="J6007" i="2" s="1"/>
  <c r="J6008" i="2" s="1"/>
  <c r="J6009" i="2" s="1"/>
  <c r="J6010" i="2" s="1"/>
  <c r="J6011" i="2" s="1"/>
  <c r="J6012" i="2" s="1"/>
  <c r="J6013" i="2" s="1"/>
  <c r="J6014" i="2" s="1"/>
  <c r="J6015" i="2" s="1"/>
  <c r="J6016" i="2" s="1"/>
  <c r="J6017" i="2" s="1"/>
  <c r="J6018" i="2" s="1"/>
  <c r="J6019" i="2" s="1"/>
  <c r="J6020" i="2" s="1"/>
  <c r="J6021" i="2" s="1"/>
  <c r="J6022" i="2" s="1"/>
  <c r="J6023" i="2" s="1"/>
  <c r="J6024" i="2" s="1"/>
  <c r="J6025" i="2" s="1"/>
  <c r="J6026" i="2" s="1"/>
  <c r="J6027" i="2" s="1"/>
  <c r="J6028" i="2" s="1"/>
  <c r="J6029" i="2" s="1"/>
  <c r="J6030" i="2" s="1"/>
  <c r="J6031" i="2" s="1"/>
  <c r="J6032" i="2" s="1"/>
  <c r="J6033" i="2" s="1"/>
  <c r="J6034" i="2" s="1"/>
  <c r="J6035" i="2" s="1"/>
  <c r="J6036" i="2" s="1"/>
  <c r="J6037" i="2" s="1"/>
  <c r="J6038" i="2" s="1"/>
  <c r="J6039" i="2" s="1"/>
  <c r="J6040" i="2" s="1"/>
  <c r="J6041" i="2" s="1"/>
  <c r="J6042" i="2" s="1"/>
  <c r="J6043" i="2" s="1"/>
  <c r="J6044" i="2" s="1"/>
  <c r="J6045" i="2" s="1"/>
  <c r="J6046" i="2" s="1"/>
  <c r="J6047" i="2" s="1"/>
  <c r="J6048" i="2" s="1"/>
  <c r="J6049" i="2" s="1"/>
  <c r="J6050" i="2" s="1"/>
  <c r="J6051" i="2" s="1"/>
  <c r="J6052" i="2" s="1"/>
  <c r="J6053" i="2" s="1"/>
  <c r="J6054" i="2" s="1"/>
  <c r="J6055" i="2" s="1"/>
  <c r="J6056" i="2" s="1"/>
  <c r="J6057" i="2" s="1"/>
  <c r="J6058" i="2" s="1"/>
  <c r="J6059" i="2" s="1"/>
  <c r="J6060" i="2" s="1"/>
  <c r="J6061" i="2" s="1"/>
  <c r="J6062" i="2" s="1"/>
  <c r="J6063" i="2" s="1"/>
  <c r="J6064" i="2" s="1"/>
  <c r="J6065" i="2" s="1"/>
  <c r="J6066" i="2" s="1"/>
  <c r="J6067" i="2" s="1"/>
  <c r="J6068" i="2" s="1"/>
  <c r="J6069" i="2" s="1"/>
  <c r="J6070" i="2" s="1"/>
  <c r="J6071" i="2" s="1"/>
  <c r="J6072" i="2" s="1"/>
  <c r="J6073" i="2" s="1"/>
  <c r="J6074" i="2" s="1"/>
  <c r="J6075" i="2" s="1"/>
  <c r="J6076" i="2" s="1"/>
  <c r="J6077" i="2" s="1"/>
  <c r="J6078" i="2" s="1"/>
  <c r="J6079" i="2" s="1"/>
  <c r="J6080" i="2" s="1"/>
  <c r="J6081" i="2" s="1"/>
  <c r="J6082" i="2" s="1"/>
  <c r="J6083" i="2" s="1"/>
  <c r="J6084" i="2" s="1"/>
  <c r="J6085" i="2" s="1"/>
  <c r="J6086" i="2" s="1"/>
  <c r="J6087" i="2" s="1"/>
  <c r="J6088" i="2" s="1"/>
  <c r="J6089" i="2" s="1"/>
  <c r="J6090" i="2" s="1"/>
  <c r="J6091" i="2" s="1"/>
  <c r="J6092" i="2" s="1"/>
  <c r="J6093" i="2" s="1"/>
  <c r="J6094" i="2" s="1"/>
  <c r="J6095" i="2" s="1"/>
  <c r="J6096" i="2" s="1"/>
  <c r="J6097" i="2" s="1"/>
  <c r="J6098" i="2" s="1"/>
  <c r="J6099" i="2" s="1"/>
  <c r="J6100" i="2" s="1"/>
  <c r="J6101" i="2" s="1"/>
  <c r="J6102" i="2" s="1"/>
  <c r="J6103" i="2" s="1"/>
  <c r="J6104" i="2" s="1"/>
  <c r="J6105" i="2" s="1"/>
  <c r="J6106" i="2" s="1"/>
  <c r="J6107" i="2" s="1"/>
  <c r="J6108" i="2" s="1"/>
  <c r="J6109" i="2" s="1"/>
  <c r="J6110" i="2" s="1"/>
  <c r="J6111" i="2" s="1"/>
  <c r="J6112" i="2" s="1"/>
  <c r="J6113" i="2" s="1"/>
  <c r="J6114" i="2" s="1"/>
  <c r="J6115" i="2" s="1"/>
  <c r="J6116" i="2" s="1"/>
  <c r="J6117" i="2" s="1"/>
  <c r="J6118" i="2" s="1"/>
  <c r="J6119" i="2" s="1"/>
  <c r="Q673" i="4"/>
  <c r="I5877" i="2"/>
  <c r="E936" i="4"/>
  <c r="D63" i="7"/>
  <c r="J52" i="12"/>
  <c r="J62" i="12" s="1"/>
  <c r="J97" i="12"/>
  <c r="J99" i="12" s="1"/>
  <c r="D100" i="7"/>
  <c r="D102" i="7" s="1"/>
  <c r="D85" i="7"/>
  <c r="J76" i="12"/>
  <c r="J84" i="12" s="1"/>
  <c r="Y334" i="4"/>
  <c r="X334" i="4"/>
  <c r="O935" i="4"/>
  <c r="S935" i="4" s="1"/>
  <c r="H46" i="8" l="1"/>
  <c r="F51" i="8"/>
  <c r="AB46" i="11"/>
  <c r="AB51" i="11" s="1"/>
  <c r="AC51" i="11" s="1"/>
  <c r="Z51" i="11"/>
  <c r="H96" i="8"/>
  <c r="G96" i="8"/>
  <c r="AB91" i="11"/>
  <c r="AB96" i="11" s="1"/>
  <c r="AC96" i="11" s="1"/>
  <c r="Z96" i="11"/>
  <c r="AA96" i="11" s="1"/>
  <c r="AB33" i="11"/>
  <c r="AB43" i="11" s="1"/>
  <c r="AC43" i="11" s="1"/>
  <c r="Z43" i="11"/>
  <c r="H33" i="8"/>
  <c r="F43" i="8"/>
  <c r="AB56" i="11"/>
  <c r="AB73" i="11" s="1"/>
  <c r="AC73" i="11" s="1"/>
  <c r="Z73" i="11"/>
  <c r="AA73" i="11" s="1"/>
  <c r="H73" i="8"/>
  <c r="G73" i="8"/>
  <c r="Z106" i="11"/>
  <c r="AA106" i="11" s="1"/>
  <c r="AB99" i="11"/>
  <c r="AB106" i="11" s="1"/>
  <c r="AC106" i="11" s="1"/>
  <c r="AB130" i="11"/>
  <c r="AB135" i="11" s="1"/>
  <c r="AC135" i="11" s="1"/>
  <c r="Z135" i="11"/>
  <c r="H130" i="8"/>
  <c r="F135" i="8"/>
  <c r="H135" i="8" s="1"/>
  <c r="D39" i="7"/>
  <c r="D41" i="7" s="1"/>
  <c r="J39" i="12"/>
  <c r="J38" i="12" s="1"/>
  <c r="J40" i="12" s="1"/>
  <c r="E27" i="6"/>
  <c r="E24" i="6"/>
  <c r="E26" i="6"/>
  <c r="AC931" i="4"/>
  <c r="AF931" i="4" s="1"/>
  <c r="H6" i="8"/>
  <c r="F16" i="8"/>
  <c r="Z16" i="11"/>
  <c r="AB6" i="11"/>
  <c r="AB16" i="11" s="1"/>
  <c r="F88" i="8"/>
  <c r="H76" i="8"/>
  <c r="AB76" i="11"/>
  <c r="AB88" i="11" s="1"/>
  <c r="AC88" i="11" s="1"/>
  <c r="Z88" i="11"/>
  <c r="AA88" i="11" s="1"/>
  <c r="Z127" i="11"/>
  <c r="AA127" i="11" s="1"/>
  <c r="AB122" i="11"/>
  <c r="AB127" i="11" s="1"/>
  <c r="AC127" i="11" s="1"/>
  <c r="H122" i="8"/>
  <c r="F127" i="8"/>
  <c r="H111" i="8"/>
  <c r="F119" i="8"/>
  <c r="AB111" i="11"/>
  <c r="AB119" i="11" s="1"/>
  <c r="AC119" i="11" s="1"/>
  <c r="Z119" i="11"/>
  <c r="AA119" i="11" s="1"/>
  <c r="Y883" i="4"/>
  <c r="Y903" i="4" s="1"/>
  <c r="AC876" i="4"/>
  <c r="D119" i="7"/>
  <c r="J128" i="12"/>
  <c r="J134" i="12" s="1"/>
  <c r="D135" i="7"/>
  <c r="X714" i="4"/>
  <c r="Y714" i="4"/>
  <c r="J937" i="4"/>
  <c r="I937" i="4"/>
  <c r="N937" i="4" s="1"/>
  <c r="R937" i="4" s="1"/>
  <c r="X44" i="4"/>
  <c r="Y44" i="4"/>
  <c r="J934" i="4"/>
  <c r="E943" i="4"/>
  <c r="E1053" i="4" s="1"/>
  <c r="I934" i="4"/>
  <c r="S673" i="4"/>
  <c r="Q807" i="4"/>
  <c r="Q829" i="4" s="1"/>
  <c r="J936" i="4"/>
  <c r="I936" i="4"/>
  <c r="N936" i="4" s="1"/>
  <c r="R936" i="4" s="1"/>
  <c r="D45" i="7"/>
  <c r="J44" i="12" s="1"/>
  <c r="S297" i="3"/>
  <c r="T297" i="3" s="1"/>
  <c r="X935" i="4"/>
  <c r="Y935" i="4"/>
  <c r="E44" i="6"/>
  <c r="J101" i="12"/>
  <c r="J4" i="2"/>
  <c r="H51" i="8" l="1"/>
  <c r="G51" i="8"/>
  <c r="AA51" i="11"/>
  <c r="S7" i="9"/>
  <c r="C6" i="10" s="1"/>
  <c r="D6" i="10" s="1"/>
  <c r="E6" i="10" s="1"/>
  <c r="AA43" i="11"/>
  <c r="S6" i="9"/>
  <c r="H43" i="8"/>
  <c r="G43" i="8"/>
  <c r="G106" i="8"/>
  <c r="G27" i="8"/>
  <c r="G26" i="8"/>
  <c r="G23" i="8"/>
  <c r="G25" i="8"/>
  <c r="H16" i="8"/>
  <c r="AA27" i="11"/>
  <c r="AA23" i="11"/>
  <c r="AA26" i="11"/>
  <c r="AA25" i="11"/>
  <c r="S4" i="9"/>
  <c r="AC27" i="11"/>
  <c r="AC26" i="11"/>
  <c r="AC23" i="11"/>
  <c r="AC25" i="11"/>
  <c r="H88" i="8"/>
  <c r="G88" i="8"/>
  <c r="H127" i="8"/>
  <c r="G127" i="8"/>
  <c r="H119" i="8"/>
  <c r="G119" i="8"/>
  <c r="D126" i="7"/>
  <c r="D146" i="7" s="1"/>
  <c r="J118" i="12"/>
  <c r="J125" i="12" s="1"/>
  <c r="J145" i="12" s="1"/>
  <c r="S682" i="3"/>
  <c r="T682" i="3" s="1"/>
  <c r="D47" i="7"/>
  <c r="J46" i="12" s="1"/>
  <c r="S7" i="3"/>
  <c r="T7" i="3" s="1"/>
  <c r="D44" i="7"/>
  <c r="J943" i="4"/>
  <c r="J1053" i="4" s="1"/>
  <c r="O934" i="4"/>
  <c r="N934" i="4"/>
  <c r="I943" i="4"/>
  <c r="I1053" i="4" s="1"/>
  <c r="S807" i="4"/>
  <c r="S829" i="4" s="1"/>
  <c r="X673" i="4"/>
  <c r="Y673" i="4"/>
  <c r="Y807" i="4" s="1"/>
  <c r="Y829" i="4" s="1"/>
  <c r="O937" i="4"/>
  <c r="S937" i="4" s="1"/>
  <c r="O936" i="4"/>
  <c r="S936" i="4" s="1"/>
  <c r="D21" i="6"/>
  <c r="C5" i="10" l="1"/>
  <c r="S11" i="9"/>
  <c r="C2" i="10"/>
  <c r="D50" i="7"/>
  <c r="D72" i="7" s="1"/>
  <c r="D104" i="7" s="1"/>
  <c r="J43" i="12"/>
  <c r="S934" i="4"/>
  <c r="O943" i="4"/>
  <c r="O1053" i="4" s="1"/>
  <c r="R934" i="4"/>
  <c r="N943" i="4"/>
  <c r="N1053" i="4" s="1"/>
  <c r="X807" i="4"/>
  <c r="X829" i="4" s="1"/>
  <c r="S639" i="3"/>
  <c r="T639" i="3" s="1"/>
  <c r="D46" i="7"/>
  <c r="J45" i="12" s="1"/>
  <c r="X937" i="4"/>
  <c r="Y937" i="4"/>
  <c r="X936" i="4"/>
  <c r="Y936" i="4"/>
  <c r="F20" i="8"/>
  <c r="Z20" i="11"/>
  <c r="E21" i="6"/>
  <c r="C7" i="10" l="1"/>
  <c r="D5" i="10"/>
  <c r="E5" i="10" s="1"/>
  <c r="D2" i="10"/>
  <c r="E2" i="10" s="1"/>
  <c r="S943" i="4"/>
  <c r="S1053" i="4" s="1"/>
  <c r="Y934" i="4"/>
  <c r="Y943" i="4" s="1"/>
  <c r="Y1053" i="4" s="1"/>
  <c r="R943" i="4"/>
  <c r="R1053" i="4" s="1"/>
  <c r="X934" i="4"/>
  <c r="G20" i="8"/>
  <c r="H20" i="8"/>
  <c r="AB20" i="11"/>
  <c r="AC20" i="11" s="1"/>
  <c r="AA20" i="11"/>
  <c r="J49" i="12"/>
  <c r="J71" i="12" s="1"/>
  <c r="J103" i="12" s="1"/>
  <c r="D23" i="6"/>
  <c r="D22" i="6"/>
  <c r="D7" i="10" l="1"/>
  <c r="E7" i="10" s="1"/>
  <c r="X943" i="4"/>
  <c r="X1053" i="4" s="1"/>
  <c r="D20" i="6"/>
  <c r="Z22" i="11"/>
  <c r="F22" i="8"/>
  <c r="E23" i="6"/>
  <c r="E22" i="6"/>
  <c r="F21" i="8"/>
  <c r="Z21" i="11"/>
  <c r="F19" i="8" l="1"/>
  <c r="E20" i="6"/>
  <c r="D29" i="6"/>
  <c r="D109" i="6" s="1"/>
  <c r="D138" i="6" s="1"/>
  <c r="D151" i="7" s="1"/>
  <c r="Z19" i="11"/>
  <c r="AB22" i="11"/>
  <c r="AC22" i="11" s="1"/>
  <c r="AA22" i="11"/>
  <c r="H22" i="8"/>
  <c r="G22" i="8"/>
  <c r="G21" i="8"/>
  <c r="H21" i="8"/>
  <c r="AB21" i="11"/>
  <c r="AC21" i="11" s="1"/>
  <c r="AA21" i="11"/>
  <c r="G19" i="8" l="1"/>
  <c r="F28" i="8"/>
  <c r="H19" i="8"/>
  <c r="J150" i="12"/>
  <c r="J160" i="12" s="1"/>
  <c r="J163" i="12" s="1"/>
  <c r="D161" i="7"/>
  <c r="D164" i="7" s="1"/>
  <c r="Z28" i="11"/>
  <c r="AB19" i="11"/>
  <c r="AA19" i="11"/>
  <c r="F108" i="8" l="1"/>
  <c r="H28" i="8"/>
  <c r="G28" i="8"/>
  <c r="Z108" i="11"/>
  <c r="AA28" i="11"/>
  <c r="S5" i="9"/>
  <c r="AC19" i="11"/>
  <c r="AB28" i="11"/>
  <c r="AB108" i="11" s="1"/>
  <c r="G108" i="8" l="1"/>
  <c r="F137" i="8"/>
  <c r="H108" i="8"/>
  <c r="AA108" i="11"/>
  <c r="Z137" i="11"/>
  <c r="AA137" i="11" s="1"/>
  <c r="S10" i="9"/>
  <c r="S12" i="9" s="1"/>
  <c r="C3" i="10"/>
  <c r="AC108" i="11"/>
  <c r="AB137" i="11"/>
  <c r="AC137" i="11" s="1"/>
  <c r="H137" i="8" l="1"/>
  <c r="G137" i="8"/>
  <c r="S13" i="9"/>
  <c r="S14" i="9"/>
  <c r="D3" i="10"/>
  <c r="E3" i="10" s="1"/>
  <c r="C4" i="10"/>
  <c r="C8" i="10" l="1"/>
  <c r="D4" i="10"/>
  <c r="D8" i="10" l="1"/>
  <c r="E8" i="10" s="1"/>
  <c r="C9" i="10"/>
  <c r="D9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tc={99519f71-04e1-4bcb-8d23-677fc8dbf773}</author>
    <author>tc={6a9fb594-400f-4758-b4df-23ebc36a08f7}</author>
    <author>tc={82241bbd-7005-4461-8fcc-f8f765cede5d}</author>
    <author>tc={8b3df346-b4e0-472c-bef6-97edd368706b}</author>
    <author>tc={6b33f92a-c784-4f4b-ae76-2a0c5cd12561}</author>
    <author>tc={67e3a234-a6f1-450d-b736-087de2016532}</author>
    <author>tc={a1a4b54c-3006-4b8e-a805-17848e5b6382}</author>
    <author>tc={edbc17ed-cf46-467f-866f-3bbd6147d12e}</author>
    <author>tc={9212ce9b-2a5c-4ce6-913d-cedec0d7e61e}</author>
    <author>tc={528d4ea7-b349-4703-b491-d13c9c8716ff}</author>
    <author>tc={a3a81326-4164-44a7-acc1-f1a92b928d61}</author>
    <author>tc={fa8777a7-c55c-4d86-a65b-96ed8a2c8575}</author>
    <author>tc={7cc3d806-93a6-4400-82b7-a70cc8f48fe9}</author>
    <author>tc={eae019a6-2bda-4cb7-bd0b-8e51e66be142}</author>
    <author>tc={d02b35e3-538c-4edc-86cc-32834d59f917}</author>
    <author>tc={2baff99b-9370-4d64-87bf-f02f7b521078}</author>
    <author>tc={29833072-04f6-4c5a-9c40-ee836e93ad74}</author>
  </authors>
  <commentList>
    <comment ref="E17" authorId="0" shapeId="0" xr:uid="{00000000-0006-0000-0000-000008000000}">
      <text>
        <r>
          <rPr>
            <sz val="11"/>
            <color rgb="FF000000"/>
            <rFont val="Calibri"/>
            <scheme val="minor"/>
          </rPr>
          <t>ganti rugi shisa</t>
        </r>
      </text>
    </comment>
    <comment ref="G17" authorId="0" shapeId="0" xr:uid="{00000000-0006-0000-0000-00000B000000}">
      <text>
        <r>
          <rPr>
            <sz val="11"/>
            <color rgb="FF000000"/>
            <rFont val="Calibri"/>
            <scheme val="minor"/>
          </rPr>
          <t>VUSE</t>
        </r>
      </text>
    </comment>
    <comment ref="Z17" authorId="1" shapeId="0" xr:uid="{99519F71-04E1-4BCB-8D23-677FC8DBF773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tamu broke table 2.500.000
</t>
        </r>
      </text>
    </comment>
    <comment ref="C46" authorId="0" shapeId="0" xr:uid="{00000000-0006-0000-0000-000009000000}">
      <text>
        <r>
          <rPr>
            <sz val="11"/>
            <color rgb="FF000000"/>
            <rFont val="Calibri"/>
            <scheme val="minor"/>
          </rPr>
          <t>TUT MERTA SC: 88.275
JAMES: 64.735
X JANE: 89.452</t>
        </r>
      </text>
    </comment>
    <comment ref="D46" authorId="0" shapeId="0" xr:uid="{00000000-0006-0000-0000-00000C000000}">
      <text>
        <r>
          <rPr>
            <sz val="11"/>
            <color rgb="FF000000"/>
            <rFont val="Calibri"/>
            <scheme val="minor"/>
          </rPr>
          <t>WILLIAM: 406.065
WIDYA GRO: 220.688
RIRI: 20.598
EKA SC: 70.620</t>
        </r>
      </text>
    </comment>
    <comment ref="E46" authorId="0" shapeId="0" xr:uid="{00000000-0006-0000-0000-00000E000000}">
      <text>
        <r>
          <rPr>
            <sz val="11"/>
            <color rgb="FF000000"/>
            <rFont val="Calibri"/>
            <scheme val="minor"/>
          </rPr>
          <t>LUKAS : 88.275
WIDYA GRO: 47.080
DEDY SETIAWAN SC: 82.390
KOSTA: 197.736</t>
        </r>
      </text>
    </comment>
    <comment ref="F46" authorId="0" shapeId="0" xr:uid="{00000000-0006-0000-0000-00000F000000}">
      <text>
        <r>
          <rPr>
            <sz val="11"/>
            <color rgb="FF000000"/>
            <rFont val="Calibri"/>
            <scheme val="minor"/>
          </rPr>
          <t>XJANE : 630.872
RONALD : 105.930</t>
        </r>
      </text>
    </comment>
    <comment ref="G46" authorId="0" shapeId="0" xr:uid="{00000000-0006-0000-0000-000011000000}">
      <text>
        <r>
          <rPr>
            <sz val="11"/>
            <color rgb="FF000000"/>
            <rFont val="Calibri"/>
            <scheme val="minor"/>
          </rPr>
          <t xml:space="preserve">LUKAS : 141.240 + 88.275
ODE OFFICE : 220.688
BU AMA : 64.735
</t>
        </r>
      </text>
    </comment>
    <comment ref="H46" authorId="0" shapeId="0" xr:uid="{00000000-0006-0000-0000-000012000000}">
      <text>
        <r>
          <rPr>
            <sz val="11"/>
            <color rgb="FF000000"/>
            <rFont val="Calibri"/>
            <scheme val="minor"/>
          </rPr>
          <t xml:space="preserve">BETTY GRO : 50.023
CACA GRO : 23.540
RIRI GRO : 29.425
WAYAN RASTIKA : 200.090
DJ SHAMMUI : 94.160
RONAL : 29.425
</t>
        </r>
      </text>
    </comment>
    <comment ref="I46" authorId="0" shapeId="0" xr:uid="{00000000-0006-0000-0000-000014000000}">
      <text>
        <r>
          <rPr>
            <sz val="11"/>
            <color rgb="FF000000"/>
            <rFont val="Calibri"/>
            <scheme val="minor"/>
          </rPr>
          <t>LUKAS : 176.550
WIDYA GRO : 67.678
VICTOR GRO : 55.908
AYU GRO : 85.333
RIRI GRO : 52.965
FITRI TERRACE : 70.620</t>
        </r>
      </text>
    </comment>
    <comment ref="J46" authorId="0" shapeId="0" xr:uid="{00000000-0006-0000-0000-000015000000}">
      <text>
        <r>
          <rPr>
            <sz val="11"/>
            <color rgb="FF000000"/>
            <rFont val="Calibri"/>
            <scheme val="minor"/>
          </rPr>
          <t>DAYU : 55.908
APRIL : 55.908
BLACK RAVEN EO : 65.912</t>
        </r>
      </text>
    </comment>
    <comment ref="K46" authorId="2" shapeId="0" xr:uid="{6A9FB594-400F-4758-B4DF-23EBC36A08F7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SANA FLOOR CLUB : 55.908
LUKAS : 76.505
WIILIEM : 406.065
INEZ GRO : 52.965
AYU GRO : 52.965
</t>
        </r>
      </text>
    </comment>
    <comment ref="L46" authorId="3" shapeId="0" xr:uid="{82241BBD-7005-4461-8FCC-F8F765CEDE5D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lukas : 76.505
dewi floor : 88.275
victor gro : 23.540
</t>
        </r>
      </text>
    </comment>
    <comment ref="M46" authorId="4" shapeId="0" xr:uid="{8B3DF346-B4E0-472C-BEF6-97EDD368706B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victor gro : 82.390
kt. merta sc : 88.275
</t>
        </r>
      </text>
    </comment>
    <comment ref="N46" authorId="5" shapeId="0" xr:uid="{6B33F92A-C784-4F4B-AE76-2A0C5CD12561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DIAN FLOOR : 88.275
LUKAS : 73.563 + 44.138
RIRI : 23.540
DEDDY SC : 52.965
</t>
        </r>
      </text>
    </comment>
    <comment ref="O46" authorId="6" shapeId="0" xr:uid="{67E3A234-A6F1-450D-B736-087DE2016532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INEZ GROI : 55.908
JAMES : 64.735
AYU GRO : 88.275
RIRI GRO : 52.965
XJANE : 386.056
KOSTA : 294.250
EKA CAHYADI SC : 52.965
</t>
        </r>
      </text>
    </comment>
    <comment ref="P46" authorId="7" shapeId="0" xr:uid="{A1A4B54C-3006-4B8E-A805-17848E5B6382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INEZ GRO : 35.310
</t>
        </r>
      </text>
    </comment>
    <comment ref="Q46" authorId="0" shapeId="0" xr:uid="{00000000-0006-0000-0000-000001000000}">
      <text>
        <r>
          <rPr>
            <sz val="11"/>
            <color rgb="FF000000"/>
            <rFont val="Calibri"/>
            <scheme val="minor"/>
          </rPr>
          <t>winda : 44.138
vicor : 29.425</t>
        </r>
      </text>
    </comment>
    <comment ref="R46" authorId="0" shapeId="0" xr:uid="{00000000-0006-0000-0000-000003000000}">
      <text>
        <r>
          <rPr>
            <sz val="11"/>
            <color rgb="FF000000"/>
            <rFont val="Calibri"/>
            <scheme val="minor"/>
          </rPr>
          <t xml:space="preserve">caca Gro : 529.650
widya : 35.310+17.655
betty : 52.965
</t>
        </r>
      </text>
    </comment>
    <comment ref="S46" authorId="0" shapeId="0" xr:uid="{00000000-0006-0000-0000-000005000000}">
      <text>
        <r>
          <rPr>
            <sz val="11"/>
            <color rgb="FF000000"/>
            <rFont val="Calibri"/>
            <scheme val="minor"/>
          </rPr>
          <t>ayu gro : 114.758
lukas: 79.448
riri gro : 52.965
dewi floor : 47.080
megatix naughty grooves : 200.000</t>
        </r>
      </text>
    </comment>
    <comment ref="T46" authorId="8" shapeId="0" xr:uid="{EDBC17ED-CF46-467F-866F-3BBD6147D12E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victor gro : 47.080
april : 67.678
cacy : 70.620
ayu gro : 123.585
</t>
        </r>
      </text>
    </comment>
    <comment ref="U46" authorId="9" shapeId="0" xr:uid="{9212CE9B-2A5C-4CE6-913D-CEDEC0D7E61E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wilham : 406.065
lukas : 44.138
ari suari floor : 55.908
james : 64.735
megatix : 2.000.000
ayu gro : 161.838
kosta : 273.064
caca gro : 282.480
</t>
        </r>
      </text>
    </comment>
    <comment ref="V46" authorId="10" shapeId="0" xr:uid="{528D4EA7-B349-4703-B491-D13C9C8716FF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james : 44.138
andre sc : 52.965
ronald : 52.965
ayu gro : 194.205
xjane : 433.136
nano : 73.563
shammui : 2.073.874
eldidion : 235.400
</t>
        </r>
      </text>
    </comment>
    <comment ref="W46" authorId="11" shapeId="0" xr:uid="{A3A81326-4164-44A7-ACC1-F1A92B928D61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nano : 102.988
widya : 26.483
victor : 73.563
deddy sc : 70.620
</t>
        </r>
      </text>
    </comment>
    <comment ref="X46" authorId="12" shapeId="0" xr:uid="{FA8777A7-C55C-4D86-A65B-96ED8A2C8575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lukas : 238.343
april floor : 55.908
andry sc : 58.850
ayu gro : 82.390
cahya bar : 58.850
</t>
        </r>
      </text>
    </comment>
    <comment ref="Y46" authorId="13" shapeId="0" xr:uid="{7CC3D806-93A6-4400-82B7-A70CC8F48FE9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eka cahyadi sc : 129.470
elliot / wilham : 406.065
widya gro : 47.080
</t>
        </r>
      </text>
    </comment>
    <comment ref="Z46" authorId="14" shapeId="0" xr:uid="{EAE019A6-2BDA-4CB7-BD0B-8E51E66BE142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ronald : 44.138
</t>
        </r>
      </text>
    </comment>
    <comment ref="AA46" authorId="0" shapeId="0" xr:uid="{00000000-0006-0000-0000-000007000000}">
      <text>
        <r>
          <rPr>
            <sz val="11"/>
            <color rgb="FF000000"/>
            <rFont val="Calibri"/>
            <scheme val="minor"/>
          </rPr>
          <t>riri GRo : 52.965
widya Gro : 23.540
ronald : 102.988</t>
        </r>
      </text>
    </comment>
    <comment ref="AC46" authorId="15" shapeId="0" xr:uid="{D02B35E3-538C-4EDC-86CC-32834D59F917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james : 44.138
riri gro : 88.275
chelin : 2.389.310
</t>
        </r>
      </text>
    </comment>
    <comment ref="AD46" authorId="16" shapeId="0" xr:uid="{2BAFF99B-9370-4D64-87BF-F02F7B521078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widya : 61.793
kosta : 1.177.000
nano : 141.240
</t>
        </r>
      </text>
    </comment>
    <comment ref="AF46" authorId="17" shapeId="0" xr:uid="{29833072-04F6-4C5A-9C40-EE836E93AD74}">
      <text>
        <r>
          <rPr>
            <sz val="11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riri gro : 79.448
william : 406.065
andre sc : 58.850
ayu gro : 52.965
bu ama : 67.678
lukas :  466.752
</t>
        </r>
      </text>
    </comment>
    <comment ref="J48" authorId="0" shapeId="0" xr:uid="{00000000-0006-0000-0000-000013000000}">
      <text>
        <r>
          <rPr>
            <sz val="11"/>
            <color rgb="FF000000"/>
            <rFont val="Calibri"/>
            <scheme val="minor"/>
          </rPr>
          <t>OVO</t>
        </r>
      </text>
    </comment>
    <comment ref="G50" authorId="0" shapeId="0" xr:uid="{00000000-0006-0000-0000-00000A000000}">
      <text>
        <r>
          <rPr>
            <sz val="11"/>
            <color rgb="FF000000"/>
            <rFont val="Calibri"/>
            <scheme val="minor"/>
          </rPr>
          <t>KELEBIHAN CARD</t>
        </r>
      </text>
    </comment>
    <comment ref="H50" authorId="0" shapeId="0" xr:uid="{00000000-0006-0000-0000-00000D000000}">
      <text>
        <r>
          <rPr>
            <sz val="11"/>
            <color rgb="FF000000"/>
            <rFont val="Calibri"/>
            <scheme val="minor"/>
          </rPr>
          <t>mandiri lebih : 820.400</t>
        </r>
      </text>
    </comment>
    <comment ref="J50" authorId="0" shapeId="0" xr:uid="{00000000-0006-0000-0000-000010000000}">
      <text>
        <r>
          <rPr>
            <sz val="11"/>
            <color rgb="FF000000"/>
            <rFont val="Calibri"/>
            <scheme val="minor"/>
          </rPr>
          <t>selisih tax &amp; sevice : 142.484
mandiri lebih keep : 506.090</t>
        </r>
      </text>
    </comment>
    <comment ref="U50" authorId="0" shapeId="0" xr:uid="{00000000-0006-0000-0000-000002000000}">
      <text>
        <r>
          <rPr>
            <sz val="11"/>
            <color rgb="FF000000"/>
            <rFont val="Calibri"/>
            <scheme val="minor"/>
          </rPr>
          <t xml:space="preserve">bca lebih 5juta
untuk DP Reservation TB vip sofa 5 a.n Emelya Imran (24/06)
</t>
        </r>
      </text>
    </comment>
    <comment ref="V50" authorId="0" shapeId="0" xr:uid="{00000000-0006-0000-0000-000004000000}">
      <text>
        <r>
          <rPr>
            <sz val="11"/>
            <color rgb="FF000000"/>
            <rFont val="Calibri"/>
            <scheme val="minor"/>
          </rPr>
          <t>KELEBIHAN CARD</t>
        </r>
      </text>
    </comment>
    <comment ref="AC50" authorId="0" shapeId="0" xr:uid="{00000000-0006-0000-0000-000006000000}">
      <text>
        <r>
          <rPr>
            <sz val="11"/>
            <color rgb="FF000000"/>
            <rFont val="Calibri"/>
            <scheme val="minor"/>
          </rPr>
          <t>kelebihan card 
tb 8 : 51.615
tb 4 : 68.370
tb 5 : 38.945
tb 11 : 51.615
tb1 : 55.700
tb6 : 33.960</t>
        </r>
      </text>
    </comment>
  </commentList>
</comments>
</file>

<file path=xl/sharedStrings.xml><?xml version="1.0" encoding="utf-8"?>
<sst xmlns="http://schemas.openxmlformats.org/spreadsheetml/2006/main" count="16869" uniqueCount="5456">
  <si>
    <t>PERIODE OF June 2026</t>
  </si>
  <si>
    <t>DESCRIPTION</t>
  </si>
  <si>
    <t>TOTAL</t>
  </si>
  <si>
    <t>Terrace Revenue:</t>
  </si>
  <si>
    <t>4-2100</t>
  </si>
  <si>
    <t>Sales Food TERRACE</t>
  </si>
  <si>
    <t>4-2200</t>
  </si>
  <si>
    <t>Sales Beverages TERRACE</t>
  </si>
  <si>
    <t>4-2400</t>
  </si>
  <si>
    <t>Sales Cigarette TERRACE</t>
  </si>
  <si>
    <t>4-2300</t>
  </si>
  <si>
    <t>Sales Shisa TERRACE</t>
  </si>
  <si>
    <t>4-2602</t>
  </si>
  <si>
    <t>Merchandise TERRACE</t>
  </si>
  <si>
    <t>Total Terrace Revenue</t>
  </si>
  <si>
    <t xml:space="preserve"> Spend per Guest</t>
  </si>
  <si>
    <t>Club Revenue:</t>
  </si>
  <si>
    <t>Sales Beverages CLUB</t>
  </si>
  <si>
    <t>Sales Cigarette CLUB</t>
  </si>
  <si>
    <t>Sales Food CLUB</t>
  </si>
  <si>
    <t>Sales Shisa CLUB</t>
  </si>
  <si>
    <t>4-2601</t>
  </si>
  <si>
    <t xml:space="preserve">Red Room </t>
  </si>
  <si>
    <t xml:space="preserve">Misc </t>
  </si>
  <si>
    <t>Merchandise</t>
  </si>
  <si>
    <t>4-2500</t>
  </si>
  <si>
    <t>Sales Ticket</t>
  </si>
  <si>
    <t>Total Club Revenue</t>
  </si>
  <si>
    <t>Deduction:</t>
  </si>
  <si>
    <t>4-5110</t>
  </si>
  <si>
    <t>Discount</t>
  </si>
  <si>
    <t>Disc 10-15%</t>
  </si>
  <si>
    <t>Disc 20-30%</t>
  </si>
  <si>
    <t>Disc 50%</t>
  </si>
  <si>
    <t>2-2106</t>
  </si>
  <si>
    <t>Service Charges 7%</t>
  </si>
  <si>
    <t>2-3101</t>
  </si>
  <si>
    <t>Tax PB1 10%</t>
  </si>
  <si>
    <t>Total All Income</t>
  </si>
  <si>
    <t>1-1119</t>
  </si>
  <si>
    <t>Cash IDR</t>
  </si>
  <si>
    <t>total</t>
  </si>
  <si>
    <t>1-1217</t>
  </si>
  <si>
    <t>Bank transfer</t>
  </si>
  <si>
    <t>Credit Cards:</t>
  </si>
  <si>
    <t>1-1216</t>
  </si>
  <si>
    <t>Cim Niaga TBB</t>
  </si>
  <si>
    <t>cimb</t>
  </si>
  <si>
    <t>1-1213</t>
  </si>
  <si>
    <t>Mandiri Debet</t>
  </si>
  <si>
    <t>Mandiri CC</t>
  </si>
  <si>
    <t>Mandiri NPG</t>
  </si>
  <si>
    <t>Mandiri QR</t>
  </si>
  <si>
    <t>mandiri</t>
  </si>
  <si>
    <t>BCA CC</t>
  </si>
  <si>
    <t>BCA debt</t>
  </si>
  <si>
    <t>BCA QR</t>
  </si>
  <si>
    <t>bca</t>
  </si>
  <si>
    <t>1-1214</t>
  </si>
  <si>
    <t>Bank BRI DEBET</t>
  </si>
  <si>
    <t>Bank BRI CC</t>
  </si>
  <si>
    <t>Bank BRI QR</t>
  </si>
  <si>
    <t>bri</t>
  </si>
  <si>
    <t>1-1202</t>
  </si>
  <si>
    <t>Ledger</t>
  </si>
  <si>
    <t>1-1129</t>
  </si>
  <si>
    <t>Star Points</t>
  </si>
  <si>
    <t>1-1215</t>
  </si>
  <si>
    <t>Ovo</t>
  </si>
  <si>
    <t>1-1211</t>
  </si>
  <si>
    <t>Gopay</t>
  </si>
  <si>
    <t>2-2110</t>
  </si>
  <si>
    <t>Cash Short/Over</t>
  </si>
  <si>
    <t>Total All Payments</t>
  </si>
  <si>
    <t>Balancing</t>
  </si>
  <si>
    <t>BCA</t>
  </si>
  <si>
    <t>MANDIRI</t>
  </si>
  <si>
    <t>BRI</t>
  </si>
  <si>
    <t>CIMB NIAGA</t>
  </si>
  <si>
    <t>CC</t>
  </si>
  <si>
    <t>DEBT</t>
  </si>
  <si>
    <t>QR</t>
  </si>
  <si>
    <t>NPG</t>
  </si>
  <si>
    <t>PT TAMAN BINTANG BALI</t>
  </si>
  <si>
    <t>GENERAL LEDGER</t>
  </si>
  <si>
    <t>MONTH OF June 2026</t>
  </si>
  <si>
    <t>DATE</t>
  </si>
  <si>
    <t>REFF#</t>
  </si>
  <si>
    <t>ACCT NAME</t>
  </si>
  <si>
    <t>QTY</t>
  </si>
  <si>
    <t>TRANSACTION IN RP</t>
  </si>
  <si>
    <t>DS26-0601</t>
  </si>
  <si>
    <t>DS26-0602</t>
  </si>
  <si>
    <t>DS26-0603</t>
  </si>
  <si>
    <t>DS26-0604</t>
  </si>
  <si>
    <t>DS26-0605</t>
  </si>
  <si>
    <t>DS26-0606</t>
  </si>
  <si>
    <t>DS26-0607</t>
  </si>
  <si>
    <t>DS26-0608</t>
  </si>
  <si>
    <t>DS26-0609</t>
  </si>
  <si>
    <t>DS26-0610</t>
  </si>
  <si>
    <t>DS26-0611</t>
  </si>
  <si>
    <t>DS26-0612</t>
  </si>
  <si>
    <t>DS26-0613</t>
  </si>
  <si>
    <t>DS26-0614</t>
  </si>
  <si>
    <t>DS26-0615</t>
  </si>
  <si>
    <t>DS26-0616</t>
  </si>
  <si>
    <t>DS26-0617</t>
  </si>
  <si>
    <t>DS26-0618</t>
  </si>
  <si>
    <t>DS26-0619</t>
  </si>
  <si>
    <t>DS26-0620</t>
  </si>
  <si>
    <t>DS26-0621</t>
  </si>
  <si>
    <t>DS26-0622</t>
  </si>
  <si>
    <t>DS26-0623</t>
  </si>
  <si>
    <t>DS26-0624</t>
  </si>
  <si>
    <t>DS26-0625</t>
  </si>
  <si>
    <t>DS26-0626</t>
  </si>
  <si>
    <t>DS26-0627</t>
  </si>
  <si>
    <t>DS26-0628</t>
  </si>
  <si>
    <t>DS26-0629</t>
  </si>
  <si>
    <t>DS26-0630</t>
  </si>
  <si>
    <t>Cimbniaga26-0601</t>
  </si>
  <si>
    <t>1-1126</t>
  </si>
  <si>
    <t>CIMB NIAGA 29-05-2026</t>
  </si>
  <si>
    <t>8-2000</t>
  </si>
  <si>
    <t>Cimbniaga26-0602</t>
  </si>
  <si>
    <t>CIMB NIAGA 30-05-2026</t>
  </si>
  <si>
    <t>Cimbniaga26-0603</t>
  </si>
  <si>
    <t>CIMB NIAGA 31-05-2026</t>
  </si>
  <si>
    <t>Cimbniaga26-0604</t>
  </si>
  <si>
    <t>1-1127</t>
  </si>
  <si>
    <t>OVER BOOKING CIMB TO BCA</t>
  </si>
  <si>
    <t>Cimbniaga26-0604A</t>
  </si>
  <si>
    <t>OTHER EXPENSES 05 JUNE 2026</t>
  </si>
  <si>
    <t>Cimbniaga26-0605</t>
  </si>
  <si>
    <t>CIMB NIAGA 05-06-2026</t>
  </si>
  <si>
    <t>Cimbniaga26-0606</t>
  </si>
  <si>
    <t>CIMB NIAGA 06-06-2026</t>
  </si>
  <si>
    <t>Cimbniaga26-0607</t>
  </si>
  <si>
    <t>Cimbniaga26-0607A</t>
  </si>
  <si>
    <t>1-1410</t>
  </si>
  <si>
    <t xml:space="preserve">559570134_EDCC_26-04 CMS         TRF TO  CIMB NIAGA MFTS </t>
  </si>
  <si>
    <t xml:space="preserve">559570134_EDCC_26-03 CMS         TRF TO  CIMB NIAGA MFTS </t>
  </si>
  <si>
    <t>Cimbniaga26-0608</t>
  </si>
  <si>
    <t>CIMB NIAGA 09-06-2026</t>
  </si>
  <si>
    <t>Cimbniaga26-0609</t>
  </si>
  <si>
    <t>CIMB NIAGA 12-06-2026</t>
  </si>
  <si>
    <t>Cimbniaga26-0610</t>
  </si>
  <si>
    <t>CIMB NIAGA 13-06-2026</t>
  </si>
  <si>
    <t>Cimbniaga26-0611</t>
  </si>
  <si>
    <t>CIMB NIAGA 14-06-2026</t>
  </si>
  <si>
    <t>Cimbniaga26-0612</t>
  </si>
  <si>
    <t>CIMB NIAGA 15-06-2026</t>
  </si>
  <si>
    <t>Cimbniaga26-0613</t>
  </si>
  <si>
    <t>CIMB NIAGA 19-06-2026</t>
  </si>
  <si>
    <t>Cimbniaga26-0614</t>
  </si>
  <si>
    <t>CIMB NIAGA 20-06-2026</t>
  </si>
  <si>
    <t>Cimbniaga26-0615</t>
  </si>
  <si>
    <t>1-1123</t>
  </si>
  <si>
    <t>OVER BOOKING CIMB TO MANDIRI</t>
  </si>
  <si>
    <t>Cimbniaga26-0616</t>
  </si>
  <si>
    <t>CIMB NIAGA 25-06-2026</t>
  </si>
  <si>
    <t>Cimbniaga26-0617</t>
  </si>
  <si>
    <t>CIMB NIAGA 26-06-2026</t>
  </si>
  <si>
    <t>Cimbniaga26-0618</t>
  </si>
  <si>
    <t>CIMB NIAGA 27-06-2026</t>
  </si>
  <si>
    <t>Cimbniaga26-0619</t>
  </si>
  <si>
    <t>Cimbniaga26-0620</t>
  </si>
  <si>
    <t>BIAYA ADMIN</t>
  </si>
  <si>
    <t>Cimbniaga26-0621</t>
  </si>
  <si>
    <t>ADJUSMENT BANK CIMB NIAGA - JUNE 2026</t>
  </si>
  <si>
    <t>BRI26-0601</t>
  </si>
  <si>
    <t>1-1124</t>
  </si>
  <si>
    <t>Bank BRI CC 03-06-2026</t>
  </si>
  <si>
    <t>BRI26-0602</t>
  </si>
  <si>
    <t>1-1221</t>
  </si>
  <si>
    <t>LOAN TO ROSALITA</t>
  </si>
  <si>
    <t>BRI26-0603</t>
  </si>
  <si>
    <t>OVER BOOKING BRI TO BCA</t>
  </si>
  <si>
    <t>BRI26-0604</t>
  </si>
  <si>
    <t>Bank BRI CC 05-06-2026</t>
  </si>
  <si>
    <t>BRI26-0605</t>
  </si>
  <si>
    <t>Bank BRI QR 05-06-2026</t>
  </si>
  <si>
    <t>BRI26-0606</t>
  </si>
  <si>
    <t>Bank BRI CC 06-06-2026</t>
  </si>
  <si>
    <t>BRI26-0607</t>
  </si>
  <si>
    <t xml:space="preserve">OVER BOOKING FROM BCA </t>
  </si>
  <si>
    <t>BRI26-0608</t>
  </si>
  <si>
    <t>6-3201</t>
  </si>
  <si>
    <t>BOLA GEMBIRA - LICENSE FIFA WORLD CUP 2026</t>
  </si>
  <si>
    <t>BRI26-0609</t>
  </si>
  <si>
    <t>Bank BRI CC 10-06-2026</t>
  </si>
  <si>
    <t>BRI26-0610</t>
  </si>
  <si>
    <t>Bank BRI CC 11-06-2026</t>
  </si>
  <si>
    <t>BRI26-0610A</t>
  </si>
  <si>
    <t>Bank BRI CC 13-06-2026</t>
  </si>
  <si>
    <t>BRI26-0610B</t>
  </si>
  <si>
    <t>Bank BRI CC 14-06-2026</t>
  </si>
  <si>
    <t>BRI26-0611</t>
  </si>
  <si>
    <t>Bank BRI CC 15-06-2026</t>
  </si>
  <si>
    <t>BRI26-0612</t>
  </si>
  <si>
    <t>Bank BRI CC 16-06-2026</t>
  </si>
  <si>
    <t>BRI26-0613</t>
  </si>
  <si>
    <t>Bank BRI CC 17-06-2026</t>
  </si>
  <si>
    <t>BRI26-0614</t>
  </si>
  <si>
    <t>Bank BRI DEBT 19-06-2026</t>
  </si>
  <si>
    <t>BRI26-0615</t>
  </si>
  <si>
    <t>Bank BRI CC 22-06-2026</t>
  </si>
  <si>
    <t>BRI26-0616</t>
  </si>
  <si>
    <t>Bank BRI CC 23-06-2026</t>
  </si>
  <si>
    <t>BRI26-0617</t>
  </si>
  <si>
    <t>OVER BOOKING BRI TO MANDIRI</t>
  </si>
  <si>
    <t>BRI26-0618</t>
  </si>
  <si>
    <t>Bank BRI CC 24-06-2026</t>
  </si>
  <si>
    <t>BRI26-0619</t>
  </si>
  <si>
    <t>MINIMUM BALANCE</t>
  </si>
  <si>
    <t>BRI26-0620</t>
  </si>
  <si>
    <t>ADJUSMENT BANK BRI JUNE 2026</t>
  </si>
  <si>
    <t>OVO26-0601</t>
  </si>
  <si>
    <t>1-1125</t>
  </si>
  <si>
    <t>OVO 04-06-2026</t>
  </si>
  <si>
    <t>5-8000</t>
  </si>
  <si>
    <t>OVO26-0602</t>
  </si>
  <si>
    <t>OVER BOOKING MANDIRI OVO TO MANDIRI IDR</t>
  </si>
  <si>
    <t>OVO26-0603</t>
  </si>
  <si>
    <t>OVER BOOKING MANDIRI OVO TO BCA</t>
  </si>
  <si>
    <t>OVO26-0604</t>
  </si>
  <si>
    <t>OVO 08-06-2026</t>
  </si>
  <si>
    <t>OVO26-0605</t>
  </si>
  <si>
    <t>1-1122</t>
  </si>
  <si>
    <t>OVER BOOKING MANDIRI OVO TO MANDIRI USD</t>
  </si>
  <si>
    <t>OVO26-0606</t>
  </si>
  <si>
    <t>OVO 16-06-2026</t>
  </si>
  <si>
    <t>OVO26-0607</t>
  </si>
  <si>
    <t>OVO 17-06-2026</t>
  </si>
  <si>
    <t>OVO26-0608</t>
  </si>
  <si>
    <t>OVO 20-06-2026</t>
  </si>
  <si>
    <t>OVO26-0609</t>
  </si>
  <si>
    <t>OVO 21-06-2026</t>
  </si>
  <si>
    <t>OVO26-0610</t>
  </si>
  <si>
    <t>OVER BOOKING FROM MANDIRI OVO</t>
  </si>
  <si>
    <t>OVO26-0611</t>
  </si>
  <si>
    <t>OVO 25-06-2026</t>
  </si>
  <si>
    <t>OVO26-0612</t>
  </si>
  <si>
    <t>OVO 26-06-2026</t>
  </si>
  <si>
    <t>OVO26-0613</t>
  </si>
  <si>
    <t>OVO 27-06-2026</t>
  </si>
  <si>
    <t>OVO26-0614</t>
  </si>
  <si>
    <t>OVO 28-06-2026</t>
  </si>
  <si>
    <t>OVO26-0615</t>
  </si>
  <si>
    <t>OVO26-0616</t>
  </si>
  <si>
    <t>OVO 01-06-2026</t>
  </si>
  <si>
    <t>OVO 02-06-2026</t>
  </si>
  <si>
    <t>OVO 06-06-2026</t>
  </si>
  <si>
    <t>OVO 07-06-2026</t>
  </si>
  <si>
    <t>OVO 10-06-2026</t>
  </si>
  <si>
    <t>OVO 12-06-2026</t>
  </si>
  <si>
    <t>OVO 14-06-2026</t>
  </si>
  <si>
    <t>OVO 18-06-2026</t>
  </si>
  <si>
    <t>GOPAY 30-06-2026</t>
  </si>
  <si>
    <t>OVO 01-06-2026 ROSALITA</t>
  </si>
  <si>
    <t>OVO 02-06-2026 ROSALITA</t>
  </si>
  <si>
    <t>OVO 06-06-2026 ROSALITA</t>
  </si>
  <si>
    <t>OVO 07-06-2026 ROSALITA</t>
  </si>
  <si>
    <t>OVO 10-06-2026 ROSALITA</t>
  </si>
  <si>
    <t>OVO 12-06-2026 ROSALITA</t>
  </si>
  <si>
    <t>OVO 14-06-2026 ROSALITA</t>
  </si>
  <si>
    <t>OVO 18-06-2026 ROSALITA</t>
  </si>
  <si>
    <t>GOPAY 30-06-2026 ROSALITA</t>
  </si>
  <si>
    <t>OVO26-0617</t>
  </si>
  <si>
    <t>BIAYA ADMIN BULANAN</t>
  </si>
  <si>
    <t>BCA26-0601</t>
  </si>
  <si>
    <t>BCA CC 30-05-2026</t>
  </si>
  <si>
    <t>BCA26-0602</t>
  </si>
  <si>
    <t>BCA Debet 30-05-2026</t>
  </si>
  <si>
    <t>BCA26-06023</t>
  </si>
  <si>
    <t>BCA QR 30-05-2026</t>
  </si>
  <si>
    <t>BCA26-06024</t>
  </si>
  <si>
    <t>BCA CC 31-05-2026</t>
  </si>
  <si>
    <t>BCA26-06025</t>
  </si>
  <si>
    <t>BCA QR 31-05-2026</t>
  </si>
  <si>
    <t>BCA26-06026</t>
  </si>
  <si>
    <t>OVER BOOKING FROM MANDIRI</t>
  </si>
  <si>
    <t>BCA26-06027</t>
  </si>
  <si>
    <t>BCA26-06028</t>
  </si>
  <si>
    <t>2-1101</t>
  </si>
  <si>
    <t>Faddie (Jkt) - Fee Dj 04 May 26</t>
  </si>
  <si>
    <t>BCA26-06029</t>
  </si>
  <si>
    <t>Finnish (Jkt) - Fee Dj 04 May 26</t>
  </si>
  <si>
    <t>BCA26-06030</t>
  </si>
  <si>
    <t>Mmb - Inv. 0997 - 24 Feb, 1195 - 06 Maret 2026</t>
  </si>
  <si>
    <t>BCA26-06031</t>
  </si>
  <si>
    <t>Panca Niaga Bali - Inv. 2140 - 03 Feb,</t>
  </si>
  <si>
    <t>Panca Niaga Bali - Inv. 2154 - 10 Feb</t>
  </si>
  <si>
    <t>Panca Niaga Bali - Inv. , 2875 - 10 FeB</t>
  </si>
  <si>
    <t>Panca Niaga Bali - Inv. , 2193,1069 - 12 Feb (Event Zombie</t>
  </si>
  <si>
    <t>Panca Niaga Bali - Inv. ), 1509 - 18 Feb 26</t>
  </si>
  <si>
    <t>Panca Niaga Bali - Inv. 2140 - 03 Feb, 2154 - 10 Feb, 2875 - 10 Fe, 2193,1069 - 12 Feb (Event Zombie), 1509 - 18 Feb 26</t>
  </si>
  <si>
    <t>BCA26-06032</t>
  </si>
  <si>
    <t>Atd - Inv. 0033 - 09 Feb 26</t>
  </si>
  <si>
    <t>BCA26-06033</t>
  </si>
  <si>
    <t>Wahana Boga Nusantara - Inv. 0659 - 25 Apr 26</t>
  </si>
  <si>
    <t>BCA26-06034</t>
  </si>
  <si>
    <t>Arthaguna Brawijaya - Inv. 1738 - 03 Apr , 4729 - 06 Apr 26</t>
  </si>
  <si>
    <t>BCA26-06035</t>
  </si>
  <si>
    <t>Aromaduta Rasaprima - Inv. 1491 - 16 April, 2382 - 25 April, 2734 - 29 April 26</t>
  </si>
  <si>
    <t>BCA26-06036</t>
  </si>
  <si>
    <t>Ad Supplier - Inv. 6642 - 14 Apr, 6650 - 14  Apr, 9032 - 21  Apr, 9034 - 21  Apr, 9409 - 22  Apr 26</t>
  </si>
  <si>
    <t>BCA26-06037</t>
  </si>
  <si>
    <t>Bali Kulina Utama - Inv. 2472 - 07 Apr , 4907 - 14  Apr, 7398 - 21  Apr 26</t>
  </si>
  <si>
    <t>BCA26-06038</t>
  </si>
  <si>
    <t>Mahaputra - Inv.0434 - 23 Apr, 0513 - 28 Apr 26</t>
  </si>
  <si>
    <t>BCA26-06039</t>
  </si>
  <si>
    <t>Bali Alam Rayya - Inv. 11607 - 21 Apr , 1849 - 28 Apr 26</t>
  </si>
  <si>
    <t>BCA26-06040</t>
  </si>
  <si>
    <t>Oasis Waters - So. 0212 - 01 Apr, 0060 - 08 Apr, 0128 - 15 Apr 26</t>
  </si>
  <si>
    <t>BCA26-06041</t>
  </si>
  <si>
    <t>Rafi Seafood - Inv. 17, 18 Apr 26</t>
  </si>
  <si>
    <t>BCA26-06042</t>
  </si>
  <si>
    <t>Hepi Ternak Indonesia - Inv. 0023 - 28 Apr, 0003 - 29 Apr 26</t>
  </si>
  <si>
    <t>BCA26-060343</t>
  </si>
  <si>
    <t>Tiga Juragan Perkasa - Inv. 7011 - 06 Apr, 7054 - 07 Apr, 7603 - 14 Apr 26</t>
  </si>
  <si>
    <t>BCA26-06044</t>
  </si>
  <si>
    <t>Putra Mahkota Dewata - Inv. 4977 - 31 Mar 26</t>
  </si>
  <si>
    <t>BCA26-06045</t>
  </si>
  <si>
    <t>Japo Powder - Inv. 2145 - 06 Apr (Sampel), 2152,2153 - 07 Apr, 2193,2192,2194 - 14 Apr, 2231 - 21 Apr 26</t>
  </si>
  <si>
    <t>BCA26-06046</t>
  </si>
  <si>
    <t>Era Fresh - Inv. APR 2026</t>
  </si>
  <si>
    <t>BCA26-06047</t>
  </si>
  <si>
    <t>Dimatique International - Inv. 5265 - 29 Apr 26</t>
  </si>
  <si>
    <t>BCA26-06048</t>
  </si>
  <si>
    <t>Sukanda Djaya - Inv. 2191,2243 - 08 May 26</t>
  </si>
  <si>
    <t>BCA26-06049</t>
  </si>
  <si>
    <t>Wonderworxs Digital Marketing - Inv. Adv April 2026</t>
  </si>
  <si>
    <t>BCA26-06050</t>
  </si>
  <si>
    <t>See Balichronicles - Adv. April 2026</t>
  </si>
  <si>
    <t>BCA26-06051</t>
  </si>
  <si>
    <t>Jamal - Fee Salsa 14 Mei 26</t>
  </si>
  <si>
    <t>BCA26-06052</t>
  </si>
  <si>
    <t xml:space="preserve">Bowo - Fee Regular May 2026 </t>
  </si>
  <si>
    <t>BCA26-06053</t>
  </si>
  <si>
    <t>Pak Kaling - Fee Regular May 2026</t>
  </si>
  <si>
    <t>BCA26-06054</t>
  </si>
  <si>
    <t>Refund to Florian (Over Payment) DP TGL 29 MAY DI EDC BCA</t>
  </si>
  <si>
    <t>BCA26-06055</t>
  </si>
  <si>
    <t>Top ads sos med 01 June 2026 (Reimburse to Angga)</t>
  </si>
  <si>
    <t>BCA26-06056</t>
  </si>
  <si>
    <t>Top ads sos med 02 June 2026</t>
  </si>
  <si>
    <t>BCA26-06057</t>
  </si>
  <si>
    <t>DP Winda TB 8&amp;9 6 June</t>
  </si>
  <si>
    <t>BCA26-06057A</t>
  </si>
  <si>
    <t>G017</t>
  </si>
  <si>
    <t>Alamboga Internusa - SO-26-06-24421 - 3 June 26 PEELED TOMATOER 2,5KG</t>
  </si>
  <si>
    <t>Alamboga Internusa - SO-26-06-24421 - 3 June 26</t>
  </si>
  <si>
    <t>BCA26-06058</t>
  </si>
  <si>
    <t>BCA CC  01-06-2026</t>
  </si>
  <si>
    <t>BCA26-06059</t>
  </si>
  <si>
    <t>BCA DEBT 01-06-2026</t>
  </si>
  <si>
    <t>BCA26-06060</t>
  </si>
  <si>
    <t>BCA QR  01-06-2026</t>
  </si>
  <si>
    <t>BCA26-06061</t>
  </si>
  <si>
    <t>Pt. Buana Graha Satelit - Inv. 6455 - 10 April 26</t>
  </si>
  <si>
    <t>BCA26-06062</t>
  </si>
  <si>
    <t>Dineta Jaya - Inv. 3120, 2637 - 05 May  26,7152 - 12 May  26,8142 - 13 May  26</t>
  </si>
  <si>
    <t>BCA26-06063</t>
  </si>
  <si>
    <t>Mahkota Jaya Barokah - Inv. 0038 - 05 May 26</t>
  </si>
  <si>
    <t>BCA26-06064</t>
  </si>
  <si>
    <t>Sukanda Djaya - Inv.8582 - 12 May, 8093 - 12 May 26</t>
  </si>
  <si>
    <t>BCA26-06065</t>
  </si>
  <si>
    <t>Wildan Fresh - Inv. 17 May 26</t>
  </si>
  <si>
    <t>BCA26-06066</t>
  </si>
  <si>
    <t>Michael Vagas - Fee Dj 12 May 26</t>
  </si>
  <si>
    <t>BCA26-06067</t>
  </si>
  <si>
    <t>Venuto - Fee Dj 13,15 May 26</t>
  </si>
  <si>
    <t>BCA26-06068</t>
  </si>
  <si>
    <t>Met Musik - Fee Dj 14 May 26</t>
  </si>
  <si>
    <t>BCA26-06069</t>
  </si>
  <si>
    <t>Xjane -  Fee Dj 14 May 26  (Deduct Ledger  09 May 800.360, 16 May 141.240</t>
  </si>
  <si>
    <t>BCA26-06070</t>
  </si>
  <si>
    <t>Drummer - Fee 14 May 2026</t>
  </si>
  <si>
    <t>BCA26-06071</t>
  </si>
  <si>
    <t xml:space="preserve">Shammui - Fee Dj 13,16 May 26 </t>
  </si>
  <si>
    <t>BCA26-06072</t>
  </si>
  <si>
    <t>Mvnv - (New Dj Name - Soulmantra) - Fee Dj  12 May 26</t>
  </si>
  <si>
    <t>BCA26-06073</t>
  </si>
  <si>
    <t>Arash - Fee Dj  12 May 26</t>
  </si>
  <si>
    <t>BCA26-06074</t>
  </si>
  <si>
    <t>Manu - L - Fee Dj  15 May 26</t>
  </si>
  <si>
    <t>BCA26-06075</t>
  </si>
  <si>
    <t>Vadm - Fee Dj 16 May 26</t>
  </si>
  <si>
    <t>BCA26-06076</t>
  </si>
  <si>
    <t>Lukeybagus- Fee Dj  17 May 26</t>
  </si>
  <si>
    <t>BCA26-06077</t>
  </si>
  <si>
    <t>Onyx - Inv. 002 - 26 May 26 (Meta Ads, Videograpgher, Talent, Merchandise Topi, NAUFAL EDITOR C1 + FLYER 28 April)</t>
  </si>
  <si>
    <t>BCA26-06078</t>
  </si>
  <si>
    <t>Onyx - Tuesday 28 April 2026 (Delvino)</t>
  </si>
  <si>
    <t>BCA26-06079</t>
  </si>
  <si>
    <t>Onyx - Tuesday 28 April 2026 (Lukas)</t>
  </si>
  <si>
    <t>BCA26-06080</t>
  </si>
  <si>
    <t>Unknown - Monday 11 May 2026 + Unknown Djs (Laura Blk Rvn) - Fee Dj  11 May 26</t>
  </si>
  <si>
    <t>BCA26-06081</t>
  </si>
  <si>
    <t>Top ads sos med 03 June 2026</t>
  </si>
  <si>
    <t>BCA26-06082</t>
  </si>
  <si>
    <t>6-3109</t>
  </si>
  <si>
    <t>Polda For Permit Letter Crowd For June 2026</t>
  </si>
  <si>
    <t>BCA26-06083</t>
  </si>
  <si>
    <t>Pest Solution - Inv. Apr 2026</t>
  </si>
  <si>
    <t>BCA26-06084</t>
  </si>
  <si>
    <t>Jatind - Fee GL 28 April 26</t>
  </si>
  <si>
    <t>BCA26-06085</t>
  </si>
  <si>
    <t>Fibry - Fee GL 28 April 26</t>
  </si>
  <si>
    <t>BCA26-06086</t>
  </si>
  <si>
    <t xml:space="preserve"> Darboy - Fee Gl 28 April 26 </t>
  </si>
  <si>
    <t>BCA26-06087</t>
  </si>
  <si>
    <t xml:space="preserve"> Kancil - Fee Gl 28 April 26 </t>
  </si>
  <si>
    <t>BCA26-06088</t>
  </si>
  <si>
    <t xml:space="preserve"> Rigo (Fang) - Fee Gl 28 April 26 </t>
  </si>
  <si>
    <t>BCA26-06089</t>
  </si>
  <si>
    <t xml:space="preserve"> Fadil - Fee Gl 28 April 26 </t>
  </si>
  <si>
    <t>BCA26-06090</t>
  </si>
  <si>
    <t xml:space="preserve"> Nana - Fee Gl 28 April 26 </t>
  </si>
  <si>
    <t>BCA26-06091</t>
  </si>
  <si>
    <t xml:space="preserve"> Sherin - Fee Gl 28 April 26 </t>
  </si>
  <si>
    <t>BCA26-06092</t>
  </si>
  <si>
    <t xml:space="preserve"> Alexpas - Fee Gl 28 April 26 </t>
  </si>
  <si>
    <t>BCA26-06093</t>
  </si>
  <si>
    <t xml:space="preserve"> Theo/Teo - Fee Gl 28 April 26 </t>
  </si>
  <si>
    <t>BCA26-06094</t>
  </si>
  <si>
    <t xml:space="preserve"> Juan - Fee Gl 28 April 26 </t>
  </si>
  <si>
    <t>BCA26-06095</t>
  </si>
  <si>
    <t xml:space="preserve"> Mike - Fee Gl 28 April 26 </t>
  </si>
  <si>
    <t>BCA26-06096</t>
  </si>
  <si>
    <t xml:space="preserve"> Lelo - Fee Gl 28 April 26 </t>
  </si>
  <si>
    <t>BCA26-06097</t>
  </si>
  <si>
    <t xml:space="preserve"> Satie -  Fee Dj 08 May 26 </t>
  </si>
  <si>
    <t>BCA26-06098</t>
  </si>
  <si>
    <t xml:space="preserve"> Geko - Fee Dj  17 May 26 </t>
  </si>
  <si>
    <t>BCA26-06100</t>
  </si>
  <si>
    <t>6-3203</t>
  </si>
  <si>
    <t xml:space="preserve"> Cv. Balistar - Inv. 3 June 26 </t>
  </si>
  <si>
    <t>BCA26-06099</t>
  </si>
  <si>
    <t>BCA CC  02-06-2026</t>
  </si>
  <si>
    <t>BCA26-06101</t>
  </si>
  <si>
    <t>Arthaguna Brawijaya - Inv. 1728 - 13 Apr 26</t>
  </si>
  <si>
    <t>BCA26-06102</t>
  </si>
  <si>
    <t>Japo Powder - Inv. 2232, 2229 - 21 Apr 26,2276,2275,2274 - 28 Apr 26</t>
  </si>
  <si>
    <t>BCA26-06103</t>
  </si>
  <si>
    <t>Tirtasakti Mandiri - Inv. 3901 - 28 Apr 26</t>
  </si>
  <si>
    <t>BCA26-06104</t>
  </si>
  <si>
    <t>Jamal - Fee Salsa 21 Mei 26</t>
  </si>
  <si>
    <t>BCA26-06105</t>
  </si>
  <si>
    <t>Caca  - Comm Bottle No. 9982</t>
  </si>
  <si>
    <t>BCA26-06106</t>
  </si>
  <si>
    <t>Top ads sos med 04 June 2026</t>
  </si>
  <si>
    <t>BCA26-06107</t>
  </si>
  <si>
    <t>Galiphan - Fee Dj 28 April 26 the rest</t>
  </si>
  <si>
    <t>BCA26-06108</t>
  </si>
  <si>
    <t>DJ Lyfe - Fee Dj 28 April 26 the rest</t>
  </si>
  <si>
    <t>BCA26-06109</t>
  </si>
  <si>
    <t>BCA CC  03-06-2026</t>
  </si>
  <si>
    <t>BCA26-06110</t>
  </si>
  <si>
    <t>BCA DEBT 03-06-2026</t>
  </si>
  <si>
    <t>BCA26-06111</t>
  </si>
  <si>
    <t>BCA QR  03-06-2026</t>
  </si>
  <si>
    <t>BCA26-06112</t>
  </si>
  <si>
    <t>Alok - Inv. 0324 - 21 Apr 26 (Photo&amp;Video Chromatica)</t>
  </si>
  <si>
    <t>BCA26-06113</t>
  </si>
  <si>
    <t>Top ads sos med 05 June 2026</t>
  </si>
  <si>
    <t>BCA26-06114</t>
  </si>
  <si>
    <t>Polda Fee Utk Narkoba - June 2026</t>
  </si>
  <si>
    <t>BCA26-06115</t>
  </si>
  <si>
    <t>6-3104</t>
  </si>
  <si>
    <t xml:space="preserve">Immigration Fee June 2026 </t>
  </si>
  <si>
    <t>BCA26-06116</t>
  </si>
  <si>
    <t>Rafi Seafood - Inv. 25 Apr 26</t>
  </si>
  <si>
    <t>BCA26-06117</t>
  </si>
  <si>
    <t>Oasis Water - Inv. 0128 - 22 Apr 26</t>
  </si>
  <si>
    <t>BCA26-06118</t>
  </si>
  <si>
    <t>2-4106</t>
  </si>
  <si>
    <t>Lpd Desa Adat Bongkasa June 2026  ( Mobil P Made  asset )</t>
  </si>
  <si>
    <t>8-1000</t>
  </si>
  <si>
    <t>BCA26-06119</t>
  </si>
  <si>
    <t>Tiara - Fee Host Ladies 18 May 26</t>
  </si>
  <si>
    <t>BCA26-06120</t>
  </si>
  <si>
    <t>Indi - Fee Host Ladies 18,21,23 May 26</t>
  </si>
  <si>
    <t>BCA26-06121</t>
  </si>
  <si>
    <t>Santi - Fee Host Ladies 18,23 May 26</t>
  </si>
  <si>
    <t>BCA26-06122</t>
  </si>
  <si>
    <t>Niara - Fee Host Ladies 18 May 26</t>
  </si>
  <si>
    <t>BCA26-06123</t>
  </si>
  <si>
    <t>Kimberly - Fee Host Ladies 18,21 May 26</t>
  </si>
  <si>
    <t>BCA26-06124</t>
  </si>
  <si>
    <t>Shirley - Fee Host Ladies 21 May 26</t>
  </si>
  <si>
    <t>BCA26-06125</t>
  </si>
  <si>
    <t>Lisa - Fee Host Ladies 21 May 26</t>
  </si>
  <si>
    <t>BCA26-06126</t>
  </si>
  <si>
    <t>Hanny - Fee Host Ladies 21,23 May 26</t>
  </si>
  <si>
    <t>BCA26-06127</t>
  </si>
  <si>
    <t>Tasya - Fee Host Ladies 23 May 26</t>
  </si>
  <si>
    <t>BCA26-06128</t>
  </si>
  <si>
    <t>Sasha - Fee Host Ladies 23 May 26</t>
  </si>
  <si>
    <t>BCA26-06129</t>
  </si>
  <si>
    <t>CV. Balistar - Inv. 5 June 26</t>
  </si>
  <si>
    <t>BCA26-06130</t>
  </si>
  <si>
    <t>RESERVATION TB 6 - THOMAS PETER PASCHMANNS</t>
  </si>
  <si>
    <t>BCA26-06131</t>
  </si>
  <si>
    <t>BCA CC  04-06-2026</t>
  </si>
  <si>
    <t>BCA26-06132</t>
  </si>
  <si>
    <t>BCA DEBT 04-06-2026</t>
  </si>
  <si>
    <t>BCA26-06133</t>
  </si>
  <si>
    <t>BCA QR  04-06-2026</t>
  </si>
  <si>
    <t>BCA26-06134</t>
  </si>
  <si>
    <t>BCA CC  05-06-2026</t>
  </si>
  <si>
    <t>BCA26-06135</t>
  </si>
  <si>
    <t>BCA DEBT 05-06-2026</t>
  </si>
  <si>
    <t>BCA26-06136</t>
  </si>
  <si>
    <t>BCA QR  05-06-2026</t>
  </si>
  <si>
    <t>BCA26-06137</t>
  </si>
  <si>
    <t>BCA CC  06-06-2026</t>
  </si>
  <si>
    <t>BCA26-06138</t>
  </si>
  <si>
    <t>BCA DEBT 06-06-2026</t>
  </si>
  <si>
    <t>BCA26-06139</t>
  </si>
  <si>
    <t>BCA QR  06-06-2026</t>
  </si>
  <si>
    <t>BCA26-06140</t>
  </si>
  <si>
    <t>Mmb - Inv. 1273 - 10 Mar 26</t>
  </si>
  <si>
    <t>BCA26-06141</t>
  </si>
  <si>
    <t>Panca Niaga Bali - Inv. 2280,2278 - 18 Feb 26,2384,2224 - 24 Feb 26 (DEDUCT SUPPORT 45JUTA)</t>
  </si>
  <si>
    <t>BCA26-06142</t>
  </si>
  <si>
    <t>Panca Niaga Bali - Inv. 3036 - 03 Mar 26</t>
  </si>
  <si>
    <t>BCA26-06143</t>
  </si>
  <si>
    <t>Panca Niaga Bali - Inv. 3034 - 03 Mar 26 (Barang Konsinyasi)</t>
  </si>
  <si>
    <t>BCA26-06144</t>
  </si>
  <si>
    <t>Atd - Inv. 0064 - 17 Feb 26</t>
  </si>
  <si>
    <t>BCA26-06145</t>
  </si>
  <si>
    <t>Wahana Boga Nusantara - Inv. 0768 - 29 Apr 26</t>
  </si>
  <si>
    <t>BCA26-06146</t>
  </si>
  <si>
    <t>Lim Siang Huat Balindo - Inv. 4017 - 22 Apr  26</t>
  </si>
  <si>
    <t>BCA26-06147</t>
  </si>
  <si>
    <t>Dewata Kencana Distribusi - Inv. 2512 - 28 Apr, inv. 2613 - 06 May 26</t>
  </si>
  <si>
    <t>BCA26-06148</t>
  </si>
  <si>
    <t>Putu Raptor - Inv. April 2026</t>
  </si>
  <si>
    <t>BCA26-06149</t>
  </si>
  <si>
    <t>Putu Raptor - Inv. May2026</t>
  </si>
  <si>
    <t>BCA26-06150</t>
  </si>
  <si>
    <t>Surachman - Management Tax Rr For Mar2026</t>
  </si>
  <si>
    <t>BCA26-06151</t>
  </si>
  <si>
    <t>Jamal - Fee Salsa 28 Mei 26</t>
  </si>
  <si>
    <t xml:space="preserve"> BCA26-06152 </t>
  </si>
  <si>
    <t>Nebula - FEE DJ 18 MAY 26</t>
  </si>
  <si>
    <t xml:space="preserve"> BCA26-06153</t>
  </si>
  <si>
    <t>VIbez Intel - FEE DJ 18 MAY 26</t>
  </si>
  <si>
    <t xml:space="preserve"> BCA26-06154</t>
  </si>
  <si>
    <t>BLCK RVN - (laura) FEE DJ 19 MAY 26</t>
  </si>
  <si>
    <t xml:space="preserve"> BCA26-06155</t>
  </si>
  <si>
    <t>Arien Catherine - FEE DJ 20 MAY 26</t>
  </si>
  <si>
    <t xml:space="preserve"> BCA26-06156</t>
  </si>
  <si>
    <t>Edger - FEE DJ 20 MAY 26</t>
  </si>
  <si>
    <t xml:space="preserve"> BCA26-06157</t>
  </si>
  <si>
    <t>Shammui - FEE DJ 20,23 MAY 26</t>
  </si>
  <si>
    <t xml:space="preserve"> BCA26-06158</t>
  </si>
  <si>
    <t>Wrigley - FEE DJ 21 MAY 26</t>
  </si>
  <si>
    <t xml:space="preserve"> BCA26-06159</t>
  </si>
  <si>
    <t>Met Musik - FEE DJ 21 MAY 26</t>
  </si>
  <si>
    <t xml:space="preserve"> BCA26-06160</t>
  </si>
  <si>
    <t>Daff P - FEE DJ 21 MAY 26</t>
  </si>
  <si>
    <t xml:space="preserve"> BCA26-06161</t>
  </si>
  <si>
    <t>Drummer - FEE 21 MAY 26</t>
  </si>
  <si>
    <t xml:space="preserve"> BCA26-06162</t>
  </si>
  <si>
    <t>Venuto - FEE DJ 22 MAY 26</t>
  </si>
  <si>
    <t xml:space="preserve"> BCA26-06163</t>
  </si>
  <si>
    <t>Manu - L - FEE DJ 22,24 MAY 26</t>
  </si>
  <si>
    <t xml:space="preserve"> BCA26-06164</t>
  </si>
  <si>
    <t>Michael Vagas. - FEE DJ 22 MAY 26</t>
  </si>
  <si>
    <t xml:space="preserve"> BCA26-06165</t>
  </si>
  <si>
    <t>Baobab Chic - FEE DJ 23 MAY 26</t>
  </si>
  <si>
    <t xml:space="preserve"> BCA26-06166</t>
  </si>
  <si>
    <t>LukeyBagus - FEE DJ 24 MAY 26</t>
  </si>
  <si>
    <t xml:space="preserve"> BCA26-06167</t>
  </si>
  <si>
    <t>Fibry Onyx - Comm Bottle No.0557</t>
  </si>
  <si>
    <t xml:space="preserve"> BCA26-06168</t>
  </si>
  <si>
    <t>Cherry - Comm Bottle No. 3152</t>
  </si>
  <si>
    <t xml:space="preserve"> BCA26-06169</t>
  </si>
  <si>
    <t>Caca - Comm Bottle No. 3763</t>
  </si>
  <si>
    <t xml:space="preserve"> BCA26-06170</t>
  </si>
  <si>
    <t>Eryka Team - Fee Host Ladies 20,22,24 May 26 + Coordination Fee 500K</t>
  </si>
  <si>
    <t xml:space="preserve"> BCA26-06171</t>
  </si>
  <si>
    <t>Cherry Team - Fee Host Ladies 19,20,21 May 26 + Fee Coordination 250K</t>
  </si>
  <si>
    <t xml:space="preserve"> BCA26-06171A</t>
  </si>
  <si>
    <t>6-1110</t>
  </si>
  <si>
    <t>Bpjs Kesehatan June 2026 (Red Ruby) by company</t>
  </si>
  <si>
    <t>2-2111</t>
  </si>
  <si>
    <t>Bpjs Kesehatan June 2026 (Red Ruby) by staff</t>
  </si>
  <si>
    <t>Bpjs Kesehatan June 2026 (Rosalita)</t>
  </si>
  <si>
    <t>Bpjs Kesehatan June 2026 (STW)</t>
  </si>
  <si>
    <t>Bpjs Kesehatan June 2026 (Red Ruby.Rosalita)</t>
  </si>
  <si>
    <t>Bpjs Kesehatan June 2026 (Red Ruby.Rosalita,STW)</t>
  </si>
  <si>
    <t xml:space="preserve"> BCA26-06172</t>
  </si>
  <si>
    <t>Top ads sos med 08 June 2026</t>
  </si>
  <si>
    <t xml:space="preserve"> BCA26-06173</t>
  </si>
  <si>
    <t>Alam Selau Hijau (Greenok) - Inv. 1227 - 07 Apr 26</t>
  </si>
  <si>
    <t xml:space="preserve"> BCA26-06174</t>
  </si>
  <si>
    <t>Cv. Gudang Uang - Inv. 0526 - 05 May 26</t>
  </si>
  <si>
    <t xml:space="preserve"> BCA26-06175</t>
  </si>
  <si>
    <t>Bali Alam Rayya - Inv. 2048 - 05 May 26</t>
  </si>
  <si>
    <t xml:space="preserve"> BCA26-06176</t>
  </si>
  <si>
    <t>Mahaputra - Inv.0074 - 05 May 26</t>
  </si>
  <si>
    <t xml:space="preserve"> BCA26-06177</t>
  </si>
  <si>
    <t>Bali Kalpawreksa - Inv. 8766 - 05 May 26</t>
  </si>
  <si>
    <t xml:space="preserve"> BCA26-06178</t>
  </si>
  <si>
    <t>Loading Dog Roasworks - Inv. 05 May 26</t>
  </si>
  <si>
    <t xml:space="preserve"> BCA26-06179</t>
  </si>
  <si>
    <t>Bali Kulina Utama - Inv. 0314 - 28  Apr 26</t>
  </si>
  <si>
    <t xml:space="preserve"> BCA26-06180</t>
  </si>
  <si>
    <t>Tiga Juragan Perkasa - Inv. 08119 - 21 Apr 26</t>
  </si>
  <si>
    <t xml:space="preserve"> BCA26-06181</t>
  </si>
  <si>
    <t>Hari Sedana Komputer - Inv. 26 May 26 (Punya Lukas 484,000)</t>
  </si>
  <si>
    <t xml:space="preserve"> BCA26-06182</t>
  </si>
  <si>
    <t>6-2101</t>
  </si>
  <si>
    <t>Shopee - Sarung Tangan</t>
  </si>
  <si>
    <t xml:space="preserve"> BCA26-06182A</t>
  </si>
  <si>
    <t>Alamboga Internusa - SO/26/06/25410 - 9 June 26 PEELED TOMATOES</t>
  </si>
  <si>
    <t>Alamboga Internusa - SO/26/06/25410 - 9 June 26</t>
  </si>
  <si>
    <t xml:space="preserve"> BCA26-06183</t>
  </si>
  <si>
    <t>LOAN FROM ROSALITA</t>
  </si>
  <si>
    <t xml:space="preserve"> BCA26-06184</t>
  </si>
  <si>
    <t>Vagas - Fee Dj 25 May 26</t>
  </si>
  <si>
    <t xml:space="preserve"> BCA26-06185</t>
  </si>
  <si>
    <t>Vadm - Fee Dj 25 May 26</t>
  </si>
  <si>
    <t xml:space="preserve"> BCA26-06186</t>
  </si>
  <si>
    <t>Dj Lyfe - Fee Dj 26 May 26</t>
  </si>
  <si>
    <t xml:space="preserve"> BCA26-06187</t>
  </si>
  <si>
    <t>Saul Bliss - Fee Dj 26 May 26</t>
  </si>
  <si>
    <t xml:space="preserve"> BCA26-06188</t>
  </si>
  <si>
    <t>Arash - Fee Dj 26 May 26</t>
  </si>
  <si>
    <t xml:space="preserve"> BCA26-06189</t>
  </si>
  <si>
    <t>Venuto - Fee Dj 27 May 26</t>
  </si>
  <si>
    <t xml:space="preserve"> BCA26-06190</t>
  </si>
  <si>
    <t xml:space="preserve">Xjane - Fee Dj 28,30 May 26 (Deduct Ledger 23 May   677.952 </t>
  </si>
  <si>
    <t xml:space="preserve"> BCA26-06191</t>
  </si>
  <si>
    <t>Josh Davids - Fee Dj 28 May 26</t>
  </si>
  <si>
    <t xml:space="preserve"> BCA26-06192</t>
  </si>
  <si>
    <t xml:space="preserve">El Didion - Fee Dj 28 May 26 (Deduct Ledger 23 May   230.692 </t>
  </si>
  <si>
    <t xml:space="preserve"> BCA26-06193</t>
  </si>
  <si>
    <t>Brad Watts - Fee Dj 29 May 26</t>
  </si>
  <si>
    <t xml:space="preserve"> BCA26-06194</t>
  </si>
  <si>
    <t>Novecento. - Fee Dj 29 May 26</t>
  </si>
  <si>
    <t xml:space="preserve"> BCA26-06195</t>
  </si>
  <si>
    <t>Amen Rust - Fee Dj 29 May 26</t>
  </si>
  <si>
    <t xml:space="preserve"> BCA26-06196</t>
  </si>
  <si>
    <t xml:space="preserve">Touch The Sound - Fee Dj 30 May 26 (Deduct Ledger 29 May   112.992 , 30 May   635.580 </t>
  </si>
  <si>
    <t xml:space="preserve"> BCA26-06197</t>
  </si>
  <si>
    <t xml:space="preserve">Shammui - Fee Dj 30 May 26 (Deduct Ledger 20 May   294.250 </t>
  </si>
  <si>
    <t xml:space="preserve"> BCA26-06198</t>
  </si>
  <si>
    <t>Zone Two - Fee Dj 31 May 26</t>
  </si>
  <si>
    <t xml:space="preserve"> BCA26-06199</t>
  </si>
  <si>
    <t>Top ads sos med 09 June 2026</t>
  </si>
  <si>
    <t xml:space="preserve"> BCA26-06200</t>
  </si>
  <si>
    <t>Eka Print - Inv. 9 June 26</t>
  </si>
  <si>
    <t xml:space="preserve"> BCA26-06201</t>
  </si>
  <si>
    <t>5-5000</t>
  </si>
  <si>
    <t>Komang - Fee Driver for pick up/ drop off for mustache djs</t>
  </si>
  <si>
    <t xml:space="preserve"> BCA26-06202</t>
  </si>
  <si>
    <t>Soulmantra (Mvnv) - Fee Dj 27 May 26</t>
  </si>
  <si>
    <t xml:space="preserve"> BCA26-06203</t>
  </si>
  <si>
    <t>Mario - Fee Dj 26 May 26</t>
  </si>
  <si>
    <t xml:space="preserve"> BCA26-06204</t>
  </si>
  <si>
    <t>Mc El Chi - Fee 26 May 26</t>
  </si>
  <si>
    <t xml:space="preserve"> BCA26-06205</t>
  </si>
  <si>
    <t>Therecia - Reimburse Paket HP Office 7 June 26 + Biaya Adm</t>
  </si>
  <si>
    <t xml:space="preserve"> BCA26-06206</t>
  </si>
  <si>
    <t>CV Bali Star - Inv. 9 June 26</t>
  </si>
  <si>
    <t xml:space="preserve"> BCA26-06207</t>
  </si>
  <si>
    <t>BCA CC  07-06-2026</t>
  </si>
  <si>
    <t xml:space="preserve"> BCA26-06208</t>
  </si>
  <si>
    <t>BCA DEBT 07-06-2026</t>
  </si>
  <si>
    <t xml:space="preserve"> BCA26-06209</t>
  </si>
  <si>
    <t>BCA QR  07-06-2026</t>
  </si>
  <si>
    <t xml:space="preserve"> BCA26-06210</t>
  </si>
  <si>
    <t>BCA CC  08-06-2026</t>
  </si>
  <si>
    <t xml:space="preserve"> BCA26-06211</t>
  </si>
  <si>
    <t>BCA DEBT 08-06-2026</t>
  </si>
  <si>
    <t xml:space="preserve"> BCA26-06212</t>
  </si>
  <si>
    <t>BCA QR  08-06-2026</t>
  </si>
  <si>
    <t xml:space="preserve"> BCA26-06213</t>
  </si>
  <si>
    <t>Arthaguna Brawijaya - Inv. 2252 - 20 Apr 26</t>
  </si>
  <si>
    <t xml:space="preserve"> BCA26-06214</t>
  </si>
  <si>
    <t>Satria Pangan Sejati - Inv. 1042 - 04 May 26</t>
  </si>
  <si>
    <t xml:space="preserve"> BCA26-06215</t>
  </si>
  <si>
    <t>Bali Kulina Utama - Inv. 1165 - 05 May 26</t>
  </si>
  <si>
    <t xml:space="preserve"> BCA26-06216</t>
  </si>
  <si>
    <t>Mahaputra - Inv.0209 - 12 May 26</t>
  </si>
  <si>
    <t xml:space="preserve"> BCA26-06217</t>
  </si>
  <si>
    <t>Oasis Water - Inv. 0269 - 29 Apr 26</t>
  </si>
  <si>
    <t xml:space="preserve"> BCA26-06218</t>
  </si>
  <si>
    <t>Tiga Juragan Perkasa - Inv. 8370, 8339 - 24 Apr 26</t>
  </si>
  <si>
    <t xml:space="preserve"> BCA26-06219</t>
  </si>
  <si>
    <t>Japo Powder - Inv. 1971 - 20 FEB 26</t>
  </si>
  <si>
    <t xml:space="preserve"> BCA26-06220</t>
  </si>
  <si>
    <t>Cello - Fee Dj 25,27 May 26</t>
  </si>
  <si>
    <t xml:space="preserve"> BCA26-06221</t>
  </si>
  <si>
    <t>Top ads sos med 10 June 2026</t>
  </si>
  <si>
    <t xml:space="preserve"> BCA26-06222</t>
  </si>
  <si>
    <t>BCA CC  09-06-2026</t>
  </si>
  <si>
    <t xml:space="preserve"> BCA26-06223</t>
  </si>
  <si>
    <t>BCA DEBT 09-06-2026</t>
  </si>
  <si>
    <t xml:space="preserve"> BCA26-06224</t>
  </si>
  <si>
    <t>BCA QR  09-06-2026</t>
  </si>
  <si>
    <t xml:space="preserve"> BCA26-06224A</t>
  </si>
  <si>
    <t>DP WULAN TB 8-9 FOR 13 JUNE</t>
  </si>
  <si>
    <t xml:space="preserve"> BCA26-06225</t>
  </si>
  <si>
    <t>Mmb - Inv. 1457 - 17 Mar 26</t>
  </si>
  <si>
    <t xml:space="preserve"> BCA26-06226</t>
  </si>
  <si>
    <t>Bali Kalpawreksa - Inv. 9267 - 12 May 26</t>
  </si>
  <si>
    <t xml:space="preserve"> BCA26-06227</t>
  </si>
  <si>
    <t>Hepi Ternak Indonesia - Inv. 00061 - 12 May 26</t>
  </si>
  <si>
    <t xml:space="preserve"> BCA26-06228</t>
  </si>
  <si>
    <t>Tiga Juragan Perkasa - Inv. 8664,8683 - 28 Apr, 8660 - 28 Apr 26</t>
  </si>
  <si>
    <t xml:space="preserve"> BCA26-06229</t>
  </si>
  <si>
    <t>Top ads sos med 11 June 2026</t>
  </si>
  <si>
    <t xml:space="preserve"> BCA26-06230</t>
  </si>
  <si>
    <t>Polres  Pak Karang - For June 2026 + Polres  Karang (Lanang) - Fee  June 2026 + 500RB (DONASI)</t>
  </si>
  <si>
    <t xml:space="preserve"> BCA26-06231</t>
  </si>
  <si>
    <t>Bali Permatajaya Sukses - Inv. 0704 - 25 Mar 26</t>
  </si>
  <si>
    <t xml:space="preserve"> BCA26-06232</t>
  </si>
  <si>
    <t>Mi Bpsbli X - Inv. 0015 - 11 Mar 26</t>
  </si>
  <si>
    <t xml:space="preserve"> BCA26-06233</t>
  </si>
  <si>
    <t>Ad Supplier - Inv. 1759 - 28  Apr 26</t>
  </si>
  <si>
    <t xml:space="preserve"> BCA26-06234</t>
  </si>
  <si>
    <t>Tiga Juragan Perkasa - Inv. 9144 - 05 May 26</t>
  </si>
  <si>
    <t xml:space="preserve"> BCA26-06235</t>
  </si>
  <si>
    <t>CACA - COMM BOTTLE NO.5325</t>
  </si>
  <si>
    <t xml:space="preserve"> BCA26-06236</t>
  </si>
  <si>
    <t>BLACK RVN - COMM BOTTLE NO.4406,4398,4388</t>
  </si>
  <si>
    <t>REVISI JURNAL BULAN LALU</t>
  </si>
  <si>
    <t xml:space="preserve"> BCA26-06237</t>
  </si>
  <si>
    <t>Tiara - Fee Host Ladies 28,30 May 26</t>
  </si>
  <si>
    <t xml:space="preserve"> BCA26-06238</t>
  </si>
  <si>
    <t>Eka - Fee Host Ladies 30 May 26</t>
  </si>
  <si>
    <t xml:space="preserve"> BCA26-06239</t>
  </si>
  <si>
    <t>Cia - Fee Host Ladies 30 May 26</t>
  </si>
  <si>
    <t xml:space="preserve"> BCA26-06240</t>
  </si>
  <si>
    <t>Hanny - Fee Host Ladies 25,30 May 26</t>
  </si>
  <si>
    <t xml:space="preserve"> BCA26-06241</t>
  </si>
  <si>
    <t>Santi  - Fee Host Ladies 25,28 May 26</t>
  </si>
  <si>
    <t xml:space="preserve"> BCA26-06242</t>
  </si>
  <si>
    <t>Niara  - Fee Host Ladies 25 May 26</t>
  </si>
  <si>
    <t xml:space="preserve"> BCA26-06243</t>
  </si>
  <si>
    <t>Tasya  - Fee Host Ladies 28 May 26</t>
  </si>
  <si>
    <t xml:space="preserve"> BCA26-06244</t>
  </si>
  <si>
    <t>Sasha - Fee Host Ladies 30 May 26</t>
  </si>
  <si>
    <t xml:space="preserve"> BCA26-06245</t>
  </si>
  <si>
    <t>Kimberly  - Fee Host Ladies 28 May 26</t>
  </si>
  <si>
    <t xml:space="preserve"> BCA26-06246</t>
  </si>
  <si>
    <t>Eryka Team - Fee Host Ladies 27,29,31 May 26 + Coordination Fee 500K</t>
  </si>
  <si>
    <t xml:space="preserve"> BCA26-06247</t>
  </si>
  <si>
    <t>Cherry Team - Fee Host Ladies 26,27,28 May 26 + Coordination Fee 250K</t>
  </si>
  <si>
    <t xml:space="preserve"> BCA26-06248</t>
  </si>
  <si>
    <t>Top ads sos med 12 June 2026</t>
  </si>
  <si>
    <t xml:space="preserve"> BCA26-06249</t>
  </si>
  <si>
    <t>Angga - Reimburse Bali Star 11 Jun 26</t>
  </si>
  <si>
    <t xml:space="preserve"> BCA26-06250</t>
  </si>
  <si>
    <t>BNN  Fee June 2026</t>
  </si>
  <si>
    <t xml:space="preserve"> BCA26-06251</t>
  </si>
  <si>
    <t>Black Rvn  - Comm Bottle No. 9255,9257,9236,9242,9234</t>
  </si>
  <si>
    <t xml:space="preserve"> BCA26-06252</t>
  </si>
  <si>
    <t>BCA CC  10-06-2026</t>
  </si>
  <si>
    <t xml:space="preserve"> BCA26-06253</t>
  </si>
  <si>
    <t>BCA QR  10-06-2026</t>
  </si>
  <si>
    <t xml:space="preserve"> BCA26-06254</t>
  </si>
  <si>
    <t>Pt. Galang Dananjaya Bali - Inv. 054 - 26 Mei 2026 (Ijin Motor Diesel)</t>
  </si>
  <si>
    <t xml:space="preserve"> BCA26-06255</t>
  </si>
  <si>
    <t>Mi Bpsbli X - Inv. 0032 - 25 Mar 26</t>
  </si>
  <si>
    <t xml:space="preserve"> BCA26-06256</t>
  </si>
  <si>
    <t>BCA CC  11-06-2026</t>
  </si>
  <si>
    <t xml:space="preserve"> BCA26-06257</t>
  </si>
  <si>
    <t>BCA DEBT 11-06-2026</t>
  </si>
  <si>
    <t xml:space="preserve">  BCA26-06258 </t>
  </si>
  <si>
    <t>BCA QR  11-06-2026</t>
  </si>
  <si>
    <t xml:space="preserve">  BCA26-06258A</t>
  </si>
  <si>
    <t>DP TB 5</t>
  </si>
  <si>
    <t xml:space="preserve"> BCA26-06259</t>
  </si>
  <si>
    <t>BCA CC  12-06-2026</t>
  </si>
  <si>
    <t xml:space="preserve"> BCA26-06260</t>
  </si>
  <si>
    <t>BCA DEBT 12-06-2026</t>
  </si>
  <si>
    <t xml:space="preserve"> BCA26-06261</t>
  </si>
  <si>
    <t>BCA CC  13-06-2026</t>
  </si>
  <si>
    <t xml:space="preserve"> BCA26-06262</t>
  </si>
  <si>
    <t>BCA DEBT 13-06-2026</t>
  </si>
  <si>
    <t xml:space="preserve"> BCA26-06263</t>
  </si>
  <si>
    <t>BCA QR  13-06-2026</t>
  </si>
  <si>
    <t xml:space="preserve"> BCA26-06264</t>
  </si>
  <si>
    <t>Mmb - Inv. 1456 - 17 Mar 26</t>
  </si>
  <si>
    <t xml:space="preserve"> BCA26-06265</t>
  </si>
  <si>
    <t>Bali Kalpawreksa - Inv. 9006 - 16 May 26</t>
  </si>
  <si>
    <t xml:space="preserve"> BCA26-06266</t>
  </si>
  <si>
    <t>Oasis Water - Inv. 0280 - 30 Apr 26</t>
  </si>
  <si>
    <t xml:space="preserve"> BCA26-06267</t>
  </si>
  <si>
    <t>Tiga Juragan Perkasa - Inv. 9682 - 12 May 26</t>
  </si>
  <si>
    <t xml:space="preserve"> BCA26-06268</t>
  </si>
  <si>
    <t>Warung Pizza - Inv. 0440 - 12 May 26</t>
  </si>
  <si>
    <t xml:space="preserve"> BCA26-06269</t>
  </si>
  <si>
    <t>6-3405</t>
  </si>
  <si>
    <t>Polar Audio Rental - Inv. 826 - 06 June 26</t>
  </si>
  <si>
    <t xml:space="preserve"> BCA26-06270</t>
  </si>
  <si>
    <t>Top ads sos med 15,16,17,18 June 2026</t>
  </si>
  <si>
    <t xml:space="preserve"> BCA26-06271</t>
  </si>
  <si>
    <t>Lpd Desa Adat Bongkasa June 2026  (tanah,rumah muding P Made asset)</t>
  </si>
  <si>
    <t xml:space="preserve"> BCA26-06272</t>
  </si>
  <si>
    <t>PDAM MAY 2026</t>
  </si>
  <si>
    <t xml:space="preserve"> BCA26-06273</t>
  </si>
  <si>
    <t>Mei 2026</t>
  </si>
  <si>
    <t xml:space="preserve"> BCA26-06274</t>
  </si>
  <si>
    <t>2-3102</t>
  </si>
  <si>
    <t xml:space="preserve">PPH 21 May 2026 (RR </t>
  </si>
  <si>
    <t>PPH 21 May 2026 ( Rosa)</t>
  </si>
  <si>
    <t>6-1108</t>
  </si>
  <si>
    <t>PPH 21 May 2026 (RR &amp; Rosa)</t>
  </si>
  <si>
    <t xml:space="preserve"> BCA26-06275</t>
  </si>
  <si>
    <t>LOAN TO ROSALITA BCA</t>
  </si>
  <si>
    <t xml:space="preserve"> BCA26-06276</t>
  </si>
  <si>
    <t>Angga - Reimburse Bali Star 12 &amp; 14 Jun 26</t>
  </si>
  <si>
    <t xml:space="preserve"> BCA26-06277</t>
  </si>
  <si>
    <t>SHOPEE - CETAKAN BURGER</t>
  </si>
  <si>
    <t xml:space="preserve"> BCA26-06278</t>
  </si>
  <si>
    <t>BALI STAR - INV. 15 JUNE 26</t>
  </si>
  <si>
    <t xml:space="preserve"> BCA26-06279</t>
  </si>
  <si>
    <t>BCA CC  14-06-2026</t>
  </si>
  <si>
    <t xml:space="preserve"> BCA26-06280</t>
  </si>
  <si>
    <t>BCA CC  15-06-2026</t>
  </si>
  <si>
    <t xml:space="preserve"> BCA26-06281</t>
  </si>
  <si>
    <t>BCA QR  15-06-2026</t>
  </si>
  <si>
    <t xml:space="preserve"> BCA26-06282</t>
  </si>
  <si>
    <t>BCA CC  16-06-2026</t>
  </si>
  <si>
    <t xml:space="preserve"> BCA26-06283</t>
  </si>
  <si>
    <t>BCA DEBT 16-06-2026</t>
  </si>
  <si>
    <t xml:space="preserve"> BCA26-06284</t>
  </si>
  <si>
    <t>BCA QR  16-06-2026</t>
  </si>
  <si>
    <t xml:space="preserve"> BCA26-06285</t>
  </si>
  <si>
    <t>BCA CC  17-06-2026</t>
  </si>
  <si>
    <t xml:space="preserve"> BCA26-06285A</t>
  </si>
  <si>
    <t>DP TB 10&amp;11 26 June, Friday</t>
  </si>
  <si>
    <t xml:space="preserve"> BCA26-06286</t>
  </si>
  <si>
    <t>Top ads sos med 19-21 June 2026</t>
  </si>
  <si>
    <t xml:space="preserve"> BCA26-06287</t>
  </si>
  <si>
    <t>Angga - Reimburse Bali Star 15 Jun 26</t>
  </si>
  <si>
    <t xml:space="preserve"> BCA26-06288</t>
  </si>
  <si>
    <t>Fee jasa angkut sampah bulan Juni</t>
  </si>
  <si>
    <t xml:space="preserve"> BCA26-06289</t>
  </si>
  <si>
    <t>PLN MAY 2026</t>
  </si>
  <si>
    <t xml:space="preserve"> BCA26-06290</t>
  </si>
  <si>
    <t xml:space="preserve">MEGA TIX PAID LEDGER </t>
  </si>
  <si>
    <t xml:space="preserve"> BCA26-06291</t>
  </si>
  <si>
    <t>BCA CC  18-06-2026</t>
  </si>
  <si>
    <t xml:space="preserve"> BCA26-06292</t>
  </si>
  <si>
    <t>BCA QR  18-06-2026</t>
  </si>
  <si>
    <t xml:space="preserve"> BCA26-06293</t>
  </si>
  <si>
    <t>BCA CC 19-06-2026</t>
  </si>
  <si>
    <t xml:space="preserve"> BCA26-06294</t>
  </si>
  <si>
    <t>BCA debt 19-06-2026</t>
  </si>
  <si>
    <t xml:space="preserve"> BCA26-06295</t>
  </si>
  <si>
    <t>BCA QR 19-06-2026</t>
  </si>
  <si>
    <t xml:space="preserve"> BCA26-06296</t>
  </si>
  <si>
    <t>BCA CC 20-06-2026</t>
  </si>
  <si>
    <t xml:space="preserve"> BCA26-06297</t>
  </si>
  <si>
    <t>BCA debt 20-06-2026</t>
  </si>
  <si>
    <t xml:space="preserve"> BCA26-06298</t>
  </si>
  <si>
    <t>BCA QR 20-06-2026</t>
  </si>
  <si>
    <t xml:space="preserve"> BCA26-06298A</t>
  </si>
  <si>
    <t>MEGA TIX PAID LEDGER LITC HI</t>
  </si>
  <si>
    <t>7-3000</t>
  </si>
  <si>
    <t xml:space="preserve"> BCA26-06299</t>
  </si>
  <si>
    <t>Wahana Boga Nusantara - Inv. 0247 - 08 May 26,B032 - 09 May 26,0395 - 13 May 26 (REVISI NOTA)</t>
  </si>
  <si>
    <t xml:space="preserve"> BCA26-06300</t>
  </si>
  <si>
    <t>Bintang Bali Indah - Inv. 1696 - 21 May 26</t>
  </si>
  <si>
    <t xml:space="preserve"> BCA26-06301</t>
  </si>
  <si>
    <t>Satria Pangan Sejati - Inv. 1048 - 04 May 26,3054,3055 - 11 May 26,5285,5284 - 19 May 26,8378, 8402 - 30 May 26</t>
  </si>
  <si>
    <t xml:space="preserve"> BCA26-06302</t>
  </si>
  <si>
    <t>Tiga Juragan Perkasa - Inv. 9652 - 12 May 26</t>
  </si>
  <si>
    <t xml:space="preserve"> BCA26-06303</t>
  </si>
  <si>
    <t>Top ads sos med 22 June 2026</t>
  </si>
  <si>
    <t xml:space="preserve"> BCA26-06304</t>
  </si>
  <si>
    <t>Oasis Water - Inv. 0034 - 06 May 26</t>
  </si>
  <si>
    <t xml:space="preserve"> BCA26-06305</t>
  </si>
  <si>
    <t>Panca Niaga Bali - Inv. 3971 - 10 Mar 26</t>
  </si>
  <si>
    <t xml:space="preserve"> BCA26-06306</t>
  </si>
  <si>
    <t>Pt. Buana Graha Satelit - Inv. 26542 - 21 April 26</t>
  </si>
  <si>
    <t xml:space="preserve"> BCA26-06307</t>
  </si>
  <si>
    <t>Angga - Reimburse Bali Star 19 Jun 26</t>
  </si>
  <si>
    <t xml:space="preserve"> BCA26-06308</t>
  </si>
  <si>
    <t xml:space="preserve"> BCA26-06309</t>
  </si>
  <si>
    <t>Jamal - Fee Salsa 04 June 26</t>
  </si>
  <si>
    <t xml:space="preserve"> BCA26-06310</t>
  </si>
  <si>
    <t>Onchi Promoter  - Comm Bottle No.6325 (KURANGIN COMM BOTTLE AYU DI BULAN MEI)</t>
  </si>
  <si>
    <t>Onchi Promoter  - Comm Bottle No.6325</t>
  </si>
  <si>
    <t xml:space="preserve"> BCA26-06311</t>
  </si>
  <si>
    <t>Roza Promoter - Comm Bottle No.7578</t>
  </si>
  <si>
    <t xml:space="preserve"> BCA26-06312</t>
  </si>
  <si>
    <t xml:space="preserve">Rindu Promoter - Comm Bottle No.7329 </t>
  </si>
  <si>
    <t xml:space="preserve"> BCA26-06313</t>
  </si>
  <si>
    <t>Dj Benefit - Fee Dj 1 June 26</t>
  </si>
  <si>
    <t>Dj Benefit - Donation For Event Aj O Grady Go Fund Me 01 june 26 RED BULL</t>
  </si>
  <si>
    <t>Dj Benefit - Donation For Event Aj O Grady Go Fund Me 01 june 26 RED RUBY CASH</t>
  </si>
  <si>
    <t>Dj Benefit - Donation For Event Aj O Grady Go Fund Me 01 june 26 OASIS PRODUCT</t>
  </si>
  <si>
    <t>Dj Benefit - Donation For Event Aj O Grady Go Fund Me 01 june 26 BINTANG PRODUCT</t>
  </si>
  <si>
    <t>Dj Benefit - Fee Dj 1 June 26 (Towards Ajo Grady Go Fund Me) + Donation For Event Aj O Grady Go Fund Me 01 june 26</t>
  </si>
  <si>
    <t xml:space="preserve"> BCA26-06314</t>
  </si>
  <si>
    <t>Alamboga Internusa - SO/26/06/27646 - 23 June 26 PEELED TOMATOES</t>
  </si>
  <si>
    <t>Alamboga Internusa - SO/26/06/27646 - 23 June 26</t>
  </si>
  <si>
    <t xml:space="preserve"> BCA26-06315</t>
  </si>
  <si>
    <t>BCA CC 21-06-2026</t>
  </si>
  <si>
    <t xml:space="preserve"> BCA26-06316</t>
  </si>
  <si>
    <t>BCA QR 21-06-2026</t>
  </si>
  <si>
    <t xml:space="preserve"> BCA26-06317</t>
  </si>
  <si>
    <t>Top ads sos med 23 June 2026</t>
  </si>
  <si>
    <t xml:space="preserve"> BCA26-06317A</t>
  </si>
  <si>
    <t>DP 26 JUNE Table: 6 and 7</t>
  </si>
  <si>
    <t xml:space="preserve"> BCA26-06318</t>
  </si>
  <si>
    <t>BCA CC 22-06-2026</t>
  </si>
  <si>
    <t xml:space="preserve"> BCA26-06319</t>
  </si>
  <si>
    <t>Top ads sos med 24 June 2026</t>
  </si>
  <si>
    <t xml:space="preserve"> BCA26-06319A</t>
  </si>
  <si>
    <t>CC013A</t>
  </si>
  <si>
    <t>Eratel Prima - Inv. 7685 - 10 June 26 V GRAPE</t>
  </si>
  <si>
    <t>CC011</t>
  </si>
  <si>
    <t>Eratel Prima - Inv. 7685 - 10 June 26 V MANGO</t>
  </si>
  <si>
    <t>CC012</t>
  </si>
  <si>
    <t>Eratel Prima - Inv. 7685 - 10 June 26 V BLUEBE</t>
  </si>
  <si>
    <t>CC010</t>
  </si>
  <si>
    <t>Eratel Prima - Inv. 7685 - 10 June 26 V STRAW</t>
  </si>
  <si>
    <t>CC009</t>
  </si>
  <si>
    <t>Eratel Prima - Inv. 7685 - 10 June 26 V WATERM</t>
  </si>
  <si>
    <t>CC014</t>
  </si>
  <si>
    <t>Eratel Prima - Inv. 7685 - 10 June 26 V MINT Y</t>
  </si>
  <si>
    <t>6-3212</t>
  </si>
  <si>
    <t>Eratel Prima - Inv. 7685 - 10 June 26</t>
  </si>
  <si>
    <t xml:space="preserve"> BCA26-06320</t>
  </si>
  <si>
    <t>Kancil - Fee Gl 26 May 26</t>
  </si>
  <si>
    <t xml:space="preserve"> BCA26-06321</t>
  </si>
  <si>
    <t>Rigo (Fang) - Fee Gl 26 May 26</t>
  </si>
  <si>
    <t xml:space="preserve"> BCA26-06322</t>
  </si>
  <si>
    <t>Fadil - Fee Gl 26 May 26</t>
  </si>
  <si>
    <t xml:space="preserve"> BCA26-06323</t>
  </si>
  <si>
    <t>Sherin - Fee Gl 26 May 26</t>
  </si>
  <si>
    <t xml:space="preserve"> BCA26-06324</t>
  </si>
  <si>
    <t>Alexpas - Fee Gl 26 May 26</t>
  </si>
  <si>
    <t xml:space="preserve"> BCA26-06325</t>
  </si>
  <si>
    <t>Theo/Teo - Fee Gl 26 May 26</t>
  </si>
  <si>
    <t xml:space="preserve"> BCA26-06326</t>
  </si>
  <si>
    <t>Astrella Zerlina (Arel) - Fee Gl 26 May 26</t>
  </si>
  <si>
    <t xml:space="preserve"> BCA26-06327</t>
  </si>
  <si>
    <t>Nazid (Zizu) - Fee Gl 26 May 26</t>
  </si>
  <si>
    <t xml:space="preserve"> BCA26-06328</t>
  </si>
  <si>
    <t>Mike - Fee Gl 26 May 26</t>
  </si>
  <si>
    <t xml:space="preserve"> BCA26-06329</t>
  </si>
  <si>
    <t>Lelo - Fee Gl 26 May 26</t>
  </si>
  <si>
    <t xml:space="preserve"> BCA26-06330</t>
  </si>
  <si>
    <t>Onyx Bali - Tuesday 26 May 2026 (Delvino)</t>
  </si>
  <si>
    <t xml:space="preserve"> BCA26-06331</t>
  </si>
  <si>
    <t>Onyx Bali - Tuesday 26 May 2026 (Lukas)</t>
  </si>
  <si>
    <t xml:space="preserve"> BCA26-06332</t>
  </si>
  <si>
    <t>Fibry: 800K - May 2026</t>
  </si>
  <si>
    <t xml:space="preserve"> BCA26-06333</t>
  </si>
  <si>
    <t>Lelo: 500K - May 2026</t>
  </si>
  <si>
    <t xml:space="preserve"> BCA26-06334</t>
  </si>
  <si>
    <t>Delvino: 500K - May 2026</t>
  </si>
  <si>
    <t xml:space="preserve"> BCA26-06335</t>
  </si>
  <si>
    <t>Nicole: 500K - May 2026</t>
  </si>
  <si>
    <t xml:space="preserve"> BCA26-06336</t>
  </si>
  <si>
    <t>Jamal - Fee Salsa 11 June 26</t>
  </si>
  <si>
    <t xml:space="preserve"> BCA26-06337</t>
  </si>
  <si>
    <t>Angga - Reimburse Bali Star 23 Jun 26</t>
  </si>
  <si>
    <t xml:space="preserve"> BCA26-06338</t>
  </si>
  <si>
    <t>Sheren (Eren) - Fee Gl 26 May 26</t>
  </si>
  <si>
    <t xml:space="preserve"> BCA26-06339</t>
  </si>
  <si>
    <t>Grady - Fee Gl 26 May 26</t>
  </si>
  <si>
    <t xml:space="preserve"> BCA26-06340</t>
  </si>
  <si>
    <t>Maria - Fee Gl 26 May 26</t>
  </si>
  <si>
    <t xml:space="preserve"> BCA26-06341</t>
  </si>
  <si>
    <t>Aci - Fee Gl 26 May 26</t>
  </si>
  <si>
    <t xml:space="preserve"> BCA26-06342</t>
  </si>
  <si>
    <t>Onyx - Comm Bottle No.5526</t>
  </si>
  <si>
    <t xml:space="preserve"> BCA26-06343</t>
  </si>
  <si>
    <t>Gandy Onyx - Comm Bottle No.5535</t>
  </si>
  <si>
    <t xml:space="preserve"> BCA26-06344</t>
  </si>
  <si>
    <t>BCA CC 23-06-2026</t>
  </si>
  <si>
    <t xml:space="preserve"> BCA26-06345</t>
  </si>
  <si>
    <t>BCA debt 23-06-2026</t>
  </si>
  <si>
    <t xml:space="preserve"> BCA26-06346</t>
  </si>
  <si>
    <t>BCA QR 23-06-2026</t>
  </si>
  <si>
    <t xml:space="preserve"> BCA26-06347</t>
  </si>
  <si>
    <t>Top ads sos med 25 June 2026</t>
  </si>
  <si>
    <t xml:space="preserve"> BCA26-06348</t>
  </si>
  <si>
    <t>OVER BOOKING BCA TO MANDIRI</t>
  </si>
  <si>
    <t xml:space="preserve"> BCA26-06349</t>
  </si>
  <si>
    <t>BCA CC 24-06-2026</t>
  </si>
  <si>
    <t xml:space="preserve"> BCA26-06350</t>
  </si>
  <si>
    <t>BCA debt 24-06-2026</t>
  </si>
  <si>
    <t xml:space="preserve"> BCA26-06351</t>
  </si>
  <si>
    <t>BCA QR 24-06-2026</t>
  </si>
  <si>
    <t xml:space="preserve"> BCA26-06352</t>
  </si>
  <si>
    <t>Angga - Reimburse Bali Star 25 Jun 26</t>
  </si>
  <si>
    <t xml:space="preserve"> BCA26-06353</t>
  </si>
  <si>
    <t>Michael Vagas - Fee Dj 2 June 26</t>
  </si>
  <si>
    <t xml:space="preserve"> BCA26-06354</t>
  </si>
  <si>
    <t>Cello - Fee Dj 2,7 June 26</t>
  </si>
  <si>
    <t xml:space="preserve"> BCA26-06355</t>
  </si>
  <si>
    <t>Soulmantra - Fee Dj 3 June 26</t>
  </si>
  <si>
    <t xml:space="preserve"> BCA26-06356</t>
  </si>
  <si>
    <t>Met Musik - Fee Dj 4 June 26</t>
  </si>
  <si>
    <t xml:space="preserve"> BCA26-06357</t>
  </si>
  <si>
    <t>Daff P - Fee Dj 4 June 26</t>
  </si>
  <si>
    <t xml:space="preserve"> BCA26-06358</t>
  </si>
  <si>
    <t>Point 85 - Fee Dj 5 June 26</t>
  </si>
  <si>
    <t xml:space="preserve"> BCA26-06359</t>
  </si>
  <si>
    <t>Venuto - Fee Dj 5,7 June 26</t>
  </si>
  <si>
    <t xml:space="preserve"> BCA26-06360</t>
  </si>
  <si>
    <t>VADM - Fee Dj 5,6 June 26</t>
  </si>
  <si>
    <t xml:space="preserve"> BCA26-063661</t>
  </si>
  <si>
    <t>Ridwan G - Fee Dj 7 June 26</t>
  </si>
  <si>
    <t xml:space="preserve"> BCA26-063662</t>
  </si>
  <si>
    <t>Imelda = 1,5Mil + 0Gl  = 1,5Mil - May 2026</t>
  </si>
  <si>
    <t xml:space="preserve"> BCA26-063663</t>
  </si>
  <si>
    <t>Cherry = 1Mil  + 113Pax (2 260K)  = 3 260K Idr - May 2026</t>
  </si>
  <si>
    <t xml:space="preserve"> BCA26-063664</t>
  </si>
  <si>
    <t>Shirley 41Pax = 820K - May 2026</t>
  </si>
  <si>
    <t xml:space="preserve"> BCA26-063665</t>
  </si>
  <si>
    <t>Tasya 3Pax = 60K - May 2026</t>
  </si>
  <si>
    <t xml:space="preserve"> BCA26-063666</t>
  </si>
  <si>
    <t>Andria 8Pax = 160K - May 2026</t>
  </si>
  <si>
    <t xml:space="preserve"> BCA26-063667</t>
  </si>
  <si>
    <t>Lisa 2Pax = 40K - May 2026</t>
  </si>
  <si>
    <t xml:space="preserve"> BCA26-063668</t>
  </si>
  <si>
    <t>Caca 8Pax = 160K - May 2026</t>
  </si>
  <si>
    <t xml:space="preserve"> BCA26-063669</t>
  </si>
  <si>
    <t>Maryam (Exgro) 22Pax * 30K = 660K - May 2026 ( (1462159671 BCA))</t>
  </si>
  <si>
    <t xml:space="preserve"> BCA26-063670</t>
  </si>
  <si>
    <t>Lia 3Pax * 30K = 90K - May 2026</t>
  </si>
  <si>
    <t xml:space="preserve"> BCA26-063671</t>
  </si>
  <si>
    <t>See Events 9Pax = 180K - May 2026</t>
  </si>
  <si>
    <t xml:space="preserve"> BCA26-063672</t>
  </si>
  <si>
    <t>touch the Sound - Fee Dj 3 June 26 (DEDUCT LEDGER 03 JUNE 197.736</t>
  </si>
  <si>
    <t xml:space="preserve"> BCA26-063673</t>
  </si>
  <si>
    <t>Xjane - Fee Dj 4 June 26 (DEDUCT LEDGER 01 JUNE 89.452, 04 JUNE 630.872</t>
  </si>
  <si>
    <t xml:space="preserve"> BCA26-063674</t>
  </si>
  <si>
    <t>Shamui - Fee Dj 6 June 26 (DEDUCT LEDGER 06 JUNE 94.160</t>
  </si>
  <si>
    <t xml:space="preserve">  BCA26-06375 </t>
  </si>
  <si>
    <t>BCA CC 26-06-2026</t>
  </si>
  <si>
    <t xml:space="preserve">  BCA26-06376 </t>
  </si>
  <si>
    <t>BCA debt 26-06-2026</t>
  </si>
  <si>
    <t xml:space="preserve">  BCA26-06377 </t>
  </si>
  <si>
    <t>BCA QR 26-06-2026</t>
  </si>
  <si>
    <t xml:space="preserve">  BCA26-06378 </t>
  </si>
  <si>
    <t>BCA CC 27-06-2026</t>
  </si>
  <si>
    <t xml:space="preserve">  BCA26-06379 </t>
  </si>
  <si>
    <t>BCA debt 27-06-2026</t>
  </si>
  <si>
    <t xml:space="preserve">  BCA26-06380 </t>
  </si>
  <si>
    <t>BCA QR 27-06-2026</t>
  </si>
  <si>
    <t xml:space="preserve">  BCA26-06381 </t>
  </si>
  <si>
    <t>BCA CC 28-06-2026</t>
  </si>
  <si>
    <t xml:space="preserve">  BCA26-06382 </t>
  </si>
  <si>
    <t>BCA debt 28-06-2026</t>
  </si>
  <si>
    <t xml:space="preserve">  BCA26-06383 </t>
  </si>
  <si>
    <t>BCA QR 28-06-2026</t>
  </si>
  <si>
    <t xml:space="preserve">  BCA26-06384</t>
  </si>
  <si>
    <t>Mmb - Inv. 1502 - 24 Mar 26</t>
  </si>
  <si>
    <t xml:space="preserve">  BCA26-06385</t>
  </si>
  <si>
    <t>Panca Niaga Bali - Inv. 3180 - 10 Mar , 3354 - 17 Mar 26</t>
  </si>
  <si>
    <t xml:space="preserve">  BCA26-06386</t>
  </si>
  <si>
    <t>Panca Niaga Bali - Inv. 1675 - 17 Mar 26 (Ck)</t>
  </si>
  <si>
    <t xml:space="preserve">  BCA26-06387</t>
  </si>
  <si>
    <t>Atd - Inv. 0101 - 24 Feb 26</t>
  </si>
  <si>
    <t xml:space="preserve">  BCA26-06388</t>
  </si>
  <si>
    <t>Pt. Buana Graha Satelit - Inv. 6609 - 28 April 26</t>
  </si>
  <si>
    <t xml:space="preserve">  BCA26-06389</t>
  </si>
  <si>
    <t>Mahaputra - Inv. 0363 - 20 May 26</t>
  </si>
  <si>
    <t xml:space="preserve">  BCA26-06390</t>
  </si>
  <si>
    <t>Bali Alam Rayya - Inv. 2305- 12 May 26</t>
  </si>
  <si>
    <t xml:space="preserve">  BCA26-06391</t>
  </si>
  <si>
    <t>Dimatique International - Inv. 37073 - 06 May 26</t>
  </si>
  <si>
    <t xml:space="preserve">  BCA26-06392</t>
  </si>
  <si>
    <t>Aromaduta Rasaprima - Inv. 0728 - 08 May 26</t>
  </si>
  <si>
    <t xml:space="preserve">  BCA26-06393</t>
  </si>
  <si>
    <t>Hepi Ternak Indonesia - Inv. 0053 - 19 May 26</t>
  </si>
  <si>
    <t xml:space="preserve">  BCA26-06394</t>
  </si>
  <si>
    <t>Tiga Juragan Perkasa - Inv. 0112 - 19 MAY, 0515 - 26 MAY 26</t>
  </si>
  <si>
    <t xml:space="preserve">  BCA26-06395</t>
  </si>
  <si>
    <t>Cv. Gudang Uang - Inv. 0481 - 25 May 26</t>
  </si>
  <si>
    <t xml:space="preserve">  BCA26-06396</t>
  </si>
  <si>
    <t>Rafi Seafood - Inv. 30 May, 03 June 26</t>
  </si>
  <si>
    <t xml:space="preserve">  BCA26-06397</t>
  </si>
  <si>
    <t>Arthaguna Brawijaya - Inv. 1745 - 01 May 26</t>
  </si>
  <si>
    <t xml:space="preserve">  BCA26-06398</t>
  </si>
  <si>
    <t>Ad Supplier - Inv. 3886 - 05 May, 3874 - 05 May 26</t>
  </si>
  <si>
    <t xml:space="preserve">  BCA26-06399</t>
  </si>
  <si>
    <t>Bali Kalpawreksa - Inv. 8174 - 02 June 26</t>
  </si>
  <si>
    <t xml:space="preserve">  BCA26-06400</t>
  </si>
  <si>
    <t>Bali Kulina Utama - Inv. 4086 - 12 May, 9287 - 26 May 26</t>
  </si>
  <si>
    <t xml:space="preserve">  BCA26-06401</t>
  </si>
  <si>
    <t>Japo Powder - Inv. 2314 - 05 May, 2304 - 05 May, 2326 - 07 May 26</t>
  </si>
  <si>
    <t xml:space="preserve">  BCA26-06402</t>
  </si>
  <si>
    <t>Mahkota Jaya Barokah - Inv. 0029 - 09 June 26</t>
  </si>
  <si>
    <t xml:space="preserve">  BCA26-06403</t>
  </si>
  <si>
    <t>Era Fresh - Inv. MAY 2026</t>
  </si>
  <si>
    <t xml:space="preserve">  BCA26-06404</t>
  </si>
  <si>
    <t>Son - Fee Dj 9 June 26</t>
  </si>
  <si>
    <t xml:space="preserve">  BCA26-06405</t>
  </si>
  <si>
    <t>Point 85 - Fee Dj 9 June 26</t>
  </si>
  <si>
    <t xml:space="preserve">  BCA26-06406</t>
  </si>
  <si>
    <t>Lukeybagus - Fee Dj 9, 12, 14 June 26</t>
  </si>
  <si>
    <t xml:space="preserve">  BCA26-06407</t>
  </si>
  <si>
    <t>Saul Bliss - Fee Dj 10 June 26</t>
  </si>
  <si>
    <t xml:space="preserve">  BCA26-06408</t>
  </si>
  <si>
    <t>El Didion - Fee Dj 10 June 26</t>
  </si>
  <si>
    <t xml:space="preserve">  BCA26-06409</t>
  </si>
  <si>
    <t>Met Musik - Fee Dj 11 June 26</t>
  </si>
  <si>
    <t xml:space="preserve">  BCA26-06410</t>
  </si>
  <si>
    <t>Edger - Fee Dj 11 June 26</t>
  </si>
  <si>
    <t xml:space="preserve">  BCA26-06411</t>
  </si>
  <si>
    <t>Xjane - Fee Dj 11 June 26</t>
  </si>
  <si>
    <t xml:space="preserve">  BCA26-06412</t>
  </si>
  <si>
    <t>Drummer - Fee 11 June 26</t>
  </si>
  <si>
    <t xml:space="preserve">  BCA26-06413</t>
  </si>
  <si>
    <t>Brad Watts - Fee Dj 12 June 26</t>
  </si>
  <si>
    <t xml:space="preserve">  BCA26-06414</t>
  </si>
  <si>
    <t>Touch the Sound - Fee Dj 13 June 26</t>
  </si>
  <si>
    <t xml:space="preserve">  BCA26-06415</t>
  </si>
  <si>
    <t>VADM - Fee Dj 13 June 26</t>
  </si>
  <si>
    <t xml:space="preserve">  BCA26-06416</t>
  </si>
  <si>
    <t>Venuto - Fee Dj 14 June 26</t>
  </si>
  <si>
    <t xml:space="preserve">  BCA26-06417</t>
  </si>
  <si>
    <t>2-2107</t>
  </si>
  <si>
    <t>Bali Platter &amp; Cakery - Inv. 00243 - 25 June 26 (Bday Pak Graham)</t>
  </si>
  <si>
    <t xml:space="preserve">  BCA26-06418</t>
  </si>
  <si>
    <t>Jamal - Fee Salsa 18 June 26</t>
  </si>
  <si>
    <t xml:space="preserve">  BCA26-06419</t>
  </si>
  <si>
    <t>Wonderworxs Digital Marketing - Inv. Adv May 2026</t>
  </si>
  <si>
    <t xml:space="preserve">  BCA26-06420</t>
  </si>
  <si>
    <t>Top Ads Sos Med 29 June 2026</t>
  </si>
  <si>
    <t xml:space="preserve">  BCA26-06421</t>
  </si>
  <si>
    <t>TIARA HOST - Comm Bottle No.6402</t>
  </si>
  <si>
    <t xml:space="preserve">  BCA26-06422</t>
  </si>
  <si>
    <t>MARYAM PROMOTER - Comm Bottle No.6124 (1462159671  Bca)</t>
  </si>
  <si>
    <t xml:space="preserve">  BCA26-06423</t>
  </si>
  <si>
    <t>Sissy - Comm Bottle No.6645</t>
  </si>
  <si>
    <t xml:space="preserve">  BCA26-06424</t>
  </si>
  <si>
    <t>Caca Gro - Comm Bottle No.7520</t>
  </si>
  <si>
    <t xml:space="preserve">  BCA26-06425</t>
  </si>
  <si>
    <t>Cv Sanwan - Inv. 6442, 6455 - 23 June 26</t>
  </si>
  <si>
    <t xml:space="preserve">  BCA26-06426</t>
  </si>
  <si>
    <t>Angga - Reimburse Bali Star 28 Jun 26</t>
  </si>
  <si>
    <t xml:space="preserve">  BCA26-06427</t>
  </si>
  <si>
    <t>Ekasurya Asasta Mandiri - Inv. 9009 - 21 May 26</t>
  </si>
  <si>
    <t xml:space="preserve">  BCA26-06428</t>
  </si>
  <si>
    <t>Bu Ama - Reimburse Nota Gojek (Farewell Jhon)</t>
  </si>
  <si>
    <t xml:space="preserve">  BCA26-06429</t>
  </si>
  <si>
    <t>6-2104</t>
  </si>
  <si>
    <t>Shopee - Cetakan Burger</t>
  </si>
  <si>
    <t xml:space="preserve">  BCA26-06430</t>
  </si>
  <si>
    <t>Kezia - Top Up for Youtube Premium</t>
  </si>
  <si>
    <t xml:space="preserve">  BCA26-06430A</t>
  </si>
  <si>
    <t>MEGA TIX PAID LEDGER - Red Ruby Even</t>
  </si>
  <si>
    <t xml:space="preserve">  BCA26-06431</t>
  </si>
  <si>
    <t>Onyx Bali - Inv. 001 - 23 June 2026  (Event Rumba 09 June)</t>
  </si>
  <si>
    <t xml:space="preserve">  BCA26-06432</t>
  </si>
  <si>
    <t>Abstract - Friday 29 May 26</t>
  </si>
  <si>
    <t xml:space="preserve">  BCA26-06433</t>
  </si>
  <si>
    <t>Zone Two - Sunday 31 May 26</t>
  </si>
  <si>
    <t xml:space="preserve">  BCA26-06434</t>
  </si>
  <si>
    <t>Monday - 18 May 26 - Chromatica</t>
  </si>
  <si>
    <t xml:space="preserve">  BCA26-06435</t>
  </si>
  <si>
    <t>Top Ads Sos Med 30 June 2026</t>
  </si>
  <si>
    <t xml:space="preserve">  BCA26-06436</t>
  </si>
  <si>
    <t>Unknown - Monday 08 June 2026 (Include Dj)</t>
  </si>
  <si>
    <t xml:space="preserve">  BCA26-06437</t>
  </si>
  <si>
    <t>BLACK RAVEN - TUESDAY 19 MAY 2026</t>
  </si>
  <si>
    <t xml:space="preserve">  BCA26-06438</t>
  </si>
  <si>
    <t>Ad Supplier - Inv. 5591 - 08 May, 5953 - 09 May, 6551 - 12 May, 6548 - 12 May, 8550 - 16 May, 9688,9841,0027 - 20 May, 0467,0076,0078 - 21 May, 1943 - 26 May, 3861 - 30 May 26</t>
  </si>
  <si>
    <t xml:space="preserve">  BCA26-06439</t>
  </si>
  <si>
    <t>Hepi Ternak Indonesia - Inv. 0001 - 26 May 26</t>
  </si>
  <si>
    <t xml:space="preserve">  BCA26-06440</t>
  </si>
  <si>
    <t>Pest Solution - Inv. May 2026</t>
  </si>
  <si>
    <t xml:space="preserve">  BCA26-06441</t>
  </si>
  <si>
    <t xml:space="preserve">  BCA26-06442</t>
  </si>
  <si>
    <t>BIAYA ADMIN CHARGE TRF</t>
  </si>
  <si>
    <t xml:space="preserve">  BCA26-06442A</t>
  </si>
  <si>
    <t xml:space="preserve">  BCA26-06443</t>
  </si>
  <si>
    <t>ADJUSMENT BANK BCA JUNE 2026</t>
  </si>
  <si>
    <t>MANDIRIIDR26-06001</t>
  </si>
  <si>
    <t>Mandiri Debet 30-05-2026</t>
  </si>
  <si>
    <t>MANDIRIIDR26-06002</t>
  </si>
  <si>
    <t>Mandiri CC 30-05-2026</t>
  </si>
  <si>
    <t>MANDIRIIDR26-06003</t>
  </si>
  <si>
    <t>Mandiri QR 30-05-2026</t>
  </si>
  <si>
    <t>MANDIRIIDR26-06004</t>
  </si>
  <si>
    <t>Mandiri Debet 31-05-2026</t>
  </si>
  <si>
    <t>MANDIRIIDR26-06005</t>
  </si>
  <si>
    <t>Mandiri CC 31-05-2026</t>
  </si>
  <si>
    <t>MANDIRIIDR26-06006</t>
  </si>
  <si>
    <t>Mandiri NPG 31-05-2026</t>
  </si>
  <si>
    <t>MANDIRIIDR26-06007</t>
  </si>
  <si>
    <t>Mandiri QR 31-05-2026</t>
  </si>
  <si>
    <t>MANDIRIIDR26-06008</t>
  </si>
  <si>
    <t>Olmec Industries Indonesia - Inv. 9292 - 7 April, 1082 - 05 May 26</t>
  </si>
  <si>
    <t>MANDIRIIDR26-06009</t>
  </si>
  <si>
    <t>The Beat - Adv. April 2026</t>
  </si>
  <si>
    <t>MANDIRIIDR26-06010</t>
  </si>
  <si>
    <t>Cayla - Reimburse Vacum Karcher Nt 30 5 May 26</t>
  </si>
  <si>
    <t>MANDIRIIDR26-06011</t>
  </si>
  <si>
    <t>6-3103</t>
  </si>
  <si>
    <t>Global Extreme - Inv. Internet June 2026  (Red Ruby Office)</t>
  </si>
  <si>
    <t>MANDIRIIDR26-06012</t>
  </si>
  <si>
    <t>Global Extreme - Inv. Internet June 2026 Red Ruby</t>
  </si>
  <si>
    <t>MANDIRIIDR26-06013</t>
  </si>
  <si>
    <t>2-2104</t>
  </si>
  <si>
    <t xml:space="preserve">Bpjstk March 2026 (Red Ruby ) </t>
  </si>
  <si>
    <t xml:space="preserve">Bpjstk March 2026 ( Rosalita) </t>
  </si>
  <si>
    <t>8-4000</t>
  </si>
  <si>
    <t>Bpjstk March 2026 (Red Ruby &amp; Rosalita) + denda</t>
  </si>
  <si>
    <t>MANDIRIIDR26-06014</t>
  </si>
  <si>
    <t>1-1403</t>
  </si>
  <si>
    <t xml:space="preserve">P Jhon - Part Payment Land Rental Payment Ke P.John (July 2027 - July 2032) </t>
  </si>
  <si>
    <t>MANDIRIIDR26-06015</t>
  </si>
  <si>
    <t>OVER BOOKING MANDIRI IDR TO USD</t>
  </si>
  <si>
    <t>MANDIRIIDR26-06016</t>
  </si>
  <si>
    <t>Bu Ama - Reimburse Nota Gourmet (Cake Bday Pak Made)</t>
  </si>
  <si>
    <t>MANDIRIIDR26-06017</t>
  </si>
  <si>
    <t>6-3302</t>
  </si>
  <si>
    <t>Pak Budi - Reimburse Nota Hari Sedana 2 June 26</t>
  </si>
  <si>
    <t>MANDIRIIDR26-06018</t>
  </si>
  <si>
    <t>Payment Gas Lpg From Biv - 02 June 26</t>
  </si>
  <si>
    <t>MANDIRIIDR26-06019</t>
  </si>
  <si>
    <t>Mandiri Debet 01-06-2026</t>
  </si>
  <si>
    <t>MANDIRIIDR26-06020</t>
  </si>
  <si>
    <t>Mandiri CC 01-06-2026</t>
  </si>
  <si>
    <t>MANDIRIIDR26-06021</t>
  </si>
  <si>
    <t>Mandiri NPG 01-06-2026</t>
  </si>
  <si>
    <t>MANDIRIIDR26-06022</t>
  </si>
  <si>
    <t>Mandiri QR 01-06-2026</t>
  </si>
  <si>
    <t>MANDIRIIDR26-06023</t>
  </si>
  <si>
    <t>Rumah Gandum Bakery - Inv. 09, 16, 21, 22, 28 May 26</t>
  </si>
  <si>
    <t>MANDIRIIDR26-06024</t>
  </si>
  <si>
    <t>Simo White - Fee Dj 15 May 26</t>
  </si>
  <si>
    <t>MANDIRIIDR26-06025</t>
  </si>
  <si>
    <t>Scott Pullen - Fee Dj  14 May 26</t>
  </si>
  <si>
    <t>MANDIRIIDR26-06026</t>
  </si>
  <si>
    <t>Kaiser Waldon - Fee Dj  17 May 26 (1750002012473 new rek mandiri)</t>
  </si>
  <si>
    <t>MANDIRIIDR26-06027</t>
  </si>
  <si>
    <t>OVER BOOKING MANDIRI TO BCA</t>
  </si>
  <si>
    <t>MANDIRIIDR26-06028</t>
  </si>
  <si>
    <t>Mandiri CC 02-06-2026</t>
  </si>
  <si>
    <t>MANDIRIIDR26-06029</t>
  </si>
  <si>
    <t>Mandiri NPG 02-06-2026</t>
  </si>
  <si>
    <t>MANDIRIIDR26-06030</t>
  </si>
  <si>
    <t>Mandiri QR 02-06-2026</t>
  </si>
  <si>
    <t>MANDIRIIDR26-06031</t>
  </si>
  <si>
    <t>ASTRELLA ZERLINA (AREL) - Fee GL 28 April 26</t>
  </si>
  <si>
    <t>MANDIRIIDR26-06032</t>
  </si>
  <si>
    <t>NAZID (ZIZU) - Fee GL 28 April 26</t>
  </si>
  <si>
    <t>MANDIRIIDR26-06033</t>
  </si>
  <si>
    <t>Inez  - Comm Bottle No. 9988,1031</t>
  </si>
  <si>
    <t>MANDIRIIDR26-06034</t>
  </si>
  <si>
    <t>Ayu Gro - Comm Bottle No.1067,1002,1016,1791,1826,2518</t>
  </si>
  <si>
    <t>MANDIRIIDR26-06035</t>
  </si>
  <si>
    <t>Bagir Security - Comm Bottle No.0989</t>
  </si>
  <si>
    <t>MANDIRIIDR26-06036</t>
  </si>
  <si>
    <t>Alin Floor - Comm Bottle No.1285</t>
  </si>
  <si>
    <t>MANDIRIIDR26-06037</t>
  </si>
  <si>
    <t>Dewi Floor - Comm Bottle No.1741</t>
  </si>
  <si>
    <t>MANDIRIIDR26-06038</t>
  </si>
  <si>
    <t>Eka Security - Comm Bottle No.1991</t>
  </si>
  <si>
    <t>MANDIRIIDR26-06039</t>
  </si>
  <si>
    <t>Loan From Toyota - Payment Angsuran 5 - June 2026 + Biaya Adm 10rb</t>
  </si>
  <si>
    <t>MANDIRIIDR26-06040</t>
  </si>
  <si>
    <t>Loan From Toyota - Payment Angsuran 5 - June  2026 + Biaya Adm 10rb</t>
  </si>
  <si>
    <t>MANDIRIIDR26-06041</t>
  </si>
  <si>
    <t>Pak Made - Reimburse Plaga 28 May 26 (Petrol, Makan, Truck, Racun)</t>
  </si>
  <si>
    <t>MANDIRIIDR26-06042</t>
  </si>
  <si>
    <t>Pak Made - Reimburse Pulsa HP</t>
  </si>
  <si>
    <t>MANDIRIIDR26-06043</t>
  </si>
  <si>
    <t>Event Photo &amp; Videoshoot 16 May 26 (Pavel Petrov)</t>
  </si>
  <si>
    <t>MANDIRIIDR26-06044</t>
  </si>
  <si>
    <t>REFUND TO GUEST (DOUBLE PAYMENT)</t>
  </si>
  <si>
    <t>MANDIRIIDR26-06045</t>
  </si>
  <si>
    <t>OVER BOOKING TO BCA</t>
  </si>
  <si>
    <t>MANDIRIIDR26-06046</t>
  </si>
  <si>
    <t>Mandiri Debet 03-06-2026</t>
  </si>
  <si>
    <t>MANDIRIIDR26-06047</t>
  </si>
  <si>
    <t>Mandiri CC 03-06-2026</t>
  </si>
  <si>
    <t>MANDIRIIDR26-06048</t>
  </si>
  <si>
    <t>Mandiri NPG 03-06-2026</t>
  </si>
  <si>
    <t>MANDIRIIDR26-06049</t>
  </si>
  <si>
    <t>Mandiri QR 03-06-2026</t>
  </si>
  <si>
    <t>MANDIRIIDR26-06050</t>
  </si>
  <si>
    <t>Riri Gro - Comm Bottle No.1854</t>
  </si>
  <si>
    <t>MANDIRIIDR26-06051</t>
  </si>
  <si>
    <t>Biv - Inv. Mei 2026 (Utility &amp; Office)</t>
  </si>
  <si>
    <t>MANDIRIIDR26-06052</t>
  </si>
  <si>
    <t>Biv - Inv. 5530 - 18 May 2026 (Accomodation Pavel Petrov (16 - 18 May 2026)</t>
  </si>
  <si>
    <t>MANDIRIIDR26-06053</t>
  </si>
  <si>
    <t>MANDIRIIDR26-06054</t>
  </si>
  <si>
    <t>Mandiri Debet 04-06-2026</t>
  </si>
  <si>
    <t>MANDIRIIDR26-06055</t>
  </si>
  <si>
    <t>Mandiri CC 04-06-2026</t>
  </si>
  <si>
    <t>MANDIRIIDR26-06056</t>
  </si>
  <si>
    <t>Mandiri NPG 04-06-2026</t>
  </si>
  <si>
    <t>MANDIRIIDR26-06057</t>
  </si>
  <si>
    <t>Mandiri QR 04-06-2026</t>
  </si>
  <si>
    <t>MANDIRIIDR26-06058</t>
  </si>
  <si>
    <t>Mandiri Debet 05-06-2026</t>
  </si>
  <si>
    <t>MANDIRIIDR26-06059</t>
  </si>
  <si>
    <t>Mandiri CC 05-06-2026</t>
  </si>
  <si>
    <t>MANDIRIIDR26-06060</t>
  </si>
  <si>
    <t>Mandiri NPG 05-06-2026</t>
  </si>
  <si>
    <t>MANDIRIIDR26-06061</t>
  </si>
  <si>
    <t>Mandiri QR 05-06-2026</t>
  </si>
  <si>
    <t>MANDIRIIDR26-06062</t>
  </si>
  <si>
    <t>Mandiri Debet 06-06-2026</t>
  </si>
  <si>
    <t>MANDIRIIDR26-06063</t>
  </si>
  <si>
    <t>Mandiri CC 06-06-2026</t>
  </si>
  <si>
    <t>MANDIRIIDR26-06064</t>
  </si>
  <si>
    <t>Mandiri NPG 06-06-2026</t>
  </si>
  <si>
    <t>MANDIRIIDR26-06065</t>
  </si>
  <si>
    <t>Mandiri QR 06-06-2026</t>
  </si>
  <si>
    <t>MANDIRIIDR26-06066</t>
  </si>
  <si>
    <t>MLRV - FEE DJ 22 MAY 26</t>
  </si>
  <si>
    <t>MANDIRIIDR26-06067</t>
  </si>
  <si>
    <t>Fran Tinez - FEE DJ 23, 24 MAY 26</t>
  </si>
  <si>
    <t>MANDIRIIDR26-06068</t>
  </si>
  <si>
    <t>Inez - Comm Bottle No. 3325</t>
  </si>
  <si>
    <t>MANDIRIIDR26-06069</t>
  </si>
  <si>
    <t>Cayla - Reimburse Dp 50% Cake Anniv Black Raven, Bday Cake Aga, Angkut Sampah 2 Truk, Sprakle 14 May, Jasa Bersih 4Orang Back Area 2 Hari</t>
  </si>
  <si>
    <t>MANDIRIIDR26-06070</t>
  </si>
  <si>
    <t>Cayla - Reimburse Dekorasi Onyx + Jasa Dekor 2Orang, Jasa Bersih Perabotan 3 Orang, Kartu Dj Nfc, Paper Bag Takeaway, Sparkley 23 May, Alat Bersih2 Perabotan May 26</t>
  </si>
  <si>
    <t>MANDIRIIDR26-06071</t>
  </si>
  <si>
    <t>Cayla - Reimburse Balon + Cake Cece &amp; Olive, Jasa Angkut Ke Plaga, Storage Box, Uniform Staf, Cup Coffe, Bday Cake &amp; Balon James</t>
  </si>
  <si>
    <t>6-1107</t>
  </si>
  <si>
    <t>CITITEX - UNIFORM STAFF (TSHIRT 6, LONG TSHIRT 4)</t>
  </si>
  <si>
    <t>BDAY CAKE JAMES</t>
  </si>
  <si>
    <t>BALON BDAY JAMES</t>
  </si>
  <si>
    <t>MANDIRIIDR26-06072</t>
  </si>
  <si>
    <t>Bpr Chandra - Part Payment June 2026</t>
  </si>
  <si>
    <t>MANDIRIIDR26-06073</t>
  </si>
  <si>
    <t xml:space="preserve">Bpjstk April 2026 (Red Ruby ) </t>
  </si>
  <si>
    <t xml:space="preserve">Bpjstk April 2026 ( Rosalita) </t>
  </si>
  <si>
    <t xml:space="preserve">Bpjstk April 2026 (Red Ruby &amp; Rosalita) </t>
  </si>
  <si>
    <t>MANDIRIIDR26-06074</t>
  </si>
  <si>
    <t>Over Booking Mandiri IDR to Mandiri USD</t>
  </si>
  <si>
    <t>MANDIRIIDR26-06075</t>
  </si>
  <si>
    <t>Overbooking Mandiri to BCA</t>
  </si>
  <si>
    <t>MANDIRIIDR26-06076</t>
  </si>
  <si>
    <t>MANDIRIIDR26-06077</t>
  </si>
  <si>
    <t>Simo - Fee Dj 29 May 26</t>
  </si>
  <si>
    <t>MANDIRIIDR26-06078</t>
  </si>
  <si>
    <t>Mandiri Debet 07-06-2026</t>
  </si>
  <si>
    <t>MANDIRIIDR26-06079</t>
  </si>
  <si>
    <t>Mandiri CC 07-06-2026</t>
  </si>
  <si>
    <t>MANDIRIIDR26-06080</t>
  </si>
  <si>
    <t>Mandiri NPG 07-06-2026</t>
  </si>
  <si>
    <t>MANDIRIIDR26-06081</t>
  </si>
  <si>
    <t>Mandiri QR 07-06-2026</t>
  </si>
  <si>
    <t>MANDIRIIDR26-06082</t>
  </si>
  <si>
    <t>Mandiri Debet 08-06-2026</t>
  </si>
  <si>
    <t>MANDIRIIDR26-06083</t>
  </si>
  <si>
    <t>Mandiri CC 08-06-2026</t>
  </si>
  <si>
    <t>MANDIRIIDR26-06084</t>
  </si>
  <si>
    <t>Mandiri NPG 08-06-2026</t>
  </si>
  <si>
    <t>MANDIRIIDR26-06085</t>
  </si>
  <si>
    <t>Mandiri QR 08-06-2026</t>
  </si>
  <si>
    <t>MANDIRIIDR26-06086</t>
  </si>
  <si>
    <t>MANDIRIIDR26-06087</t>
  </si>
  <si>
    <t>GOPAY 03 - 06 - 2026</t>
  </si>
  <si>
    <t>MANDIRIIDR26-06088</t>
  </si>
  <si>
    <t>Mandiri Debet 09-06-2026</t>
  </si>
  <si>
    <t>MANDIRIIDR26-06089</t>
  </si>
  <si>
    <t>Mandiri CC 09-06-2026</t>
  </si>
  <si>
    <t>MANDIRIIDR26-06090</t>
  </si>
  <si>
    <t>Mandiri NPG 09-06-2026</t>
  </si>
  <si>
    <t>MANDIRIIDR26-06091</t>
  </si>
  <si>
    <t>OVER BOOKING MANDIRI TO MANDIRI USD</t>
  </si>
  <si>
    <t>MANDIRIIDR26-06092</t>
  </si>
  <si>
    <t>DANCER - FEE MAY 2026</t>
  </si>
  <si>
    <t>MANDIRIIDR26-06093</t>
  </si>
  <si>
    <t>Mandiri QR 09-06-2026</t>
  </si>
  <si>
    <t>MANDIRIIDR26-06094</t>
  </si>
  <si>
    <t>Mandiri Debet 10-06-2026</t>
  </si>
  <si>
    <t>MANDIRIIDR26-06095</t>
  </si>
  <si>
    <t>Mandiri CC 10-06-2026</t>
  </si>
  <si>
    <t>MANDIRIIDR26-06096</t>
  </si>
  <si>
    <t>Mandiri NPG 10-06-2026</t>
  </si>
  <si>
    <t>MANDIRIIDR26-06097</t>
  </si>
  <si>
    <t>Mandiri QR 10-06-2026</t>
  </si>
  <si>
    <t>MANDIRIIDR26-06098</t>
  </si>
  <si>
    <t>Riri - Comm Bottle No.4725</t>
  </si>
  <si>
    <t>MANDIRIIDR26-06099</t>
  </si>
  <si>
    <t>Andrew Security - Comm Bottle No.4890</t>
  </si>
  <si>
    <t>MANDIRIIDR26-06100</t>
  </si>
  <si>
    <t>Inez - Comm Bottle No.4264,4809</t>
  </si>
  <si>
    <t>MANDIRIIDR26-06101</t>
  </si>
  <si>
    <t>Bagir Security - Comm Bottle No.4697</t>
  </si>
  <si>
    <t>MANDIRIIDR26-06102</t>
  </si>
  <si>
    <t>Dewi Floor - Comm Bottle No.4895,5060</t>
  </si>
  <si>
    <t>MANDIRIIDR26-06103</t>
  </si>
  <si>
    <t>Indi  - Fee Host Ladies 25,28 May 26</t>
  </si>
  <si>
    <t>MANDIRIIDR26-06104</t>
  </si>
  <si>
    <t>6-3105</t>
  </si>
  <si>
    <t>Pak Budi - Reimburse Nota Arta Wijaya 12 June (Flasdisk)</t>
  </si>
  <si>
    <t>MANDIRIIDR26-06105</t>
  </si>
  <si>
    <t>Tokopedia - Spliter Untuk Tv Di Terrace</t>
  </si>
  <si>
    <t>MANDIRIIDR26-06106</t>
  </si>
  <si>
    <t>Bpjstk Denda - April 2026</t>
  </si>
  <si>
    <t>MANDIRIIDR26-06107</t>
  </si>
  <si>
    <t>MANDIRIIDR26-06108</t>
  </si>
  <si>
    <t>Mandiri Debet 11-06-2026</t>
  </si>
  <si>
    <t>MANDIRIIDR26-06109</t>
  </si>
  <si>
    <t>Mandiri CC 11-06-2026</t>
  </si>
  <si>
    <t>MANDIRIIDR26-06110</t>
  </si>
  <si>
    <t>Mandiri NPG 11-06-2026</t>
  </si>
  <si>
    <t>MANDIRIIDR26-06111</t>
  </si>
  <si>
    <t>Mandiri QR 11-06-2026</t>
  </si>
  <si>
    <t>MANDIRIIDR26-06112</t>
  </si>
  <si>
    <t>Mandiri Debet 12-06-2026</t>
  </si>
  <si>
    <t>MANDIRIIDR26-06113</t>
  </si>
  <si>
    <t>Mandiri CC 12-06-2026</t>
  </si>
  <si>
    <t>MANDIRIIDR26-06114</t>
  </si>
  <si>
    <t>Mandiri NPG 12-06-2026</t>
  </si>
  <si>
    <t>MANDIRIIDR26-06115</t>
  </si>
  <si>
    <t>Mandiri QR 12-06-2026</t>
  </si>
  <si>
    <t>MANDIRIIDR26-06116</t>
  </si>
  <si>
    <t>Mandiri Debet 13-06-2026</t>
  </si>
  <si>
    <t>MANDIRIIDR26-06117</t>
  </si>
  <si>
    <t>Mandiri CC 13-06-2026</t>
  </si>
  <si>
    <t>MANDIRIIDR26-06118</t>
  </si>
  <si>
    <t>Mandiri NPG 13-06-2026</t>
  </si>
  <si>
    <t>MANDIRIIDR26-06119</t>
  </si>
  <si>
    <t>Mandiri QR 13-06-2026</t>
  </si>
  <si>
    <t>MANDIRIIDR26-06120</t>
  </si>
  <si>
    <t>Mandiri Debet 14-06-2026</t>
  </si>
  <si>
    <t>MANDIRIIDR26-06121</t>
  </si>
  <si>
    <t>Mandiri CC 14-06-2026</t>
  </si>
  <si>
    <t>MANDIRIIDR26-06122</t>
  </si>
  <si>
    <t>Mandiri NPG 14-06-2026</t>
  </si>
  <si>
    <t>MANDIRIIDR26-06123</t>
  </si>
  <si>
    <t>Mandiri QR 14-06-2026</t>
  </si>
  <si>
    <t>MANDIRIIDR26-06124</t>
  </si>
  <si>
    <t>Service Charge from May 2026</t>
  </si>
  <si>
    <t>Welfare funds 20%</t>
  </si>
  <si>
    <t>wirata - service</t>
  </si>
  <si>
    <t>Bank charges</t>
  </si>
  <si>
    <t>Red Ruy Service Charge from May 2026</t>
  </si>
  <si>
    <t>MANDIRIIDR26-06125</t>
  </si>
  <si>
    <t>MANDIRIIDR26-06126</t>
  </si>
  <si>
    <t>MANDIRIIDR26-06127</t>
  </si>
  <si>
    <t>MANDIRIIDR26-06128</t>
  </si>
  <si>
    <t>Mandiri CC 15-06-2026</t>
  </si>
  <si>
    <t>MANDIRIIDR26-06129</t>
  </si>
  <si>
    <t>Mandiri NPG 15-06-2026</t>
  </si>
  <si>
    <t>MANDIRIIDR26-06130</t>
  </si>
  <si>
    <t>Mandiri QR 15-06-2026</t>
  </si>
  <si>
    <t>MANDIRIIDR26-06131</t>
  </si>
  <si>
    <t>Mandiri Debet 16-06-2026</t>
  </si>
  <si>
    <t>MANDIRIIDR26-06132</t>
  </si>
  <si>
    <t>Mandiri CC 16-06-2026</t>
  </si>
  <si>
    <t>MANDIRIIDR26-06133</t>
  </si>
  <si>
    <t>Mandiri NPG 16-06-2026</t>
  </si>
  <si>
    <t>MANDIRIIDR26-06134</t>
  </si>
  <si>
    <t>Mandiri QR 16-06-2026</t>
  </si>
  <si>
    <t>MANDIRIIDR26-06135</t>
  </si>
  <si>
    <t>Mandiri Debet 17-06-2026</t>
  </si>
  <si>
    <t>MANDIRIIDR26-06136</t>
  </si>
  <si>
    <t>Mandiri CC 17-06-2026</t>
  </si>
  <si>
    <t>MANDIRIIDR26-06137</t>
  </si>
  <si>
    <t>Mandiri NPG 17-06-2026</t>
  </si>
  <si>
    <t>MANDIRIIDR26-06138</t>
  </si>
  <si>
    <t>Mandiri QR 17-06-2026</t>
  </si>
  <si>
    <t>MANDIRIIDR26-06139</t>
  </si>
  <si>
    <t>Polda Fee Utk Tenaga Kerja Asing - June 2026 (To Nano)</t>
  </si>
  <si>
    <t>MANDIRIIDR26-06140</t>
  </si>
  <si>
    <t>Payment Polisi Militer - June 2026 (To Nano)</t>
  </si>
  <si>
    <t>MANDIRIIDR26-06141</t>
  </si>
  <si>
    <t>Mandiri Debet 18-06-2026</t>
  </si>
  <si>
    <t>MANDIRIIDR26-06142</t>
  </si>
  <si>
    <t>Mandiri CC 18-06-2026</t>
  </si>
  <si>
    <t>MANDIRIIDR26-06143</t>
  </si>
  <si>
    <t>Mandiri NPG 18-06-2026</t>
  </si>
  <si>
    <t>MANDIRIIDR26-06144</t>
  </si>
  <si>
    <t>Mandiri QR 18-06-2026</t>
  </si>
  <si>
    <t>MANDIRIIDR26-06145</t>
  </si>
  <si>
    <t>Mandiri Debet 19-06-2026</t>
  </si>
  <si>
    <t>MANDIRIIDR26-06146</t>
  </si>
  <si>
    <t>Mandiri CC 19-06-2026</t>
  </si>
  <si>
    <t>MANDIRIIDR26-06147</t>
  </si>
  <si>
    <t>Mandiri NPG 19-06-2026</t>
  </si>
  <si>
    <t>MANDIRIIDR26-06148</t>
  </si>
  <si>
    <t>Mandiri QR 19-06-2026</t>
  </si>
  <si>
    <t>MANDIRIIDR26-06149</t>
  </si>
  <si>
    <t>Mandiri CC 20-06-2026</t>
  </si>
  <si>
    <t>MANDIRIIDR26-06150</t>
  </si>
  <si>
    <t>Mandiri NPG 20-06-2026</t>
  </si>
  <si>
    <t>MANDIRIIDR26-06151</t>
  </si>
  <si>
    <t>Mandiri QR 20-06-2026</t>
  </si>
  <si>
    <t>MANDIRIIDR26-061512</t>
  </si>
  <si>
    <t>Nita - Donation (Anak Melahirkan)</t>
  </si>
  <si>
    <t>MANDIRIIDR26-061513</t>
  </si>
  <si>
    <t>MANDIRIIDR26-061514</t>
  </si>
  <si>
    <t>MANDIRIIDR26-061515</t>
  </si>
  <si>
    <t>Mandiri Debet 21-06-2026</t>
  </si>
  <si>
    <t>MANDIRIIDR26-061516</t>
  </si>
  <si>
    <t>Mandiri CC 21-06-2026</t>
  </si>
  <si>
    <t>MANDIRIIDR26-061517</t>
  </si>
  <si>
    <t>Mandiri NPG 21-06-2026</t>
  </si>
  <si>
    <t>MANDIRIIDR26-061518</t>
  </si>
  <si>
    <t>Mandiri QR 21-06-2026</t>
  </si>
  <si>
    <t>MANDIRIIDR26-061519</t>
  </si>
  <si>
    <t>Mandiri Debet 22-06-2026</t>
  </si>
  <si>
    <t>MANDIRIIDR26-061520</t>
  </si>
  <si>
    <t>Mandiri CC 22-06-2026</t>
  </si>
  <si>
    <t>MANDIRIIDR26-061521</t>
  </si>
  <si>
    <t>Mandiri NPG 22-06-2026</t>
  </si>
  <si>
    <t>MANDIRIIDR26-061522</t>
  </si>
  <si>
    <t>Mandiri QR 22-06-2026</t>
  </si>
  <si>
    <t>MANDIRIIDR26-061523</t>
  </si>
  <si>
    <t>Satpol PP-soal complain suara bocor,kasusnya sdh sampai ke Kadis, td sdh teken BAP</t>
  </si>
  <si>
    <t>MANDIRIIDR26-061524</t>
  </si>
  <si>
    <t>Guest - refund DP for event next week because urgent reason (dp cust 5juta)</t>
  </si>
  <si>
    <t>MANDIRIIDR26-061525</t>
  </si>
  <si>
    <t>Mandiri Debet 23-06-2026</t>
  </si>
  <si>
    <t>MANDIRIIDR26-061526</t>
  </si>
  <si>
    <t>Mandiri CC 23-06-2026</t>
  </si>
  <si>
    <t>MANDIRIIDR26-061527</t>
  </si>
  <si>
    <t>Mandiri NPG 23-06-2026</t>
  </si>
  <si>
    <t>MANDIRIIDR26-061528</t>
  </si>
  <si>
    <t>Mandiri QR 23-06-2026</t>
  </si>
  <si>
    <t>MANDIRIIDR26-061529</t>
  </si>
  <si>
    <t>MAGNIFIC - INV. 0039 - 25 JUNE 26 (Magnific Premium+ Monthly) (20.486,24 * 37,74eur)</t>
  </si>
  <si>
    <t>MANDIRIIDR26-061530</t>
  </si>
  <si>
    <t>Sinthia - Reimburse kekurangan bayar MAGNIFIC - INV. 0039 - 25 JUNE 26 (Magnific Premium+ Monthly) (20.486,24 * 37,74eur)</t>
  </si>
  <si>
    <t>MANDIRIIDR26-061531</t>
  </si>
  <si>
    <t>MANDIRIIDR26-061532</t>
  </si>
  <si>
    <t>6-1101</t>
  </si>
  <si>
    <t>BASIC of June 2026</t>
  </si>
  <si>
    <t>6-1102</t>
  </si>
  <si>
    <t>Meals &amp; Transport allowance of June 2026</t>
  </si>
  <si>
    <t>Accomodation of June 2026</t>
  </si>
  <si>
    <t>Over Time  of June 2026</t>
  </si>
  <si>
    <t>Jamsostek Payable</t>
  </si>
  <si>
    <t>BPJS Kesehatan Payable</t>
  </si>
  <si>
    <t>James Alan Byron Tay</t>
  </si>
  <si>
    <t>Ama Hanifah</t>
  </si>
  <si>
    <t>I Wayan Ode Permana</t>
  </si>
  <si>
    <t>Ni Luh Putu Winda Sri Utari</t>
  </si>
  <si>
    <t>Ida Ayu Ketut Bulan</t>
  </si>
  <si>
    <t>I Komang Putra Cahya Dwipa</t>
  </si>
  <si>
    <t>Gede Sana</t>
  </si>
  <si>
    <t>Dewi Ratih</t>
  </si>
  <si>
    <t>Dian Islamiati</t>
  </si>
  <si>
    <t>Ni Putu Rini Indayani</t>
  </si>
  <si>
    <t>Kadek Aprilia</t>
  </si>
  <si>
    <t>Ketut Ary Suari</t>
  </si>
  <si>
    <t>Kadek Fitriani</t>
  </si>
  <si>
    <t>I Putu Hartana Putra</t>
  </si>
  <si>
    <t>Ronald Dayan Unonongo</t>
  </si>
  <si>
    <t>Sumarni</t>
  </si>
  <si>
    <t>Widya Metha</t>
  </si>
  <si>
    <t>Gusti Ayu Widiandari</t>
  </si>
  <si>
    <t>Luh Beti Agustini</t>
  </si>
  <si>
    <t>Victor Thobias Helly</t>
  </si>
  <si>
    <t>Ferina Tarina Situmorang</t>
  </si>
  <si>
    <t>Siti Musrijah</t>
  </si>
  <si>
    <t>I Wayan Rastika</t>
  </si>
  <si>
    <t>Putu Eka Cahyadi</t>
  </si>
  <si>
    <t>I Ketut Merta</t>
  </si>
  <si>
    <t>Gede Andry Kurniawan</t>
  </si>
  <si>
    <t>Dedi Setiawan</t>
  </si>
  <si>
    <t>1-1203</t>
  </si>
  <si>
    <t>I Made Putra Yasa</t>
  </si>
  <si>
    <t xml:space="preserve"> Victor Thobias Helly </t>
  </si>
  <si>
    <t>unpaid leave</t>
  </si>
  <si>
    <t>PPh Ps 21</t>
  </si>
  <si>
    <t>Red Ruby payroll of June 2026</t>
  </si>
  <si>
    <t>Kadek Yunia Rediastini - lbh byr June salary</t>
  </si>
  <si>
    <t>Ronald Dayan Unonongo- lbh byr June salary</t>
  </si>
  <si>
    <t>Sumarni- lbh byr June salary</t>
  </si>
  <si>
    <t>Widya Metha- lbh byr June salary</t>
  </si>
  <si>
    <t>Luh Beti Agustini- lbh byr June salary</t>
  </si>
  <si>
    <t>Ferina Tarina Situmorang- lbh byr June salary</t>
  </si>
  <si>
    <t>Siti Musrijah- lbh byr June salary</t>
  </si>
  <si>
    <t>I Made Wahyu Semaradana- lbh byr June salary</t>
  </si>
  <si>
    <t>Putu Eka Cahyadi- lbh byr June salary</t>
  </si>
  <si>
    <t>I Ketut Merta- lbh byr June salary</t>
  </si>
  <si>
    <t>Gede Andry Kurniawan- lbh byr June salary</t>
  </si>
  <si>
    <t>Luh Dewi Pasrini- lbh byr June salary</t>
  </si>
  <si>
    <t>I Putu Gde Galih Raka Siwi- lbh byr June salary</t>
  </si>
  <si>
    <t>Marthinus David Kolly- lbh byr June salary</t>
  </si>
  <si>
    <t>I Made Arya Adi Suarjaya- lbh byr June salary</t>
  </si>
  <si>
    <t>BANK CHARGE</t>
  </si>
  <si>
    <t>2-2101</t>
  </si>
  <si>
    <t>Salaries payable</t>
  </si>
  <si>
    <t>MANDIRIIDR26-061533</t>
  </si>
  <si>
    <t>Mandiri Debet 24-06-2026</t>
  </si>
  <si>
    <t>MANDIRIIDR26-061534</t>
  </si>
  <si>
    <t>Mandiri CC 24-06-2026</t>
  </si>
  <si>
    <t>MANDIRIIDR26-061535</t>
  </si>
  <si>
    <t>Mandiri NPG 24-06-2026</t>
  </si>
  <si>
    <t>MANDIRIIDR26-061536</t>
  </si>
  <si>
    <t>Mandiri QR 24-06-2026</t>
  </si>
  <si>
    <t>MANDIRIIDR26-061537</t>
  </si>
  <si>
    <t>The Beat Bali 9Pax = 180K - May 2026</t>
  </si>
  <si>
    <t>MANDIRIIDR26-061538</t>
  </si>
  <si>
    <t>6-3303</t>
  </si>
  <si>
    <t>Pak Made - Reimburse Dwi Teknik Pasang Tv 65Inc</t>
  </si>
  <si>
    <t>MANDIRIIDR26-061539</t>
  </si>
  <si>
    <t>Fran Tinez - Fee Dj 2 June 26</t>
  </si>
  <si>
    <t xml:space="preserve"> MANDIRIIDR26-061540 </t>
  </si>
  <si>
    <t>Simo White - Fee Dj 3 June 26</t>
  </si>
  <si>
    <t xml:space="preserve"> MANDIRIIDR26-061541</t>
  </si>
  <si>
    <t>Indi 17Pax = 340K - May 2026</t>
  </si>
  <si>
    <t xml:space="preserve"> MANDIRIIDR26-061542</t>
  </si>
  <si>
    <t>Jenny (Exgro) 26Pax * 30K = 780K - May 2026</t>
  </si>
  <si>
    <t xml:space="preserve"> MANDIRIIDR26-061543</t>
  </si>
  <si>
    <t>Top ads sos med 26 June 2026</t>
  </si>
  <si>
    <t xml:space="preserve"> MANDIRIIDR26-061544</t>
  </si>
  <si>
    <t>Angga - Reimburse Bali Star 26 Jun 26</t>
  </si>
  <si>
    <t xml:space="preserve"> MANDIRIIDR26-061545</t>
  </si>
  <si>
    <t>Kadek Juniantara - kurang bayar gaji June</t>
  </si>
  <si>
    <t xml:space="preserve"> MANDIRIIDR26-061546</t>
  </si>
  <si>
    <t>Made Dwika Hanjaya - kurang bayar gaji June</t>
  </si>
  <si>
    <t xml:space="preserve"> MANDIRIIDR26-061547</t>
  </si>
  <si>
    <t>Yonarisius Wele - kurang bayar gaji June</t>
  </si>
  <si>
    <t xml:space="preserve"> MANDIRIIDR26-061548</t>
  </si>
  <si>
    <t>Jentri Magang - kurang bayar gaji June</t>
  </si>
  <si>
    <t xml:space="preserve"> MANDIRIIDR26-061549</t>
  </si>
  <si>
    <t>Kadek Dedi Artawan - kurang bayar gaji June</t>
  </si>
  <si>
    <t xml:space="preserve"> MANDIRIIDR26-061550</t>
  </si>
  <si>
    <t>I Putu Hartana Putra- kurang bayar gaji June</t>
  </si>
  <si>
    <t xml:space="preserve"> MANDIRIIDR26-061551</t>
  </si>
  <si>
    <t>Gusti Ayu Widiandari- kurang bayar gaji June</t>
  </si>
  <si>
    <t xml:space="preserve"> MANDIRIIDR26-061552</t>
  </si>
  <si>
    <t>Victor Thobias Helly- kurang bayar gaji June</t>
  </si>
  <si>
    <t xml:space="preserve"> MANDIRIIDR26-061553</t>
  </si>
  <si>
    <t>Ni Putu Rahma Dewi- kurang bayar gaji June</t>
  </si>
  <si>
    <t xml:space="preserve"> MANDIRIIDR26-061554</t>
  </si>
  <si>
    <t>Hermawan Ronaldo Manullang- kurang bayar gaji June</t>
  </si>
  <si>
    <t xml:space="preserve"> MANDIRIIDR26-061555</t>
  </si>
  <si>
    <t>I Made Mastra Piana- kurang bayar gaji June</t>
  </si>
  <si>
    <t xml:space="preserve"> MANDIRIIDR26-061556</t>
  </si>
  <si>
    <t>Komang Setiawan- kurang bayar gaji June</t>
  </si>
  <si>
    <t xml:space="preserve"> MANDIRIIDR26-061557</t>
  </si>
  <si>
    <t>I Putu Kertayasa- kurang bayar gaji June</t>
  </si>
  <si>
    <t xml:space="preserve"> MANDIRIIDR26-061558</t>
  </si>
  <si>
    <t>I Ketut Gelis- kurang bayar gaji June</t>
  </si>
  <si>
    <t xml:space="preserve"> MANDIRIIDR26-061559</t>
  </si>
  <si>
    <t>Dedi Setiawan- kurang bayar gaji June</t>
  </si>
  <si>
    <t xml:space="preserve"> MANDIRIIDR26-061560</t>
  </si>
  <si>
    <t>Ketut Sukatama- kurang bayar gaji June</t>
  </si>
  <si>
    <t xml:space="preserve"> MANDIRIIDR26-061561</t>
  </si>
  <si>
    <t xml:space="preserve"> MANDIRIIDR26-061562</t>
  </si>
  <si>
    <t>Mandiri CC 25-06-2026</t>
  </si>
  <si>
    <t xml:space="preserve"> MANDIRIIDR26-061563</t>
  </si>
  <si>
    <t>Mandiri NPG 25-06-2026</t>
  </si>
  <si>
    <t xml:space="preserve"> MANDIRIIDR26-061564</t>
  </si>
  <si>
    <t>Mandiri QR 25-06-2026</t>
  </si>
  <si>
    <t xml:space="preserve"> MANDIRIIDR26-061565</t>
  </si>
  <si>
    <t>Mandiri Debet 26-06-2026</t>
  </si>
  <si>
    <t xml:space="preserve"> MANDIRIIDR26-061566</t>
  </si>
  <si>
    <t>Mandiri CC 26-06-2026</t>
  </si>
  <si>
    <t xml:space="preserve"> MANDIRIIDR26-061567</t>
  </si>
  <si>
    <t>Mandiri NPG 26-06-2026</t>
  </si>
  <si>
    <t xml:space="preserve"> MANDIRIIDR26-061568</t>
  </si>
  <si>
    <t>Mandiri QR 26-06-2026</t>
  </si>
  <si>
    <t xml:space="preserve"> MANDIRIIDR26-061569</t>
  </si>
  <si>
    <t>Mandiri Debet 27-06-2026</t>
  </si>
  <si>
    <t xml:space="preserve"> MANDIRIIDR26-061570</t>
  </si>
  <si>
    <t>Mandiri CC 27-06-2026</t>
  </si>
  <si>
    <t xml:space="preserve"> MANDIRIIDR26-061571</t>
  </si>
  <si>
    <t>Mandiri NPG 27-06-2026</t>
  </si>
  <si>
    <t xml:space="preserve"> MANDIRIIDR26-061572</t>
  </si>
  <si>
    <t>Mandiri QR 27-06-2026</t>
  </si>
  <si>
    <t xml:space="preserve"> MANDIRIIDR26-061572A</t>
  </si>
  <si>
    <t>BU AMA - PEMBELIAN VODKA U/BIRTHDAY ODE</t>
  </si>
  <si>
    <t xml:space="preserve"> MANDIRIIDR26-061573</t>
  </si>
  <si>
    <t>Simo White - Fee Dj 14 June 26</t>
  </si>
  <si>
    <t xml:space="preserve"> MANDIRIIDR26-061574</t>
  </si>
  <si>
    <t>Cayla - Reimburse Angkut Sampah, Bday Cake &amp; Balon Roza, Sticker Sampah , Black Raven May, Tong Sampah, Gobox Sylvia Kapaboard, Pelunasan Cake Anniv Black Raven For 19 May 26</t>
  </si>
  <si>
    <t xml:space="preserve"> MANDIRIIDR26-061575</t>
  </si>
  <si>
    <t>P Jhon - Part Payment Land Rental Payment Ke P.John (July 2027 - July 2032)</t>
  </si>
  <si>
    <t xml:space="preserve"> MANDIRIIDR26-061576</t>
  </si>
  <si>
    <t>Ayu - Comm Bottle No.5701,6041,6325</t>
  </si>
  <si>
    <t xml:space="preserve"> MANDIRIIDR26-061577</t>
  </si>
  <si>
    <t>Dewi Floor - Comm Bottle No.6284</t>
  </si>
  <si>
    <t xml:space="preserve"> MANDIRIIDR26-061578</t>
  </si>
  <si>
    <t>Alin Floor - Comm Bottle No.5863,6280</t>
  </si>
  <si>
    <t xml:space="preserve"> MANDIRIIDR26-061579</t>
  </si>
  <si>
    <t>Inez - Comm Bottle No.6387</t>
  </si>
  <si>
    <t xml:space="preserve"> MANDIRIIDR26-061580</t>
  </si>
  <si>
    <t>Betty Gro - Comm Bottle No.7288</t>
  </si>
  <si>
    <t xml:space="preserve"> MANDIRIIDR26-061581</t>
  </si>
  <si>
    <t>Ayu Gro - Comm Bottle No.7778</t>
  </si>
  <si>
    <t xml:space="preserve"> MANDIRIIDR26-061582</t>
  </si>
  <si>
    <t>Dewi Floor - Comm Bottle No.7141</t>
  </si>
  <si>
    <t xml:space="preserve"> MANDIRIIDR26-061583</t>
  </si>
  <si>
    <t xml:space="preserve"> MANDIRIIDR26-061584</t>
  </si>
  <si>
    <t xml:space="preserve"> MANDIRIIDR26-061585</t>
  </si>
  <si>
    <t xml:space="preserve"> MANDIRIIDR26-061586</t>
  </si>
  <si>
    <t xml:space="preserve"> MANDIRIIDR26-061587</t>
  </si>
  <si>
    <t>Mandiri Debet 28-06-2026</t>
  </si>
  <si>
    <t xml:space="preserve"> MANDIRIIDR26-061588</t>
  </si>
  <si>
    <t>Mandiri CC 28-06-2026</t>
  </si>
  <si>
    <t xml:space="preserve"> MANDIRIIDR26-061589</t>
  </si>
  <si>
    <t>Mandiri NPG 28-06-2026</t>
  </si>
  <si>
    <t xml:space="preserve"> MANDIRIIDR26-061590</t>
  </si>
  <si>
    <t>Mandiri QR 28-06-2026</t>
  </si>
  <si>
    <t xml:space="preserve"> MANDIRIIDR26-061591</t>
  </si>
  <si>
    <t>1-1407</t>
  </si>
  <si>
    <t>Global Extreme - Inv. Internet July 2026  (Red Ruby Office)</t>
  </si>
  <si>
    <t xml:space="preserve"> MANDIRIIDR26-061592</t>
  </si>
  <si>
    <t>Global Extreme - Inv. Internet July 2026 Red Ruby</t>
  </si>
  <si>
    <t xml:space="preserve"> MANDIRIIDR26-061593</t>
  </si>
  <si>
    <t>OVER BOOKING MANDIRI IDR TO MANDIRI USD</t>
  </si>
  <si>
    <t xml:space="preserve"> MANDIRIIDR26-061593A</t>
  </si>
  <si>
    <t>Mandiri NPG 29-06-2026</t>
  </si>
  <si>
    <t xml:space="preserve"> MANDIRIIDR26-061594</t>
  </si>
  <si>
    <t>7-1000</t>
  </si>
  <si>
    <t>BUNGA</t>
  </si>
  <si>
    <t>PAJAK</t>
  </si>
  <si>
    <t xml:space="preserve"> MANDIRIIDR26-061594A</t>
  </si>
  <si>
    <t>ADJUSMENT CHARGE CARD MANDIRI IDR JUNE 2026</t>
  </si>
  <si>
    <t xml:space="preserve"> MANDIRIIDR26-061595</t>
  </si>
  <si>
    <t>ADJUSMENT BANK MANDIRI IDR JUNE 2026</t>
  </si>
  <si>
    <t>MANDIRIUSD26-06001</t>
  </si>
  <si>
    <t>2-4102</t>
  </si>
  <si>
    <t>Wilhlem - Repayment Loan - April 2500 USD</t>
  </si>
  <si>
    <t>MANDIRIUSD26-06002</t>
  </si>
  <si>
    <t>Wilhlem - Repayment Loan - April 2500 USD (rek 2)</t>
  </si>
  <si>
    <t>MANDIRIUSD26-06003</t>
  </si>
  <si>
    <t>Refund Wilhlem - Repayment Loan - April 2500 USD (rek 2)</t>
  </si>
  <si>
    <t>MANDIRIUSD26-06004</t>
  </si>
  <si>
    <t>Wilhlem - Repayment Loan - April 2500 USD (rek 2) (Retransfer)</t>
  </si>
  <si>
    <t>MANDIRIUSD26-06005</t>
  </si>
  <si>
    <t>MANDIRIUSD26-06006</t>
  </si>
  <si>
    <t>MANDIRIUSD26-06007</t>
  </si>
  <si>
    <t>Wilhlem - Loan Payment - May 2500Usd (Rekening 1 )</t>
  </si>
  <si>
    <t>MANDIRIUSD26-06008</t>
  </si>
  <si>
    <t>MANDIRIUSD26-06009</t>
  </si>
  <si>
    <t>ADJUSMENT BANK MANDIRI USD - JUNE 2026</t>
  </si>
  <si>
    <t>PC26-06001</t>
  </si>
  <si>
    <t>1-1106</t>
  </si>
  <si>
    <t>Sales Cash 31 May 2026</t>
  </si>
  <si>
    <t>BALI TIRTA 31 MAY 26</t>
  </si>
  <si>
    <t>Tirthamas Surya Bali - Inv.9446 - 31 May 26</t>
  </si>
  <si>
    <t>Cigarette</t>
  </si>
  <si>
    <t>Over Booking To Mandiri</t>
  </si>
  <si>
    <t>PETTY CASH - 31 MAY 26</t>
  </si>
  <si>
    <t>PC26-06002</t>
  </si>
  <si>
    <t>Sales Cash 01 June 2026</t>
  </si>
  <si>
    <t>BV052</t>
  </si>
  <si>
    <t>Tirtamas - 01 June 26</t>
  </si>
  <si>
    <t>Engginering</t>
  </si>
  <si>
    <t>Bali Tirta - 01 June 26</t>
  </si>
  <si>
    <t>Engginering - JET SHOWER</t>
  </si>
  <si>
    <t>PETTY CASH - 01 JUNE 2026</t>
  </si>
  <si>
    <t>PC26-06003</t>
  </si>
  <si>
    <t>Sales Cash 02 June 2026</t>
  </si>
  <si>
    <t>Tirtamas - 02 June 26</t>
  </si>
  <si>
    <t>V023</t>
  </si>
  <si>
    <t>Kitchen Expenses - DAUN BAWANG PREE (TOKO TESALONIKA)</t>
  </si>
  <si>
    <t>V001</t>
  </si>
  <si>
    <t>Kitchen Expenses - CABE MERAH BESAR (TOKO TESALONIKA)</t>
  </si>
  <si>
    <t>Bali Tirta - 02 June 26</t>
  </si>
  <si>
    <t>BV055</t>
  </si>
  <si>
    <t>Bar Expenses - JERUK NIPIS  (PEPITO MARKET)</t>
  </si>
  <si>
    <t>6-3113</t>
  </si>
  <si>
    <t>Ceremony Expenses</t>
  </si>
  <si>
    <t>PETTY CASH - 02 JUNE 2026</t>
  </si>
  <si>
    <t>PC26-06004</t>
  </si>
  <si>
    <t>Sales Cash 03 June 2026</t>
  </si>
  <si>
    <t>Fee Gojek</t>
  </si>
  <si>
    <t>CC001</t>
  </si>
  <si>
    <t>Cigarette MARLBORO RED</t>
  </si>
  <si>
    <t>CC002</t>
  </si>
  <si>
    <t>Cigarette MARLBORO GOLD</t>
  </si>
  <si>
    <t>Tirtamas - 03 June 26</t>
  </si>
  <si>
    <t>Bali Tirta - 03 June 26</t>
  </si>
  <si>
    <t>Pop Corn</t>
  </si>
  <si>
    <t>PETTY CASH - 03 JUNE 2026</t>
  </si>
  <si>
    <t>PC26-06005</t>
  </si>
  <si>
    <t>Sales Cash 04 June 2026</t>
  </si>
  <si>
    <t>Tirtamas - 04 June 26</t>
  </si>
  <si>
    <t>BV033</t>
  </si>
  <si>
    <t>Susu Uht - BINTANG SUPERMARKET</t>
  </si>
  <si>
    <t>Engginering - CAT SEMPROT</t>
  </si>
  <si>
    <t>Bali Tirta - 04 June 26</t>
  </si>
  <si>
    <t>PETTY CASH - 04 JUNE 2026</t>
  </si>
  <si>
    <t>PC26-06006</t>
  </si>
  <si>
    <t>Sales Cash 05 June 2026</t>
  </si>
  <si>
    <t>V004</t>
  </si>
  <si>
    <t>Bawang Putih</t>
  </si>
  <si>
    <t>Bali Tirta - 05 June 26</t>
  </si>
  <si>
    <t>M047</t>
  </si>
  <si>
    <t>Le Marche - Pork Toulouse</t>
  </si>
  <si>
    <t>M013</t>
  </si>
  <si>
    <t>Le Marche - Chicken Sausage</t>
  </si>
  <si>
    <t>Tirtamas - 05 June 26</t>
  </si>
  <si>
    <t>Jake Christopher - Fee DJ 5 June 26</t>
  </si>
  <si>
    <t>Kitchen Expenses - ARTICHOKE (PEPITO MARKET)</t>
  </si>
  <si>
    <t>PETTY CASH - 05 JUNE 2026</t>
  </si>
  <si>
    <t>PC26-06007</t>
  </si>
  <si>
    <t>Sales Cash 06 June 2026</t>
  </si>
  <si>
    <t>V005</t>
  </si>
  <si>
    <t>Bawang Merah</t>
  </si>
  <si>
    <t>Jaya Plastik - Kresek Belang</t>
  </si>
  <si>
    <t>Toko Rahayu - Kitchen Expense CAPERS</t>
  </si>
  <si>
    <t>G052</t>
  </si>
  <si>
    <t>Toko Rahayu - Kitchen Expense YOGURT</t>
  </si>
  <si>
    <t>Tirtamas - 06 June 26</t>
  </si>
  <si>
    <t>Toko Cat - Welproof 1K Hitam, Welproof 1K Hitam Red</t>
  </si>
  <si>
    <t>Bali Tirta - 06 June 26</t>
  </si>
  <si>
    <t>Lukas - Advance 06 June 26</t>
  </si>
  <si>
    <t>Cigarette MARLBORO LIGHT</t>
  </si>
  <si>
    <t>PETTY CASH - 06 JUNE 2026</t>
  </si>
  <si>
    <t>PC26-06008</t>
  </si>
  <si>
    <t>Sales Cash 07 June 2026</t>
  </si>
  <si>
    <t>Bali Tirta - 07 June 26</t>
  </si>
  <si>
    <t>Tirtamas - 07 June 26</t>
  </si>
  <si>
    <t xml:space="preserve">CC004 </t>
  </si>
  <si>
    <t>Cigarette SAMPORENA MILD 16</t>
  </si>
  <si>
    <t>Cigarette SMARLBORO RED</t>
  </si>
  <si>
    <t>Fee Banjar - June2026</t>
  </si>
  <si>
    <t>Over Booking Petty Cash To Mandiri (Biv)</t>
  </si>
  <si>
    <t>Over Booking To MANDIRI</t>
  </si>
  <si>
    <t>PETTY CASH - 07 JUNE 2026</t>
  </si>
  <si>
    <t>PC26-06009</t>
  </si>
  <si>
    <t>Immigration - additional fee for incharge 2 days 5-6 June 2026</t>
  </si>
  <si>
    <t>PC26-06010</t>
  </si>
  <si>
    <t>Sales Cash 08 June 2026</t>
  </si>
  <si>
    <t>Tirtamas - 08 June 26</t>
  </si>
  <si>
    <t>Le Marche De - Pork  Toulouse</t>
  </si>
  <si>
    <t>M049</t>
  </si>
  <si>
    <t>Le Marche De - Chicken Toulouse</t>
  </si>
  <si>
    <t>PETTY CASH - 08 JUNE 2026</t>
  </si>
  <si>
    <t>PC26-06011</t>
  </si>
  <si>
    <t>Sales Cash 09 June 2026</t>
  </si>
  <si>
    <t>Bali Tirta - 09 June 26</t>
  </si>
  <si>
    <t>Toko Rahayu - Kitchen Expense CABE MERAH BESAR</t>
  </si>
  <si>
    <t>G071</t>
  </si>
  <si>
    <t>Toko Rahayu - Kitchen Expense KEJU SLICE</t>
  </si>
  <si>
    <t>PETTY CASH - 09 JUNE 2026</t>
  </si>
  <si>
    <t>PC26-06012</t>
  </si>
  <si>
    <t>Sales Cash 10 June 2026</t>
  </si>
  <si>
    <t>Kitchen Expenses TOKO TESALONIKA BAWANG PUTIH</t>
  </si>
  <si>
    <t>Tusuk Gigi</t>
  </si>
  <si>
    <t>Feed Canal - Fee Dj 10 June 26</t>
  </si>
  <si>
    <t>Bali Tirta - 10 June 26</t>
  </si>
  <si>
    <t>Tirtamas - 10 June 26</t>
  </si>
  <si>
    <t>G010</t>
  </si>
  <si>
    <t xml:space="preserve">Puji Surya Indah - Inv. 9861 - 09 June 26 TOMATO SAUCE </t>
  </si>
  <si>
    <t>G030</t>
  </si>
  <si>
    <t>Puji Surya Indah - Inv. 9861 - 09 June 26 CHILI EXTRA HOT</t>
  </si>
  <si>
    <t>Susu Uht - INDOMARET</t>
  </si>
  <si>
    <t>PETTY CASH - 10 JUNE 2026</t>
  </si>
  <si>
    <t>PC26-06013</t>
  </si>
  <si>
    <t>Sales Cash 11 June 2026</t>
  </si>
  <si>
    <t>Tirtamas - 11 June 26</t>
  </si>
  <si>
    <t>Triplek</t>
  </si>
  <si>
    <t>CC003</t>
  </si>
  <si>
    <t>Cigarette MARLBORO ICE BURST</t>
  </si>
  <si>
    <t>Cigarette SAMPOERNA MILD 16</t>
  </si>
  <si>
    <t>Pembelian Penjor U/ Galungan - 11 June 26</t>
  </si>
  <si>
    <t>V009</t>
  </si>
  <si>
    <t>Kitchen Expenses PARSLEY</t>
  </si>
  <si>
    <t>V035</t>
  </si>
  <si>
    <t>Kitchen Expenses TEMPE</t>
  </si>
  <si>
    <t>Bedak U/ Salsa</t>
  </si>
  <si>
    <t>PETTY CASH - 11 JUNE 2026</t>
  </si>
  <si>
    <t>PC26-06014</t>
  </si>
  <si>
    <t>Sales Cash 12 June 2026</t>
  </si>
  <si>
    <t>V006</t>
  </si>
  <si>
    <t>Kitchen Expenses - bombai (ABBAS)</t>
  </si>
  <si>
    <t>V037</t>
  </si>
  <si>
    <t>Kitchen Expenses - pok coy (ABBAS)</t>
  </si>
  <si>
    <t>Tirtamas - 12 June 26</t>
  </si>
  <si>
    <t>Lukas - Advance 12 June 26</t>
  </si>
  <si>
    <t>PETTY CASH - 12 JUNE 2026</t>
  </si>
  <si>
    <t>PC26-06015</t>
  </si>
  <si>
    <t>Sales Cash 13 June 2026</t>
  </si>
  <si>
    <t>Starwork Ilya - Refund Cost Of Investor Mietino 13 June 26 (STW)</t>
  </si>
  <si>
    <t>Engginering LEM</t>
  </si>
  <si>
    <t>V010</t>
  </si>
  <si>
    <t>Kitchen Expenses - TOKO RAHAYU (RUCCOLA)</t>
  </si>
  <si>
    <t>V027</t>
  </si>
  <si>
    <t>Kitchen Expenses - TOKO RAHAYU ( ROMANA)</t>
  </si>
  <si>
    <t>V052</t>
  </si>
  <si>
    <t>Kitchen Expenses - TOKO RAHAYU (AVOCADO)</t>
  </si>
  <si>
    <t>Tirtamas - 13 June 26</t>
  </si>
  <si>
    <t xml:space="preserve">Fee Gojek </t>
  </si>
  <si>
    <t>M048</t>
  </si>
  <si>
    <t>Le Marche De - Beef Toulouse</t>
  </si>
  <si>
    <t>Le Marche De - Pork Toulouse</t>
  </si>
  <si>
    <t>Lukas - Advance 13 June 26</t>
  </si>
  <si>
    <t>Cigarette MARLBORO ICE BURST SUISTANIBILITY</t>
  </si>
  <si>
    <t>PETTY CASH - 13 JUNE 2026</t>
  </si>
  <si>
    <t>PC26-06016</t>
  </si>
  <si>
    <t>Sales Cash 14 June 2026</t>
  </si>
  <si>
    <t>Bali Tirta - 14 June 2026</t>
  </si>
  <si>
    <t>Janur (Busung) - U/Penjor</t>
  </si>
  <si>
    <t>Kitchen Expenses - BWANG PUTIH (ABBAS)</t>
  </si>
  <si>
    <t>Kitchen Expenses - CABE MERAH BESAR (ABBAS)</t>
  </si>
  <si>
    <t>Tirtamas - 14 June 26</t>
  </si>
  <si>
    <t xml:space="preserve">Over Booking Petty Cash To Mandiri </t>
  </si>
  <si>
    <t>BIV over booking</t>
  </si>
  <si>
    <t>PETTY CASH - 14 JUNE 2026</t>
  </si>
  <si>
    <t>PC26-06017</t>
  </si>
  <si>
    <t>Sales Cash 15 June 2026</t>
  </si>
  <si>
    <t>Cigarette MARL ICE BURST</t>
  </si>
  <si>
    <t>Cigarette MARL RED</t>
  </si>
  <si>
    <t>Cigarette MARL RLIGHT</t>
  </si>
  <si>
    <t>Tirtamas - 15 June 26</t>
  </si>
  <si>
    <t>G023</t>
  </si>
  <si>
    <t>Telur</t>
  </si>
  <si>
    <t>PETTY CASH - 15 JUNE 2026</t>
  </si>
  <si>
    <t>PC26-06018</t>
  </si>
  <si>
    <t>Sales Cash 16 June 2026</t>
  </si>
  <si>
    <t>6-2103</t>
  </si>
  <si>
    <t>Laundry - 16 June 26</t>
  </si>
  <si>
    <t>Tirtamas - 16 June 26</t>
  </si>
  <si>
    <t>V014</t>
  </si>
  <si>
    <t>Kitchen Expenses - KORIANDER</t>
  </si>
  <si>
    <t>V013</t>
  </si>
  <si>
    <t>Kitchen Expenses - TOMAT CERI</t>
  </si>
  <si>
    <t>V002</t>
  </si>
  <si>
    <t>Kitchen Expenses - TOMAT BESAR</t>
  </si>
  <si>
    <t>Bali Tirta - 16 June 26</t>
  </si>
  <si>
    <t>PETTY CASH - 16 JUNE 2026</t>
  </si>
  <si>
    <t>PC26-06019</t>
  </si>
  <si>
    <t>Sales Cash 17 June 2026</t>
  </si>
  <si>
    <t>Kitchen Expenses YOGURTH</t>
  </si>
  <si>
    <t>Bali Tirta - 17 June 26</t>
  </si>
  <si>
    <t>Tirtamas - 17 June 26</t>
  </si>
  <si>
    <t>PETTY CASH - 17 JUNE 2026</t>
  </si>
  <si>
    <t>PC26-06020</t>
  </si>
  <si>
    <t>Sales Cash 18 June 2026</t>
  </si>
  <si>
    <t>Tirtamas - 18 June 26</t>
  </si>
  <si>
    <t>V043</t>
  </si>
  <si>
    <t>Kitchen Expenses - KACANG TANAH</t>
  </si>
  <si>
    <t>Kitchen Expenses - PARSLEY</t>
  </si>
  <si>
    <t>BV054</t>
  </si>
  <si>
    <t>Kitchen Expenses NANAS</t>
  </si>
  <si>
    <t>Bali Tirta - 18 June 26</t>
  </si>
  <si>
    <t>Susu Uht - toko chandra</t>
  </si>
  <si>
    <t>PETTY CASH - 18 JUNE 2026</t>
  </si>
  <si>
    <t>PC26-06021</t>
  </si>
  <si>
    <t>Sales Cash 19 June 2026</t>
  </si>
  <si>
    <t>Utchi - Fee Dj 19 June 26</t>
  </si>
  <si>
    <t>Sumbu Lilin</t>
  </si>
  <si>
    <t>Kresek</t>
  </si>
  <si>
    <t xml:space="preserve">Susu </t>
  </si>
  <si>
    <t>Popcorn</t>
  </si>
  <si>
    <t>Tirtamas - 19 June 26</t>
  </si>
  <si>
    <t>Cigarette marl light</t>
  </si>
  <si>
    <t>Cigarette marl red</t>
  </si>
  <si>
    <t>Cigarette sampoerna mild</t>
  </si>
  <si>
    <t>Bali Tirta - 19 June 26</t>
  </si>
  <si>
    <t>PETTY CASH - 19 JUNE 2026</t>
  </si>
  <si>
    <t>PC26-06022</t>
  </si>
  <si>
    <t>Sales Cash 20 June 2026</t>
  </si>
  <si>
    <t>Tirtamas - 20 June 26</t>
  </si>
  <si>
    <t>Bali Tirta - 20 June 26</t>
  </si>
  <si>
    <t>G028</t>
  </si>
  <si>
    <t>Kitchen Expenses - berni artch</t>
  </si>
  <si>
    <t>G105</t>
  </si>
  <si>
    <t>Kitchen Expenses jawi gherkin</t>
  </si>
  <si>
    <t>Pork  Toulous</t>
  </si>
  <si>
    <t>Chicken Toulous</t>
  </si>
  <si>
    <t>Lukas - Advance 20 June 26</t>
  </si>
  <si>
    <t>PETTY CASH - 20 JUNE 2026</t>
  </si>
  <si>
    <t>PC26-06023</t>
  </si>
  <si>
    <t>Sales Cash 21 June 2026</t>
  </si>
  <si>
    <t>Tirtamas - 21 June 26</t>
  </si>
  <si>
    <t>Kitchen Expenses onion</t>
  </si>
  <si>
    <t>Bali Tirta 21 June 26</t>
  </si>
  <si>
    <t>OVERBOOKING TO MANDIRI</t>
  </si>
  <si>
    <t>PETTY CASH - 21 JUNE 2026</t>
  </si>
  <si>
    <t>PC26-06024</t>
  </si>
  <si>
    <t>Polda - Fee June2026 Red Ruby</t>
  </si>
  <si>
    <t>PC26-06025</t>
  </si>
  <si>
    <t>Sales Cash 22 June 2026</t>
  </si>
  <si>
    <t>Tirtamas - 22 June 26</t>
  </si>
  <si>
    <t>Garpu &amp; Sendok Makan, Sendok Teh</t>
  </si>
  <si>
    <t>Cigarette MARL GOLD</t>
  </si>
  <si>
    <t>G018</t>
  </si>
  <si>
    <t>GARAM</t>
  </si>
  <si>
    <t>Bali Tirta - 22 June 26</t>
  </si>
  <si>
    <t>PETTY CASH - 22 JUNE 2026</t>
  </si>
  <si>
    <t>PC26-06026</t>
  </si>
  <si>
    <t>Sales Cash 23 June 2026</t>
  </si>
  <si>
    <t>Tirtamas - 23 June 26</t>
  </si>
  <si>
    <t>Pulsa Hp Gofood</t>
  </si>
  <si>
    <t>PETTY CASH - 23 JUNE 2026</t>
  </si>
  <si>
    <t>PC26-06027</t>
  </si>
  <si>
    <t>Sales Cash 24 June 2026</t>
  </si>
  <si>
    <t>Bali Tirta - 24 June 26</t>
  </si>
  <si>
    <t>Puji Surya Indah - Inv. 1099 - 24 June 26 TOMATO</t>
  </si>
  <si>
    <t>Tirtamas - 24 June 26</t>
  </si>
  <si>
    <t>Over Booking Petty Cash To Mandiri</t>
  </si>
  <si>
    <t>PETTY CASH - 24 JUNE 2026</t>
  </si>
  <si>
    <t>PC26-06028</t>
  </si>
  <si>
    <t>Sales Cash 25 June 2026</t>
  </si>
  <si>
    <t>Tirtamas - 25 June 26</t>
  </si>
  <si>
    <t>Bali Tirta - 25 June 26</t>
  </si>
  <si>
    <t>PETTY CASH - 25 JUNE 2026</t>
  </si>
  <si>
    <t>PC26-06029</t>
  </si>
  <si>
    <t>Sales Cash 26 June 2026</t>
  </si>
  <si>
    <t>Stationary Expenses - NOTA 1 PLY</t>
  </si>
  <si>
    <t>Tirtamas - 26 June 26</t>
  </si>
  <si>
    <t>Cigarette MARL ICE</t>
  </si>
  <si>
    <t>Cigarette MARL LIGHT</t>
  </si>
  <si>
    <t>PETTY CASH - 26 JUNE 2026</t>
  </si>
  <si>
    <t>PC26-06030</t>
  </si>
  <si>
    <t>Sales Cash 27 June 2026</t>
  </si>
  <si>
    <t>Bali Tirta - 27 June 26</t>
  </si>
  <si>
    <t>Cigarette SAMPOERNA MILD</t>
  </si>
  <si>
    <t>Cigarette MARL RLIGGHT</t>
  </si>
  <si>
    <t>Bar Supplies - JIWINGS</t>
  </si>
  <si>
    <t>Tirtamas - 27 June 26</t>
  </si>
  <si>
    <t>Kitchen Expenses CABE BESAR</t>
  </si>
  <si>
    <t>Kitchen Expenses YOGURT BIOKUL 500ML</t>
  </si>
  <si>
    <t>PETTY CASH - 27 JUNE 2026</t>
  </si>
  <si>
    <t>PC26-06031</t>
  </si>
  <si>
    <t>Sales Cash 28 June 2026</t>
  </si>
  <si>
    <t>Tirtamas - 28 June 26</t>
  </si>
  <si>
    <t>Bali Tirta - 28 June 26</t>
  </si>
  <si>
    <t>V012</t>
  </si>
  <si>
    <t>Cabe Kecil</t>
  </si>
  <si>
    <t>Susu Uht</t>
  </si>
  <si>
    <t>V020</t>
  </si>
  <si>
    <t>Kentang</t>
  </si>
  <si>
    <t>PETTY CASH - 28 JUNE 2026</t>
  </si>
  <si>
    <t>PC26-06032</t>
  </si>
  <si>
    <t>PC26-06033</t>
  </si>
  <si>
    <t>Polsek - Fee Regular For June 2026 (Sent To P Made/CASH)</t>
  </si>
  <si>
    <t>Polda Fee  Utk Cyber -June 2026</t>
  </si>
  <si>
    <t>PC26-06034</t>
  </si>
  <si>
    <t>Sales Cash 29 June 2026</t>
  </si>
  <si>
    <t>TIRTAMAS - 29 JUNE 26</t>
  </si>
  <si>
    <t>BEEF TOULUSE</t>
  </si>
  <si>
    <t>Kitchen Expenses CABAI MERAH BESAR</t>
  </si>
  <si>
    <t>Kitchen Expenses CABE MERAH BESAR</t>
  </si>
  <si>
    <t>BALI TIRTA - 29 JUNE 26</t>
  </si>
  <si>
    <t>PETTY CASH - 29 JUNE 2026</t>
  </si>
  <si>
    <t>PC26-06035</t>
  </si>
  <si>
    <t>Sales Cash 30 June 2026</t>
  </si>
  <si>
    <t>Cigarette SAMPOERNA</t>
  </si>
  <si>
    <t>SEMPROTAN AIR</t>
  </si>
  <si>
    <t>FEE GOJEK</t>
  </si>
  <si>
    <t>BALI TIRTA - 30 JUNE 26</t>
  </si>
  <si>
    <t>TIRTAMAS - 30 JUNE 26</t>
  </si>
  <si>
    <t>PETTY CASH - 30 JUNE 2026</t>
  </si>
  <si>
    <t>MISC26-06001</t>
  </si>
  <si>
    <t>V007</t>
  </si>
  <si>
    <t xml:space="preserve">Paprika merah </t>
  </si>
  <si>
    <t xml:space="preserve">Paprika kuning </t>
  </si>
  <si>
    <t xml:space="preserve">Paprika hijau </t>
  </si>
  <si>
    <t xml:space="preserve">Rukola </t>
  </si>
  <si>
    <t>V022</t>
  </si>
  <si>
    <t xml:space="preserve">Jamur kancing </t>
  </si>
  <si>
    <t>V066</t>
  </si>
  <si>
    <t xml:space="preserve">Baby spinach </t>
  </si>
  <si>
    <t>G068</t>
  </si>
  <si>
    <t>Knor</t>
  </si>
  <si>
    <t xml:space="preserve">Kentang besar </t>
  </si>
  <si>
    <t>BV062</t>
  </si>
  <si>
    <t xml:space="preserve">Apel </t>
  </si>
  <si>
    <t xml:space="preserve">Cabe merah besar </t>
  </si>
  <si>
    <t xml:space="preserve">Tomat </t>
  </si>
  <si>
    <t xml:space="preserve">Pok coy </t>
  </si>
  <si>
    <t xml:space="preserve">Romaine </t>
  </si>
  <si>
    <t xml:space="preserve">Tomato ceri </t>
  </si>
  <si>
    <t>V042</t>
  </si>
  <si>
    <t>Buncis</t>
  </si>
  <si>
    <t xml:space="preserve">Coriander </t>
  </si>
  <si>
    <t>BAWANG GORENG</t>
  </si>
  <si>
    <t>ERA FRESH - INV. 0290 - 01 JUNE 2026</t>
  </si>
  <si>
    <t>V051</t>
  </si>
  <si>
    <t>baby potato</t>
  </si>
  <si>
    <t>V042A</t>
  </si>
  <si>
    <t>baby buncis</t>
  </si>
  <si>
    <t>V011</t>
  </si>
  <si>
    <t>wortel</t>
  </si>
  <si>
    <t>V055</t>
  </si>
  <si>
    <t>shineji</t>
  </si>
  <si>
    <t>jamur kancing</t>
  </si>
  <si>
    <t>V003</t>
  </si>
  <si>
    <t xml:space="preserve">timun </t>
  </si>
  <si>
    <t>bawang putih</t>
  </si>
  <si>
    <t xml:space="preserve">cabe kecil </t>
  </si>
  <si>
    <t>BV066</t>
  </si>
  <si>
    <t>jahe</t>
  </si>
  <si>
    <t>romaince</t>
  </si>
  <si>
    <t>bawang merah</t>
  </si>
  <si>
    <t>V016</t>
  </si>
  <si>
    <t>tyhme</t>
  </si>
  <si>
    <t>V008</t>
  </si>
  <si>
    <t>basil</t>
  </si>
  <si>
    <t>V048</t>
  </si>
  <si>
    <t>mix lettuce</t>
  </si>
  <si>
    <t>V044</t>
  </si>
  <si>
    <t>pear</t>
  </si>
  <si>
    <t>G059</t>
  </si>
  <si>
    <t>buah naga</t>
  </si>
  <si>
    <t>V053</t>
  </si>
  <si>
    <t>pepaya</t>
  </si>
  <si>
    <t>BV058</t>
  </si>
  <si>
    <t>semangka</t>
  </si>
  <si>
    <t>ERA FRESH - INV. 0300 - 02 JUNE 2026</t>
  </si>
  <si>
    <t>BV086</t>
  </si>
  <si>
    <t>anggur</t>
  </si>
  <si>
    <t>ERA FRESH - INV. 0351 - 02 JUNE 2026</t>
  </si>
  <si>
    <t xml:space="preserve">LIME </t>
  </si>
  <si>
    <t>TIMUN</t>
  </si>
  <si>
    <t>BV064</t>
  </si>
  <si>
    <t>SUNKIST</t>
  </si>
  <si>
    <t>ERA FRESH - INV. 0361 - 03 JUNE 2026</t>
  </si>
  <si>
    <t>BV060</t>
  </si>
  <si>
    <t>mangga</t>
  </si>
  <si>
    <t>paprika merah</t>
  </si>
  <si>
    <t>paprika hijau</t>
  </si>
  <si>
    <t>pokcoy</t>
  </si>
  <si>
    <t>G036</t>
  </si>
  <si>
    <t>beras</t>
  </si>
  <si>
    <t>G063</t>
  </si>
  <si>
    <t>merica hitam</t>
  </si>
  <si>
    <t>garam</t>
  </si>
  <si>
    <t>onion</t>
  </si>
  <si>
    <t>ERA FRESH - INV. 0360 - 03 JUNE 2026</t>
  </si>
  <si>
    <t>TELUR</t>
  </si>
  <si>
    <t>M028</t>
  </si>
  <si>
    <t>AYAM PENJANTANG</t>
  </si>
  <si>
    <t>ERA FRESH - INV. 0353 - 03 JUNE 2026</t>
  </si>
  <si>
    <t>jamur shinneji</t>
  </si>
  <si>
    <t>V011A</t>
  </si>
  <si>
    <t>baby wortel</t>
  </si>
  <si>
    <t>alpukat</t>
  </si>
  <si>
    <t>G003</t>
  </si>
  <si>
    <t>dill</t>
  </si>
  <si>
    <t>rucola</t>
  </si>
  <si>
    <t>buah manggs</t>
  </si>
  <si>
    <t>tomat</t>
  </si>
  <si>
    <t>G093</t>
  </si>
  <si>
    <t xml:space="preserve">tepung raisin </t>
  </si>
  <si>
    <t>BUAH NAGA</t>
  </si>
  <si>
    <t>BABY ROMANA</t>
  </si>
  <si>
    <t>ERA FRESH - INV. 0365 - 04 JUNE 2026</t>
  </si>
  <si>
    <t>bawang goreng</t>
  </si>
  <si>
    <t xml:space="preserve">pok coy </t>
  </si>
  <si>
    <t>BV053</t>
  </si>
  <si>
    <t>lemon</t>
  </si>
  <si>
    <t>CABAI MERAH BESAR</t>
  </si>
  <si>
    <t>G083</t>
  </si>
  <si>
    <t>RED BEAN</t>
  </si>
  <si>
    <t>KENTANG</t>
  </si>
  <si>
    <t>BABY POTATO</t>
  </si>
  <si>
    <t>BASIL</t>
  </si>
  <si>
    <t>BUTTON</t>
  </si>
  <si>
    <t>ERA FRESH - INV. 0372 - 05JUNE 2026</t>
  </si>
  <si>
    <t>parsley</t>
  </si>
  <si>
    <t>alpokat</t>
  </si>
  <si>
    <t>tempe</t>
  </si>
  <si>
    <t>tomato cery</t>
  </si>
  <si>
    <t>pok coy</t>
  </si>
  <si>
    <t>romain</t>
  </si>
  <si>
    <t>V072</t>
  </si>
  <si>
    <t>labu</t>
  </si>
  <si>
    <t>buncis</t>
  </si>
  <si>
    <t>cabe kecil</t>
  </si>
  <si>
    <t>G100</t>
  </si>
  <si>
    <t>EDAMAME</t>
  </si>
  <si>
    <t>PAPRIKA KUNING</t>
  </si>
  <si>
    <t>PAPRIKA HIJAU</t>
  </si>
  <si>
    <t>SHIMEJI</t>
  </si>
  <si>
    <t>POK COY</t>
  </si>
  <si>
    <t>ERA FRESH - INV. 0376 - 06JUNE 2026</t>
  </si>
  <si>
    <t>nanas</t>
  </si>
  <si>
    <t>jamur simeji</t>
  </si>
  <si>
    <t>paprika kuning</t>
  </si>
  <si>
    <t>krupuk udang</t>
  </si>
  <si>
    <t>anggur merah</t>
  </si>
  <si>
    <t>coriander</t>
  </si>
  <si>
    <t>V046</t>
  </si>
  <si>
    <t>melon</t>
  </si>
  <si>
    <t>LEMON YELLOW</t>
  </si>
  <si>
    <t>ERA FRESH - INV. 0385 - 07 JUNE 2026</t>
  </si>
  <si>
    <t>RUCOLA</t>
  </si>
  <si>
    <t>G011</t>
  </si>
  <si>
    <t>HONEY BLOSSOM</t>
  </si>
  <si>
    <t>ERA FRESH - INV. 0386 - 07 JUNE 2026</t>
  </si>
  <si>
    <t xml:space="preserve">wortel </t>
  </si>
  <si>
    <t xml:space="preserve">baby wortel </t>
  </si>
  <si>
    <t xml:space="preserve">baby buncis </t>
  </si>
  <si>
    <t xml:space="preserve">buncis </t>
  </si>
  <si>
    <t xml:space="preserve">romaine </t>
  </si>
  <si>
    <t xml:space="preserve">paprika hijau </t>
  </si>
  <si>
    <t xml:space="preserve">jamur kancing </t>
  </si>
  <si>
    <t>apel</t>
  </si>
  <si>
    <t>pir</t>
  </si>
  <si>
    <t xml:space="preserve">lengkuas </t>
  </si>
  <si>
    <t xml:space="preserve">cabe merah besar </t>
  </si>
  <si>
    <t>V018</t>
  </si>
  <si>
    <t>lobak</t>
  </si>
  <si>
    <t xml:space="preserve">mix salad </t>
  </si>
  <si>
    <t>G009</t>
  </si>
  <si>
    <t xml:space="preserve">kemiri </t>
  </si>
  <si>
    <t>V033</t>
  </si>
  <si>
    <t>ROSEMARY</t>
  </si>
  <si>
    <t>BV075</t>
  </si>
  <si>
    <t>ALMOND SLICE</t>
  </si>
  <si>
    <t>ERA FRESH - INV. 0390 - 08 JUNE 2026</t>
  </si>
  <si>
    <t>RUKOLA</t>
  </si>
  <si>
    <t>G005</t>
  </si>
  <si>
    <t>KACANG POLONG</t>
  </si>
  <si>
    <t>ERA FRESH - INV. 0391 - 08 JUNE 2026</t>
  </si>
  <si>
    <t>V064</t>
  </si>
  <si>
    <t>sereh</t>
  </si>
  <si>
    <t>simeji</t>
  </si>
  <si>
    <t>BV061</t>
  </si>
  <si>
    <t>pisang kepok</t>
  </si>
  <si>
    <t>cabai kecil</t>
  </si>
  <si>
    <t>kentang besar</t>
  </si>
  <si>
    <t>KENAIKAN HARGA PER JUNI</t>
  </si>
  <si>
    <t>plastik 1 kg</t>
  </si>
  <si>
    <t>plastik klip 6 x10</t>
  </si>
  <si>
    <t>ERA FRESH - INV. 0398 - 09 JUNE 2026</t>
  </si>
  <si>
    <t>G037</t>
  </si>
  <si>
    <t>DHILI FLAKES 1JAR @ 500GR</t>
  </si>
  <si>
    <t>TOMATO CHERRY</t>
  </si>
  <si>
    <t>TEMPE</t>
  </si>
  <si>
    <t>ERA FRESH - INV. 0399 - 09 JUNE 2026</t>
  </si>
  <si>
    <t>M053A</t>
  </si>
  <si>
    <t>TULANG SAPI</t>
  </si>
  <si>
    <t>TELUR AYAM</t>
  </si>
  <si>
    <t>ERA FRESH - INV. 0395 - 09 JUNE 2026</t>
  </si>
  <si>
    <t xml:space="preserve">tomat </t>
  </si>
  <si>
    <t xml:space="preserve">paprika kuning </t>
  </si>
  <si>
    <t xml:space="preserve">anggur merah </t>
  </si>
  <si>
    <t xml:space="preserve">apel </t>
  </si>
  <si>
    <t xml:space="preserve">mangga </t>
  </si>
  <si>
    <t xml:space="preserve">beras c4 </t>
  </si>
  <si>
    <t xml:space="preserve">baby poteto </t>
  </si>
  <si>
    <t>V021</t>
  </si>
  <si>
    <t xml:space="preserve">kacang panjang </t>
  </si>
  <si>
    <t>CABAI KECIL</t>
  </si>
  <si>
    <t>ERA FRESH - INV. 0308 - 10 JUNE 2026</t>
  </si>
  <si>
    <t>LIME GREEN</t>
  </si>
  <si>
    <t>TIMUN JEPANG</t>
  </si>
  <si>
    <t>BV057</t>
  </si>
  <si>
    <t>DAUN MINT</t>
  </si>
  <si>
    <t>DAUN BASIL</t>
  </si>
  <si>
    <t>ERA FRESH - INV. 0314 - 11 JUNE 2026</t>
  </si>
  <si>
    <t xml:space="preserve">lemon import </t>
  </si>
  <si>
    <t xml:space="preserve">jamur shimeji putih </t>
  </si>
  <si>
    <t xml:space="preserve">kencur </t>
  </si>
  <si>
    <t>BV071</t>
  </si>
  <si>
    <t xml:space="preserve">kunyit </t>
  </si>
  <si>
    <t xml:space="preserve">rucola </t>
  </si>
  <si>
    <t>ERA FRESH - INV. 0315 - 11 JUNE 2026</t>
  </si>
  <si>
    <t xml:space="preserve">tomato cery </t>
  </si>
  <si>
    <t xml:space="preserve">kentang besar </t>
  </si>
  <si>
    <t xml:space="preserve">paprika merah </t>
  </si>
  <si>
    <t>KENAIKAN HARGA PER JUN</t>
  </si>
  <si>
    <t xml:space="preserve">semangka </t>
  </si>
  <si>
    <t xml:space="preserve">sarung tangan hitam XL </t>
  </si>
  <si>
    <t>AVOCADO</t>
  </si>
  <si>
    <t>ERA FRESH - INV. 0319 - 12 JUNE 2026</t>
  </si>
  <si>
    <t xml:space="preserve">Baby wortel </t>
  </si>
  <si>
    <t xml:space="preserve">Buncis </t>
  </si>
  <si>
    <t xml:space="preserve">Baby buncis </t>
  </si>
  <si>
    <t xml:space="preserve">Jamur shimeji </t>
  </si>
  <si>
    <t>V028</t>
  </si>
  <si>
    <t xml:space="preserve">Kol ungu </t>
  </si>
  <si>
    <t xml:space="preserve">Cabe merah kecil </t>
  </si>
  <si>
    <t>V047</t>
  </si>
  <si>
    <t xml:space="preserve">Cabe merah kriting </t>
  </si>
  <si>
    <t xml:space="preserve">Bawang merah </t>
  </si>
  <si>
    <t xml:space="preserve">Bawang putih </t>
  </si>
  <si>
    <t>1,5</t>
  </si>
  <si>
    <t xml:space="preserve">Basil </t>
  </si>
  <si>
    <t xml:space="preserve">Rosemery </t>
  </si>
  <si>
    <t>ERA FRESH - INV. 0328 - 13 JUNE 2026</t>
  </si>
  <si>
    <t xml:space="preserve">Pepaya </t>
  </si>
  <si>
    <t>Buah naga</t>
  </si>
  <si>
    <t>ERA FRESH - INV. 0329 - 13 JUNE 2026</t>
  </si>
  <si>
    <t>G099</t>
  </si>
  <si>
    <t xml:space="preserve">Demiglace </t>
  </si>
  <si>
    <t xml:space="preserve">Ketumbar </t>
  </si>
  <si>
    <t>G025</t>
  </si>
  <si>
    <t xml:space="preserve">Tepung maizena </t>
  </si>
  <si>
    <t>G114</t>
  </si>
  <si>
    <t xml:space="preserve">Bumbu sate </t>
  </si>
  <si>
    <t xml:space="preserve">Krupuk udang </t>
  </si>
  <si>
    <t xml:space="preserve">Onion </t>
  </si>
  <si>
    <t>Tomat</t>
  </si>
  <si>
    <t xml:space="preserve">Lemon </t>
  </si>
  <si>
    <t xml:space="preserve">Apokat </t>
  </si>
  <si>
    <t xml:space="preserve">Timun </t>
  </si>
  <si>
    <t>ERA FRESH - INV. 0330 - 14 JUNE 2026</t>
  </si>
  <si>
    <t xml:space="preserve">Anggur </t>
  </si>
  <si>
    <t>Paprika kuning</t>
  </si>
  <si>
    <t xml:space="preserve">Baby potato </t>
  </si>
  <si>
    <t xml:space="preserve">Baby carrot </t>
  </si>
  <si>
    <t xml:space="preserve">Beras c4 </t>
  </si>
  <si>
    <t>Cabe merah kecil</t>
  </si>
  <si>
    <t xml:space="preserve">Edamame </t>
  </si>
  <si>
    <t xml:space="preserve">Garam </t>
  </si>
  <si>
    <t>ERA FRESH - INV. 0337 - 15 JUNE 2026</t>
  </si>
  <si>
    <t>LIME</t>
  </si>
  <si>
    <t>KOPI BUBUK - kopi setia bali</t>
  </si>
  <si>
    <t>BV065</t>
  </si>
  <si>
    <t>GULA PASIR</t>
  </si>
  <si>
    <t>ERA FRESH - INV. 0339 - 16 JUNE 2026</t>
  </si>
  <si>
    <t>AYAM PEJANTAN</t>
  </si>
  <si>
    <t>TELOR</t>
  </si>
  <si>
    <t>G117</t>
  </si>
  <si>
    <t>WIJEN</t>
  </si>
  <si>
    <t xml:space="preserve">buncis. </t>
  </si>
  <si>
    <t xml:space="preserve">jamur simini </t>
  </si>
  <si>
    <t xml:space="preserve">lemon kuning </t>
  </si>
  <si>
    <t xml:space="preserve">bawang putih </t>
  </si>
  <si>
    <t xml:space="preserve">bawang merah </t>
  </si>
  <si>
    <t xml:space="preserve">baby romaine </t>
  </si>
  <si>
    <t xml:space="preserve">basil </t>
  </si>
  <si>
    <t xml:space="preserve">cabai merah besar </t>
  </si>
  <si>
    <t>ERA FRESH - INV. 0340 - 16 JUNE 2026</t>
  </si>
  <si>
    <t>G042</t>
  </si>
  <si>
    <t>SANTAN KARA 65ml</t>
  </si>
  <si>
    <t>KNIR</t>
  </si>
  <si>
    <t>ERA FRESH - INV. 0342 - 16 JUNE 2026</t>
  </si>
  <si>
    <t xml:space="preserve">cabai merah kecil </t>
  </si>
  <si>
    <t xml:space="preserve">alpukat </t>
  </si>
  <si>
    <t xml:space="preserve">onion </t>
  </si>
  <si>
    <t xml:space="preserve">bawang goreng </t>
  </si>
  <si>
    <t>Baras c4</t>
  </si>
  <si>
    <t xml:space="preserve"> krupuk Vinna</t>
  </si>
  <si>
    <t xml:space="preserve">bumbu sate </t>
  </si>
  <si>
    <t xml:space="preserve">baby sepinat </t>
  </si>
  <si>
    <t xml:space="preserve">buh pir </t>
  </si>
  <si>
    <t xml:space="preserve">buah naga </t>
  </si>
  <si>
    <t xml:space="preserve">angur marah </t>
  </si>
  <si>
    <t>ERA FRESH - INV. 0341 - 16 JUNE 2026</t>
  </si>
  <si>
    <t>kacang polong</t>
  </si>
  <si>
    <t>cabe merah besar</t>
  </si>
  <si>
    <t>cabe merah kecil</t>
  </si>
  <si>
    <t>TOMAT</t>
  </si>
  <si>
    <t>TOMAT CHERRY</t>
  </si>
  <si>
    <t>CABAI KERITING</t>
  </si>
  <si>
    <t>PUMIKIN</t>
  </si>
  <si>
    <t>ERA FRESH - INV. 0059 - 19 JUNE 2026</t>
  </si>
  <si>
    <t>kunyit</t>
  </si>
  <si>
    <t>lengkuas</t>
  </si>
  <si>
    <t>V054A</t>
  </si>
  <si>
    <t>JAGUNG MANIS</t>
  </si>
  <si>
    <t>ERA FRESH - INV. 0348 - 20 JUNE 2026</t>
  </si>
  <si>
    <t xml:space="preserve">Plastik 1kg </t>
  </si>
  <si>
    <t xml:space="preserve">Plastik klip </t>
  </si>
  <si>
    <t xml:space="preserve">Ayam pejantan </t>
  </si>
  <si>
    <t xml:space="preserve">Merica hitam </t>
  </si>
  <si>
    <t xml:space="preserve">Bawang goreng </t>
  </si>
  <si>
    <t>KACANG PANJANG</t>
  </si>
  <si>
    <t>ANGGUR MERAH</t>
  </si>
  <si>
    <t>MANGGA HARUM</t>
  </si>
  <si>
    <t>MELON HIJAU</t>
  </si>
  <si>
    <t xml:space="preserve"> PEPAYA</t>
  </si>
  <si>
    <t>ERA FRESH - INV. 0035 - 21 JUNE 2026</t>
  </si>
  <si>
    <t xml:space="preserve">jamur shimeji </t>
  </si>
  <si>
    <t xml:space="preserve">telur ayam </t>
  </si>
  <si>
    <t>baby romaine</t>
  </si>
  <si>
    <t>beras c4</t>
  </si>
  <si>
    <t>ERA FRESH - INV. 0045 - 22 JUNE 2026</t>
  </si>
  <si>
    <t>SUSU</t>
  </si>
  <si>
    <t>TEH SARI WANGI</t>
  </si>
  <si>
    <t>ERA FRESH - INV. 0044 - 22 JUNE 2026</t>
  </si>
  <si>
    <t>Wortel</t>
  </si>
  <si>
    <t xml:space="preserve">Pisang kepok </t>
  </si>
  <si>
    <t xml:space="preserve">Kencur </t>
  </si>
  <si>
    <t xml:space="preserve">Leek </t>
  </si>
  <si>
    <t>ERA FRESH - INV. 0080 - 23 JUNE 2026</t>
  </si>
  <si>
    <t>ERA FRESH - INV. 0077 - 23 JUNE 2026</t>
  </si>
  <si>
    <t xml:space="preserve">parsley </t>
  </si>
  <si>
    <t>ERA FRESH - INV. 0088 - 24  JUNE 2026</t>
  </si>
  <si>
    <t xml:space="preserve">cabe merah kecil </t>
  </si>
  <si>
    <t>TEPUNG RAISING</t>
  </si>
  <si>
    <t xml:space="preserve"> CABE BESAR</t>
  </si>
  <si>
    <t>DILL</t>
  </si>
  <si>
    <t>ERA FRESH - INV. 0097 - 25  JUNE 2026</t>
  </si>
  <si>
    <t>ERA FRESH - INV. 0510 - 26  JUNE 2026</t>
  </si>
  <si>
    <t xml:space="preserve">nanas </t>
  </si>
  <si>
    <t xml:space="preserve">kacang almond slice </t>
  </si>
  <si>
    <t xml:space="preserve">coriander </t>
  </si>
  <si>
    <t xml:space="preserve">tomat cery </t>
  </si>
  <si>
    <t>ERA FRESH - INV. 0508 - 26  JUNE 2026</t>
  </si>
  <si>
    <t xml:space="preserve">Beby wortel </t>
  </si>
  <si>
    <t>G118</t>
  </si>
  <si>
    <t xml:space="preserve">parmipan </t>
  </si>
  <si>
    <t xml:space="preserve">Rosemary </t>
  </si>
  <si>
    <t xml:space="preserve">buah apel </t>
  </si>
  <si>
    <t xml:space="preserve">buah pir </t>
  </si>
  <si>
    <t xml:space="preserve">samangka </t>
  </si>
  <si>
    <t>GARAM DOLPIN</t>
  </si>
  <si>
    <t>ERA FRESH - INV. 0509 - 26  JUNE 2026</t>
  </si>
  <si>
    <t>daun tyme</t>
  </si>
  <si>
    <t xml:space="preserve">pepaya </t>
  </si>
  <si>
    <t>ERA FRESH - INV. 0518 - 29  JUNE 2026</t>
  </si>
  <si>
    <t xml:space="preserve">tempe </t>
  </si>
  <si>
    <t>avocado</t>
  </si>
  <si>
    <t>jamur shimeji</t>
  </si>
  <si>
    <t>romaine</t>
  </si>
  <si>
    <t>cabai kriting</t>
  </si>
  <si>
    <t>rucolla</t>
  </si>
  <si>
    <t>mix salad</t>
  </si>
  <si>
    <t>V032</t>
  </si>
  <si>
    <t>origano 200GR</t>
  </si>
  <si>
    <t>ERA FRESH - INV. 0136 - 30 JUNE 26</t>
  </si>
  <si>
    <t>kacang tanah</t>
  </si>
  <si>
    <t xml:space="preserve">krupuk udang </t>
  </si>
  <si>
    <t>ERA FRESH - INV. 0142 - 30 JUNE 26</t>
  </si>
  <si>
    <t>MISC26-06002</t>
  </si>
  <si>
    <t>G015</t>
  </si>
  <si>
    <t>Mahkota Jaya Barokah - Inv. 0029 - 09 June 26 DOUBLE ZERO</t>
  </si>
  <si>
    <t>MISC26-06003</t>
  </si>
  <si>
    <t>M031</t>
  </si>
  <si>
    <t>Hepi Ternak Indonesia - Inv. 0006 - 03 June  26 SAIKORO</t>
  </si>
  <si>
    <t>Hepi Ternak Indonesia - Inv. 0006 - 03 June  26</t>
  </si>
  <si>
    <t>MISC26-06003A</t>
  </si>
  <si>
    <t>M015</t>
  </si>
  <si>
    <t>Hepi Ternak Indonesia - Inv. 0026 - 09 June  26  RIB</t>
  </si>
  <si>
    <t>Hepi Ternak Indonesia - Inv. 0026 - 09 June  26 SAIKORO</t>
  </si>
  <si>
    <t>Hepi Ternak Indonesia - Inv. 0026 - 09 June  26</t>
  </si>
  <si>
    <t>MISC26-06003B</t>
  </si>
  <si>
    <t>HEPI TERNAK INDONESIA - INV. 0054 - 19 JUNE 26 RIB</t>
  </si>
  <si>
    <t>HEPI TERNAK INDONESIA - INV. 0054 - 19 JUNE 26</t>
  </si>
  <si>
    <t>MISC26-06004</t>
  </si>
  <si>
    <t>SP075</t>
  </si>
  <si>
    <t>Putra Mahkota Dewata - Inv. 5604 - 13 June 26 VIBE COFFE</t>
  </si>
  <si>
    <t>SP072</t>
  </si>
  <si>
    <t>Putra Mahkota Dewata - Inv. 5604 - 13 June 26 VIBE PEACH</t>
  </si>
  <si>
    <t>SP074</t>
  </si>
  <si>
    <t>Putra Mahkota Dewata - Inv. 5604 - 13 June 26 VIBE TRIPLE SEC</t>
  </si>
  <si>
    <t>Putra Mahkota Dewata - Inv. 5604 - 13 June 26</t>
  </si>
  <si>
    <t>MISC26-06005</t>
  </si>
  <si>
    <t>BV095</t>
  </si>
  <si>
    <t>Dimatique International - Inv. 0916 - 16 June 26 MONIN SRYUP WILD MINT 70CL</t>
  </si>
  <si>
    <t>BV042</t>
  </si>
  <si>
    <t>Dimatique International - Inv. 0916 - 16 June 26 MMONIN SYRUP PURE STRAW 1LT</t>
  </si>
  <si>
    <t>Dimatique International - Inv. 0916 - 16 June 26</t>
  </si>
  <si>
    <t>MISC26-06006</t>
  </si>
  <si>
    <t>V070</t>
  </si>
  <si>
    <t>Rumah Gandum Bakery - Inv. 04 June 26 CIABATTA</t>
  </si>
  <si>
    <t>Rumah Gandum Bakery - Inv. 04 June 26</t>
  </si>
  <si>
    <t>MISC26-06006A</t>
  </si>
  <si>
    <t>Rumah Gandum Bakery - Inv. 11 June 26 CIABATTA</t>
  </si>
  <si>
    <t>Rumah Gandum Bakery - Inv. 11 June 26</t>
  </si>
  <si>
    <t>MISC26-06006B</t>
  </si>
  <si>
    <t>Rumah Gandum Bakery - Inv. 12 JUNE 26 CIABATTA</t>
  </si>
  <si>
    <t>Rumah Gandum Bakery - Inv. 12 JUNE 26</t>
  </si>
  <si>
    <t>MISC26-06006C</t>
  </si>
  <si>
    <t>RUMAH GANDUM BAKERY - INV. 19 JUNE 26 CIABATTA</t>
  </si>
  <si>
    <t>RUMAH GANDUM BAKERY - INV. 19 JUNE 26</t>
  </si>
  <si>
    <t>MISC26-06006D</t>
  </si>
  <si>
    <t>RUMAH GANDUM BAKERY - INV. 28 JUNE 26 CIABATTA</t>
  </si>
  <si>
    <t>V075</t>
  </si>
  <si>
    <t>RUMAH GANDUM BAKERY - INV. 28 JUNE 26 BRIOCHE BURGER</t>
  </si>
  <si>
    <t>RUMAH GANDUM BAKERY - INV. 28 JUNE 26</t>
  </si>
  <si>
    <t>MISC26-06007</t>
  </si>
  <si>
    <t>M023</t>
  </si>
  <si>
    <t>Aromaduta Rasaprima - Inv. 0494 - 05 June 26 SIRLOIN</t>
  </si>
  <si>
    <t>Aromaduta Rasaprima - Inv. 0494 - 05 June 26</t>
  </si>
  <si>
    <t>MISC26-06007A</t>
  </si>
  <si>
    <t>Aromaduta Rasaprima - Inv. 1303 - 12 June 26 SIRLOIN</t>
  </si>
  <si>
    <t>Aromaduta Rasaprima - Inv. 1303 - 12 June 26</t>
  </si>
  <si>
    <t>MISC26-06007B</t>
  </si>
  <si>
    <t>AROMADUTA RASAPRIMA - INV. 2380 - 24 JUNE 26 sirloin</t>
  </si>
  <si>
    <t>AROMADUTA RASAPRIMA - INV. 2380 - 24 JUNE 26</t>
  </si>
  <si>
    <t>MISC26-06008</t>
  </si>
  <si>
    <t>BV094</t>
  </si>
  <si>
    <t>Bali Kalpawreksa - Inv. 8174 - 02 June 26 KELAPA</t>
  </si>
  <si>
    <t>MISC26-06008A</t>
  </si>
  <si>
    <t>Bali Kalpawreksa - Inv. 9635 - 13 June 26 KELAPA</t>
  </si>
  <si>
    <t>Bali Kalpawreksa - Inv. 9635 - 13 June 26</t>
  </si>
  <si>
    <t>MISC26-06009</t>
  </si>
  <si>
    <t>BV024</t>
  </si>
  <si>
    <t>Bali Alam Rayya - Inv. 3074 - 03 June 26 ORANGE JUICE</t>
  </si>
  <si>
    <t>BV025</t>
  </si>
  <si>
    <t>Bali Alam Rayya - Inv. 3074 - 03 June 26 APPLE JUICE</t>
  </si>
  <si>
    <t>BV026</t>
  </si>
  <si>
    <t>Bali Alam Rayya - Inv. 3074 - 03 June 26 PINEAPPLE JUICE</t>
  </si>
  <si>
    <t>BV023</t>
  </si>
  <si>
    <t>Bali Alam Rayya - Inv. 3074 - 03 June 26 CRANBERRY JUICE</t>
  </si>
  <si>
    <t>Bali Alam Rayya - Inv. 3074 - 03 June 26</t>
  </si>
  <si>
    <t>MISC26-06009A</t>
  </si>
  <si>
    <t>Bali Alam Rayya - Inv. 3275 - 09 June 26 ORANGE JUICE</t>
  </si>
  <si>
    <t>Bali Alam Rayya - Inv. 3275 - 09 June 26 APPLE JUICE</t>
  </si>
  <si>
    <t>Bali Alam Rayya - Inv. 3275 - 09 June 26 PINEAPPLE JUICE</t>
  </si>
  <si>
    <t>Bali Alam Rayya - Inv. 3275 - 09 June 26 CRANBERRY JUICE</t>
  </si>
  <si>
    <t>Bali Alam Rayya - Inv. 3275 - 09 June 26</t>
  </si>
  <si>
    <t>MISC26-06009B</t>
  </si>
  <si>
    <t>Bali Alam Rayya - Inv. 3468 - 13 JUNE 26 ORANGE JUICE</t>
  </si>
  <si>
    <t>Bali Alam Rayya - Inv. 3468 - 13 JUNE 26 APPLE JUICE</t>
  </si>
  <si>
    <t>Bali Alam Rayya - Inv. 3468 - 13 JUNE 26 CRANBERY JUICE</t>
  </si>
  <si>
    <t>Bali Alam Rayya - Inv. 3468 - 13 JUNE 26</t>
  </si>
  <si>
    <t>MISC26-06009C</t>
  </si>
  <si>
    <t>Bali Alam Rayya - Inv. 3730 - 23 JUNE 26 ORANGE JUICE</t>
  </si>
  <si>
    <t>Bali Alam Rayya - Inv. 3730 - 23 JUNE 26 PINEAPPLE JUICE</t>
  </si>
  <si>
    <t>Bali Alam Rayya - Inv. 3730 - 23 JUNE 26 APPLE JUICE</t>
  </si>
  <si>
    <t>BV031</t>
  </si>
  <si>
    <t>Bali Alam Rayya - Inv. 3730 - 23 JUNE 26 LIME JUICE</t>
  </si>
  <si>
    <t>Bali Alam Rayya - Inv. 3730 - 23 JUNE 26 CRANBERRY JUICE</t>
  </si>
  <si>
    <t>Bali Alam Rayya - Inv. 3730 - 23 JUNE 26</t>
  </si>
  <si>
    <t>MISC26-06009D</t>
  </si>
  <si>
    <t>Bali Alam Rayya - Inv. 3986 - 30 JUNE 26 ORANGE J</t>
  </si>
  <si>
    <t>Bali Alam Rayya - Inv. 3986 - 30 JUNE 26 PINEAPPLE J</t>
  </si>
  <si>
    <t>Bali Alam Rayya - Inv. 3986 - 30 JUNE 26 CRANBERRY J</t>
  </si>
  <si>
    <t>Bali Alam Rayya - Inv. 3986 - 30 JUNE 26</t>
  </si>
  <si>
    <t>MISC26-060010</t>
  </si>
  <si>
    <t>BV019</t>
  </si>
  <si>
    <t>Mahaputra - Inv. 0062 - 03 June 26 TONIC</t>
  </si>
  <si>
    <t>BV014</t>
  </si>
  <si>
    <t>Mahaputra - Inv. 0062 - 03 June 26 COLA</t>
  </si>
  <si>
    <t>BV018</t>
  </si>
  <si>
    <t>Mahaputra - Inv. 0062 - 03 June 26ZERO</t>
  </si>
  <si>
    <t>BV016</t>
  </si>
  <si>
    <t>Mahaputra - Inv. 0062 - 03 June 26 SPRITE</t>
  </si>
  <si>
    <t>BV021</t>
  </si>
  <si>
    <t xml:space="preserve">Mahaputra - Inv. 0062 - 03 June 26 POLARIS </t>
  </si>
  <si>
    <t>Mahaputra - Inv. 0062 - 03 June 26</t>
  </si>
  <si>
    <t>MISC26-060010A</t>
  </si>
  <si>
    <t>Mahaputra - Inv. 0193 - 09 June 26 TONIC</t>
  </si>
  <si>
    <t>Mahaputra - Inv. 0193 - 09 June 26 COLA</t>
  </si>
  <si>
    <t>BV020</t>
  </si>
  <si>
    <t>Mahaputra - Inv. 0193 - 09 June 26 GINGER ALE</t>
  </si>
  <si>
    <t>Mahaputra - Inv. 0193 - 09 June 26 POLARIS</t>
  </si>
  <si>
    <t>Mahaputra - Inv. 0193 - 09 June 26</t>
  </si>
  <si>
    <t>MISC26-060010B</t>
  </si>
  <si>
    <t>Mahaputra - Inv. 0289 - 13 JUNE 26 COLA</t>
  </si>
  <si>
    <t>Mahaputra - Inv. 0289 - 13 JUNE 26 ZERO</t>
  </si>
  <si>
    <t>Mahaputra - Inv. 0289 - 13 JUNE 26 TONIC</t>
  </si>
  <si>
    <t>Mahaputra - Inv. 0289 - 13 JUNE 26 SPRITE</t>
  </si>
  <si>
    <t>Mahaputra - Inv. 0289 - 13 JUNE 26 POLARIS</t>
  </si>
  <si>
    <t>Mahaputra - Inv. 0289 - 13 JUNE 26</t>
  </si>
  <si>
    <t>MISC26-060010C</t>
  </si>
  <si>
    <t>MAHAPUTRA - INV. 0447 - 23 JUNE 26 COLA</t>
  </si>
  <si>
    <t>MAHAPUTRA - INV. 0447 - 23 JUNE 26 ZERO</t>
  </si>
  <si>
    <t>MAHAPUTRA - INV. 0447 - 23 JUNE 26 TONIC SCHWEPPE</t>
  </si>
  <si>
    <t>MAHAPUTRA - INV. 0447 - 23 JUNE 26 SPRICE</t>
  </si>
  <si>
    <t>MAHAPUTRA - INV. 0447 - 23 JUNE 26</t>
  </si>
  <si>
    <t>MISC26-060010D</t>
  </si>
  <si>
    <t>Mahaputra - Inv. 0566 - 30 JUNE 26 COLA</t>
  </si>
  <si>
    <t>Mahaputra - Inv. 0566 - 30 JUNE 26 TONIC</t>
  </si>
  <si>
    <t>Mahaputra - Inv. 0566 - 30 JUNE 26 SPRITE</t>
  </si>
  <si>
    <t>Mahaputra - Inv. 0566 - 30 JUNE 26 POLARIS</t>
  </si>
  <si>
    <t>Mahaputra - Inv. 0566 - 30 JUNE 26 ZERO</t>
  </si>
  <si>
    <t>Mahaputra - Inv. 0566 - 30 JUNE 26</t>
  </si>
  <si>
    <t>MISC26-060011</t>
  </si>
  <si>
    <t>SP047</t>
  </si>
  <si>
    <t>Pa Ptmbli X - Inv. 0311 - 03 June 26 1800 SILVER</t>
  </si>
  <si>
    <t>SP055</t>
  </si>
  <si>
    <t>Pa Ptmbli X - Inv. 0311 - 03 June 26 JAGERMEISTER</t>
  </si>
  <si>
    <t>Pa Ptmbli X - Inv. 0311 - 03 June 26</t>
  </si>
  <si>
    <t>MISC26-060011A</t>
  </si>
  <si>
    <t>SP049C</t>
  </si>
  <si>
    <t>Pa Ptmbli X - Inv. 0308 - 03 JUNE 26 DON JULIO BLANCO</t>
  </si>
  <si>
    <t>SP049A</t>
  </si>
  <si>
    <t>Pa Ptmbli X - Inv. 0308 - 03 JUNE 26 DON JULIO REPO</t>
  </si>
  <si>
    <t>Pa Ptmbli X - Inv. 0308 - 03 JUNE 26</t>
  </si>
  <si>
    <t>MISC26-060011B</t>
  </si>
  <si>
    <t>Pa Ptmbli X - Inv. 0894 - 11 June 26 JAGERMEISTER</t>
  </si>
  <si>
    <t>Pa Ptmbli X - Inv. 0894 - 11 June 26</t>
  </si>
  <si>
    <t>MISC26-060011C</t>
  </si>
  <si>
    <t>SP046</t>
  </si>
  <si>
    <t>Pa Ptmbli X - Inv. 1033 - 13 June 26 REPOSADO</t>
  </si>
  <si>
    <t>Pa Ptmbli X - Inv. 1033 - 13 June 26</t>
  </si>
  <si>
    <t>MISC26-060011D</t>
  </si>
  <si>
    <t>Pa Ptmbli X - Inv. 1044 - 13 June 26 DON JULIO REPO</t>
  </si>
  <si>
    <t>Pa Ptmbli X - Inv. 1044 - 13 June 26</t>
  </si>
  <si>
    <t>MISC26-060012</t>
  </si>
  <si>
    <t>SP006</t>
  </si>
  <si>
    <t>Mi Bpsbli X - Inv. 0016 - 12 JUNE 26 BELVEDERE PURE</t>
  </si>
  <si>
    <t>W014</t>
  </si>
  <si>
    <t>Mi Bpsbli X - Inv. 0016 - 12 JUNE 26 MOET CHANDON ICE</t>
  </si>
  <si>
    <t>SP009C</t>
  </si>
  <si>
    <t>Mi Bpsbli X - Inv. 0016 - 12 JUNE 26 BLEVEDERE 1,75L</t>
  </si>
  <si>
    <t>Mi Bpsbli X - Inv. 0016 - 12 JUNE 26</t>
  </si>
  <si>
    <t>MISC26-060013</t>
  </si>
  <si>
    <t>BV049</t>
  </si>
  <si>
    <t>Loading Dog Roasworks - Inv. 09 June 26 COFFE BLEND</t>
  </si>
  <si>
    <t>Loading Dog Roasworks - Inv. 09 June 26</t>
  </si>
  <si>
    <t>MISC26-060014</t>
  </si>
  <si>
    <t>BV100</t>
  </si>
  <si>
    <t>Oasis Waters - So. 0012 - 03 June 26 OASIS BLU</t>
  </si>
  <si>
    <t>BV101</t>
  </si>
  <si>
    <t>Oasis Waters - So. 0012 - 03 June 26 OASIS BLU 750 ML</t>
  </si>
  <si>
    <t>Oasis Waters - So. 0012 - 03 June 26</t>
  </si>
  <si>
    <t>MISC26-060014A</t>
  </si>
  <si>
    <t>Oasis Waters - So. 0097 - 10 June 26 OASIS BLU</t>
  </si>
  <si>
    <t>Oasis Waters - So. 0097 - 10 June 26</t>
  </si>
  <si>
    <t>MISC26-060014AA</t>
  </si>
  <si>
    <t>OASIS WATERS - INV. 0159 - 15 JUNE 26 OASIS BLU</t>
  </si>
  <si>
    <t>OASIS WATERS - INV. 0159 - 15 JUNE 26</t>
  </si>
  <si>
    <t>MISC26-060014B</t>
  </si>
  <si>
    <t>OASIS WATERS - SO. 0224 - 24 JUNE 26 OASIS BLU</t>
  </si>
  <si>
    <t>BV099</t>
  </si>
  <si>
    <t>OASIS WATERS - SO. 0224 - 24 JUNE 26 O ASIS SPARKLING</t>
  </si>
  <si>
    <t>OASIS WATERS - SO. 0224 - 24 JUNE 26</t>
  </si>
  <si>
    <t>MISC26-060014C</t>
  </si>
  <si>
    <t>Oasis Waters - INV. 0308 - 30 JUNE 26 (GALON)</t>
  </si>
  <si>
    <t>MISC26-060015</t>
  </si>
  <si>
    <t>6-3304</t>
  </si>
  <si>
    <t>Arthaguna Brawijaya - Inv. 4680 - 02 June 26 LPG 50 KG</t>
  </si>
  <si>
    <t>Arthaguna Brawijaya - Inv. 4680 - 02 June 26</t>
  </si>
  <si>
    <t>MISC26-060015A</t>
  </si>
  <si>
    <t>Arthaguna Brawijaya - Inv. 4694 - 05 June 26 LPG 50KG</t>
  </si>
  <si>
    <t>Arthaguna Brawijaya - Inv. 4694 - 05 June 26</t>
  </si>
  <si>
    <t>MISC26-060015B</t>
  </si>
  <si>
    <t>Arthaguna Brawijaya - Inv. 4642 - 11 June 26 LPG 50KG</t>
  </si>
  <si>
    <t>Arthaguna Brawijaya - Inv. 4642 - 11 June 26</t>
  </si>
  <si>
    <t>MISC26-060015C</t>
  </si>
  <si>
    <t>Arthaguna Brawijaya - Inv. 2353 - 16 JUNE 26 LPG 50KG</t>
  </si>
  <si>
    <t>Arthaguna Brawijaya - Inv. 2353 - 16 JUNE 26</t>
  </si>
  <si>
    <t>MISC26-060015D</t>
  </si>
  <si>
    <t>Arthaguna Brawijaya - Inv. 4668 - 29 May 26 (BIV)</t>
  </si>
  <si>
    <t>MISC26-060015E</t>
  </si>
  <si>
    <t>Arthaguna Brawijaya - Inv. 2370 - 22 June 26 Lpg 12Kg</t>
  </si>
  <si>
    <t>Arthaguna Brawijaya - Inv. 2370 - 22 June 26 Lpg 50Kg</t>
  </si>
  <si>
    <t>Arthaguna Brawijaya - Inv. 2370 - 22 June 26</t>
  </si>
  <si>
    <t/>
  </si>
  <si>
    <t>MISC26-060015F</t>
  </si>
  <si>
    <t>Arthaguna Brawijaya - Inv. 2391 - 29 June 26 50 Kg</t>
  </si>
  <si>
    <t>Arthaguna Brawijaya - Inv. 2391 - 29 June 26</t>
  </si>
  <si>
    <t>MISC26-060016</t>
  </si>
  <si>
    <t>G070</t>
  </si>
  <si>
    <t>Dineta Jaya - Inv. 1445 - 09 June 26 abc k.manis</t>
  </si>
  <si>
    <t>G008</t>
  </si>
  <si>
    <t>Dineta Jaya - Inv. 1445 - 09 June 26 FORTUNE</t>
  </si>
  <si>
    <t>Dineta Jaya - Inv. 1445 - 09 June 26</t>
  </si>
  <si>
    <t>MISC26-060016A</t>
  </si>
  <si>
    <t xml:space="preserve">Dineta Jaya - Inv. 6026 - 13 June 26 SLICE CHEESE </t>
  </si>
  <si>
    <t>Dineta Jaya - Inv. 6026 - 13 June 26</t>
  </si>
  <si>
    <t>MISC26-060016B</t>
  </si>
  <si>
    <t>DINETA JAYA - INV. 3951 - 24 JUNE 26 FORTUNE U/FLOOR</t>
  </si>
  <si>
    <t>DINETA JAYA - INV. 3951 - 24 JUNE 26</t>
  </si>
  <si>
    <t>MISC26-060017</t>
  </si>
  <si>
    <t>M001</t>
  </si>
  <si>
    <t>Satria Pangan Sejati - Inv. 1680 - 05 June 26 MINCED BEEF</t>
  </si>
  <si>
    <t>Satria Pangan Sejati - Inv. 1680 - 05 June 26</t>
  </si>
  <si>
    <t>MISC26-060017A</t>
  </si>
  <si>
    <t>G096</t>
  </si>
  <si>
    <t>Satria Pangan Sejati - Inv. 2009 - 06 June 26 PROSCIUTOO</t>
  </si>
  <si>
    <t>M008</t>
  </si>
  <si>
    <t>Satria Pangan Sejati - Inv. 2009 - 06 June 26 SALAMI CHORIZO</t>
  </si>
  <si>
    <t>Satria Pangan Sejati - Inv. 2009 - 06 June 26</t>
  </si>
  <si>
    <t>MISC26-060017B</t>
  </si>
  <si>
    <t>Satria Pangan Sejati - Inv. 2655 - 09 June 26 MINCED BEEF</t>
  </si>
  <si>
    <t>Satria Pangan Sejati - Inv. 2655 - 09 June 26</t>
  </si>
  <si>
    <t>MISC26-060017C</t>
  </si>
  <si>
    <t>Satria Pangan Sejati - Inv. 2656 - 09 June 26  PROSCIUTO</t>
  </si>
  <si>
    <t>Satria Pangan Sejati - Inv. 2656 - 09 June 26  SALAMI CHORIZO</t>
  </si>
  <si>
    <t>M018</t>
  </si>
  <si>
    <t>Satria Pangan Sejati - Inv. 2656 - 09 June 26  HAM</t>
  </si>
  <si>
    <t xml:space="preserve">Satria Pangan Sejati - Inv. 2656 - 09 June 26 </t>
  </si>
  <si>
    <t>MISC26-060017D</t>
  </si>
  <si>
    <t>M017</t>
  </si>
  <si>
    <t>Satria Pangan Sejati - Inv. 4694 - 15 June 26 BACON</t>
  </si>
  <si>
    <t>M005</t>
  </si>
  <si>
    <t>Satria Pangan Sejati - Inv. 4694 - 15 June 26 CHORIZO PORK</t>
  </si>
  <si>
    <t>Satria Pangan Sejati - Inv. 4694 - 15 June 26</t>
  </si>
  <si>
    <t>MISC26-060017E</t>
  </si>
  <si>
    <t>SATRIA PANGAN SEJATI - INV. 6463 - 23 JUNE 26 MINCED BEEF</t>
  </si>
  <si>
    <t>SATRIA PANGAN SEJATI - INV. 6463 - 23 JUNE 26</t>
  </si>
  <si>
    <t>MISC26-060017F</t>
  </si>
  <si>
    <t>SATRIA PANGAN SEJATI - INV. 6516 - 23 JUNE 26 PROSCIUTTO</t>
  </si>
  <si>
    <t>SATRIA PANGAN SEJATI - INV. 6516 - 23 JUNE 26</t>
  </si>
  <si>
    <t>MISC26-060018</t>
  </si>
  <si>
    <t>M025</t>
  </si>
  <si>
    <t>Tiga Juragan Perkasa - Inv. 11004 - 03 June 26 DADA</t>
  </si>
  <si>
    <t>M024</t>
  </si>
  <si>
    <t>Tiga Juragan Perkasa - Inv. 11004 - 03 June 26 SAYAP</t>
  </si>
  <si>
    <t>Tiga Juragan Perkasa - Inv. 11004 - 03 June 26</t>
  </si>
  <si>
    <t>MISC26-060018A</t>
  </si>
  <si>
    <t>Tiga Juragan Perkasa - Inv. 1383 - 09 June 26 DADA</t>
  </si>
  <si>
    <t>Tiga Juragan Perkasa - Inv. 1383 - 09 June 26 SAYAP</t>
  </si>
  <si>
    <t>Tiga Juragan Perkasa - Inv. 1383 - 09 June 26</t>
  </si>
  <si>
    <t>MISC26-060018B</t>
  </si>
  <si>
    <t>Tiga Juragan Perkasa - Inv. 1830 - 15 June 26 DADA</t>
  </si>
  <si>
    <t>Tiga Juragan Perkasa - Inv. 1830 - 15 June 26 SAYAP</t>
  </si>
  <si>
    <t>Tiga Juragan Perkasa - Inv. 1830 - 15 June 26</t>
  </si>
  <si>
    <t>MISC26-060018C</t>
  </si>
  <si>
    <t>TIGA JURAGAN PERKASA - INV. 1896 -19 JUNE 26 DADA</t>
  </si>
  <si>
    <t>M039</t>
  </si>
  <si>
    <t>TIGA JURAGAN PERKASA - INV. 1896 -19 JUNE 26 TENDER INDIA</t>
  </si>
  <si>
    <t>TIGA JURAGAN PERKASA - INV. 1896 -19 JUNE 26</t>
  </si>
  <si>
    <t>MISC26-060018D</t>
  </si>
  <si>
    <t>TIGA JURAGAN PERKASA - INV. 2155 -23 JUNE 26 DADA</t>
  </si>
  <si>
    <t>TIGA JURAGAN PERKASA - INV. 2155 -23 JUNE 26SAYAP</t>
  </si>
  <si>
    <t>TIGA JURAGAN PERKASA - INV. 2155 -23 JUNE 26TENDER</t>
  </si>
  <si>
    <t>TIGA JURAGAN PERKASA - INV. 2155 -23 JUNE 26</t>
  </si>
  <si>
    <t>MISC26-060018E</t>
  </si>
  <si>
    <t>Tiga Juragan Perkasa - Inv. 2558 - 30 JUNE 26 DADA</t>
  </si>
  <si>
    <t>Tiga Juragan Perkasa - Inv. 2558 - 30 JUNE 26 SAYAP</t>
  </si>
  <si>
    <t>Tiga Juragan Perkasa - Inv. 2558 - 30 JUNE 26</t>
  </si>
  <si>
    <t>MISC26-060019</t>
  </si>
  <si>
    <t>BV078</t>
  </si>
  <si>
    <t>Alam Selau Hijau (Greenok) - Inv. 2108 - 03 June 26 PAPER STRAW</t>
  </si>
  <si>
    <t>Alam Selau Hijau (Greenok) - Inv. 2108 - 03 June 26</t>
  </si>
  <si>
    <t>MISC26-060020</t>
  </si>
  <si>
    <t>SP010</t>
  </si>
  <si>
    <t>Pelita Tri Makmur - Invv. 6225 - 12 June 26 GILBYS GIN</t>
  </si>
  <si>
    <t>Pelita Tri Makmur - Invv. 6225 - 12 June 26</t>
  </si>
  <si>
    <t>MISC26-060021</t>
  </si>
  <si>
    <t>SP016A</t>
  </si>
  <si>
    <t>Panca Niaga Bali - Inv. 6068 - 03 June  26 BEEFEATER</t>
  </si>
  <si>
    <t>SP039A</t>
  </si>
  <si>
    <t>Panca Niaga Bali - Inv. 6068 - 03 June  26 OLMECA REPO</t>
  </si>
  <si>
    <t>SP020A</t>
  </si>
  <si>
    <t>Panca Niaga Bali - Inv. 6068 - 03 June  26 HAVNA ANEJO 3</t>
  </si>
  <si>
    <t>SP021A</t>
  </si>
  <si>
    <t>Panca Niaga Bali - Inv. 6068 - 03 June  26HAVANA ANEJO 7</t>
  </si>
  <si>
    <t>SP031</t>
  </si>
  <si>
    <t>Panca Niaga Bali - Inv. 6068 - 03 June  26 BALLANTINES</t>
  </si>
  <si>
    <t>Panca Niaga Bali - Inv. 6068 - 03 June  26</t>
  </si>
  <si>
    <t>MISC26-060021A</t>
  </si>
  <si>
    <t>SP009A</t>
  </si>
  <si>
    <t>Panca Niaga Bali - Inv. 6258 - 03 June  26 SEAGRAM</t>
  </si>
  <si>
    <t>Panca Niaga Bali - Inv. 6258 - 03 June  26</t>
  </si>
  <si>
    <t>MISC26-060021B</t>
  </si>
  <si>
    <t>SP035</t>
  </si>
  <si>
    <t>Panca Niaga Bali - Inv. 6069 - 03 June  26 GLENLIVET 15YO</t>
  </si>
  <si>
    <t>Panca Niaga Bali - Inv. 6069 - 03 June  26</t>
  </si>
  <si>
    <t>MISC26-060021C</t>
  </si>
  <si>
    <t>SP032</t>
  </si>
  <si>
    <t>Panca Niaga Bali - Inv. 6463 - 04 June  26 JAMESON</t>
  </si>
  <si>
    <t>Panca Niaga Bali - Inv. 6463 - 04 June  26</t>
  </si>
  <si>
    <t>MISC26-060021D</t>
  </si>
  <si>
    <t>Panca Niaga Bali - Inv. 6952 - 09 June 26 SEAGRAMS</t>
  </si>
  <si>
    <t>Panca Niaga Bali - Inv. 6952 - 09 June 26</t>
  </si>
  <si>
    <t>MISC26-060021E</t>
  </si>
  <si>
    <t>SP004</t>
  </si>
  <si>
    <t>Panca Niaga Bali - Inv. 6229 - 09 June 26 ABSOLUT VODKA</t>
  </si>
  <si>
    <t>Panca Niaga Bali - Inv. 6229 - 09 June 26 BEEFEATER</t>
  </si>
  <si>
    <t>Panca Niaga Bali - Inv. 6229 - 09 June 26 OLMECA REPO</t>
  </si>
  <si>
    <t>Panca Niaga Bali - Inv. 6229 - 09 June 26 HAVANA 3</t>
  </si>
  <si>
    <t>Panca Niaga Bali - Inv. 6229 - 09 June 26</t>
  </si>
  <si>
    <t>MISC26-060021F</t>
  </si>
  <si>
    <t>Panca Niaga Bali - Inv. 1880 - 15 June 26 SEAGRAMA</t>
  </si>
  <si>
    <t>Panca Niaga Bali - Inv. 1880 - 15 June 26</t>
  </si>
  <si>
    <t>MISC26-060021G</t>
  </si>
  <si>
    <t>Panca Niaga Bali - Inv. 6345 - 15 June 26 BEEFEATER</t>
  </si>
  <si>
    <t>Panca Niaga Bali - Inv. 6345 - 15 June 26 OLMECA REPO</t>
  </si>
  <si>
    <t>SP032AA</t>
  </si>
  <si>
    <t>Panca Niaga Bali - Inv. 6345 - 15 June 26 JAMESON BLACK</t>
  </si>
  <si>
    <t>Panca Niaga Bali - Inv. 6345 - 15 June 26 BALLANTINES</t>
  </si>
  <si>
    <t>Panca Niaga Bali - Inv. 6345 - 15 June 26 HAVANA 3</t>
  </si>
  <si>
    <t>Panca Niaga Bali - Inv. 6345 - 15 June 26</t>
  </si>
  <si>
    <t>MISC26-060021H</t>
  </si>
  <si>
    <t>PANCA NIAGA BALI - INV. 2567 - 23 JUNE 26 SEAGRAMS</t>
  </si>
  <si>
    <t>PANCA NIAGA BALI - INV. 2567 - 23 JUNE 26</t>
  </si>
  <si>
    <t>MISC26-060021I</t>
  </si>
  <si>
    <t>PANCA NIAGA BALI - INV. 6518 - 23 JUNE 26 BEEFEATER</t>
  </si>
  <si>
    <t>PANCA NIAGA BALI - INV. 6518 - 23 JUNE 26 OLMECA REPO</t>
  </si>
  <si>
    <t>PANCA NIAGA BALI - INV. 6518 - 23 JUNE 26 HAVANA 3</t>
  </si>
  <si>
    <t>PANCA NIAGA BALI - INV. 6518 - 23 JUNE 26 BALLANTINES</t>
  </si>
  <si>
    <t>PANCA NIAGA BALI - INV. 6518 - 23 JUNE 26</t>
  </si>
  <si>
    <t>MISC26-060021J</t>
  </si>
  <si>
    <t>Panca Niaga Bali - Inv. 3894 - 30 JUNE 26 SEAGRAMS</t>
  </si>
  <si>
    <t>Panca Niaga Bali - Inv. 3894 - 30 JUNE 26</t>
  </si>
  <si>
    <t>MISC26-060021K</t>
  </si>
  <si>
    <t>Panca Niaga Bali - Inv. 6640 - 30 JUNE 26 ABSOLUTE VODKA</t>
  </si>
  <si>
    <t>Panca Niaga Bali - Inv. 6640 - 30 JUNE 26 BEEFEATER</t>
  </si>
  <si>
    <t>Panca Niaga Bali - Inv. 6640 - 30 JUNE 26 OLMECA</t>
  </si>
  <si>
    <t>Panca Niaga Bali - Inv. 6640 - 30 JUNE 26 BALLANTINES</t>
  </si>
  <si>
    <t>SP032AB</t>
  </si>
  <si>
    <t>Panca Niaga Bali - Inv. 6640 - 30 JUNE 26 GLENVILET FOUNDERS</t>
  </si>
  <si>
    <t>Panca Niaga Bali - Inv. 6640 - 30 JUNE 26 JAMESON</t>
  </si>
  <si>
    <t>Panca Niaga Bali - Inv. 6640 - 30 JUNE 26</t>
  </si>
  <si>
    <t>MISC26-060022</t>
  </si>
  <si>
    <t>G035</t>
  </si>
  <si>
    <t>Bali Kulina Utama - Inv. 01303 - 03 June 26 KWEPIE MAYO</t>
  </si>
  <si>
    <t>G057</t>
  </si>
  <si>
    <t>Bali Kulina Utama - Inv. 01303 - 03 June 26 DIJON MUSTARD</t>
  </si>
  <si>
    <t>Bali Kulina Utama - Inv. 01303 - 03 June 26</t>
  </si>
  <si>
    <t>MISC26-060022A</t>
  </si>
  <si>
    <t>G041</t>
  </si>
  <si>
    <t>Bali Kulina Utama - Inv. 2391 - 05 June 26 SPAGHETI</t>
  </si>
  <si>
    <t>Bali Kulina Utama - Inv. 2391 - 05 June 26</t>
  </si>
  <si>
    <t>MISC26-060022B</t>
  </si>
  <si>
    <t>Bali Kulina Utama - Inv. 3649 - 09 June 26 KWEPIE MAYO</t>
  </si>
  <si>
    <t>G090</t>
  </si>
  <si>
    <t>Bali Kulina Utama - Inv. 3649 - 09 June 26 BLACK PITTED OLIVES (Olive kalamata)</t>
  </si>
  <si>
    <t>G064</t>
  </si>
  <si>
    <t>Bali Kulina Utama - Inv. 3649 - 09 June 26 EXTRA VIRGIN OLIVE</t>
  </si>
  <si>
    <t>Bali Kulina Utama - Inv. 3649 - 09 June 26</t>
  </si>
  <si>
    <t>MISC26-060022C</t>
  </si>
  <si>
    <t>Bali Kulina Utama - Inv. 6795 - 16 JUNE 26 SPAGHETI</t>
  </si>
  <si>
    <t>Bali Kulina Utama - Inv. 6795 - 16 JUNE 26 EXTRA VIRGIN</t>
  </si>
  <si>
    <t>Bali Kulina Utama - Inv. 6795 - 16 JUNE 26</t>
  </si>
  <si>
    <t>MISC26-060022E</t>
  </si>
  <si>
    <t>Bali Kulina Utama - Inv. 1295 - 30 JUNE 26 KWEPIE</t>
  </si>
  <si>
    <t>Bali Kulina Utama - Inv. 1295 - 30 JUNE 26</t>
  </si>
  <si>
    <t>MISC26-060022D</t>
  </si>
  <si>
    <t>BALI KULINA UTAMA - INV. 8840 - 23 JUNE 26 DIJON MUSTARD</t>
  </si>
  <si>
    <t>BALI KULINA UTAMA - INV. 8840 - 23 JUNE 26</t>
  </si>
  <si>
    <t>MISC26-060023</t>
  </si>
  <si>
    <t>M034</t>
  </si>
  <si>
    <t>Ad Supplier - Inv. 5208 - 03 June 26 CUMI</t>
  </si>
  <si>
    <t>G027</t>
  </si>
  <si>
    <t>Ad Supplier - Inv. 5208 - 03 June 26 STRAIGHT CUT</t>
  </si>
  <si>
    <t>Ad Supplier - Inv. 5208 - 03 June 26</t>
  </si>
  <si>
    <t>MISC26-060023A</t>
  </si>
  <si>
    <t>M041</t>
  </si>
  <si>
    <t>Ad Supplier - Inv. 7513 - 09 June 26 PRAWN</t>
  </si>
  <si>
    <t>Ad Supplier - Inv. 7513 - 09 June 26 STRAIGHT CUT</t>
  </si>
  <si>
    <t>Ad Supplier - Inv. 7513 - 09 June 26</t>
  </si>
  <si>
    <t>MISC26-060023B</t>
  </si>
  <si>
    <t>Ad Supplier - Inv. 9297 - 12 June 26 PRAWN</t>
  </si>
  <si>
    <t>Ad Supplier - Inv. 9297 - 12 June 26</t>
  </si>
  <si>
    <t>MISC26-060023C</t>
  </si>
  <si>
    <t>Ad Supplier - Inv. 0659,0601 - 18 JUNE 26 CUMI</t>
  </si>
  <si>
    <t>Ad Supplier - Inv. 0659,0601 - 18 JUNE 26 STRAIGHT CUT</t>
  </si>
  <si>
    <t>Ad Supplier - Inv. 0659,0601 - 18 JUNE 26</t>
  </si>
  <si>
    <t>MISC26-060023D</t>
  </si>
  <si>
    <t>M040</t>
  </si>
  <si>
    <t>AD SUPPLIER - INV.3211,2837 - 23 JUNE 26 SNAPPER</t>
  </si>
  <si>
    <t>AD SUPPLIER - INV.3211,2837 - 23 JUNE 26 CUMI</t>
  </si>
  <si>
    <t>AD SUPPLIER - INV.3211,2837 - 23 JUNE 26 STRAIGHT CUT</t>
  </si>
  <si>
    <t>AD SUPPLIER - INV.3211,2837 - 23 JUNE 26</t>
  </si>
  <si>
    <t>MISC26-060023E</t>
  </si>
  <si>
    <t>Ad Supplier - Inv.5533 - 30 JUNE 26 STRAIGH CUT</t>
  </si>
  <si>
    <t>Ad Supplier - Inv.5533 - 30 JUNE 26</t>
  </si>
  <si>
    <t>MISC26-060024</t>
  </si>
  <si>
    <t>M016A</t>
  </si>
  <si>
    <t>Wahana Boga Nusantara - Inv. 0127 - 05 June 26 BEEF CUBEROLL</t>
  </si>
  <si>
    <t>Wahana Boga Nusantara - Inv. 0127 - 05 June 26</t>
  </si>
  <si>
    <t>MISC26-060024A</t>
  </si>
  <si>
    <t>WAHANA BOGA NUSANTARA - INV. 0712 - 30 JUNE 26 BEEF CUBEROLL</t>
  </si>
  <si>
    <t>WAHANA BOGA NUSANTARA - INV. 0712 - 30 JUNE 26</t>
  </si>
  <si>
    <t>MISC26-060025</t>
  </si>
  <si>
    <t>Pt. Buana Graha Satelit - Inv. 6983 - 04 June  26 BELVEDERE</t>
  </si>
  <si>
    <t>SP012</t>
  </si>
  <si>
    <t>Pt. Buana Graha Satelit - Inv. 6983 - 04 June  26HENDRICKS</t>
  </si>
  <si>
    <t>SP015</t>
  </si>
  <si>
    <t>Pt. Buana Graha Satelit - Inv. 6983 - 04 June  26 TANQUAERAY</t>
  </si>
  <si>
    <t>SP034</t>
  </si>
  <si>
    <t>Pt. Buana Graha Satelit - Inv. 6983 - 04 June  26 JIMBEAM</t>
  </si>
  <si>
    <t>SP061</t>
  </si>
  <si>
    <t>Pt. Buana Graha Satelit - Inv. 6983 - 04 June  26 APEROL</t>
  </si>
  <si>
    <t>SP060</t>
  </si>
  <si>
    <t>Pt. Buana Graha Satelit - Inv. 6983 - 04 June  26 AMARETO DISARONO</t>
  </si>
  <si>
    <t>SM002</t>
  </si>
  <si>
    <t>Pt. Buana Graha Satelit - Inv. 6983 - 04 June  26MACALLAN 12YO</t>
  </si>
  <si>
    <t>SP028C</t>
  </si>
  <si>
    <t>Pt. Buana Graha Satelit - Inv. 6983 - 04 June  26 SINGLETON 12</t>
  </si>
  <si>
    <t>Pt. Buana Graha Satelit - Inv. 6983 - 04 June  26</t>
  </si>
  <si>
    <t>MISC26-060025A</t>
  </si>
  <si>
    <t>SP005</t>
  </si>
  <si>
    <t>Pt. Buana Graha Satelit - Inv. 6978 - 03 June  26GREY GOOSE</t>
  </si>
  <si>
    <t>Pt. Buana Graha Satelit - Inv. 6978 - 03 June  26</t>
  </si>
  <si>
    <t>MISC26-060025B</t>
  </si>
  <si>
    <t>Pt. Buana Graha Satelit - Inv. 7055 - 10 JUNE 26 GREY GOOSE</t>
  </si>
  <si>
    <t>Pt. Buana Graha Satelit - Inv. 7055 - 10 JUNE 26 ABSLOLUTE</t>
  </si>
  <si>
    <t>Pt. Buana Graha Satelit - Inv. 7055 - 10 JUNE 26 HENDRICKS</t>
  </si>
  <si>
    <t>SP033</t>
  </si>
  <si>
    <t>Pt. Buana Graha Satelit - Inv. 7055 - 10 JUNE 26 JACK DANIEL</t>
  </si>
  <si>
    <t>Pt. Buana Graha Satelit - Inv. 7055 - 10 JUNE 26 JIM BEAM</t>
  </si>
  <si>
    <t>Pt. Buana Graha Satelit - Inv. 7055 - 10 JUNE 26 JAGERMEISTER</t>
  </si>
  <si>
    <t>Pt. Buana Graha Satelit - Inv. 7055 - 10 JUNE 26 BALANTINES</t>
  </si>
  <si>
    <t>SP028D</t>
  </si>
  <si>
    <t>Pt. Buana Graha Satelit - Inv. 7055 - 10 JUNE 26 SINGLETON 15YO</t>
  </si>
  <si>
    <t>Pt. Buana Graha Satelit - Inv. 7055 - 10 JUNE 26</t>
  </si>
  <si>
    <t>MISC26-060026</t>
  </si>
  <si>
    <t>Rafi Seafood - Inv. 03 June 26 PRWAN</t>
  </si>
  <si>
    <t>Rafi Seafood - Inv. 03 June 26</t>
  </si>
  <si>
    <t>MISC26-060026A</t>
  </si>
  <si>
    <t>Rafi Seafood - Inv. 06 June 26 PRAWN</t>
  </si>
  <si>
    <t>Rafi Seafood - Inv. 06 June 26</t>
  </si>
  <si>
    <t>MISC26-060027</t>
  </si>
  <si>
    <t>M045</t>
  </si>
  <si>
    <t>Ud Mega Jaya - Inv. 8065 - 03 June  26 SALMON</t>
  </si>
  <si>
    <t>Ud Mega Jaya - Inv. 8065 - 03 June  26</t>
  </si>
  <si>
    <t>MISC26-060027A</t>
  </si>
  <si>
    <t>Ud Mega Jaya - Inv. 8334 - 16 JUNE 26 prawn</t>
  </si>
  <si>
    <t>Ud Mega Jaya - Inv. 8334 - 16 JUNE 26</t>
  </si>
  <si>
    <t>MISC26-060027B</t>
  </si>
  <si>
    <t>UD MEGA JAYA - INV. 8378 - 20 JUNE 26 PRAWN</t>
  </si>
  <si>
    <t>UD MEGA JAYA - INV. 8378 - 20 JUNE 26</t>
  </si>
  <si>
    <t>MISC26-060027C</t>
  </si>
  <si>
    <t>UD MEGA JAYA - INV. 8433 - 23 JUNE 26 PRAWN</t>
  </si>
  <si>
    <t>UD MEGA JAYA - INV. 8433 - 23 JUNE 26</t>
  </si>
  <si>
    <t>MISC26-060027D</t>
  </si>
  <si>
    <t>Ud Mega Jaya - Inv. 8572 - 30 JUNE 26 PRAWN</t>
  </si>
  <si>
    <t>Ud Mega Jaya - Inv. 8572 - 30 JUNE 26</t>
  </si>
  <si>
    <t>MISC26-060028</t>
  </si>
  <si>
    <t>Japo Powder - Inv. 2489 - 03 June  26 LIGENT, PLASTIK SAMPAH,</t>
  </si>
  <si>
    <t>Japo Powder - Inv. 2489 - 03 June  26</t>
  </si>
  <si>
    <t>MISC26-060028A</t>
  </si>
  <si>
    <t>Japo Powder - Inv. 2490 - 03 June  26 LUNCH BOX</t>
  </si>
  <si>
    <t>Japo Powder - Inv. 2490 - 03 June  26</t>
  </si>
  <si>
    <t>MISC26-060028B</t>
  </si>
  <si>
    <t>Japo Powder - Inv. 2507,2508 - 05 June 26 SAUCE CARAMEL</t>
  </si>
  <si>
    <t>Japo Powder - Inv. 2507,2508 - 05 June 26 SAUCE COKLAT</t>
  </si>
  <si>
    <t>Japo Powder - Inv. 2507,2508 - 05 June 26 GELAS PLASTIK</t>
  </si>
  <si>
    <t>Japo Powder - Inv. 2507,2508 - 05 June 26</t>
  </si>
  <si>
    <t>MISC26-060028C</t>
  </si>
  <si>
    <t>V050</t>
  </si>
  <si>
    <t>Japo Powder - Inv. 2514,2515 - 06 June 26 MIE BURUNG DARA</t>
  </si>
  <si>
    <t>Japo Powder - Inv. 2514,2515 - 06 June 26 SUPERPELL</t>
  </si>
  <si>
    <t>Japo Powder - Inv. 2514,2515 - 06 June 26</t>
  </si>
  <si>
    <t>MISC26-060028D</t>
  </si>
  <si>
    <t>Japo Powder - Inv. 2529,2528 - 09 June 26 BAYGON &amp; GLASS CLEANER</t>
  </si>
  <si>
    <t>G079</t>
  </si>
  <si>
    <t>Japo Powder - Inv. 2529,2528 - 09 June 26 CHEESE POWDER ORANGE</t>
  </si>
  <si>
    <t>G131A</t>
  </si>
  <si>
    <t>Japo Powder - Inv. 2529,2528 - 09 June 26 MAPLE SYRUP 710ML</t>
  </si>
  <si>
    <t>G044</t>
  </si>
  <si>
    <t>Japo Powder - Inv. 2529,2528 - 09 June 26 KECAP ASIN 620ML</t>
  </si>
  <si>
    <t>G122</t>
  </si>
  <si>
    <t>Japo Powder - Inv. 2529,2528 - 09 June 26 FISH SAUCE 660ML</t>
  </si>
  <si>
    <t>G123</t>
  </si>
  <si>
    <t>Japo Powder - Inv. 2529,2528 - 09 June 26 RAJA RASA 600ML</t>
  </si>
  <si>
    <t>Japo Powder - Inv. 2529,2528 - 09 June 26 SAOS BANGKOK 1KG</t>
  </si>
  <si>
    <t>G045</t>
  </si>
  <si>
    <t>Japo Powder - Inv. 2529,2528 - 09 June 26 SESAME OIL 620ML</t>
  </si>
  <si>
    <t>Japo Powder - Inv. 2529,2528 - 09 June 26 TEPUNG RAISING</t>
  </si>
  <si>
    <t>Japo Powder - Inv. 2529,2528 - 09 June 26</t>
  </si>
  <si>
    <t>MISC26-060028E</t>
  </si>
  <si>
    <t>G112</t>
  </si>
  <si>
    <t>Japo Powder - Inv. 2578 - 16 June 26 BUMBU KALASAN</t>
  </si>
  <si>
    <t>Japo Powder - Inv. 2578 - 16 June 26 PLASTIK WRAP</t>
  </si>
  <si>
    <t>Japo Powder - Inv. 2578 - 16 June 26</t>
  </si>
  <si>
    <t>MISC26-060028F</t>
  </si>
  <si>
    <t>JAPO POWDER - INV. 2615 - 23 JUNE 26 BAYFRSH,HANDSOAP,LIGENT, SUPERPEL</t>
  </si>
  <si>
    <t>JAPO POWDER - INV. 2615 - 23 JUNE 26</t>
  </si>
  <si>
    <t>MISC26-060028G</t>
  </si>
  <si>
    <t>G088</t>
  </si>
  <si>
    <t>JAPO POWDER - INV. 2614 - 23 JUNE 26 BREAD CRUMB</t>
  </si>
  <si>
    <t>JAPO POWDER - INV. 2614 - 23 JUNE 26 DEMIGLASE</t>
  </si>
  <si>
    <t>JAPO POWDER - INV. 2614 - 23 JUNE 26 HONEY BLOSSOM 625GR</t>
  </si>
  <si>
    <t>JAPO POWDER - INV. 2614 - 23 JUNE 26 KECAP INGGRIS 600ML</t>
  </si>
  <si>
    <t>JAPO POWDER - INV. 2614 - 23 JUNE 26 LUNCH BOX</t>
  </si>
  <si>
    <t>JAPO POWDER - INV. 2614 - 23 JUNE 26 SESAME OIL</t>
  </si>
  <si>
    <t>G013</t>
  </si>
  <si>
    <t>JAPO POWDER - INV. 2614 - 23 JUNE 26TEPUNG CAKRA HIJAU (TEPUNG ROTI</t>
  </si>
  <si>
    <t>JAPO POWDER - INV. 2614 - 23 JUNE 26 TEPUNG MAIZENA</t>
  </si>
  <si>
    <t>JAPO POWDER - INV. 2614 - 23 JUNE 26 TEPUNG RAISING</t>
  </si>
  <si>
    <t>JAPO POWDER - INV. 2614 - 23 JUNE 26</t>
  </si>
  <si>
    <t>MISC26-060028H</t>
  </si>
  <si>
    <t>JAPO POWDER - INV. 2638 - 26 JUNE 26</t>
  </si>
  <si>
    <t>MISC26-060028I</t>
  </si>
  <si>
    <t>Japo Powder - Inv. 2655 - 30 JUNE 26 LUNCH BOX, PLASTIK</t>
  </si>
  <si>
    <t>Japo Powder - Inv. 2655 - 30 JUNE 26</t>
  </si>
  <si>
    <t>MISC26-060029</t>
  </si>
  <si>
    <t>Bali Surya Semesta - Inv. 1316 - 13 June 26 SALMON</t>
  </si>
  <si>
    <t>Bali Surya Semesta - Inv. 1316 - 13 June 26</t>
  </si>
  <si>
    <t>MISC26-060030</t>
  </si>
  <si>
    <t>M019</t>
  </si>
  <si>
    <t>Bali Boga Sejati - Inv. 3370 - 09 June 26 USA BEEF RASHER SLICED (BACON)</t>
  </si>
  <si>
    <t>Bali Boga Sejati - Inv. 3370 - 09 June 26</t>
  </si>
  <si>
    <t>MISC26-060031</t>
  </si>
  <si>
    <t>G001</t>
  </si>
  <si>
    <t xml:space="preserve">Sukanda Djaya - Inv. 2489,2240 - 09 June 26, 2105 - 10 June 26 OYSTER SAUCE PANDA </t>
  </si>
  <si>
    <t>Sukanda Djaya - Inv. 2489,2240 - 09 June 26, 2105 - 10 June 26 UHT MILK</t>
  </si>
  <si>
    <t>G022</t>
  </si>
  <si>
    <t>Sukanda Djaya - Inv. 2489,2240 - 09 June 26, 2105 - 10 June 26 CHESE MOZZARELA</t>
  </si>
  <si>
    <t>G040</t>
  </si>
  <si>
    <t>Sukanda Djaya - Inv. 2489,2240 - 09 June 26, 2105 - 10 June 26 CREAM COKING</t>
  </si>
  <si>
    <t>Sukanda Djaya - Inv. 2489,2240 - 09 June 26, 2105 - 10 June 26</t>
  </si>
  <si>
    <t>MISC26-060032</t>
  </si>
  <si>
    <t>BV013</t>
  </si>
  <si>
    <t>Pratama Agung Niaga - Inv. 1810 - 08 June 26 REDBUL</t>
  </si>
  <si>
    <t>Pratama Agung Niaga - Inv. 1810 - 08 June 26</t>
  </si>
  <si>
    <t>MISC26-060033</t>
  </si>
  <si>
    <t>G026</t>
  </si>
  <si>
    <t>MULIA RAYA AGRIJAYA - INV. 1238 - 23 JUNE 26 ANCHOR UNSALTED 200GR</t>
  </si>
  <si>
    <t>MULIA RAYA AGRIJAYA - INV. 1238 - 23 JUNE 26</t>
  </si>
  <si>
    <t>MISC26-060034</t>
  </si>
  <si>
    <t>W020</t>
  </si>
  <si>
    <t>PELITA MAJU PERKASA - INV. 2653 - 23 JUNE 26 BANROCK SAUV</t>
  </si>
  <si>
    <t>W016</t>
  </si>
  <si>
    <t>PELITA MAJU PERKASA - INV. 2653 - 23 JUNE 26 BANROCK CABERNET</t>
  </si>
  <si>
    <t>W017</t>
  </si>
  <si>
    <t>PELITA MAJU PERKASA - INV. 2653 - 23 JUNE 26 BANROCK CHARDONNAY</t>
  </si>
  <si>
    <t>W019</t>
  </si>
  <si>
    <t>PELITA MAJU PERKASA - INV. 2653 - 23 JUNE 26 BANROCK SHIRAZ</t>
  </si>
  <si>
    <t>PELITA MAJU PERKASA - INV. 2653 - 23 JUNE 26</t>
  </si>
  <si>
    <t>MISC26-060035</t>
  </si>
  <si>
    <t>SP038D</t>
  </si>
  <si>
    <t xml:space="preserve">PM PMJBLI X - INV. 0849 - 23 JUNE 26 MONKEY SHOULDER </t>
  </si>
  <si>
    <t>PM PMJBLI X - INV. 0849 - 23 JUNE 26</t>
  </si>
  <si>
    <t>MISC26-060036</t>
  </si>
  <si>
    <t>G014</t>
  </si>
  <si>
    <t>OLMEC INDUSTRIES INDONESIA - INV. 4327 - 23 JUNE 26 NACHOS</t>
  </si>
  <si>
    <t>OLMEC INDUSTRIES INDONESIA - INV. 4327 - 23 JUNE 26</t>
  </si>
  <si>
    <t>MISC26-060037</t>
  </si>
  <si>
    <t>WARUNG LIMA PIZZA - INV. 1517 - 24 JUNE 26</t>
  </si>
  <si>
    <t>MISC26-060038</t>
  </si>
  <si>
    <t>TIRTASAKTI MANDIRI - INV. 3882 - 24 JUNE 26 LIVI</t>
  </si>
  <si>
    <t>TIRTASAKTI MANDIRI - INV. 3882 - 24 JUNE 26</t>
  </si>
  <si>
    <t>MISC26-060039</t>
  </si>
  <si>
    <t>SP018</t>
  </si>
  <si>
    <t>PT. PELITA TRI MAKMUR - INV. 0722 - 24 JUNE 26 BOMBAY SAPHIRE</t>
  </si>
  <si>
    <t>PT. PELITA TRI MAKMUR - INV. 0722 - 24 JUNE 26 TANGUARAY</t>
  </si>
  <si>
    <t>SP029</t>
  </si>
  <si>
    <t>PT. PELITA TRI MAKMUR - INV. 0722 - 24 JUNE 26 CHIVAS REGAL</t>
  </si>
  <si>
    <t>PT. PELITA TRI MAKMUR - INV. 0722 - 24 JUNE 26 JACK DANIEL</t>
  </si>
  <si>
    <t>SP028</t>
  </si>
  <si>
    <t>PT. PELITA TRI MAKMUR - INV. 0722 - 24 JUNE 26 JW BLACK LABEL</t>
  </si>
  <si>
    <t>PT. PELITA TRI MAKMUR - INV. 0722 - 24 JUNE 26 JAGERMEISTER</t>
  </si>
  <si>
    <t>SP057</t>
  </si>
  <si>
    <t>PT. PELITA TRI MAKMUR - INV. 0722 - 24 JUNE 26 COINTREAU</t>
  </si>
  <si>
    <t>SP058</t>
  </si>
  <si>
    <t>PT. PELITA TRI MAKMUR - INV. 0722 - 24 JUNE 26 BAILEY IRISH</t>
  </si>
  <si>
    <t>SP054</t>
  </si>
  <si>
    <t>PT. PELITA TRI MAKMUR - INV. 0722 - 24 JUNE 26 VACARI SAMBUCA</t>
  </si>
  <si>
    <t>PT. PELITA TRI MAKMUR - INV. 0722 - 24 JUNE 26</t>
  </si>
  <si>
    <t>MISC26-060040</t>
  </si>
  <si>
    <t>PT. ADM - INV. 7792 - 24 JUNE 26 GREY GOOSE</t>
  </si>
  <si>
    <t>PT. ADM - INV. 7792 - 24 JUNE 26 HENDRICKS</t>
  </si>
  <si>
    <t>SP021</t>
  </si>
  <si>
    <t>PT. ADM - INV. 7792 - 24 JUNE 26 MALIBU</t>
  </si>
  <si>
    <t>PT. ADM - INV. 7792 - 24 JUNE 26 SINGLETON 12YO</t>
  </si>
  <si>
    <t>PT. ADM - INV. 7792 - 24 JUNE 26</t>
  </si>
  <si>
    <t>MISC26-060040A</t>
  </si>
  <si>
    <t>Pt. Adm - Inv. 7959 - 30 JUNE 26 SINGLETON 15YO</t>
  </si>
  <si>
    <t>Pt. Adm - Inv. 7959 - 30 JUNE 26</t>
  </si>
  <si>
    <t>MISC26-060041</t>
  </si>
  <si>
    <t>Cv Sanwan - Inv. 6442, 6455 - 23 June 26 Hvs, Penggaris, Map Clear</t>
  </si>
  <si>
    <t>MISC26-060042</t>
  </si>
  <si>
    <t>BV004</t>
  </si>
  <si>
    <t>Lim Siang Huat Balindo - Inv. 6646 - 25 June 26 (Deduct  Embalasse) San Mig</t>
  </si>
  <si>
    <t>Lim Siang Huat Balindo - Inv. 6646 - 25 June 26 (Deduct  Embalasse)</t>
  </si>
  <si>
    <t>MISC26-060043</t>
  </si>
  <si>
    <t>DWI BOGA UTAMA - INV. 7927 - 25 JUNE 26 BEEF RIBEYE</t>
  </si>
  <si>
    <t>DWI BOGA UTAMA - INV. 7927 - 25 JUNE 26</t>
  </si>
  <si>
    <t>MISC26-060044</t>
  </si>
  <si>
    <t>BV002</t>
  </si>
  <si>
    <t xml:space="preserve">Bintang Bali Indah - Inv. 0230 - 25 June 26 Bintang </t>
  </si>
  <si>
    <t>BV009</t>
  </si>
  <si>
    <t>Bintang Bali Indah - Inv. 0230 - 25 June 26 Heineken 20L</t>
  </si>
  <si>
    <t>BV005</t>
  </si>
  <si>
    <t>Bintang Bali Indah - Inv. 0230 - 25 June 26 Radler</t>
  </si>
  <si>
    <t>BV003</t>
  </si>
  <si>
    <t>Bintang Bali Indah - Inv. 0230 - 25 June 26 Heineken</t>
  </si>
  <si>
    <t>BV006</t>
  </si>
  <si>
    <t>Bintang Bali Indah - Inv. 0230 - 25 June 26 Crystal</t>
  </si>
  <si>
    <t>Bintang Bali Indah - Inv. 0230 - 25 June 26 Embalasse</t>
  </si>
  <si>
    <t>Bintang Bali Indah - Inv. 0230 - 25 June 26</t>
  </si>
  <si>
    <t>MISC26-06002A</t>
  </si>
  <si>
    <t>MISC26-06002B</t>
  </si>
  <si>
    <t>MISC26-06002C</t>
  </si>
  <si>
    <t>Cello - Fee Dj 2 June 26</t>
  </si>
  <si>
    <t>MISC26-06002D</t>
  </si>
  <si>
    <t>MISC26-06002E</t>
  </si>
  <si>
    <t>MISC26-06002F</t>
  </si>
  <si>
    <t>MISC26-06002G</t>
  </si>
  <si>
    <t>MISC26-06002H</t>
  </si>
  <si>
    <t>MISC26-06002I</t>
  </si>
  <si>
    <t>Venuto - Fee Dj 5 June 26</t>
  </si>
  <si>
    <t>MISC26-06002J</t>
  </si>
  <si>
    <t>VADM - Fee Dj 5 June 26</t>
  </si>
  <si>
    <t>MISC26-06002K</t>
  </si>
  <si>
    <t>VADM - Fee Dj 6 June 26</t>
  </si>
  <si>
    <t>MISC26-06002L</t>
  </si>
  <si>
    <t>Venuto - Fee Dj 7 June 26</t>
  </si>
  <si>
    <t>MISC26-06002M</t>
  </si>
  <si>
    <t>MISC26-06002N</t>
  </si>
  <si>
    <t>Cello - Fee Dj 7 June 26</t>
  </si>
  <si>
    <t>MISC26-06002O</t>
  </si>
  <si>
    <t>Crispy bacon - Fee Dj 9 June 26</t>
  </si>
  <si>
    <t>MISC26-06002P</t>
  </si>
  <si>
    <t>MISC26-06002Q</t>
  </si>
  <si>
    <t>MC Wun - Fee Mc 9 June 26</t>
  </si>
  <si>
    <t>MISC26-06002R</t>
  </si>
  <si>
    <t>MISC26-06002S</t>
  </si>
  <si>
    <t>Lukeybagus - Fee Dj 9 June 26</t>
  </si>
  <si>
    <t>MISC26-06002T</t>
  </si>
  <si>
    <t>MISC26-06002U</t>
  </si>
  <si>
    <t>MISC26-06002V</t>
  </si>
  <si>
    <t>MISC26-06002W</t>
  </si>
  <si>
    <t>MISC26-06002X</t>
  </si>
  <si>
    <t>MISC26-06002Y</t>
  </si>
  <si>
    <t>Drummer - Fee Dj 11 June 26</t>
  </si>
  <si>
    <t>MISC26-06002Z</t>
  </si>
  <si>
    <t>Lukeybagus - Fee Dj 12 June 26</t>
  </si>
  <si>
    <t>MISC26-06002AA</t>
  </si>
  <si>
    <t>MISC26-06002AB</t>
  </si>
  <si>
    <t>Judy Any - Fee Dj 13 June 26</t>
  </si>
  <si>
    <t>MISC26-06002AC</t>
  </si>
  <si>
    <t>MISC26-06002AD</t>
  </si>
  <si>
    <t>MISC26-06002AE</t>
  </si>
  <si>
    <t>MISC26-06002AF</t>
  </si>
  <si>
    <t>MISC26-06002AG</t>
  </si>
  <si>
    <t>Lukeybagus - Fee Dj 14 June 26</t>
  </si>
  <si>
    <t>MISC26-06003C</t>
  </si>
  <si>
    <t>MISC26-06003D</t>
  </si>
  <si>
    <t>Jamal - Fee Salsa 25 June 26</t>
  </si>
  <si>
    <t>Wildan Fresh - Inv. 15 June 26</t>
  </si>
  <si>
    <t>Putu Raptor - Inv. June 2026</t>
  </si>
  <si>
    <t>Wonderworxs Digital Marketing - Inv. Adv June 2026</t>
  </si>
  <si>
    <t>See Balichronicles - Adv. June 2026</t>
  </si>
  <si>
    <t>6-3205</t>
  </si>
  <si>
    <t>The Beat - Adv. June 2026</t>
  </si>
  <si>
    <t>6-3107</t>
  </si>
  <si>
    <t>Surachman - Management Tax  Rr For June 2026</t>
  </si>
  <si>
    <t>MISC26-06010A</t>
  </si>
  <si>
    <t>6-3202</t>
  </si>
  <si>
    <t>Tiarai - Fee Host Ladies 4,6 June 26</t>
  </si>
  <si>
    <t>MISC26-06010B</t>
  </si>
  <si>
    <t>Shirley - Fee Host Ladies 6 June 26</t>
  </si>
  <si>
    <t>MISC26-06010C</t>
  </si>
  <si>
    <t>Eka - Fee Host Ladies 1,4 June 26</t>
  </si>
  <si>
    <t>MISC26-06010D</t>
  </si>
  <si>
    <t>Indi - Fee Host Ladies 6 June 26</t>
  </si>
  <si>
    <t>MISC26-06010E</t>
  </si>
  <si>
    <t>Hannyi - Fee Host Ladies 4 June 26</t>
  </si>
  <si>
    <t>MISC26-06010F</t>
  </si>
  <si>
    <t>Santi - Fee Host Ladies 1,6 June 26</t>
  </si>
  <si>
    <t>MISC26-06010G</t>
  </si>
  <si>
    <t>Niara - Fee Host Ladies 1 June 26</t>
  </si>
  <si>
    <t>MISC26-06010H</t>
  </si>
  <si>
    <t>Tasya - Fee Host Ladies 4 June 26</t>
  </si>
  <si>
    <t>MISC26-06010I</t>
  </si>
  <si>
    <t>Sasha - Fee Host Ladies 4 June 26</t>
  </si>
  <si>
    <t>MISC26-06010J</t>
  </si>
  <si>
    <t>Kiya - Fee Host Ladies 1,6 June 26</t>
  </si>
  <si>
    <t>MISC26-06010K</t>
  </si>
  <si>
    <t>Kimberly - Fee Host Ladies 1 June 26</t>
  </si>
  <si>
    <t>MISC26-06010L</t>
  </si>
  <si>
    <t>Eryka  - Fee Host Ladies 3,5,7, June 2026 + Coordination Fee 500K</t>
  </si>
  <si>
    <t>MISC26-06010M</t>
  </si>
  <si>
    <t xml:space="preserve">Cherry - Fee Host Ladies 2,3,4 June 2026 + Coordination Fee 250K </t>
  </si>
  <si>
    <t>Cherry - Comm Bottle No.6863,6885 (580K)</t>
  </si>
  <si>
    <t>Cherry - Fee Host Ladies 2,3,4 June 2026 + Coordination Fee 250K + Comm Bottle No.6863,6885 (580K)</t>
  </si>
  <si>
    <t>MISC26-06011</t>
  </si>
  <si>
    <t>MISC26-06012</t>
  </si>
  <si>
    <t>MISC26-06013</t>
  </si>
  <si>
    <t>MISC26-06014</t>
  </si>
  <si>
    <t>6-3305</t>
  </si>
  <si>
    <t>Pest Solution - Inv. June 2026</t>
  </si>
  <si>
    <t>MISC26-06015</t>
  </si>
  <si>
    <t>Biv - Inv. June 2026 (Utility &amp; Office)</t>
  </si>
  <si>
    <t>MISC26-06016A</t>
  </si>
  <si>
    <t>Biv - Inv. 15564 - 09 June 26 (Accomodation Pablo Van (05-07 June 26))</t>
  </si>
  <si>
    <t>MISC26-06016B</t>
  </si>
  <si>
    <t>Biv - Inv. 15565 - 09 June 26 (Accomodation Jules Blon (05-07 June 26)</t>
  </si>
  <si>
    <t>MISC26-06017A</t>
  </si>
  <si>
    <t>5-7000</t>
  </si>
  <si>
    <t>MISC26-06017B</t>
  </si>
  <si>
    <t>MISC26-06017C</t>
  </si>
  <si>
    <t>MISC26-06017D</t>
  </si>
  <si>
    <t>MISC26-06018</t>
  </si>
  <si>
    <t>Cayla - Reimburse Cake &amp; Balon Yuni Dan Winda Wedding, Bday Cake El Didion 6 June</t>
  </si>
  <si>
    <t>MISC26-06019</t>
  </si>
  <si>
    <t>1-2104</t>
  </si>
  <si>
    <t>Power Fan Maspion Terrace 2Pcs</t>
  </si>
  <si>
    <t>Tali Pembatas Merah 4Pcs</t>
  </si>
  <si>
    <t>Tas Tkw Botol</t>
  </si>
  <si>
    <t>Reserved Sign</t>
  </si>
  <si>
    <t>6-3211</t>
  </si>
  <si>
    <t>Bendera Piala Dunia Rawis</t>
  </si>
  <si>
    <t>Bendera Piala Dunia</t>
  </si>
  <si>
    <t>Jasa Dekor Piala Dunia 2Orang</t>
  </si>
  <si>
    <t>Balon Bday Wulan</t>
  </si>
  <si>
    <t>Bday Cake Wulan</t>
  </si>
  <si>
    <t>Bday Cake El Didion Rabu</t>
  </si>
  <si>
    <t>Chromatica Undangan Bali Stars</t>
  </si>
  <si>
    <t>Cayla - Reimburse Power Fan Maspion Terrace 2Pcs, Tali Pembatas Merah 4Pcs, Tas Tkw Botol, Reserved Sign, Bendera Piala Dunia, Jasa Dekor Piala Dunia 2Orang, Balon &amp; Cake Bday, Chromatica Undangan Bali Stars June 26</t>
  </si>
  <si>
    <t>MISC26-06020</t>
  </si>
  <si>
    <t>6-3210</t>
  </si>
  <si>
    <t>Dp Service Light Box Parkiran</t>
  </si>
  <si>
    <t>Bday Cake + Balon Caca</t>
  </si>
  <si>
    <t>Custom Payung 5Pcs</t>
  </si>
  <si>
    <t>Chromatica Piala (Mungkin Jadinya Dipakai Bulan Depan Karena Acaranya Kureng)</t>
  </si>
  <si>
    <t>Onyx Karpet Merah</t>
  </si>
  <si>
    <t>Sample Kain Celup Fosfor (Untuk Sarung Bantal Baru</t>
  </si>
  <si>
    <t>Cayla - Reimburse Dp Service Light Box Parkiran, Bday Cake + Balon Caca, Custom Payung 5Pcs, Chromatica Piala, Onyx Karpet Merah, Sample Kain Celup Fosfor</t>
  </si>
  <si>
    <t>MISC26-06021</t>
  </si>
  <si>
    <t>ONYX grab cake onyx</t>
  </si>
  <si>
    <t>ONYX balon decor</t>
  </si>
  <si>
    <t>ONYX print banner</t>
  </si>
  <si>
    <t>ONYX lipstik</t>
  </si>
  <si>
    <t>ONYX aksesoris topping cake</t>
  </si>
  <si>
    <t>ONYX cake custom kayumanis</t>
  </si>
  <si>
    <t>ONYX jasa dekor 2pax 500,000</t>
  </si>
  <si>
    <t>Pelunasan sign parkir</t>
  </si>
  <si>
    <t>Paper bag terrace 23june</t>
  </si>
  <si>
    <t>CAYLA - REIMBURSE ONYX JUNE, PELUNASAN SIGN PARKIR, PAPER BAG TERRACE</t>
  </si>
  <si>
    <t>MISC26-06022A</t>
  </si>
  <si>
    <t>Bowo - Fee Regular June 2026</t>
  </si>
  <si>
    <t>MISC26-06022B</t>
  </si>
  <si>
    <t>Pak Kaling - Fee Regular JUne 2026</t>
  </si>
  <si>
    <t>MISC26-06023</t>
  </si>
  <si>
    <t>Onyx Bali - Inv. 001 - 23 June 2026  (Event Rumba 09 June) META ADS C1</t>
  </si>
  <si>
    <t>6-3207</t>
  </si>
  <si>
    <t>Onyx Bali - Inv. 001 - 23 June 2026  (Event Rumba 09 June) VIDEOGRAPHER C1</t>
  </si>
  <si>
    <t>Onyx Bali - Inv. 001 - 23 June 2026  (Event Rumba 09 June) TALENT C1</t>
  </si>
  <si>
    <t>Onyx Bali - Inv. 001 - 23 June 2026  (Event Rumba 09 June) MERCHANDISE TOPI</t>
  </si>
  <si>
    <t>Onyx Bali - Inv. 001 - 23 June 2026  (Event Rumba 09 June) NAUFAL EDITOR C1 + FLYER</t>
  </si>
  <si>
    <t xml:space="preserve">Onyx Bali - Inv. 001 - 23 June 2026  (Event Rumba 09 June) VIDEOGRAPHER EVENT </t>
  </si>
  <si>
    <t>MISC26-06023A</t>
  </si>
  <si>
    <t>Onyx Bali - Inv. 002 - 29 June 2026  (Event Onyx 23 June) META ADS</t>
  </si>
  <si>
    <t>Onyx Bali - Inv. 002 - 29 June 2026  (Event Onyx 23 June) VIDEOGRAPHER C1</t>
  </si>
  <si>
    <t>Onyx Bali - Inv. 002 - 29 June 2026  (Event Onyx 23 June) TALENT C1</t>
  </si>
  <si>
    <t>Onyx Bali - Inv. 002 - 29 June 2026  (Event Onyx 23 June) MERCHANDISE TOPI</t>
  </si>
  <si>
    <t>Onyx Bali - Inv. 002 - 29 June 2026  (Event Onyx 23 June) NAUFAL EDITOR</t>
  </si>
  <si>
    <t>Onyx Bali - Inv. 002 - 29 June 2026  (Event Onyx 23 June) VIDEOGRAPHER EVENT</t>
  </si>
  <si>
    <t>Onyx Bali - Inv. 002 - 29 June 2026  (Event Onyx 23 June) NIKE AIR FORCE</t>
  </si>
  <si>
    <t>Onyx Bali - Inv. 002 - 29 June 2026  (Event Onyx 23 June)</t>
  </si>
  <si>
    <t>MISC26-06024</t>
  </si>
  <si>
    <t>Maha Yana Teknik - Inv. 4 June Service, And Spare Part Ac</t>
  </si>
  <si>
    <t>MISC26-06025</t>
  </si>
  <si>
    <t>Unknown - Monday 08 June 2026 (Include Dj) COMM 10%</t>
  </si>
  <si>
    <t>Unknown - Monday 08 June 2026 (Include Dj) FEE DJ</t>
  </si>
  <si>
    <t>Unknown - Monday 08 June 2026 (Include Dj) GL</t>
  </si>
  <si>
    <t>MISC26-06026A</t>
  </si>
  <si>
    <t>Venuto - Fee Dj 15 June 2026</t>
  </si>
  <si>
    <t>MISC26-06026B</t>
  </si>
  <si>
    <t>Moon - Fee Dj 15 June 2026</t>
  </si>
  <si>
    <t>MISC26-06026C</t>
  </si>
  <si>
    <t>Brad Watts - Fee Dj 15 June 2026</t>
  </si>
  <si>
    <t>MISC26-06026D</t>
  </si>
  <si>
    <t>3Iz - Fee Dj 16 June 2026</t>
  </si>
  <si>
    <t>MISC26-06026E</t>
  </si>
  <si>
    <t>Soulmantra -Fee Dj 16 June 2026</t>
  </si>
  <si>
    <t>MISC26-06026F</t>
  </si>
  <si>
    <t>Micaheal Vagas - Fee Dj 16 June 2026</t>
  </si>
  <si>
    <t>MISC26-06026G</t>
  </si>
  <si>
    <t>Naughty Groove Team - Fee Dj 17 June 2026</t>
  </si>
  <si>
    <t>MISC26-06026H</t>
  </si>
  <si>
    <t>Met Musik - Fee Dj 18 June 2026</t>
  </si>
  <si>
    <t>MISC26-06026I</t>
  </si>
  <si>
    <t>Edger - Fee Dj 18 June 2026</t>
  </si>
  <si>
    <t>MISC26-06026J</t>
  </si>
  <si>
    <t>Arien Cahteine - Fee Dj 19 June 2026</t>
  </si>
  <si>
    <t>MISC26-06026K</t>
  </si>
  <si>
    <t>Adam Rave Royale - Fee Dj 19 June 2026</t>
  </si>
  <si>
    <t>MISC26-06026L</t>
  </si>
  <si>
    <t>Mlrv - Fee Dj 20 June 2026</t>
  </si>
  <si>
    <t>MISC26-06026M</t>
  </si>
  <si>
    <t>Fran Tinez - Fee Dj 21 June 2026</t>
  </si>
  <si>
    <t>MISC26-06026N</t>
  </si>
  <si>
    <t>Dj Biscuit - Fee Dj 21 June 2026</t>
  </si>
  <si>
    <t>MISC26-06026O</t>
  </si>
  <si>
    <t>Vibez Intel - Fee Dj 21 June 2026</t>
  </si>
  <si>
    <t>MISC26-06027</t>
  </si>
  <si>
    <t xml:space="preserve">Xjane - Fee Dj 18 June 2026 (Deduct Ledger 13 June   386.056, 20 June   433.136 </t>
  </si>
  <si>
    <t>MISC26-06028</t>
  </si>
  <si>
    <t xml:space="preserve">Touch The Sound - Fee Dj 19 June 2026 (Deduct Ledger 13 June   294.250, 19 June   273.064 </t>
  </si>
  <si>
    <t>MISC26-06029</t>
  </si>
  <si>
    <t xml:space="preserve">Shanada - Fee Dj 20 June 2026 (Shammui) (Deduct Ledger 20 June   2.073.874 </t>
  </si>
  <si>
    <t>MISC26-06030</t>
  </si>
  <si>
    <t xml:space="preserve">El Didion - Fee Dj 20 June 2026 (Deduct Ledger 20June  235.400 </t>
  </si>
  <si>
    <t>MISC26-06031</t>
  </si>
  <si>
    <t>SPARKLE JUMBO 10PCS 27 JUNE 26 &amp; 8 june 26</t>
  </si>
  <si>
    <t>CAYLA - REIMBURSE AZKO KRISBOW KIPAS ANGIN PLAFON 3PCS, POWER FAN MASPION 18" PW 455 1PCS, SPARKLE JUMBO 10PCS 27 JUNE 26</t>
  </si>
  <si>
    <t>MISC26-06032</t>
  </si>
  <si>
    <t>VYBZ INTEL - FEE DJ 22 JUNE 26</t>
  </si>
  <si>
    <t>MISC26-06032A</t>
  </si>
  <si>
    <t>Son - Fee Dj 23 June 2026</t>
  </si>
  <si>
    <t>MISC26-06032B</t>
  </si>
  <si>
    <t>Lyfe -  Fee Dj 23 June 2026</t>
  </si>
  <si>
    <t>MISC26-06032C</t>
  </si>
  <si>
    <t>Mc Elchi -  Fee Dj 23 June 2026</t>
  </si>
  <si>
    <t>MISC26-06032D</t>
  </si>
  <si>
    <t>Saul Bliss -  Fee Dj 23 June 2026</t>
  </si>
  <si>
    <t>MISC26-06032E</t>
  </si>
  <si>
    <t>Xjane -  Fee Dj 23June 2026</t>
  </si>
  <si>
    <t>MISC26-06032F</t>
  </si>
  <si>
    <t>Lukeybagus -  Fee Dj 24 June 2026</t>
  </si>
  <si>
    <t>MISC26-06032G</t>
  </si>
  <si>
    <t>Manu - L -  Fee Dj 24 June 2026</t>
  </si>
  <si>
    <t>MISC26-06032H</t>
  </si>
  <si>
    <t>Xjane -  Fee Dj 24 June 2026</t>
  </si>
  <si>
    <t>MISC26-06032I</t>
  </si>
  <si>
    <t>Xjane -  Fee Dj 25 June 2026</t>
  </si>
  <si>
    <t>MISC26-06032J</t>
  </si>
  <si>
    <t>Fran Tinez - Fee Dj 25 June 2026</t>
  </si>
  <si>
    <t>MISC26-06032K</t>
  </si>
  <si>
    <t>Met Musik - Fee Dj 25 June 2026</t>
  </si>
  <si>
    <t>MISC26-06032L</t>
  </si>
  <si>
    <t>Drummer - Fee Dj 25 June 2026</t>
  </si>
  <si>
    <t>MISC26-06032M</t>
  </si>
  <si>
    <t>Vadm - Fee Dj 26 June 2026</t>
  </si>
  <si>
    <t>MISC26-06032N</t>
  </si>
  <si>
    <t>Simo - Fee Dj 26 June 2026</t>
  </si>
  <si>
    <t>MISC26-06032O</t>
  </si>
  <si>
    <t>Novcento - Fee Dj 26 June 2026</t>
  </si>
  <si>
    <t>MISC26-06032P</t>
  </si>
  <si>
    <t>Brass Monekeys - Fee Dj 27 June 2026</t>
  </si>
  <si>
    <t>MISC26-06032Q</t>
  </si>
  <si>
    <t>Michael Vagas - Fee Dj 27 June 2026</t>
  </si>
  <si>
    <t>MISC26-06032R</t>
  </si>
  <si>
    <t>Zone Two - Fee Dj 28 June 2026</t>
  </si>
  <si>
    <t>MISC26-06032S</t>
  </si>
  <si>
    <t xml:space="preserve">Touch The Sound - Fee Dj 27 June 2026 (DEDUCT LEDGER 28 JUNE   1.177.000 </t>
  </si>
  <si>
    <t>MISC26-06033</t>
  </si>
  <si>
    <t>Msi Service Indonesia - Inv.  02 June 2026 (Passport Lukas)</t>
  </si>
  <si>
    <t>MISC26-06034</t>
  </si>
  <si>
    <t>TIARA - FEE HOST LADIES 08 JUNE 2026</t>
  </si>
  <si>
    <t>MISC26-06034A</t>
  </si>
  <si>
    <t>SHIRLEY  - FEE HOST LADIES 11,13 JUNE 2026</t>
  </si>
  <si>
    <t>MISC26-06034B</t>
  </si>
  <si>
    <t>EKA  - FEE HOST LADIES 08,11,13 JUNE 2026</t>
  </si>
  <si>
    <t>MISC26-06034C</t>
  </si>
  <si>
    <t>INDI  - FEE HOST LADIES 11,13 JUNE 2026</t>
  </si>
  <si>
    <t>MISC26-06034D</t>
  </si>
  <si>
    <t>HANNY  - FEE HOST LADIES 08,13JUNE 2026</t>
  </si>
  <si>
    <t>MISC26-06034E</t>
  </si>
  <si>
    <t>TASYA  - FEE HOST LADIES 11 JUNE 2026</t>
  </si>
  <si>
    <t>MISC26-06034F</t>
  </si>
  <si>
    <t>SASHA  - FEE HOST LADIES 11 JUNE 2026</t>
  </si>
  <si>
    <t>MISC26-06034G</t>
  </si>
  <si>
    <t>KIYA  - FEE HOST LADIES 08 JUNE 2026</t>
  </si>
  <si>
    <t>MISC26-06034H</t>
  </si>
  <si>
    <t>KIMBERLY  - FEE HOST LADIES 08,13 JUNE 2026</t>
  </si>
  <si>
    <t>MISC26-06034I</t>
  </si>
  <si>
    <t>ERYKA TEAM - FEE HOST LADIES 10,12,14 JUNE 2026 + COORDINATION FEE 500K</t>
  </si>
  <si>
    <t>MISC26-06034J</t>
  </si>
  <si>
    <t>CHERRY TEAM - FEE HOST LADIES 08,09,10,11 JUNE 2026 + COORDINATION FEE 250K</t>
  </si>
  <si>
    <t>MISC26-06035</t>
  </si>
  <si>
    <t>TIARA - FEE HOST LADIES 15,20JUNE 2026</t>
  </si>
  <si>
    <t>MISC26-06035A</t>
  </si>
  <si>
    <t>SHIRLEY - FEE HOST LADIES 20 JUNE 2026</t>
  </si>
  <si>
    <t>MISC26-06035B</t>
  </si>
  <si>
    <t>EKA - FEE HOST LADIES 15,18JUNE 2026</t>
  </si>
  <si>
    <t>MISC26-06035C</t>
  </si>
  <si>
    <t>INDI - FEE HOST LADIES 15,18,20JUNE 2026</t>
  </si>
  <si>
    <t>MISC26-06035D</t>
  </si>
  <si>
    <t>HANNY - FEE HOST LADIES 18,20JUNE 2026</t>
  </si>
  <si>
    <t>MISC26-06035E</t>
  </si>
  <si>
    <t>SANTI - FEE HOST LADIES 15,18JUNE 2026</t>
  </si>
  <si>
    <t>MISC26-06035F</t>
  </si>
  <si>
    <t>KIMBERLY - FEE HOST LADIES 15,18,20 JUNE 2026</t>
  </si>
  <si>
    <t>MISC26-06035G</t>
  </si>
  <si>
    <t>ERYKA TEAM - FEE HOST LADIES 17,19,21 JUNE 2026 + COORDINATION FEE 500K</t>
  </si>
  <si>
    <t>MISC26-06035H</t>
  </si>
  <si>
    <t>CHERRY TEAM - FEE HOST LADIES 16,17,18 JUNE 2026 + COORDINATION FEE 250K</t>
  </si>
  <si>
    <t>MISC26-06036</t>
  </si>
  <si>
    <t>TIARA - FEE HOST LADIES 22,27 JUNE 2026</t>
  </si>
  <si>
    <t>MISC26-06036A</t>
  </si>
  <si>
    <t>SHIRLEY - FEE HOST LADIES 25,27 JUNE 2026</t>
  </si>
  <si>
    <t>MISC26-06036B</t>
  </si>
  <si>
    <t>EKA - FEE HOST LADIES 22 JUNE 2026</t>
  </si>
  <si>
    <t>MISC26-06036C</t>
  </si>
  <si>
    <t>INDI - FEE HOST LADIES 22,27 JUNE 2026</t>
  </si>
  <si>
    <t>MISC26-06036D</t>
  </si>
  <si>
    <t>HANNY - FEE HOST LADIES 25,27 JUNE 2026</t>
  </si>
  <si>
    <t>MISC26-06036E</t>
  </si>
  <si>
    <t>SANTI - FEE HOST LADIES 25 JUNE 2026</t>
  </si>
  <si>
    <t>MISC26-06036F</t>
  </si>
  <si>
    <t>TASYA - FEE HOST LADIES 25 JUNE 2026</t>
  </si>
  <si>
    <t>MISC26-06036G</t>
  </si>
  <si>
    <t>KIMBERLY - FEE HOST LADIES 22,27 JUNE 2026</t>
  </si>
  <si>
    <t>MISC26-06036H</t>
  </si>
  <si>
    <t>SUSAN - FEE HOST LADIES 22,25 JUNE 2026</t>
  </si>
  <si>
    <t>MISC26-06036I</t>
  </si>
  <si>
    <t>ERYKA TEAM - FEE HOST LADIES 24,26,28 JUNE 2026 + COORDINATION FEE 500K</t>
  </si>
  <si>
    <t>MISC26-06036J</t>
  </si>
  <si>
    <t>CHERRY TEAM - FEE HOST LADIES 23,24,25 JUNE 2026 + COORDINATION FEE 250K</t>
  </si>
  <si>
    <t>MISC26-06037</t>
  </si>
  <si>
    <t>TIARA - FEE HOST LADIES 29 JUNE 2026</t>
  </si>
  <si>
    <t>MISC26-06037A</t>
  </si>
  <si>
    <t>EKA - FEE HOST LADIES 29 JUNE 2026</t>
  </si>
  <si>
    <t>MISC26-06037B</t>
  </si>
  <si>
    <t>LISA - FEE HOST LADIES 29 JUNE 2026</t>
  </si>
  <si>
    <t>MISC26-06037C</t>
  </si>
  <si>
    <t>ECIK - FEE HOST LADIES 29 JUNE 2026</t>
  </si>
  <si>
    <t>MISC26-06037D</t>
  </si>
  <si>
    <t>SUSAN - FEE HOST LADIES 29 JUNE 2026</t>
  </si>
  <si>
    <t>MISC26-06037E</t>
  </si>
  <si>
    <t xml:space="preserve">CHERRY TEAM - FEE HOST LADIES 30 JUNE 2026 </t>
  </si>
  <si>
    <t>MISC26-06038</t>
  </si>
  <si>
    <t>INEZ - COMM BOTTLE NO,8071,8085</t>
  </si>
  <si>
    <t>MISC26-06038A</t>
  </si>
  <si>
    <t>BETTY - COMM BOTTLE NO,8543</t>
  </si>
  <si>
    <t>MISC26-06038B</t>
  </si>
  <si>
    <t>EKA SECURITY - COMM BOTTLE NO,8155</t>
  </si>
  <si>
    <t>MISC26-06038C</t>
  </si>
  <si>
    <t>SANA FLOOR - COMM BOTTLE NO,7926</t>
  </si>
  <si>
    <t>MISC26-06038D</t>
  </si>
  <si>
    <t>AYU - COMM BOTTLE NO,8701</t>
  </si>
  <si>
    <t>MISC26-06038E</t>
  </si>
  <si>
    <t>MAHARANI - COMM BOTTLE NO,8659,8656</t>
  </si>
  <si>
    <t>MISC26-06038F</t>
  </si>
  <si>
    <t>JUAN PROMOTOR - COMM BOTTLE NO,8039</t>
  </si>
  <si>
    <t>MISC26-06038G</t>
  </si>
  <si>
    <t>DANCER BELLA - COMM BOTTLE NO,8056</t>
  </si>
  <si>
    <t>MISC26-06039A</t>
  </si>
  <si>
    <t>BETTY - COMM BOTTLE NO.9485</t>
  </si>
  <si>
    <t>MISC26-06039B</t>
  </si>
  <si>
    <t>ONCHI PROMOTOR - COMM BOTTLE NO.9494</t>
  </si>
  <si>
    <t>MISC26-06039D</t>
  </si>
  <si>
    <t>INEZ - COMM BOTTLE NO.9848</t>
  </si>
  <si>
    <t>MISC26-06039E</t>
  </si>
  <si>
    <t>AYU - COMM BOTTLE NO.9933</t>
  </si>
  <si>
    <t>MISC26-06039F</t>
  </si>
  <si>
    <t>LISA PROMOTOR - COMM BOTTLE NO.9868</t>
  </si>
  <si>
    <t>MISC26-06040</t>
  </si>
  <si>
    <t>ALEX SECURITY - COMM BOTTLE NO.0293</t>
  </si>
  <si>
    <t>MISC26-06040A</t>
  </si>
  <si>
    <t>MIKE PROMOTOR - COMM BOTTLE NO.0407</t>
  </si>
  <si>
    <t>MISC26-06040B</t>
  </si>
  <si>
    <t>CAYLA PROMOTOR - COMM BOTTLE NO. 0409</t>
  </si>
  <si>
    <t>MISC26-06040C</t>
  </si>
  <si>
    <t>DEWI - COMM BOTTLE NO.1116</t>
  </si>
  <si>
    <t>MISC26-06040D</t>
  </si>
  <si>
    <t>JENNY X - COMM BOTTLE NO. 0809</t>
  </si>
  <si>
    <t>MISC26-06040E</t>
  </si>
  <si>
    <t>INEZ - COMM BOTTLE NO.0826,1074</t>
  </si>
  <si>
    <t>MISC26-06040G</t>
  </si>
  <si>
    <t>MARYAM - COMM BOTTLE NO.1068</t>
  </si>
  <si>
    <t>MISC26-06040H</t>
  </si>
  <si>
    <t>CHERRY - COMM BOTTLE NO.0610,0633</t>
  </si>
  <si>
    <t>MISC26-06040I</t>
  </si>
  <si>
    <t>FIBRY PROMOTOR - COMM BOTTLE NO.0406,0377</t>
  </si>
  <si>
    <t>MISC26-06040J</t>
  </si>
  <si>
    <t>ONCHI - COMM BOTTLE NO.1261</t>
  </si>
  <si>
    <t>MISC26-06041</t>
  </si>
  <si>
    <t>ZONE TWO - SUNDAY 28 JUNE 26 COMM 5%</t>
  </si>
  <si>
    <t>ZONE TWO - SUNDAY 28 JUNE 26 FEE HOST LADIES</t>
  </si>
  <si>
    <t>ZONE TWO - SUNDAY 28 JUNE 26 ADS SOSMED</t>
  </si>
  <si>
    <t>ZONE TWO - SUNDAY 28 JUNE 26 LEDGER 26 APRIL 2026</t>
  </si>
  <si>
    <t>ZONE TWO - SUNDAY 28 JUNE 26</t>
  </si>
  <si>
    <t>MISC26-06042</t>
  </si>
  <si>
    <t>Fadil - Onyx Bonus April 26</t>
  </si>
  <si>
    <t>MISC26-06042A</t>
  </si>
  <si>
    <t>Kancil - Onyx Bonus April 26</t>
  </si>
  <si>
    <t>MISC26-06042B</t>
  </si>
  <si>
    <t>Jatind - Onyx Bonus April 26</t>
  </si>
  <si>
    <t>MISC26-06042C</t>
  </si>
  <si>
    <t>Maria - Onyx Bonus May 26</t>
  </si>
  <si>
    <t>MISC26-06042D</t>
  </si>
  <si>
    <t>Grady - Onyx Bonus May 26</t>
  </si>
  <si>
    <t>MISC26-06042E</t>
  </si>
  <si>
    <t>Rigo (Fang) - Onyx Bonus May 26</t>
  </si>
  <si>
    <t>MISC26-06042F</t>
  </si>
  <si>
    <t>Fadil - Onyx Bonus May 26</t>
  </si>
  <si>
    <t>MISC26-06043</t>
  </si>
  <si>
    <t>BV089</t>
  </si>
  <si>
    <t>DEWATA KENCANA DISTRIBUSI - INV. 2003 - 30 JUNE 26 (DEDUCT EMBALASE 156K) PROST LAGER</t>
  </si>
  <si>
    <t>BV092</t>
  </si>
  <si>
    <t>DEWATA KENCANA DISTRIBUSI - INV. 2003 - 30 JUNE 26 (DEDUCT EMBALASE 156K) SINGARAJA</t>
  </si>
  <si>
    <t>DEWATA KENCANA DISTRIBUSI - INV. 2003 - 30 JUNE 26 (DEDUCT EMBALASE 156K)</t>
  </si>
  <si>
    <t>MISC26-06044</t>
  </si>
  <si>
    <t>Mustache Djs - FEE DJ 17 JUNE 26 (1200 Usd / 36,594.39 BATH )</t>
  </si>
  <si>
    <t>MISC26-06045</t>
  </si>
  <si>
    <t>BV011</t>
  </si>
  <si>
    <t>Bali Permata Jaya Sukses - Inv. 1248 - 29 june 26 corona</t>
  </si>
  <si>
    <t>Bali Permata Jaya Sukses - Inv. 1248 - 29 june 26</t>
  </si>
  <si>
    <t>MISC26-06046</t>
  </si>
  <si>
    <t>MONDAY - 22 JUNE 26 - CHROMATICA COM 5%</t>
  </si>
  <si>
    <t>MONDAY - 22 JUNE 26 - CHROMATICA GL</t>
  </si>
  <si>
    <t>MONDAY - 22 JUNE 26 - CHROMATICA FEE DJ</t>
  </si>
  <si>
    <t>MONDAY - 22 JUNE 26 - CHROMATICA</t>
  </si>
  <si>
    <t>MISC26-06047</t>
  </si>
  <si>
    <t>DARBOY - Fee GL 23 June 26</t>
  </si>
  <si>
    <t>MISC26-06047A</t>
  </si>
  <si>
    <t>RIGO (FANG) - Fee GL 23 June 26</t>
  </si>
  <si>
    <t>MISC26-06047B</t>
  </si>
  <si>
    <t>ONYX - Fee GL 23 June 26</t>
  </si>
  <si>
    <t>MISC26-06047C</t>
  </si>
  <si>
    <t>FADIL - Fee GL 23 June 26</t>
  </si>
  <si>
    <t>MISC26-06047D</t>
  </si>
  <si>
    <t>BRIANA - Fee GL 23 June 26</t>
  </si>
  <si>
    <t>MISC26-06047E</t>
  </si>
  <si>
    <t>NAZID (ZIZU) - Fee GL 23 June 26</t>
  </si>
  <si>
    <t>MISC26-06047F</t>
  </si>
  <si>
    <t>LELO - Fee GL 23 June 26</t>
  </si>
  <si>
    <t>MISC26-06047G</t>
  </si>
  <si>
    <t>SHEREN (EREN) - Fee GL 23 June 26</t>
  </si>
  <si>
    <t>MISC26-06047H</t>
  </si>
  <si>
    <t>GRADY/GRANDY - Fee GL 23 June 26</t>
  </si>
  <si>
    <t>MISC26-06047I</t>
  </si>
  <si>
    <t>KAISAR - Fee GL 23 June 26</t>
  </si>
  <si>
    <t>MISC26-06047J</t>
  </si>
  <si>
    <t>KAYLA - Fee GL 23 June 26</t>
  </si>
  <si>
    <t>MISC26-06047K</t>
  </si>
  <si>
    <t>REVA - Fee GL 23 June 26</t>
  </si>
  <si>
    <t>MISC26-06047L</t>
  </si>
  <si>
    <t>ACI - Fee GL 23 June 26</t>
  </si>
  <si>
    <t>MISC26-06048</t>
  </si>
  <si>
    <t>ABSTRACT - FRIDAY 26 JUNE 26 COMM 5%</t>
  </si>
  <si>
    <t>ABSTRACT - FRIDAY 26 JUNE 26 ADS SOSMED</t>
  </si>
  <si>
    <t>ABSTRACT - FRIDAY 26 JUNE 26</t>
  </si>
  <si>
    <t>MISC26-06049A</t>
  </si>
  <si>
    <t xml:space="preserve">Bram - Fee Gl 09 June 26 </t>
  </si>
  <si>
    <t>MISC26-06049B</t>
  </si>
  <si>
    <t>Onyx - Fee Gl 09 June 26</t>
  </si>
  <si>
    <t>MISC26-06049C</t>
  </si>
  <si>
    <t>Sherin - Fee Gl 09 June 26</t>
  </si>
  <si>
    <t>MISC26-06049D</t>
  </si>
  <si>
    <t>Juan - Fee Gl 09 June 26</t>
  </si>
  <si>
    <t>MISC26-06049E</t>
  </si>
  <si>
    <t>Lelo - Fee Gl 09 June 26</t>
  </si>
  <si>
    <t>MISC26-06050</t>
  </si>
  <si>
    <t>Fee Dancer June 2026</t>
  </si>
  <si>
    <t>MISC26-06051</t>
  </si>
  <si>
    <t>VISUALISUCKTION - INV. 28 JUNE 26 (PHOTO ZONE TWO)</t>
  </si>
  <si>
    <t>MISC26-06052</t>
  </si>
  <si>
    <t>6-3114</t>
  </si>
  <si>
    <t>PLN JUNE 2026</t>
  </si>
  <si>
    <t>MISC26-06053</t>
  </si>
  <si>
    <t>PDAM JUNE 2026</t>
  </si>
  <si>
    <t>MISC26-06054</t>
  </si>
  <si>
    <t xml:space="preserve">Imelda - FEE COORDINATION JUNE 2026 </t>
  </si>
  <si>
    <t>MISC26-06054A</t>
  </si>
  <si>
    <t>Cherry - FEE COORDINATION JUNE 2026</t>
  </si>
  <si>
    <t xml:space="preserve">Cherry - FEE GL JUNE 26 (74PAX = 1,480K)  </t>
  </si>
  <si>
    <t xml:space="preserve">Cherry - FEE COORDINATION JUNE 2026 +FEE GL JUNE 26 (74PAX = 1,480K)  </t>
  </si>
  <si>
    <t>MISC26-06055</t>
  </si>
  <si>
    <t>TASYA - FEE GL JUNE 2026 (2pax)</t>
  </si>
  <si>
    <t>MISC26-06055A</t>
  </si>
  <si>
    <t>SHIRLEY - FEE GL JUNE 2026 (23pax)</t>
  </si>
  <si>
    <t>MISC26-06055B</t>
  </si>
  <si>
    <t>TIARA - FEE GL JUNE 2026 (4pax)</t>
  </si>
  <si>
    <t>MISC26-06055C</t>
  </si>
  <si>
    <t>LULU - FEE GL JUNE 2026 (23pax)</t>
  </si>
  <si>
    <t>MISC26-06055D</t>
  </si>
  <si>
    <t>ANDRIA - FEE GL JUNE 2026 (5pax)</t>
  </si>
  <si>
    <t>MISC26-06055E</t>
  </si>
  <si>
    <t>INDI - FEE GL JUNE 2026 (8pax)</t>
  </si>
  <si>
    <t>MISC26-06055F</t>
  </si>
  <si>
    <t>CACA - FEE GL JUNE 2026 (8pax)</t>
  </si>
  <si>
    <t>MISC26-06055G</t>
  </si>
  <si>
    <t>ERYKA HOST TEAM - FEE GL JUNE 2026 (5PAX+5PAX)</t>
  </si>
  <si>
    <t>MISC26-06055H</t>
  </si>
  <si>
    <t xml:space="preserve">Sissy - FEE GL JUNE 2026 </t>
  </si>
  <si>
    <t>MISC26-06055I</t>
  </si>
  <si>
    <t xml:space="preserve">Lulu Host - FEE GL JUNE 2026 </t>
  </si>
  <si>
    <t>MISC26-06055J</t>
  </si>
  <si>
    <t xml:space="preserve">Jenny (exGRO) - FEE GL JUNE 2026 </t>
  </si>
  <si>
    <t>MISC26-06055K</t>
  </si>
  <si>
    <t xml:space="preserve">Maryam (exGRO) - FEE GL JUNE 2026 </t>
  </si>
  <si>
    <t>MISC26-06055L</t>
  </si>
  <si>
    <t xml:space="preserve">Lia - FEE GL JUNE 2026 </t>
  </si>
  <si>
    <t>MISC26-06055M</t>
  </si>
  <si>
    <t xml:space="preserve">See Events - FEE GL JUNE 2026 </t>
  </si>
  <si>
    <t>MISC26-06055N</t>
  </si>
  <si>
    <t xml:space="preserve">The Beat Bali - FEE GL JUNE 2026 </t>
  </si>
  <si>
    <t>MISC26-06055O</t>
  </si>
  <si>
    <t xml:space="preserve">Party People Bali - FEE GL JUNE 2026 </t>
  </si>
  <si>
    <t>MISC26-06056</t>
  </si>
  <si>
    <t>Fibry - ONYX Team Coordination Fee JUNE 2026</t>
  </si>
  <si>
    <t>MISC26-06056A</t>
  </si>
  <si>
    <t>Lelo - ONYX Team Coordination Fee JUNE 2026</t>
  </si>
  <si>
    <t>MISC26-06056B</t>
  </si>
  <si>
    <t>Delvino - ONYX Team Coordination Fee JUNE 2026</t>
  </si>
  <si>
    <t>MISC26-06056C</t>
  </si>
  <si>
    <t>Nicole - ONYX Team Coordination Fee JUNE 2026</t>
  </si>
  <si>
    <t>MISC26-06056D</t>
  </si>
  <si>
    <t>Fibry - RUMBA Team Coordination Fee JUNE 2026</t>
  </si>
  <si>
    <t>MISC26-06056E</t>
  </si>
  <si>
    <t>Lelo - RUMBA Team Coordination Fee JUNE 2026</t>
  </si>
  <si>
    <t>MISC26-06056F</t>
  </si>
  <si>
    <t>Delvino - RUMBA Team Coordination Fee JUNE 2026</t>
  </si>
  <si>
    <t>MISC26-06056G</t>
  </si>
  <si>
    <t>Nicole - RUMBA Team Coordination Fee JUNE 2026</t>
  </si>
  <si>
    <t>MISC26-06057</t>
  </si>
  <si>
    <t>6-3101</t>
  </si>
  <si>
    <t>PAJAK AIR TANAH - INV. 9462,0670,7675 - 22 JUNE 26 (TAGIHAN BULAN MEI 26)</t>
  </si>
  <si>
    <t>MISC26-06058</t>
  </si>
  <si>
    <t>Lukas - Bonus From Red Ruby &amp; Rosalita Nett Revenue JUNE 2026</t>
  </si>
  <si>
    <t>MISC26-06059A</t>
  </si>
  <si>
    <t>Lukeybagus - Fee Dj 29 June 2026</t>
  </si>
  <si>
    <t>MISC26-06059B</t>
  </si>
  <si>
    <t>Cello - Fee Dj 29 June 2026</t>
  </si>
  <si>
    <t>MISC26-06059C</t>
  </si>
  <si>
    <t>Arash - Fee Dj 29 June 2026</t>
  </si>
  <si>
    <t>MISC26-06059D</t>
  </si>
  <si>
    <t>Laura BLk Raven - Fee Dj 30th June 2026</t>
  </si>
  <si>
    <t>MISC26-06060</t>
  </si>
  <si>
    <t>BLACK RAVEN - TUESDAY 30 JUNE 2026 COMM 5%</t>
  </si>
  <si>
    <t>BLACK RAVEN - TUESDAY 30 JUNE 2026 GL</t>
  </si>
  <si>
    <t>BLACK RAVEN - TUESDAY 30 JUNE 2026 LEDGER 08 JUNE 26</t>
  </si>
  <si>
    <t>BLACK RAVEN - TUESDAY 30 JUNE 2026</t>
  </si>
  <si>
    <t>MISC26-06061</t>
  </si>
  <si>
    <t>Drummer - Fee 30 April 2026</t>
  </si>
  <si>
    <t>Adjustment26-0601</t>
  </si>
  <si>
    <t>6-4101</t>
  </si>
  <si>
    <t>Depr Building Lease</t>
  </si>
  <si>
    <t>6-3116</t>
  </si>
  <si>
    <t>6-4102</t>
  </si>
  <si>
    <t>Depr Building Improvement</t>
  </si>
  <si>
    <t>6-4103</t>
  </si>
  <si>
    <t>Depr Equiptment</t>
  </si>
  <si>
    <t>6-4104</t>
  </si>
  <si>
    <t>Depr Furniture &amp; Fixture</t>
  </si>
  <si>
    <t>6-4106</t>
  </si>
  <si>
    <t>Amortization license</t>
  </si>
  <si>
    <t>6-4107</t>
  </si>
  <si>
    <t>Depr IT Support</t>
  </si>
  <si>
    <t>6-4108</t>
  </si>
  <si>
    <t>Depr Vehicle</t>
  </si>
  <si>
    <t>1-2201</t>
  </si>
  <si>
    <t>Acm Depreciation Building lease right</t>
  </si>
  <si>
    <t>1-2202</t>
  </si>
  <si>
    <t>Acm Depreciation Building Improvement</t>
  </si>
  <si>
    <t>1-2203</t>
  </si>
  <si>
    <t>Acm Depreciation Equiptment</t>
  </si>
  <si>
    <t>1-2204</t>
  </si>
  <si>
    <t>Acm Depreciation Furniture &amp; Fixture</t>
  </si>
  <si>
    <t>1-2206</t>
  </si>
  <si>
    <t>Acm Depreciation Business license</t>
  </si>
  <si>
    <t>1-2207</t>
  </si>
  <si>
    <t>Acm Depreciation IT Support</t>
  </si>
  <si>
    <t>1-2208</t>
  </si>
  <si>
    <t>Acm Depreciation Vehicle</t>
  </si>
  <si>
    <t>Adjustment26-0602</t>
  </si>
  <si>
    <t>5-1000</t>
  </si>
  <si>
    <t>Cos - Food</t>
  </si>
  <si>
    <t>5-2000</t>
  </si>
  <si>
    <t>Cos - Beverage</t>
  </si>
  <si>
    <t>5-3000</t>
  </si>
  <si>
    <t>Cos - Shisa</t>
  </si>
  <si>
    <t>5-4000</t>
  </si>
  <si>
    <t>Cos - Cigarettes</t>
  </si>
  <si>
    <t>5-6000</t>
  </si>
  <si>
    <t>Cos - Merchandise</t>
  </si>
  <si>
    <t>1-1301</t>
  </si>
  <si>
    <t>Inventory Food</t>
  </si>
  <si>
    <t>1-1302</t>
  </si>
  <si>
    <t>Inventory Beverage</t>
  </si>
  <si>
    <t>1-1303</t>
  </si>
  <si>
    <t>Inventory Shisa</t>
  </si>
  <si>
    <t>1-1304</t>
  </si>
  <si>
    <t>Inventory Cigarette</t>
  </si>
  <si>
    <t>1-1306</t>
  </si>
  <si>
    <t>Inventory Merchandise</t>
  </si>
  <si>
    <t>Adjustment26-0603</t>
  </si>
  <si>
    <t>Hpp Beverage Foc - June 2026</t>
  </si>
  <si>
    <t>Hpp Food Foc -June  2026</t>
  </si>
  <si>
    <t>Hpp Beverage Foc -June  2026</t>
  </si>
  <si>
    <t>Hpp Food Foc - June  2026</t>
  </si>
  <si>
    <t>Adjustment26-0604</t>
  </si>
  <si>
    <t>6-1106</t>
  </si>
  <si>
    <t>Bonus Staff Rr Corparate Starxp - June 2026  Reedem At Red Ruby</t>
  </si>
  <si>
    <t>Bonus Staff Rr Corparate Starxp -  June 2026 Reedem At Rosalita</t>
  </si>
  <si>
    <t>Bonus Staff Rr Corparate Starxp -  June 2026  Reedem At Red Ruby, Rosalita</t>
  </si>
  <si>
    <t>Adjustment26-0605</t>
  </si>
  <si>
    <t>5-9000</t>
  </si>
  <si>
    <t>Reward Point To Guest On  June 2026</t>
  </si>
  <si>
    <t>Adjustment26-0606</t>
  </si>
  <si>
    <t>PPH 21  June 2026</t>
  </si>
  <si>
    <t>Adjustment26-0607</t>
  </si>
  <si>
    <t>6-1104</t>
  </si>
  <si>
    <t>Jamsostek</t>
  </si>
  <si>
    <t>Jamsostek - June 2026 by company</t>
  </si>
  <si>
    <t>Jamsostek- June 2026 by staff</t>
  </si>
  <si>
    <t>Jamsostek- June 2026</t>
  </si>
  <si>
    <t>Adjustment26-0608</t>
  </si>
  <si>
    <t>6-3110</t>
  </si>
  <si>
    <t>Rental area</t>
  </si>
  <si>
    <t>Rent House - Pak Made June 2026 (Rr)</t>
  </si>
  <si>
    <t>Intercompany Receivable – Treasury StarPOINTS</t>
  </si>
  <si>
    <t>Rent House - Pak Made June 2026 (Stw)</t>
  </si>
  <si>
    <t>Rent House - Pak Made June 2026 (Biv)</t>
  </si>
  <si>
    <t>Prepaid others</t>
  </si>
  <si>
    <t>Rent House - Pak Made June 2026</t>
  </si>
  <si>
    <t>Adjustment26-0609</t>
  </si>
  <si>
    <t>6-3106</t>
  </si>
  <si>
    <t>Management/Consultancy Fees</t>
  </si>
  <si>
    <t>Tmi - Admint Fee June 2026</t>
  </si>
  <si>
    <t>Adjustment26-0610</t>
  </si>
  <si>
    <t>Wilhelm - Admint June 2026</t>
  </si>
  <si>
    <t>Shareholders Loans - William</t>
  </si>
  <si>
    <t>Adjustment26-0611</t>
  </si>
  <si>
    <t>Advertising Costs</t>
  </si>
  <si>
    <t>Sports Package Subscription On The Terrace Tv - June 2026</t>
  </si>
  <si>
    <t>Adjustment26-0612</t>
  </si>
  <si>
    <t>Stationary &amp; Office Supplies</t>
  </si>
  <si>
    <t>Google Drive Red Ruby - June 2026</t>
  </si>
  <si>
    <t>Adjustment26-0613</t>
  </si>
  <si>
    <t>Vpn - June 2026</t>
  </si>
  <si>
    <t>Adjustment26-0614</t>
  </si>
  <si>
    <t>Qr Code Generator - June 2026</t>
  </si>
  <si>
    <t>Adjustment26-0615</t>
  </si>
  <si>
    <t>Higgsfields Inc - June 2026  (Ai Video Generator &amp; Image )</t>
  </si>
  <si>
    <t>Adjustment26-0616</t>
  </si>
  <si>
    <t>Freepik Premium - June 2026 (Ai Image)</t>
  </si>
  <si>
    <t>Adjustment26-0617</t>
  </si>
  <si>
    <t>Pak Made - Reimburse Canva Pro(Rr-Stw) - June 2026</t>
  </si>
  <si>
    <t>Adjustment26-0618</t>
  </si>
  <si>
    <t>Bonus</t>
  </si>
  <si>
    <t>Thr Red Ruby Bulan June 2026</t>
  </si>
  <si>
    <t>1-1409</t>
  </si>
  <si>
    <t>Advances staff</t>
  </si>
  <si>
    <t>Thr Red Ruby  2026</t>
  </si>
  <si>
    <t>Adjustment26-0619</t>
  </si>
  <si>
    <t>Google One Memory 1 Year 2026-2027 -  June 2026</t>
  </si>
  <si>
    <t>Google One Memory 1 Year 2026-2027 - June 2026</t>
  </si>
  <si>
    <t>Adjustment26-0620</t>
  </si>
  <si>
    <t>Pak Made - Reimburse Invoice Rawat Jalan Rs Mata &amp; Cek Lab</t>
  </si>
  <si>
    <t>Adjustment26-0620A</t>
  </si>
  <si>
    <t>JURNAL BALIK - Pak Made - Refund Ke Pak Ketut Suwiga Komisarin R Ruby (Advance Pak Ketut Lawyer)</t>
  </si>
  <si>
    <t>Adjustment26-0621</t>
  </si>
  <si>
    <t>REVISI NOMINAL AYU - COMM BOTTLE NO.5701,6041,6325</t>
  </si>
  <si>
    <t>Adjustment26-0621A</t>
  </si>
  <si>
    <t>REVISI NOMINAL ALIN FLOOR - COMM BOTTLE NO.5863,6280</t>
  </si>
  <si>
    <t>Adjustment26-0621B</t>
  </si>
  <si>
    <t>REVISI NOMINALINEZ - COMM BOTTLE NO.6387</t>
  </si>
  <si>
    <t>Adjustment26-0621C</t>
  </si>
  <si>
    <t>REVISI Cherry 113Pax  = 2 260K - May 2026</t>
  </si>
  <si>
    <t>Adjustment26-0621D</t>
  </si>
  <si>
    <t>DAYU  - FEE HOST LADIES 25 MAY 26</t>
  </si>
  <si>
    <t>Adjustment26-0622</t>
  </si>
  <si>
    <t>THR TO - XIA 500 ribu</t>
  </si>
  <si>
    <t>THR TO - OLIVIA 500 ribu</t>
  </si>
  <si>
    <t>Adjustment26-0622A</t>
  </si>
  <si>
    <t>REKHINA - FEE GL 3 JUNE 25 270k + COMM BOTTLE NO.9381 290K (to Rekina)</t>
  </si>
  <si>
    <t>Adjustment26-0622B</t>
  </si>
  <si>
    <t>LAURA - COMM BOTTLE NO.2936</t>
  </si>
  <si>
    <t>Adjustment26-0622C</t>
  </si>
  <si>
    <t>AYU - COMM BOTTLE NO.8857,9211</t>
  </si>
  <si>
    <t>Adjustment26-0622D</t>
  </si>
  <si>
    <t>Alin - Comm Botlle No.6902</t>
  </si>
  <si>
    <t>Ayu Gro - Comm Bottle No. 8886</t>
  </si>
  <si>
    <t>Adjustment26-0622E</t>
  </si>
  <si>
    <t>Tole Security - Comm Bottle No 9604,9574</t>
  </si>
  <si>
    <t xml:space="preserve">Maryam - Com Bottle No. 8652 </t>
  </si>
  <si>
    <t>Ell Dancer - Comm Bottle No.1970,2987</t>
  </si>
  <si>
    <t>Adjustment26-0622F</t>
  </si>
  <si>
    <t xml:space="preserve">Brad Watto - FEE DJ 03 AUG 25 </t>
  </si>
  <si>
    <t>BLEM - FEE DJ 06 SEPT 25</t>
  </si>
  <si>
    <t>Adjustment26-0622G</t>
  </si>
  <si>
    <t>Ayip - Fee Dj 10 Dec 25</t>
  </si>
  <si>
    <t>Aga Biryan - Fee Dj 21 Jan 2026</t>
  </si>
  <si>
    <t>Aga Boryan - Fee 27 Jan 26</t>
  </si>
  <si>
    <t>Adjustment26-0623</t>
  </si>
  <si>
    <t>MONDAY - 18 MAY 26 - CHROMATICA REVISI NOMINAL</t>
  </si>
  <si>
    <t>MONDAY - 18 MAY 26 - CHROMATICA</t>
  </si>
  <si>
    <t>Adjustment26-0624</t>
  </si>
  <si>
    <t>Micahel Vagas - Fee Dj 01 May 26</t>
  </si>
  <si>
    <t>Venuto - Fee Dj 06,13,15 May 26</t>
  </si>
  <si>
    <t>Adjustment26-0624A</t>
  </si>
  <si>
    <t>Shirley - Fee Host Ladies 16 May 26</t>
  </si>
  <si>
    <t>Eryka Host Team Gl May 2026 All To Eryka Total = 80 - May 2026</t>
  </si>
  <si>
    <t>Adjustment26-0624B</t>
  </si>
  <si>
    <t>ABSTRACT - FRIDAY 29 MAY 26 REVISI NOMINAL</t>
  </si>
  <si>
    <t>Adjustment26-0624C</t>
  </si>
  <si>
    <t>ZONE TWO - SUNDAY 31 MAY 26 REVISI NOMINAL</t>
  </si>
  <si>
    <t xml:space="preserve">ZONE TWO - SUNDAY 31 MAY 26 </t>
  </si>
  <si>
    <t>Adjustment26-0624D</t>
  </si>
  <si>
    <t>BLACK RAVEN - TUESDAY 19 MAY 2026 REVISI NOMINALDEDUCT COMM BOOTTLE</t>
  </si>
  <si>
    <t>Adjustment26-0624E</t>
  </si>
  <si>
    <t>Unknown - Monday 11 May 2026-Comission After Cost 5%</t>
  </si>
  <si>
    <t>Adjustment26-0625</t>
  </si>
  <si>
    <t>Panca Niaga Bali - Inv. 3395 - 24 Mar 26</t>
  </si>
  <si>
    <t>Panca Niaga Bali - Inv. 1907 - 24 Mar 26</t>
  </si>
  <si>
    <t>Panca Niaga Bali - Inv. 2610 - 31 Mar 26 (Ck)</t>
  </si>
  <si>
    <t xml:space="preserve">Panca Niaga Bali - Inv. 3544 - 31 Mar 26 </t>
  </si>
  <si>
    <t>SUPPORT PANCA NIAGA BALI JUNE 2026</t>
  </si>
  <si>
    <t xml:space="preserve">Panca Niaga Bali - Inv. 3395,1907 - 24 Mar 26,2610 - 31 Mar 26 (Ck),3544 - 31 Mar 26 </t>
  </si>
  <si>
    <t>Adjustment26-0626</t>
  </si>
  <si>
    <t>Fee Dancer On Jan 2026 (Refund To Lukas) THE REST</t>
  </si>
  <si>
    <t>Lukas - Bonus From Red Ruby &amp; Rosalita Nett Revenue Feb 2026</t>
  </si>
  <si>
    <t>Lukas - Bonus From Red Ruby &amp; Rosalita Nett Revenue - March 2026</t>
  </si>
  <si>
    <t xml:space="preserve"> Lukas   - LEDGER 03 JUNE 26</t>
  </si>
  <si>
    <t xml:space="preserve"> Lukas   - LEDGER 05 JUNE 26</t>
  </si>
  <si>
    <t xml:space="preserve"> Lukas  - LEDGER 07 JUNE 26</t>
  </si>
  <si>
    <t xml:space="preserve"> Lukas  - LEDGER 09 JUNE 26</t>
  </si>
  <si>
    <t xml:space="preserve"> Lukas   - LEDGER 10 JUNE 26</t>
  </si>
  <si>
    <t xml:space="preserve"> Lukas  - LEDGER 12 JUNE 26</t>
  </si>
  <si>
    <t xml:space="preserve"> Lukas  - LEDGER 17 JUNE 26</t>
  </si>
  <si>
    <t xml:space="preserve"> Lukas  - LEDGER 19 JUNE 26</t>
  </si>
  <si>
    <t xml:space="preserve"> Lukas  - LEDGER 22 JUNE 26</t>
  </si>
  <si>
    <t xml:space="preserve"> Lukas  - LEDGER 30 JUNE 26</t>
  </si>
  <si>
    <t>Lukas - Bonus From Red Ruby &amp; Rosalita Nett Revenue - March 2026 THE REST</t>
  </si>
  <si>
    <t>Adjustment26-0627</t>
  </si>
  <si>
    <t>TUSUK GIGI BENDERA 50 PCS</t>
  </si>
  <si>
    <t xml:space="preserve">CETAKAN ROTI BULAT 12PCS </t>
  </si>
  <si>
    <t>KARTU UCAPAN U/PAK GRAHAM</t>
  </si>
  <si>
    <t>SHOPPE - CETAKAN BURGER PEMBELIAN 1 YANG DIREFUND</t>
  </si>
  <si>
    <t>SHOPPE - CETAKAN BURGER PEMBELIAN 1 YANG DIREFUND (SISANYA)</t>
  </si>
  <si>
    <t>Adjustment26-0628</t>
  </si>
  <si>
    <t>6-3402</t>
  </si>
  <si>
    <t>Vilon Group - Inv. 19-25 - (Video Wall + Sound U/ Event 02 June 26) REPAIR</t>
  </si>
  <si>
    <t>Adjustment26-0629</t>
  </si>
  <si>
    <t>PEMBULATAN - Pak Made - Reimburse Canva Pro(Rr-Stw) - June 2026</t>
  </si>
  <si>
    <t>PEMBULATAN -Sports Package Subscription On The Terrace Tv - June 2026</t>
  </si>
  <si>
    <t>Adjustment26-0630</t>
  </si>
  <si>
    <t>Luh Beti Agustini (kelebihan potong ledger) JURNAL BALIK</t>
  </si>
  <si>
    <t>Luh Dewi Pasrini (kelebihan potong ledger) JURNAL BALIK</t>
  </si>
  <si>
    <t>Putu Eka Cahyadi (kelebihan potong ledger) JURNAL BALIK</t>
  </si>
  <si>
    <t>Kadek Riski Anantara (kelebihan potong ledger) JURNAL BALIK</t>
  </si>
  <si>
    <t>Kadek Juliartawan (kelebihan potong ledger) JURNAL BALIK</t>
  </si>
  <si>
    <t>Gede Sana (kelebihan ptpong ledger) JURNAL BALIK</t>
  </si>
  <si>
    <t>I Putu Hartana Putra (kelebihna ptoong ledger) JURNAL BALIK</t>
  </si>
  <si>
    <t>Ni Luh Putu Winda Sri Utari (kelebohan potong ledger) JURNAL BALIK</t>
  </si>
  <si>
    <t>Sumarni (kelebihan potomg ledger) JURNAL BALIK</t>
  </si>
  <si>
    <t>JURNAL BALIK KARENA SUDAH DI ADD DI SALLARY BULAN MAY</t>
  </si>
  <si>
    <t>Adjustment26-0631</t>
  </si>
  <si>
    <t>William - LEDGER 02 JUNE 2026</t>
  </si>
  <si>
    <t xml:space="preserve"> Wiiliem    - LEDGER 09 JUNE 2026</t>
  </si>
  <si>
    <t>WILHAM - LEDGER 19 JUNE 2026</t>
  </si>
  <si>
    <t>WILHAM / eliot - LEDGER 23 JUNE 2026</t>
  </si>
  <si>
    <t>WILHAM - LEDGER 30 JUNE 2026</t>
  </si>
  <si>
    <t>Adjustment26-0632</t>
  </si>
  <si>
    <t>DEWI  - COMM BOTTLE NO.4918</t>
  </si>
  <si>
    <t>Adjustment26-0633</t>
  </si>
  <si>
    <t>ERYKA HOST TEAM - FEE GL APRIL2026 (Eryka 7pax = 140k + Azel 2pax = 40k)</t>
  </si>
  <si>
    <t>Adjustment26-0634</t>
  </si>
  <si>
    <t>JURNAL BALIK SALARIES PAYABLE - Ni Wayan Budi Astri</t>
  </si>
  <si>
    <t>Adjustment26-0635</t>
  </si>
  <si>
    <t>PISANG KEPOK - SPOIL (KITCHEN WASTE EXPENSES)</t>
  </si>
  <si>
    <t>TRIAL BALANCE</t>
  </si>
  <si>
    <t>TB</t>
  </si>
  <si>
    <t>FB Purchase</t>
  </si>
  <si>
    <t>LAST MONTH BALANCE</t>
  </si>
  <si>
    <t>BALANCE STOCK</t>
  </si>
  <si>
    <t>ENDING STOCK</t>
  </si>
  <si>
    <t>COS</t>
  </si>
  <si>
    <t>DB</t>
  </si>
  <si>
    <t>CR</t>
  </si>
  <si>
    <t>Unit Price</t>
  </si>
  <si>
    <t>Amount</t>
  </si>
  <si>
    <t>1-1300</t>
  </si>
  <si>
    <t>Inventory</t>
  </si>
  <si>
    <t>Inventory food</t>
  </si>
  <si>
    <t>MEAT &amp; FISH</t>
  </si>
  <si>
    <t>KENAIKAN HARGA</t>
  </si>
  <si>
    <t>BEDA SUPPLIER</t>
  </si>
  <si>
    <t>VEGETABLE &amp; FRUIT</t>
  </si>
  <si>
    <t>KENAIKAN HARGA PER TGL 7 JUNE</t>
  </si>
  <si>
    <t>ADA PEMBELIAN CASH</t>
  </si>
  <si>
    <t>GROCERIES</t>
  </si>
  <si>
    <t>-</t>
  </si>
  <si>
    <t>INVENTORY BEVERAGE</t>
  </si>
  <si>
    <t>BEER &amp; BAVERAGE</t>
  </si>
  <si>
    <t>VODKA</t>
  </si>
  <si>
    <t>SUPPLIER BARU LEBIH MURAH</t>
  </si>
  <si>
    <t>GIN</t>
  </si>
  <si>
    <t>ADM LEBIH MAHAL SEDIKIT</t>
  </si>
  <si>
    <t>RUM</t>
  </si>
  <si>
    <t>WHISKY</t>
  </si>
  <si>
    <t>TEQUILLA</t>
  </si>
  <si>
    <t>COGNAC</t>
  </si>
  <si>
    <t>LIQUER</t>
  </si>
  <si>
    <t>VERMOUTH &amp; APERITIF</t>
  </si>
  <si>
    <t>WINE &amp; CHAMPIGNE</t>
  </si>
  <si>
    <t xml:space="preserve"> </t>
  </si>
  <si>
    <t>SINGLE MALT</t>
  </si>
  <si>
    <t>INVENTORY SHISA</t>
  </si>
  <si>
    <t>INVENTORY CIGARETTE</t>
  </si>
  <si>
    <t>esse cigar cacao</t>
  </si>
  <si>
    <t>esse cigar purple</t>
  </si>
  <si>
    <t>MCD01</t>
  </si>
  <si>
    <t>Cason Mustard Top - M/L</t>
  </si>
  <si>
    <t>MCD02</t>
  </si>
  <si>
    <t>Cason Beige Top - M/L</t>
  </si>
  <si>
    <t>MCD03</t>
  </si>
  <si>
    <t>Cason Forest Top - M/L</t>
  </si>
  <si>
    <t>MCD04</t>
  </si>
  <si>
    <t>Cason Mustard Shorts - M/L</t>
  </si>
  <si>
    <t>RETURN</t>
  </si>
  <si>
    <t>MCD05</t>
  </si>
  <si>
    <t>Cason Beige Shorts - M/L</t>
  </si>
  <si>
    <t>MCD06</t>
  </si>
  <si>
    <t>Cason Forest Shorts - M/L</t>
  </si>
  <si>
    <t>MCD16</t>
  </si>
  <si>
    <t>Center of Attention Forest Sweater - M/L</t>
  </si>
  <si>
    <t>MCD17</t>
  </si>
  <si>
    <t>RR State of Mind Pink Cap - A/S</t>
  </si>
  <si>
    <t>MCD18</t>
  </si>
  <si>
    <t>RR State of Mind Beige Cap - A/S</t>
  </si>
  <si>
    <t>MCD19</t>
  </si>
  <si>
    <t>RR State of Mind Black Bucket Hat - A/S</t>
  </si>
  <si>
    <t>MCD20</t>
  </si>
  <si>
    <t>James Taylor Forest Bucket Hat - A/S</t>
  </si>
  <si>
    <t>MCD21</t>
  </si>
  <si>
    <t>Molly Set - S</t>
  </si>
  <si>
    <t>MCD22</t>
  </si>
  <si>
    <t>Molly Set - M</t>
  </si>
  <si>
    <t>MCD23</t>
  </si>
  <si>
    <t>Alexandra Set - S</t>
  </si>
  <si>
    <t>MCD24</t>
  </si>
  <si>
    <t>Alexandra Set - M</t>
  </si>
  <si>
    <t>MCD25</t>
  </si>
  <si>
    <t>Sofia Set - S</t>
  </si>
  <si>
    <t>MCD26</t>
  </si>
  <si>
    <t>Sofia Set - M</t>
  </si>
  <si>
    <t>MCD27</t>
  </si>
  <si>
    <t>Lolita Set - S</t>
  </si>
  <si>
    <t>MCD28</t>
  </si>
  <si>
    <t>Lolita Set - M</t>
  </si>
  <si>
    <t>MCD29</t>
  </si>
  <si>
    <t>Maryjane Set - S</t>
  </si>
  <si>
    <t>MCD30</t>
  </si>
  <si>
    <t>Maryjane Set - M</t>
  </si>
  <si>
    <t>MCD41</t>
  </si>
  <si>
    <t>Mini shisa white</t>
  </si>
  <si>
    <t>MCD42</t>
  </si>
  <si>
    <t>Mini shisa blue</t>
  </si>
  <si>
    <t>MCD43</t>
  </si>
  <si>
    <t>Mini shisa pink</t>
  </si>
  <si>
    <t>MCD44</t>
  </si>
  <si>
    <t>Mini shisa yellow</t>
  </si>
  <si>
    <t>MCD45</t>
  </si>
  <si>
    <t>Charlotee Body Suite - S</t>
  </si>
  <si>
    <t>MCD46</t>
  </si>
  <si>
    <t>Charlotee Body Suite - M</t>
  </si>
  <si>
    <t>MCD47</t>
  </si>
  <si>
    <t>Tabitha Set - S</t>
  </si>
  <si>
    <t>MCD48</t>
  </si>
  <si>
    <t>Tabitha Set - M</t>
  </si>
  <si>
    <t>MCD49</t>
  </si>
  <si>
    <t>Pixie - S</t>
  </si>
  <si>
    <t>MCD50</t>
  </si>
  <si>
    <t>Pixie - M</t>
  </si>
  <si>
    <t>MCD51</t>
  </si>
  <si>
    <t>Luna Body Set - S</t>
  </si>
  <si>
    <t>MCD52</t>
  </si>
  <si>
    <t>Luna Body Set - M</t>
  </si>
  <si>
    <t>MCD53</t>
  </si>
  <si>
    <t>Top Sirmione - S</t>
  </si>
  <si>
    <t>MCD54</t>
  </si>
  <si>
    <t>Top Sirmione - M</t>
  </si>
  <si>
    <t>MCD55</t>
  </si>
  <si>
    <t>Bottom Crema - S</t>
  </si>
  <si>
    <t>MCD56</t>
  </si>
  <si>
    <t>Bottom Crema - M</t>
  </si>
  <si>
    <t>MCD57</t>
  </si>
  <si>
    <t>Onepiece Ma Cherie - M</t>
  </si>
  <si>
    <t>MCD58</t>
  </si>
  <si>
    <t>Onepiece Ma Cherie - L</t>
  </si>
  <si>
    <t>MCD59</t>
  </si>
  <si>
    <t>Onepiece Traviamento - L</t>
  </si>
  <si>
    <t>MCD60</t>
  </si>
  <si>
    <t>Onepiece Traviamento - M</t>
  </si>
  <si>
    <t>MCD61</t>
  </si>
  <si>
    <t>Top Pesca - M</t>
  </si>
  <si>
    <t>MCD62</t>
  </si>
  <si>
    <t>Top Pesca - L</t>
  </si>
  <si>
    <t>MCD63</t>
  </si>
  <si>
    <t>Bottom Elio - S</t>
  </si>
  <si>
    <t>MCD64</t>
  </si>
  <si>
    <t>Bottom Elio - M</t>
  </si>
  <si>
    <t>TRIAL BALANCF</t>
  </si>
  <si>
    <t>TRIAL BALANCE (MTD)</t>
  </si>
  <si>
    <t>TRIAL BALANCE (YTD)</t>
  </si>
  <si>
    <t>ADJUSMENT ENTRY</t>
  </si>
  <si>
    <t>ADJUSTED ENTRY</t>
  </si>
  <si>
    <t>PROFIT AND LOST</t>
  </si>
  <si>
    <t>EQUITY</t>
  </si>
  <si>
    <t>BALANCE</t>
  </si>
  <si>
    <t>1-0000</t>
  </si>
  <si>
    <t>Assets</t>
  </si>
  <si>
    <t>1-1000</t>
  </si>
  <si>
    <t>Current Assets</t>
  </si>
  <si>
    <t>1-1100</t>
  </si>
  <si>
    <t>Cash</t>
  </si>
  <si>
    <t>Petty Cash IDR - on General Cashier</t>
  </si>
  <si>
    <t>V</t>
  </si>
  <si>
    <t>Petty Cash IDR - on Bar Cashier</t>
  </si>
  <si>
    <t>1-1120</t>
  </si>
  <si>
    <t>Cash in banks</t>
  </si>
  <si>
    <t>1-1121</t>
  </si>
  <si>
    <t>Mandiri KBB 2</t>
  </si>
  <si>
    <t>Mandiri TBB USD</t>
  </si>
  <si>
    <t>Mandiri TBB IDR</t>
  </si>
  <si>
    <t>BANK BRI</t>
  </si>
  <si>
    <t>Mandiri GRAB</t>
  </si>
  <si>
    <t>Cimb Niaga TBB</t>
  </si>
  <si>
    <t>BCA TBB</t>
  </si>
  <si>
    <t>1-1128</t>
  </si>
  <si>
    <t>MEGA BANK</t>
  </si>
  <si>
    <t>STARXP</t>
  </si>
  <si>
    <t>1-1130</t>
  </si>
  <si>
    <t>BPR DEWATA CHANDRADANA</t>
  </si>
  <si>
    <t>1-1199</t>
  </si>
  <si>
    <t>Total Cash and Cash At Bank</t>
  </si>
  <si>
    <t>1-1200</t>
  </si>
  <si>
    <t>Account Receivables</t>
  </si>
  <si>
    <t>1-1201</t>
  </si>
  <si>
    <t>Accounts receivable Trade</t>
  </si>
  <si>
    <t>City Ledger</t>
  </si>
  <si>
    <t>Cash Advance</t>
  </si>
  <si>
    <t>1-1210</t>
  </si>
  <si>
    <t>AR Credit Card</t>
  </si>
  <si>
    <t>GOPAY</t>
  </si>
  <si>
    <t>1-1212</t>
  </si>
  <si>
    <t xml:space="preserve">Mega Card </t>
  </si>
  <si>
    <t>Mandiri Card TBB</t>
  </si>
  <si>
    <t xml:space="preserve">BRI CARD CC </t>
  </si>
  <si>
    <t>GRAB / OVO</t>
  </si>
  <si>
    <t>Credit Card Cimb Niaga TBB</t>
  </si>
  <si>
    <t>BCA Card TBB</t>
  </si>
  <si>
    <t>1-1218</t>
  </si>
  <si>
    <t>1-1220</t>
  </si>
  <si>
    <t>Related Party</t>
  </si>
  <si>
    <t xml:space="preserve">Intercompany Receivable – Treasury StarPOINTS </t>
  </si>
  <si>
    <t>1-1299</t>
  </si>
  <si>
    <t>Total Account Receivables</t>
  </si>
  <si>
    <t>INVENTORY</t>
  </si>
  <si>
    <t>INVENTORY FOOD</t>
  </si>
  <si>
    <t>Minced Beef</t>
  </si>
  <si>
    <t>M002</t>
  </si>
  <si>
    <t>Sausage/Sosis / Beef</t>
  </si>
  <si>
    <t>M003</t>
  </si>
  <si>
    <t>Beef Scalopine</t>
  </si>
  <si>
    <t>M004</t>
  </si>
  <si>
    <t>Beef Pepperoni</t>
  </si>
  <si>
    <t>Chorizo Pork</t>
  </si>
  <si>
    <t>M006</t>
  </si>
  <si>
    <t>Salami</t>
  </si>
  <si>
    <t>M007</t>
  </si>
  <si>
    <t>Italia Chick</t>
  </si>
  <si>
    <t>Chorizo Beef/Salami Chorizo</t>
  </si>
  <si>
    <t>M009</t>
  </si>
  <si>
    <t>Pork Pepperoni</t>
  </si>
  <si>
    <t>M010</t>
  </si>
  <si>
    <t>Italian Sausage</t>
  </si>
  <si>
    <t>M011</t>
  </si>
  <si>
    <t>English Banger Sausage</t>
  </si>
  <si>
    <t>M012</t>
  </si>
  <si>
    <t>Minced Pork</t>
  </si>
  <si>
    <t>Sausage Chicken</t>
  </si>
  <si>
    <t>M014</t>
  </si>
  <si>
    <t>Pork Rib</t>
  </si>
  <si>
    <t>Beef Rib</t>
  </si>
  <si>
    <t>M016</t>
  </si>
  <si>
    <t>Beef Shank Cube</t>
  </si>
  <si>
    <t>Beef Cuberoll (Rib Eye)</t>
  </si>
  <si>
    <t>Bacon/Pork Bacon</t>
  </si>
  <si>
    <t>Ham</t>
  </si>
  <si>
    <t>Beef Bacon</t>
  </si>
  <si>
    <t>M020</t>
  </si>
  <si>
    <t>Pork Leg</t>
  </si>
  <si>
    <t>M021</t>
  </si>
  <si>
    <t>Ebi (Udang Kecil Kering)</t>
  </si>
  <si>
    <t>M022</t>
  </si>
  <si>
    <t>Burger Patties</t>
  </si>
  <si>
    <t>Striploin / Sirloin</t>
  </si>
  <si>
    <t>Chicken Wing / Sayap Ayam</t>
  </si>
  <si>
    <t>Chicken Breast</t>
  </si>
  <si>
    <t>M026</t>
  </si>
  <si>
    <t>Chicken Leg / Paha Ayam</t>
  </si>
  <si>
    <t>M027</t>
  </si>
  <si>
    <t>Chicken Leg Bone Less</t>
  </si>
  <si>
    <t>Chicken Leg Fillet/Ayam Penjantan</t>
  </si>
  <si>
    <t>M029</t>
  </si>
  <si>
    <t>Bakso Beef</t>
  </si>
  <si>
    <t>M030</t>
  </si>
  <si>
    <t>Minced Chicken</t>
  </si>
  <si>
    <t>Beef Meltique Saikoro</t>
  </si>
  <si>
    <t>M032</t>
  </si>
  <si>
    <t>Chiken Dramstick</t>
  </si>
  <si>
    <t>M033</t>
  </si>
  <si>
    <t>Tuna</t>
  </si>
  <si>
    <t>Cumi</t>
  </si>
  <si>
    <t>M035</t>
  </si>
  <si>
    <t>Udang / Prawn 16"</t>
  </si>
  <si>
    <t>M036</t>
  </si>
  <si>
    <t>Kakap Fish</t>
  </si>
  <si>
    <t>M037</t>
  </si>
  <si>
    <t>Squid Baby</t>
  </si>
  <si>
    <t>M038</t>
  </si>
  <si>
    <t>Anchovies</t>
  </si>
  <si>
    <t>Tenderloin</t>
  </si>
  <si>
    <t>Snapper Fillet</t>
  </si>
  <si>
    <t>Udang/Prawn 25"</t>
  </si>
  <si>
    <t>M042</t>
  </si>
  <si>
    <t>Baby Lobster</t>
  </si>
  <si>
    <t>M043</t>
  </si>
  <si>
    <t>Pork Loin</t>
  </si>
  <si>
    <t>M044</t>
  </si>
  <si>
    <t>Dori</t>
  </si>
  <si>
    <t>Salmon Steak</t>
  </si>
  <si>
    <t>M046</t>
  </si>
  <si>
    <t>Belly Skin On</t>
  </si>
  <si>
    <t>Pork Toulouse</t>
  </si>
  <si>
    <t>Beef Toulouse</t>
  </si>
  <si>
    <t>Chicken Toulouse</t>
  </si>
  <si>
    <t>M050</t>
  </si>
  <si>
    <t>Beef Loin</t>
  </si>
  <si>
    <t>M051</t>
  </si>
  <si>
    <t>Tuna Can</t>
  </si>
  <si>
    <t>M052</t>
  </si>
  <si>
    <t>Top Side Scolopin</t>
  </si>
  <si>
    <t>M053</t>
  </si>
  <si>
    <t>Pork Belly Skin Off</t>
  </si>
  <si>
    <t>Tulang Sapi</t>
  </si>
  <si>
    <t>Great Chilli / Lombok Besar</t>
  </si>
  <si>
    <t>Tomato 1 Kg</t>
  </si>
  <si>
    <t>Japanese Cucumber/Timun</t>
  </si>
  <si>
    <t>Garlic/Bawang Putih</t>
  </si>
  <si>
    <t>Shallot/Bawang Merah</t>
  </si>
  <si>
    <t>Onion/Bombay</t>
  </si>
  <si>
    <t>Capsicum/Paprika</t>
  </si>
  <si>
    <t>Basil</t>
  </si>
  <si>
    <t>Parsley</t>
  </si>
  <si>
    <t>Ruccola</t>
  </si>
  <si>
    <t>Carrot/Wortel</t>
  </si>
  <si>
    <t>Baby Carrot/Wortel</t>
  </si>
  <si>
    <t>Hot Chilli / Lombok Kecil</t>
  </si>
  <si>
    <t>Cherri Tomato</t>
  </si>
  <si>
    <t>Coriander</t>
  </si>
  <si>
    <t>V015</t>
  </si>
  <si>
    <t>Toge</t>
  </si>
  <si>
    <t>Thyme</t>
  </si>
  <si>
    <t>V017</t>
  </si>
  <si>
    <t>Cabbage / Kol</t>
  </si>
  <si>
    <t>Radish / Lobak</t>
  </si>
  <si>
    <t>V019</t>
  </si>
  <si>
    <t>Seledry</t>
  </si>
  <si>
    <t>Potato</t>
  </si>
  <si>
    <t>Kacang Panjang</t>
  </si>
  <si>
    <t>Mushrooms Button</t>
  </si>
  <si>
    <t>Leek / Bawang Pre</t>
  </si>
  <si>
    <t>V024</t>
  </si>
  <si>
    <t>Cauliflower/Bunga Kol</t>
  </si>
  <si>
    <t>V025</t>
  </si>
  <si>
    <t>Jack Fruit/Nangka</t>
  </si>
  <si>
    <t>V026</t>
  </si>
  <si>
    <t>Daun Bawang/Spring Onion</t>
  </si>
  <si>
    <t>Romaine</t>
  </si>
  <si>
    <t>Kol Ungu</t>
  </si>
  <si>
    <t>V029</t>
  </si>
  <si>
    <t>Kulit Pangsit</t>
  </si>
  <si>
    <t>V030</t>
  </si>
  <si>
    <t>Paprika Powder</t>
  </si>
  <si>
    <t>V031</t>
  </si>
  <si>
    <t>Salada Keriting</t>
  </si>
  <si>
    <t>Oregano</t>
  </si>
  <si>
    <t>Rosemary</t>
  </si>
  <si>
    <t>V034</t>
  </si>
  <si>
    <t>Kelapa Parut</t>
  </si>
  <si>
    <t>Tempe</t>
  </si>
  <si>
    <t>V036</t>
  </si>
  <si>
    <t>Tahu</t>
  </si>
  <si>
    <t>Pok Coy</t>
  </si>
  <si>
    <t>V038</t>
  </si>
  <si>
    <t>Croissant Butter 60 Gr</t>
  </si>
  <si>
    <t>V039</t>
  </si>
  <si>
    <t>Danish Raissin 60 Gr</t>
  </si>
  <si>
    <t>V040</t>
  </si>
  <si>
    <t>Muffin Chocolate Choco Chips 60 Gr</t>
  </si>
  <si>
    <t>V041</t>
  </si>
  <si>
    <t>Croissant Chocolate 60 Gr</t>
  </si>
  <si>
    <t>Baby Buncis</t>
  </si>
  <si>
    <t>Kacang Tanah</t>
  </si>
  <si>
    <t>Pear</t>
  </si>
  <si>
    <t>V045</t>
  </si>
  <si>
    <t>Green Bean</t>
  </si>
  <si>
    <t>Melon fruit</t>
  </si>
  <si>
    <t>Cabe Hijau/Cabe Keriting</t>
  </si>
  <si>
    <t>Mix Salad</t>
  </si>
  <si>
    <t>V049</t>
  </si>
  <si>
    <t>Croissant Butter 30 Gr</t>
  </si>
  <si>
    <t>Mie Fresh/Mie Burung Dara</t>
  </si>
  <si>
    <t>Baby Potato</t>
  </si>
  <si>
    <t>Avocado</t>
  </si>
  <si>
    <t>Papaya Fruit</t>
  </si>
  <si>
    <t>V054</t>
  </si>
  <si>
    <t>Baby Corn</t>
  </si>
  <si>
    <t>Mushroom Shimeji / Bunapi</t>
  </si>
  <si>
    <t>V056</t>
  </si>
  <si>
    <t>Red Cobbage</t>
  </si>
  <si>
    <t>V057</t>
  </si>
  <si>
    <t>Lolo Green Loose</t>
  </si>
  <si>
    <t>V058</t>
  </si>
  <si>
    <t>Red Onion</t>
  </si>
  <si>
    <t>V059</t>
  </si>
  <si>
    <t>Kale Nero</t>
  </si>
  <si>
    <t>V060</t>
  </si>
  <si>
    <t>Biva Putih</t>
  </si>
  <si>
    <t>V061</t>
  </si>
  <si>
    <t>Biva Brown</t>
  </si>
  <si>
    <t>V062</t>
  </si>
  <si>
    <t>Small Biva</t>
  </si>
  <si>
    <t>V063</t>
  </si>
  <si>
    <t>Fillone</t>
  </si>
  <si>
    <t>Sereh</t>
  </si>
  <si>
    <t>V065</t>
  </si>
  <si>
    <t>Red Cherry</t>
  </si>
  <si>
    <t>Baby Spinach</t>
  </si>
  <si>
    <t>V067</t>
  </si>
  <si>
    <t>Danish Plain 60Gr</t>
  </si>
  <si>
    <t>V068</t>
  </si>
  <si>
    <t>Croissant Chocolate 30 Gr</t>
  </si>
  <si>
    <t>V069</t>
  </si>
  <si>
    <t>Muffin Chocolate Choco Chips 80 Gr</t>
  </si>
  <si>
    <t>Ciabatta</t>
  </si>
  <si>
    <t>V071</t>
  </si>
  <si>
    <t>Sour Dough</t>
  </si>
  <si>
    <t>Pumkin/Labu</t>
  </si>
  <si>
    <t>V073</t>
  </si>
  <si>
    <t>Kurma</t>
  </si>
  <si>
    <t>V074</t>
  </si>
  <si>
    <t>Oyster Fresh</t>
  </si>
  <si>
    <t>Brloche Bread / BrIOCHE</t>
  </si>
  <si>
    <t>V076</t>
  </si>
  <si>
    <t>Croissant Plain 60Gr</t>
  </si>
  <si>
    <t>V077</t>
  </si>
  <si>
    <t>Cookies Almond 100Gr</t>
  </si>
  <si>
    <t>V078</t>
  </si>
  <si>
    <t>Burger Bun 60Gr</t>
  </si>
  <si>
    <t>V079</t>
  </si>
  <si>
    <t>Burger Brioche Bun 60Gr</t>
  </si>
  <si>
    <t>V080</t>
  </si>
  <si>
    <t>Baguette Paris 300Gr Long</t>
  </si>
  <si>
    <t>Jagung / Corn</t>
  </si>
  <si>
    <t>Oyster Sauce @ 510Ltr</t>
  </si>
  <si>
    <t>G002</t>
  </si>
  <si>
    <t>Pine Nuts</t>
  </si>
  <si>
    <t>Dill Daun</t>
  </si>
  <si>
    <t>G004</t>
  </si>
  <si>
    <t xml:space="preserve"> Whipping Cream </t>
  </si>
  <si>
    <t>Green Peas/Kacang Polong</t>
  </si>
  <si>
    <t>G006</t>
  </si>
  <si>
    <t>Corn Flake</t>
  </si>
  <si>
    <t>G007</t>
  </si>
  <si>
    <t>Figaro Caper Vngr</t>
  </si>
  <si>
    <t>Cooking Oil 1 Ltr</t>
  </si>
  <si>
    <t>Kemiri</t>
  </si>
  <si>
    <t>Tomato Ketchup</t>
  </si>
  <si>
    <t>Honey/Madu</t>
  </si>
  <si>
    <t>G012</t>
  </si>
  <si>
    <t>Red Wine Vinegar/CAPE DIS CAB MERLOT</t>
  </si>
  <si>
    <t>Tepung Roti</t>
  </si>
  <si>
    <t>Nachos Chips @500 Gr</t>
  </si>
  <si>
    <t>Tepung Terigu 1 Kg/Flour</t>
  </si>
  <si>
    <t>G016</t>
  </si>
  <si>
    <t>Bbq Sauce</t>
  </si>
  <si>
    <t>Tomato Peeled</t>
  </si>
  <si>
    <t>Salt</t>
  </si>
  <si>
    <t>G019</t>
  </si>
  <si>
    <t>Chesse Sandwich</t>
  </si>
  <si>
    <t>G020</t>
  </si>
  <si>
    <t>Frestive - Kuhne Feine Corn (Acar)</t>
  </si>
  <si>
    <t>G021</t>
  </si>
  <si>
    <t>Fetta Chesse</t>
  </si>
  <si>
    <t>Cheese Mozzarella</t>
  </si>
  <si>
    <t>Egg/Telur</t>
  </si>
  <si>
    <t>G024</t>
  </si>
  <si>
    <t>Saos Sriracha 200Ml</t>
  </si>
  <si>
    <t>Tepung Maizena</t>
  </si>
  <si>
    <t>Butter</t>
  </si>
  <si>
    <t>French Fries / Straight Cut</t>
  </si>
  <si>
    <t>Frestive - Berni Artchks</t>
  </si>
  <si>
    <t>G029</t>
  </si>
  <si>
    <t>Salt Sachet</t>
  </si>
  <si>
    <t>Sambal Kethcup</t>
  </si>
  <si>
    <t>G031</t>
  </si>
  <si>
    <t>Olive Oil</t>
  </si>
  <si>
    <t>G032</t>
  </si>
  <si>
    <t>Red Sour Cherry</t>
  </si>
  <si>
    <t>G033</t>
  </si>
  <si>
    <t>Oat</t>
  </si>
  <si>
    <t>G034</t>
  </si>
  <si>
    <t>Potato Wedges</t>
  </si>
  <si>
    <t>Kwepie Mayo @ 3Kg</t>
  </si>
  <si>
    <t>Rice/Beras</t>
  </si>
  <si>
    <t>Chilly Dry Flakes 500Gr</t>
  </si>
  <si>
    <t>G038</t>
  </si>
  <si>
    <t>Pepper Powder</t>
  </si>
  <si>
    <t>G039</t>
  </si>
  <si>
    <t>Tortilla Corn 6"</t>
  </si>
  <si>
    <t>Cooking Cream</t>
  </si>
  <si>
    <t>Spaghetti</t>
  </si>
  <si>
    <t>Coconut Cream</t>
  </si>
  <si>
    <t>G043</t>
  </si>
  <si>
    <t>Balsamic Vinegar</t>
  </si>
  <si>
    <t>Lea &amp; Perrins (Kecap Inggris)</t>
  </si>
  <si>
    <t>Sesame Oil</t>
  </si>
  <si>
    <t>G046</t>
  </si>
  <si>
    <t>Parmesan Chesse</t>
  </si>
  <si>
    <t>G047</t>
  </si>
  <si>
    <t>Pasta Fetucine</t>
  </si>
  <si>
    <t>G048</t>
  </si>
  <si>
    <t>Tepung Pisang Goreng 210 Gr</t>
  </si>
  <si>
    <t>G049</t>
  </si>
  <si>
    <t>Thyme Powder</t>
  </si>
  <si>
    <t>G050</t>
  </si>
  <si>
    <t>Curry Powder</t>
  </si>
  <si>
    <t>G051</t>
  </si>
  <si>
    <t>Sunflower Kernels</t>
  </si>
  <si>
    <t>Yoghurt</t>
  </si>
  <si>
    <t>G053</t>
  </si>
  <si>
    <t>Grains Semulina / Gandum</t>
  </si>
  <si>
    <t>G054</t>
  </si>
  <si>
    <t>Clove</t>
  </si>
  <si>
    <t>G055</t>
  </si>
  <si>
    <t>Danish 30 Gr</t>
  </si>
  <si>
    <t>G056</t>
  </si>
  <si>
    <t>Ragi</t>
  </si>
  <si>
    <t>Dijon / French Mustard</t>
  </si>
  <si>
    <t>G058</t>
  </si>
  <si>
    <t>Capers Loiremella Vinegar</t>
  </si>
  <si>
    <t>Dragon Fruit / Buah Naga</t>
  </si>
  <si>
    <t>G060</t>
  </si>
  <si>
    <t>Salsiccia Notmale</t>
  </si>
  <si>
    <t>G061</t>
  </si>
  <si>
    <t>Black Olives 1600Ml</t>
  </si>
  <si>
    <t>G062</t>
  </si>
  <si>
    <t>Palm Sugar</t>
  </si>
  <si>
    <t>Black Pepper</t>
  </si>
  <si>
    <t>Extra Virgin Oil</t>
  </si>
  <si>
    <t>G065</t>
  </si>
  <si>
    <t>Sesame Seeds</t>
  </si>
  <si>
    <t>G066</t>
  </si>
  <si>
    <t>Soya Souce</t>
  </si>
  <si>
    <t>G067</t>
  </si>
  <si>
    <t>Olive Kalamata @3Kg</t>
  </si>
  <si>
    <t>Knor Chicken</t>
  </si>
  <si>
    <t>G069</t>
  </si>
  <si>
    <t>Tahini</t>
  </si>
  <si>
    <t>Ketchup Sweet</t>
  </si>
  <si>
    <t>Orange Slice Cheese</t>
  </si>
  <si>
    <t>G072</t>
  </si>
  <si>
    <t>Cheese Orange Block</t>
  </si>
  <si>
    <t>G073</t>
  </si>
  <si>
    <t>Cayanne Pepper</t>
  </si>
  <si>
    <t>G074</t>
  </si>
  <si>
    <t>Garlic Powder</t>
  </si>
  <si>
    <t>G075</t>
  </si>
  <si>
    <t>Sunflower Oil</t>
  </si>
  <si>
    <t>G076</t>
  </si>
  <si>
    <t>Tomato Pure</t>
  </si>
  <si>
    <t>G077</t>
  </si>
  <si>
    <t>Hot Chilli Powder</t>
  </si>
  <si>
    <t>G078</t>
  </si>
  <si>
    <t>Tabasco</t>
  </si>
  <si>
    <t>Chesse Powder</t>
  </si>
  <si>
    <t>G080</t>
  </si>
  <si>
    <t>REMIA BLUE CHEESE SALAD @ 250ML</t>
  </si>
  <si>
    <t>G081</t>
  </si>
  <si>
    <t>Pancake / Waffle Flour</t>
  </si>
  <si>
    <t>G082</t>
  </si>
  <si>
    <t>PURE MATCHA POWDER 1KG</t>
  </si>
  <si>
    <t>Red Bean</t>
  </si>
  <si>
    <t>G084</t>
  </si>
  <si>
    <t>Kikkoman 1 Ltr</t>
  </si>
  <si>
    <t>G085</t>
  </si>
  <si>
    <t>Baking Powder</t>
  </si>
  <si>
    <t>G086</t>
  </si>
  <si>
    <t>Fennel</t>
  </si>
  <si>
    <t>G087</t>
  </si>
  <si>
    <t>Sweet Paprika Powder</t>
  </si>
  <si>
    <t>Bread Crumb Yellow</t>
  </si>
  <si>
    <t>G089</t>
  </si>
  <si>
    <t>Ice Cream</t>
  </si>
  <si>
    <t>Black Pitted Olives</t>
  </si>
  <si>
    <t>G091</t>
  </si>
  <si>
    <t>Puff Pastry</t>
  </si>
  <si>
    <t>G092</t>
  </si>
  <si>
    <t>Bread Crumb Putih</t>
  </si>
  <si>
    <t>Raising Flour @400 Gr</t>
  </si>
  <si>
    <t>G094</t>
  </si>
  <si>
    <t>Sour Cream</t>
  </si>
  <si>
    <t>G095</t>
  </si>
  <si>
    <t>Coconut Dry</t>
  </si>
  <si>
    <t>Prociutto</t>
  </si>
  <si>
    <t>G097</t>
  </si>
  <si>
    <t>Pink Salt</t>
  </si>
  <si>
    <t>G098</t>
  </si>
  <si>
    <t>Ambrossi Parmigiano</t>
  </si>
  <si>
    <t>Demi Glass</t>
  </si>
  <si>
    <t>Edamame</t>
  </si>
  <si>
    <t>G101</t>
  </si>
  <si>
    <t>Harvey Red Eye</t>
  </si>
  <si>
    <t>G102</t>
  </si>
  <si>
    <t>Edible Flower</t>
  </si>
  <si>
    <t>G103</t>
  </si>
  <si>
    <t>Telur Puyuh/Equil Egg</t>
  </si>
  <si>
    <t>G104</t>
  </si>
  <si>
    <t>Wijen Kwepie</t>
  </si>
  <si>
    <t>Gherkin/Pickled/Acar</t>
  </si>
  <si>
    <t>G106</t>
  </si>
  <si>
    <t>Sweet Corn Can</t>
  </si>
  <si>
    <t>G107</t>
  </si>
  <si>
    <t>Butter Unsalted Portion</t>
  </si>
  <si>
    <t>G108</t>
  </si>
  <si>
    <t>White Vinegar / Cuka</t>
  </si>
  <si>
    <t>G109</t>
  </si>
  <si>
    <t>Onion Powder</t>
  </si>
  <si>
    <t>G110</t>
  </si>
  <si>
    <t>Mizkan Aji Pon</t>
  </si>
  <si>
    <t>G111</t>
  </si>
  <si>
    <t>Bumbu Soto/Curry</t>
  </si>
  <si>
    <t>Bumbu Green Curry/Kalasan</t>
  </si>
  <si>
    <t>G113</t>
  </si>
  <si>
    <t>Bumbu Rendang</t>
  </si>
  <si>
    <t>Bumbu Sate / Kacang</t>
  </si>
  <si>
    <t>G115</t>
  </si>
  <si>
    <t>Herb Parsley</t>
  </si>
  <si>
    <t>G116</t>
  </si>
  <si>
    <t>Salad Oil</t>
  </si>
  <si>
    <t>Wijen</t>
  </si>
  <si>
    <t>Ferpiman</t>
  </si>
  <si>
    <t>G119</t>
  </si>
  <si>
    <t>Fragata Pitted Black Olive 350Gr</t>
  </si>
  <si>
    <t>G120</t>
  </si>
  <si>
    <t>Selai Creamy Peanut 300Gr</t>
  </si>
  <si>
    <t>G121</t>
  </si>
  <si>
    <t>Choco Crunchy 1Kg</t>
  </si>
  <si>
    <t>Fisch Sauce @ 660Ml</t>
  </si>
  <si>
    <t>Raja Rasa Saus @ 600Ml</t>
  </si>
  <si>
    <t>G124</t>
  </si>
  <si>
    <t>Milk Compound</t>
  </si>
  <si>
    <t>G125</t>
  </si>
  <si>
    <t>Gelatin Powder</t>
  </si>
  <si>
    <t>G126</t>
  </si>
  <si>
    <t>Dark Chocolate</t>
  </si>
  <si>
    <t>G127</t>
  </si>
  <si>
    <t>Selai Kacang</t>
  </si>
  <si>
    <t>G128</t>
  </si>
  <si>
    <t>Blueberry Jam</t>
  </si>
  <si>
    <t>G129</t>
  </si>
  <si>
    <t>Pineapple Jam</t>
  </si>
  <si>
    <t>G130</t>
  </si>
  <si>
    <t>Hinode Mirin 640Ml</t>
  </si>
  <si>
    <t>G131</t>
  </si>
  <si>
    <t>Tepung Semolina</t>
  </si>
  <si>
    <t>Maple Syrup ( Country Kitchen)</t>
  </si>
  <si>
    <t>G131B</t>
  </si>
  <si>
    <t>Cheddar Cheese Burger Slice</t>
  </si>
  <si>
    <t>BV001</t>
  </si>
  <si>
    <t>Guineess Beer</t>
  </si>
  <si>
    <t>Beer Bintang Small</t>
  </si>
  <si>
    <t>Heineken Beer</t>
  </si>
  <si>
    <t>San Miguel Light</t>
  </si>
  <si>
    <t>Radler Pint</t>
  </si>
  <si>
    <t>Crystal Beer</t>
  </si>
  <si>
    <t>BV007</t>
  </si>
  <si>
    <t>Heineken Light</t>
  </si>
  <si>
    <t>BV008</t>
  </si>
  <si>
    <t>Friendship Coffee Vodka</t>
  </si>
  <si>
    <t>Heineken Draught 20 Ltr</t>
  </si>
  <si>
    <t>BV010</t>
  </si>
  <si>
    <t>Bintang Zeo</t>
  </si>
  <si>
    <t>Corona</t>
  </si>
  <si>
    <t>BV012</t>
  </si>
  <si>
    <t>Smirnoff Ice</t>
  </si>
  <si>
    <t>Red Bull</t>
  </si>
  <si>
    <t>Coca Cola Can</t>
  </si>
  <si>
    <t>BV015</t>
  </si>
  <si>
    <t>Kratingdaeng Red Bull</t>
  </si>
  <si>
    <t>Sprite Can</t>
  </si>
  <si>
    <t>BV017</t>
  </si>
  <si>
    <t>Soda Can</t>
  </si>
  <si>
    <t>Zero Coke</t>
  </si>
  <si>
    <t>Tonic Water</t>
  </si>
  <si>
    <t>Ginger Ale</t>
  </si>
  <si>
    <t>Polaris Can</t>
  </si>
  <si>
    <t>BV022</t>
  </si>
  <si>
    <t>Pokka Green Tea</t>
  </si>
  <si>
    <t>Cranberry Juice 1 Ltr</t>
  </si>
  <si>
    <t>Orange Juice 1 Lt</t>
  </si>
  <si>
    <t>Apple Juice 1 Lt</t>
  </si>
  <si>
    <t>Pineapple Juice 1 Ltr</t>
  </si>
  <si>
    <t>BV027</t>
  </si>
  <si>
    <t>Juice Lemon 1 Ltr</t>
  </si>
  <si>
    <t>BV028</t>
  </si>
  <si>
    <t>Lychee Juice</t>
  </si>
  <si>
    <t>BV029</t>
  </si>
  <si>
    <t>Juice Tomato</t>
  </si>
  <si>
    <t>BV030</t>
  </si>
  <si>
    <t>Mango Juice</t>
  </si>
  <si>
    <t>Juice Lime</t>
  </si>
  <si>
    <t>BV032</t>
  </si>
  <si>
    <t>Strawberry Juice</t>
  </si>
  <si>
    <t>Milk Fresh</t>
  </si>
  <si>
    <t>BV034</t>
  </si>
  <si>
    <t>Balian Still 330Ml</t>
  </si>
  <si>
    <t>BV035</t>
  </si>
  <si>
    <t>Balian Water</t>
  </si>
  <si>
    <t>BV036</t>
  </si>
  <si>
    <t>Balian Big Glass</t>
  </si>
  <si>
    <t>BV037</t>
  </si>
  <si>
    <t>Island Brewing Pale Ale</t>
  </si>
  <si>
    <t>BV038</t>
  </si>
  <si>
    <t>Aqua Reflection Big</t>
  </si>
  <si>
    <t>BV039</t>
  </si>
  <si>
    <t>Aqua Sparkling Big</t>
  </si>
  <si>
    <t>BV040</t>
  </si>
  <si>
    <t>Aqua Reflection Natural</t>
  </si>
  <si>
    <t>BV041</t>
  </si>
  <si>
    <t>Aqua Reflection Sparkling</t>
  </si>
  <si>
    <t>Monin Pure Strawberry</t>
  </si>
  <si>
    <t>BV043</t>
  </si>
  <si>
    <t>Monin Pure Mango</t>
  </si>
  <si>
    <t>BV044</t>
  </si>
  <si>
    <t>Monin Pure Passion Fruit</t>
  </si>
  <si>
    <t>BV045</t>
  </si>
  <si>
    <t>Monin Mint Mojito</t>
  </si>
  <si>
    <t>BV046</t>
  </si>
  <si>
    <t>Monin Green Apple</t>
  </si>
  <si>
    <t>BV047</t>
  </si>
  <si>
    <t>Monin Hazelnut</t>
  </si>
  <si>
    <t>BV048</t>
  </si>
  <si>
    <t>Monin Peach</t>
  </si>
  <si>
    <t>Coffee Beans</t>
  </si>
  <si>
    <t>BV050</t>
  </si>
  <si>
    <t>Grape Juice</t>
  </si>
  <si>
    <t>BV051</t>
  </si>
  <si>
    <t>Ice Kristal</t>
  </si>
  <si>
    <t>Ice Cube</t>
  </si>
  <si>
    <t>Lemon Fruit</t>
  </si>
  <si>
    <t>Pineapple Fruit</t>
  </si>
  <si>
    <t>Lime Green</t>
  </si>
  <si>
    <t>BV056</t>
  </si>
  <si>
    <t>Strawberry</t>
  </si>
  <si>
    <t>Mint Leave</t>
  </si>
  <si>
    <t>Watermelon/SEMANGKA</t>
  </si>
  <si>
    <t>BV059</t>
  </si>
  <si>
    <t>Orange Fruit</t>
  </si>
  <si>
    <t>Mango Fruit</t>
  </si>
  <si>
    <t>Banana Fruit</t>
  </si>
  <si>
    <t>Apple Fruit</t>
  </si>
  <si>
    <t>BV063</t>
  </si>
  <si>
    <t>Marqisa Fruit</t>
  </si>
  <si>
    <t>Sunkist</t>
  </si>
  <si>
    <t>Sugar</t>
  </si>
  <si>
    <t>Ginger/Jahe</t>
  </si>
  <si>
    <t>BV067</t>
  </si>
  <si>
    <t>Brown Sugar Sachet</t>
  </si>
  <si>
    <t>BV068</t>
  </si>
  <si>
    <t>Sugar Sachet</t>
  </si>
  <si>
    <t>BV069</t>
  </si>
  <si>
    <t>Rosella</t>
  </si>
  <si>
    <t>BV070</t>
  </si>
  <si>
    <t>Cherry Can</t>
  </si>
  <si>
    <t>Tumeric/Kunyit</t>
  </si>
  <si>
    <t>BV072</t>
  </si>
  <si>
    <t>Juice Pink Guava</t>
  </si>
  <si>
    <t>BV073</t>
  </si>
  <si>
    <t>Seed Chia</t>
  </si>
  <si>
    <t>BV074</t>
  </si>
  <si>
    <t>Cashew</t>
  </si>
  <si>
    <t>Almond</t>
  </si>
  <si>
    <t>BV076</t>
  </si>
  <si>
    <t>Lyche Can</t>
  </si>
  <si>
    <t>BV077</t>
  </si>
  <si>
    <t>Syrup Peach</t>
  </si>
  <si>
    <t>Straw Black Pendek</t>
  </si>
  <si>
    <t>BV079</t>
  </si>
  <si>
    <t>Straw Black Panjang</t>
  </si>
  <si>
    <t>BV080</t>
  </si>
  <si>
    <t>Island Brewing Pilsener</t>
  </si>
  <si>
    <t>BV081</t>
  </si>
  <si>
    <t>Kura Kura Easy Ale</t>
  </si>
  <si>
    <t>BV082</t>
  </si>
  <si>
    <t>Kura Kura Island Ale</t>
  </si>
  <si>
    <t>BV083</t>
  </si>
  <si>
    <t>Kura Kura Lager</t>
  </si>
  <si>
    <t>BV084</t>
  </si>
  <si>
    <t>Brown Sugar Kg</t>
  </si>
  <si>
    <t>BV085</t>
  </si>
  <si>
    <t>Groovy Soda</t>
  </si>
  <si>
    <t>Grape Fruit/BUAH ANGGUR</t>
  </si>
  <si>
    <t>BV087</t>
  </si>
  <si>
    <t>Cloud Seven Peach Delight</t>
  </si>
  <si>
    <t>BV088</t>
  </si>
  <si>
    <t>Cloud Seven Smashing Grape</t>
  </si>
  <si>
    <t>Prost Rajawali / Lager Beer 330Ml</t>
  </si>
  <si>
    <t>BV090</t>
  </si>
  <si>
    <t>Prost Alster Beer 330Ml</t>
  </si>
  <si>
    <t>BV091</t>
  </si>
  <si>
    <t>Cloud Seven Pomelo</t>
  </si>
  <si>
    <t>Singaraja Beer 330Ml</t>
  </si>
  <si>
    <t>BV093</t>
  </si>
  <si>
    <t>Cloud Seven Mojito</t>
  </si>
  <si>
    <t>Buah Kelapa</t>
  </si>
  <si>
    <t>Monin Wild Mint</t>
  </si>
  <si>
    <t>BV096</t>
  </si>
  <si>
    <t xml:space="preserve"> Pandan Syrup</t>
  </si>
  <si>
    <t>BV097</t>
  </si>
  <si>
    <t xml:space="preserve"> Sugar Syrup</t>
  </si>
  <si>
    <t>BV098</t>
  </si>
  <si>
    <t xml:space="preserve"> Coconut Syrup</t>
  </si>
  <si>
    <t>Oasis Sparkling 380Ml</t>
  </si>
  <si>
    <t>Oasis Blue 380Ml</t>
  </si>
  <si>
    <t>Oasis Blue 750 Ml</t>
  </si>
  <si>
    <t>BV102</t>
  </si>
  <si>
    <t>Summer Pale Ale</t>
  </si>
  <si>
    <t>BV103</t>
  </si>
  <si>
    <t>Pilsner</t>
  </si>
  <si>
    <t>BV104</t>
  </si>
  <si>
    <t>Ib Light Lager</t>
  </si>
  <si>
    <t>BV105</t>
  </si>
  <si>
    <t>Brewery Island Lager</t>
  </si>
  <si>
    <t>SP001</t>
  </si>
  <si>
    <t>Dome Platinum Vodka</t>
  </si>
  <si>
    <t>SP002</t>
  </si>
  <si>
    <t>Smirnoff Vodka</t>
  </si>
  <si>
    <t>SP003</t>
  </si>
  <si>
    <t>Smirnoff Vodka Small 200Ml</t>
  </si>
  <si>
    <t>Absolute Blue Vodka</t>
  </si>
  <si>
    <t>Grey Goose Vodka</t>
  </si>
  <si>
    <t>Belvedere</t>
  </si>
  <si>
    <t>SP007</t>
  </si>
  <si>
    <t>Haku</t>
  </si>
  <si>
    <t>SP008</t>
  </si>
  <si>
    <t>Ketel One</t>
  </si>
  <si>
    <t>SP009</t>
  </si>
  <si>
    <t>Ice Land Vodka 750Ml</t>
  </si>
  <si>
    <t>Seagrams Vodka</t>
  </si>
  <si>
    <t>SP009B</t>
  </si>
  <si>
    <t>Finlandia Vodka Classsic</t>
  </si>
  <si>
    <t xml:space="preserve"> Belvedere Magnum 1,75Ltr</t>
  </si>
  <si>
    <t>SP009D</t>
  </si>
  <si>
    <t>Ciroc Original</t>
  </si>
  <si>
    <t>SP002A</t>
  </si>
  <si>
    <t>Smirnoff Red-Pink Lemonade</t>
  </si>
  <si>
    <t>SP002B</t>
  </si>
  <si>
    <t>Smirnoff Red-Green Apple</t>
  </si>
  <si>
    <t>SP002C</t>
  </si>
  <si>
    <t>Friendship Black Tea Vodka</t>
  </si>
  <si>
    <t>SP004A</t>
  </si>
  <si>
    <t>Absolut Elyx</t>
  </si>
  <si>
    <t>Gilbyes Gin</t>
  </si>
  <si>
    <t>SP011</t>
  </si>
  <si>
    <t>Gordon'S Dry Gin</t>
  </si>
  <si>
    <t>Hendricks Gin</t>
  </si>
  <si>
    <t>SP012A</t>
  </si>
  <si>
    <t>Hendricks Gin 1 Ltr</t>
  </si>
  <si>
    <t>SP013</t>
  </si>
  <si>
    <t>Roku Gin</t>
  </si>
  <si>
    <t>Tanguray</t>
  </si>
  <si>
    <t>SP016</t>
  </si>
  <si>
    <t>London No.1 Gin</t>
  </si>
  <si>
    <t>SP017</t>
  </si>
  <si>
    <t>Seagrams Gin 750Ml</t>
  </si>
  <si>
    <t>Bombay Shapire</t>
  </si>
  <si>
    <t>SP018A</t>
  </si>
  <si>
    <t>Greenall'S The Original Gin</t>
  </si>
  <si>
    <t>SP012B</t>
  </si>
  <si>
    <t>Hendricks Neptune</t>
  </si>
  <si>
    <t>SP015A</t>
  </si>
  <si>
    <t>Tanguray 10</t>
  </si>
  <si>
    <t>SP011A</t>
  </si>
  <si>
    <t>Gordon'S Gin Premium Pink</t>
  </si>
  <si>
    <t>Beefeater London Dry Gin</t>
  </si>
  <si>
    <t>SP016AA</t>
  </si>
  <si>
    <t>Beefeater 24</t>
  </si>
  <si>
    <t>SP016B</t>
  </si>
  <si>
    <t>Malfy Gin Originale</t>
  </si>
  <si>
    <t>SP016C</t>
  </si>
  <si>
    <t>Malfy Gin Con Arancia</t>
  </si>
  <si>
    <t>SP016D</t>
  </si>
  <si>
    <t>Malfy Gin Con Limone</t>
  </si>
  <si>
    <t>SP016E</t>
  </si>
  <si>
    <t>Malfy Gin Rosa</t>
  </si>
  <si>
    <t>SP016F</t>
  </si>
  <si>
    <t>Monkey 47 Sloe Gin</t>
  </si>
  <si>
    <t>SP019</t>
  </si>
  <si>
    <t>Bacardi Light</t>
  </si>
  <si>
    <t>SP020</t>
  </si>
  <si>
    <t>Havana Club Anejo Bianco</t>
  </si>
  <si>
    <t>Malibu Caribean - 750 Ml</t>
  </si>
  <si>
    <t>SP022</t>
  </si>
  <si>
    <t>Captain Morgan Spiced</t>
  </si>
  <si>
    <t>SP023</t>
  </si>
  <si>
    <t>Captain Morgan Spicy 200Ml</t>
  </si>
  <si>
    <t>SP024</t>
  </si>
  <si>
    <t>Captain Morgan White</t>
  </si>
  <si>
    <t>SP025</t>
  </si>
  <si>
    <t>Nusa Cana Spiced</t>
  </si>
  <si>
    <t>SP026</t>
  </si>
  <si>
    <t>Ron Zacapa 23Yo</t>
  </si>
  <si>
    <t>SP026A</t>
  </si>
  <si>
    <t>Black Tears Spiced Rum</t>
  </si>
  <si>
    <t>SP026B</t>
  </si>
  <si>
    <t>Nusa Cana Tropical</t>
  </si>
  <si>
    <t>SP014</t>
  </si>
  <si>
    <t>Myers Dark</t>
  </si>
  <si>
    <t>SP019A</t>
  </si>
  <si>
    <t>Bacardi Carta</t>
  </si>
  <si>
    <t>SP021AA</t>
  </si>
  <si>
    <t>Malibu Coconut - 750Ml</t>
  </si>
  <si>
    <t>Havana Club Anejo 3 Anos</t>
  </si>
  <si>
    <t>Havana Club Anejo 7 Anos</t>
  </si>
  <si>
    <t>SP027</t>
  </si>
  <si>
    <t>Jw Red Label</t>
  </si>
  <si>
    <t>Jw Black Label</t>
  </si>
  <si>
    <t>Chivas Regal 12</t>
  </si>
  <si>
    <t>SP030</t>
  </si>
  <si>
    <t>Glenmorangie Lasanta10Yo</t>
  </si>
  <si>
    <t>Ballantines Finest</t>
  </si>
  <si>
    <t>John Jameson Irish Whisky</t>
  </si>
  <si>
    <t>SP032A</t>
  </si>
  <si>
    <t>Jack Daniel Fire</t>
  </si>
  <si>
    <t>Jack Daniel</t>
  </si>
  <si>
    <t>Jim Beam</t>
  </si>
  <si>
    <t>Glenlivet 15 Yo</t>
  </si>
  <si>
    <t>SP036</t>
  </si>
  <si>
    <t>Southerm Comfort</t>
  </si>
  <si>
    <t>SP037</t>
  </si>
  <si>
    <t>Glenmorangie Lasanta12Yo</t>
  </si>
  <si>
    <t>SP038</t>
  </si>
  <si>
    <t>Jack Daniel Apple</t>
  </si>
  <si>
    <t>SP038B</t>
  </si>
  <si>
    <t>Teachers Whsikey</t>
  </si>
  <si>
    <t>SP038C</t>
  </si>
  <si>
    <t>Glenfiddich 12Yo</t>
  </si>
  <si>
    <t>Monkey Shoulder</t>
  </si>
  <si>
    <t>SP028A</t>
  </si>
  <si>
    <t>Jw Double Black</t>
  </si>
  <si>
    <t>SP028B</t>
  </si>
  <si>
    <t>Jw Double Gold Label Reserve</t>
  </si>
  <si>
    <t>Singleton 12Yo Glen Ord</t>
  </si>
  <si>
    <t>Singleton 15Yo Glen Ord</t>
  </si>
  <si>
    <t>SP028E</t>
  </si>
  <si>
    <t>Bulleit Rye</t>
  </si>
  <si>
    <t>SP028F</t>
  </si>
  <si>
    <t>Bulleit Bourbon</t>
  </si>
  <si>
    <t>SP028G</t>
  </si>
  <si>
    <t>Bells Ori</t>
  </si>
  <si>
    <t>SP028H</t>
  </si>
  <si>
    <t>Singleton 18Yo Glen Ord</t>
  </si>
  <si>
    <t>SP028I</t>
  </si>
  <si>
    <t>Jw Blue Label</t>
  </si>
  <si>
    <t>SP028J</t>
  </si>
  <si>
    <t>Jw Blonde</t>
  </si>
  <si>
    <t>Jameson Black Barrel</t>
  </si>
  <si>
    <t>Glenlivet Founders Reserve</t>
  </si>
  <si>
    <t>SP032AC</t>
  </si>
  <si>
    <t>Glenvilet 12 Yo</t>
  </si>
  <si>
    <t>SP029A</t>
  </si>
  <si>
    <t>Chivas Xv 15Yo</t>
  </si>
  <si>
    <t>SP029B</t>
  </si>
  <si>
    <t>Chivas 18 Yo</t>
  </si>
  <si>
    <t>SP039</t>
  </si>
  <si>
    <t>Espolon Reposado</t>
  </si>
  <si>
    <t>SP040</t>
  </si>
  <si>
    <t>Espolon Silver</t>
  </si>
  <si>
    <t>SP041</t>
  </si>
  <si>
    <t>Tequila Jose Cuervo Repo</t>
  </si>
  <si>
    <t>SP042</t>
  </si>
  <si>
    <t>Siera Reposado</t>
  </si>
  <si>
    <t>SP043</t>
  </si>
  <si>
    <t>Eljimador Reposdao</t>
  </si>
  <si>
    <t>SP044</t>
  </si>
  <si>
    <t>Camino Gold 750Ml</t>
  </si>
  <si>
    <t>SP045</t>
  </si>
  <si>
    <t>Patron Silver</t>
  </si>
  <si>
    <t>Reposado 1800</t>
  </si>
  <si>
    <t>Silver 1800</t>
  </si>
  <si>
    <t>SP048</t>
  </si>
  <si>
    <t>Pepe Lopez</t>
  </si>
  <si>
    <t>SP049</t>
  </si>
  <si>
    <t>Don Julio Anejo</t>
  </si>
  <si>
    <t>SP050</t>
  </si>
  <si>
    <t>Vulcan De Mi Xa</t>
  </si>
  <si>
    <t>SP050A</t>
  </si>
  <si>
    <t>Herradura Plata</t>
  </si>
  <si>
    <t>SP050B</t>
  </si>
  <si>
    <t>Azul Reposado</t>
  </si>
  <si>
    <t>Don Julio Reposado</t>
  </si>
  <si>
    <t>SP049B</t>
  </si>
  <si>
    <t>Don Julio 1942 Anejo</t>
  </si>
  <si>
    <t>SP041A</t>
  </si>
  <si>
    <t>Tequila Jose Cuervo Silver</t>
  </si>
  <si>
    <t>Don Julio Blanco</t>
  </si>
  <si>
    <t>SP049D</t>
  </si>
  <si>
    <t xml:space="preserve">Margaritavlle Gold </t>
  </si>
  <si>
    <t>SP047A</t>
  </si>
  <si>
    <t>1800 Coconut</t>
  </si>
  <si>
    <t>SP047B</t>
  </si>
  <si>
    <t>1800 Anejo</t>
  </si>
  <si>
    <t>SP047C</t>
  </si>
  <si>
    <t>1800 Cristalino Anejo</t>
  </si>
  <si>
    <t>Olmeca Reposado Tequila</t>
  </si>
  <si>
    <t>SP039B</t>
  </si>
  <si>
    <t>Olmeca Altos Plata</t>
  </si>
  <si>
    <t>SP039C</t>
  </si>
  <si>
    <t>Avion Reposado</t>
  </si>
  <si>
    <t>SP039D</t>
  </si>
  <si>
    <t>Avion Silver</t>
  </si>
  <si>
    <t>SP039BA</t>
  </si>
  <si>
    <t>Olmeca Altos Repo</t>
  </si>
  <si>
    <t>SP051</t>
  </si>
  <si>
    <t>Martel Vsop</t>
  </si>
  <si>
    <t>SP052</t>
  </si>
  <si>
    <t>St Remy Napoleon</t>
  </si>
  <si>
    <t>SP053</t>
  </si>
  <si>
    <t>Remi Martin Xo</t>
  </si>
  <si>
    <t>SP053A</t>
  </si>
  <si>
    <t>Hennesy</t>
  </si>
  <si>
    <t>SP053B</t>
  </si>
  <si>
    <t>Courvoiser Vsop</t>
  </si>
  <si>
    <t>SP053C</t>
  </si>
  <si>
    <t>Napoleon Brandy</t>
  </si>
  <si>
    <t>SP053D</t>
  </si>
  <si>
    <t>Martel Xo</t>
  </si>
  <si>
    <t>SP053E</t>
  </si>
  <si>
    <t>Hennesy Xo</t>
  </si>
  <si>
    <t>SP051A</t>
  </si>
  <si>
    <t>Martell Noblige</t>
  </si>
  <si>
    <t>Vacari Sambuca</t>
  </si>
  <si>
    <t>Jagermeister</t>
  </si>
  <si>
    <t>SP056</t>
  </si>
  <si>
    <t>Tia Maria</t>
  </si>
  <si>
    <t>Cointreau</t>
  </si>
  <si>
    <t>Baileys</t>
  </si>
  <si>
    <t>SP059</t>
  </si>
  <si>
    <t>Kahlua</t>
  </si>
  <si>
    <t>Amareco Disaronno/Amerto</t>
  </si>
  <si>
    <t>Aperol</t>
  </si>
  <si>
    <t>SP062</t>
  </si>
  <si>
    <t>Galliano</t>
  </si>
  <si>
    <t>SP063</t>
  </si>
  <si>
    <t>Bushmills</t>
  </si>
  <si>
    <t>SP064</t>
  </si>
  <si>
    <t>Midori</t>
  </si>
  <si>
    <t>SP065</t>
  </si>
  <si>
    <t>Pims No 1</t>
  </si>
  <si>
    <t>SP066</t>
  </si>
  <si>
    <t>Lemoncillo</t>
  </si>
  <si>
    <t>SP067</t>
  </si>
  <si>
    <t>Triple Sec</t>
  </si>
  <si>
    <t>SP068</t>
  </si>
  <si>
    <t>Bols Lychee</t>
  </si>
  <si>
    <t>SP069</t>
  </si>
  <si>
    <t>Vibe Coconut</t>
  </si>
  <si>
    <t>SP070</t>
  </si>
  <si>
    <t>Vibe Crème De Cacao Brown</t>
  </si>
  <si>
    <t>SP071</t>
  </si>
  <si>
    <t>Vibe Blue Curacao</t>
  </si>
  <si>
    <t>Vibe Peach</t>
  </si>
  <si>
    <t>SP073</t>
  </si>
  <si>
    <t>Vibe Exotic Lychee</t>
  </si>
  <si>
    <t>Vibe Triple Sec</t>
  </si>
  <si>
    <t>Vibe Coffee</t>
  </si>
  <si>
    <t>SP076</t>
  </si>
  <si>
    <t>Vibe Melon</t>
  </si>
  <si>
    <t>SP077</t>
  </si>
  <si>
    <t>Balimoon Blackcurrant</t>
  </si>
  <si>
    <t>SP078</t>
  </si>
  <si>
    <t>Triple Sec Balimoon</t>
  </si>
  <si>
    <t>SP079</t>
  </si>
  <si>
    <t>Balimoon Lychee</t>
  </si>
  <si>
    <t>SP080</t>
  </si>
  <si>
    <t>Balimoon Kelapa</t>
  </si>
  <si>
    <t>SP081</t>
  </si>
  <si>
    <t xml:space="preserve">Archers Peach </t>
  </si>
  <si>
    <t>SP081A</t>
  </si>
  <si>
    <t>Zirca Triple Sec</t>
  </si>
  <si>
    <t>SP082</t>
  </si>
  <si>
    <t>Martini Roso</t>
  </si>
  <si>
    <t>SP083</t>
  </si>
  <si>
    <t>Angustura</t>
  </si>
  <si>
    <t>SP084</t>
  </si>
  <si>
    <t>Campari</t>
  </si>
  <si>
    <t>SP085</t>
  </si>
  <si>
    <t>Martini Dry</t>
  </si>
  <si>
    <t>SP086</t>
  </si>
  <si>
    <t>Cinzano Rosso</t>
  </si>
  <si>
    <t>W001</t>
  </si>
  <si>
    <t>Cape Discovery Sauvignon Blanc</t>
  </si>
  <si>
    <t>W002</t>
  </si>
  <si>
    <t>Cape Discovery Cabernet Merlot</t>
  </si>
  <si>
    <t>W003</t>
  </si>
  <si>
    <t>Cape Discovery Brut Cuvee</t>
  </si>
  <si>
    <t>W004</t>
  </si>
  <si>
    <t>Cape Rose</t>
  </si>
  <si>
    <t>W005</t>
  </si>
  <si>
    <t>Cape Discovery Shiraz</t>
  </si>
  <si>
    <t>W006</t>
  </si>
  <si>
    <t>Cape Discovery Chardonay</t>
  </si>
  <si>
    <t>W007</t>
  </si>
  <si>
    <t>Plaga Wine Cabernet Sauv</t>
  </si>
  <si>
    <t>W008</t>
  </si>
  <si>
    <t>Plaga Wine Cabernet Merlot</t>
  </si>
  <si>
    <t>W009</t>
  </si>
  <si>
    <t>Plaga Wine Sauvignon Blanc</t>
  </si>
  <si>
    <t>W010</t>
  </si>
  <si>
    <t>Plaga Wine Rose</t>
  </si>
  <si>
    <t>W011</t>
  </si>
  <si>
    <t>Plaga Wine Chardonnay</t>
  </si>
  <si>
    <t>W012</t>
  </si>
  <si>
    <t>Valdivieso</t>
  </si>
  <si>
    <t>W013</t>
  </si>
  <si>
    <t>Moet Chandon</t>
  </si>
  <si>
    <t>W013A</t>
  </si>
  <si>
    <t>Moet Chandon Dry Nectar</t>
  </si>
  <si>
    <t>Moet Chandon Ice</t>
  </si>
  <si>
    <t>W015</t>
  </si>
  <si>
    <t>Dom Porignon Brut</t>
  </si>
  <si>
    <t>W015A</t>
  </si>
  <si>
    <t>Dom Porignon Luminous 2013</t>
  </si>
  <si>
    <t>Banrock Merlot</t>
  </si>
  <si>
    <t>Banrock Chardonay</t>
  </si>
  <si>
    <t>W018</t>
  </si>
  <si>
    <t>Banrock Cab Sav</t>
  </si>
  <si>
    <t>Banrock Shiraz</t>
  </si>
  <si>
    <t>Banrock Sav Blank</t>
  </si>
  <si>
    <t>W021</t>
  </si>
  <si>
    <t>Domaine Chandon</t>
  </si>
  <si>
    <t>W022</t>
  </si>
  <si>
    <t>Isola Red/ Rosso</t>
  </si>
  <si>
    <t>W023</t>
  </si>
  <si>
    <t>Isola Rose/Rosato</t>
  </si>
  <si>
    <t>W024</t>
  </si>
  <si>
    <t>Isola White/Bianco</t>
  </si>
  <si>
    <t>W025</t>
  </si>
  <si>
    <t>Two Island Pinot Grigio</t>
  </si>
  <si>
    <t>W026</t>
  </si>
  <si>
    <t>Two Island Pinot Noir</t>
  </si>
  <si>
    <t>W027</t>
  </si>
  <si>
    <t>Two Island Cabaernet Merlot</t>
  </si>
  <si>
    <t>W028</t>
  </si>
  <si>
    <t>Two Island Ti Riesling</t>
  </si>
  <si>
    <t>W029</t>
  </si>
  <si>
    <t>Bach Cava Semi Secco (Sparkling Wine)</t>
  </si>
  <si>
    <t>W030</t>
  </si>
  <si>
    <t>Nederbrug Brut Cuvee</t>
  </si>
  <si>
    <t>W031</t>
  </si>
  <si>
    <t>Chandon Brut</t>
  </si>
  <si>
    <t>W032</t>
  </si>
  <si>
    <t>Zonin - Prosecco</t>
  </si>
  <si>
    <t>W033</t>
  </si>
  <si>
    <t>Barefoot Cabernet Sauvignon</t>
  </si>
  <si>
    <t>W034</t>
  </si>
  <si>
    <t>Lady Gaga Dom Perigno</t>
  </si>
  <si>
    <t>W035</t>
  </si>
  <si>
    <t>Fentinel Sauvignon</t>
  </si>
  <si>
    <t>W036</t>
  </si>
  <si>
    <t>Da Vinci Pinot Grigio</t>
  </si>
  <si>
    <t>W037</t>
  </si>
  <si>
    <t>Don Alejandro Merlot</t>
  </si>
  <si>
    <t>W038</t>
  </si>
  <si>
    <t>Don Alejandro Sav Blanc</t>
  </si>
  <si>
    <t>W039</t>
  </si>
  <si>
    <t>Vulcano Demi Tiera Blanco</t>
  </si>
  <si>
    <t>W040</t>
  </si>
  <si>
    <t>Chandon Rose</t>
  </si>
  <si>
    <t>W041</t>
  </si>
  <si>
    <t>Richland Sauv Blanc</t>
  </si>
  <si>
    <t>W042</t>
  </si>
  <si>
    <t>Nir Moet Chandon Dry Rose</t>
  </si>
  <si>
    <t>W043</t>
  </si>
  <si>
    <t>Accademia Prosecco</t>
  </si>
  <si>
    <t>W044</t>
  </si>
  <si>
    <t>Moet Cchandon Rose</t>
  </si>
  <si>
    <t>SM001</t>
  </si>
  <si>
    <t>Single Malt</t>
  </si>
  <si>
    <t>Maccallan 12 Yo</t>
  </si>
  <si>
    <t>SS001</t>
  </si>
  <si>
    <t>Tm B Muffin</t>
  </si>
  <si>
    <t>SS002</t>
  </si>
  <si>
    <t>Afjal Blueberry</t>
  </si>
  <si>
    <t>SS003</t>
  </si>
  <si>
    <t>Tm Lemon</t>
  </si>
  <si>
    <t>SS004</t>
  </si>
  <si>
    <t>Afjal Dauble Apple</t>
  </si>
  <si>
    <t>SS005</t>
  </si>
  <si>
    <t>Tm Ice</t>
  </si>
  <si>
    <t>SS006</t>
  </si>
  <si>
    <t>Afjal Strawberry</t>
  </si>
  <si>
    <t>SS007</t>
  </si>
  <si>
    <t>Afjal Mint</t>
  </si>
  <si>
    <t>SS008</t>
  </si>
  <si>
    <t>Ajal Mango</t>
  </si>
  <si>
    <t>SS009</t>
  </si>
  <si>
    <t>Tm 69</t>
  </si>
  <si>
    <t>SS010</t>
  </si>
  <si>
    <t>Tm Pineapalle</t>
  </si>
  <si>
    <t>SS011</t>
  </si>
  <si>
    <t>Tm Melon</t>
  </si>
  <si>
    <t>SS012</t>
  </si>
  <si>
    <t>Afjal Lime</t>
  </si>
  <si>
    <t>SS013</t>
  </si>
  <si>
    <t>Afjal Grape</t>
  </si>
  <si>
    <t>SS014</t>
  </si>
  <si>
    <t>Tm Bubble Gum</t>
  </si>
  <si>
    <t>SS015</t>
  </si>
  <si>
    <t>Afjal Orange</t>
  </si>
  <si>
    <t>SS016</t>
  </si>
  <si>
    <t>Tm Peach</t>
  </si>
  <si>
    <t>SS017</t>
  </si>
  <si>
    <t>Selang Plastick</t>
  </si>
  <si>
    <t>SS018</t>
  </si>
  <si>
    <t>Selang Normal</t>
  </si>
  <si>
    <t>SS019</t>
  </si>
  <si>
    <t>Pipet</t>
  </si>
  <si>
    <t>SS020</t>
  </si>
  <si>
    <t>Sikat Panjang Kecil</t>
  </si>
  <si>
    <t>SS021</t>
  </si>
  <si>
    <t>Foil Cufter</t>
  </si>
  <si>
    <t>SS022</t>
  </si>
  <si>
    <t>Seramir</t>
  </si>
  <si>
    <t>SS023</t>
  </si>
  <si>
    <t>Arang</t>
  </si>
  <si>
    <t>SS024</t>
  </si>
  <si>
    <t>Karet</t>
  </si>
  <si>
    <t>SS025</t>
  </si>
  <si>
    <t>Blueberry Ice</t>
  </si>
  <si>
    <t>SS026</t>
  </si>
  <si>
    <t>Ctc Gold Plastic</t>
  </si>
  <si>
    <t>SS027</t>
  </si>
  <si>
    <t>Tm Orange</t>
  </si>
  <si>
    <t>SS028</t>
  </si>
  <si>
    <t>Tombako Watermelon</t>
  </si>
  <si>
    <t>SS029</t>
  </si>
  <si>
    <t>Tm Chocolate</t>
  </si>
  <si>
    <t>SS030</t>
  </si>
  <si>
    <t>Tm Mbo Yem</t>
  </si>
  <si>
    <t>SS031</t>
  </si>
  <si>
    <t>Tm Kang Asep</t>
  </si>
  <si>
    <t>SS032</t>
  </si>
  <si>
    <t>Tm Arjuna</t>
  </si>
  <si>
    <t>SS033</t>
  </si>
  <si>
    <t>Tm Go Jack Go</t>
  </si>
  <si>
    <t>SS034</t>
  </si>
  <si>
    <t>Tm Irish Cream</t>
  </si>
  <si>
    <t>SS035</t>
  </si>
  <si>
    <t>Tm Barbarossa</t>
  </si>
  <si>
    <t>SS036</t>
  </si>
  <si>
    <t>Tm Geisha</t>
  </si>
  <si>
    <t>SS037</t>
  </si>
  <si>
    <t>Tm Grape</t>
  </si>
  <si>
    <t>Marlboro Merah</t>
  </si>
  <si>
    <t>Marlboro Light / GOLD</t>
  </si>
  <si>
    <t>Marlboro Ice Blast</t>
  </si>
  <si>
    <t>Sampoerna</t>
  </si>
  <si>
    <t>CC005</t>
  </si>
  <si>
    <t>Camel Yellow Long</t>
  </si>
  <si>
    <t>CC006</t>
  </si>
  <si>
    <t>Camel Yellow</t>
  </si>
  <si>
    <t>CC007</t>
  </si>
  <si>
    <t>Camel Activate</t>
  </si>
  <si>
    <t>CC008</t>
  </si>
  <si>
    <t>Camel White</t>
  </si>
  <si>
    <t>Vuse Watermelon</t>
  </si>
  <si>
    <t>Vuse Strawberry</t>
  </si>
  <si>
    <t>Vuse Manggo</t>
  </si>
  <si>
    <t>Vuse Blueberry</t>
  </si>
  <si>
    <t>CC013</t>
  </si>
  <si>
    <t>Vuse Tabacco</t>
  </si>
  <si>
    <t>Vuse Grape</t>
  </si>
  <si>
    <t>CC013B</t>
  </si>
  <si>
    <t>Vuse Creamy</t>
  </si>
  <si>
    <t>Vuse Mint Ice</t>
  </si>
  <si>
    <t>CC014A</t>
  </si>
  <si>
    <t>Vuse Apple</t>
  </si>
  <si>
    <t>CC014B</t>
  </si>
  <si>
    <t>Vuse Banana</t>
  </si>
  <si>
    <t>CC014C</t>
  </si>
  <si>
    <t>Vuse Raspberry</t>
  </si>
  <si>
    <t>CC015</t>
  </si>
  <si>
    <t>Esse Change 20</t>
  </si>
  <si>
    <t>CC016</t>
  </si>
  <si>
    <t>Esse Blue Change 20</t>
  </si>
  <si>
    <t>CC017</t>
  </si>
  <si>
    <t>Esse Berry Pop 18</t>
  </si>
  <si>
    <t>CC018</t>
  </si>
  <si>
    <t>Esse Change Double 20</t>
  </si>
  <si>
    <t>CC019</t>
  </si>
  <si>
    <t>Esse Honey Pop 16</t>
  </si>
  <si>
    <t>CC020</t>
  </si>
  <si>
    <t>Esse Blue</t>
  </si>
  <si>
    <t>CC021</t>
  </si>
  <si>
    <t>Esse Bohem</t>
  </si>
  <si>
    <t>CC022</t>
  </si>
  <si>
    <t xml:space="preserve">Esse Change Icy </t>
  </si>
  <si>
    <t>CC023</t>
  </si>
  <si>
    <t>Esse Apple Mint</t>
  </si>
  <si>
    <t>CC024</t>
  </si>
  <si>
    <t>Esse Himalaya</t>
  </si>
  <si>
    <t>CC025</t>
  </si>
  <si>
    <t>Ignite V10 Watermelon Ice</t>
  </si>
  <si>
    <t>CC026</t>
  </si>
  <si>
    <t>Ignite V10 Blue Rasberry</t>
  </si>
  <si>
    <t>CC027</t>
  </si>
  <si>
    <t>Ignite V10 Strawberry Kiwi</t>
  </si>
  <si>
    <t>CC028</t>
  </si>
  <si>
    <t>Ignite V10 Cool Mint</t>
  </si>
  <si>
    <t>CC029</t>
  </si>
  <si>
    <t>Ignite V25 Grape Ice</t>
  </si>
  <si>
    <t>CC030</t>
  </si>
  <si>
    <t>Ignite V25 Mixed Berry</t>
  </si>
  <si>
    <t>CC031</t>
  </si>
  <si>
    <t>Climax Click Mix 20</t>
  </si>
  <si>
    <t>CC032</t>
  </si>
  <si>
    <t>Climax Click Mango</t>
  </si>
  <si>
    <t>CC033</t>
  </si>
  <si>
    <t xml:space="preserve">Climax Filter Punch </t>
  </si>
  <si>
    <t>CC034</t>
  </si>
  <si>
    <t>Climax Click Icy</t>
  </si>
  <si>
    <t>CC035</t>
  </si>
  <si>
    <t>CC036</t>
  </si>
  <si>
    <t>Center Of Attention Forest Sweater - M/L</t>
  </si>
  <si>
    <t>Rr State Of Mind Pink Cap - A/S</t>
  </si>
  <si>
    <t>Rr State Of Mind Beige Cap - A/S</t>
  </si>
  <si>
    <t>Rr State Of Mind Black Bucket Hat - A/S</t>
  </si>
  <si>
    <t>Mini Shisa White</t>
  </si>
  <si>
    <t>Mini Shisa Blue</t>
  </si>
  <si>
    <t>Mini Shisa Pink</t>
  </si>
  <si>
    <t>Mini Shisa Yellow</t>
  </si>
  <si>
    <t>1-1305</t>
  </si>
  <si>
    <t>Inventory Kitchen &amp; Bar Utensil</t>
  </si>
  <si>
    <t>1-1399</t>
  </si>
  <si>
    <t>Total Inventory</t>
  </si>
  <si>
    <t>1-1400</t>
  </si>
  <si>
    <t>Prepaid Expenses</t>
  </si>
  <si>
    <t>1-1401</t>
  </si>
  <si>
    <t>Prepaid building insurance</t>
  </si>
  <si>
    <t>1-1402</t>
  </si>
  <si>
    <t>Prepaid Guest DJ</t>
  </si>
  <si>
    <t>Prepaid Building and Land rental</t>
  </si>
  <si>
    <t>1-1404</t>
  </si>
  <si>
    <t>Prepaid Insurance staff</t>
  </si>
  <si>
    <t>1-1405</t>
  </si>
  <si>
    <t>Prepaid repairs &amp; maintenance</t>
  </si>
  <si>
    <t>1-1406</t>
  </si>
  <si>
    <t>Prepaid Vehicle Insurance</t>
  </si>
  <si>
    <t>Prepaid Website/Internet</t>
  </si>
  <si>
    <t>1-1408</t>
  </si>
  <si>
    <t>Prepaid Licences &amp; Permitt</t>
  </si>
  <si>
    <t>1-1499</t>
  </si>
  <si>
    <t>Total Prepaid Expenses</t>
  </si>
  <si>
    <t>1-1500</t>
  </si>
  <si>
    <t>Prepaid Tax</t>
  </si>
  <si>
    <t>1-1510</t>
  </si>
  <si>
    <t>VAT</t>
  </si>
  <si>
    <t>1-1520</t>
  </si>
  <si>
    <t>Tax article 21</t>
  </si>
  <si>
    <t>1-1530</t>
  </si>
  <si>
    <t>Tax article 25</t>
  </si>
  <si>
    <t>1-1540</t>
  </si>
  <si>
    <t>Tax article 26</t>
  </si>
  <si>
    <t>1-1598</t>
  </si>
  <si>
    <t>Total Prepaid Tax</t>
  </si>
  <si>
    <t>1-1599</t>
  </si>
  <si>
    <t>TOTAL CURRENT ASETS</t>
  </si>
  <si>
    <t>1-2000</t>
  </si>
  <si>
    <t>NON CURRENT ASSET</t>
  </si>
  <si>
    <t>1-2100</t>
  </si>
  <si>
    <t>Fixed Assets</t>
  </si>
  <si>
    <t>1-2101</t>
  </si>
  <si>
    <t>Acc Cost Fixed Asset</t>
  </si>
  <si>
    <t>1-2102</t>
  </si>
  <si>
    <t>Building lease right</t>
  </si>
  <si>
    <t>1-2103</t>
  </si>
  <si>
    <t>Building Improvement</t>
  </si>
  <si>
    <t>Equipment</t>
  </si>
  <si>
    <t>1-2105</t>
  </si>
  <si>
    <t>Furniture &amp; Fixture</t>
  </si>
  <si>
    <t>1-2106</t>
  </si>
  <si>
    <t>Machinery</t>
  </si>
  <si>
    <t>1-2107</t>
  </si>
  <si>
    <t>Business license</t>
  </si>
  <si>
    <t>1-2108</t>
  </si>
  <si>
    <t>IT Support</t>
  </si>
  <si>
    <t>1-2109</t>
  </si>
  <si>
    <t>Vehicle assets</t>
  </si>
  <si>
    <t>1-2199</t>
  </si>
  <si>
    <t>Total Fixed Assets</t>
  </si>
  <si>
    <t>1-2200</t>
  </si>
  <si>
    <t>Acm Depreciation</t>
  </si>
  <si>
    <t xml:space="preserve">Acm Depreciation Building lease right </t>
  </si>
  <si>
    <t>1-2205</t>
  </si>
  <si>
    <t>Acm Depreciation Machinery</t>
  </si>
  <si>
    <t>1-2299</t>
  </si>
  <si>
    <t>Total Accumulation Fixed Assets</t>
  </si>
  <si>
    <t>1-2300</t>
  </si>
  <si>
    <t>Pre-operating Expenses</t>
  </si>
  <si>
    <t>1-2301</t>
  </si>
  <si>
    <t>1-2302</t>
  </si>
  <si>
    <t>Acc amort of pre op expenses</t>
  </si>
  <si>
    <t>1-2309</t>
  </si>
  <si>
    <t>Total Pre-operating Expenses</t>
  </si>
  <si>
    <t>1-9998</t>
  </si>
  <si>
    <t>TOTAL NON CURRENT ASETS</t>
  </si>
  <si>
    <t>1-9999</t>
  </si>
  <si>
    <t>TOTAL ASSETS</t>
  </si>
  <si>
    <t>2-0000</t>
  </si>
  <si>
    <t>LIABILITIES</t>
  </si>
  <si>
    <t>2-1000</t>
  </si>
  <si>
    <t>Currenct Liabilities</t>
  </si>
  <si>
    <t>2-1100</t>
  </si>
  <si>
    <t>Accounts payable</t>
  </si>
  <si>
    <t>Misc Cash Purchase</t>
  </si>
  <si>
    <t>2-1199</t>
  </si>
  <si>
    <t>Total Accounts Payable</t>
  </si>
  <si>
    <t>2-2100</t>
  </si>
  <si>
    <t>Accrued Payable</t>
  </si>
  <si>
    <t>2-2102</t>
  </si>
  <si>
    <t>Accrued THR/Bonus</t>
  </si>
  <si>
    <t>2-2103</t>
  </si>
  <si>
    <t>Employee Allowance Payable</t>
  </si>
  <si>
    <t>2-2105</t>
  </si>
  <si>
    <t>Customer Deposit</t>
  </si>
  <si>
    <t>Service Charge Payable</t>
  </si>
  <si>
    <t>Accrued Employee Welfare Payable</t>
  </si>
  <si>
    <t>(hodl punya wirata)</t>
  </si>
  <si>
    <t>2-2108</t>
  </si>
  <si>
    <t>Marketing &amp; Entertainment Fee payable</t>
  </si>
  <si>
    <t>2-2109</t>
  </si>
  <si>
    <t>Finance payble</t>
  </si>
  <si>
    <t>Guest Typing Charges Payable to Staff</t>
  </si>
  <si>
    <t>2-2112</t>
  </si>
  <si>
    <t>Accrued rent payable</t>
  </si>
  <si>
    <t>2-2199</t>
  </si>
  <si>
    <t>Total Accrued Payable</t>
  </si>
  <si>
    <t>2-3100</t>
  </si>
  <si>
    <t>Tax Payable</t>
  </si>
  <si>
    <t>PHR PB1</t>
  </si>
  <si>
    <t>2-3103</t>
  </si>
  <si>
    <t>PPH Ps 25</t>
  </si>
  <si>
    <t>2-3104</t>
  </si>
  <si>
    <t>PPH Ps 4 ayat 2</t>
  </si>
  <si>
    <t>2-3105</t>
  </si>
  <si>
    <t xml:space="preserve">Pph 23 </t>
  </si>
  <si>
    <t>2-3106</t>
  </si>
  <si>
    <t>PPH 29</t>
  </si>
  <si>
    <t>2-3199</t>
  </si>
  <si>
    <t>Total Tax Payable</t>
  </si>
  <si>
    <t>2-4100</t>
  </si>
  <si>
    <t>Due To Third Party</t>
  </si>
  <si>
    <t>2-4101</t>
  </si>
  <si>
    <t>Shareholders Loans - Graham Bristow</t>
  </si>
  <si>
    <t>2-4103</t>
  </si>
  <si>
    <t>Rosalita</t>
  </si>
  <si>
    <t>2-4104</t>
  </si>
  <si>
    <t>Zeki</t>
  </si>
  <si>
    <t>2-4105</t>
  </si>
  <si>
    <t>THE SOCIAL</t>
  </si>
  <si>
    <t>Intercompany Payable – PT Star Hospitality Bali</t>
  </si>
  <si>
    <t>2-4112</t>
  </si>
  <si>
    <t>Total Due To Third Party</t>
  </si>
  <si>
    <t>2-4199</t>
  </si>
  <si>
    <t>TOTAL LIABILITIES</t>
  </si>
  <si>
    <t>3-1000</t>
  </si>
  <si>
    <t>Equity</t>
  </si>
  <si>
    <t>3-1100</t>
  </si>
  <si>
    <t>Capital</t>
  </si>
  <si>
    <t>3-1200</t>
  </si>
  <si>
    <t>Retained Earnings</t>
  </si>
  <si>
    <t>3-1300</t>
  </si>
  <si>
    <t>P Loss This Month</t>
  </si>
  <si>
    <t>3-1400</t>
  </si>
  <si>
    <t>P Loss Current Year ( Last month )</t>
  </si>
  <si>
    <t>3-1401</t>
  </si>
  <si>
    <t>Deviden</t>
  </si>
  <si>
    <t>3-0950</t>
  </si>
  <si>
    <t>Exchange differences</t>
  </si>
  <si>
    <t>3-1999</t>
  </si>
  <si>
    <t>Historical Balancing</t>
  </si>
  <si>
    <t>3-2000</t>
  </si>
  <si>
    <t>Share holders</t>
  </si>
  <si>
    <t>3-2001</t>
  </si>
  <si>
    <t>Graham Bristow/Made Putra Yasa</t>
  </si>
  <si>
    <t>3-2002</t>
  </si>
  <si>
    <t>Willhem</t>
  </si>
  <si>
    <t>3-2003</t>
  </si>
  <si>
    <t>3-2999</t>
  </si>
  <si>
    <t>TOTAL EQUITY</t>
  </si>
  <si>
    <t>4-0000</t>
  </si>
  <si>
    <t>INCOME</t>
  </si>
  <si>
    <t>Sales Food</t>
  </si>
  <si>
    <t>Sales Beverages</t>
  </si>
  <si>
    <t>Sales Shisa</t>
  </si>
  <si>
    <t>Sales Cigarette</t>
  </si>
  <si>
    <t>4-2600</t>
  </si>
  <si>
    <t>Sales Gofood</t>
  </si>
  <si>
    <t>Sales Misc</t>
  </si>
  <si>
    <t>Sales Merchandise</t>
  </si>
  <si>
    <t>4-5100</t>
  </si>
  <si>
    <t>Complement/FOC</t>
  </si>
  <si>
    <t>Sales Discounts</t>
  </si>
  <si>
    <t>4-9999</t>
  </si>
  <si>
    <t>Total Income</t>
  </si>
  <si>
    <t>5-0000</t>
  </si>
  <si>
    <t>Cost Of Sales</t>
  </si>
  <si>
    <t>COS - Food</t>
  </si>
  <si>
    <t>COS - Beverage</t>
  </si>
  <si>
    <t>COS - Shisa</t>
  </si>
  <si>
    <t>COS - Cigarettes</t>
  </si>
  <si>
    <t>COS - Entertainment</t>
  </si>
  <si>
    <t>COS -  Merchandise</t>
  </si>
  <si>
    <t>COS - Promotor Fees Internal</t>
  </si>
  <si>
    <t>COS - Promotor Fees Other</t>
  </si>
  <si>
    <t>COS - reward starxp</t>
  </si>
  <si>
    <t>5-9999</t>
  </si>
  <si>
    <t>Total Cost Of Sales</t>
  </si>
  <si>
    <t>6-0000</t>
  </si>
  <si>
    <t>EXPENSES</t>
  </si>
  <si>
    <t>6-1000</t>
  </si>
  <si>
    <t>Salary And Wages</t>
  </si>
  <si>
    <t>Salaries</t>
  </si>
  <si>
    <t>Meals &amp; Transport allowance</t>
  </si>
  <si>
    <t>6-1103</t>
  </si>
  <si>
    <t>Staff Medical expenses</t>
  </si>
  <si>
    <t>6-1105</t>
  </si>
  <si>
    <t>Medical insurance</t>
  </si>
  <si>
    <t>Staff Uniforms</t>
  </si>
  <si>
    <t>Other staff expenses</t>
  </si>
  <si>
    <t>6-1109</t>
  </si>
  <si>
    <t>Salaries Daily Worker</t>
  </si>
  <si>
    <t>BPJS Kesehatan</t>
  </si>
  <si>
    <t>6-1199</t>
  </si>
  <si>
    <t>Total ry And Wages</t>
  </si>
  <si>
    <t>6-2000</t>
  </si>
  <si>
    <t>Operating Expenses</t>
  </si>
  <si>
    <t>Cleaning Supplies &amp; Expenses</t>
  </si>
  <si>
    <t>6-2102</t>
  </si>
  <si>
    <t>Shisa Supplies</t>
  </si>
  <si>
    <t>Bar Supplies &amp; Laundry</t>
  </si>
  <si>
    <t>Kitchen Supplies</t>
  </si>
  <si>
    <t>6-2105</t>
  </si>
  <si>
    <t>Merchandise Supplies</t>
  </si>
  <si>
    <t>6-2199</t>
  </si>
  <si>
    <t>Total Operating Expenses</t>
  </si>
  <si>
    <t>6-3000</t>
  </si>
  <si>
    <t>Overhead Departement Expenses</t>
  </si>
  <si>
    <t>6-3100</t>
  </si>
  <si>
    <t>Administration General Expenses</t>
  </si>
  <si>
    <t xml:space="preserve">License &amp; Taxes - A&amp;G </t>
  </si>
  <si>
    <t>6-3102</t>
  </si>
  <si>
    <t>Accounting and Legal</t>
  </si>
  <si>
    <t>Telephone/Interne/Pulsa/Courier &amp; Postage</t>
  </si>
  <si>
    <t>Immigration/Custom Costs</t>
  </si>
  <si>
    <t>Tax consultant</t>
  </si>
  <si>
    <t>6-3108</t>
  </si>
  <si>
    <t>Salary General Manager</t>
  </si>
  <si>
    <t>Security/Police/Banjar Costs</t>
  </si>
  <si>
    <t>Rental  area</t>
  </si>
  <si>
    <t>6-3111</t>
  </si>
  <si>
    <t>Meeting Expenses</t>
  </si>
  <si>
    <t>6-3112</t>
  </si>
  <si>
    <t>Donation</t>
  </si>
  <si>
    <t>Electricity</t>
  </si>
  <si>
    <t>6-3115</t>
  </si>
  <si>
    <t>Legalitas</t>
  </si>
  <si>
    <t xml:space="preserve">Property Rental </t>
  </si>
  <si>
    <t>6-3117</t>
  </si>
  <si>
    <t>Sundry Overhead Costs</t>
  </si>
  <si>
    <t>6-3199</t>
  </si>
  <si>
    <t>Total Administration General Expenses</t>
  </si>
  <si>
    <t>6-3200</t>
  </si>
  <si>
    <t xml:space="preserve">Sales and Marketing </t>
  </si>
  <si>
    <t>Promotional Costs</t>
  </si>
  <si>
    <t>Brochure Flyer Printing</t>
  </si>
  <si>
    <t>6-3204</t>
  </si>
  <si>
    <t>Marketing Fees</t>
  </si>
  <si>
    <t>Print Media/Beat Magazine</t>
  </si>
  <si>
    <t>6-3206</t>
  </si>
  <si>
    <t>Merchandise Expense</t>
  </si>
  <si>
    <t>Photography/video</t>
  </si>
  <si>
    <t>6-3208</t>
  </si>
  <si>
    <t>Designer/Consultancy</t>
  </si>
  <si>
    <t>6-3209</t>
  </si>
  <si>
    <t>Rental supplies</t>
  </si>
  <si>
    <t>Billboard/Mobile Billboard</t>
  </si>
  <si>
    <t>Decorations &amp; Florist</t>
  </si>
  <si>
    <t>Other</t>
  </si>
  <si>
    <t>6-3299</t>
  </si>
  <si>
    <t xml:space="preserve">Total Sales and Marketing </t>
  </si>
  <si>
    <t>6-3300</t>
  </si>
  <si>
    <t>Repairs &amp; Maintenance</t>
  </si>
  <si>
    <t>6-3301</t>
  </si>
  <si>
    <t>Genset Maintenance &amp; Solar</t>
  </si>
  <si>
    <t xml:space="preserve">Enggineering Electrical &amp; plumbing Supplies </t>
  </si>
  <si>
    <t>Property Repair &amp; Maintenance</t>
  </si>
  <si>
    <t>Water/Gas etc</t>
  </si>
  <si>
    <t>Pestcontrol</t>
  </si>
  <si>
    <t>6-3399</t>
  </si>
  <si>
    <t>Total Engineering</t>
  </si>
  <si>
    <t>6-3400</t>
  </si>
  <si>
    <t>Sound &amp; Lighting</t>
  </si>
  <si>
    <t>6-3401</t>
  </si>
  <si>
    <t>Consulting Sound/Lighting/Video</t>
  </si>
  <si>
    <t>Repairs Sound Systems</t>
  </si>
  <si>
    <t>6-3403</t>
  </si>
  <si>
    <t>Repairs Lighting Systems</t>
  </si>
  <si>
    <t>6-3404</t>
  </si>
  <si>
    <t>Repairs Video Systems</t>
  </si>
  <si>
    <t>Rental Sound Systems</t>
  </si>
  <si>
    <t>6-3406</t>
  </si>
  <si>
    <t>Rental Lighting Systems</t>
  </si>
  <si>
    <t>6-3407</t>
  </si>
  <si>
    <t>Rental Video Systmes</t>
  </si>
  <si>
    <t>6-3499</t>
  </si>
  <si>
    <t>Total Sound &amp; Lighting</t>
  </si>
  <si>
    <t>GROSS OPERATING PROFIT</t>
  </si>
  <si>
    <t>6-4000</t>
  </si>
  <si>
    <t>Depreciations &amp; Amortisations</t>
  </si>
  <si>
    <t>6-4105</t>
  </si>
  <si>
    <t>Depr Machinery</t>
  </si>
  <si>
    <t>6-4199</t>
  </si>
  <si>
    <t>Total Depreciations &amp; Amortisations</t>
  </si>
  <si>
    <t>7-0000</t>
  </si>
  <si>
    <t>Other Income</t>
  </si>
  <si>
    <t>Interest Income</t>
  </si>
  <si>
    <t>7-2000</t>
  </si>
  <si>
    <t>Gain on Sale of Fixed Assets</t>
  </si>
  <si>
    <t>Other income</t>
  </si>
  <si>
    <t>7-4000</t>
  </si>
  <si>
    <t>Gain on Foreign Exchange Rate</t>
  </si>
  <si>
    <t>7-5000</t>
  </si>
  <si>
    <t xml:space="preserve">Others </t>
  </si>
  <si>
    <t>7-9000</t>
  </si>
  <si>
    <t>Total Others Income</t>
  </si>
  <si>
    <t>8-0000</t>
  </si>
  <si>
    <t>Other Expenses</t>
  </si>
  <si>
    <t>Interest Expenses</t>
  </si>
  <si>
    <t>8-3000</t>
  </si>
  <si>
    <t>Extra Ordinary Loss</t>
  </si>
  <si>
    <t>Others Expenses Others</t>
  </si>
  <si>
    <t>8-5000</t>
  </si>
  <si>
    <t>Forex losses (gains)</t>
  </si>
  <si>
    <t>8-9000</t>
  </si>
  <si>
    <t xml:space="preserve"> PROFIT &amp; LOSS</t>
  </si>
  <si>
    <t>Periode: June 2026</t>
  </si>
  <si>
    <t>PT Taman Bintang Bali</t>
  </si>
  <si>
    <t>IDR</t>
  </si>
  <si>
    <t xml:space="preserve">  </t>
  </si>
  <si>
    <t>Total Salary And Wages</t>
  </si>
  <si>
    <t xml:space="preserve">Insurance Expenses </t>
  </si>
  <si>
    <t>PROFIT AND LOSS</t>
  </si>
  <si>
    <t>BALANCE SHEET</t>
  </si>
  <si>
    <t>Per June 2026</t>
  </si>
  <si>
    <t>AMOUNT</t>
  </si>
  <si>
    <t>Inventory beverage</t>
  </si>
  <si>
    <t>Inventory shisa</t>
  </si>
  <si>
    <t>Inventory cigarette</t>
  </si>
  <si>
    <t>Pph 29</t>
  </si>
  <si>
    <t>Previous Month</t>
  </si>
  <si>
    <t>%</t>
  </si>
  <si>
    <t>Current Month</t>
  </si>
  <si>
    <t>Month on Month</t>
  </si>
  <si>
    <t>MONTHLY BREAK EVEN POINT (BEP)</t>
  </si>
  <si>
    <t>INPUT DATA</t>
  </si>
  <si>
    <t>MARC 2025</t>
  </si>
  <si>
    <t>APRL 2025</t>
  </si>
  <si>
    <t>MAY 2025</t>
  </si>
  <si>
    <t>AGST 2025</t>
  </si>
  <si>
    <t>SEPT 2025</t>
  </si>
  <si>
    <t>OCT 2025</t>
  </si>
  <si>
    <t>March 2026</t>
  </si>
  <si>
    <t>Total Revenue</t>
  </si>
  <si>
    <t>Total Cost of Sales</t>
  </si>
  <si>
    <t>Total Payroll</t>
  </si>
  <si>
    <t>Other Fixed Cost</t>
  </si>
  <si>
    <t>AUTO CALCULATION</t>
  </si>
  <si>
    <t>Gross Margin %</t>
  </si>
  <si>
    <t>Total Fixed Cost</t>
  </si>
  <si>
    <t>BEP Revenue</t>
  </si>
  <si>
    <t>Gap vs Actual Revenue</t>
  </si>
  <si>
    <t xml:space="preserve">BEP Coverage </t>
  </si>
  <si>
    <t>Item</t>
  </si>
  <si>
    <t>May 2026</t>
  </si>
  <si>
    <t>Variance</t>
  </si>
  <si>
    <t>Variance %</t>
  </si>
  <si>
    <t>Revenue</t>
  </si>
  <si>
    <t>Cost of Sales</t>
  </si>
  <si>
    <t xml:space="preserve">Gross Margin </t>
  </si>
  <si>
    <t>Payroll</t>
  </si>
  <si>
    <t>BEP Coverage (x)</t>
  </si>
  <si>
    <t>Jan 2026</t>
  </si>
  <si>
    <t>Mandiri TBB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</si>
</sst>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(* #,##0_);_(* \(#,##0\);_(* &quot;-&quot;_);_(@_)"/>
    <numFmt numFmtId="43" formatCode="_(* #,##0.00_);_(* \(#,##0.00\);_(* &quot;-&quot;??_);_(@_)"/>
    <numFmt numFmtId="164" formatCode="dd&quot;/&quot;mm&quot;/&quot;yyyy"/>
    <numFmt numFmtId="165" formatCode="_-* #,##0_-;\-* #,##0_-;_-* &quot;-&quot;_-;_-@"/>
    <numFmt numFmtId="166" formatCode="_(* #,##0_);_(* \(#,##0\);_(* &quot;-&quot;??_);_(@_)"/>
    <numFmt numFmtId="167" formatCode="#,##0;\(#,##0\)"/>
    <numFmt numFmtId="168" formatCode="_(* #,##0.00_);_(* \(#,##0.00\);_(* &quot;-&quot;_);_(@_)"/>
    <numFmt numFmtId="169" formatCode="d\-m"/>
    <numFmt numFmtId="170" formatCode="#,##0.00;\(#,##0.00\)"/>
    <numFmt numFmtId="171" formatCode="m\-yyyy"/>
    <numFmt numFmtId="172" formatCode="m/d"/>
    <numFmt numFmtId="173" formatCode="_(* #,##0.00_);_(* \(#,##0.00\);_(* &quot;-&quot;??.00_);_(@_)"/>
    <numFmt numFmtId="174" formatCode="_(* #,##0.0_);_(* \(#,##0.0\);_(* &quot;-&quot;??.0_);_(@_)"/>
    <numFmt numFmtId="175" formatCode="_(* #,##0.0_);_(* \(#,##0.0\);_(* &quot;-&quot;??_);_(@_)"/>
    <numFmt numFmtId="176" formatCode="#,##0.0"/>
    <numFmt numFmtId="177" formatCode="_(* #,##0.000_);_(* \(#,##0.000\);_(* &quot;-&quot;??_);_(@_)"/>
    <numFmt numFmtId="178" formatCode="#,##0.0000000000"/>
    <numFmt numFmtId="179" formatCode="_-* #,##0.00_-;\-* #,##0.00_-;_-* &quot;-&quot;??_-;_-@"/>
    <numFmt numFmtId="184" formatCode="0.0%"/>
    <numFmt numFmtId="185" formatCode="mmm\ yyyy"/>
    <numFmt numFmtId="186" formatCode="\+0.000&quot; pp&quot;;\-0.000&quot; pp&quot;;0.000&quot; pp&quot;"/>
    <numFmt numFmtId="187" formatCode="#,##0.000;\(#,##0.000\)"/>
  </numFmts>
  <fonts count="16">
    <font>
      <sz val="11"/>
      <color rgb="FF000000"/>
      <name val="Calibri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b/>
      <sz val="10"/>
      <color rgb="FFFF0000"/>
      <name val="Times New Roman"/>
    </font>
    <font>
      <b/>
      <sz val="10"/>
      <color rgb="FF000000"/>
      <name val="Times New Roman"/>
    </font>
    <font>
      <b/>
      <sz val="11"/>
      <color theme="1"/>
      <name val="Times New Roman"/>
    </font>
    <font>
      <sz val="11"/>
      <color theme="1"/>
      <name val="Calibri"/>
    </font>
    <font>
      <sz val="11"/>
      <color theme="1"/>
      <name val="Times New Roman"/>
    </font>
    <font>
      <b/>
      <sz val="11"/>
      <color theme="1"/>
      <name val="Calibri"/>
    </font>
    <font>
      <sz val="10"/>
      <color rgb="FF000000"/>
      <name val="Times New Roman"/>
    </font>
    <font>
      <sz val="11"/>
      <name val="Calibri"/>
    </font>
    <font>
      <strike/>
      <sz val="10"/>
      <color theme="1"/>
      <name val="Times New Roman"/>
    </font>
    <font>
      <b/>
      <strike/>
      <sz val="10"/>
      <color theme="1"/>
      <name val="Times New Roman"/>
    </font>
    <font>
      <i/>
      <sz val="10"/>
      <color theme="1"/>
      <name val="Times New Roman"/>
    </font>
    <font>
      <sz val="11"/>
      <color theme="1"/>
      <name val="Calibri"/>
      <scheme val="minor"/>
    </font>
    <font>
      <b/>
      <sz val="11"/>
      <color theme="1"/>
      <name val="Times New Roman"/>
    </font>
  </fonts>
  <fills count="1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C000"/>
        <bgColor rgb="FFFFC000"/>
      </patternFill>
    </fill>
    <fill>
      <patternFill patternType="solid">
        <fgColor rgb="FFE6B8AF"/>
        <bgColor rgb="FFE6B8AF"/>
      </patternFill>
    </fill>
    <fill>
      <patternFill patternType="solid">
        <fgColor rgb="FFE5B8B7"/>
        <bgColor rgb="FFE5B8B7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3F3F3F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3F3F3F"/>
      </top>
      <bottom style="double">
        <color rgb="FF000000"/>
      </bottom>
      <diagonal/>
    </border>
    <border>
      <left/>
      <right style="double">
        <color rgb="FF3F3F3F"/>
      </right>
      <top/>
      <bottom style="double">
        <color rgb="FF000000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/>
      <top style="double">
        <color rgb="FF3F3F3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2">
    <xf numFmtId="0" fontId="0" fillId="0" borderId="0" xfId="0"/>
    <xf numFmtId="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41" fontId="1" fillId="0" borderId="3" xfId="0" applyNumberFormat="1" applyFont="1" applyBorder="1" applyAlignment="1">
      <alignment vertical="center"/>
    </xf>
    <xf numFmtId="41" fontId="1" fillId="0" borderId="4" xfId="0" applyNumberFormat="1" applyFont="1" applyBorder="1" applyAlignment="1">
      <alignment vertical="center"/>
    </xf>
    <xf numFmtId="41" fontId="1" fillId="0" borderId="5" xfId="0" applyNumberFormat="1" applyFont="1" applyBorder="1" applyAlignment="1">
      <alignment vertical="center"/>
    </xf>
    <xf numFmtId="41" fontId="1" fillId="3" borderId="5" xfId="0" applyNumberFormat="1" applyFont="1" applyFill="1" applyBorder="1" applyAlignment="1">
      <alignment vertical="center"/>
    </xf>
    <xf numFmtId="41" fontId="2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41" fontId="1" fillId="0" borderId="8" xfId="0" applyNumberFormat="1" applyFont="1" applyBorder="1" applyAlignment="1">
      <alignment horizontal="center" vertical="center"/>
    </xf>
    <xf numFmtId="41" fontId="1" fillId="0" borderId="6" xfId="0" applyNumberFormat="1" applyFont="1" applyBorder="1" applyAlignment="1">
      <alignment horizontal="center" vertical="center"/>
    </xf>
    <xf numFmtId="41" fontId="1" fillId="0" borderId="5" xfId="0" applyNumberFormat="1" applyFont="1" applyBorder="1" applyAlignment="1">
      <alignment horizontal="center" vertical="center"/>
    </xf>
    <xf numFmtId="41" fontId="1" fillId="0" borderId="8" xfId="0" applyNumberFormat="1" applyFont="1" applyBorder="1" applyAlignment="1">
      <alignment vertical="center"/>
    </xf>
    <xf numFmtId="41" fontId="1" fillId="3" borderId="8" xfId="0" applyNumberFormat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41" fontId="1" fillId="0" borderId="6" xfId="0" applyNumberFormat="1" applyFont="1" applyBorder="1" applyAlignment="1">
      <alignment vertical="center"/>
    </xf>
    <xf numFmtId="0" fontId="1" fillId="0" borderId="6" xfId="0" quotePrefix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41" fontId="2" fillId="4" borderId="11" xfId="0" applyNumberFormat="1" applyFont="1" applyFill="1" applyBorder="1" applyAlignment="1">
      <alignment horizontal="center" vertical="center"/>
    </xf>
    <xf numFmtId="41" fontId="2" fillId="2" borderId="11" xfId="0" applyNumberFormat="1" applyFont="1" applyFill="1" applyBorder="1" applyAlignment="1">
      <alignment horizontal="center" vertical="center"/>
    </xf>
    <xf numFmtId="41" fontId="2" fillId="4" borderId="12" xfId="0" applyNumberFormat="1" applyFont="1" applyFill="1" applyBorder="1" applyAlignment="1">
      <alignment horizontal="right" vertical="center"/>
    </xf>
    <xf numFmtId="4" fontId="2" fillId="0" borderId="0" xfId="0" applyNumberFormat="1" applyFont="1" applyAlignment="1">
      <alignment vertical="center"/>
    </xf>
    <xf numFmtId="0" fontId="2" fillId="4" borderId="13" xfId="0" applyFont="1" applyFill="1" applyBorder="1" applyAlignment="1">
      <alignment vertical="center"/>
    </xf>
    <xf numFmtId="41" fontId="2" fillId="4" borderId="1" xfId="0" applyNumberFormat="1" applyFont="1" applyFill="1" applyBorder="1" applyAlignment="1">
      <alignment horizontal="center" vertical="center"/>
    </xf>
    <xf numFmtId="41" fontId="2" fillId="4" borderId="1" xfId="0" applyNumberFormat="1" applyFont="1" applyFill="1" applyBorder="1" applyAlignment="1">
      <alignment vertical="center"/>
    </xf>
    <xf numFmtId="41" fontId="2" fillId="4" borderId="1" xfId="0" applyNumberFormat="1" applyFont="1" applyFill="1" applyBorder="1" applyAlignment="1">
      <alignment horizontal="right" vertical="center"/>
    </xf>
    <xf numFmtId="165" fontId="2" fillId="0" borderId="0" xfId="0" applyNumberFormat="1" applyFont="1" applyAlignment="1">
      <alignment vertical="center"/>
    </xf>
    <xf numFmtId="41" fontId="2" fillId="4" borderId="14" xfId="0" applyNumberFormat="1" applyFont="1" applyFill="1" applyBorder="1" applyAlignment="1">
      <alignment horizontal="center" vertical="center"/>
    </xf>
    <xf numFmtId="41" fontId="2" fillId="2" borderId="14" xfId="0" applyNumberFormat="1" applyFont="1" applyFill="1" applyBorder="1" applyAlignment="1">
      <alignment horizontal="center" vertical="center"/>
    </xf>
    <xf numFmtId="4" fontId="2" fillId="0" borderId="15" xfId="0" applyNumberFormat="1" applyFont="1" applyBorder="1" applyAlignment="1">
      <alignment vertical="center"/>
    </xf>
    <xf numFmtId="41" fontId="2" fillId="0" borderId="6" xfId="0" applyNumberFormat="1" applyFont="1" applyBorder="1" applyAlignment="1">
      <alignment horizontal="center" vertical="center"/>
    </xf>
    <xf numFmtId="41" fontId="2" fillId="0" borderId="8" xfId="0" applyNumberFormat="1" applyFont="1" applyBorder="1" applyAlignment="1">
      <alignment horizontal="center" vertical="center"/>
    </xf>
    <xf numFmtId="41" fontId="2" fillId="3" borderId="8" xfId="0" applyNumberFormat="1" applyFont="1" applyFill="1" applyBorder="1" applyAlignment="1">
      <alignment horizontal="center" vertical="center"/>
    </xf>
    <xf numFmtId="41" fontId="1" fillId="3" borderId="8" xfId="0" applyNumberFormat="1" applyFont="1" applyFill="1" applyBorder="1" applyAlignment="1">
      <alignment horizontal="center" vertical="center"/>
    </xf>
    <xf numFmtId="41" fontId="1" fillId="0" borderId="16" xfId="0" applyNumberFormat="1" applyFont="1" applyBorder="1" applyAlignment="1">
      <alignment horizontal="center" vertical="center"/>
    </xf>
    <xf numFmtId="41" fontId="1" fillId="0" borderId="17" xfId="0" applyNumberFormat="1" applyFont="1" applyBorder="1" applyAlignment="1">
      <alignment horizontal="center" vertical="center"/>
    </xf>
    <xf numFmtId="41" fontId="1" fillId="0" borderId="17" xfId="0" applyNumberFormat="1" applyFont="1" applyBorder="1" applyAlignment="1">
      <alignment vertical="center"/>
    </xf>
    <xf numFmtId="41" fontId="1" fillId="3" borderId="17" xfId="0" applyNumberFormat="1" applyFont="1" applyFill="1" applyBorder="1" applyAlignment="1">
      <alignment vertical="center"/>
    </xf>
    <xf numFmtId="41" fontId="2" fillId="0" borderId="16" xfId="0" applyNumberFormat="1" applyFont="1" applyBorder="1" applyAlignment="1">
      <alignment horizontal="right" vertical="center"/>
    </xf>
    <xf numFmtId="0" fontId="2" fillId="4" borderId="18" xfId="0" applyFont="1" applyFill="1" applyBorder="1" applyAlignment="1">
      <alignment vertical="center"/>
    </xf>
    <xf numFmtId="41" fontId="3" fillId="4" borderId="19" xfId="0" applyNumberFormat="1" applyFont="1" applyFill="1" applyBorder="1" applyAlignment="1">
      <alignment horizontal="center" vertical="center"/>
    </xf>
    <xf numFmtId="41" fontId="3" fillId="4" borderId="20" xfId="0" applyNumberFormat="1" applyFont="1" applyFill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41" fontId="2" fillId="0" borderId="16" xfId="0" applyNumberFormat="1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41" fontId="2" fillId="2" borderId="23" xfId="0" applyNumberFormat="1" applyFont="1" applyFill="1" applyBorder="1" applyAlignment="1">
      <alignment horizontal="center" vertical="center"/>
    </xf>
    <xf numFmtId="41" fontId="2" fillId="2" borderId="24" xfId="0" applyNumberFormat="1" applyFont="1" applyFill="1" applyBorder="1" applyAlignment="1">
      <alignment horizontal="center" vertical="center"/>
    </xf>
    <xf numFmtId="41" fontId="2" fillId="4" borderId="24" xfId="0" applyNumberFormat="1" applyFont="1" applyFill="1" applyBorder="1" applyAlignment="1">
      <alignment horizontal="right" vertical="center"/>
    </xf>
    <xf numFmtId="41" fontId="2" fillId="0" borderId="3" xfId="0" applyNumberFormat="1" applyFont="1" applyBorder="1" applyAlignment="1">
      <alignment vertical="center"/>
    </xf>
    <xf numFmtId="41" fontId="2" fillId="0" borderId="5" xfId="0" applyNumberFormat="1" applyFont="1" applyBorder="1" applyAlignment="1">
      <alignment vertical="center"/>
    </xf>
    <xf numFmtId="41" fontId="2" fillId="3" borderId="5" xfId="0" applyNumberFormat="1" applyFont="1" applyFill="1" applyBorder="1" applyAlignment="1">
      <alignment vertical="center"/>
    </xf>
    <xf numFmtId="41" fontId="2" fillId="3" borderId="6" xfId="0" applyNumberFormat="1" applyFont="1" applyFill="1" applyBorder="1" applyAlignment="1">
      <alignment horizontal="center" vertical="center"/>
    </xf>
    <xf numFmtId="41" fontId="2" fillId="0" borderId="8" xfId="0" applyNumberFormat="1" applyFont="1" applyBorder="1" applyAlignment="1">
      <alignment vertical="center"/>
    </xf>
    <xf numFmtId="41" fontId="2" fillId="3" borderId="8" xfId="0" applyNumberFormat="1" applyFont="1" applyFill="1" applyBorder="1" applyAlignment="1">
      <alignment vertical="center"/>
    </xf>
    <xf numFmtId="0" fontId="4" fillId="0" borderId="21" xfId="0" applyFont="1" applyBorder="1" applyAlignment="1">
      <alignment vertical="center"/>
    </xf>
    <xf numFmtId="167" fontId="2" fillId="0" borderId="6" xfId="0" applyNumberFormat="1" applyFont="1" applyBorder="1" applyAlignment="1">
      <alignment horizontal="center" vertical="center"/>
    </xf>
    <xf numFmtId="41" fontId="2" fillId="0" borderId="6" xfId="0" applyNumberFormat="1" applyFont="1" applyBorder="1" applyAlignment="1">
      <alignment vertical="center"/>
    </xf>
    <xf numFmtId="165" fontId="2" fillId="5" borderId="0" xfId="0" applyNumberFormat="1" applyFont="1" applyFill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4" borderId="26" xfId="0" applyFont="1" applyFill="1" applyBorder="1" applyAlignment="1">
      <alignment horizontal="center" vertical="center"/>
    </xf>
    <xf numFmtId="41" fontId="2" fillId="4" borderId="27" xfId="0" applyNumberFormat="1" applyFont="1" applyFill="1" applyBorder="1" applyAlignment="1">
      <alignment horizontal="center" vertical="center"/>
    </xf>
    <xf numFmtId="41" fontId="2" fillId="4" borderId="28" xfId="0" applyNumberFormat="1" applyFont="1" applyFill="1" applyBorder="1" applyAlignment="1">
      <alignment horizontal="center" vertical="center"/>
    </xf>
    <xf numFmtId="41" fontId="2" fillId="2" borderId="28" xfId="0" applyNumberFormat="1" applyFont="1" applyFill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168" fontId="2" fillId="0" borderId="29" xfId="0" applyNumberFormat="1" applyFont="1" applyBorder="1" applyAlignment="1">
      <alignment vertical="center"/>
    </xf>
    <xf numFmtId="168" fontId="2" fillId="0" borderId="9" xfId="0" applyNumberFormat="1" applyFont="1" applyBorder="1" applyAlignment="1">
      <alignment horizontal="center" vertical="center"/>
    </xf>
    <xf numFmtId="41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41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6" fontId="1" fillId="0" borderId="0" xfId="0" applyNumberFormat="1" applyFont="1" applyAlignment="1">
      <alignment vertical="center"/>
    </xf>
    <xf numFmtId="41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vertical="center"/>
    </xf>
    <xf numFmtId="41" fontId="5" fillId="0" borderId="0" xfId="0" applyNumberFormat="1" applyFont="1"/>
    <xf numFmtId="41" fontId="6" fillId="0" borderId="0" xfId="0" applyNumberFormat="1" applyFont="1"/>
    <xf numFmtId="41" fontId="7" fillId="0" borderId="0" xfId="0" applyNumberFormat="1" applyFont="1"/>
    <xf numFmtId="41" fontId="7" fillId="0" borderId="0" xfId="0" applyNumberFormat="1" applyFont="1" applyAlignment="1">
      <alignment horizontal="right"/>
    </xf>
    <xf numFmtId="41" fontId="8" fillId="6" borderId="0" xfId="0" applyNumberFormat="1" applyFont="1" applyFill="1"/>
    <xf numFmtId="41" fontId="8" fillId="7" borderId="0" xfId="0" applyNumberFormat="1" applyFont="1" applyFill="1"/>
    <xf numFmtId="41" fontId="8" fillId="8" borderId="0" xfId="0" applyNumberFormat="1" applyFont="1" applyFill="1"/>
    <xf numFmtId="41" fontId="8" fillId="9" borderId="0" xfId="0" applyNumberFormat="1" applyFont="1" applyFill="1"/>
    <xf numFmtId="41" fontId="8" fillId="0" borderId="0" xfId="0" applyNumberFormat="1" applyFont="1"/>
    <xf numFmtId="41" fontId="5" fillId="0" borderId="0" xfId="0" applyNumberFormat="1" applyFont="1" applyAlignment="1">
      <alignment horizontal="right"/>
    </xf>
    <xf numFmtId="0" fontId="6" fillId="0" borderId="0" xfId="0" applyFont="1"/>
    <xf numFmtId="3" fontId="1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1" fontId="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70" fontId="9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left" vertical="center"/>
    </xf>
    <xf numFmtId="170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49" fontId="1" fillId="0" borderId="30" xfId="0" applyNumberFormat="1" applyFont="1" applyBorder="1" applyAlignment="1">
      <alignment vertical="center"/>
    </xf>
    <xf numFmtId="41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4" fontId="1" fillId="0" borderId="30" xfId="0" applyNumberFormat="1" applyFont="1" applyBorder="1" applyAlignment="1">
      <alignment vertical="center"/>
    </xf>
    <xf numFmtId="41" fontId="2" fillId="0" borderId="30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41" fontId="1" fillId="0" borderId="30" xfId="0" applyNumberFormat="1" applyFont="1" applyBorder="1" applyAlignment="1">
      <alignment horizontal="right" vertical="center"/>
    </xf>
    <xf numFmtId="41" fontId="9" fillId="0" borderId="0" xfId="0" applyNumberFormat="1" applyFont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vertical="center"/>
    </xf>
    <xf numFmtId="4" fontId="2" fillId="0" borderId="3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1" fontId="1" fillId="0" borderId="3" xfId="0" applyNumberFormat="1" applyFont="1" applyBorder="1" applyAlignment="1">
      <alignment horizontal="center" vertical="center"/>
    </xf>
    <xf numFmtId="41" fontId="1" fillId="0" borderId="33" xfId="0" applyNumberFormat="1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7" fontId="1" fillId="0" borderId="0" xfId="0" applyNumberFormat="1" applyFont="1" applyAlignment="1">
      <alignment vertical="center"/>
    </xf>
    <xf numFmtId="14" fontId="1" fillId="10" borderId="3" xfId="0" applyNumberFormat="1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49" fontId="1" fillId="10" borderId="6" xfId="0" applyNumberFormat="1" applyFont="1" applyFill="1" applyBorder="1" applyAlignment="1">
      <alignment horizontal="center" vertical="center"/>
    </xf>
    <xf numFmtId="41" fontId="1" fillId="10" borderId="3" xfId="0" applyNumberFormat="1" applyFont="1" applyFill="1" applyBorder="1" applyAlignment="1">
      <alignment vertical="center"/>
    </xf>
    <xf numFmtId="41" fontId="9" fillId="10" borderId="6" xfId="0" applyNumberFormat="1" applyFont="1" applyFill="1" applyBorder="1" applyAlignment="1">
      <alignment vertical="center"/>
    </xf>
    <xf numFmtId="4" fontId="1" fillId="10" borderId="3" xfId="0" applyNumberFormat="1" applyFont="1" applyFill="1" applyBorder="1" applyAlignment="1">
      <alignment horizontal="center" vertical="center"/>
    </xf>
    <xf numFmtId="167" fontId="1" fillId="0" borderId="0" xfId="0" applyNumberFormat="1" applyFont="1" applyAlignment="1">
      <alignment horizontal="left" vertical="center"/>
    </xf>
    <xf numFmtId="0" fontId="1" fillId="0" borderId="33" xfId="0" applyFont="1" applyBorder="1" applyAlignment="1">
      <alignment vertical="center"/>
    </xf>
    <xf numFmtId="49" fontId="9" fillId="0" borderId="21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41" fontId="1" fillId="0" borderId="7" xfId="0" applyNumberFormat="1" applyFont="1" applyBorder="1" applyAlignment="1">
      <alignment vertical="center"/>
    </xf>
    <xf numFmtId="4" fontId="1" fillId="0" borderId="7" xfId="0" applyNumberFormat="1" applyFont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41" fontId="1" fillId="0" borderId="35" xfId="0" applyNumberFormat="1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4" fontId="1" fillId="0" borderId="35" xfId="0" applyNumberFormat="1" applyFont="1" applyBorder="1" applyAlignment="1">
      <alignment horizontal="center" vertical="center"/>
    </xf>
    <xf numFmtId="167" fontId="1" fillId="0" borderId="3" xfId="0" applyNumberFormat="1" applyFont="1" applyBorder="1" applyAlignment="1">
      <alignment vertical="center"/>
    </xf>
    <xf numFmtId="168" fontId="1" fillId="0" borderId="3" xfId="0" applyNumberFormat="1" applyFont="1" applyBorder="1" applyAlignment="1">
      <alignment vertical="center"/>
    </xf>
    <xf numFmtId="41" fontId="1" fillId="0" borderId="3" xfId="0" applyNumberFormat="1" applyFont="1" applyBorder="1" applyAlignment="1">
      <alignment horizontal="right" vertical="center"/>
    </xf>
    <xf numFmtId="41" fontId="1" fillId="0" borderId="5" xfId="0" applyNumberFormat="1" applyFont="1" applyBorder="1" applyAlignment="1">
      <alignment horizontal="right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8" fontId="1" fillId="0" borderId="8" xfId="0" applyNumberFormat="1" applyFont="1" applyBorder="1" applyAlignment="1">
      <alignment vertical="center"/>
    </xf>
    <xf numFmtId="14" fontId="1" fillId="0" borderId="38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41" fontId="1" fillId="0" borderId="38" xfId="0" applyNumberFormat="1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4" fontId="1" fillId="0" borderId="3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right" vertical="center"/>
    </xf>
    <xf numFmtId="166" fontId="1" fillId="0" borderId="3" xfId="0" applyNumberFormat="1" applyFont="1" applyBorder="1" applyAlignment="1">
      <alignment vertical="center"/>
    </xf>
    <xf numFmtId="49" fontId="1" fillId="0" borderId="4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1" fontId="1" fillId="0" borderId="33" xfId="0" applyNumberFormat="1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41" fontId="1" fillId="0" borderId="41" xfId="0" applyNumberFormat="1" applyFont="1" applyBorder="1" applyAlignment="1">
      <alignment vertical="center"/>
    </xf>
    <xf numFmtId="49" fontId="1" fillId="0" borderId="21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vertical="center"/>
    </xf>
    <xf numFmtId="171" fontId="1" fillId="0" borderId="6" xfId="0" applyNumberFormat="1" applyFont="1" applyBorder="1" applyAlignment="1">
      <alignment horizontal="center" vertical="center"/>
    </xf>
    <xf numFmtId="49" fontId="9" fillId="0" borderId="43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9" fontId="1" fillId="0" borderId="4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right" vertical="center"/>
    </xf>
    <xf numFmtId="49" fontId="1" fillId="0" borderId="33" xfId="0" applyNumberFormat="1" applyFont="1" applyBorder="1" applyAlignment="1">
      <alignment vertical="center"/>
    </xf>
    <xf numFmtId="41" fontId="1" fillId="7" borderId="3" xfId="0" applyNumberFormat="1" applyFont="1" applyFill="1" applyBorder="1" applyAlignment="1">
      <alignment vertical="center"/>
    </xf>
    <xf numFmtId="167" fontId="1" fillId="0" borderId="33" xfId="0" applyNumberFormat="1" applyFont="1" applyBorder="1" applyAlignment="1">
      <alignment vertical="center"/>
    </xf>
    <xf numFmtId="3" fontId="1" fillId="0" borderId="33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/>
    </xf>
    <xf numFmtId="49" fontId="1" fillId="0" borderId="44" xfId="0" applyNumberFormat="1" applyFont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 vertical="center"/>
    </xf>
    <xf numFmtId="166" fontId="1" fillId="0" borderId="33" xfId="0" applyNumberFormat="1" applyFont="1" applyBorder="1" applyAlignment="1">
      <alignment vertical="center"/>
    </xf>
    <xf numFmtId="0" fontId="1" fillId="7" borderId="33" xfId="0" applyFont="1" applyFill="1" applyBorder="1" applyAlignment="1">
      <alignment vertical="center"/>
    </xf>
    <xf numFmtId="4" fontId="1" fillId="7" borderId="3" xfId="0" applyNumberFormat="1" applyFont="1" applyFill="1" applyBorder="1" applyAlignment="1">
      <alignment horizontal="center" vertical="center"/>
    </xf>
    <xf numFmtId="166" fontId="1" fillId="7" borderId="33" xfId="0" applyNumberFormat="1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172" fontId="1" fillId="0" borderId="3" xfId="0" applyNumberFormat="1" applyFont="1" applyBorder="1" applyAlignment="1">
      <alignment horizontal="center" vertical="center"/>
    </xf>
    <xf numFmtId="170" fontId="1" fillId="0" borderId="33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67" fontId="1" fillId="0" borderId="6" xfId="0" applyNumberFormat="1" applyFont="1" applyBorder="1" applyAlignment="1">
      <alignment vertical="center"/>
    </xf>
    <xf numFmtId="14" fontId="1" fillId="11" borderId="3" xfId="0" applyNumberFormat="1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49" fontId="1" fillId="11" borderId="8" xfId="0" applyNumberFormat="1" applyFont="1" applyFill="1" applyBorder="1" applyAlignment="1">
      <alignment horizontal="center" vertical="center"/>
    </xf>
    <xf numFmtId="41" fontId="1" fillId="11" borderId="3" xfId="0" applyNumberFormat="1" applyFont="1" applyFill="1" applyBorder="1" applyAlignment="1">
      <alignment vertical="center"/>
    </xf>
    <xf numFmtId="0" fontId="1" fillId="11" borderId="33" xfId="0" applyFont="1" applyFill="1" applyBorder="1" applyAlignment="1">
      <alignment vertical="center"/>
    </xf>
    <xf numFmtId="4" fontId="1" fillId="11" borderId="3" xfId="0" applyNumberFormat="1" applyFont="1" applyFill="1" applyBorder="1" applyAlignment="1">
      <alignment horizontal="center" vertical="center"/>
    </xf>
    <xf numFmtId="0" fontId="1" fillId="0" borderId="33" xfId="0" applyFont="1" applyBorder="1"/>
    <xf numFmtId="49" fontId="1" fillId="0" borderId="8" xfId="0" applyNumberFormat="1" applyFont="1" applyBorder="1" applyAlignment="1">
      <alignment horizontal="center"/>
    </xf>
    <xf numFmtId="49" fontId="1" fillId="0" borderId="6" xfId="0" applyNumberFormat="1" applyFont="1" applyBorder="1"/>
    <xf numFmtId="49" fontId="1" fillId="0" borderId="8" xfId="0" applyNumberFormat="1" applyFont="1" applyBorder="1"/>
    <xf numFmtId="43" fontId="1" fillId="0" borderId="3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1" fontId="9" fillId="0" borderId="3" xfId="0" applyNumberFormat="1" applyFont="1" applyBorder="1" applyAlignment="1">
      <alignment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4" fontId="9" fillId="0" borderId="3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74" fontId="1" fillId="0" borderId="0" xfId="0" applyNumberFormat="1" applyFont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175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2" fillId="0" borderId="15" xfId="0" applyFont="1" applyBorder="1" applyAlignment="1">
      <alignment horizontal="left" vertical="center"/>
    </xf>
    <xf numFmtId="43" fontId="2" fillId="0" borderId="15" xfId="0" applyNumberFormat="1" applyFont="1" applyBorder="1" applyAlignment="1">
      <alignment horizontal="left" vertical="center"/>
    </xf>
    <xf numFmtId="0" fontId="1" fillId="0" borderId="45" xfId="0" applyFont="1" applyBorder="1" applyAlignment="1">
      <alignment vertical="center"/>
    </xf>
    <xf numFmtId="175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173" fontId="2" fillId="0" borderId="15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50" xfId="0" applyNumberFormat="1" applyFont="1" applyBorder="1" applyAlignment="1">
      <alignment horizontal="center" vertical="center"/>
    </xf>
    <xf numFmtId="174" fontId="1" fillId="0" borderId="15" xfId="0" applyNumberFormat="1" applyFont="1" applyBorder="1" applyAlignment="1">
      <alignment horizontal="center" vertical="center"/>
    </xf>
    <xf numFmtId="173" fontId="2" fillId="0" borderId="7" xfId="0" applyNumberFormat="1" applyFont="1" applyBorder="1" applyAlignment="1">
      <alignment horizontal="center" vertical="center"/>
    </xf>
    <xf numFmtId="41" fontId="2" fillId="0" borderId="7" xfId="0" applyNumberFormat="1" applyFont="1" applyBorder="1" applyAlignment="1">
      <alignment horizontal="center" vertical="center"/>
    </xf>
    <xf numFmtId="166" fontId="2" fillId="4" borderId="52" xfId="0" applyNumberFormat="1" applyFont="1" applyFill="1" applyBorder="1" applyAlignment="1">
      <alignment vertical="center"/>
    </xf>
    <xf numFmtId="173" fontId="2" fillId="4" borderId="52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2" fillId="12" borderId="53" xfId="0" applyFont="1" applyFill="1" applyBorder="1" applyAlignment="1">
      <alignment vertical="center"/>
    </xf>
    <xf numFmtId="173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73" fontId="1" fillId="13" borderId="54" xfId="0" applyNumberFormat="1" applyFont="1" applyFill="1" applyBorder="1" applyAlignment="1">
      <alignment horizontal="center" vertical="center"/>
    </xf>
    <xf numFmtId="41" fontId="1" fillId="13" borderId="6" xfId="0" applyNumberFormat="1" applyFont="1" applyFill="1" applyBorder="1" applyAlignment="1">
      <alignment horizontal="center" vertical="center"/>
    </xf>
    <xf numFmtId="166" fontId="1" fillId="13" borderId="55" xfId="0" applyNumberFormat="1" applyFont="1" applyFill="1" applyBorder="1" applyAlignment="1">
      <alignment horizontal="center" vertical="center"/>
    </xf>
    <xf numFmtId="173" fontId="1" fillId="0" borderId="8" xfId="0" applyNumberFormat="1" applyFont="1" applyBorder="1" applyAlignment="1">
      <alignment horizontal="center" vertical="center"/>
    </xf>
    <xf numFmtId="173" fontId="1" fillId="0" borderId="6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175" fontId="1" fillId="0" borderId="8" xfId="0" applyNumberFormat="1" applyFont="1" applyBorder="1" applyAlignment="1">
      <alignment vertical="center"/>
    </xf>
    <xf numFmtId="173" fontId="1" fillId="0" borderId="5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12" borderId="55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3" borderId="56" xfId="0" applyFont="1" applyFill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175" fontId="1" fillId="3" borderId="8" xfId="0" applyNumberFormat="1" applyFont="1" applyFill="1" applyBorder="1" applyAlignment="1">
      <alignment vertical="center"/>
    </xf>
    <xf numFmtId="173" fontId="1" fillId="3" borderId="5" xfId="0" applyNumberFormat="1" applyFont="1" applyFill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center" vertical="center"/>
    </xf>
    <xf numFmtId="175" fontId="12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166" fontId="2" fillId="0" borderId="57" xfId="0" applyNumberFormat="1" applyFont="1" applyBorder="1" applyAlignment="1">
      <alignment horizontal="center" vertical="center"/>
    </xf>
    <xf numFmtId="166" fontId="2" fillId="0" borderId="58" xfId="0" applyNumberFormat="1" applyFont="1" applyBorder="1" applyAlignment="1">
      <alignment horizontal="center" vertical="center"/>
    </xf>
    <xf numFmtId="166" fontId="1" fillId="0" borderId="15" xfId="0" applyNumberFormat="1" applyFont="1" applyBorder="1" applyAlignment="1">
      <alignment vertical="center"/>
    </xf>
    <xf numFmtId="166" fontId="2" fillId="0" borderId="49" xfId="0" applyNumberFormat="1" applyFont="1" applyBorder="1" applyAlignment="1">
      <alignment horizontal="center" vertical="center"/>
    </xf>
    <xf numFmtId="166" fontId="2" fillId="4" borderId="52" xfId="0" applyNumberFormat="1" applyFont="1" applyFill="1" applyBorder="1" applyAlignment="1">
      <alignment horizontal="center" vertical="center"/>
    </xf>
    <xf numFmtId="174" fontId="1" fillId="13" borderId="59" xfId="0" applyNumberFormat="1" applyFont="1" applyFill="1" applyBorder="1" applyAlignment="1">
      <alignment horizontal="center" vertical="center"/>
    </xf>
    <xf numFmtId="4" fontId="1" fillId="0" borderId="6" xfId="0" applyNumberFormat="1" applyFont="1" applyBorder="1" applyAlignment="1">
      <alignment vertical="center"/>
    </xf>
    <xf numFmtId="170" fontId="1" fillId="0" borderId="0" xfId="0" applyNumberFormat="1" applyFont="1" applyAlignment="1">
      <alignment vertical="center"/>
    </xf>
    <xf numFmtId="0" fontId="1" fillId="3" borderId="53" xfId="0" applyFont="1" applyFill="1" applyBorder="1" applyAlignment="1">
      <alignment vertical="center"/>
    </xf>
    <xf numFmtId="0" fontId="11" fillId="3" borderId="15" xfId="0" applyFont="1" applyFill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4" fontId="11" fillId="0" borderId="6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4" fontId="11" fillId="0" borderId="8" xfId="0" applyNumberFormat="1" applyFont="1" applyBorder="1" applyAlignment="1">
      <alignment vertical="center"/>
    </xf>
    <xf numFmtId="173" fontId="11" fillId="0" borderId="5" xfId="0" applyNumberFormat="1" applyFont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left" vertical="center"/>
    </xf>
    <xf numFmtId="4" fontId="2" fillId="0" borderId="8" xfId="0" applyNumberFormat="1" applyFont="1" applyBorder="1" applyAlignment="1">
      <alignment vertical="center"/>
    </xf>
    <xf numFmtId="0" fontId="1" fillId="0" borderId="0" xfId="0" applyFont="1"/>
    <xf numFmtId="4" fontId="1" fillId="0" borderId="34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3" fontId="1" fillId="0" borderId="44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173" fontId="1" fillId="13" borderId="60" xfId="0" applyNumberFormat="1" applyFont="1" applyFill="1" applyBorder="1" applyAlignment="1">
      <alignment horizontal="center" vertical="center"/>
    </xf>
    <xf numFmtId="41" fontId="1" fillId="13" borderId="34" xfId="0" applyNumberFormat="1" applyFont="1" applyFill="1" applyBorder="1" applyAlignment="1">
      <alignment horizontal="center" vertical="center"/>
    </xf>
    <xf numFmtId="166" fontId="1" fillId="13" borderId="61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173" fontId="2" fillId="4" borderId="62" xfId="0" applyNumberFormat="1" applyFont="1" applyFill="1" applyBorder="1" applyAlignment="1">
      <alignment horizontal="center" vertical="center"/>
    </xf>
    <xf numFmtId="166" fontId="2" fillId="4" borderId="62" xfId="0" applyNumberFormat="1" applyFont="1" applyFill="1" applyBorder="1" applyAlignment="1">
      <alignment horizontal="center" vertical="center"/>
    </xf>
    <xf numFmtId="166" fontId="2" fillId="4" borderId="63" xfId="0" applyNumberFormat="1" applyFont="1" applyFill="1" applyBorder="1" applyAlignment="1">
      <alignment horizontal="center" vertical="center"/>
    </xf>
    <xf numFmtId="166" fontId="2" fillId="4" borderId="6" xfId="0" applyNumberFormat="1" applyFont="1" applyFill="1" applyBorder="1" applyAlignment="1">
      <alignment horizontal="center" vertical="center"/>
    </xf>
    <xf numFmtId="166" fontId="2" fillId="4" borderId="64" xfId="0" applyNumberFormat="1" applyFont="1" applyFill="1" applyBorder="1" applyAlignment="1">
      <alignment horizontal="center" vertical="center"/>
    </xf>
    <xf numFmtId="175" fontId="1" fillId="0" borderId="33" xfId="0" applyNumberFormat="1" applyFont="1" applyBorder="1" applyAlignment="1">
      <alignment horizontal="left" vertical="center"/>
    </xf>
    <xf numFmtId="173" fontId="1" fillId="0" borderId="34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66" fontId="2" fillId="0" borderId="6" xfId="0" applyNumberFormat="1" applyFont="1" applyBorder="1" applyAlignment="1">
      <alignment horizontal="center" vertical="center"/>
    </xf>
    <xf numFmtId="166" fontId="2" fillId="4" borderId="65" xfId="0" applyNumberFormat="1" applyFont="1" applyFill="1" applyBorder="1" applyAlignment="1">
      <alignment horizontal="left" vertical="center"/>
    </xf>
    <xf numFmtId="173" fontId="2" fillId="4" borderId="6" xfId="0" applyNumberFormat="1" applyFont="1" applyFill="1" applyBorder="1" applyAlignment="1">
      <alignment horizontal="center" vertical="center"/>
    </xf>
    <xf numFmtId="175" fontId="1" fillId="0" borderId="3" xfId="0" applyNumberFormat="1" applyFont="1" applyBorder="1" applyAlignment="1">
      <alignment horizontal="left" vertical="center"/>
    </xf>
    <xf numFmtId="175" fontId="2" fillId="0" borderId="3" xfId="0" applyNumberFormat="1" applyFont="1" applyBorder="1" applyAlignment="1">
      <alignment horizontal="left" vertical="center"/>
    </xf>
    <xf numFmtId="173" fontId="2" fillId="0" borderId="6" xfId="0" applyNumberFormat="1" applyFont="1" applyBorder="1" applyAlignment="1">
      <alignment horizontal="center" vertical="center"/>
    </xf>
    <xf numFmtId="166" fontId="2" fillId="0" borderId="43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73" fontId="2" fillId="0" borderId="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4" borderId="65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43" fontId="9" fillId="0" borderId="0" xfId="0" applyNumberFormat="1" applyFont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73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vertical="center"/>
    </xf>
    <xf numFmtId="166" fontId="2" fillId="0" borderId="6" xfId="0" applyNumberFormat="1" applyFont="1" applyBorder="1" applyAlignment="1">
      <alignment vertical="center"/>
    </xf>
    <xf numFmtId="43" fontId="2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6" fontId="1" fillId="0" borderId="6" xfId="0" applyNumberFormat="1" applyFont="1" applyBorder="1" applyAlignment="1">
      <alignment vertical="center"/>
    </xf>
    <xf numFmtId="166" fontId="1" fillId="14" borderId="6" xfId="0" applyNumberFormat="1" applyFont="1" applyFill="1" applyBorder="1" applyAlignment="1">
      <alignment vertical="center"/>
    </xf>
    <xf numFmtId="166" fontId="1" fillId="14" borderId="66" xfId="0" applyNumberFormat="1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166" fontId="2" fillId="14" borderId="6" xfId="0" applyNumberFormat="1" applyFont="1" applyFill="1" applyBorder="1" applyAlignment="1">
      <alignment vertical="center"/>
    </xf>
    <xf numFmtId="43" fontId="1" fillId="0" borderId="6" xfId="0" applyNumberFormat="1" applyFont="1" applyBorder="1" applyAlignment="1">
      <alignment vertical="center"/>
    </xf>
    <xf numFmtId="0" fontId="2" fillId="3" borderId="5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73" fontId="2" fillId="3" borderId="6" xfId="0" applyNumberFormat="1" applyFont="1" applyFill="1" applyBorder="1" applyAlignment="1">
      <alignment horizontal="center" vertical="center"/>
    </xf>
    <xf numFmtId="166" fontId="2" fillId="3" borderId="6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3" fontId="4" fillId="0" borderId="0" xfId="0" applyNumberFormat="1" applyFont="1" applyAlignment="1">
      <alignment vertical="center"/>
    </xf>
    <xf numFmtId="177" fontId="2" fillId="0" borderId="6" xfId="0" applyNumberFormat="1" applyFont="1" applyBorder="1" applyAlignment="1">
      <alignment vertical="center"/>
    </xf>
    <xf numFmtId="166" fontId="2" fillId="4" borderId="6" xfId="0" applyNumberFormat="1" applyFont="1" applyFill="1" applyBorder="1" applyAlignment="1">
      <alignment vertical="center"/>
    </xf>
    <xf numFmtId="41" fontId="2" fillId="4" borderId="6" xfId="0" applyNumberFormat="1" applyFont="1" applyFill="1" applyBorder="1" applyAlignment="1">
      <alignment vertical="center"/>
    </xf>
    <xf numFmtId="173" fontId="4" fillId="0" borderId="0" xfId="0" applyNumberFormat="1" applyFont="1" applyAlignment="1">
      <alignment vertical="center"/>
    </xf>
    <xf numFmtId="0" fontId="2" fillId="0" borderId="34" xfId="0" applyFont="1" applyBorder="1" applyAlignment="1">
      <alignment horizontal="center" vertical="center"/>
    </xf>
    <xf numFmtId="173" fontId="9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0" fontId="1" fillId="0" borderId="44" xfId="0" applyFont="1" applyBorder="1" applyAlignment="1">
      <alignment vertical="center"/>
    </xf>
    <xf numFmtId="0" fontId="2" fillId="4" borderId="52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166" fontId="1" fillId="0" borderId="5" xfId="0" applyNumberFormat="1" applyFont="1" applyBorder="1" applyAlignment="1">
      <alignment vertical="center"/>
    </xf>
    <xf numFmtId="166" fontId="1" fillId="0" borderId="44" xfId="0" applyNumberFormat="1" applyFont="1" applyBorder="1" applyAlignment="1">
      <alignment vertical="center"/>
    </xf>
    <xf numFmtId="166" fontId="1" fillId="0" borderId="8" xfId="0" applyNumberFormat="1" applyFont="1" applyBorder="1" applyAlignment="1">
      <alignment horizontal="left" vertical="center"/>
    </xf>
    <xf numFmtId="0" fontId="11" fillId="15" borderId="6" xfId="0" applyFont="1" applyFill="1" applyBorder="1" applyAlignment="1">
      <alignment horizontal="center" vertical="center"/>
    </xf>
    <xf numFmtId="166" fontId="11" fillId="15" borderId="8" xfId="0" applyNumberFormat="1" applyFont="1" applyFill="1" applyBorder="1" applyAlignment="1">
      <alignment vertical="center"/>
    </xf>
    <xf numFmtId="173" fontId="1" fillId="15" borderId="6" xfId="0" applyNumberFormat="1" applyFont="1" applyFill="1" applyBorder="1" applyAlignment="1">
      <alignment horizontal="center" vertical="center"/>
    </xf>
    <xf numFmtId="166" fontId="1" fillId="15" borderId="6" xfId="0" applyNumberFormat="1" applyFont="1" applyFill="1" applyBorder="1" applyAlignment="1">
      <alignment vertical="center"/>
    </xf>
    <xf numFmtId="0" fontId="1" fillId="15" borderId="6" xfId="0" applyFont="1" applyFill="1" applyBorder="1" applyAlignment="1">
      <alignment vertical="center"/>
    </xf>
    <xf numFmtId="166" fontId="1" fillId="0" borderId="7" xfId="0" applyNumberFormat="1" applyFont="1" applyBorder="1" applyAlignment="1">
      <alignment vertical="center"/>
    </xf>
    <xf numFmtId="166" fontId="1" fillId="0" borderId="34" xfId="0" applyNumberFormat="1" applyFont="1" applyBorder="1" applyAlignment="1">
      <alignment vertical="center"/>
    </xf>
    <xf numFmtId="0" fontId="1" fillId="0" borderId="3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6" fontId="2" fillId="16" borderId="6" xfId="0" applyNumberFormat="1" applyFont="1" applyFill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175" fontId="1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73" fontId="2" fillId="16" borderId="6" xfId="0" applyNumberFormat="1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173" fontId="1" fillId="4" borderId="6" xfId="0" applyNumberFormat="1" applyFont="1" applyFill="1" applyBorder="1" applyAlignment="1">
      <alignment horizontal="center" vertical="center"/>
    </xf>
    <xf numFmtId="166" fontId="1" fillId="4" borderId="6" xfId="0" applyNumberFormat="1" applyFont="1" applyFill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166" fontId="2" fillId="17" borderId="6" xfId="0" applyNumberFormat="1" applyFont="1" applyFill="1" applyBorder="1" applyAlignment="1">
      <alignment vertical="center"/>
    </xf>
    <xf numFmtId="166" fontId="1" fillId="17" borderId="6" xfId="0" applyNumberFormat="1" applyFont="1" applyFill="1" applyBorder="1" applyAlignment="1">
      <alignment vertical="center"/>
    </xf>
    <xf numFmtId="165" fontId="9" fillId="0" borderId="0" xfId="0" applyNumberFormat="1" applyFont="1" applyAlignment="1">
      <alignment vertical="center"/>
    </xf>
    <xf numFmtId="179" fontId="9" fillId="0" borderId="0" xfId="0" applyNumberFormat="1" applyFont="1" applyAlignment="1">
      <alignment vertical="center"/>
    </xf>
    <xf numFmtId="0" fontId="9" fillId="0" borderId="6" xfId="0" applyFont="1" applyBorder="1" applyAlignment="1">
      <alignment vertical="center"/>
    </xf>
    <xf numFmtId="166" fontId="13" fillId="14" borderId="6" xfId="0" applyNumberFormat="1" applyFont="1" applyFill="1" applyBorder="1" applyAlignment="1">
      <alignment vertical="center"/>
    </xf>
    <xf numFmtId="166" fontId="2" fillId="13" borderId="6" xfId="0" applyNumberFormat="1" applyFont="1" applyFill="1" applyBorder="1" applyAlignment="1">
      <alignment vertical="center"/>
    </xf>
    <xf numFmtId="43" fontId="1" fillId="3" borderId="6" xfId="0" applyNumberFormat="1" applyFont="1" applyFill="1" applyBorder="1" applyAlignment="1">
      <alignment vertical="center"/>
    </xf>
    <xf numFmtId="43" fontId="2" fillId="3" borderId="6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7" fontId="1" fillId="0" borderId="0" xfId="0" applyNumberFormat="1" applyFont="1" applyAlignment="1">
      <alignment vertical="center"/>
    </xf>
    <xf numFmtId="17" fontId="1" fillId="0" borderId="6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173" fontId="2" fillId="0" borderId="3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73" fontId="1" fillId="0" borderId="9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vertical="center"/>
    </xf>
    <xf numFmtId="173" fontId="9" fillId="0" borderId="0" xfId="0" applyNumberFormat="1" applyFont="1" applyAlignment="1">
      <alignment horizontal="center" vertical="center"/>
    </xf>
    <xf numFmtId="166" fontId="2" fillId="0" borderId="6" xfId="0" applyNumberFormat="1" applyFont="1" applyBorder="1" applyAlignment="1">
      <alignment horizontal="right" vertical="center"/>
    </xf>
    <xf numFmtId="49" fontId="1" fillId="0" borderId="6" xfId="0" quotePrefix="1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7" fontId="9" fillId="0" borderId="0" xfId="0" applyNumberFormat="1" applyFont="1" applyAlignment="1">
      <alignment vertical="center"/>
    </xf>
    <xf numFmtId="43" fontId="4" fillId="0" borderId="0" xfId="0" applyNumberFormat="1" applyFont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9" fillId="0" borderId="45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0" fontId="9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7" fontId="2" fillId="0" borderId="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166" fontId="4" fillId="0" borderId="31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166" fontId="9" fillId="0" borderId="9" xfId="0" applyNumberFormat="1" applyFont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184" fontId="5" fillId="0" borderId="3" xfId="0" applyNumberFormat="1" applyFont="1" applyBorder="1" applyAlignment="1">
      <alignment horizontal="center"/>
    </xf>
    <xf numFmtId="9" fontId="1" fillId="0" borderId="6" xfId="0" applyNumberFormat="1" applyFont="1" applyBorder="1" applyAlignment="1">
      <alignment horizontal="center" vertical="center"/>
    </xf>
    <xf numFmtId="184" fontId="1" fillId="0" borderId="6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166" fontId="4" fillId="0" borderId="1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84" fontId="5" fillId="0" borderId="1" xfId="0" applyNumberFormat="1" applyFont="1" applyBorder="1" applyAlignment="1">
      <alignment horizontal="center"/>
    </xf>
    <xf numFmtId="166" fontId="9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18" borderId="1" xfId="0" applyFont="1" applyFill="1" applyBorder="1" applyAlignment="1">
      <alignment vertical="center"/>
    </xf>
    <xf numFmtId="185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horizontal="right" vertical="center"/>
    </xf>
    <xf numFmtId="0" fontId="1" fillId="18" borderId="1" xfId="0" applyFont="1" applyFill="1" applyBorder="1" applyAlignment="1">
      <alignment vertical="center"/>
    </xf>
    <xf numFmtId="10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8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84" fontId="9" fillId="0" borderId="1" xfId="0" applyNumberFormat="1" applyFont="1" applyBorder="1" applyAlignment="1">
      <alignment horizontal="center" vertical="center"/>
    </xf>
    <xf numFmtId="186" fontId="1" fillId="0" borderId="1" xfId="0" applyNumberFormat="1" applyFont="1" applyBorder="1" applyAlignment="1">
      <alignment horizontal="center" vertical="center"/>
    </xf>
    <xf numFmtId="187" fontId="1" fillId="0" borderId="1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184" fontId="1" fillId="0" borderId="3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166" fontId="2" fillId="17" borderId="6" xfId="0" applyNumberFormat="1" applyFont="1" applyFill="1" applyBorder="1" applyAlignment="1">
      <alignment horizontal="center" vertical="center"/>
    </xf>
    <xf numFmtId="166" fontId="2" fillId="0" borderId="34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6" fontId="4" fillId="0" borderId="48" xfId="0" applyNumberFormat="1" applyFont="1" applyBorder="1" applyAlignment="1">
      <alignment horizontal="center" vertical="center"/>
    </xf>
    <xf numFmtId="9" fontId="4" fillId="0" borderId="49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0" applyNumberFormat="1" applyFont="1" applyAlignment="1">
      <alignment horizontal="left" vertical="center"/>
    </xf>
    <xf numFmtId="41" fontId="2" fillId="0" borderId="30" xfId="0" applyNumberFormat="1" applyFont="1" applyBorder="1" applyAlignment="1">
      <alignment horizontal="center" vertical="center"/>
    </xf>
    <xf numFmtId="0" fontId="10" fillId="0" borderId="32" xfId="0" applyFont="1" applyBorder="1"/>
    <xf numFmtId="3" fontId="9" fillId="0" borderId="0" xfId="0" applyNumberFormat="1" applyFont="1" applyAlignment="1">
      <alignment horizontal="left" vertical="center"/>
    </xf>
    <xf numFmtId="0" fontId="0" fillId="0" borderId="0" xfId="0"/>
    <xf numFmtId="41" fontId="2" fillId="0" borderId="48" xfId="0" applyNumberFormat="1" applyFont="1" applyBorder="1" applyAlignment="1">
      <alignment horizontal="center" vertical="center"/>
    </xf>
    <xf numFmtId="0" fontId="10" fillId="0" borderId="49" xfId="0" applyFont="1" applyBorder="1"/>
    <xf numFmtId="173" fontId="2" fillId="0" borderId="50" xfId="0" applyNumberFormat="1" applyFont="1" applyBorder="1" applyAlignment="1">
      <alignment horizontal="center" vertical="center"/>
    </xf>
    <xf numFmtId="0" fontId="10" fillId="0" borderId="31" xfId="0" applyFont="1" applyBorder="1"/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0" fillId="0" borderId="47" xfId="0" applyFont="1" applyBorder="1"/>
    <xf numFmtId="0" fontId="10" fillId="0" borderId="51" xfId="0" applyFont="1" applyBorder="1"/>
    <xf numFmtId="173" fontId="2" fillId="0" borderId="47" xfId="0" applyNumberFormat="1" applyFont="1" applyBorder="1" applyAlignment="1">
      <alignment horizontal="center" vertical="center"/>
    </xf>
    <xf numFmtId="174" fontId="1" fillId="0" borderId="50" xfId="0" applyNumberFormat="1" applyFont="1" applyBorder="1" applyAlignment="1">
      <alignment horizontal="center" vertical="center" wrapText="1"/>
    </xf>
    <xf numFmtId="173" fontId="2" fillId="0" borderId="50" xfId="0" applyNumberFormat="1" applyFont="1" applyBorder="1" applyAlignment="1">
      <alignment horizontal="center" vertical="center" wrapText="1"/>
    </xf>
    <xf numFmtId="166" fontId="1" fillId="0" borderId="48" xfId="0" applyNumberFormat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3" fontId="2" fillId="0" borderId="0" xfId="0" applyNumberFormat="1" applyFont="1" applyAlignment="1">
      <alignment horizontal="left" vertical="center"/>
    </xf>
    <xf numFmtId="0" fontId="1" fillId="0" borderId="46" xfId="0" applyFont="1" applyBorder="1" applyAlignment="1">
      <alignment horizontal="center" vertical="center"/>
    </xf>
    <xf numFmtId="0" fontId="10" fillId="0" borderId="45" xfId="0" applyFont="1" applyBorder="1"/>
    <xf numFmtId="0" fontId="10" fillId="0" borderId="15" xfId="0" applyFont="1" applyBorder="1"/>
    <xf numFmtId="173" fontId="1" fillId="0" borderId="50" xfId="0" applyNumberFormat="1" applyFont="1" applyBorder="1" applyAlignment="1">
      <alignment horizontal="center" vertical="center"/>
    </xf>
    <xf numFmtId="0" fontId="10" fillId="0" borderId="7" xfId="0" applyFont="1" applyBorder="1"/>
    <xf numFmtId="49" fontId="2" fillId="0" borderId="46" xfId="0" applyNumberFormat="1" applyFont="1" applyBorder="1" applyAlignment="1">
      <alignment horizontal="center" vertical="center"/>
    </xf>
    <xf numFmtId="0" fontId="10" fillId="0" borderId="68" xfId="0" applyFont="1" applyBorder="1"/>
    <xf numFmtId="0" fontId="10" fillId="0" borderId="30" xfId="0" applyFont="1" applyBorder="1"/>
    <xf numFmtId="0" fontId="5" fillId="0" borderId="47" xfId="0" applyFont="1" applyBorder="1" applyAlignment="1">
      <alignment horizontal="center" vertical="center"/>
    </xf>
    <xf numFmtId="9" fontId="5" fillId="0" borderId="50" xfId="0" applyNumberFormat="1" applyFont="1" applyBorder="1" applyAlignment="1">
      <alignment horizontal="center" vertical="center"/>
    </xf>
    <xf numFmtId="184" fontId="5" fillId="0" borderId="47" xfId="0" applyNumberFormat="1" applyFont="1" applyBorder="1" applyAlignment="1">
      <alignment horizontal="center" vertical="center"/>
    </xf>
    <xf numFmtId="0" fontId="2" fillId="0" borderId="46" xfId="0" quotePrefix="1" applyFont="1" applyBorder="1" applyAlignment="1">
      <alignment horizontal="center" vertical="center"/>
    </xf>
    <xf numFmtId="185" fontId="2" fillId="0" borderId="4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Jung Ratu" id="{5a98e0ba-1ebf-452c-86ac-b7f73c3127e9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46" dT="2026-06-10T02:37:05.00" personId="{5a98e0ba-1ebf-452c-86ac-b7f73c3127e9}" id="{6a9fb594-400f-4758-b4df-23ebc36a08f7}" done="0">
    <x18tc:text xml:space="preserve">SANA FLOOR CLUB : 55.908
LUKAS : 76.505
WIILIEM : 406.065
INEZ GRO : 52.965
AYU GRO : 52.965</x18tc:text>
  </x18tc:threadedComment>
  <x18tc:threadedComment ref="L46" dT="2026-06-11T01:55:19.00" personId="{5a98e0ba-1ebf-452c-86ac-b7f73c3127e9}" id="{82241bbd-7005-4461-8fcc-f8f765cede5d}" done="0">
    <x18tc:text xml:space="preserve">lukas : 76.505
dewi floor : 88.275
victor gro : 23.540</x18tc:text>
  </x18tc:threadedComment>
  <x18tc:threadedComment ref="X46" dT="2026-06-23T01:58:27.00" personId="{5a98e0ba-1ebf-452c-86ac-b7f73c3127e9}" id="{fa8777a7-c55c-4d86-a65b-96ed8a2c8575}" done="0">
    <x18tc:text xml:space="preserve">lukas : 238.343
april floor : 55.908
andry sc : 58.850
ayu gro : 82.390
cahya bar : 58.850</x18tc:text>
  </x18tc:threadedComment>
  <x18tc:threadedComment ref="V46" dT="2026-06-22T02:04:26.00" personId="{5a98e0ba-1ebf-452c-86ac-b7f73c3127e9}" id="{528d4ea7-b349-4703-b491-d13c9c8716ff}" done="0">
    <x18tc:text xml:space="preserve">james : 44.138
andre sc : 52.965
ronald : 52.965
ayu gro : 194.205
xjane : 433.136
nano : 73.563
shammui : 2.073.874
eldidion : 235.400</x18tc:text>
  </x18tc:threadedComment>
  <x18tc:threadedComment ref="T46" dT="2026-06-19T01:58:06.00" personId="{5a98e0ba-1ebf-452c-86ac-b7f73c3127e9}" id="{edbc17ed-cf46-467f-866f-3bbd6147d12e}" done="0">
    <x18tc:text xml:space="preserve">victor gro : 47.080
april : 67.678
cacy : 70.620
ayu gro : 123.585</x18tc:text>
  </x18tc:threadedComment>
  <x18tc:threadedComment ref="U46" dT="2026-06-22T01:58:14.00" personId="{5a98e0ba-1ebf-452c-86ac-b7f73c3127e9}" id="{9212ce9b-2a5c-4ce6-913d-cedec0d7e61e}" done="0">
    <x18tc:text xml:space="preserve">wilham : 406.065
lukas : 44.138
ari suari floor : 55.908
james : 64.735
megatix : 2.000.000
ayu gro : 161.838
kosta : 273.064
caca gro : 282.480</x18tc:text>
  </x18tc:threadedComment>
  <x18tc:threadedComment ref="M46" dT="2026-06-12T02:04:47.00" personId="{5a98e0ba-1ebf-452c-86ac-b7f73c3127e9}" id="{8b3df346-b4e0-472c-bef6-97edd368706b}" done="0">
    <x18tc:text xml:space="preserve">victor gro : 82.390
kt. merta sc : 88.275</x18tc:text>
  </x18tc:threadedComment>
  <x18tc:threadedComment ref="W46" dT="2026-06-22T02:07:38.00" personId="{5a98e0ba-1ebf-452c-86ac-b7f73c3127e9}" id="{a3a81326-4164-44a7-acc1-f1a92b928d61}" done="0">
    <x18tc:text xml:space="preserve">nano : 102.988
widya : 26.483
victor : 73.563
deddy sc : 70.620</x18tc:text>
  </x18tc:threadedComment>
  <x18tc:threadedComment ref="Z17" dT="2026-06-25T02:15:03.00" personId="{5a98e0ba-1ebf-452c-86ac-b7f73c3127e9}" id="{99519f71-04e1-4bcb-8d23-677fc8dbf773}" done="0">
    <x18tc:text xml:space="preserve">tamu broke table 2.500.000</x18tc:text>
  </x18tc:threadedComment>
  <x18tc:threadedComment ref="AF46" dT="2026-07-01T01:59:26.00" personId="{5a98e0ba-1ebf-452c-86ac-b7f73c3127e9}" id="{29833072-04f6-4c5a-9c40-ee836e93ad74}" done="0">
    <x18tc:text xml:space="preserve">riri gro : 79.448
william : 406.065
andre sc : 58.850
ayu gro : 52.965
bu ama : 67.678
lukas :  466.752</x18tc:text>
  </x18tc:threadedComment>
  <x18tc:threadedComment ref="N46" dT="2026-06-15T02:00:49.00" personId="{5a98e0ba-1ebf-452c-86ac-b7f73c3127e9}" id="{6b33f92a-c784-4f4b-ae76-2a0c5cd12561}" done="0">
    <x18tc:text xml:space="preserve">DIAN FLOOR : 88.275
LUKAS : 73.563 + 44.138
RIRI : 23.540
DEDDY SC : 52.965</x18tc:text>
  </x18tc:threadedComment>
  <x18tc:threadedComment ref="AC46" dT="2026-06-29T02:00:37.00" personId="{5a98e0ba-1ebf-452c-86ac-b7f73c3127e9}" id="{d02b35e3-538c-4edc-86cc-32834d59f917}" done="0">
    <x18tc:text xml:space="preserve">james : 44.138
riri gro : 88.275
chelin : 2.389.310</x18tc:text>
  </x18tc:threadedComment>
  <x18tc:threadedComment ref="Y46" dT="2026-06-24T02:54:11.00" personId="{5a98e0ba-1ebf-452c-86ac-b7f73c3127e9}" id="{7cc3d806-93a6-4400-82b7-a70cc8f48fe9}" done="0">
    <x18tc:text xml:space="preserve">eka cahyadi sc : 129.470
elliot / wilham : 406.065
widya gro : 47.080</x18tc:text>
  </x18tc:threadedComment>
  <x18tc:threadedComment ref="P46" dT="2026-06-15T02:34:44.00" personId="{5a98e0ba-1ebf-452c-86ac-b7f73c3127e9}" id="{a1a4b54c-3006-4b8e-a805-17848e5b6382}" done="0">
    <x18tc:text xml:space="preserve">INEZ GRO : 35.310</x18tc:text>
  </x18tc:threadedComment>
  <x18tc:threadedComment ref="AD46" dT="2026-06-29T02:11:41.00" personId="{5a98e0ba-1ebf-452c-86ac-b7f73c3127e9}" id="{2baff99b-9370-4d64-87bf-f02f7b521078}" done="0">
    <x18tc:text xml:space="preserve">widya : 61.793
kosta : 1.177.000
nano : 141.240</x18tc:text>
  </x18tc:threadedComment>
  <x18tc:threadedComment ref="Z46" dT="2026-06-25T02:11:52.00" personId="{5a98e0ba-1ebf-452c-86ac-b7f73c3127e9}" id="{eae019a6-2bda-4cb7-bd0b-8e51e66be142}" done="0">
    <x18tc:text xml:space="preserve">ronald : 44.138</x18tc:text>
  </x18tc:threadedComment>
  <x18tc:threadedComment ref="O46" dT="2026-06-15T02:37:31.00" personId="{5a98e0ba-1ebf-452c-86ac-b7f73c3127e9}" id="{67e3a234-a6f1-450d-b736-087de2016532}" done="0">
    <x18tc:text xml:space="preserve">INEZ GROI : 55.908
JAMES : 64.735
AYU GRO : 88.275
RIRI GRO : 52.965
XJANE : 386.056
KOSTA : 294.250
EKA CAHYADI SC : 52.965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/>
  <cols>
    <col min="1" max="1" width="7.85546875" customWidth="1"/>
    <col min="2" max="2" width="25.85546875" customWidth="1"/>
  </cols>
  <sheetData>
    <row r="1" spans="1:36">
      <c r="A1" s="1"/>
      <c r="B1" s="2" t="s">
        <v>0</v>
      </c>
      <c r="C1" s="3" t="str">
        <f t="shared" ref="C1:AF1" si="0">CHOOSE(WEEKDAY(DATE(2026,6,1)+COLUMN()-2.1),"sunday","monday","tuesday","wednesday","thursday","friday","saturday")</f>
        <v>monday</v>
      </c>
      <c r="D1" s="3" t="str">
        <f t="shared" si="0"/>
        <v>tuesday</v>
      </c>
      <c r="E1" s="3" t="str">
        <f t="shared" si="0"/>
        <v>wednesday</v>
      </c>
      <c r="F1" s="3" t="str">
        <f t="shared" si="0"/>
        <v>thursday</v>
      </c>
      <c r="G1" s="3" t="str">
        <f t="shared" si="0"/>
        <v>friday</v>
      </c>
      <c r="H1" s="3" t="str">
        <f t="shared" si="0"/>
        <v>saturday</v>
      </c>
      <c r="I1" s="3" t="str">
        <f t="shared" si="0"/>
        <v>sunday</v>
      </c>
      <c r="J1" s="3" t="str">
        <f t="shared" si="0"/>
        <v>monday</v>
      </c>
      <c r="K1" s="3" t="str">
        <f t="shared" si="0"/>
        <v>tuesday</v>
      </c>
      <c r="L1" s="3" t="str">
        <f t="shared" si="0"/>
        <v>wednesday</v>
      </c>
      <c r="M1" s="3" t="str">
        <f t="shared" si="0"/>
        <v>thursday</v>
      </c>
      <c r="N1" s="3" t="str">
        <f t="shared" si="0"/>
        <v>friday</v>
      </c>
      <c r="O1" s="3" t="str">
        <f t="shared" si="0"/>
        <v>saturday</v>
      </c>
      <c r="P1" s="3" t="str">
        <f t="shared" si="0"/>
        <v>sunday</v>
      </c>
      <c r="Q1" s="3" t="str">
        <f t="shared" si="0"/>
        <v>monday</v>
      </c>
      <c r="R1" s="3" t="str">
        <f t="shared" si="0"/>
        <v>tuesday</v>
      </c>
      <c r="S1" s="3" t="str">
        <f t="shared" si="0"/>
        <v>wednesday</v>
      </c>
      <c r="T1" s="3" t="str">
        <f t="shared" si="0"/>
        <v>thursday</v>
      </c>
      <c r="U1" s="3" t="str">
        <f t="shared" si="0"/>
        <v>friday</v>
      </c>
      <c r="V1" s="3" t="str">
        <f t="shared" si="0"/>
        <v>saturday</v>
      </c>
      <c r="W1" s="3" t="str">
        <f t="shared" si="0"/>
        <v>sunday</v>
      </c>
      <c r="X1" s="3" t="str">
        <f t="shared" si="0"/>
        <v>monday</v>
      </c>
      <c r="Y1" s="3" t="str">
        <f t="shared" si="0"/>
        <v>tuesday</v>
      </c>
      <c r="Z1" s="3" t="str">
        <f t="shared" si="0"/>
        <v>wednesday</v>
      </c>
      <c r="AA1" s="3" t="str">
        <f t="shared" si="0"/>
        <v>thursday</v>
      </c>
      <c r="AB1" s="3" t="str">
        <f t="shared" si="0"/>
        <v>friday</v>
      </c>
      <c r="AC1" s="3" t="str">
        <f t="shared" si="0"/>
        <v>saturday</v>
      </c>
      <c r="AD1" s="3" t="str">
        <f t="shared" si="0"/>
        <v>sunday</v>
      </c>
      <c r="AE1" s="3" t="str">
        <f t="shared" si="0"/>
        <v>monday</v>
      </c>
      <c r="AF1" s="3" t="str">
        <f t="shared" si="0"/>
        <v>tuesday</v>
      </c>
      <c r="AG1" s="4"/>
      <c r="AH1" s="4"/>
      <c r="AI1" s="4"/>
      <c r="AJ1" s="4"/>
    </row>
    <row r="2" spans="1:36">
      <c r="A2" s="1"/>
      <c r="B2" s="5" t="s">
        <v>1</v>
      </c>
      <c r="C2" s="6">
        <v>46174</v>
      </c>
      <c r="D2" s="6">
        <v>46175</v>
      </c>
      <c r="E2" s="6">
        <v>46176</v>
      </c>
      <c r="F2" s="6">
        <v>46177</v>
      </c>
      <c r="G2" s="6">
        <v>46178</v>
      </c>
      <c r="H2" s="6">
        <v>46179</v>
      </c>
      <c r="I2" s="6">
        <v>46180</v>
      </c>
      <c r="J2" s="6">
        <v>46181</v>
      </c>
      <c r="K2" s="6">
        <v>46182</v>
      </c>
      <c r="L2" s="6">
        <v>46183</v>
      </c>
      <c r="M2" s="6">
        <v>46184</v>
      </c>
      <c r="N2" s="6">
        <v>46185</v>
      </c>
      <c r="O2" s="6">
        <v>46186</v>
      </c>
      <c r="P2" s="6">
        <v>46187</v>
      </c>
      <c r="Q2" s="6">
        <v>46188</v>
      </c>
      <c r="R2" s="6">
        <v>46189</v>
      </c>
      <c r="S2" s="6">
        <v>46190</v>
      </c>
      <c r="T2" s="6">
        <v>46191</v>
      </c>
      <c r="U2" s="6">
        <v>46192</v>
      </c>
      <c r="V2" s="6">
        <v>46193</v>
      </c>
      <c r="W2" s="6">
        <v>46194</v>
      </c>
      <c r="X2" s="6">
        <v>46195</v>
      </c>
      <c r="Y2" s="6">
        <v>46196</v>
      </c>
      <c r="Z2" s="6">
        <v>46197</v>
      </c>
      <c r="AA2" s="6">
        <v>46198</v>
      </c>
      <c r="AB2" s="6">
        <v>46199</v>
      </c>
      <c r="AC2" s="6">
        <v>46200</v>
      </c>
      <c r="AD2" s="6">
        <v>46201</v>
      </c>
      <c r="AE2" s="6">
        <v>46202</v>
      </c>
      <c r="AF2" s="6">
        <v>46203</v>
      </c>
      <c r="AG2" s="7" t="s">
        <v>2</v>
      </c>
      <c r="AH2" s="8"/>
      <c r="AI2" s="4"/>
      <c r="AJ2" s="4"/>
    </row>
    <row r="3" spans="1:36">
      <c r="A3" s="1"/>
      <c r="B3" s="9" t="s">
        <v>3</v>
      </c>
      <c r="C3" s="10"/>
      <c r="D3" s="10"/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3"/>
      <c r="Y3" s="12"/>
      <c r="Z3" s="12"/>
      <c r="AA3" s="12"/>
      <c r="AB3" s="12"/>
      <c r="AC3" s="12"/>
      <c r="AD3" s="12"/>
      <c r="AE3" s="12"/>
      <c r="AF3" s="12"/>
      <c r="AG3" s="14">
        <f t="shared" ref="AG3:AG8" si="1">SUM(C3:AF3)</f>
        <v>0</v>
      </c>
      <c r="AH3" s="8"/>
      <c r="AI3" s="4"/>
      <c r="AJ3" s="4"/>
    </row>
    <row r="4" spans="1:36">
      <c r="A4" s="15" t="s">
        <v>4</v>
      </c>
      <c r="B4" s="16" t="s">
        <v>5</v>
      </c>
      <c r="C4" s="17">
        <v>4945000</v>
      </c>
      <c r="D4" s="18">
        <f>3035000+250000+305000</f>
        <v>3590000</v>
      </c>
      <c r="E4" s="17">
        <v>4209000</v>
      </c>
      <c r="F4" s="18">
        <v>3432500</v>
      </c>
      <c r="G4" s="17">
        <v>8275000</v>
      </c>
      <c r="H4" s="17">
        <v>5030000</v>
      </c>
      <c r="I4" s="17">
        <v>5040000</v>
      </c>
      <c r="J4" s="17">
        <v>3341000</v>
      </c>
      <c r="K4" s="17">
        <v>4035000</v>
      </c>
      <c r="L4" s="17">
        <v>6649000</v>
      </c>
      <c r="M4" s="17">
        <v>5400000</v>
      </c>
      <c r="N4" s="17">
        <f>9149000+125000</f>
        <v>9274000</v>
      </c>
      <c r="O4" s="17">
        <f>5485000</f>
        <v>5485000</v>
      </c>
      <c r="P4" s="19">
        <v>5760000</v>
      </c>
      <c r="Q4" s="20">
        <v>4420000</v>
      </c>
      <c r="R4" s="20">
        <v>7796750</v>
      </c>
      <c r="S4" s="20">
        <v>5875875</v>
      </c>
      <c r="T4" s="20">
        <f>6480000</f>
        <v>6480000</v>
      </c>
      <c r="U4" s="20">
        <f>5535000</f>
        <v>5535000</v>
      </c>
      <c r="V4" s="20">
        <f>6158000</f>
        <v>6158000</v>
      </c>
      <c r="W4" s="21">
        <f>5208000+125000</f>
        <v>5333000</v>
      </c>
      <c r="X4" s="21">
        <v>4850000</v>
      </c>
      <c r="Y4" s="20">
        <v>5089000</v>
      </c>
      <c r="Z4" s="20">
        <f>3845000</f>
        <v>3845000</v>
      </c>
      <c r="AA4" s="20">
        <v>4282500</v>
      </c>
      <c r="AB4" s="20">
        <v>6577500</v>
      </c>
      <c r="AC4" s="20">
        <v>5328750</v>
      </c>
      <c r="AD4" s="20">
        <v>3120000</v>
      </c>
      <c r="AE4" s="20">
        <v>5250000</v>
      </c>
      <c r="AF4" s="20">
        <f>4598750</f>
        <v>4598750</v>
      </c>
      <c r="AG4" s="14">
        <f t="shared" si="1"/>
        <v>159005625</v>
      </c>
      <c r="AH4" s="8"/>
      <c r="AI4" s="4"/>
      <c r="AJ4" s="4"/>
    </row>
    <row r="5" spans="1:36">
      <c r="A5" s="15" t="s">
        <v>6</v>
      </c>
      <c r="B5" s="22" t="s">
        <v>7</v>
      </c>
      <c r="C5" s="17">
        <v>8420000</v>
      </c>
      <c r="D5" s="18">
        <f>2690000+50000</f>
        <v>2740000</v>
      </c>
      <c r="E5" s="17">
        <v>7993000</v>
      </c>
      <c r="F5" s="18">
        <v>5855000</v>
      </c>
      <c r="G5" s="17">
        <v>12875000</v>
      </c>
      <c r="H5" s="17">
        <v>6765000</v>
      </c>
      <c r="I5" s="17">
        <v>5610000</v>
      </c>
      <c r="J5" s="17">
        <v>2674000</v>
      </c>
      <c r="K5" s="17">
        <v>5815000</v>
      </c>
      <c r="L5" s="17">
        <v>7545000</v>
      </c>
      <c r="M5" s="17">
        <v>5150000</v>
      </c>
      <c r="N5" s="18">
        <f>13090000</f>
        <v>13090000</v>
      </c>
      <c r="O5" s="17">
        <f>10725000</f>
        <v>10725000</v>
      </c>
      <c r="P5" s="17">
        <v>11125000</v>
      </c>
      <c r="Q5" s="20">
        <v>6690000</v>
      </c>
      <c r="R5" s="20">
        <v>8883000</v>
      </c>
      <c r="S5" s="20">
        <v>11605000</v>
      </c>
      <c r="T5" s="20">
        <f>10075000</f>
        <v>10075000</v>
      </c>
      <c r="U5" s="20">
        <f>11900000</f>
        <v>11900000</v>
      </c>
      <c r="V5" s="20">
        <f>12055000</f>
        <v>12055000</v>
      </c>
      <c r="W5" s="21">
        <v>9126000</v>
      </c>
      <c r="X5" s="21">
        <v>7930000</v>
      </c>
      <c r="Y5" s="20">
        <v>8795000</v>
      </c>
      <c r="Z5" s="20">
        <f>6485000</f>
        <v>6485000</v>
      </c>
      <c r="AA5" s="20">
        <v>6225000</v>
      </c>
      <c r="AB5" s="20">
        <f>13445000</f>
        <v>13445000</v>
      </c>
      <c r="AC5" s="20">
        <v>10890000</v>
      </c>
      <c r="AD5" s="20">
        <v>3978000</v>
      </c>
      <c r="AE5" s="20">
        <v>6645000</v>
      </c>
      <c r="AF5" s="20">
        <f>7464000</f>
        <v>7464000</v>
      </c>
      <c r="AG5" s="14">
        <f t="shared" si="1"/>
        <v>248573000</v>
      </c>
      <c r="AH5" s="8"/>
      <c r="AI5" s="4"/>
      <c r="AJ5" s="4"/>
    </row>
    <row r="6" spans="1:36">
      <c r="A6" s="15" t="s">
        <v>8</v>
      </c>
      <c r="B6" s="22" t="s">
        <v>9</v>
      </c>
      <c r="C6" s="17"/>
      <c r="D6" s="23"/>
      <c r="E6" s="17">
        <v>259000</v>
      </c>
      <c r="F6" s="18">
        <v>70000</v>
      </c>
      <c r="G6" s="20">
        <v>210000</v>
      </c>
      <c r="H6" s="18">
        <v>140000</v>
      </c>
      <c r="I6" s="23">
        <v>70000</v>
      </c>
      <c r="J6" s="18">
        <v>70000</v>
      </c>
      <c r="K6" s="17">
        <v>70000</v>
      </c>
      <c r="L6" s="18"/>
      <c r="M6" s="17"/>
      <c r="N6" s="23">
        <f>210000+358000</f>
        <v>568000</v>
      </c>
      <c r="O6" s="17">
        <f>210000</f>
        <v>210000</v>
      </c>
      <c r="P6" s="17">
        <v>420000</v>
      </c>
      <c r="Q6" s="20"/>
      <c r="R6" s="20">
        <v>140000</v>
      </c>
      <c r="S6" s="20">
        <v>70000</v>
      </c>
      <c r="T6" s="20">
        <f>140000+358000</f>
        <v>498000</v>
      </c>
      <c r="U6" s="20">
        <f>70000</f>
        <v>70000</v>
      </c>
      <c r="V6" s="20">
        <f>210000</f>
        <v>210000</v>
      </c>
      <c r="W6" s="21">
        <v>280000</v>
      </c>
      <c r="X6" s="21">
        <v>140000</v>
      </c>
      <c r="Y6" s="20">
        <v>70000</v>
      </c>
      <c r="Z6" s="20">
        <f>140000</f>
        <v>140000</v>
      </c>
      <c r="AA6" s="20">
        <v>70000</v>
      </c>
      <c r="AB6" s="20">
        <f>210000+120000</f>
        <v>330000</v>
      </c>
      <c r="AC6" s="20"/>
      <c r="AD6" s="20">
        <v>70000</v>
      </c>
      <c r="AE6" s="20"/>
      <c r="AF6" s="20"/>
      <c r="AG6" s="14">
        <f t="shared" si="1"/>
        <v>4175000</v>
      </c>
      <c r="AH6" s="8"/>
      <c r="AI6" s="4"/>
      <c r="AJ6" s="4"/>
    </row>
    <row r="7" spans="1:36">
      <c r="A7" s="15" t="s">
        <v>10</v>
      </c>
      <c r="B7" s="22" t="s">
        <v>11</v>
      </c>
      <c r="C7" s="17">
        <v>1500000</v>
      </c>
      <c r="D7" s="17"/>
      <c r="E7" s="20">
        <v>500000</v>
      </c>
      <c r="F7" s="20"/>
      <c r="G7" s="20">
        <v>500000</v>
      </c>
      <c r="H7" s="23"/>
      <c r="I7" s="18">
        <v>250000</v>
      </c>
      <c r="J7" s="23"/>
      <c r="K7" s="17">
        <v>250000</v>
      </c>
      <c r="L7" s="17"/>
      <c r="M7" s="17"/>
      <c r="N7" s="23"/>
      <c r="O7" s="17">
        <f>250000</f>
        <v>250000</v>
      </c>
      <c r="P7" s="17"/>
      <c r="Q7" s="20"/>
      <c r="R7" s="20">
        <v>250000</v>
      </c>
      <c r="S7" s="20"/>
      <c r="T7" s="20"/>
      <c r="U7" s="20"/>
      <c r="V7" s="20">
        <f>500000</f>
        <v>500000</v>
      </c>
      <c r="W7" s="21"/>
      <c r="X7" s="21"/>
      <c r="Y7" s="20"/>
      <c r="Z7" s="20">
        <f>250000</f>
        <v>250000</v>
      </c>
      <c r="AA7" s="20"/>
      <c r="AB7" s="20"/>
      <c r="AC7" s="20">
        <v>250000</v>
      </c>
      <c r="AD7" s="20">
        <v>250000</v>
      </c>
      <c r="AE7" s="20">
        <v>250000</v>
      </c>
      <c r="AF7" s="20"/>
      <c r="AG7" s="14">
        <f t="shared" si="1"/>
        <v>5000000</v>
      </c>
      <c r="AH7" s="8"/>
      <c r="AI7" s="4"/>
      <c r="AJ7" s="4"/>
    </row>
    <row r="8" spans="1:36">
      <c r="A8" s="24" t="s">
        <v>12</v>
      </c>
      <c r="B8" s="25" t="s">
        <v>13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3"/>
      <c r="O8" s="20"/>
      <c r="P8" s="20"/>
      <c r="Q8" s="20"/>
      <c r="R8" s="20"/>
      <c r="S8" s="20"/>
      <c r="T8" s="20"/>
      <c r="U8" s="20"/>
      <c r="V8" s="20"/>
      <c r="W8" s="21"/>
      <c r="X8" s="21"/>
      <c r="Y8" s="20"/>
      <c r="Z8" s="20"/>
      <c r="AA8" s="20"/>
      <c r="AB8" s="20"/>
      <c r="AC8" s="20"/>
      <c r="AD8" s="20"/>
      <c r="AE8" s="20"/>
      <c r="AF8" s="20"/>
      <c r="AG8" s="14">
        <f t="shared" si="1"/>
        <v>0</v>
      </c>
      <c r="AH8" s="8"/>
      <c r="AI8" s="4"/>
      <c r="AJ8" s="4"/>
    </row>
    <row r="9" spans="1:36">
      <c r="A9" s="1"/>
      <c r="B9" s="26" t="s">
        <v>14</v>
      </c>
      <c r="C9" s="27">
        <f t="shared" ref="C9:AG9" si="2">SUM(C4:C8)</f>
        <v>14865000</v>
      </c>
      <c r="D9" s="27">
        <f t="shared" si="2"/>
        <v>6330000</v>
      </c>
      <c r="E9" s="27">
        <f t="shared" si="2"/>
        <v>12961000</v>
      </c>
      <c r="F9" s="27">
        <f t="shared" si="2"/>
        <v>9357500</v>
      </c>
      <c r="G9" s="27">
        <f t="shared" si="2"/>
        <v>21860000</v>
      </c>
      <c r="H9" s="27">
        <f t="shared" si="2"/>
        <v>11935000</v>
      </c>
      <c r="I9" s="27">
        <f t="shared" si="2"/>
        <v>10970000</v>
      </c>
      <c r="J9" s="27">
        <f t="shared" si="2"/>
        <v>6085000</v>
      </c>
      <c r="K9" s="27">
        <f t="shared" si="2"/>
        <v>10170000</v>
      </c>
      <c r="L9" s="28">
        <f t="shared" si="2"/>
        <v>14194000</v>
      </c>
      <c r="M9" s="28">
        <f t="shared" si="2"/>
        <v>10550000</v>
      </c>
      <c r="N9" s="27">
        <f t="shared" si="2"/>
        <v>22932000</v>
      </c>
      <c r="O9" s="27">
        <f t="shared" si="2"/>
        <v>16670000</v>
      </c>
      <c r="P9" s="27">
        <f t="shared" si="2"/>
        <v>17305000</v>
      </c>
      <c r="Q9" s="27">
        <f t="shared" si="2"/>
        <v>11110000</v>
      </c>
      <c r="R9" s="27">
        <f t="shared" si="2"/>
        <v>17069750</v>
      </c>
      <c r="S9" s="27">
        <f t="shared" si="2"/>
        <v>17550875</v>
      </c>
      <c r="T9" s="27">
        <f t="shared" si="2"/>
        <v>17053000</v>
      </c>
      <c r="U9" s="27">
        <f t="shared" si="2"/>
        <v>17505000</v>
      </c>
      <c r="V9" s="27">
        <f t="shared" si="2"/>
        <v>18923000</v>
      </c>
      <c r="W9" s="27">
        <f t="shared" si="2"/>
        <v>14739000</v>
      </c>
      <c r="X9" s="27">
        <f t="shared" si="2"/>
        <v>12920000</v>
      </c>
      <c r="Y9" s="27">
        <f t="shared" si="2"/>
        <v>13954000</v>
      </c>
      <c r="Z9" s="27">
        <f t="shared" si="2"/>
        <v>10720000</v>
      </c>
      <c r="AA9" s="27">
        <f t="shared" si="2"/>
        <v>10577500</v>
      </c>
      <c r="AB9" s="27">
        <f t="shared" si="2"/>
        <v>20352500</v>
      </c>
      <c r="AC9" s="27">
        <f t="shared" si="2"/>
        <v>16468750</v>
      </c>
      <c r="AD9" s="27">
        <f t="shared" si="2"/>
        <v>7418000</v>
      </c>
      <c r="AE9" s="27">
        <f t="shared" si="2"/>
        <v>12145000</v>
      </c>
      <c r="AF9" s="27">
        <f t="shared" si="2"/>
        <v>12062750</v>
      </c>
      <c r="AG9" s="29">
        <f t="shared" si="2"/>
        <v>416753625</v>
      </c>
      <c r="AH9" s="8"/>
      <c r="AI9" s="4"/>
      <c r="AJ9" s="4"/>
    </row>
    <row r="10" spans="1:36">
      <c r="A10" s="30"/>
      <c r="B10" s="31" t="s">
        <v>15</v>
      </c>
      <c r="C10" s="32">
        <v>42</v>
      </c>
      <c r="D10" s="32">
        <v>23</v>
      </c>
      <c r="E10" s="32">
        <v>40</v>
      </c>
      <c r="F10" s="32">
        <v>29</v>
      </c>
      <c r="G10" s="32">
        <v>61</v>
      </c>
      <c r="H10" s="32">
        <v>48</v>
      </c>
      <c r="I10" s="32">
        <v>39</v>
      </c>
      <c r="J10" s="32">
        <v>23</v>
      </c>
      <c r="K10" s="32">
        <v>49</v>
      </c>
      <c r="L10" s="7">
        <v>51</v>
      </c>
      <c r="M10" s="7">
        <v>40</v>
      </c>
      <c r="N10" s="32">
        <v>68</v>
      </c>
      <c r="O10" s="32">
        <f>76</f>
        <v>76</v>
      </c>
      <c r="P10" s="32">
        <v>57</v>
      </c>
      <c r="Q10" s="33">
        <v>43</v>
      </c>
      <c r="R10" s="33">
        <v>57</v>
      </c>
      <c r="S10" s="33">
        <v>50</v>
      </c>
      <c r="T10" s="33">
        <f>56</f>
        <v>56</v>
      </c>
      <c r="U10" s="33">
        <f>72</f>
        <v>72</v>
      </c>
      <c r="V10" s="33">
        <v>66</v>
      </c>
      <c r="W10" s="33">
        <f>57</f>
        <v>57</v>
      </c>
      <c r="X10" s="33">
        <v>47</v>
      </c>
      <c r="Y10" s="33">
        <v>64</v>
      </c>
      <c r="Z10" s="33">
        <v>45</v>
      </c>
      <c r="AA10" s="33">
        <v>39</v>
      </c>
      <c r="AB10" s="33">
        <v>65</v>
      </c>
      <c r="AC10" s="33">
        <v>61</v>
      </c>
      <c r="AD10" s="33">
        <v>30</v>
      </c>
      <c r="AE10" s="33">
        <v>45</v>
      </c>
      <c r="AF10" s="33">
        <f>40</f>
        <v>40</v>
      </c>
      <c r="AG10" s="34">
        <f t="shared" ref="AG10:AG19" si="3">SUM(C10:AF10)</f>
        <v>1483</v>
      </c>
      <c r="AH10" s="35"/>
      <c r="AI10" s="2"/>
      <c r="AJ10" s="2"/>
    </row>
    <row r="11" spans="1:36">
      <c r="A11" s="1"/>
      <c r="B11" s="9" t="s">
        <v>16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1"/>
      <c r="X11" s="21"/>
      <c r="Y11" s="20"/>
      <c r="Z11" s="20"/>
      <c r="AA11" s="20"/>
      <c r="AB11" s="20"/>
      <c r="AC11" s="20"/>
      <c r="AD11" s="20"/>
      <c r="AE11" s="20"/>
      <c r="AF11" s="20"/>
      <c r="AG11" s="14">
        <f t="shared" si="3"/>
        <v>0</v>
      </c>
      <c r="AH11" s="8"/>
      <c r="AI11" s="4"/>
      <c r="AJ11" s="4"/>
    </row>
    <row r="12" spans="1:36">
      <c r="A12" s="15" t="s">
        <v>6</v>
      </c>
      <c r="B12" s="22" t="s">
        <v>17</v>
      </c>
      <c r="C12" s="17">
        <v>12575000</v>
      </c>
      <c r="D12" s="17">
        <v>27335000</v>
      </c>
      <c r="E12" s="17">
        <v>12240000</v>
      </c>
      <c r="F12" s="17">
        <f>32025000+1725000</f>
        <v>33750000</v>
      </c>
      <c r="G12" s="17">
        <f>6875000+53315000</f>
        <v>60190000</v>
      </c>
      <c r="H12" s="17">
        <f>27995000+66900000</f>
        <v>94895000</v>
      </c>
      <c r="I12" s="17">
        <f>11220000</f>
        <v>11220000</v>
      </c>
      <c r="J12" s="17">
        <v>48200000</v>
      </c>
      <c r="K12" s="17">
        <f>38654000</f>
        <v>38654000</v>
      </c>
      <c r="L12" s="17">
        <v>30350000</v>
      </c>
      <c r="M12" s="17">
        <f>3230000+19905000</f>
        <v>23135000</v>
      </c>
      <c r="N12" s="17">
        <f>30405000+2835000</f>
        <v>33240000</v>
      </c>
      <c r="O12" s="17">
        <f>54365000+16860000</f>
        <v>71225000</v>
      </c>
      <c r="P12" s="17">
        <f>9165000+20000</f>
        <v>9185000</v>
      </c>
      <c r="Q12" s="20">
        <v>13455000</v>
      </c>
      <c r="R12" s="20">
        <v>35500000</v>
      </c>
      <c r="S12" s="20">
        <v>27260000</v>
      </c>
      <c r="T12" s="20">
        <f>1420000+14465000</f>
        <v>15885000</v>
      </c>
      <c r="U12" s="20">
        <v>47900000</v>
      </c>
      <c r="V12" s="20">
        <f>65320000+20010000</f>
        <v>85330000</v>
      </c>
      <c r="W12" s="20">
        <v>13450000</v>
      </c>
      <c r="X12" s="20">
        <f>450000+12095000</f>
        <v>12545000</v>
      </c>
      <c r="Y12" s="20">
        <f>27903000</f>
        <v>27903000</v>
      </c>
      <c r="Z12" s="20">
        <v>21060000</v>
      </c>
      <c r="AA12" s="20">
        <f>23050000+1365000</f>
        <v>24415000</v>
      </c>
      <c r="AB12" s="20">
        <f>55390000</f>
        <v>55390000</v>
      </c>
      <c r="AC12" s="20">
        <f>59160000+19995000</f>
        <v>79155000</v>
      </c>
      <c r="AD12" s="20">
        <v>15955000</v>
      </c>
      <c r="AE12" s="20">
        <f>204000+25845000</f>
        <v>26049000</v>
      </c>
      <c r="AF12" s="20">
        <f>16715000+466752</f>
        <v>17181752</v>
      </c>
      <c r="AG12" s="14">
        <f t="shared" si="3"/>
        <v>1024627752</v>
      </c>
      <c r="AH12" s="8"/>
      <c r="AI12" s="4"/>
      <c r="AJ12" s="4"/>
    </row>
    <row r="13" spans="1:36">
      <c r="A13" s="15" t="s">
        <v>8</v>
      </c>
      <c r="B13" s="22" t="s">
        <v>18</v>
      </c>
      <c r="C13" s="17"/>
      <c r="D13" s="17">
        <f>700000+120000</f>
        <v>820000</v>
      </c>
      <c r="E13" s="17">
        <v>420000</v>
      </c>
      <c r="F13" s="17">
        <v>490000</v>
      </c>
      <c r="G13" s="17">
        <f>70000+1190000</f>
        <v>1260000</v>
      </c>
      <c r="H13" s="17">
        <f>770000+770000</f>
        <v>1540000</v>
      </c>
      <c r="I13" s="17">
        <f>630000</f>
        <v>630000</v>
      </c>
      <c r="J13" s="17">
        <v>630000</v>
      </c>
      <c r="K13" s="17">
        <f>840000</f>
        <v>840000</v>
      </c>
      <c r="L13" s="17">
        <v>70000</v>
      </c>
      <c r="M13" s="17">
        <f>560000</f>
        <v>560000</v>
      </c>
      <c r="N13" s="17">
        <f>1050000</f>
        <v>1050000</v>
      </c>
      <c r="O13" s="17">
        <f>910000+770000</f>
        <v>1680000</v>
      </c>
      <c r="P13" s="17">
        <v>140000</v>
      </c>
      <c r="Q13" s="20">
        <v>70000</v>
      </c>
      <c r="R13" s="20">
        <v>560000</v>
      </c>
      <c r="S13" s="20">
        <v>700000</v>
      </c>
      <c r="T13" s="20">
        <f>560000</f>
        <v>560000</v>
      </c>
      <c r="U13" s="20">
        <v>770000</v>
      </c>
      <c r="V13" s="20">
        <f>910000+280000</f>
        <v>1190000</v>
      </c>
      <c r="W13" s="20">
        <v>210000</v>
      </c>
      <c r="X13" s="20"/>
      <c r="Y13" s="20">
        <f>140000</f>
        <v>140000</v>
      </c>
      <c r="Z13" s="20">
        <v>350000</v>
      </c>
      <c r="AA13" s="20">
        <v>840000</v>
      </c>
      <c r="AB13" s="20">
        <f>1330000</f>
        <v>1330000</v>
      </c>
      <c r="AC13" s="20">
        <f>1820000+1260000</f>
        <v>3080000</v>
      </c>
      <c r="AD13" s="20"/>
      <c r="AE13" s="20">
        <f>700000</f>
        <v>700000</v>
      </c>
      <c r="AF13" s="20">
        <v>490000</v>
      </c>
      <c r="AG13" s="14">
        <f t="shared" si="3"/>
        <v>21120000</v>
      </c>
      <c r="AH13" s="8"/>
      <c r="AI13" s="4"/>
      <c r="AJ13" s="4"/>
    </row>
    <row r="14" spans="1:36">
      <c r="A14" s="15" t="s">
        <v>4</v>
      </c>
      <c r="B14" s="16" t="s">
        <v>19</v>
      </c>
      <c r="C14" s="17">
        <v>100000</v>
      </c>
      <c r="D14" s="17">
        <v>350000</v>
      </c>
      <c r="E14" s="17">
        <v>530000</v>
      </c>
      <c r="F14" s="17">
        <f>600000+190000</f>
        <v>790000</v>
      </c>
      <c r="G14" s="17">
        <v>1160000</v>
      </c>
      <c r="H14" s="17">
        <f>500000+990000</f>
        <v>1490000</v>
      </c>
      <c r="I14" s="17">
        <f>245000</f>
        <v>245000</v>
      </c>
      <c r="J14" s="17">
        <v>1040000</v>
      </c>
      <c r="K14" s="17">
        <f t="shared" ref="K14:K15" si="4">250000</f>
        <v>250000</v>
      </c>
      <c r="L14" s="17"/>
      <c r="M14" s="17">
        <f>150000+150000</f>
        <v>300000</v>
      </c>
      <c r="N14" s="17">
        <f>1170000</f>
        <v>1170000</v>
      </c>
      <c r="O14" s="17">
        <f>1090000+150000</f>
        <v>1240000</v>
      </c>
      <c r="P14" s="19">
        <v>100000</v>
      </c>
      <c r="Q14" s="20">
        <v>100000</v>
      </c>
      <c r="R14" s="20">
        <v>390000</v>
      </c>
      <c r="S14" s="20">
        <v>100000</v>
      </c>
      <c r="T14" s="20">
        <f>650000+490000</f>
        <v>1140000</v>
      </c>
      <c r="U14" s="20">
        <v>570000</v>
      </c>
      <c r="V14" s="20">
        <f>1815000+140000</f>
        <v>1955000</v>
      </c>
      <c r="W14" s="20">
        <v>200000</v>
      </c>
      <c r="X14" s="20">
        <f>250000</f>
        <v>250000</v>
      </c>
      <c r="Y14" s="20">
        <f>1020000</f>
        <v>1020000</v>
      </c>
      <c r="Z14" s="20">
        <v>690000</v>
      </c>
      <c r="AA14" s="20">
        <f>280000+100000</f>
        <v>380000</v>
      </c>
      <c r="AB14" s="20">
        <f>600000</f>
        <v>600000</v>
      </c>
      <c r="AC14" s="20">
        <f>1430000+375000</f>
        <v>1805000</v>
      </c>
      <c r="AD14" s="20">
        <v>100000</v>
      </c>
      <c r="AE14" s="20">
        <f>450000</f>
        <v>450000</v>
      </c>
      <c r="AF14" s="20">
        <v>450000</v>
      </c>
      <c r="AG14" s="14">
        <f t="shared" si="3"/>
        <v>18965000</v>
      </c>
      <c r="AH14" s="8"/>
      <c r="AI14" s="4"/>
      <c r="AJ14" s="4"/>
    </row>
    <row r="15" spans="1:36">
      <c r="A15" s="15" t="s">
        <v>10</v>
      </c>
      <c r="B15" s="22" t="s">
        <v>20</v>
      </c>
      <c r="C15" s="17"/>
      <c r="D15" s="20">
        <v>250000</v>
      </c>
      <c r="E15" s="20">
        <v>750000</v>
      </c>
      <c r="F15" s="17">
        <v>750000</v>
      </c>
      <c r="G15" s="20">
        <v>1750000</v>
      </c>
      <c r="H15" s="17">
        <f>750000</f>
        <v>750000</v>
      </c>
      <c r="I15" s="17"/>
      <c r="J15" s="20">
        <v>500000</v>
      </c>
      <c r="K15" s="20">
        <f t="shared" si="4"/>
        <v>250000</v>
      </c>
      <c r="L15" s="17"/>
      <c r="M15" s="17"/>
      <c r="N15" s="20">
        <f>750000</f>
        <v>750000</v>
      </c>
      <c r="O15" s="20">
        <f>500000</f>
        <v>500000</v>
      </c>
      <c r="P15" s="17">
        <v>250000</v>
      </c>
      <c r="Q15" s="20">
        <v>120000</v>
      </c>
      <c r="R15" s="20">
        <v>250000</v>
      </c>
      <c r="S15" s="20"/>
      <c r="T15" s="20">
        <f>250000</f>
        <v>250000</v>
      </c>
      <c r="U15" s="20">
        <v>500000</v>
      </c>
      <c r="V15" s="20">
        <v>1200000</v>
      </c>
      <c r="W15" s="20"/>
      <c r="X15" s="20"/>
      <c r="Y15" s="20"/>
      <c r="Z15" s="20"/>
      <c r="AA15" s="20"/>
      <c r="AB15" s="20">
        <f>250000</f>
        <v>250000</v>
      </c>
      <c r="AC15" s="20">
        <f>500000</f>
        <v>500000</v>
      </c>
      <c r="AD15" s="20"/>
      <c r="AE15" s="20"/>
      <c r="AF15" s="20">
        <v>500000</v>
      </c>
      <c r="AG15" s="14">
        <f t="shared" si="3"/>
        <v>10070000</v>
      </c>
      <c r="AH15" s="8"/>
      <c r="AI15" s="4"/>
      <c r="AJ15" s="4"/>
    </row>
    <row r="16" spans="1:36">
      <c r="A16" s="24" t="s">
        <v>21</v>
      </c>
      <c r="B16" s="22" t="s">
        <v>22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14">
        <f t="shared" si="3"/>
        <v>0</v>
      </c>
      <c r="AH16" s="8"/>
      <c r="AI16" s="4"/>
      <c r="AJ16" s="4"/>
    </row>
    <row r="17" spans="1:36">
      <c r="A17" s="24" t="s">
        <v>21</v>
      </c>
      <c r="B17" s="22" t="s">
        <v>23</v>
      </c>
      <c r="C17" s="20"/>
      <c r="D17" s="20"/>
      <c r="E17" s="20">
        <f>200000</f>
        <v>200000</v>
      </c>
      <c r="F17" s="20"/>
      <c r="G17" s="20">
        <v>120000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>
        <v>2500000</v>
      </c>
      <c r="AA17" s="20"/>
      <c r="AB17" s="20"/>
      <c r="AC17" s="20"/>
      <c r="AD17" s="20"/>
      <c r="AE17" s="20"/>
      <c r="AF17" s="20">
        <f>45000000</f>
        <v>45000000</v>
      </c>
      <c r="AG17" s="14">
        <f t="shared" si="3"/>
        <v>47820000</v>
      </c>
      <c r="AH17" s="8"/>
      <c r="AI17" s="4"/>
      <c r="AJ17" s="4"/>
    </row>
    <row r="18" spans="1:36">
      <c r="A18" s="24" t="s">
        <v>12</v>
      </c>
      <c r="B18" s="16" t="s">
        <v>24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14">
        <f t="shared" si="3"/>
        <v>0</v>
      </c>
      <c r="AH18" s="8"/>
      <c r="AI18" s="4"/>
      <c r="AJ18" s="4"/>
    </row>
    <row r="19" spans="1:36">
      <c r="A19" s="15" t="s">
        <v>25</v>
      </c>
      <c r="B19" s="22" t="s">
        <v>26</v>
      </c>
      <c r="C19" s="17">
        <v>12404452</v>
      </c>
      <c r="D19" s="17">
        <v>6627036</v>
      </c>
      <c r="E19" s="17">
        <v>13763844</v>
      </c>
      <c r="F19" s="17">
        <f>12404452+1656759</f>
        <v>14061211</v>
      </c>
      <c r="G19" s="17">
        <v>24936347</v>
      </c>
      <c r="H19" s="17">
        <v>36321255</v>
      </c>
      <c r="I19" s="17">
        <v>11214984</v>
      </c>
      <c r="J19" s="17">
        <v>13593920</v>
      </c>
      <c r="K19" s="17">
        <f>11639794</f>
        <v>11639794</v>
      </c>
      <c r="L19" s="17">
        <v>10195440</v>
      </c>
      <c r="M19" s="17">
        <f>1444354+12404452</f>
        <v>13848806</v>
      </c>
      <c r="N19" s="17">
        <f>17842020</f>
        <v>17842020</v>
      </c>
      <c r="O19" s="17">
        <f>31520902</f>
        <v>31520902</v>
      </c>
      <c r="P19" s="17">
        <v>9855592</v>
      </c>
      <c r="Q19" s="20">
        <v>11045060</v>
      </c>
      <c r="R19" s="20">
        <v>11384908</v>
      </c>
      <c r="S19" s="20">
        <f>10705212+200000</f>
        <v>10905212</v>
      </c>
      <c r="T19" s="20">
        <f>1444354+9345820</f>
        <v>10790174</v>
      </c>
      <c r="U19" s="20">
        <v>22175082</v>
      </c>
      <c r="V19" s="20">
        <v>28674675</v>
      </c>
      <c r="W19" s="20">
        <v>9515744</v>
      </c>
      <c r="X19" s="20">
        <v>11554832</v>
      </c>
      <c r="Y19" s="20">
        <v>17842020</v>
      </c>
      <c r="Z19" s="20">
        <v>9005972</v>
      </c>
      <c r="AA19" s="20">
        <f>9685668+2039088</f>
        <v>11724756</v>
      </c>
      <c r="AB19" s="20">
        <f>25616043+3000000</f>
        <v>28616043</v>
      </c>
      <c r="AC19" s="20">
        <f>25913410</f>
        <v>25913410</v>
      </c>
      <c r="AD19" s="20">
        <v>9005972</v>
      </c>
      <c r="AE19" s="20">
        <v>9685668</v>
      </c>
      <c r="AF19" s="20">
        <v>11045060</v>
      </c>
      <c r="AG19" s="14">
        <f t="shared" si="3"/>
        <v>466710191</v>
      </c>
      <c r="AH19" s="8"/>
      <c r="AI19" s="4"/>
      <c r="AJ19" s="4"/>
    </row>
    <row r="20" spans="1:36">
      <c r="A20" s="1"/>
      <c r="B20" s="26" t="s">
        <v>27</v>
      </c>
      <c r="C20" s="36">
        <f t="shared" ref="C20:AG20" si="5">SUM(C12:C19)</f>
        <v>25079452</v>
      </c>
      <c r="D20" s="36">
        <f t="shared" si="5"/>
        <v>35382036</v>
      </c>
      <c r="E20" s="36">
        <f t="shared" si="5"/>
        <v>27903844</v>
      </c>
      <c r="F20" s="36">
        <f t="shared" si="5"/>
        <v>49841211</v>
      </c>
      <c r="G20" s="36">
        <f t="shared" si="5"/>
        <v>89416347</v>
      </c>
      <c r="H20" s="36">
        <f t="shared" si="5"/>
        <v>134996255</v>
      </c>
      <c r="I20" s="36">
        <f t="shared" si="5"/>
        <v>23309984</v>
      </c>
      <c r="J20" s="36">
        <f t="shared" si="5"/>
        <v>63963920</v>
      </c>
      <c r="K20" s="36">
        <f t="shared" si="5"/>
        <v>51633794</v>
      </c>
      <c r="L20" s="37">
        <f t="shared" si="5"/>
        <v>40615440</v>
      </c>
      <c r="M20" s="37">
        <f t="shared" si="5"/>
        <v>37843806</v>
      </c>
      <c r="N20" s="36">
        <f t="shared" si="5"/>
        <v>54052020</v>
      </c>
      <c r="O20" s="36">
        <f t="shared" si="5"/>
        <v>106165902</v>
      </c>
      <c r="P20" s="36">
        <f t="shared" si="5"/>
        <v>19530592</v>
      </c>
      <c r="Q20" s="36">
        <f t="shared" si="5"/>
        <v>24790060</v>
      </c>
      <c r="R20" s="36">
        <f t="shared" si="5"/>
        <v>48084908</v>
      </c>
      <c r="S20" s="36">
        <f t="shared" si="5"/>
        <v>38965212</v>
      </c>
      <c r="T20" s="36">
        <f t="shared" si="5"/>
        <v>28625174</v>
      </c>
      <c r="U20" s="36">
        <f t="shared" si="5"/>
        <v>71915082</v>
      </c>
      <c r="V20" s="36">
        <f t="shared" si="5"/>
        <v>118349675</v>
      </c>
      <c r="W20" s="36">
        <f t="shared" si="5"/>
        <v>23375744</v>
      </c>
      <c r="X20" s="36">
        <f t="shared" si="5"/>
        <v>24349832</v>
      </c>
      <c r="Y20" s="36">
        <f t="shared" si="5"/>
        <v>46905020</v>
      </c>
      <c r="Z20" s="36">
        <f t="shared" si="5"/>
        <v>33605972</v>
      </c>
      <c r="AA20" s="36">
        <f t="shared" si="5"/>
        <v>37359756</v>
      </c>
      <c r="AB20" s="36">
        <f t="shared" si="5"/>
        <v>86186043</v>
      </c>
      <c r="AC20" s="36">
        <f t="shared" si="5"/>
        <v>110453410</v>
      </c>
      <c r="AD20" s="36">
        <f t="shared" si="5"/>
        <v>25060972</v>
      </c>
      <c r="AE20" s="36">
        <f t="shared" si="5"/>
        <v>36884668</v>
      </c>
      <c r="AF20" s="36">
        <f t="shared" si="5"/>
        <v>74666812</v>
      </c>
      <c r="AG20" s="34">
        <f t="shared" si="5"/>
        <v>1589312943</v>
      </c>
      <c r="AH20" s="8"/>
      <c r="AI20" s="4"/>
      <c r="AJ20" s="4"/>
    </row>
    <row r="21" spans="1:36">
      <c r="A21" s="38"/>
      <c r="B21" s="31" t="s">
        <v>15</v>
      </c>
      <c r="C21" s="32">
        <v>51</v>
      </c>
      <c r="D21" s="32">
        <v>76</v>
      </c>
      <c r="E21" s="32">
        <v>73</v>
      </c>
      <c r="F21" s="32">
        <f>113+13</f>
        <v>126</v>
      </c>
      <c r="G21" s="32">
        <f>40+123</f>
        <v>163</v>
      </c>
      <c r="H21" s="32">
        <f>75+113</f>
        <v>188</v>
      </c>
      <c r="I21" s="32">
        <v>63</v>
      </c>
      <c r="J21" s="32">
        <v>95</v>
      </c>
      <c r="K21" s="32">
        <f>103</f>
        <v>103</v>
      </c>
      <c r="L21" s="7">
        <v>51</v>
      </c>
      <c r="M21" s="7">
        <f>5+80</f>
        <v>85</v>
      </c>
      <c r="N21" s="32">
        <f>70</f>
        <v>70</v>
      </c>
      <c r="O21" s="32">
        <f>128+62</f>
        <v>190</v>
      </c>
      <c r="P21" s="32">
        <v>30</v>
      </c>
      <c r="Q21" s="33">
        <v>54</v>
      </c>
      <c r="R21" s="33">
        <v>92</v>
      </c>
      <c r="S21" s="33">
        <v>68</v>
      </c>
      <c r="T21" s="33">
        <f>9+60</f>
        <v>69</v>
      </c>
      <c r="U21" s="33">
        <f>151</f>
        <v>151</v>
      </c>
      <c r="V21" s="33">
        <f>135+67</f>
        <v>202</v>
      </c>
      <c r="W21" s="33">
        <f>68</f>
        <v>68</v>
      </c>
      <c r="X21" s="33">
        <f>70</f>
        <v>70</v>
      </c>
      <c r="Y21" s="33">
        <f>136</f>
        <v>136</v>
      </c>
      <c r="Z21" s="33">
        <v>33</v>
      </c>
      <c r="AA21" s="33">
        <v>56</v>
      </c>
      <c r="AB21" s="33">
        <f>177</f>
        <v>177</v>
      </c>
      <c r="AC21" s="33">
        <f>134+70</f>
        <v>204</v>
      </c>
      <c r="AD21" s="33">
        <v>52</v>
      </c>
      <c r="AE21" s="33">
        <f>52</f>
        <v>52</v>
      </c>
      <c r="AF21" s="33">
        <f>61</f>
        <v>61</v>
      </c>
      <c r="AG21" s="34">
        <f t="shared" ref="AG21:AG22" si="6">SUM(C21:AF21)</f>
        <v>2909</v>
      </c>
      <c r="AH21" s="35"/>
      <c r="AI21" s="2"/>
      <c r="AJ21" s="2"/>
    </row>
    <row r="22" spans="1:36">
      <c r="A22" s="1"/>
      <c r="B22" s="9" t="s">
        <v>28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13"/>
      <c r="Y22" s="12"/>
      <c r="Z22" s="12"/>
      <c r="AA22" s="12"/>
      <c r="AB22" s="12"/>
      <c r="AC22" s="12"/>
      <c r="AD22" s="12"/>
      <c r="AE22" s="12"/>
      <c r="AF22" s="12"/>
      <c r="AG22" s="14">
        <f t="shared" si="6"/>
        <v>0</v>
      </c>
      <c r="AH22" s="8"/>
      <c r="AI22" s="4"/>
      <c r="AJ22" s="4"/>
    </row>
    <row r="23" spans="1:36">
      <c r="A23" s="15" t="s">
        <v>29</v>
      </c>
      <c r="B23" s="22" t="s">
        <v>30</v>
      </c>
      <c r="C23" s="39">
        <f t="shared" ref="C23:AG23" si="7">SUM(C24:C26)</f>
        <v>626500</v>
      </c>
      <c r="D23" s="39">
        <f t="shared" si="7"/>
        <v>902500</v>
      </c>
      <c r="E23" s="40">
        <f t="shared" si="7"/>
        <v>374000</v>
      </c>
      <c r="F23" s="39">
        <f t="shared" si="7"/>
        <v>1759000</v>
      </c>
      <c r="G23" s="40">
        <f t="shared" si="7"/>
        <v>1352000</v>
      </c>
      <c r="H23" s="40">
        <f t="shared" si="7"/>
        <v>2866000</v>
      </c>
      <c r="I23" s="40">
        <f t="shared" si="7"/>
        <v>787000</v>
      </c>
      <c r="J23" s="40">
        <f t="shared" si="7"/>
        <v>691500</v>
      </c>
      <c r="K23" s="40">
        <f t="shared" si="7"/>
        <v>785000</v>
      </c>
      <c r="L23" s="40">
        <f t="shared" si="7"/>
        <v>160000</v>
      </c>
      <c r="M23" s="40">
        <f t="shared" si="7"/>
        <v>379500</v>
      </c>
      <c r="N23" s="40">
        <f t="shared" si="7"/>
        <v>1376000</v>
      </c>
      <c r="O23" s="40">
        <f t="shared" si="7"/>
        <v>2542500</v>
      </c>
      <c r="P23" s="40">
        <f t="shared" si="7"/>
        <v>185500</v>
      </c>
      <c r="Q23" s="40">
        <f t="shared" si="7"/>
        <v>386500</v>
      </c>
      <c r="R23" s="40">
        <f t="shared" si="7"/>
        <v>2254000</v>
      </c>
      <c r="S23" s="40">
        <f t="shared" si="7"/>
        <v>401000</v>
      </c>
      <c r="T23" s="40">
        <f t="shared" si="7"/>
        <v>440500</v>
      </c>
      <c r="U23" s="40">
        <f t="shared" si="7"/>
        <v>1109500</v>
      </c>
      <c r="V23" s="40">
        <f t="shared" si="7"/>
        <v>2370500</v>
      </c>
      <c r="W23" s="41">
        <f t="shared" si="7"/>
        <v>467500</v>
      </c>
      <c r="X23" s="41">
        <f t="shared" si="7"/>
        <v>658000</v>
      </c>
      <c r="Y23" s="40">
        <f t="shared" si="7"/>
        <v>642500</v>
      </c>
      <c r="Z23" s="40">
        <f t="shared" si="7"/>
        <v>315000</v>
      </c>
      <c r="AA23" s="40">
        <f t="shared" si="7"/>
        <v>361000</v>
      </c>
      <c r="AB23" s="40">
        <f t="shared" si="7"/>
        <v>880000</v>
      </c>
      <c r="AC23" s="40">
        <f t="shared" si="7"/>
        <v>1553000</v>
      </c>
      <c r="AD23" s="40">
        <f t="shared" si="7"/>
        <v>1535000</v>
      </c>
      <c r="AE23" s="40">
        <f t="shared" si="7"/>
        <v>1775000</v>
      </c>
      <c r="AF23" s="40">
        <f t="shared" si="7"/>
        <v>826000</v>
      </c>
      <c r="AG23" s="14">
        <f t="shared" si="7"/>
        <v>30762000</v>
      </c>
      <c r="AH23" s="8"/>
      <c r="AI23" s="4"/>
      <c r="AJ23" s="4"/>
    </row>
    <row r="24" spans="1:36">
      <c r="A24" s="1"/>
      <c r="B24" s="22" t="s">
        <v>31</v>
      </c>
      <c r="C24" s="23"/>
      <c r="D24" s="23"/>
      <c r="E24" s="20"/>
      <c r="F24" s="23"/>
      <c r="G24" s="20"/>
      <c r="H24" s="20">
        <f>250000+260000</f>
        <v>510000</v>
      </c>
      <c r="I24" s="20"/>
      <c r="J24" s="20"/>
      <c r="K24" s="20"/>
      <c r="L24" s="17"/>
      <c r="M24" s="20"/>
      <c r="N24" s="20"/>
      <c r="O24" s="20">
        <f>700000</f>
        <v>700000</v>
      </c>
      <c r="P24" s="20"/>
      <c r="Q24" s="20"/>
      <c r="R24" s="20">
        <f>1400000</f>
        <v>1400000</v>
      </c>
      <c r="S24" s="20"/>
      <c r="T24" s="20"/>
      <c r="U24" s="20"/>
      <c r="V24" s="20"/>
      <c r="W24" s="21"/>
      <c r="X24" s="21"/>
      <c r="Y24" s="20"/>
      <c r="Z24" s="20"/>
      <c r="AA24" s="20"/>
      <c r="AB24" s="20"/>
      <c r="AC24" s="20"/>
      <c r="AD24" s="20"/>
      <c r="AE24" s="20"/>
      <c r="AF24" s="20"/>
      <c r="AG24" s="14">
        <f t="shared" ref="AG24:AG26" si="8">SUM(C24:AF24)</f>
        <v>2610000</v>
      </c>
      <c r="AH24" s="8"/>
      <c r="AI24" s="4"/>
      <c r="AJ24" s="4"/>
    </row>
    <row r="25" spans="1:36">
      <c r="A25" s="1"/>
      <c r="B25" s="22" t="s">
        <v>32</v>
      </c>
      <c r="C25" s="18">
        <v>19000</v>
      </c>
      <c r="D25" s="18"/>
      <c r="E25" s="17">
        <v>54000</v>
      </c>
      <c r="F25" s="18">
        <v>1034000</v>
      </c>
      <c r="G25" s="17">
        <f>252000+750000</f>
        <v>1002000</v>
      </c>
      <c r="H25" s="17">
        <f>66000</f>
        <v>66000</v>
      </c>
      <c r="I25" s="17">
        <f>12000+35000</f>
        <v>47000</v>
      </c>
      <c r="J25" s="17">
        <f>514000</f>
        <v>514000</v>
      </c>
      <c r="K25" s="42"/>
      <c r="L25" s="17"/>
      <c r="M25" s="17">
        <f>17000</f>
        <v>17000</v>
      </c>
      <c r="N25" s="17">
        <f>750000+90000+36000</f>
        <v>876000</v>
      </c>
      <c r="O25" s="17">
        <f>650000+195000</f>
        <v>845000</v>
      </c>
      <c r="P25" s="17">
        <f>24000+24000</f>
        <v>48000</v>
      </c>
      <c r="Q25" s="20">
        <f>64000+20000</f>
        <v>84000</v>
      </c>
      <c r="R25" s="20">
        <v>64000</v>
      </c>
      <c r="S25" s="20">
        <f>29000+122000</f>
        <v>151000</v>
      </c>
      <c r="T25" s="20">
        <f>39000+49000</f>
        <v>88000</v>
      </c>
      <c r="U25" s="20">
        <f>129000+58000</f>
        <v>187000</v>
      </c>
      <c r="V25" s="20">
        <f>650000+190000+18000</f>
        <v>858000</v>
      </c>
      <c r="W25" s="21">
        <f>15000+40000</f>
        <v>55000</v>
      </c>
      <c r="X25" s="21">
        <f>48000</f>
        <v>48000</v>
      </c>
      <c r="Y25" s="20">
        <f>10000</f>
        <v>10000</v>
      </c>
      <c r="Z25" s="20"/>
      <c r="AA25" s="20">
        <v>26000</v>
      </c>
      <c r="AB25" s="20">
        <f>750000</f>
        <v>750000</v>
      </c>
      <c r="AC25" s="20">
        <f>30000+650000+43000+20000</f>
        <v>743000</v>
      </c>
      <c r="AD25" s="20"/>
      <c r="AE25" s="20">
        <f>135000</f>
        <v>135000</v>
      </c>
      <c r="AF25" s="20">
        <f>58000+203000</f>
        <v>261000</v>
      </c>
      <c r="AG25" s="14">
        <f t="shared" si="8"/>
        <v>7982000</v>
      </c>
      <c r="AH25" s="8"/>
      <c r="AI25" s="4"/>
      <c r="AJ25" s="4"/>
    </row>
    <row r="26" spans="1:36">
      <c r="A26" s="1"/>
      <c r="B26" s="22" t="s">
        <v>33</v>
      </c>
      <c r="C26" s="43">
        <v>607500</v>
      </c>
      <c r="D26" s="43">
        <v>902500</v>
      </c>
      <c r="E26" s="44">
        <v>320000</v>
      </c>
      <c r="F26" s="43">
        <v>725000</v>
      </c>
      <c r="G26" s="44">
        <f>317500+32500</f>
        <v>350000</v>
      </c>
      <c r="H26" s="44">
        <f>442500+1627500+220000</f>
        <v>2290000</v>
      </c>
      <c r="I26" s="44">
        <f>75000+665000</f>
        <v>740000</v>
      </c>
      <c r="J26" s="44">
        <f>25000+152500</f>
        <v>177500</v>
      </c>
      <c r="K26" s="44">
        <v>785000</v>
      </c>
      <c r="L26" s="44">
        <v>160000</v>
      </c>
      <c r="M26" s="44">
        <f>362500</f>
        <v>362500</v>
      </c>
      <c r="N26" s="44">
        <f>36000+440000+24000</f>
        <v>500000</v>
      </c>
      <c r="O26" s="44">
        <f>412500+392500+192500</f>
        <v>997500</v>
      </c>
      <c r="P26" s="44">
        <f>137500</f>
        <v>137500</v>
      </c>
      <c r="Q26" s="45">
        <f>302500</f>
        <v>302500</v>
      </c>
      <c r="R26" s="45">
        <f>250000+540000</f>
        <v>790000</v>
      </c>
      <c r="S26" s="45">
        <f>250000</f>
        <v>250000</v>
      </c>
      <c r="T26" s="45">
        <f>302500+50000</f>
        <v>352500</v>
      </c>
      <c r="U26" s="45">
        <f>485000+437500</f>
        <v>922500</v>
      </c>
      <c r="V26" s="45">
        <f>1162500+350000</f>
        <v>1512500</v>
      </c>
      <c r="W26" s="46">
        <f>412500</f>
        <v>412500</v>
      </c>
      <c r="X26" s="46">
        <f>50000+560000</f>
        <v>610000</v>
      </c>
      <c r="Y26" s="45">
        <f>495000+137500</f>
        <v>632500</v>
      </c>
      <c r="Z26" s="45">
        <f>85000+230000</f>
        <v>315000</v>
      </c>
      <c r="AA26" s="45">
        <f>335000</f>
        <v>335000</v>
      </c>
      <c r="AB26" s="45">
        <f>130000</f>
        <v>130000</v>
      </c>
      <c r="AC26" s="45">
        <f>175000+482500+152500</f>
        <v>810000</v>
      </c>
      <c r="AD26" s="45">
        <f>340000+1195000</f>
        <v>1535000</v>
      </c>
      <c r="AE26" s="45">
        <f>1625000+15000</f>
        <v>1640000</v>
      </c>
      <c r="AF26" s="45">
        <f>497500+67500</f>
        <v>565000</v>
      </c>
      <c r="AG26" s="47">
        <f t="shared" si="8"/>
        <v>20170000</v>
      </c>
      <c r="AH26" s="8"/>
      <c r="AI26" s="4"/>
      <c r="AJ26" s="4"/>
    </row>
    <row r="27" spans="1:36">
      <c r="A27" s="1"/>
      <c r="B27" s="48"/>
      <c r="C27" s="49">
        <f t="shared" ref="C27:AG27" si="9">C9+C20-C23</f>
        <v>39317952</v>
      </c>
      <c r="D27" s="49">
        <f t="shared" si="9"/>
        <v>40809536</v>
      </c>
      <c r="E27" s="49">
        <f t="shared" si="9"/>
        <v>40490844</v>
      </c>
      <c r="F27" s="49">
        <f t="shared" si="9"/>
        <v>57439711</v>
      </c>
      <c r="G27" s="49">
        <f t="shared" si="9"/>
        <v>109924347</v>
      </c>
      <c r="H27" s="49">
        <f t="shared" si="9"/>
        <v>144065255</v>
      </c>
      <c r="I27" s="49">
        <f t="shared" si="9"/>
        <v>33492984</v>
      </c>
      <c r="J27" s="49">
        <f t="shared" si="9"/>
        <v>69357420</v>
      </c>
      <c r="K27" s="49">
        <f t="shared" si="9"/>
        <v>61018794</v>
      </c>
      <c r="L27" s="49">
        <f t="shared" si="9"/>
        <v>54649440</v>
      </c>
      <c r="M27" s="49">
        <f t="shared" si="9"/>
        <v>48014306</v>
      </c>
      <c r="N27" s="49">
        <f t="shared" si="9"/>
        <v>75608020</v>
      </c>
      <c r="O27" s="49">
        <f t="shared" si="9"/>
        <v>120293402</v>
      </c>
      <c r="P27" s="49">
        <f t="shared" si="9"/>
        <v>36650092</v>
      </c>
      <c r="Q27" s="49">
        <f t="shared" si="9"/>
        <v>35513560</v>
      </c>
      <c r="R27" s="49">
        <f t="shared" si="9"/>
        <v>62900658</v>
      </c>
      <c r="S27" s="49">
        <f t="shared" si="9"/>
        <v>56115087</v>
      </c>
      <c r="T27" s="49">
        <f t="shared" si="9"/>
        <v>45237674</v>
      </c>
      <c r="U27" s="49">
        <f t="shared" si="9"/>
        <v>88310582</v>
      </c>
      <c r="V27" s="49">
        <f t="shared" si="9"/>
        <v>134902175</v>
      </c>
      <c r="W27" s="49">
        <f t="shared" si="9"/>
        <v>37647244</v>
      </c>
      <c r="X27" s="49">
        <f t="shared" si="9"/>
        <v>36611832</v>
      </c>
      <c r="Y27" s="49">
        <f t="shared" si="9"/>
        <v>60216520</v>
      </c>
      <c r="Z27" s="49">
        <f t="shared" si="9"/>
        <v>44010972</v>
      </c>
      <c r="AA27" s="49">
        <f t="shared" si="9"/>
        <v>47576256</v>
      </c>
      <c r="AB27" s="49">
        <f t="shared" si="9"/>
        <v>105658543</v>
      </c>
      <c r="AC27" s="49">
        <f t="shared" si="9"/>
        <v>125369160</v>
      </c>
      <c r="AD27" s="49">
        <f t="shared" si="9"/>
        <v>30943972</v>
      </c>
      <c r="AE27" s="49">
        <f t="shared" si="9"/>
        <v>47254668</v>
      </c>
      <c r="AF27" s="49">
        <f t="shared" si="9"/>
        <v>85903562</v>
      </c>
      <c r="AG27" s="50">
        <f t="shared" si="9"/>
        <v>1975304568</v>
      </c>
      <c r="AH27" s="8"/>
      <c r="AI27" s="4"/>
      <c r="AJ27" s="4"/>
    </row>
    <row r="28" spans="1:36">
      <c r="A28" s="15" t="s">
        <v>34</v>
      </c>
      <c r="B28" s="9" t="s">
        <v>35</v>
      </c>
      <c r="C28" s="51">
        <f t="shared" ref="C28:D28" si="10">C27*7%</f>
        <v>2752256.64</v>
      </c>
      <c r="D28" s="51">
        <f t="shared" si="10"/>
        <v>2856667.5200000005</v>
      </c>
      <c r="E28" s="51">
        <v>2820359.08</v>
      </c>
      <c r="F28" s="51">
        <f t="shared" ref="F28:Q28" si="11">F27*7%</f>
        <v>4020779.7700000005</v>
      </c>
      <c r="G28" s="51">
        <f t="shared" si="11"/>
        <v>7694704.290000001</v>
      </c>
      <c r="H28" s="51">
        <f t="shared" si="11"/>
        <v>10084567.850000001</v>
      </c>
      <c r="I28" s="51">
        <f t="shared" si="11"/>
        <v>2344508.8800000004</v>
      </c>
      <c r="J28" s="51">
        <f t="shared" si="11"/>
        <v>4855019.4000000004</v>
      </c>
      <c r="K28" s="51">
        <f t="shared" si="11"/>
        <v>4271315.58</v>
      </c>
      <c r="L28" s="51">
        <f t="shared" si="11"/>
        <v>3825460.8000000003</v>
      </c>
      <c r="M28" s="51">
        <f t="shared" si="11"/>
        <v>3361001.4200000004</v>
      </c>
      <c r="N28" s="51">
        <f t="shared" si="11"/>
        <v>5292561.4000000004</v>
      </c>
      <c r="O28" s="51">
        <f t="shared" si="11"/>
        <v>8420538.1400000006</v>
      </c>
      <c r="P28" s="51">
        <f t="shared" si="11"/>
        <v>2565506.4400000004</v>
      </c>
      <c r="Q28" s="51">
        <f t="shared" si="11"/>
        <v>2485949.2000000002</v>
      </c>
      <c r="R28" s="51">
        <v>4360364</v>
      </c>
      <c r="S28" s="51">
        <v>3818095</v>
      </c>
      <c r="T28" s="51">
        <f t="shared" ref="T28:Y28" si="12">T27*7%</f>
        <v>3166637.18</v>
      </c>
      <c r="U28" s="51">
        <f t="shared" si="12"/>
        <v>6181740.7400000002</v>
      </c>
      <c r="V28" s="51">
        <f t="shared" si="12"/>
        <v>9443152.25</v>
      </c>
      <c r="W28" s="51">
        <f t="shared" si="12"/>
        <v>2635307.08</v>
      </c>
      <c r="X28" s="51">
        <f t="shared" si="12"/>
        <v>2562828.2400000002</v>
      </c>
      <c r="Y28" s="51">
        <f t="shared" si="12"/>
        <v>4215156.4000000004</v>
      </c>
      <c r="Z28" s="51">
        <v>2905768.0400000005</v>
      </c>
      <c r="AA28" s="51">
        <f>AA27*7%</f>
        <v>3330337.9200000004</v>
      </c>
      <c r="AB28" s="51">
        <v>7186098.0100000007</v>
      </c>
      <c r="AC28" s="51">
        <f t="shared" ref="AC28:AD28" si="13">AC27*7%</f>
        <v>8775841.2000000011</v>
      </c>
      <c r="AD28" s="51">
        <f t="shared" si="13"/>
        <v>2166078.04</v>
      </c>
      <c r="AE28" s="51">
        <f>AE27*7%-14280</f>
        <v>3293546.7600000002</v>
      </c>
      <c r="AF28" s="51">
        <v>2830576.7</v>
      </c>
      <c r="AG28" s="14">
        <f t="shared" ref="AG28:AG29" si="14">SUM(C28:AF28)</f>
        <v>134522723.97000003</v>
      </c>
      <c r="AH28" s="8"/>
      <c r="AI28" s="4"/>
      <c r="AJ28" s="4"/>
    </row>
    <row r="29" spans="1:36">
      <c r="A29" s="15" t="s">
        <v>36</v>
      </c>
      <c r="B29" s="52" t="s">
        <v>37</v>
      </c>
      <c r="C29" s="53">
        <f t="shared" ref="C29:D29" si="15">SUM(C27:C28)*10%</f>
        <v>4207020.8640000001</v>
      </c>
      <c r="D29" s="53">
        <f t="shared" si="15"/>
        <v>4366620.3520000009</v>
      </c>
      <c r="E29" s="53">
        <v>4311120.3080000002</v>
      </c>
      <c r="F29" s="53">
        <f t="shared" ref="F29:Q29" si="16">SUM(F27:F28)*10%</f>
        <v>6146049.0770000005</v>
      </c>
      <c r="G29" s="53">
        <f t="shared" si="16"/>
        <v>11761905.129000001</v>
      </c>
      <c r="H29" s="53">
        <f t="shared" si="16"/>
        <v>15414982.285</v>
      </c>
      <c r="I29" s="53">
        <f t="shared" si="16"/>
        <v>3583749.2880000006</v>
      </c>
      <c r="J29" s="53">
        <f t="shared" si="16"/>
        <v>7421243.9400000013</v>
      </c>
      <c r="K29" s="53">
        <f t="shared" si="16"/>
        <v>6529010.9580000006</v>
      </c>
      <c r="L29" s="53">
        <f t="shared" si="16"/>
        <v>5847490.0800000001</v>
      </c>
      <c r="M29" s="53">
        <f t="shared" si="16"/>
        <v>5137530.7420000006</v>
      </c>
      <c r="N29" s="53">
        <f t="shared" si="16"/>
        <v>8090058.1400000006</v>
      </c>
      <c r="O29" s="53">
        <f t="shared" si="16"/>
        <v>12871394.014</v>
      </c>
      <c r="P29" s="53">
        <f t="shared" si="16"/>
        <v>3921559.844</v>
      </c>
      <c r="Q29" s="53">
        <f t="shared" si="16"/>
        <v>3799950.9200000004</v>
      </c>
      <c r="R29" s="53">
        <v>6665127</v>
      </c>
      <c r="S29" s="53">
        <v>5836232</v>
      </c>
      <c r="T29" s="53">
        <f t="shared" ref="T29:Y29" si="17">SUM(T27:T28)*10%</f>
        <v>4840431.1179999998</v>
      </c>
      <c r="U29" s="53">
        <f t="shared" si="17"/>
        <v>9449232.2740000002</v>
      </c>
      <c r="V29" s="53">
        <f t="shared" si="17"/>
        <v>14434532.725000001</v>
      </c>
      <c r="W29" s="53">
        <f t="shared" si="17"/>
        <v>4028255.108</v>
      </c>
      <c r="X29" s="53">
        <f t="shared" si="17"/>
        <v>3917466.0240000002</v>
      </c>
      <c r="Y29" s="53">
        <f t="shared" si="17"/>
        <v>6443167.6400000006</v>
      </c>
      <c r="Z29" s="53">
        <v>4441674.0039999997</v>
      </c>
      <c r="AA29" s="53">
        <f>SUM(AA27:AA28)*10%</f>
        <v>5090659.3920000009</v>
      </c>
      <c r="AB29" s="53">
        <v>10984464.101000002</v>
      </c>
      <c r="AC29" s="53">
        <f t="shared" ref="AC29:AD29" si="18">SUM(AC27:AC28)*10%</f>
        <v>13414500.120000001</v>
      </c>
      <c r="AD29" s="53">
        <f t="shared" si="18"/>
        <v>3311005.0040000002</v>
      </c>
      <c r="AE29" s="53">
        <f>SUM(AE27:AE28)*10%-20400</f>
        <v>5034421.4759999998</v>
      </c>
      <c r="AF29" s="53">
        <v>4326738.6700000009</v>
      </c>
      <c r="AG29" s="47">
        <f t="shared" si="14"/>
        <v>205627592.597</v>
      </c>
      <c r="AH29" s="8"/>
      <c r="AI29" s="4"/>
      <c r="AJ29" s="4"/>
    </row>
    <row r="30" spans="1:36">
      <c r="A30" s="1"/>
      <c r="B30" s="54" t="s">
        <v>38</v>
      </c>
      <c r="C30" s="55">
        <f t="shared" ref="C30:AG30" si="19">C27+C28+C29</f>
        <v>46277229.504000001</v>
      </c>
      <c r="D30" s="56">
        <f t="shared" si="19"/>
        <v>48032823.872000001</v>
      </c>
      <c r="E30" s="56">
        <f t="shared" si="19"/>
        <v>47622323.387999997</v>
      </c>
      <c r="F30" s="56">
        <f t="shared" si="19"/>
        <v>67606539.847000003</v>
      </c>
      <c r="G30" s="56">
        <f t="shared" si="19"/>
        <v>129380956.419</v>
      </c>
      <c r="H30" s="56">
        <f t="shared" si="19"/>
        <v>169564805.13499999</v>
      </c>
      <c r="I30" s="56">
        <f t="shared" si="19"/>
        <v>39421242.168000005</v>
      </c>
      <c r="J30" s="56">
        <f t="shared" si="19"/>
        <v>81633683.340000004</v>
      </c>
      <c r="K30" s="56">
        <f t="shared" si="19"/>
        <v>71819120.538000003</v>
      </c>
      <c r="L30" s="56">
        <f t="shared" si="19"/>
        <v>64322390.879999995</v>
      </c>
      <c r="M30" s="56">
        <f t="shared" si="19"/>
        <v>56512838.162</v>
      </c>
      <c r="N30" s="56">
        <f t="shared" si="19"/>
        <v>88990639.540000007</v>
      </c>
      <c r="O30" s="56">
        <f t="shared" si="19"/>
        <v>141585334.15400001</v>
      </c>
      <c r="P30" s="56">
        <f t="shared" si="19"/>
        <v>43137158.283999994</v>
      </c>
      <c r="Q30" s="56">
        <f t="shared" si="19"/>
        <v>41799460.120000005</v>
      </c>
      <c r="R30" s="56">
        <f t="shared" si="19"/>
        <v>73926149</v>
      </c>
      <c r="S30" s="56">
        <f t="shared" si="19"/>
        <v>65769414</v>
      </c>
      <c r="T30" s="56">
        <f t="shared" si="19"/>
        <v>53244742.298</v>
      </c>
      <c r="U30" s="56">
        <f t="shared" si="19"/>
        <v>103941555.014</v>
      </c>
      <c r="V30" s="56">
        <f t="shared" si="19"/>
        <v>158779859.97499999</v>
      </c>
      <c r="W30" s="56">
        <f t="shared" si="19"/>
        <v>44310806.188000001</v>
      </c>
      <c r="X30" s="56">
        <f t="shared" si="19"/>
        <v>43092126.263999999</v>
      </c>
      <c r="Y30" s="56">
        <f t="shared" si="19"/>
        <v>70874844.039999992</v>
      </c>
      <c r="Z30" s="56">
        <f t="shared" si="19"/>
        <v>51358414.044</v>
      </c>
      <c r="AA30" s="56">
        <f t="shared" si="19"/>
        <v>55997253.312000006</v>
      </c>
      <c r="AB30" s="56">
        <f t="shared" si="19"/>
        <v>123829105.111</v>
      </c>
      <c r="AC30" s="56">
        <f t="shared" si="19"/>
        <v>147559501.31999999</v>
      </c>
      <c r="AD30" s="56">
        <f t="shared" si="19"/>
        <v>36421055.044</v>
      </c>
      <c r="AE30" s="56">
        <f t="shared" si="19"/>
        <v>55582636.236000001</v>
      </c>
      <c r="AF30" s="56">
        <f t="shared" si="19"/>
        <v>93060877.370000005</v>
      </c>
      <c r="AG30" s="57">
        <f t="shared" si="19"/>
        <v>2315454884.5669999</v>
      </c>
      <c r="AH30" s="8"/>
      <c r="AI30" s="4"/>
      <c r="AJ30" s="4"/>
    </row>
    <row r="31" spans="1:36">
      <c r="A31" s="1"/>
      <c r="B31" s="9"/>
      <c r="C31" s="58"/>
      <c r="D31" s="58"/>
      <c r="E31" s="59"/>
      <c r="F31" s="58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60"/>
      <c r="X31" s="60"/>
      <c r="Y31" s="59"/>
      <c r="Z31" s="59"/>
      <c r="AA31" s="59"/>
      <c r="AB31" s="59"/>
      <c r="AC31" s="59"/>
      <c r="AD31" s="59"/>
      <c r="AE31" s="59"/>
      <c r="AF31" s="59"/>
      <c r="AG31" s="14">
        <f t="shared" ref="AG31:AG50" si="20">SUM(C31:AF31)</f>
        <v>0</v>
      </c>
      <c r="AH31" s="35"/>
      <c r="AI31" s="2"/>
      <c r="AJ31" s="2"/>
    </row>
    <row r="32" spans="1:36">
      <c r="A32" s="15" t="s">
        <v>39</v>
      </c>
      <c r="B32" s="52" t="s">
        <v>40</v>
      </c>
      <c r="C32" s="61">
        <f>6002700+4500000</f>
        <v>10502700</v>
      </c>
      <c r="D32" s="61">
        <v>7081180</v>
      </c>
      <c r="E32" s="61">
        <v>9760327</v>
      </c>
      <c r="F32" s="61">
        <v>6021430</v>
      </c>
      <c r="G32" s="41">
        <f>818015+6900080+4825700+3808495</f>
        <v>16352290</v>
      </c>
      <c r="H32" s="61">
        <f>1700765+941600+9250117+6755980</f>
        <v>18648462</v>
      </c>
      <c r="I32" s="40">
        <f>1863191+4600036+294250</f>
        <v>6757477</v>
      </c>
      <c r="J32" s="61">
        <f>1821408+712085+3800043</f>
        <v>6333536</v>
      </c>
      <c r="K32" s="41">
        <f>641465+3100038+3174958</f>
        <v>6916461</v>
      </c>
      <c r="L32" s="41">
        <f>3800033+900405+3819365</f>
        <v>8519803</v>
      </c>
      <c r="M32" s="41">
        <f>597175+4600040+394295+1930280</f>
        <v>7521790</v>
      </c>
      <c r="N32" s="41">
        <f>2450057+2053285+523765+3800533</f>
        <v>8827640</v>
      </c>
      <c r="O32" s="41">
        <f>5965504+1047530+9350102+4684280</f>
        <v>21047416</v>
      </c>
      <c r="P32" s="41">
        <f>4835975+595562+2600031</f>
        <v>8031568</v>
      </c>
      <c r="Q32" s="62">
        <f>47080+5049331+2400060</f>
        <v>7496471</v>
      </c>
      <c r="R32" s="62">
        <f>4600037+788545+5034280</f>
        <v>10422862</v>
      </c>
      <c r="S32" s="62">
        <f>3200035+4631495+1400180</f>
        <v>9231710</v>
      </c>
      <c r="T32" s="62">
        <f>700005+4800030+6638280+847440</f>
        <v>12985755</v>
      </c>
      <c r="U32" s="62">
        <f>5237605+973725+5500072</f>
        <v>11711402</v>
      </c>
      <c r="V32" s="62">
        <f>2191470+682660+4596185+8750092</f>
        <v>16220407</v>
      </c>
      <c r="W32" s="63">
        <f>2200031+323675+2542320</f>
        <v>5066026</v>
      </c>
      <c r="X32" s="63">
        <f>1600037+388410+6979610</f>
        <v>8968057</v>
      </c>
      <c r="Y32" s="62">
        <f>2365770+894520+5200057</f>
        <v>8460347</v>
      </c>
      <c r="Z32" s="62">
        <f>2698273+3800029+4599128</f>
        <v>11097430</v>
      </c>
      <c r="AA32" s="62">
        <f>3595735+6860560+3200032+550006</f>
        <v>14206333</v>
      </c>
      <c r="AB32" s="62">
        <f>5000083+5371413+6020355</f>
        <v>16391851</v>
      </c>
      <c r="AC32" s="62">
        <f>3931180+622425+6250084+617925</f>
        <v>11421614</v>
      </c>
      <c r="AD32" s="62">
        <f>1324125+3600029+300135</f>
        <v>5224289</v>
      </c>
      <c r="AE32" s="62">
        <f>459030+5720220+3400032</f>
        <v>9579282</v>
      </c>
      <c r="AF32" s="62">
        <f>5049330+2377540+3800035</f>
        <v>11226905</v>
      </c>
      <c r="AG32" s="14">
        <f t="shared" si="20"/>
        <v>312032821</v>
      </c>
      <c r="AH32" s="35">
        <f>SUM(AG32:AG45)+AG48+AG49</f>
        <v>2300913831</v>
      </c>
      <c r="AI32" s="2" t="s">
        <v>41</v>
      </c>
      <c r="AJ32" s="2"/>
    </row>
    <row r="33" spans="1:36">
      <c r="A33" s="15" t="s">
        <v>42</v>
      </c>
      <c r="B33" s="64" t="s">
        <v>43</v>
      </c>
      <c r="C33" s="39"/>
      <c r="D33" s="39"/>
      <c r="E33" s="39"/>
      <c r="F33" s="39"/>
      <c r="G33" s="39"/>
      <c r="H33" s="39">
        <f>1000000+7000000</f>
        <v>8000000</v>
      </c>
      <c r="I33" s="39"/>
      <c r="J33" s="39"/>
      <c r="K33" s="39"/>
      <c r="L33" s="39"/>
      <c r="M33" s="39"/>
      <c r="N33" s="39"/>
      <c r="O33" s="39">
        <f>6997490</f>
        <v>6997490</v>
      </c>
      <c r="P33" s="39"/>
      <c r="Q33" s="39"/>
      <c r="R33" s="39"/>
      <c r="S33" s="39"/>
      <c r="T33" s="39"/>
      <c r="U33" s="39"/>
      <c r="V33" s="39">
        <f>3000000</f>
        <v>3000000</v>
      </c>
      <c r="W33" s="39"/>
      <c r="X33" s="39"/>
      <c r="Y33" s="39"/>
      <c r="Z33" s="39"/>
      <c r="AA33" s="39"/>
      <c r="AB33" s="39">
        <f>2967390</f>
        <v>2967390</v>
      </c>
      <c r="AC33" s="39"/>
      <c r="AD33" s="39"/>
      <c r="AE33" s="39">
        <f>204000</f>
        <v>204000</v>
      </c>
      <c r="AF33" s="39">
        <f>45000000</f>
        <v>45000000</v>
      </c>
      <c r="AG33" s="14">
        <f t="shared" si="20"/>
        <v>66168880</v>
      </c>
      <c r="AH33" s="35"/>
      <c r="AI33" s="2"/>
      <c r="AJ33" s="2"/>
    </row>
    <row r="34" spans="1:36">
      <c r="A34" s="1"/>
      <c r="B34" s="52" t="s">
        <v>44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14">
        <f t="shared" si="20"/>
        <v>0</v>
      </c>
      <c r="AH34" s="35"/>
      <c r="AI34" s="2"/>
      <c r="AJ34" s="2"/>
    </row>
    <row r="35" spans="1:36">
      <c r="A35" s="15" t="s">
        <v>45</v>
      </c>
      <c r="B35" s="22" t="s">
        <v>46</v>
      </c>
      <c r="C35" s="39"/>
      <c r="D35" s="39"/>
      <c r="E35" s="39"/>
      <c r="F35" s="39"/>
      <c r="G35" s="39">
        <f>1000450</f>
        <v>1000450</v>
      </c>
      <c r="H35" s="39">
        <v>23967805</v>
      </c>
      <c r="I35" s="40"/>
      <c r="J35" s="39"/>
      <c r="K35" s="39">
        <v>4731541</v>
      </c>
      <c r="L35" s="65">
        <v>0</v>
      </c>
      <c r="M35" s="39"/>
      <c r="N35" s="39">
        <f>5117700</f>
        <v>5117700</v>
      </c>
      <c r="O35" s="40">
        <f>7431474</f>
        <v>7431474</v>
      </c>
      <c r="P35" s="39">
        <f>5296500</f>
        <v>5296500</v>
      </c>
      <c r="Q35" s="66">
        <f>117700</f>
        <v>117700</v>
      </c>
      <c r="R35" s="62"/>
      <c r="S35" s="62"/>
      <c r="T35" s="62"/>
      <c r="U35" s="62">
        <f>9273410</f>
        <v>9273410</v>
      </c>
      <c r="V35" s="62">
        <f>14008585</f>
        <v>14008585</v>
      </c>
      <c r="W35" s="66"/>
      <c r="X35" s="66"/>
      <c r="Y35" s="66"/>
      <c r="Z35" s="62"/>
      <c r="AA35" s="66">
        <f>3848790</f>
        <v>3848790</v>
      </c>
      <c r="AB35" s="66">
        <f>4265320</f>
        <v>4265320</v>
      </c>
      <c r="AC35" s="66">
        <f>1553640</f>
        <v>1553640</v>
      </c>
      <c r="AD35" s="66"/>
      <c r="AE35" s="66"/>
      <c r="AF35" s="66"/>
      <c r="AG35" s="14">
        <f t="shared" si="20"/>
        <v>80612915</v>
      </c>
      <c r="AH35" s="67">
        <f>AG35</f>
        <v>80612915</v>
      </c>
      <c r="AI35" s="2" t="s">
        <v>47</v>
      </c>
      <c r="AJ35" s="2"/>
    </row>
    <row r="36" spans="1:36">
      <c r="A36" s="15" t="s">
        <v>48</v>
      </c>
      <c r="B36" s="22" t="s">
        <v>49</v>
      </c>
      <c r="C36" s="39">
        <v>258490</v>
      </c>
      <c r="D36" s="39">
        <v>0</v>
      </c>
      <c r="E36" s="39">
        <v>515526</v>
      </c>
      <c r="F36" s="39">
        <v>4896050</v>
      </c>
      <c r="G36" s="39">
        <f>2315185</f>
        <v>2315185</v>
      </c>
      <c r="H36" s="39">
        <v>1000000</v>
      </c>
      <c r="I36" s="40">
        <f>200000</f>
        <v>200000</v>
      </c>
      <c r="J36" s="39">
        <v>623810</v>
      </c>
      <c r="K36" s="39">
        <v>2244878</v>
      </c>
      <c r="L36" s="39">
        <f>200000</f>
        <v>200000</v>
      </c>
      <c r="M36" s="39">
        <v>3295600</v>
      </c>
      <c r="N36" s="39">
        <f>250000</f>
        <v>250000</v>
      </c>
      <c r="O36" s="40">
        <f>947260</f>
        <v>947260</v>
      </c>
      <c r="P36" s="39">
        <f>658850</f>
        <v>658850</v>
      </c>
      <c r="Q36" s="66">
        <f>0</f>
        <v>0</v>
      </c>
      <c r="R36" s="62">
        <f>41195</f>
        <v>41195</v>
      </c>
      <c r="S36" s="62">
        <f>200000</f>
        <v>200000</v>
      </c>
      <c r="T36" s="62">
        <f>600000</f>
        <v>600000</v>
      </c>
      <c r="U36" s="62">
        <f>644933</f>
        <v>644933</v>
      </c>
      <c r="V36" s="62">
        <f>0</f>
        <v>0</v>
      </c>
      <c r="W36" s="66">
        <f>188320</f>
        <v>188320</v>
      </c>
      <c r="X36" s="66">
        <f>3260290</f>
        <v>3260290</v>
      </c>
      <c r="Y36" s="66">
        <f>70620</f>
        <v>70620</v>
      </c>
      <c r="Z36" s="62">
        <v>788320</v>
      </c>
      <c r="AA36" s="66">
        <f>0</f>
        <v>0</v>
      </c>
      <c r="AB36" s="66">
        <f>7992220</f>
        <v>7992220</v>
      </c>
      <c r="AC36" s="66">
        <f>5950090</f>
        <v>5950090</v>
      </c>
      <c r="AD36" s="66">
        <f>1259390</f>
        <v>1259390</v>
      </c>
      <c r="AE36" s="66">
        <f>182435</f>
        <v>182435</v>
      </c>
      <c r="AF36" s="66">
        <f>4319500</f>
        <v>4319500</v>
      </c>
      <c r="AG36" s="14">
        <f t="shared" si="20"/>
        <v>42902962</v>
      </c>
      <c r="AH36" s="35"/>
      <c r="AI36" s="2"/>
      <c r="AJ36" s="2"/>
    </row>
    <row r="37" spans="1:36">
      <c r="A37" s="15" t="s">
        <v>48</v>
      </c>
      <c r="B37" s="22" t="s">
        <v>50</v>
      </c>
      <c r="C37" s="39">
        <v>24448395</v>
      </c>
      <c r="D37" s="39">
        <v>23991345</v>
      </c>
      <c r="E37" s="39">
        <v>24441385</v>
      </c>
      <c r="F37" s="39">
        <v>34067990</v>
      </c>
      <c r="G37" s="39">
        <f>70510841</f>
        <v>70510841</v>
      </c>
      <c r="H37" s="39">
        <v>58769985</v>
      </c>
      <c r="I37" s="40">
        <f>21889110</f>
        <v>21889110</v>
      </c>
      <c r="J37" s="39">
        <v>39201170</v>
      </c>
      <c r="K37" s="39">
        <v>39943800</v>
      </c>
      <c r="L37" s="39">
        <f>48217543</f>
        <v>48217543</v>
      </c>
      <c r="M37" s="39">
        <v>27850285</v>
      </c>
      <c r="N37" s="39">
        <f>42195762</f>
        <v>42195762</v>
      </c>
      <c r="O37" s="40">
        <f>47519425</f>
        <v>47519425</v>
      </c>
      <c r="P37" s="39">
        <f>21388735</f>
        <v>21388735</v>
      </c>
      <c r="Q37" s="66">
        <f>26950969</f>
        <v>26950969</v>
      </c>
      <c r="R37" s="62">
        <f>31067502</f>
        <v>31067502</v>
      </c>
      <c r="S37" s="62">
        <f>43515705</f>
        <v>43515705</v>
      </c>
      <c r="T37" s="62">
        <f>33303956</f>
        <v>33303956</v>
      </c>
      <c r="U37" s="62">
        <f>39179617</f>
        <v>39179617</v>
      </c>
      <c r="V37" s="62">
        <f>51650340</f>
        <v>51650340</v>
      </c>
      <c r="W37" s="66">
        <f>23978930</f>
        <v>23978930</v>
      </c>
      <c r="X37" s="66">
        <f>23665505</f>
        <v>23665505</v>
      </c>
      <c r="Y37" s="66">
        <f>26241603</f>
        <v>26241603</v>
      </c>
      <c r="Z37" s="62">
        <v>22489950</v>
      </c>
      <c r="AA37" s="66">
        <f>29125110</f>
        <v>29125110</v>
      </c>
      <c r="AB37" s="66">
        <f>47648231</f>
        <v>47648231</v>
      </c>
      <c r="AC37" s="66">
        <f>50239425</f>
        <v>50239425</v>
      </c>
      <c r="AD37" s="66">
        <f>12721030</f>
        <v>12721030</v>
      </c>
      <c r="AE37" s="66">
        <f>14985620</f>
        <v>14985620</v>
      </c>
      <c r="AF37" s="66">
        <f>13302648</f>
        <v>13302648</v>
      </c>
      <c r="AG37" s="14">
        <f t="shared" si="20"/>
        <v>1014501912</v>
      </c>
      <c r="AH37" s="35"/>
      <c r="AI37" s="2"/>
      <c r="AJ37" s="2"/>
    </row>
    <row r="38" spans="1:36">
      <c r="A38" s="15" t="s">
        <v>48</v>
      </c>
      <c r="B38" s="22" t="s">
        <v>51</v>
      </c>
      <c r="C38" s="39">
        <v>1435490</v>
      </c>
      <c r="D38" s="39">
        <v>1106380</v>
      </c>
      <c r="E38" s="39">
        <v>1923855</v>
      </c>
      <c r="F38" s="39">
        <v>2159255</v>
      </c>
      <c r="G38" s="39">
        <f>4352295</f>
        <v>4352295</v>
      </c>
      <c r="H38" s="39">
        <v>5641915</v>
      </c>
      <c r="I38" s="40">
        <f>3330460</f>
        <v>3330460</v>
      </c>
      <c r="J38" s="39">
        <v>694160</v>
      </c>
      <c r="K38" s="39">
        <v>7755800</v>
      </c>
      <c r="L38" s="39">
        <f>1547485</f>
        <v>1547485</v>
      </c>
      <c r="M38" s="39">
        <v>3544925</v>
      </c>
      <c r="N38" s="39">
        <f>5301650</f>
        <v>5301650</v>
      </c>
      <c r="O38" s="40">
        <f>17629570</f>
        <v>17629570</v>
      </c>
      <c r="P38" s="39">
        <f>2025900</f>
        <v>2025900</v>
      </c>
      <c r="Q38" s="66">
        <f>1029515</f>
        <v>1029515</v>
      </c>
      <c r="R38" s="62">
        <f>4496185</f>
        <v>4496185</v>
      </c>
      <c r="S38" s="62">
        <f>4231675</f>
        <v>4231675</v>
      </c>
      <c r="T38" s="62">
        <f>1247620</f>
        <v>1247620</v>
      </c>
      <c r="U38" s="62">
        <f>9220045</f>
        <v>9220045</v>
      </c>
      <c r="V38" s="62">
        <f>13661962</f>
        <v>13661962</v>
      </c>
      <c r="W38" s="66">
        <f>4342860</f>
        <v>4342860</v>
      </c>
      <c r="X38" s="66">
        <f>1553280</f>
        <v>1553280</v>
      </c>
      <c r="Y38" s="66">
        <f>4748475</f>
        <v>4748475</v>
      </c>
      <c r="Z38" s="62">
        <v>5049330</v>
      </c>
      <c r="AA38" s="66">
        <f>3833268</f>
        <v>3833268</v>
      </c>
      <c r="AB38" s="66">
        <f>6993985</f>
        <v>6993985</v>
      </c>
      <c r="AC38" s="66">
        <f>27384420</f>
        <v>27384420</v>
      </c>
      <c r="AD38" s="66">
        <f>1247350</f>
        <v>1247350</v>
      </c>
      <c r="AE38" s="66">
        <f>16624315</f>
        <v>16624315</v>
      </c>
      <c r="AF38" s="66">
        <f>6260920</f>
        <v>6260920</v>
      </c>
      <c r="AG38" s="14">
        <f t="shared" si="20"/>
        <v>170374345</v>
      </c>
      <c r="AH38" s="35"/>
      <c r="AI38" s="2"/>
      <c r="AJ38" s="2"/>
    </row>
    <row r="39" spans="1:36">
      <c r="A39" s="15" t="s">
        <v>48</v>
      </c>
      <c r="B39" s="22" t="s">
        <v>52</v>
      </c>
      <c r="C39" s="39">
        <v>2350833</v>
      </c>
      <c r="D39" s="39">
        <v>15065331</v>
      </c>
      <c r="E39" s="39">
        <v>1947755</v>
      </c>
      <c r="F39" s="39">
        <v>15820360</v>
      </c>
      <c r="G39" s="39">
        <f>6931023</f>
        <v>6931023</v>
      </c>
      <c r="H39" s="39">
        <v>20328480</v>
      </c>
      <c r="I39" s="40">
        <f>4392433</f>
        <v>4392433</v>
      </c>
      <c r="J39" s="39">
        <v>9768560</v>
      </c>
      <c r="K39" s="39">
        <v>3579576</v>
      </c>
      <c r="L39" s="39">
        <f>3942590</f>
        <v>3942590</v>
      </c>
      <c r="M39" s="39">
        <v>10374944</v>
      </c>
      <c r="N39" s="39">
        <f>8631698</f>
        <v>8631698</v>
      </c>
      <c r="O39" s="40">
        <f>20905847</f>
        <v>20905847</v>
      </c>
      <c r="P39" s="39">
        <f>1435670</f>
        <v>1435670</v>
      </c>
      <c r="Q39" s="66">
        <f>4383335</f>
        <v>4383335</v>
      </c>
      <c r="R39" s="62">
        <f>1665365</f>
        <v>1665365</v>
      </c>
      <c r="S39" s="62">
        <f>5494056</f>
        <v>5494056</v>
      </c>
      <c r="T39" s="62">
        <f>3470703</f>
        <v>3470703</v>
      </c>
      <c r="U39" s="62">
        <f>19802615</f>
        <v>19802615</v>
      </c>
      <c r="V39" s="62">
        <f>28701598</f>
        <v>28701598</v>
      </c>
      <c r="W39" s="66">
        <f>8849691</f>
        <v>8849691</v>
      </c>
      <c r="X39" s="66">
        <f>2868169</f>
        <v>2868169</v>
      </c>
      <c r="Y39" s="66">
        <f>23593748</f>
        <v>23593748</v>
      </c>
      <c r="Z39" s="62">
        <v>5621723</v>
      </c>
      <c r="AA39" s="66">
        <f>4671918</f>
        <v>4671918</v>
      </c>
      <c r="AB39" s="66">
        <f>20505918</f>
        <v>20505918</v>
      </c>
      <c r="AC39" s="66">
        <f>32008437</f>
        <v>32008437</v>
      </c>
      <c r="AD39" s="66">
        <f>9962765</f>
        <v>9962765</v>
      </c>
      <c r="AE39" s="66">
        <f>8409485</f>
        <v>8409485</v>
      </c>
      <c r="AF39" s="66">
        <f>10319943</f>
        <v>10319943</v>
      </c>
      <c r="AG39" s="14">
        <f t="shared" si="20"/>
        <v>315804569</v>
      </c>
      <c r="AH39" s="67">
        <f>SUM(AG36:AG39)+AG49</f>
        <v>1543805788</v>
      </c>
      <c r="AI39" s="2" t="s">
        <v>53</v>
      </c>
      <c r="AJ39" s="2"/>
    </row>
    <row r="40" spans="1:36">
      <c r="A40" s="15" t="s">
        <v>42</v>
      </c>
      <c r="B40" s="22" t="s">
        <v>54</v>
      </c>
      <c r="C40" s="39">
        <v>6579340</v>
      </c>
      <c r="D40" s="39">
        <v>70620</v>
      </c>
      <c r="E40" s="39">
        <v>7497490</v>
      </c>
      <c r="F40" s="39">
        <v>1571295</v>
      </c>
      <c r="G40" s="39">
        <f>11755980</f>
        <v>11755980</v>
      </c>
      <c r="H40" s="39">
        <v>16559213</v>
      </c>
      <c r="I40" s="40">
        <f>1412400</f>
        <v>1412400</v>
      </c>
      <c r="J40" s="39">
        <v>19067400</v>
      </c>
      <c r="K40" s="39">
        <v>5267075</v>
      </c>
      <c r="L40" s="39">
        <f>1218195</f>
        <v>1218195</v>
      </c>
      <c r="M40" s="39">
        <v>2061670</v>
      </c>
      <c r="N40" s="39">
        <f>14708542</f>
        <v>14708542</v>
      </c>
      <c r="O40" s="40">
        <f>11698030</f>
        <v>11698030</v>
      </c>
      <c r="P40" s="39">
        <f>2100945</f>
        <v>2100945</v>
      </c>
      <c r="Q40" s="66">
        <f>759165</f>
        <v>759165</v>
      </c>
      <c r="R40" s="62">
        <f>2410865</f>
        <v>2410865</v>
      </c>
      <c r="S40" s="62">
        <f>1094610</f>
        <v>1094610</v>
      </c>
      <c r="T40" s="62">
        <f>1259390</f>
        <v>1259390</v>
      </c>
      <c r="U40" s="62">
        <f>7438640</f>
        <v>7438640</v>
      </c>
      <c r="V40" s="62">
        <f>17273825</f>
        <v>17273825</v>
      </c>
      <c r="W40" s="66">
        <f>1014565</f>
        <v>1014565</v>
      </c>
      <c r="X40" s="66">
        <f>2006783</f>
        <v>2006783</v>
      </c>
      <c r="Y40" s="66">
        <f>2241008</f>
        <v>2241008</v>
      </c>
      <c r="Z40" s="62">
        <v>5649600</v>
      </c>
      <c r="AA40" s="66"/>
      <c r="AB40" s="66">
        <f>4849090</f>
        <v>4849090</v>
      </c>
      <c r="AC40" s="66">
        <f>8074220</f>
        <v>8074220</v>
      </c>
      <c r="AD40" s="66">
        <f>1842005</f>
        <v>1842005</v>
      </c>
      <c r="AE40" s="66">
        <f>3330910</f>
        <v>3330910</v>
      </c>
      <c r="AF40" s="66">
        <f>564960</f>
        <v>564960</v>
      </c>
      <c r="AG40" s="14">
        <f t="shared" si="20"/>
        <v>161377831</v>
      </c>
      <c r="AH40" s="35"/>
      <c r="AI40" s="2"/>
      <c r="AJ40" s="2"/>
    </row>
    <row r="41" spans="1:36">
      <c r="A41" s="15" t="s">
        <v>42</v>
      </c>
      <c r="B41" s="22" t="s">
        <v>55</v>
      </c>
      <c r="C41" s="39">
        <v>164780</v>
      </c>
      <c r="D41" s="39">
        <v>0</v>
      </c>
      <c r="E41" s="39">
        <v>364870</v>
      </c>
      <c r="F41" s="39">
        <v>1535985</v>
      </c>
      <c r="G41" s="39">
        <f>3531000</f>
        <v>3531000</v>
      </c>
      <c r="H41" s="39">
        <v>3236750</v>
      </c>
      <c r="I41" s="40">
        <f>765050</f>
        <v>765050</v>
      </c>
      <c r="J41" s="39">
        <v>5090525</v>
      </c>
      <c r="K41" s="39">
        <v>570845</v>
      </c>
      <c r="L41" s="39">
        <v>0</v>
      </c>
      <c r="M41" s="39">
        <v>1382975</v>
      </c>
      <c r="N41" s="39">
        <f>3719320</f>
        <v>3719320</v>
      </c>
      <c r="O41" s="40">
        <f>682660</f>
        <v>682660</v>
      </c>
      <c r="P41" s="39">
        <v>0</v>
      </c>
      <c r="Q41" s="66">
        <v>0</v>
      </c>
      <c r="R41" s="62">
        <f>20491570</f>
        <v>20491570</v>
      </c>
      <c r="S41" s="62">
        <v>0</v>
      </c>
      <c r="T41" s="62">
        <v>0</v>
      </c>
      <c r="U41" s="62">
        <f>812130</f>
        <v>812130</v>
      </c>
      <c r="V41" s="62">
        <f>3585315</f>
        <v>3585315</v>
      </c>
      <c r="W41" s="66">
        <v>0</v>
      </c>
      <c r="X41" s="66">
        <v>0</v>
      </c>
      <c r="Y41" s="66">
        <f>547305</f>
        <v>547305</v>
      </c>
      <c r="Z41" s="62">
        <v>235400</v>
      </c>
      <c r="AA41" s="66"/>
      <c r="AB41" s="66">
        <f>541420</f>
        <v>541420</v>
      </c>
      <c r="AC41" s="66">
        <f>847440</f>
        <v>847440</v>
      </c>
      <c r="AD41" s="66">
        <f>1041645</f>
        <v>1041645</v>
      </c>
      <c r="AE41" s="66">
        <f>1100495</f>
        <v>1100495</v>
      </c>
      <c r="AF41" s="66">
        <f>617925</f>
        <v>617925</v>
      </c>
      <c r="AG41" s="14">
        <f t="shared" si="20"/>
        <v>50865405</v>
      </c>
      <c r="AH41" s="35"/>
      <c r="AI41" s="2"/>
      <c r="AJ41" s="2"/>
    </row>
    <row r="42" spans="1:36">
      <c r="A42" s="15" t="s">
        <v>42</v>
      </c>
      <c r="B42" s="22" t="s">
        <v>56</v>
      </c>
      <c r="C42" s="39">
        <v>294250</v>
      </c>
      <c r="D42" s="39">
        <v>0</v>
      </c>
      <c r="E42" s="39">
        <v>105930</v>
      </c>
      <c r="F42" s="39">
        <v>694430</v>
      </c>
      <c r="G42" s="39">
        <f>13970990</f>
        <v>13970990</v>
      </c>
      <c r="H42" s="39">
        <v>13332883</v>
      </c>
      <c r="I42" s="40">
        <f>164780</f>
        <v>164780</v>
      </c>
      <c r="J42" s="39">
        <v>235400</v>
      </c>
      <c r="K42" s="39">
        <v>164780</v>
      </c>
      <c r="L42" s="39">
        <f>170665</f>
        <v>170665</v>
      </c>
      <c r="M42" s="39">
        <v>211860</v>
      </c>
      <c r="N42" s="39">
        <v>0</v>
      </c>
      <c r="O42" s="40">
        <f>4810295</f>
        <v>4810295</v>
      </c>
      <c r="P42" s="39">
        <v>0</v>
      </c>
      <c r="Q42" s="66">
        <f>729470</f>
        <v>729470</v>
      </c>
      <c r="R42" s="62">
        <f>2014655</f>
        <v>2014655</v>
      </c>
      <c r="S42" s="62">
        <v>0</v>
      </c>
      <c r="T42" s="62">
        <f>138886</f>
        <v>138886</v>
      </c>
      <c r="U42" s="62">
        <f>6965590</f>
        <v>6965590</v>
      </c>
      <c r="V42" s="62">
        <f>9078305</f>
        <v>9078305</v>
      </c>
      <c r="W42" s="66">
        <f>306020</f>
        <v>306020</v>
      </c>
      <c r="X42" s="66">
        <v>0</v>
      </c>
      <c r="Y42" s="66">
        <f>4271333</f>
        <v>4271333</v>
      </c>
      <c r="Z42" s="62">
        <v>158895</v>
      </c>
      <c r="AA42" s="66"/>
      <c r="AB42" s="66">
        <f>8169730</f>
        <v>8169730</v>
      </c>
      <c r="AC42" s="66">
        <f>7379790</f>
        <v>7379790</v>
      </c>
      <c r="AD42" s="66">
        <f>1021048</f>
        <v>1021048</v>
      </c>
      <c r="AE42" s="66">
        <f>1165230</f>
        <v>1165230</v>
      </c>
      <c r="AF42" s="66">
        <v>0</v>
      </c>
      <c r="AG42" s="14">
        <f t="shared" si="20"/>
        <v>75555215</v>
      </c>
      <c r="AH42" s="67">
        <f>SUM(AG40:AG42)+AG33</f>
        <v>353967331</v>
      </c>
      <c r="AI42" s="2" t="s">
        <v>57</v>
      </c>
      <c r="AJ42" s="2"/>
    </row>
    <row r="43" spans="1:36">
      <c r="A43" s="15" t="s">
        <v>58</v>
      </c>
      <c r="B43" s="22" t="s">
        <v>59</v>
      </c>
      <c r="C43" s="39"/>
      <c r="D43" s="39"/>
      <c r="E43" s="39">
        <v>0</v>
      </c>
      <c r="F43" s="39"/>
      <c r="G43" s="39">
        <v>0</v>
      </c>
      <c r="H43" s="39">
        <v>0</v>
      </c>
      <c r="I43" s="40"/>
      <c r="J43" s="39"/>
      <c r="K43" s="39"/>
      <c r="L43" s="39">
        <v>0</v>
      </c>
      <c r="M43" s="39">
        <v>0</v>
      </c>
      <c r="N43" s="39"/>
      <c r="O43" s="40">
        <v>0</v>
      </c>
      <c r="P43" s="39">
        <f>0</f>
        <v>0</v>
      </c>
      <c r="Q43" s="66">
        <f>282480</f>
        <v>282480</v>
      </c>
      <c r="R43" s="62">
        <v>0</v>
      </c>
      <c r="S43" s="62">
        <v>0</v>
      </c>
      <c r="T43" s="62"/>
      <c r="U43" s="62">
        <f>276595</f>
        <v>276595</v>
      </c>
      <c r="V43" s="62"/>
      <c r="W43" s="66"/>
      <c r="X43" s="66">
        <v>0</v>
      </c>
      <c r="Y43" s="66">
        <v>0</v>
      </c>
      <c r="Z43" s="66">
        <v>0</v>
      </c>
      <c r="AA43" s="66"/>
      <c r="AB43" s="66"/>
      <c r="AC43" s="66"/>
      <c r="AD43" s="66"/>
      <c r="AE43" s="66"/>
      <c r="AF43" s="66"/>
      <c r="AG43" s="14">
        <f t="shared" si="20"/>
        <v>559075</v>
      </c>
      <c r="AH43" s="35"/>
      <c r="AI43" s="2"/>
      <c r="AJ43" s="2"/>
    </row>
    <row r="44" spans="1:36">
      <c r="A44" s="15" t="s">
        <v>58</v>
      </c>
      <c r="B44" s="22" t="s">
        <v>60</v>
      </c>
      <c r="C44" s="39"/>
      <c r="D44" s="39"/>
      <c r="E44" s="39">
        <v>247170</v>
      </c>
      <c r="F44" s="39"/>
      <c r="G44" s="39">
        <f>506110</f>
        <v>506110</v>
      </c>
      <c r="H44" s="39">
        <v>476685</v>
      </c>
      <c r="I44" s="40"/>
      <c r="J44" s="39"/>
      <c r="K44" s="39"/>
      <c r="L44" s="65">
        <f>317790</f>
        <v>317790</v>
      </c>
      <c r="M44" s="39">
        <v>141240</v>
      </c>
      <c r="N44" s="39"/>
      <c r="O44" s="40">
        <f>1012220</f>
        <v>1012220</v>
      </c>
      <c r="P44" s="39">
        <f>1783166</f>
        <v>1783166</v>
      </c>
      <c r="Q44" s="66">
        <v>0</v>
      </c>
      <c r="R44" s="62">
        <f>70620</f>
        <v>70620</v>
      </c>
      <c r="S44" s="62">
        <f>136532</f>
        <v>136532</v>
      </c>
      <c r="T44" s="62"/>
      <c r="U44" s="62"/>
      <c r="V44" s="62"/>
      <c r="W44" s="66"/>
      <c r="X44" s="66">
        <f>138288</f>
        <v>138288</v>
      </c>
      <c r="Y44" s="66">
        <f>117700</f>
        <v>117700</v>
      </c>
      <c r="Z44" s="66">
        <v>223630</v>
      </c>
      <c r="AA44" s="66"/>
      <c r="AB44" s="66"/>
      <c r="AC44" s="66"/>
      <c r="AD44" s="66"/>
      <c r="AE44" s="66"/>
      <c r="AF44" s="66"/>
      <c r="AG44" s="14">
        <f t="shared" si="20"/>
        <v>5171151</v>
      </c>
      <c r="AH44" s="35"/>
      <c r="AI44" s="2"/>
      <c r="AJ44" s="2"/>
    </row>
    <row r="45" spans="1:36">
      <c r="A45" s="15" t="s">
        <v>58</v>
      </c>
      <c r="B45" s="22" t="s">
        <v>61</v>
      </c>
      <c r="C45" s="39"/>
      <c r="D45" s="39"/>
      <c r="E45" s="39">
        <v>0</v>
      </c>
      <c r="F45" s="39"/>
      <c r="G45" s="39">
        <f>147125</f>
        <v>147125</v>
      </c>
      <c r="H45" s="39">
        <v>0</v>
      </c>
      <c r="I45" s="40"/>
      <c r="J45" s="39"/>
      <c r="K45" s="39"/>
      <c r="L45" s="39">
        <v>0</v>
      </c>
      <c r="M45" s="39">
        <v>0</v>
      </c>
      <c r="N45" s="39"/>
      <c r="O45" s="40">
        <v>0</v>
      </c>
      <c r="P45" s="39">
        <v>0</v>
      </c>
      <c r="Q45" s="66">
        <v>0</v>
      </c>
      <c r="R45" s="62">
        <v>0</v>
      </c>
      <c r="S45" s="62">
        <v>0</v>
      </c>
      <c r="T45" s="62"/>
      <c r="U45" s="62"/>
      <c r="V45" s="62"/>
      <c r="W45" s="66"/>
      <c r="X45" s="66"/>
      <c r="Y45" s="66">
        <v>0</v>
      </c>
      <c r="Z45" s="66">
        <v>0</v>
      </c>
      <c r="AA45" s="66"/>
      <c r="AB45" s="66"/>
      <c r="AC45" s="66"/>
      <c r="AD45" s="66"/>
      <c r="AE45" s="66"/>
      <c r="AF45" s="66"/>
      <c r="AG45" s="14">
        <f t="shared" si="20"/>
        <v>147125</v>
      </c>
      <c r="AH45" s="67">
        <f>SUM(AG43:AG45)</f>
        <v>5877351</v>
      </c>
      <c r="AI45" s="2" t="s">
        <v>62</v>
      </c>
      <c r="AJ45" s="2"/>
    </row>
    <row r="46" spans="1:36">
      <c r="A46" s="15" t="s">
        <v>63</v>
      </c>
      <c r="B46" s="52" t="s">
        <v>64</v>
      </c>
      <c r="C46" s="39">
        <v>242462</v>
      </c>
      <c r="D46" s="39">
        <v>717971</v>
      </c>
      <c r="E46" s="39">
        <v>415481</v>
      </c>
      <c r="F46" s="39">
        <v>736802</v>
      </c>
      <c r="G46" s="39">
        <f>373698+141240</f>
        <v>514938</v>
      </c>
      <c r="H46" s="39">
        <f>303078+123585</f>
        <v>426663</v>
      </c>
      <c r="I46" s="39">
        <f>509054</f>
        <v>509054</v>
      </c>
      <c r="J46" s="39">
        <f>65912+111816</f>
        <v>177728</v>
      </c>
      <c r="K46" s="39">
        <f>644408</f>
        <v>644408</v>
      </c>
      <c r="L46" s="39">
        <f>188320</f>
        <v>188320</v>
      </c>
      <c r="M46" s="39">
        <f>170665</f>
        <v>170665</v>
      </c>
      <c r="N46" s="39">
        <f>282481</f>
        <v>282481</v>
      </c>
      <c r="O46" s="39">
        <f>680306+314848</f>
        <v>995154</v>
      </c>
      <c r="P46" s="39">
        <f>35310</f>
        <v>35310</v>
      </c>
      <c r="Q46" s="39">
        <f>73563</f>
        <v>73563</v>
      </c>
      <c r="R46" s="39">
        <v>635580</v>
      </c>
      <c r="S46" s="39">
        <f>294251+200000</f>
        <v>494251</v>
      </c>
      <c r="T46" s="39">
        <f>308963</f>
        <v>308963</v>
      </c>
      <c r="U46" s="39">
        <f>570846+2717382</f>
        <v>3288228</v>
      </c>
      <c r="V46" s="39">
        <f>2815973+344273</f>
        <v>3160246</v>
      </c>
      <c r="W46" s="39">
        <f>273654</f>
        <v>273654</v>
      </c>
      <c r="X46" s="39">
        <f>58850+435491</f>
        <v>494341</v>
      </c>
      <c r="Y46" s="39">
        <f>582615</f>
        <v>582615</v>
      </c>
      <c r="Z46" s="39">
        <f>44138</f>
        <v>44138</v>
      </c>
      <c r="AA46" s="39">
        <v>179493</v>
      </c>
      <c r="AB46" s="39">
        <f>3000000</f>
        <v>3000000</v>
      </c>
      <c r="AC46" s="39">
        <f>44138+2477585</f>
        <v>2521723</v>
      </c>
      <c r="AD46" s="39">
        <f>61793+1318240</f>
        <v>1380033</v>
      </c>
      <c r="AE46" s="39"/>
      <c r="AF46" s="39">
        <f>585558+79448+466752</f>
        <v>1131758</v>
      </c>
      <c r="AG46" s="14">
        <f t="shared" si="20"/>
        <v>23626023</v>
      </c>
      <c r="AH46" s="35"/>
      <c r="AI46" s="2"/>
      <c r="AJ46" s="2"/>
    </row>
    <row r="47" spans="1:36">
      <c r="A47" s="68" t="s">
        <v>65</v>
      </c>
      <c r="B47" s="52" t="s">
        <v>66</v>
      </c>
      <c r="C47" s="39"/>
      <c r="D47" s="66"/>
      <c r="E47" s="66">
        <v>141240</v>
      </c>
      <c r="F47" s="66"/>
      <c r="G47" s="66"/>
      <c r="H47" s="39"/>
      <c r="I47" s="66"/>
      <c r="J47" s="66"/>
      <c r="K47" s="66"/>
      <c r="L47" s="39"/>
      <c r="M47" s="66"/>
      <c r="N47" s="39"/>
      <c r="O47" s="66"/>
      <c r="P47" s="66">
        <f>382525</f>
        <v>382525</v>
      </c>
      <c r="Q47" s="66"/>
      <c r="R47" s="66"/>
      <c r="S47" s="66"/>
      <c r="T47" s="66"/>
      <c r="U47" s="66">
        <f>329560</f>
        <v>329560</v>
      </c>
      <c r="V47" s="66"/>
      <c r="W47" s="66"/>
      <c r="X47" s="66">
        <f>135355</f>
        <v>135355</v>
      </c>
      <c r="Y47" s="66"/>
      <c r="Z47" s="66"/>
      <c r="AA47" s="66"/>
      <c r="AB47" s="66">
        <f>253055</f>
        <v>253055</v>
      </c>
      <c r="AC47" s="66"/>
      <c r="AD47" s="66">
        <f>382525</f>
        <v>382525</v>
      </c>
      <c r="AE47" s="66"/>
      <c r="AF47" s="66">
        <f>147125</f>
        <v>147125</v>
      </c>
      <c r="AG47" s="14">
        <f t="shared" si="20"/>
        <v>1771385</v>
      </c>
      <c r="AH47" s="35"/>
      <c r="AI47" s="2"/>
      <c r="AJ47" s="2"/>
    </row>
    <row r="48" spans="1:36">
      <c r="A48" s="15" t="s">
        <v>67</v>
      </c>
      <c r="B48" s="52" t="s">
        <v>68</v>
      </c>
      <c r="C48" s="66"/>
      <c r="D48" s="39"/>
      <c r="E48" s="66"/>
      <c r="F48" s="66">
        <v>187500</v>
      </c>
      <c r="G48" s="66"/>
      <c r="H48" s="66"/>
      <c r="I48" s="39"/>
      <c r="J48" s="66">
        <v>805000</v>
      </c>
      <c r="K48" s="66"/>
      <c r="L48" s="39"/>
      <c r="M48" s="66"/>
      <c r="N48" s="66"/>
      <c r="O48" s="66"/>
      <c r="P48" s="66"/>
      <c r="Q48" s="66"/>
      <c r="R48" s="66">
        <v>609750</v>
      </c>
      <c r="S48" s="66">
        <v>1370875</v>
      </c>
      <c r="T48" s="66"/>
      <c r="U48" s="66"/>
      <c r="V48" s="66">
        <f>168000</f>
        <v>168000</v>
      </c>
      <c r="W48" s="66">
        <f>264000</f>
        <v>264000</v>
      </c>
      <c r="X48" s="66"/>
      <c r="Y48" s="66"/>
      <c r="Z48" s="66"/>
      <c r="AA48" s="66">
        <v>112500</v>
      </c>
      <c r="AB48" s="66">
        <f>244500</f>
        <v>244500</v>
      </c>
      <c r="AC48" s="66">
        <f>413750</f>
        <v>413750</v>
      </c>
      <c r="AD48" s="66">
        <v>298000</v>
      </c>
      <c r="AE48" s="66"/>
      <c r="AF48" s="66">
        <f>143750</f>
        <v>143750</v>
      </c>
      <c r="AG48" s="14">
        <f t="shared" si="20"/>
        <v>4617625</v>
      </c>
      <c r="AH48" s="35"/>
      <c r="AI48" s="2"/>
      <c r="AJ48" s="2"/>
    </row>
    <row r="49" spans="1:36">
      <c r="A49" s="15" t="s">
        <v>69</v>
      </c>
      <c r="B49" s="52" t="s">
        <v>70</v>
      </c>
      <c r="C49" s="66"/>
      <c r="D49" s="39"/>
      <c r="E49" s="66">
        <v>222000</v>
      </c>
      <c r="F49" s="66"/>
      <c r="G49" s="66"/>
      <c r="H49" s="66"/>
      <c r="I49" s="39"/>
      <c r="J49" s="39"/>
      <c r="K49" s="66"/>
      <c r="L49" s="66"/>
      <c r="M49" s="66"/>
      <c r="N49" s="39"/>
      <c r="O49" s="39"/>
      <c r="P49" s="39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14">
        <f t="shared" si="20"/>
        <v>222000</v>
      </c>
      <c r="AH49" s="35"/>
      <c r="AI49" s="2"/>
      <c r="AJ49" s="2"/>
    </row>
    <row r="50" spans="1:36">
      <c r="A50" s="15" t="s">
        <v>71</v>
      </c>
      <c r="B50" s="69" t="s">
        <v>72</v>
      </c>
      <c r="C50" s="39">
        <f>490-0.5</f>
        <v>489.5</v>
      </c>
      <c r="D50" s="39">
        <f>-3-0.13</f>
        <v>-3.13</v>
      </c>
      <c r="E50" s="39">
        <f>39294+0.39</f>
        <v>39294.39</v>
      </c>
      <c r="F50" s="39">
        <f>-84512-45-0.15</f>
        <v>-84557.15</v>
      </c>
      <c r="G50" s="39">
        <f>-0.581000000238419-2507270</f>
        <v>-2507270.5810000002</v>
      </c>
      <c r="H50" s="39">
        <f>-0.865000009536743-3635-820400</f>
        <v>-824035.86500000954</v>
      </c>
      <c r="I50" s="39">
        <f>-1.8319999948144+480</f>
        <v>478.1680000051856</v>
      </c>
      <c r="J50" s="39">
        <f>142484-506090+0.34</f>
        <v>-363605.66</v>
      </c>
      <c r="K50" s="39">
        <f>-2-40-1-0.46</f>
        <v>-43.46</v>
      </c>
      <c r="L50" s="39">
        <f>-0.12</f>
        <v>-0.12</v>
      </c>
      <c r="M50" s="39">
        <f>-1-43115+0.16</f>
        <v>-43115.839999999997</v>
      </c>
      <c r="N50" s="39">
        <f>-1-22862-21290-0.46</f>
        <v>-44153.46</v>
      </c>
      <c r="O50" s="39">
        <f>-2-33960-57545+0.15</f>
        <v>-91506.85</v>
      </c>
      <c r="P50" s="39">
        <f>-11-2000+0.28</f>
        <v>-2010.72</v>
      </c>
      <c r="Q50" s="66">
        <f>374-23582+0.12</f>
        <v>-23207.88</v>
      </c>
      <c r="R50" s="66"/>
      <c r="S50" s="66"/>
      <c r="T50" s="66">
        <f>-1-70530+0.3</f>
        <v>-70530.7</v>
      </c>
      <c r="U50" s="66">
        <f>-2-1208-5000000+0.01</f>
        <v>-5001209.99</v>
      </c>
      <c r="V50" s="66">
        <f>29735-44830-44830-1327760-327310-13728-0.03</f>
        <v>-1728723.03</v>
      </c>
      <c r="W50" s="66">
        <f>46725-20000+15+0.19</f>
        <v>26740.19</v>
      </c>
      <c r="X50" s="66">
        <f>-2+10+2+2048+0.26</f>
        <v>2058.2600000000002</v>
      </c>
      <c r="Y50" s="66">
        <f>90+0.04</f>
        <v>90.04</v>
      </c>
      <c r="Z50" s="66">
        <f>-2+0.04</f>
        <v>-1.96</v>
      </c>
      <c r="AA50" s="66">
        <f>19911-70+0.31</f>
        <v>19841.310000000001</v>
      </c>
      <c r="AB50" s="66">
        <f>43275-36880+0.11</f>
        <v>6395.11</v>
      </c>
      <c r="AC50" s="66">
        <f>73232-51615-68370-38945-51615-55700-33960-8075+0.32</f>
        <v>-235047.67999999999</v>
      </c>
      <c r="AD50" s="66">
        <f>52745-11770+0.04</f>
        <v>40975.040000000001</v>
      </c>
      <c r="AE50" s="66">
        <f>-0.76+865</f>
        <v>864.24</v>
      </c>
      <c r="AF50" s="66">
        <f>25443.37</f>
        <v>25443.37</v>
      </c>
      <c r="AG50" s="14">
        <f t="shared" si="20"/>
        <v>-10856354.458000008</v>
      </c>
      <c r="AH50" s="35"/>
      <c r="AI50" s="2"/>
      <c r="AJ50" s="2"/>
    </row>
    <row r="51" spans="1:36">
      <c r="A51" s="1"/>
      <c r="B51" s="70" t="s">
        <v>73</v>
      </c>
      <c r="C51" s="71">
        <f t="shared" ref="C51:AG51" si="21">SUM(C32:C50)</f>
        <v>46277229.5</v>
      </c>
      <c r="D51" s="72">
        <f t="shared" si="21"/>
        <v>48032823.869999997</v>
      </c>
      <c r="E51" s="72">
        <f t="shared" si="21"/>
        <v>47622323.390000001</v>
      </c>
      <c r="F51" s="72">
        <f t="shared" si="21"/>
        <v>67606539.849999994</v>
      </c>
      <c r="G51" s="72">
        <f t="shared" si="21"/>
        <v>129380956.419</v>
      </c>
      <c r="H51" s="72">
        <f t="shared" si="21"/>
        <v>169564805.13499999</v>
      </c>
      <c r="I51" s="72">
        <f t="shared" si="21"/>
        <v>39421242.168000005</v>
      </c>
      <c r="J51" s="72">
        <f t="shared" si="21"/>
        <v>81633683.340000004</v>
      </c>
      <c r="K51" s="72">
        <f t="shared" si="21"/>
        <v>71819120.540000007</v>
      </c>
      <c r="L51" s="73">
        <f t="shared" si="21"/>
        <v>64322390.880000003</v>
      </c>
      <c r="M51" s="73">
        <f t="shared" si="21"/>
        <v>56512838.159999996</v>
      </c>
      <c r="N51" s="72">
        <f t="shared" si="21"/>
        <v>88990639.540000007</v>
      </c>
      <c r="O51" s="72">
        <f t="shared" si="21"/>
        <v>141585334.15000001</v>
      </c>
      <c r="P51" s="72">
        <f t="shared" si="21"/>
        <v>43137158.280000001</v>
      </c>
      <c r="Q51" s="72">
        <f t="shared" si="21"/>
        <v>41799460.119999997</v>
      </c>
      <c r="R51" s="72">
        <f t="shared" si="21"/>
        <v>73926149</v>
      </c>
      <c r="S51" s="72">
        <f t="shared" si="21"/>
        <v>65769414</v>
      </c>
      <c r="T51" s="72">
        <f t="shared" si="21"/>
        <v>53244742.299999997</v>
      </c>
      <c r="U51" s="72">
        <f t="shared" si="21"/>
        <v>103941555.01000001</v>
      </c>
      <c r="V51" s="72">
        <f t="shared" si="21"/>
        <v>158779859.97</v>
      </c>
      <c r="W51" s="72">
        <f t="shared" si="21"/>
        <v>44310806.189999998</v>
      </c>
      <c r="X51" s="72">
        <f t="shared" si="21"/>
        <v>43092126.259999998</v>
      </c>
      <c r="Y51" s="72">
        <f t="shared" si="21"/>
        <v>70874844.040000007</v>
      </c>
      <c r="Z51" s="72">
        <f t="shared" si="21"/>
        <v>51358414.039999999</v>
      </c>
      <c r="AA51" s="72">
        <f t="shared" si="21"/>
        <v>55997253.310000002</v>
      </c>
      <c r="AB51" s="72">
        <f t="shared" si="21"/>
        <v>123829105.11</v>
      </c>
      <c r="AC51" s="72">
        <f t="shared" si="21"/>
        <v>147559501.31999999</v>
      </c>
      <c r="AD51" s="72">
        <f t="shared" si="21"/>
        <v>36421055.039999999</v>
      </c>
      <c r="AE51" s="72">
        <f t="shared" si="21"/>
        <v>55582636.240000002</v>
      </c>
      <c r="AF51" s="72">
        <f t="shared" si="21"/>
        <v>93060877.370000005</v>
      </c>
      <c r="AG51" s="72">
        <f t="shared" si="21"/>
        <v>2315454884.5419998</v>
      </c>
      <c r="AH51" s="8"/>
      <c r="AI51" s="4"/>
      <c r="AJ51" s="4"/>
    </row>
    <row r="52" spans="1:36">
      <c r="A52" s="74"/>
      <c r="B52" s="75" t="s">
        <v>74</v>
      </c>
      <c r="C52" s="76">
        <f t="shared" ref="C52:AG52" si="22">C51-C30</f>
        <v>-4.0000006556510925E-3</v>
      </c>
      <c r="D52" s="76">
        <f t="shared" si="22"/>
        <v>-2.0000040531158447E-3</v>
      </c>
      <c r="E52" s="76">
        <f t="shared" si="22"/>
        <v>2.0000040531158447E-3</v>
      </c>
      <c r="F52" s="76">
        <f t="shared" si="22"/>
        <v>2.9999911785125732E-3</v>
      </c>
      <c r="G52" s="76">
        <f t="shared" si="22"/>
        <v>0</v>
      </c>
      <c r="H52" s="76">
        <f t="shared" si="22"/>
        <v>0</v>
      </c>
      <c r="I52" s="76">
        <f t="shared" si="22"/>
        <v>0</v>
      </c>
      <c r="J52" s="76">
        <f t="shared" si="22"/>
        <v>0</v>
      </c>
      <c r="K52" s="76">
        <f t="shared" si="22"/>
        <v>2.0000040531158447E-3</v>
      </c>
      <c r="L52" s="76">
        <f t="shared" si="22"/>
        <v>0</v>
      </c>
      <c r="M52" s="76">
        <f t="shared" si="22"/>
        <v>-2.0000040531158447E-3</v>
      </c>
      <c r="N52" s="76">
        <f t="shared" si="22"/>
        <v>0</v>
      </c>
      <c r="O52" s="76">
        <f t="shared" si="22"/>
        <v>-4.0000081062316895E-3</v>
      </c>
      <c r="P52" s="76">
        <f t="shared" si="22"/>
        <v>-3.9999932050704956E-3</v>
      </c>
      <c r="Q52" s="76">
        <f t="shared" si="22"/>
        <v>0</v>
      </c>
      <c r="R52" s="76">
        <f t="shared" si="22"/>
        <v>0</v>
      </c>
      <c r="S52" s="76">
        <f t="shared" si="22"/>
        <v>0</v>
      </c>
      <c r="T52" s="76">
        <f t="shared" si="22"/>
        <v>1.9999966025352478E-3</v>
      </c>
      <c r="U52" s="76">
        <f t="shared" si="22"/>
        <v>-3.9999932050704956E-3</v>
      </c>
      <c r="V52" s="76">
        <f t="shared" si="22"/>
        <v>-4.999995231628418E-3</v>
      </c>
      <c r="W52" s="76">
        <f t="shared" si="22"/>
        <v>1.9999966025352478E-3</v>
      </c>
      <c r="X52" s="76">
        <f t="shared" si="22"/>
        <v>-4.0000006556510925E-3</v>
      </c>
      <c r="Y52" s="76">
        <f t="shared" si="22"/>
        <v>0</v>
      </c>
      <c r="Z52" s="76">
        <f t="shared" si="22"/>
        <v>-4.0000006556510925E-3</v>
      </c>
      <c r="AA52" s="76">
        <f t="shared" si="22"/>
        <v>-2.0000040531158447E-3</v>
      </c>
      <c r="AB52" s="76">
        <f t="shared" si="22"/>
        <v>-1.0000020265579224E-3</v>
      </c>
      <c r="AC52" s="76">
        <f t="shared" si="22"/>
        <v>0</v>
      </c>
      <c r="AD52" s="76">
        <f t="shared" si="22"/>
        <v>-4.0000006556510925E-3</v>
      </c>
      <c r="AE52" s="76">
        <f t="shared" si="22"/>
        <v>4.0000006556510925E-3</v>
      </c>
      <c r="AF52" s="76">
        <f t="shared" si="22"/>
        <v>0</v>
      </c>
      <c r="AG52" s="76">
        <f t="shared" si="22"/>
        <v>-2.5000095367431641E-2</v>
      </c>
      <c r="AH52" s="74"/>
      <c r="AI52" s="74"/>
      <c r="AJ52" s="74"/>
    </row>
    <row r="53" spans="1:36">
      <c r="A53" s="1"/>
      <c r="B53" s="2"/>
      <c r="C53" s="77">
        <v>48000</v>
      </c>
      <c r="D53" s="77">
        <v>48000</v>
      </c>
      <c r="E53" s="77">
        <v>22000</v>
      </c>
      <c r="F53" s="77">
        <v>48000</v>
      </c>
      <c r="G53" s="77">
        <v>20000</v>
      </c>
      <c r="H53" s="77">
        <v>20000</v>
      </c>
      <c r="I53" s="77">
        <v>180000</v>
      </c>
      <c r="J53" s="77">
        <v>48000</v>
      </c>
      <c r="K53" s="78">
        <v>65000</v>
      </c>
      <c r="L53" s="77">
        <v>328000</v>
      </c>
      <c r="M53" s="77">
        <v>48000</v>
      </c>
      <c r="N53" s="77">
        <v>43000</v>
      </c>
      <c r="O53" s="77">
        <v>4000000</v>
      </c>
      <c r="P53" s="77">
        <v>120000</v>
      </c>
      <c r="Q53" s="79">
        <v>22000</v>
      </c>
      <c r="R53" s="79">
        <v>19000</v>
      </c>
      <c r="S53" s="79">
        <v>20000</v>
      </c>
      <c r="T53" s="79">
        <v>48000</v>
      </c>
      <c r="U53" s="79">
        <v>7000000</v>
      </c>
      <c r="V53" s="79">
        <v>48000</v>
      </c>
      <c r="W53" s="79">
        <v>48000</v>
      </c>
      <c r="X53" s="79">
        <v>48000</v>
      </c>
      <c r="Y53" s="79">
        <v>48000</v>
      </c>
      <c r="Z53" s="79">
        <v>456000</v>
      </c>
      <c r="AA53" s="79">
        <v>48000</v>
      </c>
      <c r="AB53" s="79">
        <v>27000</v>
      </c>
      <c r="AC53" s="79">
        <v>144000</v>
      </c>
      <c r="AD53" s="79">
        <v>48000</v>
      </c>
      <c r="AE53" s="79">
        <v>48000</v>
      </c>
      <c r="AF53" s="79">
        <v>1387000</v>
      </c>
      <c r="AG53" s="79"/>
      <c r="AH53" s="8"/>
      <c r="AI53" s="4"/>
      <c r="AJ53" s="4"/>
    </row>
    <row r="54" spans="1:36">
      <c r="A54" s="1"/>
      <c r="B54" s="2"/>
      <c r="C54" s="77">
        <v>90000</v>
      </c>
      <c r="D54" s="77">
        <v>23000</v>
      </c>
      <c r="E54" s="77">
        <v>1036000</v>
      </c>
      <c r="F54" s="77">
        <v>39600</v>
      </c>
      <c r="G54" s="77">
        <v>32000</v>
      </c>
      <c r="H54" s="80">
        <v>36000</v>
      </c>
      <c r="I54" s="77">
        <v>8000</v>
      </c>
      <c r="J54" s="77">
        <v>462912</v>
      </c>
      <c r="K54" s="78">
        <v>27000</v>
      </c>
      <c r="L54" s="77">
        <v>10000</v>
      </c>
      <c r="M54" s="77">
        <v>130000</v>
      </c>
      <c r="N54" s="77">
        <v>48000</v>
      </c>
      <c r="O54" s="77">
        <v>25000</v>
      </c>
      <c r="P54" s="77">
        <v>18000</v>
      </c>
      <c r="Q54" s="79">
        <v>1554000</v>
      </c>
      <c r="R54" s="79">
        <v>140000</v>
      </c>
      <c r="S54" s="79">
        <v>282000</v>
      </c>
      <c r="T54" s="79">
        <v>57000</v>
      </c>
      <c r="U54" s="79">
        <v>100000</v>
      </c>
      <c r="V54" s="79">
        <v>264000</v>
      </c>
      <c r="W54" s="79">
        <v>45000</v>
      </c>
      <c r="X54" s="81">
        <v>451720</v>
      </c>
      <c r="Y54" s="79">
        <v>22000</v>
      </c>
      <c r="Z54" s="79">
        <v>278098</v>
      </c>
      <c r="AA54" s="79">
        <v>120000</v>
      </c>
      <c r="AB54" s="79">
        <v>35000</v>
      </c>
      <c r="AC54" s="79">
        <v>1905000</v>
      </c>
      <c r="AD54" s="79">
        <v>22000</v>
      </c>
      <c r="AE54" s="79">
        <v>497970</v>
      </c>
      <c r="AF54" s="79">
        <v>61800</v>
      </c>
      <c r="AG54" s="79"/>
      <c r="AH54" s="8"/>
      <c r="AI54" s="4"/>
      <c r="AJ54" s="4"/>
    </row>
    <row r="55" spans="1:36">
      <c r="A55" s="1"/>
      <c r="B55" s="2"/>
      <c r="C55" s="77">
        <v>120000</v>
      </c>
      <c r="D55" s="77">
        <v>108000</v>
      </c>
      <c r="E55" s="77">
        <v>48000</v>
      </c>
      <c r="F55" s="77">
        <v>168000</v>
      </c>
      <c r="G55" s="77">
        <v>144000</v>
      </c>
      <c r="H55" s="77">
        <v>145000</v>
      </c>
      <c r="I55" s="77">
        <v>48000</v>
      </c>
      <c r="J55" s="77"/>
      <c r="K55" s="77">
        <v>24000</v>
      </c>
      <c r="L55" s="77">
        <v>30000</v>
      </c>
      <c r="M55" s="77">
        <v>25000</v>
      </c>
      <c r="N55" s="77">
        <v>3000000</v>
      </c>
      <c r="O55" s="79">
        <v>193000</v>
      </c>
      <c r="P55" s="77">
        <v>24000</v>
      </c>
      <c r="Q55" s="79">
        <v>15000</v>
      </c>
      <c r="R55" s="79">
        <v>48000</v>
      </c>
      <c r="S55" s="79">
        <v>70000</v>
      </c>
      <c r="T55" s="79">
        <v>120000</v>
      </c>
      <c r="U55" s="79">
        <v>90000</v>
      </c>
      <c r="V55" s="79">
        <v>176000</v>
      </c>
      <c r="W55" s="79">
        <v>242000</v>
      </c>
      <c r="X55" s="79">
        <v>1554000</v>
      </c>
      <c r="Y55" s="79">
        <v>50000</v>
      </c>
      <c r="Z55" s="79">
        <v>48000</v>
      </c>
      <c r="AA55" s="79">
        <v>310000</v>
      </c>
      <c r="AB55" s="79">
        <v>48000</v>
      </c>
      <c r="AC55" s="79">
        <v>129000</v>
      </c>
      <c r="AD55" s="79">
        <v>168000</v>
      </c>
      <c r="AE55" s="79">
        <v>7000</v>
      </c>
      <c r="AF55" s="79">
        <v>12000</v>
      </c>
      <c r="AG55" s="79"/>
      <c r="AH55" s="8"/>
      <c r="AI55" s="4"/>
      <c r="AJ55" s="4"/>
    </row>
    <row r="56" spans="1:36">
      <c r="A56" s="1"/>
      <c r="B56" s="2"/>
      <c r="C56" s="77">
        <v>128000</v>
      </c>
      <c r="D56" s="79">
        <v>25344</v>
      </c>
      <c r="E56" s="77">
        <v>90000</v>
      </c>
      <c r="F56" s="77">
        <v>60000</v>
      </c>
      <c r="G56" s="77">
        <v>29000</v>
      </c>
      <c r="H56" s="77">
        <v>24000</v>
      </c>
      <c r="I56" s="77">
        <v>1387000</v>
      </c>
      <c r="J56" s="77"/>
      <c r="K56" s="78">
        <v>150000</v>
      </c>
      <c r="L56" s="77">
        <v>20000</v>
      </c>
      <c r="M56" s="77">
        <v>22000</v>
      </c>
      <c r="N56" s="77"/>
      <c r="O56" s="79">
        <v>85000</v>
      </c>
      <c r="P56" s="77">
        <v>180000</v>
      </c>
      <c r="Q56" s="79">
        <v>48000</v>
      </c>
      <c r="R56" s="79">
        <v>22000</v>
      </c>
      <c r="S56" s="79">
        <v>120000</v>
      </c>
      <c r="T56" s="79">
        <v>21000</v>
      </c>
      <c r="U56" s="79">
        <v>61900</v>
      </c>
      <c r="V56" s="79">
        <v>555430</v>
      </c>
      <c r="W56" s="79">
        <v>120000</v>
      </c>
      <c r="X56" s="79">
        <v>43500</v>
      </c>
      <c r="Y56" s="79">
        <v>22000</v>
      </c>
      <c r="Z56" s="79">
        <v>33500</v>
      </c>
      <c r="AA56" s="79"/>
      <c r="AB56" s="79">
        <v>45000</v>
      </c>
      <c r="AC56" s="79">
        <v>48000</v>
      </c>
      <c r="AD56" s="79">
        <v>13000</v>
      </c>
      <c r="AE56" s="79">
        <v>15000</v>
      </c>
      <c r="AF56" s="79">
        <v>5000</v>
      </c>
      <c r="AG56" s="79"/>
      <c r="AH56" s="8"/>
      <c r="AI56" s="4"/>
      <c r="AJ56" s="4"/>
    </row>
    <row r="57" spans="1:36">
      <c r="A57" s="1"/>
      <c r="B57" s="2"/>
      <c r="C57" s="77"/>
      <c r="D57" s="79">
        <v>288000</v>
      </c>
      <c r="E57" s="77">
        <v>32500</v>
      </c>
      <c r="F57" s="77"/>
      <c r="G57" s="77">
        <v>551604</v>
      </c>
      <c r="H57" s="77">
        <v>32000</v>
      </c>
      <c r="I57" s="77"/>
      <c r="J57" s="77"/>
      <c r="K57" s="77">
        <v>60000</v>
      </c>
      <c r="L57" s="77">
        <v>282000</v>
      </c>
      <c r="M57" s="77">
        <v>1909000</v>
      </c>
      <c r="N57" s="79"/>
      <c r="O57" s="79">
        <v>48000</v>
      </c>
      <c r="P57" s="77">
        <v>22000</v>
      </c>
      <c r="Q57" s="79">
        <v>54000</v>
      </c>
      <c r="R57" s="79">
        <v>87000</v>
      </c>
      <c r="S57" s="79">
        <v>64000</v>
      </c>
      <c r="T57" s="79"/>
      <c r="U57" s="79">
        <v>48000</v>
      </c>
      <c r="V57" s="79">
        <v>305000</v>
      </c>
      <c r="W57" s="79"/>
      <c r="X57" s="79">
        <v>180000</v>
      </c>
      <c r="Y57" s="79">
        <v>37000</v>
      </c>
      <c r="Z57" s="79"/>
      <c r="AA57" s="79"/>
      <c r="AB57" s="79">
        <v>1554000</v>
      </c>
      <c r="AC57" s="79">
        <v>27000</v>
      </c>
      <c r="AD57" s="79">
        <v>48000</v>
      </c>
      <c r="AE57" s="79">
        <v>327000</v>
      </c>
      <c r="AF57" s="79">
        <v>120000</v>
      </c>
      <c r="AG57" s="79"/>
      <c r="AH57" s="8"/>
      <c r="AI57" s="4"/>
      <c r="AJ57" s="4"/>
    </row>
    <row r="58" spans="1:36">
      <c r="A58" s="1"/>
      <c r="B58" s="2"/>
      <c r="C58" s="77"/>
      <c r="D58" s="79"/>
      <c r="E58" s="77"/>
      <c r="F58" s="77"/>
      <c r="G58" s="77">
        <v>48000</v>
      </c>
      <c r="H58" s="77">
        <v>27000</v>
      </c>
      <c r="I58" s="79"/>
      <c r="J58" s="77"/>
      <c r="K58" s="77"/>
      <c r="L58" s="77">
        <v>3000000</v>
      </c>
      <c r="M58" s="77">
        <v>368500</v>
      </c>
      <c r="N58" s="79"/>
      <c r="O58" s="79">
        <v>32000</v>
      </c>
      <c r="P58" s="79">
        <v>330000</v>
      </c>
      <c r="Q58" s="79"/>
      <c r="R58" s="79">
        <v>180000</v>
      </c>
      <c r="S58" s="79"/>
      <c r="T58" s="79"/>
      <c r="U58" s="79">
        <v>22000</v>
      </c>
      <c r="V58" s="79">
        <v>10000000</v>
      </c>
      <c r="W58" s="79"/>
      <c r="X58" s="79"/>
      <c r="Y58" s="79"/>
      <c r="Z58" s="79"/>
      <c r="AA58" s="79"/>
      <c r="AB58" s="79"/>
      <c r="AC58" s="79">
        <v>55000</v>
      </c>
      <c r="AD58" s="79">
        <v>60000</v>
      </c>
      <c r="AE58" s="79">
        <v>60000</v>
      </c>
      <c r="AF58" s="79">
        <v>48000</v>
      </c>
      <c r="AG58" s="79"/>
      <c r="AH58" s="8"/>
      <c r="AI58" s="4"/>
      <c r="AJ58" s="4"/>
    </row>
    <row r="59" spans="1:36">
      <c r="A59" s="1"/>
      <c r="B59" s="2"/>
      <c r="C59" s="77"/>
      <c r="D59" s="79"/>
      <c r="E59" s="79"/>
      <c r="F59" s="82"/>
      <c r="G59" s="79">
        <v>4000000</v>
      </c>
      <c r="H59" s="77">
        <v>22000</v>
      </c>
      <c r="I59" s="79"/>
      <c r="J59" s="77"/>
      <c r="K59" s="77"/>
      <c r="L59" s="77">
        <v>150000</v>
      </c>
      <c r="M59" s="77">
        <v>28000</v>
      </c>
      <c r="N59" s="79"/>
      <c r="O59" s="79">
        <v>22000</v>
      </c>
      <c r="P59" s="79">
        <v>26000</v>
      </c>
      <c r="Q59" s="79"/>
      <c r="R59" s="79"/>
      <c r="S59" s="79"/>
      <c r="T59" s="79"/>
      <c r="U59" s="79">
        <v>1387000</v>
      </c>
      <c r="V59" s="79"/>
      <c r="W59" s="79"/>
      <c r="X59" s="79"/>
      <c r="Y59" s="79"/>
      <c r="Z59" s="79"/>
      <c r="AA59" s="79"/>
      <c r="AB59" s="79"/>
      <c r="AC59" s="79">
        <v>707622</v>
      </c>
      <c r="AD59" s="79">
        <v>37000</v>
      </c>
      <c r="AE59" s="79"/>
      <c r="AF59" s="79"/>
      <c r="AG59" s="79"/>
      <c r="AH59" s="8"/>
      <c r="AI59" s="4"/>
      <c r="AJ59" s="4"/>
    </row>
    <row r="60" spans="1:36">
      <c r="A60" s="1"/>
      <c r="B60" s="2"/>
      <c r="C60" s="79"/>
      <c r="D60" s="79"/>
      <c r="E60" s="79"/>
      <c r="F60" s="79"/>
      <c r="G60" s="79">
        <v>93500</v>
      </c>
      <c r="H60" s="79">
        <v>48000</v>
      </c>
      <c r="I60" s="79"/>
      <c r="J60" s="79"/>
      <c r="K60" s="79"/>
      <c r="L60" s="79">
        <v>45500</v>
      </c>
      <c r="M60" s="79">
        <v>21800</v>
      </c>
      <c r="N60" s="79"/>
      <c r="O60" s="79">
        <v>23000</v>
      </c>
      <c r="P60" s="79">
        <v>48000</v>
      </c>
      <c r="Q60" s="79"/>
      <c r="R60" s="79"/>
      <c r="S60" s="79"/>
      <c r="T60" s="79"/>
      <c r="U60" s="79">
        <v>60000</v>
      </c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8"/>
      <c r="AI60" s="4"/>
      <c r="AJ60" s="4"/>
    </row>
    <row r="61" spans="1:36">
      <c r="A61" s="1"/>
      <c r="B61" s="2"/>
      <c r="C61" s="79"/>
      <c r="D61" s="79"/>
      <c r="E61" s="79"/>
      <c r="F61" s="79"/>
      <c r="G61" s="79"/>
      <c r="H61" s="79">
        <v>170267</v>
      </c>
      <c r="I61" s="79"/>
      <c r="J61" s="79"/>
      <c r="K61" s="79"/>
      <c r="L61" s="79">
        <v>56000</v>
      </c>
      <c r="M61" s="79">
        <v>71200</v>
      </c>
      <c r="N61" s="79"/>
      <c r="O61" s="79">
        <v>483066</v>
      </c>
      <c r="P61" s="79">
        <v>120000</v>
      </c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8"/>
      <c r="AI61" s="4"/>
      <c r="AJ61" s="4"/>
    </row>
    <row r="62" spans="1:36">
      <c r="A62" s="1"/>
      <c r="B62" s="2"/>
      <c r="C62" s="79"/>
      <c r="D62" s="79"/>
      <c r="E62" s="79"/>
      <c r="F62" s="79"/>
      <c r="G62" s="79"/>
      <c r="H62" s="79">
        <v>372000</v>
      </c>
      <c r="I62" s="79"/>
      <c r="J62" s="79"/>
      <c r="K62" s="79"/>
      <c r="L62" s="79">
        <v>410497</v>
      </c>
      <c r="M62" s="79"/>
      <c r="N62" s="79"/>
      <c r="O62" s="79">
        <v>5000000</v>
      </c>
      <c r="P62" s="79">
        <v>52000</v>
      </c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8"/>
      <c r="AI62" s="4"/>
      <c r="AJ62" s="4"/>
    </row>
    <row r="63" spans="1:36">
      <c r="A63" s="1"/>
      <c r="B63" s="2"/>
      <c r="C63" s="79"/>
      <c r="D63" s="79"/>
      <c r="E63" s="79"/>
      <c r="F63" s="79"/>
      <c r="G63" s="79"/>
      <c r="H63" s="79">
        <v>200000</v>
      </c>
      <c r="I63" s="79"/>
      <c r="J63" s="79"/>
      <c r="K63" s="79"/>
      <c r="L63" s="79">
        <v>23900</v>
      </c>
      <c r="M63" s="79"/>
      <c r="N63" s="79"/>
      <c r="O63" s="79">
        <v>1451000</v>
      </c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8"/>
      <c r="AI63" s="4"/>
      <c r="AJ63" s="4"/>
    </row>
    <row r="64" spans="1:36">
      <c r="A64" s="1"/>
      <c r="B64" s="2"/>
      <c r="C64" s="79"/>
      <c r="D64" s="79"/>
      <c r="E64" s="79"/>
      <c r="F64" s="79"/>
      <c r="G64" s="79"/>
      <c r="H64" s="79">
        <v>10000000</v>
      </c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8"/>
      <c r="AI64" s="4"/>
      <c r="AJ64" s="4"/>
    </row>
    <row r="65" spans="1:36">
      <c r="A65" s="1"/>
      <c r="B65" s="2"/>
      <c r="C65" s="79"/>
      <c r="D65" s="79"/>
      <c r="E65" s="79"/>
      <c r="F65" s="79"/>
      <c r="G65" s="79"/>
      <c r="H65" s="79">
        <v>1036000</v>
      </c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8"/>
      <c r="AI65" s="4"/>
      <c r="AJ65" s="4"/>
    </row>
    <row r="66" spans="1:36">
      <c r="A66" s="1"/>
      <c r="B66" s="2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8"/>
      <c r="AI66" s="4"/>
      <c r="AJ66" s="4"/>
    </row>
    <row r="67" spans="1:36">
      <c r="A67" s="1"/>
      <c r="B67" s="2"/>
      <c r="C67" s="82">
        <f t="shared" ref="C67:G67" si="23">SUM(C53:C62)</f>
        <v>386000</v>
      </c>
      <c r="D67" s="82">
        <f t="shared" si="23"/>
        <v>492344</v>
      </c>
      <c r="E67" s="82">
        <f t="shared" si="23"/>
        <v>1228500</v>
      </c>
      <c r="F67" s="82">
        <f t="shared" si="23"/>
        <v>315600</v>
      </c>
      <c r="G67" s="82">
        <f t="shared" si="23"/>
        <v>4918104</v>
      </c>
      <c r="H67" s="82">
        <f>SUM(H53:H66)</f>
        <v>12132267</v>
      </c>
      <c r="I67" s="82">
        <f t="shared" ref="I67:K67" si="24">SUM(I53:I62)</f>
        <v>1623000</v>
      </c>
      <c r="J67" s="82">
        <f t="shared" si="24"/>
        <v>510912</v>
      </c>
      <c r="K67" s="82">
        <f t="shared" si="24"/>
        <v>326000</v>
      </c>
      <c r="L67" s="82">
        <f t="shared" ref="L67:AF67" si="25">SUM(L53:L66)</f>
        <v>4355897</v>
      </c>
      <c r="M67" s="82">
        <f t="shared" si="25"/>
        <v>2623500</v>
      </c>
      <c r="N67" s="82">
        <f t="shared" si="25"/>
        <v>3091000</v>
      </c>
      <c r="O67" s="82">
        <f t="shared" si="25"/>
        <v>11362066</v>
      </c>
      <c r="P67" s="82">
        <f t="shared" si="25"/>
        <v>940000</v>
      </c>
      <c r="Q67" s="82">
        <f t="shared" si="25"/>
        <v>1693000</v>
      </c>
      <c r="R67" s="82">
        <f t="shared" si="25"/>
        <v>496000</v>
      </c>
      <c r="S67" s="82">
        <f t="shared" si="25"/>
        <v>556000</v>
      </c>
      <c r="T67" s="82">
        <f t="shared" si="25"/>
        <v>246000</v>
      </c>
      <c r="U67" s="82">
        <f t="shared" si="25"/>
        <v>8768900</v>
      </c>
      <c r="V67" s="82">
        <f t="shared" si="25"/>
        <v>11348430</v>
      </c>
      <c r="W67" s="82">
        <f t="shared" si="25"/>
        <v>455000</v>
      </c>
      <c r="X67" s="82">
        <f t="shared" si="25"/>
        <v>2277220</v>
      </c>
      <c r="Y67" s="82">
        <f t="shared" si="25"/>
        <v>179000</v>
      </c>
      <c r="Z67" s="82">
        <f t="shared" si="25"/>
        <v>815598</v>
      </c>
      <c r="AA67" s="82">
        <f t="shared" si="25"/>
        <v>478000</v>
      </c>
      <c r="AB67" s="82">
        <f t="shared" si="25"/>
        <v>1709000</v>
      </c>
      <c r="AC67" s="82">
        <f t="shared" si="25"/>
        <v>3015622</v>
      </c>
      <c r="AD67" s="82">
        <f t="shared" si="25"/>
        <v>396000</v>
      </c>
      <c r="AE67" s="82">
        <f t="shared" si="25"/>
        <v>954970</v>
      </c>
      <c r="AF67" s="82">
        <f t="shared" si="25"/>
        <v>1633800</v>
      </c>
      <c r="AG67" s="79"/>
      <c r="AH67" s="8"/>
      <c r="AI67" s="4"/>
      <c r="AJ67" s="4"/>
    </row>
    <row r="68" spans="1:36">
      <c r="A68" s="1"/>
      <c r="B68" s="83"/>
      <c r="C68" s="84">
        <f t="shared" ref="C68:AF68" si="26">C32-C67</f>
        <v>10116700</v>
      </c>
      <c r="D68" s="84">
        <f t="shared" si="26"/>
        <v>6588836</v>
      </c>
      <c r="E68" s="84">
        <f t="shared" si="26"/>
        <v>8531827</v>
      </c>
      <c r="F68" s="84">
        <f t="shared" si="26"/>
        <v>5705830</v>
      </c>
      <c r="G68" s="84">
        <f t="shared" si="26"/>
        <v>11434186</v>
      </c>
      <c r="H68" s="84">
        <f t="shared" si="26"/>
        <v>6516195</v>
      </c>
      <c r="I68" s="84">
        <f t="shared" si="26"/>
        <v>5134477</v>
      </c>
      <c r="J68" s="84">
        <f t="shared" si="26"/>
        <v>5822624</v>
      </c>
      <c r="K68" s="84">
        <f t="shared" si="26"/>
        <v>6590461</v>
      </c>
      <c r="L68" s="84">
        <f t="shared" si="26"/>
        <v>4163906</v>
      </c>
      <c r="M68" s="84">
        <f t="shared" si="26"/>
        <v>4898290</v>
      </c>
      <c r="N68" s="84">
        <f t="shared" si="26"/>
        <v>5736640</v>
      </c>
      <c r="O68" s="84">
        <f t="shared" si="26"/>
        <v>9685350</v>
      </c>
      <c r="P68" s="84">
        <f t="shared" si="26"/>
        <v>7091568</v>
      </c>
      <c r="Q68" s="84">
        <f t="shared" si="26"/>
        <v>5803471</v>
      </c>
      <c r="R68" s="84">
        <f t="shared" si="26"/>
        <v>9926862</v>
      </c>
      <c r="S68" s="84">
        <f t="shared" si="26"/>
        <v>8675710</v>
      </c>
      <c r="T68" s="84">
        <f t="shared" si="26"/>
        <v>12739755</v>
      </c>
      <c r="U68" s="84">
        <f t="shared" si="26"/>
        <v>2942502</v>
      </c>
      <c r="V68" s="84">
        <f t="shared" si="26"/>
        <v>4871977</v>
      </c>
      <c r="W68" s="84">
        <f t="shared" si="26"/>
        <v>4611026</v>
      </c>
      <c r="X68" s="84">
        <f t="shared" si="26"/>
        <v>6690837</v>
      </c>
      <c r="Y68" s="84">
        <f t="shared" si="26"/>
        <v>8281347</v>
      </c>
      <c r="Z68" s="84">
        <f t="shared" si="26"/>
        <v>10281832</v>
      </c>
      <c r="AA68" s="84">
        <f t="shared" si="26"/>
        <v>13728333</v>
      </c>
      <c r="AB68" s="84">
        <f t="shared" si="26"/>
        <v>14682851</v>
      </c>
      <c r="AC68" s="84">
        <f t="shared" si="26"/>
        <v>8405992</v>
      </c>
      <c r="AD68" s="84">
        <f t="shared" si="26"/>
        <v>4828289</v>
      </c>
      <c r="AE68" s="84">
        <f t="shared" si="26"/>
        <v>8624312</v>
      </c>
      <c r="AF68" s="84">
        <f t="shared" si="26"/>
        <v>9593105</v>
      </c>
      <c r="AG68" s="83">
        <f>SUM(AE68:AF68)</f>
        <v>18217417</v>
      </c>
      <c r="AH68" s="8"/>
      <c r="AI68" s="4"/>
      <c r="AJ68" s="4"/>
    </row>
    <row r="69" spans="1:36">
      <c r="A69" s="1"/>
      <c r="B69" s="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79"/>
      <c r="W69" s="79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1"/>
      <c r="B70" s="83"/>
      <c r="C70" s="79">
        <f>-10000000*1</f>
        <v>-10000000</v>
      </c>
      <c r="D70" s="79"/>
      <c r="E70" s="79"/>
      <c r="F70" s="79"/>
      <c r="G70" s="79"/>
      <c r="H70" s="79"/>
      <c r="I70" s="79"/>
      <c r="J70" s="79"/>
      <c r="K70" s="77"/>
      <c r="L70" s="77"/>
      <c r="M70" s="77"/>
      <c r="N70" s="77"/>
      <c r="O70" s="79"/>
      <c r="P70" s="79"/>
      <c r="Q70" s="79"/>
      <c r="R70" s="79"/>
      <c r="S70" s="79"/>
      <c r="T70" s="79">
        <f>-10000000*1</f>
        <v>-10000000</v>
      </c>
      <c r="U70" s="79"/>
      <c r="V70" s="79"/>
      <c r="W70" s="79"/>
      <c r="X70" s="79"/>
      <c r="Y70" s="79"/>
      <c r="Z70" s="79"/>
      <c r="AA70" s="79"/>
      <c r="AB70" s="79">
        <f>-10000000*1</f>
        <v>-10000000</v>
      </c>
      <c r="AC70" s="79"/>
      <c r="AD70" s="79"/>
      <c r="AE70" s="79"/>
      <c r="AF70" s="79"/>
      <c r="AG70" s="79"/>
      <c r="AH70" s="4"/>
      <c r="AI70" s="4"/>
      <c r="AJ70" s="4"/>
    </row>
    <row r="71" spans="1:36">
      <c r="A71" s="1"/>
      <c r="B71" s="83"/>
      <c r="C71" s="79">
        <f>-100000*1</f>
        <v>-100000</v>
      </c>
      <c r="D71" s="77">
        <f>-100000*61</f>
        <v>-6100000</v>
      </c>
      <c r="E71" s="77">
        <f>-100000*75</f>
        <v>-7500000</v>
      </c>
      <c r="F71" s="77">
        <f>-100000*57</f>
        <v>-5700000</v>
      </c>
      <c r="G71" s="77">
        <v>-11000000</v>
      </c>
      <c r="H71" s="77">
        <v>-6000000</v>
      </c>
      <c r="I71" s="77">
        <v>-5000000</v>
      </c>
      <c r="J71" s="77">
        <f>-100000*58</f>
        <v>-5800000</v>
      </c>
      <c r="K71" s="77">
        <f>-100000*65</f>
        <v>-6500000</v>
      </c>
      <c r="L71" s="77">
        <f>-100000*41</f>
        <v>-4100000</v>
      </c>
      <c r="M71" s="77">
        <f>-100000*48</f>
        <v>-4800000</v>
      </c>
      <c r="N71" s="77">
        <f>-100000*52</f>
        <v>-5200000</v>
      </c>
      <c r="O71" s="79">
        <f>-100000*95</f>
        <v>-9500000</v>
      </c>
      <c r="P71" s="79">
        <f>-100000*70</f>
        <v>-7000000</v>
      </c>
      <c r="Q71" s="79">
        <f>-100000*47</f>
        <v>-4700000</v>
      </c>
      <c r="R71" s="79">
        <f>-100000*99</f>
        <v>-9900000</v>
      </c>
      <c r="S71" s="79">
        <f>-100000*86</f>
        <v>-8600000</v>
      </c>
      <c r="T71" s="79">
        <f>-100000*27</f>
        <v>-2700000</v>
      </c>
      <c r="U71" s="79">
        <f>-100000*29</f>
        <v>-2900000</v>
      </c>
      <c r="V71" s="79">
        <f t="shared" ref="V71:W71" si="27">-100000*45</f>
        <v>-4500000</v>
      </c>
      <c r="W71" s="79">
        <f t="shared" si="27"/>
        <v>-4500000</v>
      </c>
      <c r="X71" s="79">
        <f>-100000*66</f>
        <v>-6600000</v>
      </c>
      <c r="Y71" s="79">
        <f>-100000*67</f>
        <v>-6700000</v>
      </c>
      <c r="Z71" s="79">
        <f>-100000*92</f>
        <v>-9200000</v>
      </c>
      <c r="AA71" s="79"/>
      <c r="AB71" s="79">
        <f>-100000*46</f>
        <v>-4600000</v>
      </c>
      <c r="AC71" s="79">
        <f>-100000*84</f>
        <v>-8400000</v>
      </c>
      <c r="AD71" s="79">
        <f>-100000*48</f>
        <v>-4800000</v>
      </c>
      <c r="AE71" s="79">
        <f>-100000*86</f>
        <v>-8600000</v>
      </c>
      <c r="AF71" s="79">
        <f>-100000*75</f>
        <v>-7500000</v>
      </c>
      <c r="AG71" s="79">
        <f t="shared" ref="AG71:AG75" si="28">SUM(AE71:AF71)</f>
        <v>-16100000</v>
      </c>
      <c r="AH71" s="4"/>
      <c r="AI71" s="4"/>
      <c r="AJ71" s="4"/>
    </row>
    <row r="72" spans="1:36">
      <c r="A72" s="1"/>
      <c r="B72" s="2"/>
      <c r="C72" s="79"/>
      <c r="D72" s="77">
        <f>-50000*9</f>
        <v>-450000</v>
      </c>
      <c r="E72" s="77">
        <f>-50000*20</f>
        <v>-1000000</v>
      </c>
      <c r="F72" s="77"/>
      <c r="G72" s="79">
        <v>-400000</v>
      </c>
      <c r="H72" s="79">
        <v>-450000</v>
      </c>
      <c r="I72" s="79">
        <v>-135000</v>
      </c>
      <c r="J72" s="77"/>
      <c r="K72" s="77">
        <f>-50000*1</f>
        <v>-50000</v>
      </c>
      <c r="L72" s="77"/>
      <c r="M72" s="77">
        <f>-50000*1</f>
        <v>-50000</v>
      </c>
      <c r="N72" s="77">
        <f>-50000*10</f>
        <v>-500000</v>
      </c>
      <c r="O72" s="79">
        <f>-50000*3</f>
        <v>-150000</v>
      </c>
      <c r="P72" s="79">
        <f>-50000*1</f>
        <v>-50000</v>
      </c>
      <c r="Q72" s="79">
        <f>-50000*21</f>
        <v>-1050000</v>
      </c>
      <c r="R72" s="79"/>
      <c r="S72" s="79">
        <f>-50000*1</f>
        <v>-50000</v>
      </c>
      <c r="T72" s="79"/>
      <c r="U72" s="79"/>
      <c r="V72" s="79">
        <f>-50000*6</f>
        <v>-300000</v>
      </c>
      <c r="W72" s="79">
        <f t="shared" ref="W72:X72" si="29">-50000*1</f>
        <v>-50000</v>
      </c>
      <c r="X72" s="79">
        <f t="shared" si="29"/>
        <v>-50000</v>
      </c>
      <c r="Y72" s="79">
        <f>-50000*31</f>
        <v>-1550000</v>
      </c>
      <c r="Z72" s="79">
        <f>-50000*21</f>
        <v>-1050000</v>
      </c>
      <c r="AA72" s="79"/>
      <c r="AB72" s="79">
        <f>-50000*1</f>
        <v>-50000</v>
      </c>
      <c r="AC72" s="79"/>
      <c r="AD72" s="79"/>
      <c r="AE72" s="79"/>
      <c r="AF72" s="79">
        <f>-50000*41</f>
        <v>-2050000</v>
      </c>
      <c r="AG72" s="79">
        <f t="shared" si="28"/>
        <v>-2050000</v>
      </c>
      <c r="AH72" s="4"/>
      <c r="AI72" s="4"/>
      <c r="AJ72" s="4"/>
    </row>
    <row r="73" spans="1:36">
      <c r="A73" s="1"/>
      <c r="B73" s="2"/>
      <c r="C73" s="79"/>
      <c r="D73" s="79">
        <f>-20000*2</f>
        <v>-40000</v>
      </c>
      <c r="E73" s="79"/>
      <c r="F73" s="79"/>
      <c r="G73" s="79">
        <v>-35000</v>
      </c>
      <c r="H73" s="79">
        <v>-65000</v>
      </c>
      <c r="I73" s="79"/>
      <c r="J73" s="79">
        <f t="shared" ref="J73:K73" si="30">-20000*1</f>
        <v>-20000</v>
      </c>
      <c r="K73" s="77">
        <f t="shared" si="30"/>
        <v>-20000</v>
      </c>
      <c r="L73" s="79">
        <f>-20000*3</f>
        <v>-60000</v>
      </c>
      <c r="M73" s="79">
        <f>-20000*1</f>
        <v>-20000</v>
      </c>
      <c r="N73" s="79"/>
      <c r="O73" s="79"/>
      <c r="P73" s="79"/>
      <c r="Q73" s="79">
        <f>-20000*2</f>
        <v>-40000</v>
      </c>
      <c r="R73" s="79"/>
      <c r="S73" s="79"/>
      <c r="T73" s="79">
        <f>-20000*1</f>
        <v>-20000</v>
      </c>
      <c r="U73" s="79"/>
      <c r="V73" s="79">
        <f>-20000*3</f>
        <v>-60000</v>
      </c>
      <c r="W73" s="79">
        <f>-20000*2</f>
        <v>-40000</v>
      </c>
      <c r="X73" s="79">
        <f>-20000*1</f>
        <v>-20000</v>
      </c>
      <c r="Y73" s="79"/>
      <c r="Z73" s="79">
        <f>-20000*1</f>
        <v>-20000</v>
      </c>
      <c r="AA73" s="79"/>
      <c r="AB73" s="79">
        <f>-20000*1</f>
        <v>-20000</v>
      </c>
      <c r="AC73" s="79"/>
      <c r="AD73" s="79"/>
      <c r="AE73" s="79">
        <f t="shared" ref="AE73:AF73" si="31">-20000*1</f>
        <v>-20000</v>
      </c>
      <c r="AF73" s="79">
        <f t="shared" si="31"/>
        <v>-20000</v>
      </c>
      <c r="AG73" s="79">
        <f t="shared" si="28"/>
        <v>-40000</v>
      </c>
      <c r="AH73" s="4"/>
      <c r="AI73" s="4"/>
      <c r="AJ73" s="4"/>
    </row>
    <row r="74" spans="1:36">
      <c r="A74" s="1"/>
      <c r="B74" s="83"/>
      <c r="C74" s="79">
        <f>-10000*1</f>
        <v>-10000</v>
      </c>
      <c r="D74" s="79"/>
      <c r="E74" s="79">
        <f>-10000*1</f>
        <v>-10000</v>
      </c>
      <c r="F74" s="77"/>
      <c r="G74" s="79"/>
      <c r="H74" s="79"/>
      <c r="I74" s="79"/>
      <c r="J74" s="79"/>
      <c r="K74" s="77">
        <f>-10000*1</f>
        <v>-10000</v>
      </c>
      <c r="L74" s="77"/>
      <c r="M74" s="77">
        <f>-10000*2</f>
        <v>-20000</v>
      </c>
      <c r="N74" s="79">
        <f>-10000*1</f>
        <v>-10000</v>
      </c>
      <c r="O74" s="79">
        <f>-10000*3</f>
        <v>-30000</v>
      </c>
      <c r="P74" s="79">
        <f>-10000*4</f>
        <v>-40000</v>
      </c>
      <c r="Q74" s="79">
        <f>-10000*1</f>
        <v>-10000</v>
      </c>
      <c r="R74" s="79">
        <f t="shared" ref="R74:U74" si="32">-10000*2</f>
        <v>-20000</v>
      </c>
      <c r="S74" s="79">
        <f t="shared" si="32"/>
        <v>-20000</v>
      </c>
      <c r="T74" s="79">
        <f t="shared" si="32"/>
        <v>-20000</v>
      </c>
      <c r="U74" s="79">
        <f t="shared" si="32"/>
        <v>-20000</v>
      </c>
      <c r="V74" s="79">
        <f t="shared" ref="V74:W74" si="33">-10000*1</f>
        <v>-10000</v>
      </c>
      <c r="W74" s="79">
        <f t="shared" si="33"/>
        <v>-10000</v>
      </c>
      <c r="X74" s="79">
        <f>-10000*2</f>
        <v>-20000</v>
      </c>
      <c r="Y74" s="79">
        <f>-10000*1</f>
        <v>-10000</v>
      </c>
      <c r="Z74" s="79"/>
      <c r="AA74" s="79"/>
      <c r="AB74" s="79">
        <f>-10000*1</f>
        <v>-10000</v>
      </c>
      <c r="AC74" s="79"/>
      <c r="AD74" s="79">
        <f>-10000*2</f>
        <v>-20000</v>
      </c>
      <c r="AE74" s="79"/>
      <c r="AF74" s="79">
        <f>-10000*2</f>
        <v>-20000</v>
      </c>
      <c r="AG74" s="79">
        <f t="shared" si="28"/>
        <v>-20000</v>
      </c>
      <c r="AH74" s="4"/>
      <c r="AI74" s="4"/>
      <c r="AJ74" s="4"/>
    </row>
    <row r="75" spans="1:36">
      <c r="A75" s="1"/>
      <c r="B75" s="83"/>
      <c r="C75" s="79"/>
      <c r="D75" s="77"/>
      <c r="E75" s="77">
        <f>-5000*4</f>
        <v>-20000</v>
      </c>
      <c r="F75" s="79">
        <f>-5000*1</f>
        <v>-5000</v>
      </c>
      <c r="G75" s="77"/>
      <c r="H75" s="79"/>
      <c r="I75" s="77"/>
      <c r="J75" s="77"/>
      <c r="K75" s="77">
        <f>-5000*1</f>
        <v>-5000</v>
      </c>
      <c r="L75" s="77"/>
      <c r="M75" s="77"/>
      <c r="N75" s="77">
        <f>-5000*2</f>
        <v>-10000</v>
      </c>
      <c r="O75" s="79">
        <f>-5000*1</f>
        <v>-5000</v>
      </c>
      <c r="P75" s="79"/>
      <c r="Q75" s="79"/>
      <c r="R75" s="79">
        <f t="shared" ref="R75:S75" si="34">-5000*1</f>
        <v>-5000</v>
      </c>
      <c r="S75" s="79">
        <f t="shared" si="34"/>
        <v>-5000</v>
      </c>
      <c r="T75" s="79"/>
      <c r="U75" s="79">
        <f>-5000*4</f>
        <v>-20000</v>
      </c>
      <c r="W75" s="79">
        <f>-5000*1</f>
        <v>-5000</v>
      </c>
      <c r="X75" s="79"/>
      <c r="Y75" s="79">
        <f>-5000*4</f>
        <v>-20000</v>
      </c>
      <c r="Z75" s="79">
        <f>-5000*2</f>
        <v>-10000</v>
      </c>
      <c r="AA75" s="79"/>
      <c r="AB75" s="79">
        <f t="shared" ref="AB75:AF75" si="35">-5000*1</f>
        <v>-5000</v>
      </c>
      <c r="AC75" s="79">
        <f t="shared" si="35"/>
        <v>-5000</v>
      </c>
      <c r="AD75" s="79">
        <f t="shared" si="35"/>
        <v>-5000</v>
      </c>
      <c r="AE75" s="79">
        <f t="shared" si="35"/>
        <v>-5000</v>
      </c>
      <c r="AF75" s="79">
        <f t="shared" si="35"/>
        <v>-5000</v>
      </c>
      <c r="AG75" s="79">
        <f t="shared" si="28"/>
        <v>-10000</v>
      </c>
      <c r="AH75" s="4"/>
      <c r="AI75" s="4"/>
      <c r="AJ75" s="4"/>
    </row>
    <row r="76" spans="1:36">
      <c r="A76" s="1"/>
      <c r="B76" s="83"/>
      <c r="C76" s="79">
        <f>-2000*3</f>
        <v>-6000</v>
      </c>
      <c r="D76" s="79"/>
      <c r="E76" s="77"/>
      <c r="F76" s="77"/>
      <c r="G76" s="77"/>
      <c r="H76" s="77"/>
      <c r="I76" s="77"/>
      <c r="J76" s="77">
        <f>-2000*2</f>
        <v>-4000</v>
      </c>
      <c r="K76" s="77">
        <f t="shared" ref="K76:L76" si="36">-2000*3</f>
        <v>-6000</v>
      </c>
      <c r="L76" s="79">
        <f t="shared" si="36"/>
        <v>-6000</v>
      </c>
      <c r="M76" s="77">
        <f>-2000*2</f>
        <v>-4000</v>
      </c>
      <c r="N76" s="79">
        <f>-2000*8</f>
        <v>-16000</v>
      </c>
      <c r="O76" s="79"/>
      <c r="P76" s="79">
        <f>-2000*1</f>
        <v>-2000</v>
      </c>
      <c r="Q76" s="79">
        <f>-2000*2</f>
        <v>-4000</v>
      </c>
      <c r="R76" s="79">
        <f>-2000*1</f>
        <v>-2000</v>
      </c>
      <c r="S76" s="79"/>
      <c r="T76" s="79"/>
      <c r="U76" s="79">
        <f t="shared" ref="U76:V76" si="37">-2000*1</f>
        <v>-2000</v>
      </c>
      <c r="V76" s="79">
        <f t="shared" si="37"/>
        <v>-2000</v>
      </c>
      <c r="W76" s="79">
        <f>-2000*3</f>
        <v>-6000</v>
      </c>
      <c r="X76" s="79">
        <f t="shared" ref="X76:Z76" si="38">-2000*1</f>
        <v>-2000</v>
      </c>
      <c r="Y76" s="79">
        <f t="shared" si="38"/>
        <v>-2000</v>
      </c>
      <c r="Z76" s="79">
        <f t="shared" si="38"/>
        <v>-2000</v>
      </c>
      <c r="AA76" s="79"/>
      <c r="AB76" s="79"/>
      <c r="AC76" s="79"/>
      <c r="AD76" s="79">
        <f>-2000*2</f>
        <v>-4000</v>
      </c>
      <c r="AE76" s="79"/>
      <c r="AF76" s="79"/>
      <c r="AG76" s="79"/>
      <c r="AH76" s="4"/>
      <c r="AI76" s="4"/>
      <c r="AJ76" s="4"/>
    </row>
    <row r="77" spans="1:36">
      <c r="A77" s="1"/>
      <c r="B77" s="83"/>
      <c r="C77" s="79">
        <f>-1000*1</f>
        <v>-1000</v>
      </c>
      <c r="D77" s="79"/>
      <c r="E77" s="79">
        <f>-1000*2</f>
        <v>-2000</v>
      </c>
      <c r="F77" s="79">
        <f>-1000*1</f>
        <v>-1000</v>
      </c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>
        <f>-1000*1</f>
        <v>-1000</v>
      </c>
      <c r="T77" s="79"/>
      <c r="U77" s="79"/>
      <c r="V77" s="79"/>
      <c r="W77" s="79"/>
      <c r="X77" s="79"/>
      <c r="Y77" s="79"/>
      <c r="Z77" s="79"/>
      <c r="AA77" s="79"/>
      <c r="AB77" s="79"/>
      <c r="AC77" s="79">
        <f>-1000*1</f>
        <v>-1000</v>
      </c>
      <c r="AD77" s="79"/>
      <c r="AE77" s="79"/>
      <c r="AF77" s="79"/>
      <c r="AG77" s="79"/>
      <c r="AH77" s="4"/>
      <c r="AI77" s="4"/>
      <c r="AJ77" s="4"/>
    </row>
    <row r="78" spans="1:36">
      <c r="A78" s="1"/>
      <c r="B78" s="2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>
        <v>-13728333</v>
      </c>
      <c r="AB78" s="77"/>
      <c r="AC78" s="77"/>
      <c r="AD78" s="77"/>
      <c r="AE78" s="77"/>
      <c r="AF78" s="77"/>
      <c r="AG78" s="79"/>
      <c r="AH78" s="4"/>
      <c r="AI78" s="4"/>
      <c r="AJ78" s="4"/>
    </row>
    <row r="79" spans="1:36">
      <c r="A79" s="30"/>
      <c r="B79" s="2"/>
      <c r="C79" s="83">
        <f t="shared" ref="C79:AG79" si="39">SUM(C70:C78)</f>
        <v>-10117000</v>
      </c>
      <c r="D79" s="83">
        <f t="shared" si="39"/>
        <v>-6590000</v>
      </c>
      <c r="E79" s="83">
        <f t="shared" si="39"/>
        <v>-8532000</v>
      </c>
      <c r="F79" s="83">
        <f t="shared" si="39"/>
        <v>-5706000</v>
      </c>
      <c r="G79" s="83">
        <f t="shared" si="39"/>
        <v>-11435000</v>
      </c>
      <c r="H79" s="83">
        <f t="shared" si="39"/>
        <v>-6515000</v>
      </c>
      <c r="I79" s="83">
        <f t="shared" si="39"/>
        <v>-5135000</v>
      </c>
      <c r="J79" s="83">
        <f t="shared" si="39"/>
        <v>-5824000</v>
      </c>
      <c r="K79" s="83">
        <f t="shared" si="39"/>
        <v>-6591000</v>
      </c>
      <c r="L79" s="83">
        <f t="shared" si="39"/>
        <v>-4166000</v>
      </c>
      <c r="M79" s="83">
        <f t="shared" si="39"/>
        <v>-4894000</v>
      </c>
      <c r="N79" s="83">
        <f t="shared" si="39"/>
        <v>-5736000</v>
      </c>
      <c r="O79" s="83">
        <f t="shared" si="39"/>
        <v>-9685000</v>
      </c>
      <c r="P79" s="83">
        <f t="shared" si="39"/>
        <v>-7092000</v>
      </c>
      <c r="Q79" s="83">
        <f t="shared" si="39"/>
        <v>-5804000</v>
      </c>
      <c r="R79" s="83">
        <f t="shared" si="39"/>
        <v>-9927000</v>
      </c>
      <c r="S79" s="83">
        <f t="shared" si="39"/>
        <v>-8676000</v>
      </c>
      <c r="T79" s="83">
        <f t="shared" si="39"/>
        <v>-12740000</v>
      </c>
      <c r="U79" s="83">
        <f t="shared" si="39"/>
        <v>-2942000</v>
      </c>
      <c r="V79" s="83">
        <f t="shared" si="39"/>
        <v>-4872000</v>
      </c>
      <c r="W79" s="83">
        <f t="shared" si="39"/>
        <v>-4611000</v>
      </c>
      <c r="X79" s="83">
        <f t="shared" si="39"/>
        <v>-6692000</v>
      </c>
      <c r="Y79" s="83">
        <f t="shared" si="39"/>
        <v>-8282000</v>
      </c>
      <c r="Z79" s="83">
        <f t="shared" si="39"/>
        <v>-10282000</v>
      </c>
      <c r="AA79" s="83">
        <f t="shared" si="39"/>
        <v>-13728333</v>
      </c>
      <c r="AB79" s="83">
        <f t="shared" si="39"/>
        <v>-14685000</v>
      </c>
      <c r="AC79" s="83">
        <f t="shared" si="39"/>
        <v>-8406000</v>
      </c>
      <c r="AD79" s="83">
        <f t="shared" si="39"/>
        <v>-4829000</v>
      </c>
      <c r="AE79" s="83">
        <f t="shared" si="39"/>
        <v>-8625000</v>
      </c>
      <c r="AF79" s="83">
        <f t="shared" si="39"/>
        <v>-9595000</v>
      </c>
      <c r="AG79" s="83">
        <f t="shared" si="39"/>
        <v>-18220000</v>
      </c>
      <c r="AH79" s="2"/>
      <c r="AI79" s="2"/>
      <c r="AJ79" s="2"/>
    </row>
    <row r="80" spans="1:36">
      <c r="A80" s="1"/>
      <c r="B80" s="2"/>
      <c r="C80" s="79">
        <f t="shared" ref="C80:AG80" si="40">C68+C79</f>
        <v>-300</v>
      </c>
      <c r="D80" s="79">
        <f t="shared" si="40"/>
        <v>-1164</v>
      </c>
      <c r="E80" s="79">
        <f t="shared" si="40"/>
        <v>-173</v>
      </c>
      <c r="F80" s="79">
        <f t="shared" si="40"/>
        <v>-170</v>
      </c>
      <c r="G80" s="79">
        <f t="shared" si="40"/>
        <v>-814</v>
      </c>
      <c r="H80" s="79">
        <f t="shared" si="40"/>
        <v>1195</v>
      </c>
      <c r="I80" s="79">
        <f t="shared" si="40"/>
        <v>-523</v>
      </c>
      <c r="J80" s="79">
        <f t="shared" si="40"/>
        <v>-1376</v>
      </c>
      <c r="K80" s="79">
        <f t="shared" si="40"/>
        <v>-539</v>
      </c>
      <c r="L80" s="79">
        <f t="shared" si="40"/>
        <v>-2094</v>
      </c>
      <c r="M80" s="79">
        <f t="shared" si="40"/>
        <v>4290</v>
      </c>
      <c r="N80" s="79">
        <f t="shared" si="40"/>
        <v>640</v>
      </c>
      <c r="O80" s="79">
        <f t="shared" si="40"/>
        <v>350</v>
      </c>
      <c r="P80" s="79">
        <f t="shared" si="40"/>
        <v>-432</v>
      </c>
      <c r="Q80" s="79">
        <f t="shared" si="40"/>
        <v>-529</v>
      </c>
      <c r="R80" s="79">
        <f t="shared" si="40"/>
        <v>-138</v>
      </c>
      <c r="S80" s="79">
        <f t="shared" si="40"/>
        <v>-290</v>
      </c>
      <c r="T80" s="79">
        <f t="shared" si="40"/>
        <v>-245</v>
      </c>
      <c r="U80" s="79">
        <f t="shared" si="40"/>
        <v>502</v>
      </c>
      <c r="V80" s="79">
        <f t="shared" si="40"/>
        <v>-23</v>
      </c>
      <c r="W80" s="79">
        <f t="shared" si="40"/>
        <v>26</v>
      </c>
      <c r="X80" s="79">
        <f t="shared" si="40"/>
        <v>-1163</v>
      </c>
      <c r="Y80" s="79">
        <f t="shared" si="40"/>
        <v>-653</v>
      </c>
      <c r="Z80" s="79">
        <f t="shared" si="40"/>
        <v>-168</v>
      </c>
      <c r="AA80" s="79">
        <f t="shared" si="40"/>
        <v>0</v>
      </c>
      <c r="AB80" s="79">
        <f t="shared" si="40"/>
        <v>-2149</v>
      </c>
      <c r="AC80" s="79">
        <f t="shared" si="40"/>
        <v>-8</v>
      </c>
      <c r="AD80" s="79">
        <f t="shared" si="40"/>
        <v>-711</v>
      </c>
      <c r="AE80" s="79">
        <f t="shared" si="40"/>
        <v>-688</v>
      </c>
      <c r="AF80" s="79">
        <f t="shared" si="40"/>
        <v>-1895</v>
      </c>
      <c r="AG80" s="79">
        <f t="shared" si="40"/>
        <v>-2583</v>
      </c>
      <c r="AH80" s="4"/>
      <c r="AI80" s="4"/>
      <c r="AJ80" s="4"/>
    </row>
    <row r="81" spans="1:36">
      <c r="A81" s="1"/>
      <c r="B81" s="2"/>
      <c r="C81" s="79"/>
      <c r="D81" s="4"/>
      <c r="E81" s="79"/>
      <c r="F81" s="79"/>
      <c r="G81" s="85"/>
      <c r="H81" s="79">
        <f>-SUM(G79:I79)-5000000</f>
        <v>18085000</v>
      </c>
      <c r="I81" s="79"/>
      <c r="J81" s="79"/>
      <c r="K81" s="86"/>
      <c r="L81" s="79"/>
      <c r="M81" s="79"/>
      <c r="N81" s="77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4"/>
      <c r="AI81" s="4"/>
      <c r="AJ81" s="4"/>
    </row>
    <row r="82" spans="1:36">
      <c r="A82" s="1"/>
      <c r="B82" s="2"/>
      <c r="C82" s="79"/>
      <c r="D82" s="79"/>
      <c r="E82" s="79"/>
      <c r="F82" s="79"/>
      <c r="G82" s="77"/>
      <c r="H82" s="79"/>
      <c r="I82" s="79"/>
      <c r="J82" s="79"/>
      <c r="K82" s="77"/>
      <c r="L82" s="79"/>
      <c r="M82" s="79"/>
      <c r="N82" s="77"/>
      <c r="O82" s="79"/>
      <c r="P82" s="79"/>
      <c r="Q82" s="79"/>
      <c r="R82" s="79"/>
      <c r="S82" s="79"/>
      <c r="T82" s="79"/>
      <c r="U82" s="87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4"/>
      <c r="AI82" s="4"/>
      <c r="AJ82" s="4"/>
    </row>
    <row r="83" spans="1:36">
      <c r="A83" s="1"/>
      <c r="B83" s="2"/>
      <c r="U83" s="83" t="s">
        <v>75</v>
      </c>
      <c r="V83" s="79"/>
      <c r="W83" s="79"/>
      <c r="X83" s="83" t="s">
        <v>76</v>
      </c>
      <c r="Y83" s="79"/>
      <c r="Z83" s="79"/>
      <c r="AA83" s="79"/>
      <c r="AB83" s="83" t="s">
        <v>77</v>
      </c>
      <c r="AC83" s="77"/>
      <c r="AD83" s="79"/>
      <c r="AE83" s="83" t="s">
        <v>78</v>
      </c>
      <c r="AF83" s="79"/>
      <c r="AG83" s="79"/>
      <c r="AH83" s="4"/>
      <c r="AI83" s="4"/>
      <c r="AJ83" s="4"/>
    </row>
    <row r="84" spans="1:36">
      <c r="A84" s="1"/>
      <c r="B84" s="83"/>
      <c r="U84" s="88" t="s">
        <v>79</v>
      </c>
      <c r="V84" s="88" t="s">
        <v>80</v>
      </c>
      <c r="W84" s="88" t="s">
        <v>81</v>
      </c>
      <c r="X84" s="88" t="s">
        <v>80</v>
      </c>
      <c r="Y84" s="88" t="s">
        <v>79</v>
      </c>
      <c r="Z84" s="88" t="s">
        <v>82</v>
      </c>
      <c r="AA84" s="88" t="s">
        <v>81</v>
      </c>
      <c r="AB84" s="88" t="s">
        <v>80</v>
      </c>
      <c r="AC84" s="88" t="s">
        <v>79</v>
      </c>
      <c r="AD84" s="88" t="s">
        <v>81</v>
      </c>
      <c r="AE84" s="89"/>
      <c r="AF84" s="88"/>
      <c r="AG84" s="79"/>
      <c r="AH84" s="4"/>
      <c r="AI84" s="4"/>
      <c r="AJ84" s="4"/>
    </row>
    <row r="85" spans="1:36">
      <c r="A85" s="1"/>
      <c r="B85" s="83"/>
      <c r="U85" s="90"/>
      <c r="V85" s="90">
        <v>617925</v>
      </c>
      <c r="W85" s="90"/>
      <c r="X85" s="89">
        <v>82390</v>
      </c>
      <c r="Y85" s="90">
        <v>3695780</v>
      </c>
      <c r="Z85" s="90">
        <v>82390</v>
      </c>
      <c r="AA85" s="90">
        <v>1200540</v>
      </c>
      <c r="AB85" s="90"/>
      <c r="AC85" s="89"/>
      <c r="AD85" s="90"/>
      <c r="AE85" s="90"/>
      <c r="AF85" s="88"/>
      <c r="AG85" s="79"/>
      <c r="AH85" s="4"/>
      <c r="AI85" s="4"/>
      <c r="AJ85" s="4"/>
    </row>
    <row r="86" spans="1:36">
      <c r="A86" s="1"/>
      <c r="B86" s="2"/>
      <c r="U86" s="89">
        <v>564960</v>
      </c>
      <c r="V86" s="89"/>
      <c r="W86" s="89"/>
      <c r="X86" s="89">
        <v>506110</v>
      </c>
      <c r="Y86" s="91">
        <v>847440</v>
      </c>
      <c r="Z86" s="89">
        <v>223630</v>
      </c>
      <c r="AA86" s="91">
        <v>1144044</v>
      </c>
      <c r="AB86" s="91"/>
      <c r="AC86" s="89"/>
      <c r="AD86" s="89"/>
      <c r="AE86" s="89"/>
      <c r="AF86" s="89"/>
      <c r="AG86" s="79"/>
      <c r="AH86" s="4"/>
      <c r="AI86" s="4"/>
      <c r="AJ86" s="4"/>
    </row>
    <row r="87" spans="1:36">
      <c r="A87" s="1"/>
      <c r="B87" s="2"/>
      <c r="U87" s="89"/>
      <c r="V87" s="89"/>
      <c r="W87" s="89"/>
      <c r="X87" s="89"/>
      <c r="Y87" s="89">
        <v>2082113</v>
      </c>
      <c r="Z87" s="89"/>
      <c r="AA87" s="91">
        <v>1744314</v>
      </c>
      <c r="AB87" s="91"/>
      <c r="AC87" s="89"/>
      <c r="AD87" s="89"/>
      <c r="AE87" s="89"/>
      <c r="AF87" s="89"/>
      <c r="AG87" s="79"/>
      <c r="AH87" s="4"/>
      <c r="AI87" s="4"/>
      <c r="AJ87" s="4"/>
    </row>
    <row r="88" spans="1:36">
      <c r="A88" s="1"/>
      <c r="B88" s="2"/>
      <c r="U88" s="89"/>
      <c r="V88" s="89"/>
      <c r="W88" s="89"/>
      <c r="X88" s="89"/>
      <c r="Y88" s="89">
        <v>1877315</v>
      </c>
      <c r="Z88" s="91">
        <v>706200</v>
      </c>
      <c r="AA88" s="91"/>
      <c r="AB88" s="91"/>
      <c r="AC88" s="89"/>
      <c r="AD88" s="89"/>
      <c r="AE88" s="89"/>
      <c r="AF88" s="89"/>
      <c r="AG88" s="79"/>
      <c r="AH88" s="4"/>
      <c r="AI88" s="4"/>
      <c r="AJ88" s="4"/>
    </row>
    <row r="89" spans="1:36">
      <c r="A89" s="1"/>
      <c r="B89" s="2"/>
      <c r="U89" s="89"/>
      <c r="V89" s="89"/>
      <c r="W89" s="89"/>
      <c r="X89" s="89"/>
      <c r="Y89" s="89"/>
      <c r="Z89" s="91">
        <v>117700</v>
      </c>
      <c r="AA89" s="91">
        <v>353100</v>
      </c>
      <c r="AB89" s="91"/>
      <c r="AC89" s="89"/>
      <c r="AD89" s="89"/>
      <c r="AE89" s="89"/>
      <c r="AF89" s="89"/>
      <c r="AG89" s="79"/>
      <c r="AH89" s="4"/>
      <c r="AI89" s="4"/>
      <c r="AJ89" s="4"/>
    </row>
    <row r="90" spans="1:36">
      <c r="A90" s="1"/>
      <c r="B90" s="2"/>
      <c r="U90" s="89"/>
      <c r="V90" s="89"/>
      <c r="W90" s="89"/>
      <c r="X90" s="89">
        <v>200000</v>
      </c>
      <c r="Y90" s="89">
        <v>3800000</v>
      </c>
      <c r="Z90" s="91">
        <v>600000</v>
      </c>
      <c r="AA90" s="91">
        <v>600000</v>
      </c>
      <c r="AB90" s="91"/>
      <c r="AC90" s="89"/>
      <c r="AD90" s="89"/>
      <c r="AE90" s="89"/>
      <c r="AF90" s="89"/>
      <c r="AG90" s="79"/>
      <c r="AH90" s="4"/>
      <c r="AI90" s="4"/>
      <c r="AJ90" s="4"/>
    </row>
    <row r="91" spans="1:36">
      <c r="A91" s="1"/>
      <c r="B91" s="2"/>
      <c r="U91" s="89"/>
      <c r="V91" s="89"/>
      <c r="W91" s="89"/>
      <c r="X91" s="89"/>
      <c r="Y91" s="89">
        <v>400000</v>
      </c>
      <c r="Z91" s="91">
        <v>200000</v>
      </c>
      <c r="AA91" s="91">
        <v>200000</v>
      </c>
      <c r="AB91" s="91"/>
      <c r="AC91" s="89"/>
      <c r="AD91" s="89"/>
      <c r="AE91" s="89"/>
      <c r="AF91" s="89"/>
      <c r="AG91" s="79"/>
      <c r="AH91" s="4"/>
      <c r="AI91" s="4"/>
      <c r="AJ91" s="4"/>
    </row>
    <row r="92" spans="1:36">
      <c r="A92" s="1"/>
      <c r="B92" s="2"/>
      <c r="U92" s="89"/>
      <c r="V92" s="89"/>
      <c r="W92" s="89"/>
      <c r="X92" s="89"/>
      <c r="Y92" s="89"/>
      <c r="Z92" s="91">
        <v>800000</v>
      </c>
      <c r="AA92" s="91">
        <v>200000</v>
      </c>
      <c r="AB92" s="91"/>
      <c r="AC92" s="89"/>
      <c r="AD92" s="89"/>
      <c r="AE92" s="89"/>
      <c r="AF92" s="89"/>
      <c r="AG92" s="79"/>
      <c r="AH92" s="4"/>
      <c r="AI92" s="4"/>
      <c r="AJ92" s="4"/>
    </row>
    <row r="93" spans="1:36">
      <c r="A93" s="1"/>
      <c r="B93" s="2"/>
      <c r="U93" s="89"/>
      <c r="V93" s="89"/>
      <c r="W93" s="89"/>
      <c r="X93" s="89"/>
      <c r="Y93" s="89">
        <v>600000</v>
      </c>
      <c r="Z93" s="91"/>
      <c r="AA93" s="91">
        <v>1600000</v>
      </c>
      <c r="AB93" s="91"/>
      <c r="AC93" s="89"/>
      <c r="AD93" s="89"/>
      <c r="AE93" s="89"/>
      <c r="AF93" s="89"/>
      <c r="AG93" s="79"/>
      <c r="AH93" s="4"/>
      <c r="AI93" s="4"/>
      <c r="AJ93" s="4"/>
    </row>
    <row r="94" spans="1:36">
      <c r="A94" s="1"/>
      <c r="B94" s="2"/>
      <c r="U94" s="89"/>
      <c r="V94" s="89"/>
      <c r="W94" s="89"/>
      <c r="X94" s="89">
        <v>3531000</v>
      </c>
      <c r="Y94" s="89"/>
      <c r="Z94" s="91"/>
      <c r="AA94" s="91">
        <v>3060200</v>
      </c>
      <c r="AB94" s="91"/>
      <c r="AC94" s="89"/>
      <c r="AD94" s="89"/>
      <c r="AE94" s="89"/>
      <c r="AF94" s="89"/>
      <c r="AG94" s="79"/>
      <c r="AH94" s="4"/>
      <c r="AI94" s="4"/>
      <c r="AJ94" s="4"/>
    </row>
    <row r="95" spans="1:36">
      <c r="A95" s="1"/>
      <c r="B95" s="2"/>
      <c r="U95" s="89"/>
      <c r="V95" s="89"/>
      <c r="W95" s="89"/>
      <c r="X95" s="89"/>
      <c r="Y95" s="89"/>
      <c r="Z95" s="91">
        <v>3531000</v>
      </c>
      <c r="AA95" s="91">
        <v>141240</v>
      </c>
      <c r="AB95" s="91"/>
      <c r="AC95" s="89"/>
      <c r="AD95" s="89"/>
      <c r="AE95" s="89"/>
      <c r="AF95" s="89"/>
      <c r="AG95" s="79"/>
      <c r="AH95" s="4"/>
      <c r="AI95" s="4"/>
      <c r="AJ95" s="4"/>
    </row>
    <row r="96" spans="1:36">
      <c r="A96" s="1"/>
      <c r="B96" s="2"/>
      <c r="U96" s="89"/>
      <c r="V96" s="89"/>
      <c r="W96" s="89"/>
      <c r="X96" s="89"/>
      <c r="Y96" s="89"/>
      <c r="Z96" s="91"/>
      <c r="AA96" s="91">
        <v>76505</v>
      </c>
      <c r="AB96" s="91"/>
      <c r="AC96" s="89"/>
      <c r="AD96" s="89"/>
      <c r="AE96" s="89"/>
      <c r="AF96" s="89"/>
      <c r="AG96" s="79"/>
      <c r="AH96" s="4"/>
      <c r="AI96" s="4"/>
      <c r="AJ96" s="4"/>
    </row>
    <row r="97" spans="1:36">
      <c r="A97" s="1"/>
      <c r="B97" s="2"/>
      <c r="U97" s="89"/>
      <c r="V97" s="89"/>
      <c r="W97" s="89"/>
      <c r="X97" s="89"/>
      <c r="Y97" s="89"/>
      <c r="Z97" s="91"/>
      <c r="AA97" s="91"/>
      <c r="AB97" s="91"/>
      <c r="AC97" s="89"/>
      <c r="AD97" s="89"/>
      <c r="AE97" s="89"/>
      <c r="AF97" s="89"/>
      <c r="AG97" s="79"/>
      <c r="AH97" s="4"/>
      <c r="AI97" s="4"/>
      <c r="AJ97" s="4"/>
    </row>
    <row r="98" spans="1:36">
      <c r="A98" s="1"/>
      <c r="B98" s="2"/>
      <c r="U98" s="89"/>
      <c r="V98" s="89"/>
      <c r="W98" s="89"/>
      <c r="X98" s="89"/>
      <c r="Y98" s="89"/>
      <c r="Z98" s="91"/>
      <c r="AA98" s="91"/>
      <c r="AB98" s="91"/>
      <c r="AC98" s="89"/>
      <c r="AD98" s="89"/>
      <c r="AE98" s="89"/>
      <c r="AF98" s="89"/>
      <c r="AG98" s="79"/>
      <c r="AH98" s="4"/>
      <c r="AI98" s="4"/>
      <c r="AJ98" s="4"/>
    </row>
    <row r="99" spans="1:36">
      <c r="A99" s="1"/>
      <c r="B99" s="2"/>
      <c r="U99" s="89"/>
      <c r="V99" s="89"/>
      <c r="W99" s="89"/>
      <c r="X99" s="89"/>
      <c r="Y99" s="89"/>
      <c r="Z99" s="91"/>
      <c r="AA99" s="91"/>
      <c r="AB99" s="91"/>
      <c r="AC99" s="89"/>
      <c r="AD99" s="89"/>
      <c r="AE99" s="89"/>
      <c r="AF99" s="89"/>
      <c r="AG99" s="79"/>
      <c r="AH99" s="4"/>
      <c r="AI99" s="4"/>
      <c r="AJ99" s="4"/>
    </row>
    <row r="100" spans="1:36">
      <c r="A100" s="1"/>
      <c r="B100" s="2"/>
      <c r="U100" s="89"/>
      <c r="V100" s="89"/>
      <c r="W100" s="89"/>
      <c r="X100" s="89"/>
      <c r="Y100" s="89"/>
      <c r="Z100" s="91"/>
      <c r="AA100" s="91"/>
      <c r="AB100" s="91"/>
      <c r="AC100" s="89"/>
      <c r="AD100" s="89"/>
      <c r="AE100" s="89"/>
      <c r="AF100" s="89"/>
      <c r="AG100" s="79"/>
      <c r="AH100" s="4"/>
      <c r="AI100" s="4"/>
      <c r="AJ100" s="4"/>
    </row>
    <row r="101" spans="1:36">
      <c r="A101" s="1"/>
      <c r="B101" s="2"/>
      <c r="U101" s="89"/>
      <c r="V101" s="89"/>
      <c r="W101" s="89"/>
      <c r="X101" s="89"/>
      <c r="Y101" s="89"/>
      <c r="Z101" s="91"/>
      <c r="AA101" s="91"/>
      <c r="AB101" s="91"/>
      <c r="AC101" s="89"/>
      <c r="AD101" s="89"/>
      <c r="AE101" s="89"/>
      <c r="AF101" s="89"/>
      <c r="AG101" s="79"/>
      <c r="AH101" s="4"/>
      <c r="AI101" s="4"/>
      <c r="AJ101" s="4"/>
    </row>
    <row r="102" spans="1:36">
      <c r="A102" s="1"/>
      <c r="B102" s="2"/>
      <c r="U102" s="89"/>
      <c r="V102" s="89"/>
      <c r="W102" s="89"/>
      <c r="X102" s="89"/>
      <c r="Y102" s="89"/>
      <c r="Z102" s="91"/>
      <c r="AA102" s="91"/>
      <c r="AB102" s="91"/>
      <c r="AC102" s="89"/>
      <c r="AD102" s="89"/>
      <c r="AE102" s="89"/>
      <c r="AF102" s="89"/>
      <c r="AG102" s="79"/>
      <c r="AH102" s="4"/>
      <c r="AI102" s="4"/>
      <c r="AJ102" s="4"/>
    </row>
    <row r="103" spans="1:36">
      <c r="A103" s="1"/>
      <c r="B103" s="2"/>
      <c r="U103" s="89"/>
      <c r="V103" s="89"/>
      <c r="W103" s="89"/>
      <c r="X103" s="89"/>
      <c r="Y103" s="89"/>
      <c r="Z103" s="91"/>
      <c r="AA103" s="91"/>
      <c r="AB103" s="91"/>
      <c r="AC103" s="89"/>
      <c r="AD103" s="89"/>
      <c r="AE103" s="89"/>
      <c r="AF103" s="89"/>
      <c r="AG103" s="79"/>
      <c r="AH103" s="4"/>
      <c r="AI103" s="4"/>
      <c r="AJ103" s="4"/>
    </row>
    <row r="104" spans="1:36">
      <c r="A104" s="1"/>
      <c r="B104" s="2"/>
      <c r="U104" s="92">
        <f t="shared" ref="U104:AE104" si="41">SUM(U85:U103)</f>
        <v>564960</v>
      </c>
      <c r="V104" s="92">
        <f t="shared" si="41"/>
        <v>617925</v>
      </c>
      <c r="W104" s="92">
        <f t="shared" si="41"/>
        <v>0</v>
      </c>
      <c r="X104" s="93">
        <f t="shared" si="41"/>
        <v>4319500</v>
      </c>
      <c r="Y104" s="93">
        <f t="shared" si="41"/>
        <v>13302648</v>
      </c>
      <c r="Z104" s="93">
        <f t="shared" si="41"/>
        <v>6260920</v>
      </c>
      <c r="AA104" s="93">
        <f t="shared" si="41"/>
        <v>10319943</v>
      </c>
      <c r="AB104" s="94">
        <f t="shared" si="41"/>
        <v>0</v>
      </c>
      <c r="AC104" s="94">
        <f t="shared" si="41"/>
        <v>0</v>
      </c>
      <c r="AD104" s="94">
        <f t="shared" si="41"/>
        <v>0</v>
      </c>
      <c r="AE104" s="95">
        <f t="shared" si="41"/>
        <v>0</v>
      </c>
      <c r="AF104" s="89"/>
      <c r="AG104" s="79"/>
      <c r="AH104" s="4"/>
      <c r="AI104" s="4"/>
      <c r="AJ104" s="4"/>
    </row>
    <row r="105" spans="1:36">
      <c r="A105" s="1"/>
      <c r="B105" s="2"/>
      <c r="U105" s="89"/>
      <c r="V105" s="89"/>
      <c r="W105" s="96">
        <f>SUM(U104:W104)</f>
        <v>1182885</v>
      </c>
      <c r="X105" s="89"/>
      <c r="Y105" s="89"/>
      <c r="Z105" s="91"/>
      <c r="AA105" s="97">
        <f>SUM(X104:AA104)</f>
        <v>34203011</v>
      </c>
      <c r="AB105" s="91"/>
      <c r="AC105" s="89"/>
      <c r="AD105" s="96">
        <f>SUM(AB104:AC104)</f>
        <v>0</v>
      </c>
      <c r="AE105" s="89">
        <f>AB35</f>
        <v>4265320</v>
      </c>
      <c r="AF105" s="89"/>
      <c r="AG105" s="79"/>
      <c r="AH105" s="4"/>
      <c r="AI105" s="4"/>
      <c r="AJ105" s="4"/>
    </row>
    <row r="106" spans="1:36">
      <c r="A106" s="1"/>
      <c r="B106" s="2"/>
      <c r="U106" s="89"/>
      <c r="V106" s="89"/>
      <c r="W106" s="89">
        <f>AF40</f>
        <v>564960</v>
      </c>
      <c r="X106" s="89"/>
      <c r="Y106" s="89"/>
      <c r="Z106" s="91"/>
      <c r="AA106" s="91">
        <f>AF36</f>
        <v>4319500</v>
      </c>
      <c r="AB106" s="91"/>
      <c r="AC106" s="89"/>
      <c r="AD106" s="89">
        <f>Z43</f>
        <v>0</v>
      </c>
      <c r="AE106" s="89">
        <f>AE104-AE105</f>
        <v>-4265320</v>
      </c>
      <c r="AF106" s="89"/>
      <c r="AG106" s="79"/>
      <c r="AH106" s="4"/>
      <c r="AI106" s="4"/>
      <c r="AJ106" s="4"/>
    </row>
    <row r="107" spans="1:36">
      <c r="A107" s="1"/>
      <c r="B107" s="2"/>
      <c r="J107" s="89"/>
      <c r="K107" s="89"/>
      <c r="L107" s="89"/>
      <c r="M107" s="89"/>
      <c r="N107" s="89"/>
      <c r="O107" s="91"/>
      <c r="P107" s="91"/>
      <c r="U107" s="91"/>
      <c r="V107" s="89"/>
      <c r="W107" s="89">
        <f>W105-W106</f>
        <v>617925</v>
      </c>
      <c r="X107" s="89"/>
      <c r="Y107" s="89"/>
      <c r="Z107" s="89"/>
      <c r="AA107" s="89">
        <f>AA105-AA106</f>
        <v>29883511</v>
      </c>
      <c r="AB107" s="91"/>
      <c r="AC107" s="91"/>
      <c r="AD107" s="91"/>
      <c r="AE107" s="89"/>
      <c r="AF107" s="89"/>
      <c r="AG107" s="79"/>
      <c r="AH107" s="4"/>
      <c r="AI107" s="4"/>
      <c r="AJ107" s="4"/>
    </row>
    <row r="108" spans="1:36">
      <c r="A108" s="1"/>
      <c r="B108" s="2"/>
      <c r="C108" s="89"/>
      <c r="D108" s="89"/>
      <c r="E108" s="89"/>
      <c r="F108" s="89"/>
      <c r="G108" s="89"/>
      <c r="H108" s="91"/>
      <c r="I108" s="91"/>
      <c r="J108" s="91"/>
      <c r="K108" s="89"/>
      <c r="L108" s="89"/>
      <c r="M108" s="89"/>
      <c r="N108" s="89"/>
      <c r="O108" s="89"/>
      <c r="P108" s="89"/>
      <c r="Q108" s="79"/>
      <c r="R108" s="79"/>
      <c r="S108" s="89"/>
      <c r="T108" s="89"/>
      <c r="U108" s="89"/>
      <c r="V108" s="89"/>
      <c r="W108" s="89"/>
      <c r="X108" s="91"/>
      <c r="Y108" s="91"/>
      <c r="Z108" s="91"/>
      <c r="AA108" s="89"/>
      <c r="AB108" s="89"/>
      <c r="AC108" s="89"/>
      <c r="AD108" s="89"/>
      <c r="AE108" s="89"/>
      <c r="AF108" s="89"/>
      <c r="AG108" s="79"/>
      <c r="AH108" s="4"/>
      <c r="AI108" s="4"/>
      <c r="AJ108" s="4"/>
    </row>
    <row r="109" spans="1:36">
      <c r="A109" s="1"/>
      <c r="B109" s="2"/>
      <c r="C109" s="97"/>
      <c r="D109" s="97"/>
      <c r="E109" s="97"/>
      <c r="F109" s="89"/>
      <c r="G109" s="97"/>
      <c r="H109" s="97"/>
      <c r="I109" s="97"/>
      <c r="J109" s="97"/>
      <c r="K109" s="89"/>
      <c r="L109" s="97"/>
      <c r="M109" s="97"/>
      <c r="N109" s="97"/>
      <c r="O109" s="89"/>
      <c r="P109" s="97"/>
      <c r="S109" s="97"/>
      <c r="T109" s="97"/>
      <c r="U109" s="89"/>
      <c r="V109" s="89"/>
      <c r="W109" s="89"/>
      <c r="X109" s="91"/>
      <c r="Y109" s="91"/>
      <c r="Z109" s="91"/>
      <c r="AA109" s="89"/>
      <c r="AB109" s="89"/>
      <c r="AC109" s="89"/>
      <c r="AD109" s="89"/>
      <c r="AE109" s="89"/>
      <c r="AF109" s="97"/>
      <c r="AG109" s="79"/>
      <c r="AH109" s="79"/>
      <c r="AI109" s="79"/>
      <c r="AJ109" s="79"/>
    </row>
    <row r="110" spans="1:36">
      <c r="A110" s="1"/>
      <c r="B110" s="2"/>
      <c r="C110" s="89"/>
      <c r="D110" s="89"/>
      <c r="E110" s="97"/>
      <c r="F110" s="89"/>
      <c r="G110" s="89"/>
      <c r="H110" s="89"/>
      <c r="I110" s="89"/>
      <c r="J110" s="97"/>
      <c r="K110" s="89"/>
      <c r="L110" s="89"/>
      <c r="M110" s="89"/>
      <c r="N110" s="97"/>
      <c r="O110" s="89"/>
      <c r="P110" s="89"/>
      <c r="S110" s="89"/>
      <c r="T110" s="89"/>
      <c r="U110" s="89"/>
      <c r="V110" s="89"/>
      <c r="W110" s="89"/>
      <c r="X110" s="91"/>
      <c r="Y110" s="91"/>
      <c r="Z110" s="91"/>
      <c r="AA110" s="89"/>
      <c r="AB110" s="89"/>
      <c r="AC110" s="89"/>
      <c r="AD110" s="89"/>
      <c r="AE110" s="89"/>
      <c r="AF110" s="89"/>
      <c r="AG110" s="79"/>
      <c r="AH110" s="79"/>
      <c r="AI110" s="79"/>
      <c r="AJ110" s="79"/>
    </row>
    <row r="111" spans="1:36">
      <c r="A111" s="1"/>
      <c r="B111" s="2"/>
      <c r="C111" s="89"/>
      <c r="D111" s="89"/>
      <c r="E111" s="91"/>
      <c r="F111" s="89"/>
      <c r="G111" s="89"/>
      <c r="H111" s="89"/>
      <c r="I111" s="89"/>
      <c r="J111" s="91"/>
      <c r="K111" s="89"/>
      <c r="L111" s="89"/>
      <c r="M111" s="89"/>
      <c r="N111" s="91"/>
      <c r="O111" s="89"/>
      <c r="P111" s="91"/>
      <c r="S111" s="89"/>
      <c r="T111" s="89"/>
      <c r="U111" s="89"/>
      <c r="V111" s="89"/>
      <c r="W111" s="89"/>
      <c r="X111" s="91"/>
      <c r="Y111" s="91"/>
      <c r="Z111" s="91"/>
      <c r="AA111" s="89"/>
      <c r="AB111" s="89"/>
      <c r="AC111" s="89"/>
      <c r="AD111" s="89"/>
      <c r="AE111" s="89"/>
      <c r="AF111" s="91"/>
      <c r="AG111" s="79"/>
      <c r="AH111" s="79"/>
      <c r="AI111" s="79"/>
      <c r="AJ111" s="79"/>
    </row>
    <row r="112" spans="1:36">
      <c r="A112" s="1"/>
      <c r="B112" s="2"/>
      <c r="C112" s="89"/>
      <c r="D112" s="89"/>
      <c r="E112" s="91"/>
      <c r="F112" s="89"/>
      <c r="G112" s="89"/>
      <c r="H112" s="89"/>
      <c r="I112" s="89"/>
      <c r="J112" s="91"/>
      <c r="K112" s="89"/>
      <c r="L112" s="89"/>
      <c r="M112" s="89"/>
      <c r="N112" s="91"/>
      <c r="O112" s="89"/>
      <c r="P112" s="89"/>
      <c r="S112" s="89"/>
      <c r="T112" s="89"/>
      <c r="U112" s="89"/>
      <c r="V112" s="89"/>
      <c r="W112" s="89"/>
      <c r="X112" s="91"/>
      <c r="Y112" s="91"/>
      <c r="Z112" s="91"/>
      <c r="AA112" s="89"/>
      <c r="AB112" s="89"/>
      <c r="AC112" s="89"/>
      <c r="AD112" s="89"/>
      <c r="AE112" s="89"/>
      <c r="AF112" s="89"/>
      <c r="AG112" s="79"/>
      <c r="AH112" s="79"/>
      <c r="AI112" s="79"/>
      <c r="AJ112" s="79"/>
    </row>
    <row r="113" spans="1:36">
      <c r="A113" s="1"/>
      <c r="B113" s="2"/>
      <c r="C113" s="89"/>
      <c r="D113" s="89"/>
      <c r="E113" s="89"/>
      <c r="F113" s="89"/>
      <c r="G113" s="89"/>
      <c r="H113" s="89"/>
      <c r="I113" s="89"/>
      <c r="J113" s="91"/>
      <c r="K113" s="89"/>
      <c r="L113" s="89"/>
      <c r="M113" s="89"/>
      <c r="N113" s="89"/>
      <c r="O113" s="89"/>
      <c r="P113" s="89"/>
      <c r="S113" s="89"/>
      <c r="T113" s="89"/>
      <c r="U113" s="89"/>
      <c r="V113" s="89"/>
      <c r="W113" s="89"/>
      <c r="X113" s="91"/>
      <c r="Y113" s="91"/>
      <c r="Z113" s="91"/>
      <c r="AA113" s="89"/>
      <c r="AB113" s="89"/>
      <c r="AC113" s="89"/>
      <c r="AD113" s="89"/>
      <c r="AE113" s="89"/>
      <c r="AF113" s="89"/>
      <c r="AG113" s="79"/>
      <c r="AH113" s="79"/>
      <c r="AI113" s="79"/>
      <c r="AJ113" s="79"/>
    </row>
    <row r="114" spans="1:36">
      <c r="A114" s="1"/>
      <c r="B114" s="2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98"/>
      <c r="N114" s="98"/>
      <c r="O114" s="98"/>
      <c r="P114" s="98"/>
      <c r="U114" s="89"/>
      <c r="V114" s="89"/>
      <c r="W114" s="89"/>
      <c r="X114" s="91"/>
      <c r="Y114" s="91"/>
      <c r="Z114" s="91"/>
      <c r="AA114" s="89"/>
      <c r="AB114" s="89"/>
      <c r="AC114" s="89"/>
      <c r="AD114" s="89"/>
      <c r="AE114" s="89"/>
      <c r="AF114" s="79"/>
      <c r="AG114" s="79"/>
      <c r="AH114" s="79"/>
      <c r="AI114" s="79"/>
      <c r="AJ114" s="79"/>
    </row>
    <row r="115" spans="1:36">
      <c r="A115" s="1"/>
      <c r="B115" s="2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98"/>
      <c r="N115" s="98"/>
      <c r="O115" s="98"/>
      <c r="P115" s="98"/>
      <c r="U115" s="89"/>
      <c r="V115" s="89"/>
      <c r="W115" s="89"/>
      <c r="X115" s="91"/>
      <c r="Y115" s="91"/>
      <c r="Z115" s="91"/>
      <c r="AA115" s="89"/>
      <c r="AB115" s="89"/>
      <c r="AC115" s="89"/>
      <c r="AD115" s="89"/>
      <c r="AE115" s="89"/>
      <c r="AF115" s="91"/>
      <c r="AG115" s="79"/>
      <c r="AH115" s="79"/>
      <c r="AI115" s="79"/>
      <c r="AJ115" s="79"/>
    </row>
    <row r="116" spans="1:36">
      <c r="A116" s="1"/>
      <c r="B116" s="2"/>
      <c r="C116" s="4"/>
      <c r="D116" s="4"/>
      <c r="E116" s="4"/>
      <c r="F116" s="4"/>
      <c r="G116" s="79"/>
      <c r="H116" s="79"/>
      <c r="I116" s="79"/>
      <c r="J116" s="79"/>
      <c r="K116" s="79"/>
      <c r="L116" s="79"/>
      <c r="U116" s="89"/>
      <c r="V116" s="89"/>
      <c r="W116" s="89"/>
      <c r="X116" s="91"/>
      <c r="Y116" s="91"/>
      <c r="Z116" s="91"/>
      <c r="AA116" s="89"/>
      <c r="AB116" s="89"/>
      <c r="AC116" s="89"/>
      <c r="AD116" s="89"/>
      <c r="AE116" s="89"/>
      <c r="AF116" s="89"/>
      <c r="AG116" s="79"/>
      <c r="AH116" s="79"/>
      <c r="AI116" s="79"/>
      <c r="AJ116" s="79"/>
    </row>
    <row r="117" spans="1:36">
      <c r="A117" s="1"/>
      <c r="B117" s="2"/>
      <c r="C117" s="4"/>
      <c r="D117" s="4"/>
      <c r="E117" s="4"/>
      <c r="F117" s="4"/>
      <c r="G117" s="79"/>
      <c r="H117" s="79"/>
      <c r="I117" s="79"/>
      <c r="J117" s="79"/>
      <c r="K117" s="79"/>
      <c r="L117" s="79"/>
      <c r="U117" s="89"/>
      <c r="V117" s="89"/>
      <c r="W117" s="89"/>
      <c r="X117" s="91"/>
      <c r="Y117" s="91"/>
      <c r="Z117" s="91"/>
      <c r="AA117" s="89"/>
      <c r="AB117" s="89"/>
      <c r="AC117" s="89"/>
      <c r="AD117" s="89"/>
      <c r="AE117" s="89"/>
      <c r="AF117" s="89"/>
      <c r="AG117" s="79"/>
      <c r="AH117" s="79"/>
      <c r="AI117" s="79"/>
      <c r="AJ117" s="79"/>
    </row>
    <row r="118" spans="1:36">
      <c r="A118" s="1"/>
      <c r="B118" s="2"/>
      <c r="C118" s="4"/>
      <c r="D118" s="4"/>
      <c r="E118" s="4"/>
      <c r="F118" s="4"/>
      <c r="G118" s="79"/>
      <c r="H118" s="79"/>
      <c r="I118" s="79"/>
      <c r="J118" s="79"/>
      <c r="K118" s="79"/>
      <c r="L118" s="79"/>
      <c r="U118" s="89"/>
      <c r="V118" s="89"/>
      <c r="W118" s="89"/>
      <c r="X118" s="91"/>
      <c r="Y118" s="91"/>
      <c r="Z118" s="91"/>
      <c r="AA118" s="89"/>
      <c r="AB118" s="89"/>
      <c r="AC118" s="89"/>
      <c r="AD118" s="89"/>
      <c r="AE118" s="89"/>
      <c r="AF118" s="79"/>
      <c r="AG118" s="79"/>
      <c r="AH118" s="79"/>
      <c r="AI118" s="79"/>
      <c r="AJ118" s="79"/>
    </row>
    <row r="119" spans="1:36">
      <c r="A119" s="1"/>
      <c r="B119" s="2"/>
      <c r="C119" s="4"/>
      <c r="D119" s="4"/>
      <c r="E119" s="4"/>
      <c r="F119" s="4"/>
      <c r="G119" s="79"/>
      <c r="H119" s="79"/>
      <c r="I119" s="79"/>
      <c r="J119" s="79"/>
      <c r="K119" s="79"/>
      <c r="L119" s="79"/>
      <c r="U119" s="89"/>
      <c r="V119" s="89"/>
      <c r="W119" s="89"/>
      <c r="X119" s="91"/>
      <c r="Y119" s="91"/>
      <c r="Z119" s="91"/>
      <c r="AA119" s="89"/>
      <c r="AB119" s="89"/>
      <c r="AC119" s="89"/>
      <c r="AD119" s="89"/>
      <c r="AE119" s="89"/>
      <c r="AF119" s="79"/>
      <c r="AG119" s="79"/>
      <c r="AH119" s="79"/>
      <c r="AI119" s="79"/>
      <c r="AJ119" s="79"/>
    </row>
    <row r="120" spans="1:36">
      <c r="A120" s="1"/>
      <c r="B120" s="2"/>
      <c r="C120" s="4"/>
      <c r="D120" s="4"/>
      <c r="E120" s="4"/>
      <c r="F120" s="4"/>
      <c r="G120" s="79"/>
      <c r="H120" s="79"/>
      <c r="I120" s="79"/>
      <c r="J120" s="79"/>
      <c r="K120" s="79"/>
      <c r="L120" s="79"/>
      <c r="U120" s="89"/>
      <c r="V120" s="89"/>
      <c r="W120" s="89"/>
      <c r="X120" s="91"/>
      <c r="Y120" s="91"/>
      <c r="Z120" s="91"/>
      <c r="AA120" s="89"/>
      <c r="AB120" s="89"/>
      <c r="AC120" s="89"/>
      <c r="AD120" s="89"/>
      <c r="AE120" s="89"/>
      <c r="AF120" s="79"/>
      <c r="AG120" s="79"/>
      <c r="AH120" s="83"/>
      <c r="AI120" s="79"/>
      <c r="AJ120" s="79"/>
    </row>
    <row r="121" spans="1:36">
      <c r="A121" s="1"/>
      <c r="B121" s="2"/>
      <c r="C121" s="4"/>
      <c r="D121" s="4"/>
      <c r="E121" s="4"/>
      <c r="F121" s="4"/>
      <c r="G121" s="79"/>
      <c r="H121" s="79"/>
      <c r="I121" s="79"/>
      <c r="J121" s="79"/>
      <c r="K121" s="79"/>
      <c r="L121" s="79"/>
      <c r="U121" s="89"/>
      <c r="V121" s="89"/>
      <c r="W121" s="89"/>
      <c r="X121" s="91"/>
      <c r="Y121" s="91"/>
      <c r="Z121" s="91"/>
      <c r="AA121" s="89"/>
      <c r="AB121" s="89"/>
      <c r="AC121" s="89"/>
      <c r="AD121" s="89"/>
      <c r="AE121" s="89"/>
      <c r="AF121" s="79"/>
      <c r="AG121" s="79"/>
      <c r="AH121" s="79"/>
      <c r="AI121" s="79"/>
      <c r="AJ121" s="79"/>
    </row>
    <row r="122" spans="1:36">
      <c r="A122" s="1"/>
      <c r="B122" s="2"/>
      <c r="C122" s="4"/>
      <c r="D122" s="4"/>
      <c r="E122" s="4"/>
      <c r="F122" s="4"/>
      <c r="G122" s="79"/>
      <c r="H122" s="79"/>
      <c r="I122" s="79"/>
      <c r="J122" s="79"/>
      <c r="K122" s="79"/>
      <c r="L122" s="79"/>
      <c r="U122" s="89"/>
      <c r="V122" s="89"/>
      <c r="W122" s="89"/>
      <c r="X122" s="91"/>
      <c r="Y122" s="91"/>
      <c r="Z122" s="91"/>
      <c r="AA122" s="89"/>
      <c r="AB122" s="89"/>
      <c r="AC122" s="89"/>
      <c r="AD122" s="89"/>
      <c r="AE122" s="89"/>
      <c r="AF122" s="79"/>
      <c r="AG122" s="79"/>
      <c r="AH122" s="79"/>
      <c r="AI122" s="79"/>
      <c r="AJ122" s="79"/>
    </row>
    <row r="123" spans="1:36">
      <c r="A123" s="1"/>
      <c r="B123" s="2"/>
      <c r="C123" s="4"/>
      <c r="D123" s="4"/>
      <c r="E123" s="4"/>
      <c r="F123" s="4"/>
      <c r="G123" s="99"/>
      <c r="H123" s="99"/>
      <c r="I123" s="99"/>
      <c r="J123" s="99"/>
      <c r="K123" s="4"/>
      <c r="L123" s="4"/>
      <c r="U123" s="89"/>
      <c r="V123" s="89"/>
      <c r="W123" s="89"/>
      <c r="X123" s="91"/>
      <c r="Y123" s="91"/>
      <c r="Z123" s="91"/>
      <c r="AA123" s="89"/>
      <c r="AB123" s="89"/>
      <c r="AC123" s="89"/>
      <c r="AD123" s="89"/>
      <c r="AE123" s="89"/>
      <c r="AF123" s="79"/>
      <c r="AG123" s="79"/>
      <c r="AH123" s="79"/>
      <c r="AI123" s="79"/>
      <c r="AJ123" s="79"/>
    </row>
    <row r="124" spans="1:36">
      <c r="A124" s="1"/>
      <c r="B124" s="2"/>
      <c r="C124" s="4"/>
      <c r="D124" s="4"/>
      <c r="E124" s="4"/>
      <c r="F124" s="4"/>
      <c r="G124" s="99"/>
      <c r="H124" s="99"/>
      <c r="I124" s="99"/>
      <c r="J124" s="99"/>
      <c r="K124" s="4"/>
      <c r="L124" s="4"/>
      <c r="M124" s="79"/>
      <c r="N124" s="79"/>
      <c r="O124" s="79"/>
      <c r="P124" s="79"/>
      <c r="Q124" s="79"/>
      <c r="R124" s="79"/>
      <c r="S124" s="79"/>
      <c r="T124" s="79"/>
      <c r="U124" s="89"/>
      <c r="V124" s="89"/>
      <c r="W124" s="89"/>
      <c r="X124" s="91"/>
      <c r="Y124" s="91"/>
      <c r="Z124" s="91"/>
      <c r="AA124" s="89"/>
      <c r="AB124" s="89"/>
      <c r="AC124" s="89"/>
      <c r="AD124" s="89"/>
      <c r="AE124" s="89"/>
      <c r="AF124" s="79"/>
      <c r="AG124" s="4"/>
      <c r="AH124" s="4"/>
      <c r="AI124" s="4"/>
      <c r="AJ124" s="4"/>
    </row>
    <row r="125" spans="1:36">
      <c r="A125" s="1"/>
      <c r="B125" s="2"/>
      <c r="C125" s="4"/>
      <c r="D125" s="4"/>
      <c r="E125" s="4"/>
      <c r="F125" s="4"/>
      <c r="G125" s="4"/>
      <c r="H125" s="79"/>
      <c r="I125" s="4"/>
      <c r="J125" s="4"/>
      <c r="K125" s="4"/>
      <c r="L125" s="4"/>
      <c r="M125" s="79"/>
      <c r="N125" s="79"/>
      <c r="O125" s="79"/>
      <c r="P125" s="79"/>
      <c r="Q125" s="79"/>
      <c r="R125" s="79"/>
      <c r="S125" s="79"/>
      <c r="T125" s="79"/>
      <c r="U125" s="89"/>
      <c r="V125" s="89"/>
      <c r="W125" s="89"/>
      <c r="X125" s="91"/>
      <c r="Y125" s="91"/>
      <c r="Z125" s="91"/>
      <c r="AA125" s="89"/>
      <c r="AB125" s="89"/>
      <c r="AC125" s="89"/>
      <c r="AD125" s="89"/>
      <c r="AE125" s="89"/>
      <c r="AF125" s="79"/>
      <c r="AG125" s="4"/>
      <c r="AH125" s="4"/>
      <c r="AI125" s="4"/>
      <c r="AJ125" s="4"/>
    </row>
    <row r="126" spans="1:36">
      <c r="A126" s="1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79"/>
      <c r="N126" s="79"/>
      <c r="O126" s="79"/>
      <c r="P126" s="79"/>
      <c r="Q126" s="79"/>
      <c r="R126" s="79"/>
      <c r="S126" s="79"/>
      <c r="T126" s="79"/>
      <c r="U126" s="89"/>
      <c r="V126" s="89"/>
      <c r="W126" s="89"/>
      <c r="X126" s="91"/>
      <c r="Y126" s="91"/>
      <c r="Z126" s="91"/>
      <c r="AA126" s="89"/>
      <c r="AB126" s="89"/>
      <c r="AC126" s="89"/>
      <c r="AD126" s="89"/>
      <c r="AE126" s="89"/>
      <c r="AF126" s="79"/>
      <c r="AG126" s="4"/>
      <c r="AH126" s="4"/>
      <c r="AI126" s="4"/>
      <c r="AJ126" s="4"/>
    </row>
    <row r="127" spans="1:36">
      <c r="A127" s="1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79"/>
      <c r="N127" s="79"/>
      <c r="O127" s="79"/>
      <c r="P127" s="79"/>
      <c r="Q127" s="79"/>
      <c r="R127" s="79"/>
      <c r="S127" s="79"/>
      <c r="T127" s="79"/>
      <c r="U127" s="89"/>
      <c r="V127" s="89"/>
      <c r="W127" s="89"/>
      <c r="X127" s="91"/>
      <c r="Y127" s="91"/>
      <c r="Z127" s="91"/>
      <c r="AA127" s="89"/>
      <c r="AB127" s="89"/>
      <c r="AC127" s="89"/>
      <c r="AD127" s="89"/>
      <c r="AE127" s="89"/>
      <c r="AF127" s="79"/>
      <c r="AG127" s="4"/>
      <c r="AH127" s="4"/>
      <c r="AI127" s="4"/>
      <c r="AJ127" s="4"/>
    </row>
    <row r="128" spans="1:36">
      <c r="A128" s="1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79"/>
      <c r="N128" s="79"/>
      <c r="O128" s="79"/>
      <c r="P128" s="79"/>
      <c r="Q128" s="79"/>
      <c r="R128" s="79"/>
      <c r="S128" s="79"/>
      <c r="T128" s="79"/>
      <c r="U128" s="89"/>
      <c r="V128" s="89"/>
      <c r="W128" s="89"/>
      <c r="X128" s="91"/>
      <c r="Y128" s="91"/>
      <c r="Z128" s="91"/>
      <c r="AA128" s="89"/>
      <c r="AB128" s="89"/>
      <c r="AC128" s="89"/>
      <c r="AD128" s="89"/>
      <c r="AE128" s="89"/>
      <c r="AF128" s="79"/>
      <c r="AG128" s="4"/>
      <c r="AH128" s="4"/>
      <c r="AI128" s="4"/>
      <c r="AJ128" s="4"/>
    </row>
    <row r="129" spans="1:36">
      <c r="A129" s="1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79"/>
      <c r="N129" s="79"/>
      <c r="O129" s="79"/>
      <c r="P129" s="79"/>
      <c r="Q129" s="79"/>
      <c r="R129" s="79"/>
      <c r="S129" s="79"/>
      <c r="T129" s="79"/>
      <c r="U129" s="89"/>
      <c r="V129" s="89"/>
      <c r="W129" s="89"/>
      <c r="X129" s="91"/>
      <c r="Y129" s="91"/>
      <c r="Z129" s="91"/>
      <c r="AA129" s="89"/>
      <c r="AB129" s="89"/>
      <c r="AC129" s="89"/>
      <c r="AD129" s="89"/>
      <c r="AE129" s="89"/>
      <c r="AF129" s="79"/>
      <c r="AG129" s="4"/>
      <c r="AH129" s="4"/>
      <c r="AI129" s="4"/>
      <c r="AJ129" s="4"/>
    </row>
    <row r="130" spans="1:36">
      <c r="A130" s="1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79"/>
      <c r="N130" s="79"/>
      <c r="O130" s="79"/>
      <c r="P130" s="79"/>
      <c r="Q130" s="79"/>
      <c r="R130" s="79"/>
      <c r="S130" s="79"/>
      <c r="T130" s="79"/>
      <c r="U130" s="89"/>
      <c r="V130" s="89"/>
      <c r="W130" s="89"/>
      <c r="X130" s="91"/>
      <c r="Y130" s="91"/>
      <c r="Z130" s="91"/>
      <c r="AA130" s="89"/>
      <c r="AB130" s="89"/>
      <c r="AC130" s="89"/>
      <c r="AD130" s="89"/>
      <c r="AE130" s="89"/>
      <c r="AF130" s="79"/>
      <c r="AG130" s="4"/>
      <c r="AH130" s="4"/>
      <c r="AI130" s="4"/>
      <c r="AJ130" s="4"/>
    </row>
    <row r="131" spans="1:36">
      <c r="A131" s="1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79"/>
      <c r="N131" s="79"/>
      <c r="O131" s="79"/>
      <c r="P131" s="79"/>
      <c r="Q131" s="79"/>
      <c r="R131" s="79"/>
      <c r="S131" s="79"/>
      <c r="T131" s="79"/>
      <c r="U131" s="89"/>
      <c r="V131" s="89"/>
      <c r="W131" s="89"/>
      <c r="X131" s="91"/>
      <c r="Y131" s="91"/>
      <c r="Z131" s="91"/>
      <c r="AA131" s="89"/>
      <c r="AB131" s="89"/>
      <c r="AC131" s="89"/>
      <c r="AD131" s="89"/>
      <c r="AE131" s="89"/>
      <c r="AF131" s="79"/>
      <c r="AG131" s="4"/>
      <c r="AH131" s="4"/>
      <c r="AI131" s="4"/>
      <c r="AJ131" s="4"/>
    </row>
    <row r="132" spans="1:36">
      <c r="A132" s="1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79"/>
      <c r="N132" s="79"/>
      <c r="O132" s="79"/>
      <c r="P132" s="79"/>
      <c r="Q132" s="79"/>
      <c r="R132" s="79"/>
      <c r="S132" s="79"/>
      <c r="T132" s="79"/>
      <c r="U132" s="89"/>
      <c r="V132" s="89"/>
      <c r="W132" s="89"/>
      <c r="X132" s="91"/>
      <c r="Y132" s="91"/>
      <c r="Z132" s="91"/>
      <c r="AA132" s="89"/>
      <c r="AB132" s="89"/>
      <c r="AC132" s="89"/>
      <c r="AD132" s="89"/>
      <c r="AE132" s="89"/>
      <c r="AF132" s="79"/>
      <c r="AG132" s="4"/>
      <c r="AH132" s="4"/>
      <c r="AI132" s="4"/>
      <c r="AJ132" s="4"/>
    </row>
    <row r="133" spans="1:36">
      <c r="A133" s="1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79"/>
      <c r="N133" s="79"/>
      <c r="O133" s="79"/>
      <c r="P133" s="79"/>
      <c r="Q133" s="79"/>
      <c r="R133" s="79"/>
      <c r="S133" s="79"/>
      <c r="T133" s="79"/>
      <c r="U133" s="89"/>
      <c r="V133" s="89"/>
      <c r="W133" s="89"/>
      <c r="X133" s="91"/>
      <c r="Y133" s="91"/>
      <c r="Z133" s="91"/>
      <c r="AA133" s="89"/>
      <c r="AB133" s="89"/>
      <c r="AC133" s="89"/>
      <c r="AD133" s="89"/>
      <c r="AE133" s="89"/>
      <c r="AF133" s="79"/>
      <c r="AG133" s="4"/>
      <c r="AH133" s="4"/>
      <c r="AI133" s="4"/>
      <c r="AJ133" s="4"/>
    </row>
    <row r="134" spans="1:36">
      <c r="A134" s="1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79"/>
      <c r="N134" s="79"/>
      <c r="O134" s="79"/>
      <c r="P134" s="79"/>
      <c r="Q134" s="79"/>
      <c r="R134" s="79"/>
      <c r="S134" s="79"/>
      <c r="T134" s="79"/>
      <c r="U134" s="89"/>
      <c r="V134" s="89"/>
      <c r="W134" s="89"/>
      <c r="X134" s="91"/>
      <c r="Y134" s="91"/>
      <c r="Z134" s="91"/>
      <c r="AA134" s="89"/>
      <c r="AB134" s="89"/>
      <c r="AC134" s="89"/>
      <c r="AD134" s="89"/>
      <c r="AE134" s="89"/>
      <c r="AF134" s="79"/>
      <c r="AG134" s="4"/>
      <c r="AH134" s="4"/>
      <c r="AI134" s="4"/>
      <c r="AJ134" s="4"/>
    </row>
    <row r="135" spans="1:36">
      <c r="A135" s="1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79"/>
      <c r="N135" s="79"/>
      <c r="O135" s="79"/>
      <c r="P135" s="79"/>
      <c r="Q135" s="79"/>
      <c r="R135" s="79"/>
      <c r="S135" s="79"/>
      <c r="T135" s="79"/>
      <c r="U135" s="89"/>
      <c r="V135" s="89"/>
      <c r="W135" s="89"/>
      <c r="X135" s="91"/>
      <c r="Y135" s="91"/>
      <c r="Z135" s="91"/>
      <c r="AA135" s="89"/>
      <c r="AB135" s="89"/>
      <c r="AC135" s="89"/>
      <c r="AD135" s="89"/>
      <c r="AE135" s="89"/>
      <c r="AF135" s="79"/>
      <c r="AG135" s="4"/>
      <c r="AH135" s="4"/>
      <c r="AI135" s="4"/>
      <c r="AJ135" s="4"/>
    </row>
    <row r="136" spans="1:36">
      <c r="A136" s="1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89"/>
      <c r="V136" s="89"/>
      <c r="W136" s="89"/>
      <c r="X136" s="91"/>
      <c r="Y136" s="91"/>
      <c r="Z136" s="91"/>
      <c r="AA136" s="89"/>
      <c r="AB136" s="89"/>
      <c r="AC136" s="89"/>
      <c r="AD136" s="89"/>
      <c r="AE136" s="89"/>
      <c r="AF136" s="4"/>
      <c r="AG136" s="4"/>
      <c r="AH136" s="4"/>
      <c r="AI136" s="4"/>
      <c r="AJ136" s="4"/>
    </row>
    <row r="137" spans="1:36">
      <c r="A137" s="1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89"/>
      <c r="V137" s="89"/>
      <c r="W137" s="89"/>
      <c r="X137" s="91"/>
      <c r="Y137" s="91"/>
      <c r="Z137" s="91"/>
      <c r="AA137" s="89"/>
      <c r="AB137" s="89"/>
      <c r="AC137" s="89"/>
      <c r="AD137" s="89"/>
      <c r="AE137" s="89"/>
      <c r="AF137" s="4"/>
      <c r="AG137" s="4"/>
      <c r="AH137" s="4"/>
      <c r="AI137" s="4"/>
      <c r="AJ137" s="4"/>
    </row>
    <row r="138" spans="1:36">
      <c r="A138" s="1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89"/>
      <c r="V138" s="89"/>
      <c r="W138" s="89"/>
      <c r="X138" s="91"/>
      <c r="Y138" s="91"/>
      <c r="Z138" s="91"/>
      <c r="AA138" s="89"/>
      <c r="AB138" s="89"/>
      <c r="AC138" s="89"/>
      <c r="AD138" s="89"/>
      <c r="AE138" s="89"/>
      <c r="AF138" s="4"/>
      <c r="AG138" s="4"/>
      <c r="AH138" s="4"/>
      <c r="AI138" s="4"/>
      <c r="AJ138" s="4"/>
    </row>
    <row r="139" spans="1:36">
      <c r="A139" s="1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89"/>
      <c r="V139" s="89"/>
      <c r="W139" s="89"/>
      <c r="X139" s="91"/>
      <c r="Y139" s="91"/>
      <c r="Z139" s="91"/>
      <c r="AA139" s="89"/>
      <c r="AB139" s="89"/>
      <c r="AC139" s="89"/>
      <c r="AD139" s="89"/>
      <c r="AE139" s="89"/>
      <c r="AF139" s="4"/>
      <c r="AG139" s="4"/>
      <c r="AH139" s="4"/>
      <c r="AI139" s="4"/>
      <c r="AJ139" s="4"/>
    </row>
    <row r="140" spans="1:36">
      <c r="A140" s="1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89"/>
      <c r="V140" s="89"/>
      <c r="W140" s="89"/>
      <c r="X140" s="91"/>
      <c r="Y140" s="91"/>
      <c r="Z140" s="91"/>
      <c r="AA140" s="89"/>
      <c r="AB140" s="89"/>
      <c r="AC140" s="89"/>
      <c r="AD140" s="89"/>
      <c r="AE140" s="89"/>
      <c r="AF140" s="4"/>
      <c r="AG140" s="4"/>
      <c r="AH140" s="4"/>
      <c r="AI140" s="4"/>
      <c r="AJ140" s="4"/>
    </row>
    <row r="141" spans="1:36">
      <c r="A141" s="1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89"/>
      <c r="V141" s="89"/>
      <c r="W141" s="89"/>
      <c r="X141" s="91"/>
      <c r="Y141" s="91"/>
      <c r="Z141" s="91"/>
      <c r="AA141" s="89"/>
      <c r="AB141" s="89"/>
      <c r="AC141" s="89"/>
      <c r="AD141" s="89"/>
      <c r="AE141" s="89"/>
      <c r="AF141" s="4"/>
      <c r="AG141" s="4"/>
      <c r="AH141" s="4"/>
      <c r="AI141" s="4"/>
      <c r="AJ141" s="4"/>
    </row>
    <row r="142" spans="1:36">
      <c r="A142" s="1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89"/>
      <c r="V142" s="89"/>
      <c r="W142" s="89"/>
      <c r="X142" s="91"/>
      <c r="Y142" s="91"/>
      <c r="Z142" s="91"/>
      <c r="AA142" s="89"/>
      <c r="AB142" s="89"/>
      <c r="AC142" s="89"/>
      <c r="AD142" s="89"/>
      <c r="AE142" s="89"/>
      <c r="AF142" s="4"/>
      <c r="AG142" s="4"/>
      <c r="AH142" s="4"/>
      <c r="AI142" s="4"/>
      <c r="AJ142" s="4"/>
    </row>
    <row r="143" spans="1:36">
      <c r="A143" s="1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89"/>
      <c r="V143" s="89"/>
      <c r="W143" s="89"/>
      <c r="X143" s="91"/>
      <c r="Y143" s="91"/>
      <c r="Z143" s="91"/>
      <c r="AA143" s="89"/>
      <c r="AB143" s="89"/>
      <c r="AC143" s="89"/>
      <c r="AD143" s="89"/>
      <c r="AE143" s="89"/>
      <c r="AF143" s="4"/>
      <c r="AG143" s="4"/>
      <c r="AH143" s="4"/>
      <c r="AI143" s="4"/>
      <c r="AJ143" s="4"/>
    </row>
    <row r="144" spans="1:36">
      <c r="A144" s="1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89"/>
      <c r="V144" s="89"/>
      <c r="W144" s="89"/>
      <c r="X144" s="91"/>
      <c r="Y144" s="91"/>
      <c r="Z144" s="91"/>
      <c r="AA144" s="89"/>
      <c r="AB144" s="89"/>
      <c r="AC144" s="89"/>
      <c r="AD144" s="89"/>
      <c r="AE144" s="89"/>
      <c r="AF144" s="4"/>
      <c r="AG144" s="4"/>
      <c r="AH144" s="4"/>
      <c r="AI144" s="4"/>
      <c r="AJ144" s="4"/>
    </row>
    <row r="145" spans="1:36">
      <c r="A145" s="1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89"/>
      <c r="V145" s="89"/>
      <c r="W145" s="89"/>
      <c r="X145" s="91"/>
      <c r="Y145" s="91"/>
      <c r="Z145" s="91"/>
      <c r="AA145" s="89"/>
      <c r="AB145" s="89"/>
      <c r="AC145" s="89"/>
      <c r="AD145" s="89"/>
      <c r="AE145" s="89"/>
      <c r="AF145" s="4"/>
      <c r="AG145" s="4"/>
      <c r="AH145" s="4"/>
      <c r="AI145" s="4"/>
      <c r="AJ145" s="4"/>
    </row>
    <row r="146" spans="1:36">
      <c r="A146" s="1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89"/>
      <c r="V146" s="89"/>
      <c r="W146" s="89"/>
      <c r="X146" s="91"/>
      <c r="Y146" s="91"/>
      <c r="Z146" s="91"/>
      <c r="AA146" s="89"/>
      <c r="AB146" s="89"/>
      <c r="AC146" s="89"/>
      <c r="AD146" s="89"/>
      <c r="AE146" s="89"/>
      <c r="AF146" s="4"/>
      <c r="AG146" s="4"/>
      <c r="AH146" s="4"/>
      <c r="AI146" s="4"/>
      <c r="AJ146" s="4"/>
    </row>
    <row r="147" spans="1:36">
      <c r="A147" s="1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89"/>
      <c r="V147" s="89"/>
      <c r="W147" s="89"/>
      <c r="X147" s="91"/>
      <c r="Y147" s="91"/>
      <c r="Z147" s="91"/>
      <c r="AA147" s="89"/>
      <c r="AB147" s="89"/>
      <c r="AC147" s="89"/>
      <c r="AD147" s="89"/>
      <c r="AE147" s="89"/>
      <c r="AF147" s="4"/>
      <c r="AG147" s="4"/>
      <c r="AH147" s="4"/>
      <c r="AI147" s="4"/>
      <c r="AJ147" s="4"/>
    </row>
    <row r="148" spans="1:36">
      <c r="A148" s="1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89"/>
      <c r="V148" s="89"/>
      <c r="W148" s="89"/>
      <c r="X148" s="91"/>
      <c r="Y148" s="91"/>
      <c r="Z148" s="91"/>
      <c r="AA148" s="89"/>
      <c r="AB148" s="89"/>
      <c r="AC148" s="89"/>
      <c r="AD148" s="89"/>
      <c r="AE148" s="89"/>
      <c r="AF148" s="4"/>
      <c r="AG148" s="4"/>
      <c r="AH148" s="4"/>
      <c r="AI148" s="4"/>
      <c r="AJ148" s="4"/>
    </row>
    <row r="149" spans="1:36">
      <c r="A149" s="1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89"/>
      <c r="V149" s="89"/>
      <c r="W149" s="89"/>
      <c r="X149" s="91"/>
      <c r="Y149" s="91"/>
      <c r="Z149" s="91"/>
      <c r="AA149" s="89"/>
      <c r="AB149" s="89"/>
      <c r="AC149" s="89"/>
      <c r="AD149" s="89"/>
      <c r="AE149" s="89"/>
      <c r="AF149" s="4"/>
      <c r="AG149" s="4"/>
      <c r="AH149" s="4"/>
      <c r="AI149" s="4"/>
      <c r="AJ149" s="4"/>
    </row>
    <row r="150" spans="1:36">
      <c r="A150" s="1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>
      <c r="A151" s="1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>
      <c r="A152" s="1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>
      <c r="A153" s="1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>
      <c r="A154" s="1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>
      <c r="A155" s="1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>
      <c r="A156" s="1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>
      <c r="A157" s="1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>
      <c r="A158" s="1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>
      <c r="A159" s="1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>
      <c r="A160" s="1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>
      <c r="A161" s="1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>
      <c r="A162" s="1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>
      <c r="A163" s="1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>
      <c r="A164" s="1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>
      <c r="A165" s="1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>
      <c r="A166" s="1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>
      <c r="A167" s="1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>
      <c r="A168" s="1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>
      <c r="A169" s="1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>
      <c r="A170" s="1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>
      <c r="A171" s="1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1:36">
      <c r="A172" s="1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>
      <c r="A173" s="1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>
      <c r="A174" s="1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>
      <c r="A175" s="1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36">
      <c r="A176" s="1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>
      <c r="A177" s="1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1:36">
      <c r="A178" s="1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1:36">
      <c r="A179" s="1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1:36">
      <c r="A180" s="1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>
      <c r="A181" s="1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>
      <c r="A182" s="1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>
      <c r="A183" s="1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>
      <c r="A184" s="1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1:36">
      <c r="A185" s="1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>
      <c r="A186" s="1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>
      <c r="A187" s="1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>
      <c r="A188" s="1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>
      <c r="A189" s="1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>
      <c r="A190" s="1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1:36">
      <c r="A191" s="1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1:36">
      <c r="A192" s="1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1:36">
      <c r="A193" s="1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>
      <c r="A194" s="1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>
      <c r="A195" s="1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>
      <c r="A196" s="1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>
      <c r="A197" s="1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1:36">
      <c r="A198" s="1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1:36">
      <c r="A199" s="1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1:36">
      <c r="A200" s="1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1:36">
      <c r="A201" s="1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1:36">
      <c r="A202" s="1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1:36">
      <c r="A203" s="1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>
      <c r="A204" s="1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>
      <c r="A205" s="1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>
      <c r="A206" s="1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1:36">
      <c r="A207" s="1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>
      <c r="A208" s="1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1:36">
      <c r="A209" s="1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1:36">
      <c r="A210" s="1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1:36">
      <c r="A211" s="1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>
      <c r="A212" s="1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>
      <c r="A213" s="1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>
      <c r="A214" s="1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>
      <c r="A215" s="1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>
      <c r="A216" s="1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1:36">
      <c r="A217" s="1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>
      <c r="A218" s="1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>
      <c r="A219" s="1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>
      <c r="A220" s="1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>
      <c r="A221" s="1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>
      <c r="A222" s="1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>
      <c r="A223" s="1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>
      <c r="A224" s="1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>
      <c r="A225" s="1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>
      <c r="A226" s="1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>
      <c r="A227" s="1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>
      <c r="A228" s="1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>
      <c r="A229" s="1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>
      <c r="A230" s="1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>
      <c r="A231" s="1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>
      <c r="A232" s="1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>
      <c r="A233" s="1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>
      <c r="A234" s="1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>
      <c r="A235" s="1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>
      <c r="A236" s="1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1:36">
      <c r="A237" s="1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1:36">
      <c r="A238" s="1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1:36">
      <c r="A239" s="1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>
      <c r="A240" s="1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>
      <c r="A241" s="1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>
      <c r="A242" s="1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1:36">
      <c r="A243" s="1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1:36">
      <c r="A244" s="1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1:36">
      <c r="A245" s="1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1:36">
      <c r="A246" s="1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>
      <c r="A247" s="1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1:36">
      <c r="A248" s="1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1:36">
      <c r="A249" s="1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1:36">
      <c r="A250" s="1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>
      <c r="A251" s="1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>
      <c r="A252" s="1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>
      <c r="A253" s="1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>
      <c r="A254" s="1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>
      <c r="A255" s="1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>
      <c r="A256" s="1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>
      <c r="A257" s="1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>
      <c r="A258" s="1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>
      <c r="A259" s="1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>
      <c r="A260" s="1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>
      <c r="A261" s="1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>
      <c r="A262" s="1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>
      <c r="A263" s="1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>
      <c r="A264" s="1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>
      <c r="A265" s="1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>
      <c r="A266" s="1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>
      <c r="A267" s="1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>
      <c r="A268" s="1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>
      <c r="A269" s="1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>
      <c r="A270" s="1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1:36">
      <c r="A271" s="1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1:36">
      <c r="A272" s="1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1:36">
      <c r="A273" s="1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1:36">
      <c r="A274" s="1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1:36">
      <c r="A275" s="1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1:36">
      <c r="A276" s="1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1:36">
      <c r="A277" s="1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1:36">
      <c r="A278" s="1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1:36">
      <c r="A279" s="1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1:36">
      <c r="A280" s="1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1:36">
      <c r="A281" s="1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1:36">
      <c r="A282" s="1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1:36">
      <c r="A283" s="1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1:36">
      <c r="A284" s="1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1:36">
      <c r="A285" s="1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1:36">
      <c r="A286" s="1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1:36">
      <c r="A287" s="1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1:36">
      <c r="A288" s="1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1:36">
      <c r="A289" s="1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1:36">
      <c r="A290" s="1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1:36">
      <c r="A291" s="1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1:36">
      <c r="A292" s="1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1:36">
      <c r="A293" s="1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1:36">
      <c r="A294" s="1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1:36">
      <c r="A295" s="1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1:36">
      <c r="A296" s="1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1:36">
      <c r="A297" s="1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1:36">
      <c r="A298" s="1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1:36">
      <c r="A299" s="1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1:36">
      <c r="A300" s="1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1:36">
      <c r="A301" s="1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1:36">
      <c r="A302" s="1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1:36">
      <c r="A303" s="1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1:36">
      <c r="A304" s="1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1:36">
      <c r="A305" s="1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1:36">
      <c r="A306" s="1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1:36">
      <c r="A307" s="1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1:36">
      <c r="A308" s="1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1:36">
      <c r="A309" s="1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1:36">
      <c r="A310" s="1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1:36">
      <c r="A311" s="1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1:36">
      <c r="A312" s="1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1:36">
      <c r="A313" s="1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1:36">
      <c r="A314" s="1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1:36">
      <c r="A315" s="1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1:36">
      <c r="A316" s="1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1:36">
      <c r="A317" s="1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1:36">
      <c r="A318" s="1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1:36">
      <c r="A319" s="1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1:36">
      <c r="A320" s="1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1:36">
      <c r="A321" s="1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1:36">
      <c r="A322" s="1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1:36">
      <c r="A323" s="1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1:36">
      <c r="A324" s="1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1:36">
      <c r="A325" s="1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1:36">
      <c r="A326" s="1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1:36">
      <c r="A327" s="1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1:36">
      <c r="A328" s="1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1:36">
      <c r="A329" s="1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1:36">
      <c r="A330" s="1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1:36">
      <c r="A331" s="1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1:36">
      <c r="A332" s="1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1:36">
      <c r="A333" s="1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1:36">
      <c r="A334" s="1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1:36">
      <c r="A335" s="1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1:36">
      <c r="A336" s="1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1:36">
      <c r="A337" s="1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1:36">
      <c r="A338" s="1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1:36">
      <c r="A339" s="1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1:36">
      <c r="A340" s="1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1:36">
      <c r="A341" s="1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1:36">
      <c r="A342" s="1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1:36">
      <c r="A343" s="1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1:36">
      <c r="A344" s="1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1:36">
      <c r="A345" s="1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1:36">
      <c r="A346" s="1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1:36">
      <c r="A347" s="1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1:36">
      <c r="A348" s="1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1:36">
      <c r="A349" s="1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1:36">
      <c r="A350" s="1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1:36">
      <c r="A351" s="1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1:36">
      <c r="A352" s="1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1:36">
      <c r="A353" s="1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1:36">
      <c r="A354" s="1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1:36">
      <c r="A355" s="1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1:36">
      <c r="A356" s="1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1:36">
      <c r="A357" s="1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1:36">
      <c r="A358" s="1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1:36">
      <c r="A359" s="1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1:36">
      <c r="A360" s="1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1:36">
      <c r="A361" s="1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1:36">
      <c r="A362" s="1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1:36">
      <c r="A363" s="1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1:36">
      <c r="A364" s="1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1:36">
      <c r="A365" s="1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1:36">
      <c r="A366" s="1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1:36">
      <c r="A367" s="1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1:36">
      <c r="A368" s="1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spans="1:36">
      <c r="A369" s="1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spans="1:36">
      <c r="A370" s="1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spans="1:36">
      <c r="A371" s="1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spans="1:36">
      <c r="A372" s="1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spans="1:36">
      <c r="A373" s="1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spans="1:36">
      <c r="A374" s="1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spans="1:36">
      <c r="A375" s="1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spans="1:36">
      <c r="A376" s="1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spans="1:36">
      <c r="A377" s="1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spans="1:36">
      <c r="A378" s="1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spans="1:36">
      <c r="A379" s="1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spans="1:36">
      <c r="A380" s="1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spans="1:36">
      <c r="A381" s="1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spans="1:36">
      <c r="A382" s="1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spans="1:36">
      <c r="A383" s="1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1:36">
      <c r="A384" s="1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spans="1:36">
      <c r="A385" s="1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1:36">
      <c r="A386" s="1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spans="1:36">
      <c r="A387" s="1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spans="1:36">
      <c r="A388" s="1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spans="1:36">
      <c r="A389" s="1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spans="1:36">
      <c r="A390" s="1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spans="1:36">
      <c r="A391" s="1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spans="1:36">
      <c r="A392" s="1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spans="1:36">
      <c r="A393" s="1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spans="1:36">
      <c r="A394" s="1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spans="1:36">
      <c r="A395" s="1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spans="1:36">
      <c r="A396" s="1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 spans="1:36">
      <c r="A397" s="1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spans="1:36">
      <c r="A398" s="1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 spans="1:36">
      <c r="A399" s="1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spans="1:36">
      <c r="A400" s="1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 spans="1:36">
      <c r="A401" s="1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spans="1:36">
      <c r="A402" s="1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spans="1:36">
      <c r="A403" s="1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spans="1:36">
      <c r="A404" s="1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 spans="1:36">
      <c r="A405" s="1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spans="1:36">
      <c r="A406" s="1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 spans="1:36">
      <c r="A407" s="1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spans="1:36">
      <c r="A408" s="1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 spans="1:36">
      <c r="A409" s="1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spans="1:36">
      <c r="A410" s="1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spans="1:36">
      <c r="A411" s="1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spans="1:36">
      <c r="A412" s="1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spans="1:36">
      <c r="A413" s="1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spans="1:36">
      <c r="A414" s="1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 spans="1:36">
      <c r="A415" s="1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spans="1:36">
      <c r="A416" s="1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 spans="1:36">
      <c r="A417" s="1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spans="1:36">
      <c r="A418" s="1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spans="1:36">
      <c r="A419" s="1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1:36">
      <c r="A420" s="1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spans="1:36">
      <c r="A421" s="1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spans="1:36">
      <c r="A422" s="1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 spans="1:36">
      <c r="A423" s="1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spans="1:36">
      <c r="A424" s="1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 spans="1:36">
      <c r="A425" s="1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spans="1:36">
      <c r="A426" s="1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 spans="1:36">
      <c r="A427" s="1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1:36">
      <c r="A428" s="1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spans="1:36">
      <c r="A429" s="1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spans="1:36">
      <c r="A430" s="1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 spans="1:36">
      <c r="A431" s="1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spans="1:36">
      <c r="A432" s="1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 spans="1:36">
      <c r="A433" s="1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spans="1:36">
      <c r="A434" s="1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 spans="1:36">
      <c r="A435" s="1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1:36">
      <c r="A436" s="1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 spans="1:36">
      <c r="A437" s="1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spans="1:36">
      <c r="A438" s="1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spans="1:36">
      <c r="A439" s="1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1:36">
      <c r="A440" s="1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 spans="1:36">
      <c r="A441" s="1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spans="1:36">
      <c r="A442" s="1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 spans="1:36">
      <c r="A443" s="1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spans="1:36">
      <c r="A444" s="1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 spans="1:36">
      <c r="A445" s="1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spans="1:36">
      <c r="A446" s="1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 spans="1:36">
      <c r="A447" s="1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spans="1:36">
      <c r="A448" s="1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 spans="1:36">
      <c r="A449" s="1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spans="1:36">
      <c r="A450" s="1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 spans="1:36">
      <c r="A451" s="1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spans="1:36">
      <c r="A452" s="1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 spans="1:36">
      <c r="A453" s="1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spans="1:36">
      <c r="A454" s="1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 spans="1:36">
      <c r="A455" s="1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1:36">
      <c r="A456" s="1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spans="1:36">
      <c r="A457" s="1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spans="1:36">
      <c r="A458" s="1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 spans="1:36">
      <c r="A459" s="1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spans="1:36">
      <c r="A460" s="1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 spans="1:36">
      <c r="A461" s="1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spans="1:36">
      <c r="A462" s="1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 spans="1:36">
      <c r="A463" s="1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spans="1:36">
      <c r="A464" s="1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spans="1:36">
      <c r="A465" s="1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spans="1:36">
      <c r="A466" s="1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spans="1:36">
      <c r="A467" s="1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spans="1:36">
      <c r="A468" s="1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 spans="1:36">
      <c r="A469" s="1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spans="1:36">
      <c r="A470" s="1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 spans="1:36">
      <c r="A471" s="1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spans="1:36">
      <c r="A472" s="1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 spans="1:36">
      <c r="A473" s="1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spans="1:36">
      <c r="A474" s="1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 spans="1:36">
      <c r="A475" s="1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spans="1:36">
      <c r="A476" s="1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 spans="1:36">
      <c r="A477" s="1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spans="1:36">
      <c r="A478" s="1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 spans="1:36">
      <c r="A479" s="1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spans="1:36">
      <c r="A480" s="1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spans="1:36">
      <c r="A481" s="1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spans="1:36">
      <c r="A482" s="1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spans="1:36">
      <c r="A483" s="1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spans="1:36">
      <c r="A484" s="1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spans="1:36">
      <c r="A485" s="1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spans="1:36">
      <c r="A486" s="1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spans="1:36">
      <c r="A487" s="1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spans="1:36">
      <c r="A488" s="1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spans="1:36">
      <c r="A489" s="1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spans="1:36">
      <c r="A490" s="1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 spans="1:36">
      <c r="A491" s="1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spans="1:36">
      <c r="A492" s="1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spans="1:36">
      <c r="A493" s="1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spans="1:36">
      <c r="A494" s="1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spans="1:36">
      <c r="A495" s="1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spans="1:36">
      <c r="A496" s="1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spans="1:36">
      <c r="A497" s="1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spans="1:36">
      <c r="A498" s="1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spans="1:36">
      <c r="A499" s="1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spans="1:36">
      <c r="A500" s="1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spans="1:36">
      <c r="A501" s="1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spans="1:36">
      <c r="A502" s="1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spans="1:36">
      <c r="A503" s="1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spans="1:36">
      <c r="A504" s="1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spans="1:36">
      <c r="A505" s="1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spans="1:36">
      <c r="A506" s="1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spans="1:36">
      <c r="A507" s="1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spans="1:36">
      <c r="A508" s="1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spans="1:36">
      <c r="A509" s="1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spans="1:36">
      <c r="A510" s="1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spans="1:36">
      <c r="A511" s="1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spans="1:36">
      <c r="A512" s="1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spans="1:36">
      <c r="A513" s="1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spans="1:36">
      <c r="A514" s="1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spans="1:36">
      <c r="A515" s="1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spans="1:36">
      <c r="A516" s="1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spans="1:36">
      <c r="A517" s="1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spans="1:36">
      <c r="A518" s="1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spans="1:36">
      <c r="A519" s="1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spans="1:36">
      <c r="A520" s="1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spans="1:36">
      <c r="A521" s="1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spans="1:36">
      <c r="A522" s="1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spans="1:36">
      <c r="A523" s="1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spans="1:36">
      <c r="A524" s="1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 spans="1:36">
      <c r="A525" s="1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 spans="1:36">
      <c r="A526" s="1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 spans="1:36">
      <c r="A527" s="1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spans="1:36">
      <c r="A528" s="1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spans="1:36">
      <c r="A529" s="1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spans="1:36">
      <c r="A530" s="1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 spans="1:36">
      <c r="A531" s="1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 spans="1:36">
      <c r="A532" s="1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 spans="1:36">
      <c r="A533" s="1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 spans="1:36">
      <c r="A534" s="1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 spans="1:36">
      <c r="A535" s="1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 spans="1:36">
      <c r="A536" s="1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spans="1:36">
      <c r="A537" s="1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spans="1:36">
      <c r="A538" s="1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spans="1:36">
      <c r="A539" s="1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 spans="1:36">
      <c r="A540" s="1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 spans="1:36">
      <c r="A541" s="1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 spans="1:36">
      <c r="A542" s="1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 spans="1:36">
      <c r="A543" s="1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 spans="1:36">
      <c r="A544" s="1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 spans="1:36">
      <c r="A545" s="1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spans="1:36">
      <c r="A546" s="1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spans="1:36">
      <c r="A547" s="1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spans="1:36">
      <c r="A548" s="1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 spans="1:36">
      <c r="A549" s="1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 spans="1:36">
      <c r="A550" s="1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 spans="1:36">
      <c r="A551" s="1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 spans="1:36">
      <c r="A552" s="1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 spans="1:36">
      <c r="A553" s="1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 spans="1:36">
      <c r="A554" s="1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spans="1:36">
      <c r="A555" s="1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spans="1:36">
      <c r="A556" s="1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spans="1:36">
      <c r="A557" s="1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 spans="1:36">
      <c r="A558" s="1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 spans="1:36">
      <c r="A559" s="1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 spans="1:36">
      <c r="A560" s="1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 spans="1:36">
      <c r="A561" s="1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 spans="1:36">
      <c r="A562" s="1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 spans="1:36">
      <c r="A563" s="1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spans="1:36">
      <c r="A564" s="1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spans="1:36">
      <c r="A565" s="1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spans="1:36">
      <c r="A566" s="1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 spans="1:36">
      <c r="A567" s="1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 spans="1:36">
      <c r="A568" s="1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 spans="1:36">
      <c r="A569" s="1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 spans="1:36">
      <c r="A570" s="1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 spans="1:36">
      <c r="A571" s="1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 spans="1:36">
      <c r="A572" s="1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spans="1:36">
      <c r="A573" s="1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spans="1:36">
      <c r="A574" s="1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spans="1:36">
      <c r="A575" s="1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 spans="1:36">
      <c r="A576" s="1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 spans="1:36">
      <c r="A577" s="1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 spans="1:36">
      <c r="A578" s="1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 spans="1:36">
      <c r="A579" s="1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 spans="1:36">
      <c r="A580" s="1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 spans="1:36">
      <c r="A581" s="1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spans="1:36">
      <c r="A582" s="1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spans="1:36">
      <c r="A583" s="1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spans="1:36">
      <c r="A584" s="1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 spans="1:36">
      <c r="A585" s="1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 spans="1:36">
      <c r="A586" s="1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 spans="1:36">
      <c r="A587" s="1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 spans="1:36">
      <c r="A588" s="1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 spans="1:36">
      <c r="A589" s="1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 spans="1:36">
      <c r="A590" s="1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spans="1:36">
      <c r="A591" s="1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spans="1:36">
      <c r="A592" s="1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spans="1:36">
      <c r="A593" s="1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 spans="1:36">
      <c r="A594" s="1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 spans="1:36">
      <c r="A595" s="1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 spans="1:36">
      <c r="A596" s="1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 spans="1:36">
      <c r="A597" s="1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 spans="1:36">
      <c r="A598" s="1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 spans="1:36">
      <c r="A599" s="1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spans="1:36">
      <c r="A600" s="1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spans="1:36">
      <c r="A601" s="1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spans="1:36">
      <c r="A602" s="1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 spans="1:36">
      <c r="A603" s="1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 spans="1:36">
      <c r="A604" s="1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 spans="1:36">
      <c r="A605" s="1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 spans="1:36">
      <c r="A606" s="1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 spans="1:36">
      <c r="A607" s="1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 spans="1:36">
      <c r="A608" s="1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spans="1:36">
      <c r="A609" s="1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spans="1:36">
      <c r="A610" s="1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spans="1:36">
      <c r="A611" s="1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 spans="1:36">
      <c r="A612" s="1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 spans="1:36">
      <c r="A613" s="1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 spans="1:36">
      <c r="A614" s="1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 spans="1:36">
      <c r="A615" s="1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 spans="1:36">
      <c r="A616" s="1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 spans="1:36">
      <c r="A617" s="1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spans="1:36">
      <c r="A618" s="1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spans="1:36">
      <c r="A619" s="1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spans="1:36">
      <c r="A620" s="1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 spans="1:36">
      <c r="A621" s="1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 spans="1:36">
      <c r="A622" s="1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 spans="1:36">
      <c r="A623" s="1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 spans="1:36">
      <c r="A624" s="1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 spans="1:36">
      <c r="A625" s="1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 spans="1:36">
      <c r="A626" s="1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spans="1:36">
      <c r="A627" s="1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spans="1:36">
      <c r="A628" s="1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spans="1:36">
      <c r="A629" s="1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 spans="1:36">
      <c r="A630" s="1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 spans="1:36">
      <c r="A631" s="1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 spans="1:36">
      <c r="A632" s="1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 spans="1:36">
      <c r="A633" s="1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 spans="1:36">
      <c r="A634" s="1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 spans="1:36">
      <c r="A635" s="1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spans="1:36">
      <c r="A636" s="1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spans="1:36">
      <c r="A637" s="1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spans="1:36">
      <c r="A638" s="1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 spans="1:36">
      <c r="A639" s="1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 spans="1:36">
      <c r="A640" s="1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 spans="1:36">
      <c r="A641" s="1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 spans="1:36">
      <c r="A642" s="1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 spans="1:36">
      <c r="A643" s="1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 spans="1:36">
      <c r="A644" s="1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spans="1:36">
      <c r="A645" s="1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spans="1:36">
      <c r="A646" s="1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spans="1:36">
      <c r="A647" s="1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 spans="1:36">
      <c r="A648" s="1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 spans="1:36">
      <c r="A649" s="1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 spans="1:36">
      <c r="A650" s="1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 spans="1:36">
      <c r="A651" s="1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 spans="1:36">
      <c r="A652" s="1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 spans="1:36">
      <c r="A653" s="1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spans="1:36">
      <c r="A654" s="1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spans="1:36">
      <c r="A655" s="1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spans="1:36">
      <c r="A656" s="1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 spans="1:36">
      <c r="A657" s="1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 spans="1:36">
      <c r="A658" s="1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 spans="1:36">
      <c r="A659" s="1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 spans="1:36">
      <c r="A660" s="1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 spans="1:36">
      <c r="A661" s="1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spans="1:36">
      <c r="A662" s="1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spans="1:36">
      <c r="A663" s="1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spans="1:36">
      <c r="A664" s="1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spans="1:36">
      <c r="A665" s="1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spans="1:36">
      <c r="A666" s="1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spans="1:36">
      <c r="A667" s="1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spans="1:36">
      <c r="A668" s="1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spans="1:36">
      <c r="A669" s="1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spans="1:36">
      <c r="A670" s="1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spans="1:36">
      <c r="A671" s="1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spans="1:36">
      <c r="A672" s="1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spans="1:36">
      <c r="A673" s="1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spans="1:36">
      <c r="A674" s="1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>
      <c r="A675" s="1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spans="1:36">
      <c r="A676" s="1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spans="1:36">
      <c r="A677" s="1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spans="1:36">
      <c r="A678" s="1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spans="1:36">
      <c r="A679" s="1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spans="1:36">
      <c r="A680" s="1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spans="1:36">
      <c r="A681" s="1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spans="1:36">
      <c r="A682" s="1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spans="1:36">
      <c r="A683" s="1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spans="1:36">
      <c r="A684" s="1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spans="1:36">
      <c r="A685" s="1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spans="1:36">
      <c r="A686" s="1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 spans="1:36">
      <c r="A687" s="1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 spans="1:36">
      <c r="A688" s="1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 spans="1:36">
      <c r="A689" s="1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spans="1:36">
      <c r="A690" s="1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spans="1:36">
      <c r="A691" s="1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spans="1:36">
      <c r="A692" s="1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 spans="1:36">
      <c r="A693" s="1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 spans="1:36">
      <c r="A694" s="1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 spans="1:36">
      <c r="A695" s="1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 spans="1:36">
      <c r="A696" s="1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 spans="1:36">
      <c r="A697" s="1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 spans="1:36">
      <c r="A698" s="1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spans="1:36">
      <c r="A699" s="1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spans="1:36">
      <c r="A700" s="1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spans="1:36">
      <c r="A701" s="1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 spans="1:36">
      <c r="A702" s="1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 spans="1:36">
      <c r="A703" s="1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 spans="1:36">
      <c r="A704" s="1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 spans="1:36">
      <c r="A705" s="1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spans="1:36">
      <c r="A706" s="1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spans="1:36">
      <c r="A707" s="1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spans="1:36">
      <c r="A708" s="1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spans="1:36">
      <c r="A709" s="1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>
      <c r="A710" s="1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spans="1:36">
      <c r="A711" s="1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spans="1:36">
      <c r="A712" s="1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spans="1:36">
      <c r="A713" s="1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spans="1:36">
      <c r="A714" s="1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spans="1:36">
      <c r="A715" s="1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spans="1:36">
      <c r="A716" s="1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spans="1:36">
      <c r="A717" s="1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spans="1:36">
      <c r="A718" s="1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spans="1:36">
      <c r="A719" s="1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spans="1:36">
      <c r="A720" s="1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spans="1:36">
      <c r="A721" s="1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spans="1:36">
      <c r="A722" s="1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spans="1:36">
      <c r="A723" s="1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spans="1:36">
      <c r="A724" s="1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spans="1:36">
      <c r="A725" s="1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spans="1:36">
      <c r="A726" s="1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spans="1:36">
      <c r="A727" s="1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>
      <c r="A728" s="1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spans="1:36">
      <c r="A729" s="1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spans="1:36">
      <c r="A730" s="1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spans="1:36">
      <c r="A731" s="1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spans="1:36">
      <c r="A732" s="1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spans="1:36">
      <c r="A733" s="1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spans="1:36">
      <c r="A734" s="1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spans="1:36">
      <c r="A735" s="1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spans="1:36">
      <c r="A736" s="1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spans="1:36">
      <c r="A737" s="1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spans="1:36">
      <c r="A738" s="1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spans="1:36">
      <c r="A739" s="1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spans="1:36">
      <c r="A740" s="1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spans="1:36">
      <c r="A741" s="1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spans="1:36">
      <c r="A742" s="1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spans="1:36">
      <c r="A743" s="1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spans="1:36">
      <c r="A744" s="1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spans="1:36">
      <c r="A745" s="1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spans="1:36">
      <c r="A746" s="1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spans="1:36">
      <c r="A747" s="1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spans="1:36">
      <c r="A748" s="1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spans="1:36">
      <c r="A749" s="1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spans="1:36">
      <c r="A750" s="1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spans="1:36">
      <c r="A751" s="1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spans="1:36">
      <c r="A752" s="1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spans="1:36">
      <c r="A753" s="1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spans="1:36">
      <c r="A754" s="1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spans="1:36">
      <c r="A755" s="1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spans="1:36">
      <c r="A756" s="1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spans="1:36">
      <c r="A757" s="1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spans="1:36">
      <c r="A758" s="1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spans="1:36">
      <c r="A759" s="1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spans="1:36">
      <c r="A760" s="1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spans="1:36">
      <c r="A761" s="1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spans="1:36">
      <c r="A762" s="1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spans="1:36">
      <c r="A763" s="1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spans="1:36">
      <c r="A764" s="1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spans="1:36">
      <c r="A765" s="1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spans="1:36">
      <c r="A766" s="1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spans="1:36">
      <c r="A767" s="1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spans="1:36">
      <c r="A768" s="1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spans="1:36">
      <c r="A769" s="1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spans="1:36">
      <c r="A770" s="1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spans="1:36">
      <c r="A771" s="1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spans="1:36">
      <c r="A772" s="1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spans="1:36">
      <c r="A773" s="1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spans="1:36">
      <c r="A774" s="1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spans="1:36">
      <c r="A775" s="1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spans="1:36">
      <c r="A776" s="1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spans="1:36">
      <c r="A777" s="1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spans="1:36">
      <c r="A778" s="1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spans="1:36">
      <c r="A779" s="1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spans="1:36">
      <c r="A780" s="1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spans="1:36">
      <c r="A781" s="1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spans="1:36">
      <c r="A782" s="1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spans="1:36">
      <c r="A783" s="1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spans="1:36">
      <c r="A784" s="1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spans="1:36">
      <c r="A785" s="1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spans="1:36">
      <c r="A786" s="1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spans="1:36">
      <c r="A787" s="1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spans="1:36">
      <c r="A788" s="1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spans="1:36">
      <c r="A789" s="1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spans="1:36">
      <c r="A790" s="1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spans="1:36">
      <c r="A791" s="1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spans="1:36">
      <c r="A792" s="1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spans="1:36">
      <c r="A793" s="1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spans="1:36">
      <c r="A794" s="1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spans="1:36">
      <c r="A795" s="1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spans="1:36">
      <c r="A796" s="1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spans="1:36">
      <c r="A797" s="1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spans="1:36">
      <c r="A798" s="1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spans="1:36">
      <c r="A799" s="1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spans="1:36">
      <c r="A800" s="1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spans="1:36">
      <c r="A801" s="1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spans="1:36">
      <c r="A802" s="1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spans="1:36">
      <c r="A803" s="1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spans="1:36">
      <c r="A804" s="1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spans="1:36">
      <c r="A805" s="1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spans="1:36">
      <c r="A806" s="1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spans="1:36">
      <c r="A807" s="1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spans="1:36">
      <c r="A808" s="1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spans="1:36">
      <c r="A809" s="1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spans="1:36">
      <c r="A810" s="1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spans="1:36">
      <c r="A811" s="1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spans="1:36">
      <c r="A812" s="1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spans="1:36">
      <c r="A813" s="1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spans="1:36">
      <c r="A814" s="1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spans="1:36">
      <c r="A815" s="1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spans="1:36">
      <c r="A816" s="1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spans="1:36">
      <c r="A817" s="1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spans="1:36">
      <c r="A818" s="1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spans="1:36">
      <c r="A819" s="1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spans="1:36">
      <c r="A820" s="1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spans="1:36">
      <c r="A821" s="1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spans="1:36">
      <c r="A822" s="1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spans="1:36">
      <c r="A823" s="1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spans="1:36">
      <c r="A824" s="1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spans="1:36">
      <c r="A825" s="1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spans="1:36">
      <c r="A826" s="1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spans="1:36">
      <c r="A827" s="1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spans="1:36">
      <c r="A828" s="1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spans="1:36">
      <c r="A829" s="1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spans="1:36">
      <c r="A830" s="1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spans="1:36">
      <c r="A831" s="1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spans="1:36">
      <c r="A832" s="1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spans="1:36">
      <c r="A833" s="1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spans="1:36">
      <c r="A834" s="1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spans="1:36">
      <c r="A835" s="1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spans="1:36">
      <c r="A836" s="1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spans="1:36">
      <c r="A837" s="1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spans="1:36">
      <c r="A838" s="1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spans="1:36">
      <c r="A839" s="1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spans="1:36">
      <c r="A840" s="1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spans="1:36">
      <c r="A841" s="1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spans="1:36">
      <c r="A842" s="1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spans="1:36">
      <c r="A843" s="1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spans="1:36">
      <c r="A844" s="1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spans="1:36">
      <c r="A845" s="1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spans="1:36">
      <c r="A846" s="1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spans="1:36">
      <c r="A847" s="1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spans="1:36">
      <c r="A848" s="1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spans="1:36">
      <c r="A849" s="1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spans="1:36">
      <c r="A850" s="1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spans="1:36">
      <c r="A851" s="1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spans="1:36">
      <c r="A852" s="1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spans="1:36">
      <c r="A853" s="1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spans="1:36">
      <c r="A854" s="1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spans="1:36">
      <c r="A855" s="1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spans="1:36">
      <c r="A856" s="1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spans="1:36">
      <c r="A857" s="1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spans="1:36">
      <c r="A858" s="1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spans="1:36">
      <c r="A859" s="1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spans="1:36">
      <c r="A860" s="1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spans="1:36">
      <c r="A861" s="1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spans="1:36">
      <c r="A862" s="1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spans="1:36">
      <c r="A863" s="1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spans="1:36">
      <c r="A864" s="1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spans="1:36">
      <c r="A865" s="1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spans="1:36">
      <c r="A866" s="1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spans="1:36">
      <c r="A867" s="1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spans="1:36">
      <c r="A868" s="1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spans="1:36">
      <c r="A869" s="1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spans="1:36">
      <c r="A870" s="1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spans="1:36">
      <c r="A871" s="1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spans="1:36">
      <c r="A872" s="1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spans="1:36">
      <c r="A873" s="1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spans="1:36">
      <c r="A874" s="1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spans="1:36">
      <c r="A875" s="1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spans="1:36">
      <c r="A876" s="1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spans="1:36">
      <c r="A877" s="1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spans="1:36">
      <c r="A878" s="1"/>
      <c r="B878" s="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spans="1:36">
      <c r="A879" s="1"/>
      <c r="B879" s="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spans="1:36">
      <c r="A880" s="1"/>
      <c r="B880" s="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spans="1:36">
      <c r="A881" s="1"/>
      <c r="B881" s="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spans="1:36">
      <c r="A882" s="1"/>
      <c r="B882" s="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spans="1:36">
      <c r="A883" s="1"/>
      <c r="B883" s="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spans="1:36">
      <c r="A884" s="1"/>
      <c r="B884" s="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spans="1:36">
      <c r="A885" s="1"/>
      <c r="B885" s="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spans="1:36">
      <c r="A886" s="1"/>
      <c r="B886" s="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spans="1:36">
      <c r="A887" s="1"/>
      <c r="B887" s="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spans="1:36">
      <c r="A888" s="1"/>
      <c r="B888" s="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spans="1:36">
      <c r="A889" s="1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spans="1:36">
      <c r="A890" s="1"/>
      <c r="B890" s="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spans="1:36">
      <c r="A891" s="1"/>
      <c r="B891" s="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spans="1:36">
      <c r="A892" s="1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spans="1:36">
      <c r="A893" s="1"/>
      <c r="B893" s="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spans="1:36">
      <c r="A894" s="1"/>
      <c r="B894" s="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spans="1:36">
      <c r="A895" s="1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spans="1:36">
      <c r="A896" s="1"/>
      <c r="B896" s="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spans="1:36">
      <c r="A897" s="1"/>
      <c r="B897" s="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spans="1:36">
      <c r="A898" s="1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spans="1:36">
      <c r="A899" s="1"/>
      <c r="B899" s="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spans="1:36">
      <c r="A900" s="1"/>
      <c r="B900" s="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spans="1:36">
      <c r="A901" s="1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spans="1:36">
      <c r="A902" s="1"/>
      <c r="B902" s="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spans="1:36">
      <c r="A903" s="1"/>
      <c r="B903" s="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spans="1:36">
      <c r="A904" s="1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spans="1:36">
      <c r="A905" s="1"/>
      <c r="B905" s="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spans="1:36">
      <c r="A906" s="1"/>
      <c r="B906" s="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spans="1:36">
      <c r="A907" s="1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spans="1:36">
      <c r="A908" s="1"/>
      <c r="B908" s="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spans="1:36">
      <c r="A909" s="1"/>
      <c r="B909" s="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spans="1:36">
      <c r="A910" s="1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spans="1:36">
      <c r="A911" s="1"/>
      <c r="B911" s="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spans="1:36">
      <c r="A912" s="1"/>
      <c r="B912" s="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spans="1:36">
      <c r="A913" s="1"/>
      <c r="B913" s="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spans="1:36">
      <c r="A914" s="1"/>
      <c r="B914" s="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>
      <c r="A915" s="1"/>
      <c r="B915" s="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spans="1:36">
      <c r="A916" s="1"/>
      <c r="B916" s="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spans="1:36">
      <c r="A917" s="1"/>
      <c r="B917" s="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spans="1:36">
      <c r="A918" s="1"/>
      <c r="B918" s="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spans="1:36">
      <c r="A919" s="1"/>
      <c r="B919" s="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spans="1:36">
      <c r="A920" s="1"/>
      <c r="B920" s="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spans="1:36">
      <c r="A921" s="1"/>
      <c r="B921" s="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spans="1:36">
      <c r="A922" s="1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spans="1:36">
      <c r="A923" s="1"/>
      <c r="B923" s="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spans="1:36">
      <c r="A924" s="1"/>
      <c r="B924" s="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spans="1:36">
      <c r="A925" s="1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spans="1:36">
      <c r="A926" s="1"/>
      <c r="B926" s="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>
      <c r="A927" s="1"/>
      <c r="B927" s="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spans="1:36">
      <c r="A928" s="1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>
      <c r="A929" s="1"/>
      <c r="B929" s="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spans="1:36">
      <c r="A930" s="1"/>
      <c r="B930" s="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spans="1:36">
      <c r="A931" s="1"/>
      <c r="B931" s="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spans="1:36">
      <c r="A932" s="1"/>
      <c r="B932" s="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spans="1:36">
      <c r="A933" s="1"/>
      <c r="B933" s="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>
      <c r="A934" s="1"/>
      <c r="B934" s="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>
      <c r="A935" s="1"/>
      <c r="B935" s="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>
      <c r="A936" s="1"/>
      <c r="B936" s="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>
      <c r="A937" s="1"/>
      <c r="B937" s="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>
      <c r="A938" s="1"/>
      <c r="B938" s="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spans="1:36">
      <c r="A939" s="1"/>
      <c r="B939" s="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spans="1:36">
      <c r="A940" s="1"/>
      <c r="B940" s="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spans="1:36">
      <c r="A941" s="1"/>
      <c r="B941" s="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spans="1:36">
      <c r="A942" s="1"/>
      <c r="B942" s="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spans="1:36">
      <c r="A943" s="1"/>
      <c r="B943" s="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spans="1:36">
      <c r="A944" s="1"/>
      <c r="B944" s="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spans="1:36">
      <c r="A945" s="1"/>
      <c r="B945" s="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>
      <c r="A946" s="1"/>
      <c r="B946" s="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spans="1:36">
      <c r="A947" s="1"/>
      <c r="B947" s="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spans="1:36">
      <c r="A948" s="1"/>
      <c r="B948" s="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>
      <c r="A949" s="1"/>
      <c r="B949" s="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>
      <c r="A950" s="1"/>
      <c r="B950" s="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spans="1:36">
      <c r="A951" s="1"/>
      <c r="B951" s="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spans="1:36">
      <c r="A952" s="1"/>
      <c r="B952" s="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>
      <c r="A953" s="1"/>
      <c r="B953" s="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spans="1:36">
      <c r="A954" s="1"/>
      <c r="B954" s="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spans="1:36">
      <c r="A955" s="1"/>
      <c r="B955" s="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>
      <c r="A956" s="1"/>
      <c r="B956" s="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spans="1:36">
      <c r="A957" s="1"/>
      <c r="B957" s="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spans="1:36">
      <c r="A958" s="1"/>
      <c r="B958" s="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>
      <c r="A959" s="1"/>
      <c r="B959" s="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>
      <c r="A960" s="1"/>
      <c r="B960" s="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spans="1:36">
      <c r="A961" s="1"/>
      <c r="B961" s="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spans="1:36">
      <c r="A962" s="1"/>
      <c r="B962" s="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spans="1:36">
      <c r="A963" s="1"/>
      <c r="B963" s="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spans="1:36">
      <c r="A964" s="1"/>
      <c r="B964" s="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>
      <c r="A965" s="1"/>
      <c r="B965" s="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spans="1:36">
      <c r="A966" s="1"/>
      <c r="B966" s="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>
      <c r="A967" s="1"/>
      <c r="B967" s="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spans="1:36">
      <c r="A968" s="1"/>
      <c r="B968" s="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spans="1:36">
      <c r="A969" s="1"/>
      <c r="B969" s="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spans="1:36">
      <c r="A970" s="1"/>
      <c r="B970" s="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spans="1:36">
      <c r="A971" s="1"/>
      <c r="B971" s="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spans="1:36">
      <c r="A972" s="1"/>
      <c r="B972" s="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>
      <c r="A973" s="1"/>
      <c r="B973" s="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spans="1:36">
      <c r="A974" s="1"/>
      <c r="B974" s="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spans="1:36">
      <c r="A975" s="1"/>
      <c r="B975" s="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>
      <c r="A976" s="1"/>
      <c r="B976" s="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spans="1:36">
      <c r="A977" s="1"/>
      <c r="B977" s="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>
      <c r="A978" s="1"/>
      <c r="B978" s="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>
      <c r="A979" s="1"/>
      <c r="B979" s="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>
      <c r="A980" s="1"/>
      <c r="B980" s="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>
      <c r="A981" s="1"/>
      <c r="B981" s="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spans="1:36">
      <c r="A982" s="1"/>
      <c r="B982" s="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spans="1:36">
      <c r="A983" s="1"/>
      <c r="B983" s="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>
      <c r="A984" s="1"/>
      <c r="B984" s="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spans="1:36">
      <c r="A985" s="1"/>
      <c r="B985" s="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spans="1:36">
      <c r="A986" s="1"/>
      <c r="B986" s="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>
      <c r="A987" s="1"/>
      <c r="B987" s="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spans="1:36">
      <c r="A988" s="1"/>
      <c r="B988" s="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spans="1:36">
      <c r="A989" s="1"/>
      <c r="B989" s="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spans="1:36">
      <c r="A990" s="1"/>
      <c r="B990" s="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spans="1:36">
      <c r="A991" s="1"/>
      <c r="B991" s="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>
      <c r="A992" s="1"/>
      <c r="B992" s="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spans="1:36">
      <c r="A993" s="1"/>
      <c r="B993" s="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spans="1:36">
      <c r="A994" s="1"/>
      <c r="B994" s="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spans="1:36">
      <c r="A995" s="1"/>
      <c r="B995" s="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>
      <c r="A996" s="1"/>
      <c r="B996" s="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spans="1:36">
      <c r="A997" s="1"/>
      <c r="B997" s="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>
      <c r="A998" s="1"/>
      <c r="B998" s="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spans="1:36">
      <c r="A999" s="1"/>
      <c r="B999" s="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spans="1:36">
      <c r="A1000" s="1"/>
      <c r="B1000" s="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 spans="1:36">
      <c r="A1001" s="1"/>
      <c r="B1001" s="2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 spans="1:36">
      <c r="A1002" s="1"/>
      <c r="B1002" s="2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 spans="1:36">
      <c r="A1003" s="1"/>
      <c r="B1003" s="2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 spans="1:36">
      <c r="A1004" s="1"/>
      <c r="B1004" s="2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 spans="1:36">
      <c r="A1005" s="1"/>
      <c r="B1005" s="2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 spans="1:36">
      <c r="A1006" s="1"/>
      <c r="B1006" s="2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 spans="1:36">
      <c r="A1007" s="1"/>
      <c r="B1007" s="2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 spans="1:36">
      <c r="A1008" s="1"/>
      <c r="B1008" s="2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 spans="1:36">
      <c r="A1009" s="1"/>
      <c r="B1009" s="2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 spans="1:36">
      <c r="A1010" s="1"/>
      <c r="B1010" s="2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 spans="1:36">
      <c r="A1011" s="1"/>
      <c r="B1011" s="2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6248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3.7109375" customWidth="1"/>
    <col min="2" max="2" width="15.42578125" customWidth="1"/>
    <col min="3" max="3" width="23.140625" customWidth="1"/>
    <col min="4" max="4" width="9.5703125" customWidth="1"/>
    <col min="5" max="5" width="36.85546875" customWidth="1"/>
    <col min="6" max="6" width="61.5703125" customWidth="1"/>
    <col min="7" max="7" width="8.5703125" customWidth="1"/>
    <col min="8" max="8" width="15.42578125" customWidth="1"/>
    <col min="9" max="9" width="17.5703125" customWidth="1"/>
    <col min="10" max="10" width="13.28515625" customWidth="1"/>
    <col min="11" max="11" width="13.42578125" customWidth="1"/>
    <col min="12" max="12" width="20.42578125" customWidth="1"/>
    <col min="13" max="24" width="12" customWidth="1"/>
  </cols>
  <sheetData>
    <row r="1" spans="1:24" ht="14.25" customHeight="1">
      <c r="A1" s="100"/>
      <c r="B1" s="101"/>
      <c r="C1" s="102"/>
      <c r="D1" s="103"/>
      <c r="E1" s="79"/>
      <c r="F1" s="4"/>
      <c r="G1" s="1"/>
      <c r="H1" s="79"/>
      <c r="I1" s="104" t="s">
        <v>83</v>
      </c>
      <c r="J1" s="105"/>
      <c r="K1" s="106"/>
      <c r="L1" s="107"/>
      <c r="M1" s="106"/>
      <c r="N1" s="106"/>
      <c r="O1" s="108"/>
      <c r="P1" s="108"/>
      <c r="Q1" s="108"/>
      <c r="R1" s="109"/>
      <c r="S1" s="109"/>
      <c r="T1" s="108"/>
      <c r="U1" s="110"/>
      <c r="V1" s="110"/>
      <c r="W1" s="110"/>
      <c r="X1" s="110"/>
    </row>
    <row r="2" spans="1:24" ht="14.25" customHeight="1">
      <c r="A2" s="110"/>
      <c r="B2" s="101"/>
      <c r="C2" s="102"/>
      <c r="D2" s="103"/>
      <c r="E2" s="79"/>
      <c r="F2" s="79"/>
      <c r="G2" s="1"/>
      <c r="H2" s="79"/>
      <c r="I2" s="104" t="s">
        <v>84</v>
      </c>
      <c r="J2" s="105"/>
      <c r="K2" s="106"/>
      <c r="L2" s="107"/>
      <c r="M2" s="106"/>
      <c r="N2" s="106"/>
      <c r="O2" s="108"/>
      <c r="P2" s="108"/>
      <c r="Q2" s="108"/>
      <c r="R2" s="109"/>
      <c r="S2" s="109"/>
      <c r="T2" s="108"/>
      <c r="U2" s="110"/>
      <c r="V2" s="110"/>
      <c r="W2" s="110"/>
      <c r="X2" s="110"/>
    </row>
    <row r="3" spans="1:24" ht="14.25" customHeight="1">
      <c r="A3" s="110"/>
      <c r="B3" s="111"/>
      <c r="C3" s="112"/>
      <c r="D3" s="113"/>
      <c r="E3" s="114"/>
      <c r="F3" s="115"/>
      <c r="G3" s="116"/>
      <c r="H3" s="114"/>
      <c r="I3" s="117" t="s">
        <v>85</v>
      </c>
      <c r="J3" s="105"/>
      <c r="K3" s="106"/>
      <c r="L3" s="107"/>
      <c r="M3" s="106"/>
      <c r="N3" s="106"/>
      <c r="O3" s="108"/>
      <c r="P3" s="108"/>
      <c r="Q3" s="108"/>
      <c r="R3" s="109"/>
      <c r="S3" s="109"/>
      <c r="T3" s="108"/>
      <c r="U3" s="110"/>
      <c r="V3" s="110"/>
      <c r="W3" s="110"/>
      <c r="X3" s="110"/>
    </row>
    <row r="4" spans="1:24" ht="14.25" customHeight="1">
      <c r="A4" s="118"/>
      <c r="B4" s="115"/>
      <c r="C4" s="112"/>
      <c r="D4" s="113"/>
      <c r="E4" s="115"/>
      <c r="F4" s="115"/>
      <c r="G4" s="116"/>
      <c r="H4" s="119">
        <f t="shared" ref="H4:I4" si="0">SUBTOTAL(9,H6:H6119)</f>
        <v>10865818103.423153</v>
      </c>
      <c r="I4" s="119">
        <f t="shared" si="0"/>
        <v>10865818103.040653</v>
      </c>
      <c r="J4" s="120">
        <f>H4-I4</f>
        <v>0.38249969482421875</v>
      </c>
      <c r="K4" s="106"/>
      <c r="L4" s="107"/>
      <c r="M4" s="106"/>
      <c r="N4" s="106"/>
      <c r="O4" s="108"/>
      <c r="P4" s="108"/>
      <c r="Q4" s="108"/>
      <c r="R4" s="109"/>
      <c r="S4" s="109"/>
      <c r="T4" s="108"/>
      <c r="U4" s="110"/>
      <c r="V4" s="110"/>
      <c r="W4" s="110"/>
      <c r="X4" s="110"/>
    </row>
    <row r="5" spans="1:24" ht="14.25" customHeight="1">
      <c r="A5" s="118"/>
      <c r="B5" s="121" t="s">
        <v>86</v>
      </c>
      <c r="C5" s="122" t="s">
        <v>87</v>
      </c>
      <c r="D5" s="123"/>
      <c r="E5" s="122" t="s">
        <v>88</v>
      </c>
      <c r="F5" s="122" t="s">
        <v>1</v>
      </c>
      <c r="G5" s="124" t="s">
        <v>89</v>
      </c>
      <c r="H5" s="479" t="s">
        <v>90</v>
      </c>
      <c r="I5" s="480"/>
      <c r="J5" s="110"/>
      <c r="K5" s="106"/>
      <c r="L5" s="107"/>
      <c r="M5" s="106"/>
      <c r="N5" s="106"/>
      <c r="O5" s="108"/>
      <c r="P5" s="108"/>
      <c r="Q5" s="108"/>
      <c r="R5" s="109"/>
      <c r="S5" s="109"/>
      <c r="T5" s="108"/>
      <c r="U5" s="110"/>
      <c r="V5" s="110"/>
      <c r="W5" s="110"/>
      <c r="X5" s="110"/>
    </row>
    <row r="6" spans="1:24" ht="13.5" customHeight="1">
      <c r="A6" s="110"/>
      <c r="B6" s="125"/>
      <c r="C6" s="126"/>
      <c r="D6" s="127"/>
      <c r="E6" s="128" t="e">
        <f>TRIM(VLOOKUP(D6,TB!$B$9:$C$1500,2,FALSE))</f>
        <v>#N/A</v>
      </c>
      <c r="F6" s="129"/>
      <c r="G6" s="130"/>
      <c r="H6" s="128"/>
      <c r="I6" s="128"/>
      <c r="J6" s="79">
        <f>H6-I6</f>
        <v>0</v>
      </c>
      <c r="K6" s="106"/>
      <c r="L6" s="131"/>
      <c r="M6" s="132"/>
      <c r="N6" s="133"/>
      <c r="O6" s="4"/>
      <c r="P6" s="4"/>
      <c r="Q6" s="4"/>
      <c r="R6" s="134"/>
      <c r="S6" s="134"/>
      <c r="T6" s="4"/>
      <c r="U6" s="4"/>
      <c r="V6" s="110"/>
      <c r="W6" s="110"/>
      <c r="X6" s="110"/>
    </row>
    <row r="7" spans="1:24" ht="13.5" customHeight="1">
      <c r="A7" s="110">
        <f>IF(E7="","",MATCH(E7,'Daily Sales'!B$4:B$51,0)+3)</f>
        <v>4</v>
      </c>
      <c r="B7" s="135">
        <v>46174</v>
      </c>
      <c r="C7" s="136" t="s">
        <v>91</v>
      </c>
      <c r="D7" s="137" t="str">
        <f t="array" ref="D7">IF($A7="","",INDEX('Daily Sales'!A:A,$A7))</f>
        <v>4-2100</v>
      </c>
      <c r="E7" s="138" t="s">
        <v>5</v>
      </c>
      <c r="F7" s="139" t="str">
        <f t="shared" ref="F7:F261" si="1">E7</f>
        <v>Sales Food TERRACE</v>
      </c>
      <c r="G7" s="140"/>
      <c r="H7" s="138" t="str">
        <f t="array" ref="H7">IF($A7="","",
  IF(
    OR(
      $A7=23,
      AND($A7&gt;=32,$A7&lt;=50)
    ),
    IFERROR(
      INDEX('Daily Sales'!$C:$AG,
        $A7,
        MATCH(TEXT($B7,"0"),TEXT('Daily Sales'!$C$2:$AG$2,"0"),0)
      ),
    ""),
  "")
)</f>
        <v/>
      </c>
      <c r="I7" s="138">
        <f t="array" ref="I7">IF($A7="","",
  IF(
    OR(
      AND($A7&gt;=4,$A7&lt;=8),
      AND($A7&gt;=12,$A7&lt;=19),
      AND($A7&gt;=28,$A7&lt;=29)
    ),
    IFERROR(
      INDEX('Daily Sales'!$C:$AG,
        $A7,
        MATCH(TEXT($B7,"0"),TEXT('Daily Sales'!$C$2:$AG$2,"0"),0)
      ),
    ""),
  "")
)</f>
        <v>4945000</v>
      </c>
      <c r="J7" s="79" t="e">
        <f t="shared" ref="J7:J261" si="2">J6+H7-I7</f>
        <v>#VALUE!</v>
      </c>
      <c r="K7" s="141"/>
      <c r="L7" s="81"/>
      <c r="M7" s="141"/>
      <c r="N7" s="133"/>
      <c r="O7" s="4"/>
      <c r="P7" s="4"/>
      <c r="Q7" s="4"/>
      <c r="R7" s="109"/>
      <c r="S7" s="109"/>
      <c r="T7" s="108"/>
      <c r="U7" s="110"/>
      <c r="V7" s="110"/>
      <c r="W7" s="110"/>
      <c r="X7" s="110"/>
    </row>
    <row r="8" spans="1:24" ht="13.5" customHeight="1">
      <c r="A8" s="110">
        <f>IF(E8="","",MATCH(E8,'Daily Sales'!B$4:B$51,0)+3)</f>
        <v>5</v>
      </c>
      <c r="B8" s="135">
        <v>46174</v>
      </c>
      <c r="C8" s="136" t="s">
        <v>91</v>
      </c>
      <c r="D8" s="137" t="str">
        <f t="array" ref="D8">IF($A8="","",INDEX('Daily Sales'!A:A,$A8))</f>
        <v>4-2200</v>
      </c>
      <c r="E8" s="138" t="s">
        <v>7</v>
      </c>
      <c r="F8" s="139" t="str">
        <f t="shared" si="1"/>
        <v>Sales Beverages TERRACE</v>
      </c>
      <c r="G8" s="140"/>
      <c r="H8" s="138" t="str">
        <f t="array" ref="H8">IF($A8="","",
  IF(
    OR(
      $A8=23,
      AND($A8&gt;=32,$A8&lt;=50)
    ),
    IFERROR(
      INDEX('Daily Sales'!$C:$AG,
        $A8,
        MATCH(TEXT($B8,"0"),TEXT('Daily Sales'!$C$2:$AG$2,"0"),0)
      ),
    ""),
  "")
)</f>
        <v/>
      </c>
      <c r="I8" s="138">
        <f t="array" ref="I8">IF($A8="","",
  IF(
    OR(
      AND($A8&gt;=4,$A8&lt;=8),
      AND($A8&gt;=12,$A8&lt;=19),
      AND($A8&gt;=28,$A8&lt;=29)
    ),
    IFERROR(
      INDEX('Daily Sales'!$C:$AG,
        $A8,
        MATCH(TEXT($B8,"0"),TEXT('Daily Sales'!$C$2:$AG$2,"0"),0)
      ),
    ""),
  "")
)</f>
        <v>8420000</v>
      </c>
      <c r="J8" s="79" t="e">
        <f t="shared" si="2"/>
        <v>#VALUE!</v>
      </c>
      <c r="K8" s="141"/>
      <c r="L8" s="81"/>
      <c r="M8" s="141"/>
      <c r="N8" s="133"/>
      <c r="O8" s="4"/>
      <c r="P8" s="4"/>
      <c r="Q8" s="4"/>
      <c r="R8" s="109"/>
      <c r="S8" s="109"/>
      <c r="T8" s="108"/>
      <c r="U8" s="110"/>
      <c r="V8" s="110"/>
      <c r="W8" s="110"/>
      <c r="X8" s="110"/>
    </row>
    <row r="9" spans="1:24" ht="13.5" customHeight="1">
      <c r="A9" s="110">
        <f>IF(E9="","",MATCH(E9,'Daily Sales'!B$4:B$51,0)+3)</f>
        <v>6</v>
      </c>
      <c r="B9" s="135">
        <v>46174</v>
      </c>
      <c r="C9" s="136" t="s">
        <v>91</v>
      </c>
      <c r="D9" s="137" t="str">
        <f t="array" ref="D9">IF($A9="","",INDEX('Daily Sales'!A:A,$A9))</f>
        <v>4-2400</v>
      </c>
      <c r="E9" s="138" t="s">
        <v>9</v>
      </c>
      <c r="F9" s="139" t="str">
        <f t="shared" si="1"/>
        <v>Sales Cigarette TERRACE</v>
      </c>
      <c r="G9" s="140"/>
      <c r="H9" s="138" t="str">
        <f t="array" ref="H9">IF($A9="","",
  IF(
    OR(
      $A9=23,
      AND($A9&gt;=32,$A9&lt;=50)
    ),
    IFERROR(
      INDEX('Daily Sales'!$C:$AG,
        $A9,
        MATCH(TEXT($B9,"0"),TEXT('Daily Sales'!$C$2:$AG$2,"0"),0)
      ),
    ""),
  "")
)</f>
        <v/>
      </c>
      <c r="I9" s="138">
        <f t="array" ref="I9">IF($A9="","",
  IF(
    OR(
      AND($A9&gt;=4,$A9&lt;=8),
      AND($A9&gt;=12,$A9&lt;=19),
      AND($A9&gt;=28,$A9&lt;=29)
    ),
    IFERROR(
      INDEX('Daily Sales'!$C:$AG,
        $A9,
        MATCH(TEXT($B9,"0"),TEXT('Daily Sales'!$C$2:$AG$2,"0"),0)
      ),
    ""),
  "")
)</f>
        <v>0</v>
      </c>
      <c r="J9" s="79" t="e">
        <f t="shared" si="2"/>
        <v>#VALUE!</v>
      </c>
      <c r="K9" s="141"/>
      <c r="L9" s="81"/>
      <c r="M9" s="141"/>
      <c r="N9" s="133"/>
      <c r="O9" s="4"/>
      <c r="P9" s="4"/>
      <c r="Q9" s="4"/>
      <c r="R9" s="109"/>
      <c r="S9" s="109"/>
      <c r="T9" s="108"/>
      <c r="U9" s="110"/>
      <c r="V9" s="110"/>
      <c r="W9" s="110"/>
      <c r="X9" s="110"/>
    </row>
    <row r="10" spans="1:24" ht="13.5" customHeight="1">
      <c r="A10" s="110">
        <f>IF(E10="","",MATCH(E10,'Daily Sales'!B$4:B$51,0)+3)</f>
        <v>7</v>
      </c>
      <c r="B10" s="135">
        <v>46174</v>
      </c>
      <c r="C10" s="136" t="s">
        <v>91</v>
      </c>
      <c r="D10" s="137" t="str">
        <f t="array" ref="D10">IF($A10="","",INDEX('Daily Sales'!A:A,$A10))</f>
        <v>4-2300</v>
      </c>
      <c r="E10" s="138" t="s">
        <v>11</v>
      </c>
      <c r="F10" s="139" t="str">
        <f t="shared" si="1"/>
        <v>Sales Shisa TERRACE</v>
      </c>
      <c r="G10" s="140"/>
      <c r="H10" s="138" t="str">
        <f t="array" ref="H10">IF($A10="","",
  IF(
    OR(
      $A10=23,
      AND($A10&gt;=32,$A10&lt;=50)
    ),
    IFERROR(
      INDEX('Daily Sales'!$C:$AG,
        $A10,
        MATCH(TEXT($B10,"0"),TEXT('Daily Sales'!$C$2:$AG$2,"0"),0)
      ),
    ""),
  "")
)</f>
        <v/>
      </c>
      <c r="I10" s="138">
        <f t="array" ref="I10">IF($A10="","",
  IF(
    OR(
      AND($A10&gt;=4,$A10&lt;=8),
      AND($A10&gt;=12,$A10&lt;=19),
      AND($A10&gt;=28,$A10&lt;=29)
    ),
    IFERROR(
      INDEX('Daily Sales'!$C:$AG,
        $A10,
        MATCH(TEXT($B10,"0"),TEXT('Daily Sales'!$C$2:$AG$2,"0"),0)
      ),
    ""),
  "")
)</f>
        <v>1500000</v>
      </c>
      <c r="J10" s="79" t="e">
        <f t="shared" si="2"/>
        <v>#VALUE!</v>
      </c>
      <c r="K10" s="141"/>
      <c r="L10" s="81"/>
      <c r="M10" s="141"/>
      <c r="N10" s="133"/>
      <c r="O10" s="4"/>
      <c r="P10" s="4"/>
      <c r="Q10" s="4"/>
      <c r="R10" s="109"/>
      <c r="S10" s="109"/>
      <c r="T10" s="108"/>
      <c r="U10" s="110"/>
      <c r="V10" s="110"/>
      <c r="W10" s="110"/>
      <c r="X10" s="110"/>
    </row>
    <row r="11" spans="1:24" ht="13.5" customHeight="1">
      <c r="A11" s="110">
        <f>IF(E11="","",MATCH(E11,'Daily Sales'!B$4:B$51,0)+3)</f>
        <v>12</v>
      </c>
      <c r="B11" s="135">
        <v>46174</v>
      </c>
      <c r="C11" s="136" t="s">
        <v>91</v>
      </c>
      <c r="D11" s="137" t="str">
        <f t="array" ref="D11">IF($A11="","",INDEX('Daily Sales'!A:A,$A11))</f>
        <v>4-2200</v>
      </c>
      <c r="E11" s="138" t="s">
        <v>17</v>
      </c>
      <c r="F11" s="139" t="str">
        <f t="shared" si="1"/>
        <v>Sales Beverages CLUB</v>
      </c>
      <c r="G11" s="140"/>
      <c r="H11" s="138" t="str">
        <f t="array" ref="H11">IF($A11="","",
  IF(
    OR(
      $A11=23,
      AND($A11&gt;=32,$A11&lt;=50)
    ),
    IFERROR(
      INDEX('Daily Sales'!$C:$AG,
        $A11,
        MATCH(TEXT($B11,"0"),TEXT('Daily Sales'!$C$2:$AG$2,"0"),0)
      ),
    ""),
  "")
)</f>
        <v/>
      </c>
      <c r="I11" s="138">
        <f t="array" ref="I11">IF($A11="","",
  IF(
    OR(
      AND($A11&gt;=4,$A11&lt;=8),
      AND($A11&gt;=12,$A11&lt;=19),
      AND($A11&gt;=28,$A11&lt;=29)
    ),
    IFERROR(
      INDEX('Daily Sales'!$C:$AG,
        $A11,
        MATCH(TEXT($B11,"0"),TEXT('Daily Sales'!$C$2:$AG$2,"0"),0)
      ),
    ""),
  "")
)</f>
        <v>12575000</v>
      </c>
      <c r="J11" s="79" t="e">
        <f t="shared" si="2"/>
        <v>#VALUE!</v>
      </c>
      <c r="K11" s="141"/>
      <c r="L11" s="81"/>
      <c r="M11" s="141"/>
      <c r="N11" s="133"/>
      <c r="O11" s="4"/>
      <c r="P11" s="4"/>
      <c r="Q11" s="4"/>
      <c r="R11" s="109"/>
      <c r="S11" s="109"/>
      <c r="T11" s="108"/>
      <c r="U11" s="110"/>
      <c r="V11" s="110"/>
      <c r="W11" s="110"/>
      <c r="X11" s="110"/>
    </row>
    <row r="12" spans="1:24" ht="13.5" customHeight="1">
      <c r="A12" s="110">
        <f>IF(E12="","",MATCH(E12,'Daily Sales'!B$4:B$51,0)+3)</f>
        <v>13</v>
      </c>
      <c r="B12" s="135">
        <v>46174</v>
      </c>
      <c r="C12" s="136" t="s">
        <v>91</v>
      </c>
      <c r="D12" s="137" t="str">
        <f t="array" ref="D12">IF($A12="","",INDEX('Daily Sales'!A:A,$A12))</f>
        <v>4-2400</v>
      </c>
      <c r="E12" s="138" t="s">
        <v>18</v>
      </c>
      <c r="F12" s="139" t="str">
        <f t="shared" si="1"/>
        <v>Sales Cigarette CLUB</v>
      </c>
      <c r="G12" s="140"/>
      <c r="H12" s="138" t="str">
        <f t="array" ref="H12">IF($A12="","",
  IF(
    OR(
      $A12=23,
      AND($A12&gt;=32,$A12&lt;=50)
    ),
    IFERROR(
      INDEX('Daily Sales'!$C:$AG,
        $A12,
        MATCH(TEXT($B12,"0"),TEXT('Daily Sales'!$C$2:$AG$2,"0"),0)
      ),
    ""),
  "")
)</f>
        <v/>
      </c>
      <c r="I12" s="138">
        <f t="array" ref="I12">IF($A12="","",
  IF(
    OR(
      AND($A12&gt;=4,$A12&lt;=8),
      AND($A12&gt;=12,$A12&lt;=19),
      AND($A12&gt;=28,$A12&lt;=29)
    ),
    IFERROR(
      INDEX('Daily Sales'!$C:$AG,
        $A12,
        MATCH(TEXT($B12,"0"),TEXT('Daily Sales'!$C$2:$AG$2,"0"),0)
      ),
    ""),
  "")
)</f>
        <v>0</v>
      </c>
      <c r="J12" s="79" t="e">
        <f t="shared" si="2"/>
        <v>#VALUE!</v>
      </c>
      <c r="K12" s="141"/>
      <c r="L12" s="81"/>
      <c r="M12" s="141"/>
      <c r="N12" s="133"/>
      <c r="O12" s="4"/>
      <c r="P12" s="4"/>
      <c r="Q12" s="4"/>
      <c r="R12" s="109"/>
      <c r="S12" s="109"/>
      <c r="T12" s="108"/>
      <c r="U12" s="110"/>
      <c r="V12" s="110"/>
      <c r="W12" s="110"/>
      <c r="X12" s="110"/>
    </row>
    <row r="13" spans="1:24" ht="13.5" customHeight="1">
      <c r="A13" s="110">
        <f>IF(E13="","",MATCH(E13,'Daily Sales'!B$4:B$51,0)+3)</f>
        <v>14</v>
      </c>
      <c r="B13" s="135">
        <v>46174</v>
      </c>
      <c r="C13" s="136" t="s">
        <v>91</v>
      </c>
      <c r="D13" s="137" t="str">
        <f t="array" ref="D13">IF($A13="","",INDEX('Daily Sales'!A:A,$A13))</f>
        <v>4-2100</v>
      </c>
      <c r="E13" s="138" t="s">
        <v>19</v>
      </c>
      <c r="F13" s="139" t="str">
        <f t="shared" si="1"/>
        <v>Sales Food CLUB</v>
      </c>
      <c r="G13" s="140"/>
      <c r="H13" s="138" t="str">
        <f t="array" ref="H13">IF($A13="","",
  IF(
    OR(
      $A13=23,
      AND($A13&gt;=32,$A13&lt;=50)
    ),
    IFERROR(
      INDEX('Daily Sales'!$C:$AG,
        $A13,
        MATCH(TEXT($B13,"0"),TEXT('Daily Sales'!$C$2:$AG$2,"0"),0)
      ),
    ""),
  "")
)</f>
        <v/>
      </c>
      <c r="I13" s="138">
        <f t="array" ref="I13">IF($A13="","",
  IF(
    OR(
      AND($A13&gt;=4,$A13&lt;=8),
      AND($A13&gt;=12,$A13&lt;=19),
      AND($A13&gt;=28,$A13&lt;=29)
    ),
    IFERROR(
      INDEX('Daily Sales'!$C:$AG,
        $A13,
        MATCH(TEXT($B13,"0"),TEXT('Daily Sales'!$C$2:$AG$2,"0"),0)
      ),
    ""),
  "")
)</f>
        <v>100000</v>
      </c>
      <c r="J13" s="79" t="e">
        <f t="shared" si="2"/>
        <v>#VALUE!</v>
      </c>
      <c r="K13" s="141"/>
      <c r="L13" s="81"/>
      <c r="M13" s="141"/>
      <c r="N13" s="133"/>
      <c r="O13" s="4"/>
      <c r="P13" s="4"/>
      <c r="Q13" s="4"/>
      <c r="R13" s="109"/>
      <c r="S13" s="109"/>
      <c r="T13" s="108"/>
      <c r="U13" s="110"/>
      <c r="V13" s="110"/>
      <c r="W13" s="110"/>
      <c r="X13" s="110"/>
    </row>
    <row r="14" spans="1:24" ht="13.5" customHeight="1">
      <c r="A14" s="110">
        <f>IF(E14="","",MATCH(E14,'Daily Sales'!B$4:B$51,0)+3)</f>
        <v>15</v>
      </c>
      <c r="B14" s="135">
        <v>46174</v>
      </c>
      <c r="C14" s="136" t="s">
        <v>91</v>
      </c>
      <c r="D14" s="137" t="str">
        <f t="array" ref="D14">IF($A14="","",INDEX('Daily Sales'!A:A,$A14))</f>
        <v>4-2300</v>
      </c>
      <c r="E14" s="138" t="s">
        <v>20</v>
      </c>
      <c r="F14" s="139" t="str">
        <f t="shared" si="1"/>
        <v>Sales Shisa CLUB</v>
      </c>
      <c r="G14" s="140"/>
      <c r="H14" s="138" t="str">
        <f t="array" ref="H14">IF($A14="","",
  IF(
    OR(
      $A14=23,
      AND($A14&gt;=32,$A14&lt;=50)
    ),
    IFERROR(
      INDEX('Daily Sales'!$C:$AG,
        $A14,
        MATCH(TEXT($B14,"0"),TEXT('Daily Sales'!$C$2:$AG$2,"0"),0)
      ),
    ""),
  "")
)</f>
        <v/>
      </c>
      <c r="I14" s="138">
        <f t="array" ref="I14">IF($A14="","",
  IF(
    OR(
      AND($A14&gt;=4,$A14&lt;=8),
      AND($A14&gt;=12,$A14&lt;=19),
      AND($A14&gt;=28,$A14&lt;=29)
    ),
    IFERROR(
      INDEX('Daily Sales'!$C:$AG,
        $A14,
        MATCH(TEXT($B14,"0"),TEXT('Daily Sales'!$C$2:$AG$2,"0"),0)
      ),
    ""),
  "")
)</f>
        <v>0</v>
      </c>
      <c r="J14" s="79" t="e">
        <f t="shared" si="2"/>
        <v>#VALUE!</v>
      </c>
      <c r="K14" s="141"/>
      <c r="L14" s="81"/>
      <c r="M14" s="141"/>
      <c r="N14" s="133"/>
      <c r="O14" s="4"/>
      <c r="P14" s="4"/>
      <c r="Q14" s="4"/>
      <c r="R14" s="109"/>
      <c r="S14" s="109"/>
      <c r="T14" s="108"/>
      <c r="U14" s="110"/>
      <c r="V14" s="110"/>
      <c r="W14" s="110"/>
      <c r="X14" s="110"/>
    </row>
    <row r="15" spans="1:24" ht="13.5" customHeight="1">
      <c r="A15" s="110">
        <f>IF(E15="","",MATCH(E15,'Daily Sales'!B$4:B$51,0)+3)</f>
        <v>17</v>
      </c>
      <c r="B15" s="135">
        <v>46174</v>
      </c>
      <c r="C15" s="136" t="s">
        <v>91</v>
      </c>
      <c r="D15" s="137" t="str">
        <f t="array" ref="D15">IF($A15="","",INDEX('Daily Sales'!A:A,$A15))</f>
        <v>4-2601</v>
      </c>
      <c r="E15" s="138" t="s">
        <v>23</v>
      </c>
      <c r="F15" s="139" t="str">
        <f t="shared" si="1"/>
        <v xml:space="preserve">Misc </v>
      </c>
      <c r="G15" s="140"/>
      <c r="H15" s="138" t="str">
        <f t="array" ref="H15">IF($A15="","",
  IF(
    OR(
      $A15=23,
      AND($A15&gt;=32,$A15&lt;=50)
    ),
    IFERROR(
      INDEX('Daily Sales'!$C:$AG,
        $A15,
        MATCH(TEXT($B15,"0"),TEXT('Daily Sales'!$C$2:$AG$2,"0"),0)
      ),
    ""),
  "")
)</f>
        <v/>
      </c>
      <c r="I15" s="138">
        <f t="array" ref="I15">IF($A15="","",
  IF(
    OR(
      AND($A15&gt;=4,$A15&lt;=8),
      AND($A15&gt;=12,$A15&lt;=19),
      AND($A15&gt;=28,$A15&lt;=29)
    ),
    IFERROR(
      INDEX('Daily Sales'!$C:$AG,
        $A15,
        MATCH(TEXT($B15,"0"),TEXT('Daily Sales'!$C$2:$AG$2,"0"),0)
      ),
    ""),
  "")
)</f>
        <v>0</v>
      </c>
      <c r="J15" s="79" t="e">
        <f t="shared" si="2"/>
        <v>#VALUE!</v>
      </c>
      <c r="K15" s="141"/>
      <c r="L15" s="81"/>
      <c r="M15" s="141"/>
      <c r="N15" s="133"/>
      <c r="O15" s="4"/>
      <c r="P15" s="4"/>
      <c r="Q15" s="4"/>
      <c r="R15" s="109"/>
      <c r="S15" s="109"/>
      <c r="T15" s="108"/>
      <c r="U15" s="110"/>
      <c r="V15" s="110"/>
      <c r="W15" s="110"/>
      <c r="X15" s="110"/>
    </row>
    <row r="16" spans="1:24" ht="13.5" customHeight="1">
      <c r="A16" s="110">
        <f>IF(E16="","",MATCH(E16,'Daily Sales'!B$4:B$51,0)+3)</f>
        <v>19</v>
      </c>
      <c r="B16" s="135">
        <v>46174</v>
      </c>
      <c r="C16" s="136" t="s">
        <v>91</v>
      </c>
      <c r="D16" s="137" t="str">
        <f t="array" ref="D16">IF($A16="","",INDEX('Daily Sales'!A:A,$A16))</f>
        <v>4-2500</v>
      </c>
      <c r="E16" s="138" t="s">
        <v>26</v>
      </c>
      <c r="F16" s="139" t="str">
        <f t="shared" si="1"/>
        <v>Sales Ticket</v>
      </c>
      <c r="G16" s="140"/>
      <c r="H16" s="138" t="str">
        <f t="array" ref="H16">IF($A16="","",
  IF(
    OR(
      $A16=23,
      AND($A16&gt;=32,$A16&lt;=50)
    ),
    IFERROR(
      INDEX('Daily Sales'!$C:$AG,
        $A16,
        MATCH(TEXT($B16,"0"),TEXT('Daily Sales'!$C$2:$AG$2,"0"),0)
      ),
    ""),
  "")
)</f>
        <v/>
      </c>
      <c r="I16" s="138">
        <f t="array" ref="I16">IF($A16="","",
  IF(
    OR(
      AND($A16&gt;=4,$A16&lt;=8),
      AND($A16&gt;=12,$A16&lt;=19),
      AND($A16&gt;=28,$A16&lt;=29)
    ),
    IFERROR(
      INDEX('Daily Sales'!$C:$AG,
        $A16,
        MATCH(TEXT($B16,"0"),TEXT('Daily Sales'!$C$2:$AG$2,"0"),0)
      ),
    ""),
  "")
)</f>
        <v>12404452</v>
      </c>
      <c r="J16" s="79" t="e">
        <f t="shared" si="2"/>
        <v>#VALUE!</v>
      </c>
      <c r="K16" s="141"/>
      <c r="L16" s="81"/>
      <c r="M16" s="141"/>
      <c r="N16" s="133"/>
      <c r="O16" s="4"/>
      <c r="P16" s="4"/>
      <c r="Q16" s="4"/>
      <c r="R16" s="109"/>
      <c r="S16" s="109"/>
      <c r="T16" s="108"/>
      <c r="U16" s="110"/>
      <c r="V16" s="110"/>
      <c r="W16" s="110"/>
      <c r="X16" s="110"/>
    </row>
    <row r="17" spans="1:24" ht="13.5" customHeight="1">
      <c r="A17" s="110">
        <f>IF(E17="","",MATCH(E17,'Daily Sales'!B$4:B$51,0)+3)</f>
        <v>28</v>
      </c>
      <c r="B17" s="135">
        <v>46174</v>
      </c>
      <c r="C17" s="136" t="s">
        <v>91</v>
      </c>
      <c r="D17" s="137" t="str">
        <f t="array" ref="D17">IF($A17="","",INDEX('Daily Sales'!A:A,$A17))</f>
        <v>2-2106</v>
      </c>
      <c r="E17" s="138" t="s">
        <v>35</v>
      </c>
      <c r="F17" s="139" t="str">
        <f t="shared" si="1"/>
        <v>Service Charges 7%</v>
      </c>
      <c r="G17" s="140"/>
      <c r="H17" s="138" t="str">
        <f t="array" ref="H17">IF($A17="","",
  IF(
    OR(
      $A17=23,
      AND($A17&gt;=32,$A17&lt;=50)
    ),
    IFERROR(
      INDEX('Daily Sales'!$C:$AG,
        $A17,
        MATCH(TEXT($B17,"0"),TEXT('Daily Sales'!$C$2:$AG$2,"0"),0)
      ),
    ""),
  "")
)</f>
        <v/>
      </c>
      <c r="I17" s="138">
        <f t="array" ref="I17">IF($A17="","",
  IF(
    OR(
      AND($A17&gt;=4,$A17&lt;=8),
      AND($A17&gt;=12,$A17&lt;=19),
      AND($A17&gt;=28,$A17&lt;=29)
    ),
    IFERROR(
      INDEX('Daily Sales'!$C:$AG,
        $A17,
        MATCH(TEXT($B17,"0"),TEXT('Daily Sales'!$C$2:$AG$2,"0"),0)
      ),
    ""),
  "")
)</f>
        <v>2752256.64</v>
      </c>
      <c r="J17" s="79" t="e">
        <f t="shared" si="2"/>
        <v>#VALUE!</v>
      </c>
      <c r="K17" s="141"/>
      <c r="L17" s="81"/>
      <c r="M17" s="141"/>
      <c r="N17" s="133"/>
      <c r="O17" s="4"/>
      <c r="P17" s="4"/>
      <c r="Q17" s="4"/>
      <c r="R17" s="109"/>
      <c r="S17" s="109"/>
      <c r="T17" s="108"/>
      <c r="U17" s="110"/>
      <c r="V17" s="110"/>
      <c r="W17" s="110"/>
      <c r="X17" s="110"/>
    </row>
    <row r="18" spans="1:24" ht="13.5" customHeight="1">
      <c r="A18" s="110">
        <f>IF(E18="","",MATCH(E18,'Daily Sales'!B$4:B$51,0)+3)</f>
        <v>29</v>
      </c>
      <c r="B18" s="135">
        <v>46174</v>
      </c>
      <c r="C18" s="136" t="s">
        <v>91</v>
      </c>
      <c r="D18" s="137" t="str">
        <f t="array" ref="D18">IF($A18="","",INDEX('Daily Sales'!A:A,$A18))</f>
        <v>2-3101</v>
      </c>
      <c r="E18" s="138" t="s">
        <v>37</v>
      </c>
      <c r="F18" s="139" t="str">
        <f t="shared" si="1"/>
        <v>Tax PB1 10%</v>
      </c>
      <c r="G18" s="140"/>
      <c r="H18" s="138" t="str">
        <f t="array" ref="H18">IF($A18="","",
  IF(
    OR(
      $A18=23,
      AND($A18&gt;=32,$A18&lt;=50)
    ),
    IFERROR(
      INDEX('Daily Sales'!$C:$AG,
        $A18,
        MATCH(TEXT($B18,"0"),TEXT('Daily Sales'!$C$2:$AG$2,"0"),0)
      ),
    ""),
  "")
)</f>
        <v/>
      </c>
      <c r="I18" s="138">
        <f t="array" ref="I18">IF($A18="","",
  IF(
    OR(
      AND($A18&gt;=4,$A18&lt;=8),
      AND($A18&gt;=12,$A18&lt;=19),
      AND($A18&gt;=28,$A18&lt;=29)
    ),
    IFERROR(
      INDEX('Daily Sales'!$C:$AG,
        $A18,
        MATCH(TEXT($B18,"0"),TEXT('Daily Sales'!$C$2:$AG$2,"0"),0)
      ),
    ""),
  "")
)</f>
        <v>4207020.8640000001</v>
      </c>
      <c r="J18" s="79" t="e">
        <f t="shared" si="2"/>
        <v>#VALUE!</v>
      </c>
      <c r="K18" s="141"/>
      <c r="L18" s="81"/>
      <c r="M18" s="141"/>
      <c r="N18" s="133"/>
      <c r="O18" s="4"/>
      <c r="P18" s="4"/>
      <c r="Q18" s="4"/>
      <c r="R18" s="109"/>
      <c r="S18" s="109"/>
      <c r="T18" s="108"/>
      <c r="U18" s="110"/>
      <c r="V18" s="110"/>
      <c r="W18" s="110"/>
      <c r="X18" s="110"/>
    </row>
    <row r="19" spans="1:24" ht="13.5" customHeight="1">
      <c r="A19" s="110">
        <f>IF(E19="","",MATCH(E19,'Daily Sales'!B$4:B$51,0)+3)</f>
        <v>23</v>
      </c>
      <c r="B19" s="135">
        <v>46174</v>
      </c>
      <c r="C19" s="136" t="s">
        <v>91</v>
      </c>
      <c r="D19" s="137" t="str">
        <f t="array" ref="D19">IF($A19="","",INDEX('Daily Sales'!A:A,$A19))</f>
        <v>4-5110</v>
      </c>
      <c r="E19" s="138" t="s">
        <v>30</v>
      </c>
      <c r="F19" s="139" t="str">
        <f t="shared" si="1"/>
        <v>Discount</v>
      </c>
      <c r="G19" s="140"/>
      <c r="H19" s="138">
        <f t="array" ref="H19">IF($A19="","",
  IF(
    OR(
      $A19=23,
      AND($A19&gt;=32,$A19&lt;=50)
    ),
    IFERROR(
      INDEX('Daily Sales'!$C:$AG,
        $A19,
        MATCH(TEXT($B19,"0"),TEXT('Daily Sales'!$C$2:$AG$2,"0"),0)
      ),
    ""),
  "")
)</f>
        <v>626500</v>
      </c>
      <c r="I19" s="138"/>
      <c r="J19" s="79" t="e">
        <f t="shared" si="2"/>
        <v>#VALUE!</v>
      </c>
      <c r="K19" s="141"/>
      <c r="L19" s="81"/>
      <c r="M19" s="141"/>
      <c r="N19" s="133"/>
      <c r="O19" s="4"/>
      <c r="P19" s="4"/>
      <c r="Q19" s="4"/>
      <c r="R19" s="109"/>
      <c r="S19" s="109"/>
      <c r="T19" s="108"/>
      <c r="U19" s="110"/>
      <c r="V19" s="110"/>
      <c r="W19" s="110"/>
      <c r="X19" s="110"/>
    </row>
    <row r="20" spans="1:24" ht="13.5" customHeight="1">
      <c r="A20" s="110">
        <f>IF(E20="","",MATCH(E20,'Daily Sales'!B$4:B$51,0)+3)</f>
        <v>32</v>
      </c>
      <c r="B20" s="135">
        <v>46174</v>
      </c>
      <c r="C20" s="136" t="s">
        <v>91</v>
      </c>
      <c r="D20" s="137" t="str">
        <f t="array" ref="D20">IF($A20="","",INDEX('Daily Sales'!A:A,$A20))</f>
        <v>1-1119</v>
      </c>
      <c r="E20" s="138" t="s">
        <v>40</v>
      </c>
      <c r="F20" s="139" t="str">
        <f t="shared" si="1"/>
        <v>Cash IDR</v>
      </c>
      <c r="G20" s="140"/>
      <c r="H20" s="138">
        <f t="array" ref="H20">IF($A20="","",
  IF(
    OR(
      $A20=23,
      AND($A20&gt;=32,$A20&lt;=50)
    ),
    IFERROR(
      INDEX('Daily Sales'!$C:$AG,
        $A20,
        MATCH(TEXT($B20,"0"),TEXT('Daily Sales'!$C$2:$AG$2,"0"),0)
      ),
    ""),
  "")
)</f>
        <v>10502700</v>
      </c>
      <c r="I20" s="138" t="str">
        <f t="array" ref="I20">IF($A20="","",
  IF(
    OR(
      AND($A20&gt;=4,$A20&lt;=8),
      AND($A20&gt;=12,$A20&lt;=19),
      AND($A20&gt;=28,$A20&lt;=29)
    ),
    IFERROR(
      INDEX('Daily Sales'!$C:$AG,
        $A20,
        MATCH(TEXT($B20,"0"),TEXT('Daily Sales'!$C$2:$AG$2,"0"),0)
      ),
    ""),
  "")
)</f>
        <v/>
      </c>
      <c r="J20" s="79" t="e">
        <f t="shared" si="2"/>
        <v>#VALUE!</v>
      </c>
      <c r="K20" s="141"/>
      <c r="L20" s="81"/>
      <c r="M20" s="141"/>
      <c r="N20" s="133"/>
      <c r="O20" s="4"/>
      <c r="P20" s="4"/>
      <c r="Q20" s="4"/>
      <c r="R20" s="109"/>
      <c r="S20" s="109"/>
      <c r="T20" s="108"/>
      <c r="U20" s="110"/>
      <c r="V20" s="110"/>
      <c r="W20" s="110"/>
      <c r="X20" s="110"/>
    </row>
    <row r="21" spans="1:24" ht="13.5" customHeight="1">
      <c r="A21" s="110">
        <f>IF(E21="","",MATCH(E21,'Daily Sales'!B$4:B$51,0)+3)</f>
        <v>33</v>
      </c>
      <c r="B21" s="135">
        <v>46174</v>
      </c>
      <c r="C21" s="136" t="s">
        <v>91</v>
      </c>
      <c r="D21" s="137" t="str">
        <f t="array" ref="D21">IF($A21="","",INDEX('Daily Sales'!A:A,$A21))</f>
        <v>1-1217</v>
      </c>
      <c r="E21" s="138" t="s">
        <v>43</v>
      </c>
      <c r="F21" s="139" t="str">
        <f t="shared" si="1"/>
        <v>Bank transfer</v>
      </c>
      <c r="G21" s="140"/>
      <c r="H21" s="138">
        <f t="array" ref="H21">IF($A21="","",
  IF(
    OR(
      $A21=23,
      AND($A21&gt;=32,$A21&lt;=50)
    ),
    IFERROR(
      INDEX('Daily Sales'!$C:$AG,
        $A21,
        MATCH(TEXT($B21,"0"),TEXT('Daily Sales'!$C$2:$AG$2,"0"),0)
      ),
    ""),
  "")
)</f>
        <v>0</v>
      </c>
      <c r="I21" s="138" t="str">
        <f t="array" ref="I21">IF($A21="","",
  IF(
    OR(
      AND($A21&gt;=4,$A21&lt;=8),
      AND($A21&gt;=12,$A21&lt;=19),
      AND($A21&gt;=28,$A21&lt;=29)
    ),
    IFERROR(
      INDEX('Daily Sales'!$C:$AG,
        $A21,
        MATCH(TEXT($B21,"0"),TEXT('Daily Sales'!$C$2:$AG$2,"0"),0)
      ),
    ""),
  "")
)</f>
        <v/>
      </c>
      <c r="J21" s="79" t="e">
        <f t="shared" si="2"/>
        <v>#VALUE!</v>
      </c>
      <c r="K21" s="141"/>
      <c r="L21" s="81"/>
      <c r="M21" s="141"/>
      <c r="N21" s="133"/>
      <c r="O21" s="4"/>
      <c r="P21" s="4"/>
      <c r="Q21" s="4"/>
      <c r="R21" s="109"/>
      <c r="S21" s="109"/>
      <c r="T21" s="108"/>
      <c r="U21" s="110"/>
      <c r="V21" s="110"/>
      <c r="W21" s="110"/>
      <c r="X21" s="110"/>
    </row>
    <row r="22" spans="1:24" ht="13.5" customHeight="1">
      <c r="A22" s="110">
        <f>IF(E22="","",MATCH(E22,'Daily Sales'!B$4:B$51,0)+3)</f>
        <v>35</v>
      </c>
      <c r="B22" s="135">
        <v>46174</v>
      </c>
      <c r="C22" s="136" t="s">
        <v>91</v>
      </c>
      <c r="D22" s="137" t="str">
        <f t="array" ref="D22">IF($A22="","",INDEX('Daily Sales'!A:A,$A22))</f>
        <v>1-1216</v>
      </c>
      <c r="E22" s="138" t="s">
        <v>46</v>
      </c>
      <c r="F22" s="139" t="str">
        <f t="shared" si="1"/>
        <v>Cim Niaga TBB</v>
      </c>
      <c r="G22" s="140"/>
      <c r="H22" s="138">
        <f t="array" ref="H22">IF($A22="","",
  IF(
    OR(
      $A22=23,
      AND($A22&gt;=32,$A22&lt;=50)
    ),
    IFERROR(
      INDEX('Daily Sales'!$C:$AG,
        $A22,
        MATCH(TEXT($B22,"0"),TEXT('Daily Sales'!$C$2:$AG$2,"0"),0)
      ),
    ""),
  "")
)</f>
        <v>0</v>
      </c>
      <c r="I22" s="138" t="str">
        <f t="array" ref="I22">IF($A22="","",
  IF(
    OR(
      AND($A22&gt;=4,$A22&lt;=8),
      AND($A22&gt;=12,$A22&lt;=19),
      AND($A22&gt;=28,$A22&lt;=29)
    ),
    IFERROR(
      INDEX('Daily Sales'!$C:$AG,
        $A22,
        MATCH(TEXT($B22,"0"),TEXT('Daily Sales'!$C$2:$AG$2,"0"),0)
      ),
    ""),
  "")
)</f>
        <v/>
      </c>
      <c r="J22" s="79" t="e">
        <f t="shared" si="2"/>
        <v>#VALUE!</v>
      </c>
      <c r="K22" s="141"/>
      <c r="L22" s="81"/>
      <c r="M22" s="141"/>
      <c r="N22" s="133"/>
      <c r="O22" s="4"/>
      <c r="P22" s="4"/>
      <c r="Q22" s="4"/>
      <c r="R22" s="109"/>
      <c r="S22" s="109"/>
      <c r="T22" s="108"/>
      <c r="U22" s="110"/>
      <c r="V22" s="110"/>
      <c r="W22" s="110"/>
      <c r="X22" s="110"/>
    </row>
    <row r="23" spans="1:24" ht="13.5" customHeight="1">
      <c r="A23" s="110">
        <f>IF(E23="","",MATCH(E23,'Daily Sales'!B$4:B$51,0)+3)</f>
        <v>36</v>
      </c>
      <c r="B23" s="135">
        <v>46174</v>
      </c>
      <c r="C23" s="136" t="s">
        <v>91</v>
      </c>
      <c r="D23" s="137" t="str">
        <f t="array" ref="D23">IF($A23="","",INDEX('Daily Sales'!A:A,$A23))</f>
        <v>1-1213</v>
      </c>
      <c r="E23" s="138" t="s">
        <v>49</v>
      </c>
      <c r="F23" s="139" t="str">
        <f t="shared" si="1"/>
        <v>Mandiri Debet</v>
      </c>
      <c r="G23" s="140"/>
      <c r="H23" s="138">
        <f t="array" ref="H23">IF($A23="","",
  IF(
    OR(
      $A23=23,
      AND($A23&gt;=32,$A23&lt;=50)
    ),
    IFERROR(
      INDEX('Daily Sales'!$C:$AG,
        $A23,
        MATCH(TEXT($B23,"0"),TEXT('Daily Sales'!$C$2:$AG$2,"0"),0)
      ),
    ""),
  "")
)</f>
        <v>258490</v>
      </c>
      <c r="I23" s="138" t="str">
        <f t="array" ref="I23">IF($A23="","",
  IF(
    OR(
      AND($A23&gt;=4,$A23&lt;=8),
      AND($A23&gt;=12,$A23&lt;=19),
      AND($A23&gt;=28,$A23&lt;=29)
    ),
    IFERROR(
      INDEX('Daily Sales'!$C:$AG,
        $A23,
        MATCH(TEXT($B23,"0"),TEXT('Daily Sales'!$C$2:$AG$2,"0"),0)
      ),
    ""),
  "")
)</f>
        <v/>
      </c>
      <c r="J23" s="79" t="e">
        <f t="shared" si="2"/>
        <v>#VALUE!</v>
      </c>
      <c r="K23" s="141"/>
      <c r="L23" s="81"/>
      <c r="M23" s="141"/>
      <c r="N23" s="133"/>
      <c r="O23" s="4"/>
      <c r="P23" s="4"/>
      <c r="Q23" s="4"/>
      <c r="R23" s="109"/>
      <c r="S23" s="109"/>
      <c r="T23" s="108"/>
      <c r="U23" s="110"/>
      <c r="V23" s="110"/>
      <c r="W23" s="110"/>
      <c r="X23" s="110"/>
    </row>
    <row r="24" spans="1:24" ht="13.5" customHeight="1">
      <c r="A24" s="110">
        <f>IF(E24="","",MATCH(E24,'Daily Sales'!B$4:B$51,0)+3)</f>
        <v>37</v>
      </c>
      <c r="B24" s="135">
        <v>46174</v>
      </c>
      <c r="C24" s="136" t="s">
        <v>91</v>
      </c>
      <c r="D24" s="137" t="str">
        <f t="array" ref="D24">IF($A24="","",INDEX('Daily Sales'!A:A,$A24))</f>
        <v>1-1213</v>
      </c>
      <c r="E24" s="138" t="s">
        <v>50</v>
      </c>
      <c r="F24" s="139" t="str">
        <f t="shared" si="1"/>
        <v>Mandiri CC</v>
      </c>
      <c r="G24" s="140"/>
      <c r="H24" s="138">
        <f t="array" ref="H24">IF($A24="","",
  IF(
    OR(
      $A24=23,
      AND($A24&gt;=32,$A24&lt;=50)
    ),
    IFERROR(
      INDEX('Daily Sales'!$C:$AG,
        $A24,
        MATCH(TEXT($B24,"0"),TEXT('Daily Sales'!$C$2:$AG$2,"0"),0)
      ),
    ""),
  "")
)</f>
        <v>24448395</v>
      </c>
      <c r="I24" s="138" t="str">
        <f t="array" ref="I24">IF($A24="","",
  IF(
    OR(
      AND($A24&gt;=4,$A24&lt;=8),
      AND($A24&gt;=12,$A24&lt;=19),
      AND($A24&gt;=28,$A24&lt;=29)
    ),
    IFERROR(
      INDEX('Daily Sales'!$C:$AG,
        $A24,
        MATCH(TEXT($B24,"0"),TEXT('Daily Sales'!$C$2:$AG$2,"0"),0)
      ),
    ""),
  "")
)</f>
        <v/>
      </c>
      <c r="J24" s="79" t="e">
        <f t="shared" si="2"/>
        <v>#VALUE!</v>
      </c>
      <c r="K24" s="141"/>
      <c r="L24" s="81"/>
      <c r="M24" s="141"/>
      <c r="N24" s="133"/>
      <c r="O24" s="4"/>
      <c r="P24" s="4"/>
      <c r="Q24" s="4"/>
      <c r="R24" s="109"/>
      <c r="S24" s="109"/>
      <c r="T24" s="108"/>
      <c r="U24" s="110"/>
      <c r="V24" s="110"/>
      <c r="W24" s="110"/>
      <c r="X24" s="110"/>
    </row>
    <row r="25" spans="1:24" ht="13.5" customHeight="1">
      <c r="A25" s="110">
        <f>IF(E25="","",MATCH(E25,'Daily Sales'!B$4:B$51,0)+3)</f>
        <v>38</v>
      </c>
      <c r="B25" s="135">
        <v>46174</v>
      </c>
      <c r="C25" s="136" t="s">
        <v>91</v>
      </c>
      <c r="D25" s="137" t="str">
        <f t="array" ref="D25">IF($A25="","",INDEX('Daily Sales'!A:A,$A25))</f>
        <v>1-1213</v>
      </c>
      <c r="E25" s="138" t="s">
        <v>51</v>
      </c>
      <c r="F25" s="139" t="str">
        <f t="shared" si="1"/>
        <v>Mandiri NPG</v>
      </c>
      <c r="G25" s="140"/>
      <c r="H25" s="138">
        <f t="array" ref="H25">IF($A25="","",
  IF(
    OR(
      $A25=23,
      AND($A25&gt;=32,$A25&lt;=50)
    ),
    IFERROR(
      INDEX('Daily Sales'!$C:$AG,
        $A25,
        MATCH(TEXT($B25,"0"),TEXT('Daily Sales'!$C$2:$AG$2,"0"),0)
      ),
    ""),
  "")
)</f>
        <v>1435490</v>
      </c>
      <c r="I25" s="138" t="str">
        <f t="array" ref="I25">IF($A25="","",
  IF(
    OR(
      AND($A25&gt;=4,$A25&lt;=8),
      AND($A25&gt;=12,$A25&lt;=19),
      AND($A25&gt;=28,$A25&lt;=29)
    ),
    IFERROR(
      INDEX('Daily Sales'!$C:$AG,
        $A25,
        MATCH(TEXT($B25,"0"),TEXT('Daily Sales'!$C$2:$AG$2,"0"),0)
      ),
    ""),
  "")
)</f>
        <v/>
      </c>
      <c r="J25" s="79" t="e">
        <f t="shared" si="2"/>
        <v>#VALUE!</v>
      </c>
      <c r="K25" s="141"/>
      <c r="L25" s="81"/>
      <c r="M25" s="141"/>
      <c r="N25" s="133"/>
      <c r="O25" s="4"/>
      <c r="P25" s="4"/>
      <c r="Q25" s="4"/>
      <c r="R25" s="109"/>
      <c r="S25" s="109"/>
      <c r="T25" s="108"/>
      <c r="U25" s="110"/>
      <c r="V25" s="110"/>
      <c r="W25" s="110"/>
      <c r="X25" s="110"/>
    </row>
    <row r="26" spans="1:24" ht="13.5" customHeight="1">
      <c r="A26" s="110">
        <f>IF(E26="","",MATCH(E26,'Daily Sales'!B$4:B$51,0)+3)</f>
        <v>39</v>
      </c>
      <c r="B26" s="135">
        <v>46174</v>
      </c>
      <c r="C26" s="136" t="s">
        <v>91</v>
      </c>
      <c r="D26" s="137" t="str">
        <f t="array" ref="D26">IF($A26="","",INDEX('Daily Sales'!A:A,$A26))</f>
        <v>1-1213</v>
      </c>
      <c r="E26" s="138" t="s">
        <v>52</v>
      </c>
      <c r="F26" s="139" t="str">
        <f t="shared" si="1"/>
        <v>Mandiri QR</v>
      </c>
      <c r="G26" s="140"/>
      <c r="H26" s="138">
        <f t="array" ref="H26">IF($A26="","",
  IF(
    OR(
      $A26=23,
      AND($A26&gt;=32,$A26&lt;=50)
    ),
    IFERROR(
      INDEX('Daily Sales'!$C:$AG,
        $A26,
        MATCH(TEXT($B26,"0"),TEXT('Daily Sales'!$C$2:$AG$2,"0"),0)
      ),
    ""),
  "")
)</f>
        <v>2350833</v>
      </c>
      <c r="I26" s="138" t="str">
        <f t="array" ref="I26">IF($A26="","",
  IF(
    OR(
      AND($A26&gt;=4,$A26&lt;=8),
      AND($A26&gt;=12,$A26&lt;=19),
      AND($A26&gt;=28,$A26&lt;=29)
    ),
    IFERROR(
      INDEX('Daily Sales'!$C:$AG,
        $A26,
        MATCH(TEXT($B26,"0"),TEXT('Daily Sales'!$C$2:$AG$2,"0"),0)
      ),
    ""),
  "")
)</f>
        <v/>
      </c>
      <c r="J26" s="79" t="e">
        <f t="shared" si="2"/>
        <v>#VALUE!</v>
      </c>
      <c r="K26" s="141"/>
      <c r="L26" s="81"/>
      <c r="M26" s="141"/>
      <c r="N26" s="133"/>
      <c r="O26" s="4"/>
      <c r="P26" s="4"/>
      <c r="Q26" s="4"/>
      <c r="R26" s="109"/>
      <c r="S26" s="109"/>
      <c r="T26" s="108"/>
      <c r="U26" s="110"/>
      <c r="V26" s="110"/>
      <c r="W26" s="110"/>
      <c r="X26" s="110"/>
    </row>
    <row r="27" spans="1:24" ht="13.5" customHeight="1">
      <c r="A27" s="110">
        <f>IF(E27="","",MATCH(E27,'Daily Sales'!B$4:B$51,0)+3)</f>
        <v>40</v>
      </c>
      <c r="B27" s="135">
        <v>46174</v>
      </c>
      <c r="C27" s="136" t="s">
        <v>91</v>
      </c>
      <c r="D27" s="137" t="str">
        <f t="array" ref="D27">IF($A27="","",INDEX('Daily Sales'!A:A,$A27))</f>
        <v>1-1217</v>
      </c>
      <c r="E27" s="138" t="s">
        <v>54</v>
      </c>
      <c r="F27" s="139" t="str">
        <f t="shared" si="1"/>
        <v>BCA CC</v>
      </c>
      <c r="G27" s="140"/>
      <c r="H27" s="138">
        <f t="array" ref="H27">IF($A27="","",
  IF(
    OR(
      $A27=23,
      AND($A27&gt;=32,$A27&lt;=50)
    ),
    IFERROR(
      INDEX('Daily Sales'!$C:$AG,
        $A27,
        MATCH(TEXT($B27,"0"),TEXT('Daily Sales'!$C$2:$AG$2,"0"),0)
      ),
    ""),
  "")
)</f>
        <v>6579340</v>
      </c>
      <c r="I27" s="138" t="str">
        <f t="array" ref="I27">IF($A27="","",
  IF(
    OR(
      AND($A27&gt;=4,$A27&lt;=8),
      AND($A27&gt;=12,$A27&lt;=19),
      AND($A27&gt;=28,$A27&lt;=29)
    ),
    IFERROR(
      INDEX('Daily Sales'!$C:$AG,
        $A27,
        MATCH(TEXT($B27,"0"),TEXT('Daily Sales'!$C$2:$AG$2,"0"),0)
      ),
    ""),
  "")
)</f>
        <v/>
      </c>
      <c r="J27" s="79" t="e">
        <f t="shared" si="2"/>
        <v>#VALUE!</v>
      </c>
      <c r="K27" s="141"/>
      <c r="L27" s="81"/>
      <c r="M27" s="141"/>
      <c r="N27" s="133"/>
      <c r="O27" s="4"/>
      <c r="P27" s="4"/>
      <c r="Q27" s="4"/>
      <c r="R27" s="109"/>
      <c r="S27" s="109"/>
      <c r="T27" s="108"/>
      <c r="U27" s="110"/>
      <c r="V27" s="110"/>
      <c r="W27" s="110"/>
      <c r="X27" s="110"/>
    </row>
    <row r="28" spans="1:24" ht="13.5" customHeight="1">
      <c r="A28" s="110">
        <f>IF(E28="","",MATCH(E28,'Daily Sales'!B$4:B$51,0)+3)</f>
        <v>41</v>
      </c>
      <c r="B28" s="135">
        <v>46174</v>
      </c>
      <c r="C28" s="136" t="s">
        <v>91</v>
      </c>
      <c r="D28" s="137" t="str">
        <f t="array" ref="D28">IF($A28="","",INDEX('Daily Sales'!A:A,$A28))</f>
        <v>1-1217</v>
      </c>
      <c r="E28" s="138" t="s">
        <v>55</v>
      </c>
      <c r="F28" s="139" t="str">
        <f t="shared" si="1"/>
        <v>BCA debt</v>
      </c>
      <c r="G28" s="140"/>
      <c r="H28" s="138">
        <f t="array" ref="H28">IF($A28="","",
  IF(
    OR(
      $A28=23,
      AND($A28&gt;=32,$A28&lt;=50)
    ),
    IFERROR(
      INDEX('Daily Sales'!$C:$AG,
        $A28,
        MATCH(TEXT($B28,"0"),TEXT('Daily Sales'!$C$2:$AG$2,"0"),0)
      ),
    ""),
  "")
)</f>
        <v>164780</v>
      </c>
      <c r="I28" s="138" t="str">
        <f t="array" ref="I28">IF($A28="","",
  IF(
    OR(
      AND($A28&gt;=4,$A28&lt;=8),
      AND($A28&gt;=12,$A28&lt;=19),
      AND($A28&gt;=28,$A28&lt;=29)
    ),
    IFERROR(
      INDEX('Daily Sales'!$C:$AG,
        $A28,
        MATCH(TEXT($B28,"0"),TEXT('Daily Sales'!$C$2:$AG$2,"0"),0)
      ),
    ""),
  "")
)</f>
        <v/>
      </c>
      <c r="J28" s="79" t="e">
        <f t="shared" si="2"/>
        <v>#VALUE!</v>
      </c>
      <c r="K28" s="141"/>
      <c r="L28" s="81"/>
      <c r="M28" s="141"/>
      <c r="N28" s="133"/>
      <c r="O28" s="4"/>
      <c r="P28" s="4"/>
      <c r="Q28" s="4"/>
      <c r="R28" s="109"/>
      <c r="S28" s="109"/>
      <c r="T28" s="108"/>
      <c r="U28" s="110"/>
      <c r="V28" s="110"/>
      <c r="W28" s="110"/>
      <c r="X28" s="110"/>
    </row>
    <row r="29" spans="1:24" ht="13.5" customHeight="1">
      <c r="A29" s="110">
        <f>IF(E29="","",MATCH(E29,'Daily Sales'!B$4:B$51,0)+3)</f>
        <v>42</v>
      </c>
      <c r="B29" s="135">
        <v>46174</v>
      </c>
      <c r="C29" s="136" t="s">
        <v>91</v>
      </c>
      <c r="D29" s="137" t="str">
        <f t="array" ref="D29">IF($A29="","",INDEX('Daily Sales'!A:A,$A29))</f>
        <v>1-1217</v>
      </c>
      <c r="E29" s="138" t="s">
        <v>56</v>
      </c>
      <c r="F29" s="139" t="str">
        <f t="shared" si="1"/>
        <v>BCA QR</v>
      </c>
      <c r="G29" s="140"/>
      <c r="H29" s="138">
        <f t="array" ref="H29">IF($A29="","",
  IF(
    OR(
      $A29=23,
      AND($A29&gt;=32,$A29&lt;=50)
    ),
    IFERROR(
      INDEX('Daily Sales'!$C:$AG,
        $A29,
        MATCH(TEXT($B29,"0"),TEXT('Daily Sales'!$C$2:$AG$2,"0"),0)
      ),
    ""),
  "")
)</f>
        <v>294250</v>
      </c>
      <c r="I29" s="138" t="str">
        <f t="array" ref="I29">IF($A29="","",
  IF(
    OR(
      AND($A29&gt;=4,$A29&lt;=8),
      AND($A29&gt;=12,$A29&lt;=19),
      AND($A29&gt;=28,$A29&lt;=29)
    ),
    IFERROR(
      INDEX('Daily Sales'!$C:$AG,
        $A29,
        MATCH(TEXT($B29,"0"),TEXT('Daily Sales'!$C$2:$AG$2,"0"),0)
      ),
    ""),
  "")
)</f>
        <v/>
      </c>
      <c r="J29" s="79" t="e">
        <f t="shared" si="2"/>
        <v>#VALUE!</v>
      </c>
      <c r="K29" s="141"/>
      <c r="L29" s="81"/>
      <c r="M29" s="141"/>
      <c r="N29" s="133"/>
      <c r="O29" s="4"/>
      <c r="P29" s="4"/>
      <c r="Q29" s="4"/>
      <c r="R29" s="109"/>
      <c r="S29" s="109"/>
      <c r="T29" s="108"/>
      <c r="U29" s="110"/>
      <c r="V29" s="110"/>
      <c r="W29" s="110"/>
      <c r="X29" s="110"/>
    </row>
    <row r="30" spans="1:24" ht="13.5" customHeight="1">
      <c r="A30" s="110">
        <f>IF(E30="","",MATCH(E30,'Daily Sales'!B$4:B$51,0)+3)</f>
        <v>43</v>
      </c>
      <c r="B30" s="135">
        <v>46174</v>
      </c>
      <c r="C30" s="136" t="s">
        <v>91</v>
      </c>
      <c r="D30" s="137" t="str">
        <f t="array" ref="D30">IF($A30="","",INDEX('Daily Sales'!A:A,$A30))</f>
        <v>1-1214</v>
      </c>
      <c r="E30" s="138" t="s">
        <v>59</v>
      </c>
      <c r="F30" s="139" t="str">
        <f t="shared" si="1"/>
        <v>Bank BRI DEBET</v>
      </c>
      <c r="G30" s="140"/>
      <c r="H30" s="138">
        <f t="array" ref="H30">IF($A30="","",
  IF(
    OR(
      $A30=23,
      AND($A30&gt;=32,$A30&lt;=50)
    ),
    IFERROR(
      INDEX('Daily Sales'!$C:$AG,
        $A30,
        MATCH(TEXT($B30,"0"),TEXT('Daily Sales'!$C$2:$AG$2,"0"),0)
      ),
    ""),
  "")
)</f>
        <v>0</v>
      </c>
      <c r="I30" s="138" t="str">
        <f t="array" ref="I30">IF($A30="","",
  IF(
    OR(
      AND($A30&gt;=4,$A30&lt;=8),
      AND($A30&gt;=12,$A30&lt;=19),
      AND($A30&gt;=28,$A30&lt;=29)
    ),
    IFERROR(
      INDEX('Daily Sales'!$C:$AG,
        $A30,
        MATCH(TEXT($B30,"0"),TEXT('Daily Sales'!$C$2:$AG$2,"0"),0)
      ),
    ""),
  "")
)</f>
        <v/>
      </c>
      <c r="J30" s="79" t="e">
        <f t="shared" si="2"/>
        <v>#VALUE!</v>
      </c>
      <c r="K30" s="141"/>
      <c r="L30" s="81"/>
      <c r="M30" s="141"/>
      <c r="N30" s="133"/>
      <c r="O30" s="4"/>
      <c r="P30" s="4"/>
      <c r="Q30" s="4"/>
      <c r="R30" s="109"/>
      <c r="S30" s="109"/>
      <c r="T30" s="108"/>
      <c r="U30" s="110"/>
      <c r="V30" s="110"/>
      <c r="W30" s="110"/>
      <c r="X30" s="110"/>
    </row>
    <row r="31" spans="1:24" ht="13.5" customHeight="1">
      <c r="A31" s="110">
        <f>IF(E31="","",MATCH(E31,'Daily Sales'!B$4:B$51,0)+3)</f>
        <v>44</v>
      </c>
      <c r="B31" s="135">
        <v>46174</v>
      </c>
      <c r="C31" s="136" t="s">
        <v>91</v>
      </c>
      <c r="D31" s="137" t="str">
        <f t="array" ref="D31">IF($A31="","",INDEX('Daily Sales'!A:A,$A31))</f>
        <v>1-1214</v>
      </c>
      <c r="E31" s="138" t="s">
        <v>60</v>
      </c>
      <c r="F31" s="139" t="str">
        <f t="shared" si="1"/>
        <v>Bank BRI CC</v>
      </c>
      <c r="G31" s="140"/>
      <c r="H31" s="138">
        <f t="array" ref="H31">IF($A31="","",
  IF(
    OR(
      $A31=23,
      AND($A31&gt;=32,$A31&lt;=50)
    ),
    IFERROR(
      INDEX('Daily Sales'!$C:$AG,
        $A31,
        MATCH(TEXT($B31,"0"),TEXT('Daily Sales'!$C$2:$AG$2,"0"),0)
      ),
    ""),
  "")
)</f>
        <v>0</v>
      </c>
      <c r="I31" s="138" t="str">
        <f t="array" ref="I31">IF($A31="","",
  IF(
    OR(
      AND($A31&gt;=4,$A31&lt;=8),
      AND($A31&gt;=12,$A31&lt;=19),
      AND($A31&gt;=28,$A31&lt;=29)
    ),
    IFERROR(
      INDEX('Daily Sales'!$C:$AG,
        $A31,
        MATCH(TEXT($B31,"0"),TEXT('Daily Sales'!$C$2:$AG$2,"0"),0)
      ),
    ""),
  "")
)</f>
        <v/>
      </c>
      <c r="J31" s="79" t="e">
        <f t="shared" si="2"/>
        <v>#VALUE!</v>
      </c>
      <c r="K31" s="141"/>
      <c r="L31" s="81"/>
      <c r="M31" s="141"/>
      <c r="N31" s="133"/>
      <c r="O31" s="4"/>
      <c r="P31" s="4"/>
      <c r="Q31" s="4"/>
      <c r="R31" s="109"/>
      <c r="S31" s="109"/>
      <c r="T31" s="108"/>
      <c r="U31" s="110"/>
      <c r="V31" s="110"/>
      <c r="W31" s="110"/>
      <c r="X31" s="110"/>
    </row>
    <row r="32" spans="1:24" ht="13.5" customHeight="1">
      <c r="A32" s="110">
        <f>IF(E32="","",MATCH(E32,'Daily Sales'!B$4:B$51,0)+3)</f>
        <v>45</v>
      </c>
      <c r="B32" s="135">
        <v>46174</v>
      </c>
      <c r="C32" s="136" t="s">
        <v>91</v>
      </c>
      <c r="D32" s="137" t="str">
        <f t="array" ref="D32">IF($A32="","",INDEX('Daily Sales'!A:A,$A32))</f>
        <v>1-1214</v>
      </c>
      <c r="E32" s="138" t="s">
        <v>61</v>
      </c>
      <c r="F32" s="139" t="str">
        <f t="shared" si="1"/>
        <v>Bank BRI QR</v>
      </c>
      <c r="G32" s="140"/>
      <c r="H32" s="138">
        <f t="array" ref="H32">IF($A32="","",
  IF(
    OR(
      $A32=23,
      AND($A32&gt;=32,$A32&lt;=50)
    ),
    IFERROR(
      INDEX('Daily Sales'!$C:$AG,
        $A32,
        MATCH(TEXT($B32,"0"),TEXT('Daily Sales'!$C$2:$AG$2,"0"),0)
      ),
    ""),
  "")
)</f>
        <v>0</v>
      </c>
      <c r="I32" s="138" t="str">
        <f t="array" ref="I32">IF($A32="","",
  IF(
    OR(
      AND($A32&gt;=4,$A32&lt;=8),
      AND($A32&gt;=12,$A32&lt;=19),
      AND($A32&gt;=28,$A32&lt;=29)
    ),
    IFERROR(
      INDEX('Daily Sales'!$C:$AG,
        $A32,
        MATCH(TEXT($B32,"0"),TEXT('Daily Sales'!$C$2:$AG$2,"0"),0)
      ),
    ""),
  "")
)</f>
        <v/>
      </c>
      <c r="J32" s="79" t="e">
        <f t="shared" si="2"/>
        <v>#VALUE!</v>
      </c>
      <c r="K32" s="141"/>
      <c r="L32" s="81"/>
      <c r="M32" s="141"/>
      <c r="N32" s="133"/>
      <c r="O32" s="4"/>
      <c r="P32" s="4"/>
      <c r="Q32" s="4"/>
      <c r="R32" s="109"/>
      <c r="S32" s="109"/>
      <c r="T32" s="108"/>
      <c r="U32" s="110"/>
      <c r="V32" s="110"/>
      <c r="W32" s="110"/>
      <c r="X32" s="110"/>
    </row>
    <row r="33" spans="1:24" ht="13.5" customHeight="1">
      <c r="A33" s="110">
        <f>IF(E33="","",MATCH(E33,'Daily Sales'!B$4:B$51,0)+3)</f>
        <v>46</v>
      </c>
      <c r="B33" s="135">
        <v>46174</v>
      </c>
      <c r="C33" s="136" t="s">
        <v>91</v>
      </c>
      <c r="D33" s="137" t="str">
        <f t="array" ref="D33">IF($A33="","",INDEX('Daily Sales'!A:A,$A33))</f>
        <v>1-1202</v>
      </c>
      <c r="E33" s="138" t="s">
        <v>64</v>
      </c>
      <c r="F33" s="139" t="str">
        <f t="shared" si="1"/>
        <v>Ledger</v>
      </c>
      <c r="G33" s="140"/>
      <c r="H33" s="138">
        <f t="array" ref="H33">IF($A33="","",
  IF(
    OR(
      $A33=23,
      AND($A33&gt;=32,$A33&lt;=50)
    ),
    IFERROR(
      INDEX('Daily Sales'!$C:$AG,
        $A33,
        MATCH(TEXT($B33,"0"),TEXT('Daily Sales'!$C$2:$AG$2,"0"),0)
      ),
    ""),
  "")
)</f>
        <v>242462</v>
      </c>
      <c r="I33" s="138" t="str">
        <f t="array" ref="I33">IF($A33="","",
  IF(
    OR(
      AND($A33&gt;=4,$A33&lt;=8),
      AND($A33&gt;=12,$A33&lt;=19),
      AND($A33&gt;=28,$A33&lt;=29)
    ),
    IFERROR(
      INDEX('Daily Sales'!$C:$AG,
        $A33,
        MATCH(TEXT($B33,"0"),TEXT('Daily Sales'!$C$2:$AG$2,"0"),0)
      ),
    ""),
  "")
)</f>
        <v/>
      </c>
      <c r="J33" s="79" t="e">
        <f t="shared" si="2"/>
        <v>#VALUE!</v>
      </c>
      <c r="K33" s="141"/>
      <c r="L33" s="81"/>
      <c r="M33" s="141"/>
      <c r="N33" s="133"/>
      <c r="O33" s="4"/>
      <c r="P33" s="4"/>
      <c r="Q33" s="4"/>
      <c r="R33" s="109"/>
      <c r="S33" s="109"/>
      <c r="T33" s="108"/>
      <c r="U33" s="110"/>
      <c r="V33" s="110"/>
      <c r="W33" s="110"/>
      <c r="X33" s="110"/>
    </row>
    <row r="34" spans="1:24" ht="13.5" customHeight="1">
      <c r="A34" s="110">
        <f>IF(E34="","",MATCH(E34,'Daily Sales'!B$4:B$51,0)+3)</f>
        <v>47</v>
      </c>
      <c r="B34" s="135">
        <v>46174</v>
      </c>
      <c r="C34" s="136" t="s">
        <v>91</v>
      </c>
      <c r="D34" s="137" t="str">
        <f t="array" ref="D34">IF($A34="","",INDEX('Daily Sales'!A:A,$A34))</f>
        <v>1-1129</v>
      </c>
      <c r="E34" s="138" t="s">
        <v>66</v>
      </c>
      <c r="F34" s="139" t="str">
        <f t="shared" si="1"/>
        <v>Star Points</v>
      </c>
      <c r="G34" s="140"/>
      <c r="H34" s="138">
        <f t="array" ref="H34">IF($A34="","",
  IF(
    OR(
      $A34=23,
      AND($A34&gt;=32,$A34&lt;=50)
    ),
    IFERROR(
      INDEX('Daily Sales'!$C:$AG,
        $A34,
        MATCH(TEXT($B34,"0"),TEXT('Daily Sales'!$C$2:$AG$2,"0"),0)
      ),
    ""),
  "")
)</f>
        <v>0</v>
      </c>
      <c r="I34" s="138" t="str">
        <f t="array" ref="I34">IF($A34="","",
  IF(
    OR(
      AND($A34&gt;=4,$A34&lt;=8),
      AND($A34&gt;=12,$A34&lt;=19),
      AND($A34&gt;=28,$A34&lt;=29)
    ),
    IFERROR(
      INDEX('Daily Sales'!$C:$AG,
        $A34,
        MATCH(TEXT($B34,"0"),TEXT('Daily Sales'!$C$2:$AG$2,"0"),0)
      ),
    ""),
  "")
)</f>
        <v/>
      </c>
      <c r="J34" s="79" t="e">
        <f t="shared" si="2"/>
        <v>#VALUE!</v>
      </c>
      <c r="K34" s="141"/>
      <c r="L34" s="81"/>
      <c r="M34" s="141"/>
      <c r="N34" s="133"/>
      <c r="O34" s="4"/>
      <c r="P34" s="4"/>
      <c r="Q34" s="4"/>
      <c r="R34" s="109"/>
      <c r="S34" s="109"/>
      <c r="T34" s="108"/>
      <c r="U34" s="110"/>
      <c r="V34" s="110"/>
      <c r="W34" s="110"/>
      <c r="X34" s="110"/>
    </row>
    <row r="35" spans="1:24" ht="13.5" customHeight="1">
      <c r="A35" s="110">
        <f>IF(E35="","",MATCH(E35,'Daily Sales'!B$4:B$51,0)+3)</f>
        <v>48</v>
      </c>
      <c r="B35" s="135">
        <v>46174</v>
      </c>
      <c r="C35" s="136" t="s">
        <v>91</v>
      </c>
      <c r="D35" s="137" t="str">
        <f t="array" ref="D35">IF($A35="","",INDEX('Daily Sales'!A:A,$A35))</f>
        <v>1-1215</v>
      </c>
      <c r="E35" s="138" t="s">
        <v>68</v>
      </c>
      <c r="F35" s="139" t="str">
        <f t="shared" si="1"/>
        <v>Ovo</v>
      </c>
      <c r="G35" s="140"/>
      <c r="H35" s="138">
        <f t="array" ref="H35">IF($A35="","",
  IF(
    OR(
      $A35=23,
      AND($A35&gt;=32,$A35&lt;=50)
    ),
    IFERROR(
      INDEX('Daily Sales'!$C:$AG,
        $A35,
        MATCH(TEXT($B35,"0"),TEXT('Daily Sales'!$C$2:$AG$2,"0"),0)
      ),
    ""),
  "")
)</f>
        <v>0</v>
      </c>
      <c r="I35" s="138" t="str">
        <f t="array" ref="I35">IF($A35="","",
  IF(
    OR(
      AND($A35&gt;=4,$A35&lt;=8),
      AND($A35&gt;=12,$A35&lt;=19),
      AND($A35&gt;=28,$A35&lt;=29)
    ),
    IFERROR(
      INDEX('Daily Sales'!$C:$AG,
        $A35,
        MATCH(TEXT($B35,"0"),TEXT('Daily Sales'!$C$2:$AG$2,"0"),0)
      ),
    ""),
  "")
)</f>
        <v/>
      </c>
      <c r="J35" s="79" t="e">
        <f t="shared" si="2"/>
        <v>#VALUE!</v>
      </c>
      <c r="K35" s="141"/>
      <c r="L35" s="81"/>
      <c r="M35" s="141"/>
      <c r="N35" s="133"/>
      <c r="O35" s="4"/>
      <c r="P35" s="4"/>
      <c r="Q35" s="4"/>
      <c r="R35" s="109"/>
      <c r="S35" s="109"/>
      <c r="T35" s="108"/>
      <c r="U35" s="110"/>
      <c r="V35" s="110"/>
      <c r="W35" s="110"/>
      <c r="X35" s="110"/>
    </row>
    <row r="36" spans="1:24" ht="13.5" customHeight="1">
      <c r="A36" s="110">
        <f>IF(E36="","",MATCH(E36,'Daily Sales'!B$4:B$51,0)+3)</f>
        <v>49</v>
      </c>
      <c r="B36" s="135">
        <v>46174</v>
      </c>
      <c r="C36" s="136" t="s">
        <v>91</v>
      </c>
      <c r="D36" s="137" t="str">
        <f t="array" ref="D36">IF($A36="","",INDEX('Daily Sales'!A:A,$A36))</f>
        <v>1-1211</v>
      </c>
      <c r="E36" s="138" t="s">
        <v>70</v>
      </c>
      <c r="F36" s="139" t="str">
        <f t="shared" si="1"/>
        <v>Gopay</v>
      </c>
      <c r="G36" s="140"/>
      <c r="H36" s="138">
        <f t="array" ref="H36">IF($A36="","",
  IF(
    OR(
      $A36=23,
      AND($A36&gt;=32,$A36&lt;=50)
    ),
    IFERROR(
      INDEX('Daily Sales'!$C:$AG,
        $A36,
        MATCH(TEXT($B36,"0"),TEXT('Daily Sales'!$C$2:$AG$2,"0"),0)
      ),
    ""),
  "")
)</f>
        <v>0</v>
      </c>
      <c r="I36" s="138" t="str">
        <f t="array" ref="I36">IF($A36="","",
  IF(
    OR(
      AND($A36&gt;=4,$A36&lt;=8),
      AND($A36&gt;=12,$A36&lt;=19),
      AND($A36&gt;=28,$A36&lt;=29)
    ),
    IFERROR(
      INDEX('Daily Sales'!$C:$AG,
        $A36,
        MATCH(TEXT($B36,"0"),TEXT('Daily Sales'!$C$2:$AG$2,"0"),0)
      ),
    ""),
  "")
)</f>
        <v/>
      </c>
      <c r="J36" s="79" t="e">
        <f t="shared" si="2"/>
        <v>#VALUE!</v>
      </c>
      <c r="K36" s="141"/>
      <c r="L36" s="81"/>
      <c r="M36" s="141"/>
      <c r="N36" s="133"/>
      <c r="O36" s="4"/>
      <c r="P36" s="4"/>
      <c r="Q36" s="4"/>
      <c r="R36" s="109"/>
      <c r="S36" s="109"/>
      <c r="T36" s="108"/>
      <c r="U36" s="110"/>
      <c r="V36" s="110"/>
      <c r="W36" s="110"/>
      <c r="X36" s="110"/>
    </row>
    <row r="37" spans="1:24" ht="13.5" customHeight="1">
      <c r="A37" s="110">
        <f>IF(E37="","",MATCH(E37,'Daily Sales'!B$4:B$51,0)+3)</f>
        <v>50</v>
      </c>
      <c r="B37" s="135">
        <v>46174</v>
      </c>
      <c r="C37" s="136" t="s">
        <v>91</v>
      </c>
      <c r="D37" s="137" t="str">
        <f t="array" ref="D37">IF($A37="","",INDEX('Daily Sales'!A:A,$A37))</f>
        <v>2-2110</v>
      </c>
      <c r="E37" s="138" t="s">
        <v>72</v>
      </c>
      <c r="F37" s="139" t="str">
        <f t="shared" si="1"/>
        <v>Cash Short/Over</v>
      </c>
      <c r="G37" s="140"/>
      <c r="H37" s="138">
        <f t="array" ref="H37">IF($A37="","",
  IF(
    OR(
      $A37=23,
      AND($A37&gt;=32,$A37&lt;=50)
    ),
    IFERROR(
      INDEX('Daily Sales'!$C:$AG,
        $A37,
        MATCH(TEXT($B37,"0"),TEXT('Daily Sales'!$C$2:$AG$2,"0"),0)
      ),
    ""),
  "")
)</f>
        <v>489.5</v>
      </c>
      <c r="I37" s="138" t="str">
        <f t="array" ref="I37">IF($A37="","",
  IF(
    OR(
      AND($A37&gt;=4,$A37&lt;=8),
      AND($A37&gt;=12,$A37&lt;=19),
      AND($A37&gt;=28,$A37&lt;=29)
    ),
    IFERROR(
      INDEX('Daily Sales'!$C:$AG,
        $A37,
        MATCH(TEXT($B37,"0"),TEXT('Daily Sales'!$C$2:$AG$2,"0"),0)
      ),
    ""),
  "")
)</f>
        <v/>
      </c>
      <c r="J37" s="79" t="e">
        <f t="shared" si="2"/>
        <v>#VALUE!</v>
      </c>
      <c r="K37" s="141"/>
      <c r="L37" s="81"/>
      <c r="M37" s="141"/>
      <c r="N37" s="133"/>
      <c r="O37" s="4"/>
      <c r="P37" s="4"/>
      <c r="Q37" s="4"/>
      <c r="R37" s="109"/>
      <c r="S37" s="109"/>
      <c r="T37" s="108"/>
      <c r="U37" s="110"/>
      <c r="V37" s="110"/>
      <c r="W37" s="110"/>
      <c r="X37" s="110"/>
    </row>
    <row r="38" spans="1:24" ht="13.5" customHeight="1">
      <c r="A38" s="110" t="str">
        <f>IF(E38="","",MATCH(E38,'Daily Sales'!B$4:B$51,0)+3)</f>
        <v/>
      </c>
      <c r="B38" s="135"/>
      <c r="C38" s="136"/>
      <c r="D38" s="137" t="str">
        <f t="array" ref="D38">IF($A38="","",INDEX('Daily Sales'!A:A,$A38))</f>
        <v/>
      </c>
      <c r="E38" s="138"/>
      <c r="F38" s="139">
        <f t="shared" si="1"/>
        <v>0</v>
      </c>
      <c r="G38" s="140"/>
      <c r="H38" s="138" t="str">
        <f t="array" ref="H38">IF($A38="","",
  IF(
    OR(
      $A38=23,
      AND($A38&gt;=32,$A38&lt;=50)
    ),
    IFERROR(
      INDEX('Daily Sales'!$C:$AG,
        $A38,
        MATCH(TEXT($B38,"0"),TEXT('Daily Sales'!$C$2:$AG$2,"0"),0)
      ),
    ""),
  "")
)</f>
        <v/>
      </c>
      <c r="I38" s="138" t="str">
        <f t="array" ref="I38">IF($A38="","",
  IF(
    OR(
      AND($A38&gt;=4,$A38&lt;=8),
      AND($A38&gt;=12,$A38&lt;=19),
      AND($A38&gt;=28,$A38&lt;=29)
    ),
    IFERROR(
      INDEX('Daily Sales'!$C:$AG,
        $A38,
        MATCH(TEXT($B38,"0"),TEXT('Daily Sales'!$C$2:$AG$2,"0"),0)
      ),
    ""),
  "")
)</f>
        <v/>
      </c>
      <c r="J38" s="79" t="e">
        <f t="shared" si="2"/>
        <v>#VALUE!</v>
      </c>
      <c r="K38" s="141"/>
      <c r="L38" s="81"/>
      <c r="M38" s="141"/>
      <c r="N38" s="133"/>
      <c r="O38" s="4"/>
      <c r="P38" s="4"/>
      <c r="Q38" s="4"/>
      <c r="R38" s="109"/>
      <c r="S38" s="109"/>
      <c r="T38" s="108"/>
      <c r="U38" s="110"/>
      <c r="V38" s="110"/>
      <c r="W38" s="110"/>
      <c r="X38" s="110"/>
    </row>
    <row r="39" spans="1:24" ht="13.5" customHeight="1">
      <c r="A39" s="110">
        <f>IF(E39="","",MATCH(E39,'Daily Sales'!B$4:B$51,0)+3)</f>
        <v>4</v>
      </c>
      <c r="B39" s="135">
        <v>46175</v>
      </c>
      <c r="C39" s="136" t="s">
        <v>92</v>
      </c>
      <c r="D39" s="137" t="str">
        <f t="array" ref="D39">IF($A39="","",INDEX('Daily Sales'!A:A,$A39))</f>
        <v>4-2100</v>
      </c>
      <c r="E39" s="138" t="s">
        <v>5</v>
      </c>
      <c r="F39" s="139" t="str">
        <f t="shared" si="1"/>
        <v>Sales Food TERRACE</v>
      </c>
      <c r="G39" s="140"/>
      <c r="H39" s="138" t="str">
        <f t="array" ref="H39">IF($A39="","",
  IF(
    OR(
      $A39=23,
      AND($A39&gt;=32,$A39&lt;=50)
    ),
    IFERROR(
      INDEX('Daily Sales'!$C:$AG,
        $A39,
        MATCH(TEXT($B39,"0"),TEXT('Daily Sales'!$C$2:$AG$2,"0"),0)
      ),
    ""),
  "")
)</f>
        <v/>
      </c>
      <c r="I39" s="138">
        <f t="array" ref="I39">IF($A39="","",
  IF(
    OR(
      AND($A39&gt;=4,$A39&lt;=8),
      AND($A39&gt;=12,$A39&lt;=19),
      AND($A39&gt;=28,$A39&lt;=29)
    ),
    IFERROR(
      INDEX('Daily Sales'!$C:$AG,
        $A39,
        MATCH(TEXT($B39,"0"),TEXT('Daily Sales'!$C$2:$AG$2,"0"),0)
      ),
    ""),
  "")
)</f>
        <v>3590000</v>
      </c>
      <c r="J39" s="79" t="e">
        <f t="shared" si="2"/>
        <v>#VALUE!</v>
      </c>
      <c r="K39" s="141"/>
      <c r="L39" s="81"/>
      <c r="M39" s="141"/>
      <c r="N39" s="133"/>
      <c r="O39" s="4"/>
      <c r="P39" s="4"/>
      <c r="Q39" s="4"/>
      <c r="R39" s="109"/>
      <c r="S39" s="109"/>
      <c r="T39" s="108"/>
      <c r="U39" s="110"/>
      <c r="V39" s="110"/>
      <c r="W39" s="110"/>
      <c r="X39" s="110"/>
    </row>
    <row r="40" spans="1:24" ht="13.5" customHeight="1">
      <c r="A40" s="110">
        <f>IF(E40="","",MATCH(E40,'Daily Sales'!B$4:B$51,0)+3)</f>
        <v>5</v>
      </c>
      <c r="B40" s="135">
        <v>46175</v>
      </c>
      <c r="C40" s="136" t="s">
        <v>92</v>
      </c>
      <c r="D40" s="137" t="str">
        <f t="array" ref="D40">IF($A40="","",INDEX('Daily Sales'!A:A,$A40))</f>
        <v>4-2200</v>
      </c>
      <c r="E40" s="138" t="s">
        <v>7</v>
      </c>
      <c r="F40" s="139" t="str">
        <f t="shared" si="1"/>
        <v>Sales Beverages TERRACE</v>
      </c>
      <c r="G40" s="140"/>
      <c r="H40" s="138" t="str">
        <f t="array" ref="H40">IF($A40="","",
  IF(
    OR(
      $A40=23,
      AND($A40&gt;=32,$A40&lt;=50)
    ),
    IFERROR(
      INDEX('Daily Sales'!$C:$AG,
        $A40,
        MATCH(TEXT($B40,"0"),TEXT('Daily Sales'!$C$2:$AG$2,"0"),0)
      ),
    ""),
  "")
)</f>
        <v/>
      </c>
      <c r="I40" s="138">
        <f t="array" ref="I40">IF($A40="","",
  IF(
    OR(
      AND($A40&gt;=4,$A40&lt;=8),
      AND($A40&gt;=12,$A40&lt;=19),
      AND($A40&gt;=28,$A40&lt;=29)
    ),
    IFERROR(
      INDEX('Daily Sales'!$C:$AG,
        $A40,
        MATCH(TEXT($B40,"0"),TEXT('Daily Sales'!$C$2:$AG$2,"0"),0)
      ),
    ""),
  "")
)</f>
        <v>2740000</v>
      </c>
      <c r="J40" s="79" t="e">
        <f t="shared" si="2"/>
        <v>#VALUE!</v>
      </c>
      <c r="K40" s="141"/>
      <c r="L40" s="81"/>
      <c r="M40" s="141"/>
      <c r="N40" s="133"/>
      <c r="O40" s="4"/>
      <c r="P40" s="4"/>
      <c r="Q40" s="4"/>
      <c r="R40" s="109"/>
      <c r="S40" s="109"/>
      <c r="T40" s="108"/>
      <c r="U40" s="110"/>
      <c r="V40" s="110"/>
      <c r="W40" s="110"/>
      <c r="X40" s="110"/>
    </row>
    <row r="41" spans="1:24" ht="13.5" customHeight="1">
      <c r="A41" s="110">
        <f>IF(E41="","",MATCH(E41,'Daily Sales'!B$4:B$51,0)+3)</f>
        <v>6</v>
      </c>
      <c r="B41" s="135">
        <v>46175</v>
      </c>
      <c r="C41" s="136" t="s">
        <v>92</v>
      </c>
      <c r="D41" s="137" t="str">
        <f t="array" ref="D41">IF($A41="","",INDEX('Daily Sales'!A:A,$A41))</f>
        <v>4-2400</v>
      </c>
      <c r="E41" s="138" t="s">
        <v>9</v>
      </c>
      <c r="F41" s="139" t="str">
        <f t="shared" si="1"/>
        <v>Sales Cigarette TERRACE</v>
      </c>
      <c r="G41" s="140"/>
      <c r="H41" s="138" t="str">
        <f t="array" ref="H41">IF($A41="","",
  IF(
    OR(
      $A41=23,
      AND($A41&gt;=32,$A41&lt;=50)
    ),
    IFERROR(
      INDEX('Daily Sales'!$C:$AG,
        $A41,
        MATCH(TEXT($B41,"0"),TEXT('Daily Sales'!$C$2:$AG$2,"0"),0)
      ),
    ""),
  "")
)</f>
        <v/>
      </c>
      <c r="I41" s="138">
        <f t="array" ref="I41">IF($A41="","",
  IF(
    OR(
      AND($A41&gt;=4,$A41&lt;=8),
      AND($A41&gt;=12,$A41&lt;=19),
      AND($A41&gt;=28,$A41&lt;=29)
    ),
    IFERROR(
      INDEX('Daily Sales'!$C:$AG,
        $A41,
        MATCH(TEXT($B41,"0"),TEXT('Daily Sales'!$C$2:$AG$2,"0"),0)
      ),
    ""),
  "")
)</f>
        <v>0</v>
      </c>
      <c r="J41" s="79" t="e">
        <f t="shared" si="2"/>
        <v>#VALUE!</v>
      </c>
      <c r="K41" s="141"/>
      <c r="L41" s="81"/>
      <c r="M41" s="141"/>
      <c r="N41" s="133"/>
      <c r="O41" s="4"/>
      <c r="P41" s="4"/>
      <c r="Q41" s="4"/>
      <c r="R41" s="109"/>
      <c r="S41" s="109"/>
      <c r="T41" s="108"/>
      <c r="U41" s="110"/>
      <c r="V41" s="110"/>
      <c r="W41" s="110"/>
      <c r="X41" s="110"/>
    </row>
    <row r="42" spans="1:24" ht="13.5" customHeight="1">
      <c r="A42" s="110">
        <f>IF(E42="","",MATCH(E42,'Daily Sales'!B$4:B$51,0)+3)</f>
        <v>7</v>
      </c>
      <c r="B42" s="135">
        <v>46175</v>
      </c>
      <c r="C42" s="136" t="s">
        <v>92</v>
      </c>
      <c r="D42" s="137" t="str">
        <f t="array" ref="D42">IF($A42="","",INDEX('Daily Sales'!A:A,$A42))</f>
        <v>4-2300</v>
      </c>
      <c r="E42" s="138" t="s">
        <v>11</v>
      </c>
      <c r="F42" s="139" t="str">
        <f t="shared" si="1"/>
        <v>Sales Shisa TERRACE</v>
      </c>
      <c r="G42" s="140"/>
      <c r="H42" s="138" t="str">
        <f t="array" ref="H42">IF($A42="","",
  IF(
    OR(
      $A42=23,
      AND($A42&gt;=32,$A42&lt;=50)
    ),
    IFERROR(
      INDEX('Daily Sales'!$C:$AG,
        $A42,
        MATCH(TEXT($B42,"0"),TEXT('Daily Sales'!$C$2:$AG$2,"0"),0)
      ),
    ""),
  "")
)</f>
        <v/>
      </c>
      <c r="I42" s="138">
        <f t="array" ref="I42">IF($A42="","",
  IF(
    OR(
      AND($A42&gt;=4,$A42&lt;=8),
      AND($A42&gt;=12,$A42&lt;=19),
      AND($A42&gt;=28,$A42&lt;=29)
    ),
    IFERROR(
      INDEX('Daily Sales'!$C:$AG,
        $A42,
        MATCH(TEXT($B42,"0"),TEXT('Daily Sales'!$C$2:$AG$2,"0"),0)
      ),
    ""),
  "")
)</f>
        <v>0</v>
      </c>
      <c r="J42" s="79" t="e">
        <f t="shared" si="2"/>
        <v>#VALUE!</v>
      </c>
      <c r="K42" s="141"/>
      <c r="L42" s="81"/>
      <c r="M42" s="141"/>
      <c r="N42" s="133"/>
      <c r="O42" s="4"/>
      <c r="P42" s="4"/>
      <c r="Q42" s="4"/>
      <c r="R42" s="109"/>
      <c r="S42" s="109"/>
      <c r="T42" s="108"/>
      <c r="U42" s="110"/>
      <c r="V42" s="110"/>
      <c r="W42" s="110"/>
      <c r="X42" s="110"/>
    </row>
    <row r="43" spans="1:24" ht="13.5" customHeight="1">
      <c r="A43" s="110">
        <f>IF(E43="","",MATCH(E43,'Daily Sales'!B$4:B$51,0)+3)</f>
        <v>12</v>
      </c>
      <c r="B43" s="135">
        <v>46175</v>
      </c>
      <c r="C43" s="136" t="s">
        <v>92</v>
      </c>
      <c r="D43" s="137" t="str">
        <f t="array" ref="D43">IF($A43="","",INDEX('Daily Sales'!A:A,$A43))</f>
        <v>4-2200</v>
      </c>
      <c r="E43" s="138" t="s">
        <v>17</v>
      </c>
      <c r="F43" s="139" t="str">
        <f t="shared" si="1"/>
        <v>Sales Beverages CLUB</v>
      </c>
      <c r="G43" s="140"/>
      <c r="H43" s="138" t="str">
        <f t="array" ref="H43">IF($A43="","",
  IF(
    OR(
      $A43=23,
      AND($A43&gt;=32,$A43&lt;=50)
    ),
    IFERROR(
      INDEX('Daily Sales'!$C:$AG,
        $A43,
        MATCH(TEXT($B43,"0"),TEXT('Daily Sales'!$C$2:$AG$2,"0"),0)
      ),
    ""),
  "")
)</f>
        <v/>
      </c>
      <c r="I43" s="138">
        <f t="array" ref="I43">IF($A43="","",
  IF(
    OR(
      AND($A43&gt;=4,$A43&lt;=8),
      AND($A43&gt;=12,$A43&lt;=19),
      AND($A43&gt;=28,$A43&lt;=29)
    ),
    IFERROR(
      INDEX('Daily Sales'!$C:$AG,
        $A43,
        MATCH(TEXT($B43,"0"),TEXT('Daily Sales'!$C$2:$AG$2,"0"),0)
      ),
    ""),
  "")
)</f>
        <v>27335000</v>
      </c>
      <c r="J43" s="79" t="e">
        <f t="shared" si="2"/>
        <v>#VALUE!</v>
      </c>
      <c r="K43" s="141"/>
      <c r="L43" s="81"/>
      <c r="M43" s="141"/>
      <c r="N43" s="133"/>
      <c r="O43" s="4"/>
      <c r="P43" s="4"/>
      <c r="Q43" s="4"/>
      <c r="R43" s="109"/>
      <c r="S43" s="109"/>
      <c r="T43" s="108"/>
      <c r="U43" s="110"/>
      <c r="V43" s="110"/>
      <c r="W43" s="110"/>
      <c r="X43" s="110"/>
    </row>
    <row r="44" spans="1:24" ht="13.5" customHeight="1">
      <c r="A44" s="110">
        <f>IF(E44="","",MATCH(E44,'Daily Sales'!B$4:B$51,0)+3)</f>
        <v>13</v>
      </c>
      <c r="B44" s="135">
        <v>46175</v>
      </c>
      <c r="C44" s="136" t="s">
        <v>92</v>
      </c>
      <c r="D44" s="137" t="str">
        <f t="array" ref="D44">IF($A44="","",INDEX('Daily Sales'!A:A,$A44))</f>
        <v>4-2400</v>
      </c>
      <c r="E44" s="138" t="s">
        <v>18</v>
      </c>
      <c r="F44" s="139" t="str">
        <f t="shared" si="1"/>
        <v>Sales Cigarette CLUB</v>
      </c>
      <c r="G44" s="140"/>
      <c r="H44" s="138" t="str">
        <f t="array" ref="H44">IF($A44="","",
  IF(
    OR(
      $A44=23,
      AND($A44&gt;=32,$A44&lt;=50)
    ),
    IFERROR(
      INDEX('Daily Sales'!$C:$AG,
        $A44,
        MATCH(TEXT($B44,"0"),TEXT('Daily Sales'!$C$2:$AG$2,"0"),0)
      ),
    ""),
  "")
)</f>
        <v/>
      </c>
      <c r="I44" s="138">
        <f t="array" ref="I44">IF($A44="","",
  IF(
    OR(
      AND($A44&gt;=4,$A44&lt;=8),
      AND($A44&gt;=12,$A44&lt;=19),
      AND($A44&gt;=28,$A44&lt;=29)
    ),
    IFERROR(
      INDEX('Daily Sales'!$C:$AG,
        $A44,
        MATCH(TEXT($B44,"0"),TEXT('Daily Sales'!$C$2:$AG$2,"0"),0)
      ),
    ""),
  "")
)</f>
        <v>820000</v>
      </c>
      <c r="J44" s="79" t="e">
        <f t="shared" si="2"/>
        <v>#VALUE!</v>
      </c>
      <c r="K44" s="141"/>
      <c r="L44" s="81"/>
      <c r="M44" s="141"/>
      <c r="N44" s="133"/>
      <c r="O44" s="4"/>
      <c r="P44" s="4"/>
      <c r="Q44" s="4"/>
      <c r="R44" s="109"/>
      <c r="S44" s="109"/>
      <c r="T44" s="108"/>
      <c r="U44" s="110"/>
      <c r="V44" s="110"/>
      <c r="W44" s="110"/>
      <c r="X44" s="110"/>
    </row>
    <row r="45" spans="1:24" ht="13.5" customHeight="1">
      <c r="A45" s="110">
        <f>IF(E45="","",MATCH(E45,'Daily Sales'!B$4:B$51,0)+3)</f>
        <v>14</v>
      </c>
      <c r="B45" s="135">
        <v>46175</v>
      </c>
      <c r="C45" s="136" t="s">
        <v>92</v>
      </c>
      <c r="D45" s="137" t="str">
        <f t="array" ref="D45">IF($A45="","",INDEX('Daily Sales'!A:A,$A45))</f>
        <v>4-2100</v>
      </c>
      <c r="E45" s="138" t="s">
        <v>19</v>
      </c>
      <c r="F45" s="139" t="str">
        <f t="shared" si="1"/>
        <v>Sales Food CLUB</v>
      </c>
      <c r="G45" s="140"/>
      <c r="H45" s="138" t="str">
        <f t="array" ref="H45">IF($A45="","",
  IF(
    OR(
      $A45=23,
      AND($A45&gt;=32,$A45&lt;=50)
    ),
    IFERROR(
      INDEX('Daily Sales'!$C:$AG,
        $A45,
        MATCH(TEXT($B45,"0"),TEXT('Daily Sales'!$C$2:$AG$2,"0"),0)
      ),
    ""),
  "")
)</f>
        <v/>
      </c>
      <c r="I45" s="138">
        <f t="array" ref="I45">IF($A45="","",
  IF(
    OR(
      AND($A45&gt;=4,$A45&lt;=8),
      AND($A45&gt;=12,$A45&lt;=19),
      AND($A45&gt;=28,$A45&lt;=29)
    ),
    IFERROR(
      INDEX('Daily Sales'!$C:$AG,
        $A45,
        MATCH(TEXT($B45,"0"),TEXT('Daily Sales'!$C$2:$AG$2,"0"),0)
      ),
    ""),
  "")
)</f>
        <v>350000</v>
      </c>
      <c r="J45" s="79" t="e">
        <f t="shared" si="2"/>
        <v>#VALUE!</v>
      </c>
      <c r="K45" s="141"/>
      <c r="L45" s="81"/>
      <c r="M45" s="141"/>
      <c r="N45" s="133"/>
      <c r="O45" s="4"/>
      <c r="P45" s="4"/>
      <c r="Q45" s="4"/>
      <c r="R45" s="109"/>
      <c r="S45" s="109"/>
      <c r="T45" s="108"/>
      <c r="U45" s="110"/>
      <c r="V45" s="110"/>
      <c r="W45" s="110"/>
      <c r="X45" s="110"/>
    </row>
    <row r="46" spans="1:24" ht="13.5" customHeight="1">
      <c r="A46" s="110">
        <f>IF(E46="","",MATCH(E46,'Daily Sales'!B$4:B$51,0)+3)</f>
        <v>15</v>
      </c>
      <c r="B46" s="135">
        <v>46175</v>
      </c>
      <c r="C46" s="136" t="s">
        <v>92</v>
      </c>
      <c r="D46" s="137" t="str">
        <f t="array" ref="D46">IF($A46="","",INDEX('Daily Sales'!A:A,$A46))</f>
        <v>4-2300</v>
      </c>
      <c r="E46" s="138" t="s">
        <v>20</v>
      </c>
      <c r="F46" s="139" t="str">
        <f t="shared" si="1"/>
        <v>Sales Shisa CLUB</v>
      </c>
      <c r="G46" s="140"/>
      <c r="H46" s="138" t="str">
        <f t="array" ref="H46">IF($A46="","",
  IF(
    OR(
      $A46=23,
      AND($A46&gt;=32,$A46&lt;=50)
    ),
    IFERROR(
      INDEX('Daily Sales'!$C:$AG,
        $A46,
        MATCH(TEXT($B46,"0"),TEXT('Daily Sales'!$C$2:$AG$2,"0"),0)
      ),
    ""),
  "")
)</f>
        <v/>
      </c>
      <c r="I46" s="138">
        <f t="array" ref="I46">IF($A46="","",
  IF(
    OR(
      AND($A46&gt;=4,$A46&lt;=8),
      AND($A46&gt;=12,$A46&lt;=19),
      AND($A46&gt;=28,$A46&lt;=29)
    ),
    IFERROR(
      INDEX('Daily Sales'!$C:$AG,
        $A46,
        MATCH(TEXT($B46,"0"),TEXT('Daily Sales'!$C$2:$AG$2,"0"),0)
      ),
    ""),
  "")
)</f>
        <v>250000</v>
      </c>
      <c r="J46" s="79" t="e">
        <f t="shared" si="2"/>
        <v>#VALUE!</v>
      </c>
      <c r="K46" s="141"/>
      <c r="L46" s="81"/>
      <c r="M46" s="141"/>
      <c r="N46" s="133"/>
      <c r="O46" s="4"/>
      <c r="P46" s="4"/>
      <c r="Q46" s="4"/>
      <c r="R46" s="109"/>
      <c r="S46" s="109"/>
      <c r="T46" s="108"/>
      <c r="U46" s="110"/>
      <c r="V46" s="110"/>
      <c r="W46" s="110"/>
      <c r="X46" s="110"/>
    </row>
    <row r="47" spans="1:24" ht="13.5" customHeight="1">
      <c r="A47" s="110">
        <f>IF(E47="","",MATCH(E47,'Daily Sales'!B$4:B$51,0)+3)</f>
        <v>17</v>
      </c>
      <c r="B47" s="135">
        <v>46175</v>
      </c>
      <c r="C47" s="136" t="s">
        <v>92</v>
      </c>
      <c r="D47" s="137" t="str">
        <f t="array" ref="D47">IF($A47="","",INDEX('Daily Sales'!A:A,$A47))</f>
        <v>4-2601</v>
      </c>
      <c r="E47" s="138" t="s">
        <v>23</v>
      </c>
      <c r="F47" s="139" t="str">
        <f t="shared" si="1"/>
        <v xml:space="preserve">Misc </v>
      </c>
      <c r="G47" s="140"/>
      <c r="H47" s="138" t="str">
        <f t="array" ref="H47">IF($A47="","",
  IF(
    OR(
      $A47=23,
      AND($A47&gt;=32,$A47&lt;=50)
    ),
    IFERROR(
      INDEX('Daily Sales'!$C:$AG,
        $A47,
        MATCH(TEXT($B47,"0"),TEXT('Daily Sales'!$C$2:$AG$2,"0"),0)
      ),
    ""),
  "")
)</f>
        <v/>
      </c>
      <c r="I47" s="138">
        <f t="array" ref="I47">IF($A47="","",
  IF(
    OR(
      AND($A47&gt;=4,$A47&lt;=8),
      AND($A47&gt;=12,$A47&lt;=19),
      AND($A47&gt;=28,$A47&lt;=29)
    ),
    IFERROR(
      INDEX('Daily Sales'!$C:$AG,
        $A47,
        MATCH(TEXT($B47,"0"),TEXT('Daily Sales'!$C$2:$AG$2,"0"),0)
      ),
    ""),
  "")
)</f>
        <v>0</v>
      </c>
      <c r="J47" s="79" t="e">
        <f t="shared" si="2"/>
        <v>#VALUE!</v>
      </c>
      <c r="K47" s="141"/>
      <c r="L47" s="81"/>
      <c r="M47" s="141"/>
      <c r="N47" s="133"/>
      <c r="O47" s="4"/>
      <c r="P47" s="4"/>
      <c r="Q47" s="4"/>
      <c r="R47" s="109"/>
      <c r="S47" s="109"/>
      <c r="T47" s="108"/>
      <c r="U47" s="110"/>
      <c r="V47" s="110"/>
      <c r="W47" s="110"/>
      <c r="X47" s="110"/>
    </row>
    <row r="48" spans="1:24" ht="13.5" customHeight="1">
      <c r="A48" s="110">
        <f>IF(E48="","",MATCH(E48,'Daily Sales'!B$4:B$51,0)+3)</f>
        <v>19</v>
      </c>
      <c r="B48" s="135">
        <v>46175</v>
      </c>
      <c r="C48" s="136" t="s">
        <v>92</v>
      </c>
      <c r="D48" s="137" t="str">
        <f t="array" ref="D48">IF($A48="","",INDEX('Daily Sales'!A:A,$A48))</f>
        <v>4-2500</v>
      </c>
      <c r="E48" s="138" t="s">
        <v>26</v>
      </c>
      <c r="F48" s="139" t="str">
        <f t="shared" si="1"/>
        <v>Sales Ticket</v>
      </c>
      <c r="G48" s="140"/>
      <c r="H48" s="138" t="str">
        <f t="array" ref="H48">IF($A48="","",
  IF(
    OR(
      $A48=23,
      AND($A48&gt;=32,$A48&lt;=50)
    ),
    IFERROR(
      INDEX('Daily Sales'!$C:$AG,
        $A48,
        MATCH(TEXT($B48,"0"),TEXT('Daily Sales'!$C$2:$AG$2,"0"),0)
      ),
    ""),
  "")
)</f>
        <v/>
      </c>
      <c r="I48" s="138">
        <f t="array" ref="I48">IF($A48="","",
  IF(
    OR(
      AND($A48&gt;=4,$A48&lt;=8),
      AND($A48&gt;=12,$A48&lt;=19),
      AND($A48&gt;=28,$A48&lt;=29)
    ),
    IFERROR(
      INDEX('Daily Sales'!$C:$AG,
        $A48,
        MATCH(TEXT($B48,"0"),TEXT('Daily Sales'!$C$2:$AG$2,"0"),0)
      ),
    ""),
  "")
)</f>
        <v>6627036</v>
      </c>
      <c r="J48" s="79" t="e">
        <f t="shared" si="2"/>
        <v>#VALUE!</v>
      </c>
      <c r="K48" s="141"/>
      <c r="L48" s="81"/>
      <c r="M48" s="141"/>
      <c r="N48" s="133"/>
      <c r="O48" s="4"/>
      <c r="P48" s="4"/>
      <c r="Q48" s="4"/>
      <c r="R48" s="109"/>
      <c r="S48" s="109"/>
      <c r="T48" s="108"/>
      <c r="U48" s="110"/>
      <c r="V48" s="110"/>
      <c r="W48" s="110"/>
      <c r="X48" s="110"/>
    </row>
    <row r="49" spans="1:24" ht="13.5" customHeight="1">
      <c r="A49" s="110">
        <f>IF(E49="","",MATCH(E49,'Daily Sales'!B$4:B$51,0)+3)</f>
        <v>28</v>
      </c>
      <c r="B49" s="135">
        <v>46175</v>
      </c>
      <c r="C49" s="136" t="s">
        <v>92</v>
      </c>
      <c r="D49" s="137" t="str">
        <f t="array" ref="D49">IF($A49="","",INDEX('Daily Sales'!A:A,$A49))</f>
        <v>2-2106</v>
      </c>
      <c r="E49" s="138" t="s">
        <v>35</v>
      </c>
      <c r="F49" s="139" t="str">
        <f t="shared" si="1"/>
        <v>Service Charges 7%</v>
      </c>
      <c r="G49" s="140"/>
      <c r="H49" s="138" t="str">
        <f t="array" ref="H49">IF($A49="","",
  IF(
    OR(
      $A49=23,
      AND($A49&gt;=32,$A49&lt;=50)
    ),
    IFERROR(
      INDEX('Daily Sales'!$C:$AG,
        $A49,
        MATCH(TEXT($B49,"0"),TEXT('Daily Sales'!$C$2:$AG$2,"0"),0)
      ),
    ""),
  "")
)</f>
        <v/>
      </c>
      <c r="I49" s="138">
        <f t="array" ref="I49">IF($A49="","",
  IF(
    OR(
      AND($A49&gt;=4,$A49&lt;=8),
      AND($A49&gt;=12,$A49&lt;=19),
      AND($A49&gt;=28,$A49&lt;=29)
    ),
    IFERROR(
      INDEX('Daily Sales'!$C:$AG,
        $A49,
        MATCH(TEXT($B49,"0"),TEXT('Daily Sales'!$C$2:$AG$2,"0"),0)
      ),
    ""),
  "")
)</f>
        <v>2856667.5200000005</v>
      </c>
      <c r="J49" s="79" t="e">
        <f t="shared" si="2"/>
        <v>#VALUE!</v>
      </c>
      <c r="K49" s="141"/>
      <c r="L49" s="81"/>
      <c r="M49" s="141"/>
      <c r="N49" s="133"/>
      <c r="O49" s="4"/>
      <c r="P49" s="4"/>
      <c r="Q49" s="4"/>
      <c r="R49" s="109"/>
      <c r="S49" s="109"/>
      <c r="T49" s="108"/>
      <c r="U49" s="110"/>
      <c r="V49" s="110"/>
      <c r="W49" s="110"/>
      <c r="X49" s="110"/>
    </row>
    <row r="50" spans="1:24" ht="13.5" customHeight="1">
      <c r="A50" s="110">
        <f>IF(E50="","",MATCH(E50,'Daily Sales'!B$4:B$51,0)+3)</f>
        <v>29</v>
      </c>
      <c r="B50" s="135">
        <v>46175</v>
      </c>
      <c r="C50" s="136" t="s">
        <v>92</v>
      </c>
      <c r="D50" s="137" t="str">
        <f t="array" ref="D50">IF($A50="","",INDEX('Daily Sales'!A:A,$A50))</f>
        <v>2-3101</v>
      </c>
      <c r="E50" s="138" t="s">
        <v>37</v>
      </c>
      <c r="F50" s="139" t="str">
        <f t="shared" si="1"/>
        <v>Tax PB1 10%</v>
      </c>
      <c r="G50" s="140"/>
      <c r="H50" s="138" t="str">
        <f t="array" ref="H50">IF($A50="","",
  IF(
    OR(
      $A50=23,
      AND($A50&gt;=32,$A50&lt;=50)
    ),
    IFERROR(
      INDEX('Daily Sales'!$C:$AG,
        $A50,
        MATCH(TEXT($B50,"0"),TEXT('Daily Sales'!$C$2:$AG$2,"0"),0)
      ),
    ""),
  "")
)</f>
        <v/>
      </c>
      <c r="I50" s="138">
        <f t="array" ref="I50">IF($A50="","",
  IF(
    OR(
      AND($A50&gt;=4,$A50&lt;=8),
      AND($A50&gt;=12,$A50&lt;=19),
      AND($A50&gt;=28,$A50&lt;=29)
    ),
    IFERROR(
      INDEX('Daily Sales'!$C:$AG,
        $A50,
        MATCH(TEXT($B50,"0"),TEXT('Daily Sales'!$C$2:$AG$2,"0"),0)
      ),
    ""),
  "")
)</f>
        <v>4366620.3520000009</v>
      </c>
      <c r="J50" s="79" t="e">
        <f t="shared" si="2"/>
        <v>#VALUE!</v>
      </c>
      <c r="K50" s="141"/>
      <c r="L50" s="81"/>
      <c r="M50" s="141"/>
      <c r="N50" s="133"/>
      <c r="O50" s="4"/>
      <c r="P50" s="4"/>
      <c r="Q50" s="4"/>
      <c r="R50" s="109"/>
      <c r="S50" s="109"/>
      <c r="T50" s="108"/>
      <c r="U50" s="110"/>
      <c r="V50" s="110"/>
      <c r="W50" s="110"/>
      <c r="X50" s="110"/>
    </row>
    <row r="51" spans="1:24" ht="13.5" customHeight="1">
      <c r="A51" s="110">
        <f>IF(E51="","",MATCH(E51,'Daily Sales'!B$4:B$51,0)+3)</f>
        <v>23</v>
      </c>
      <c r="B51" s="135">
        <v>46175</v>
      </c>
      <c r="C51" s="136" t="s">
        <v>92</v>
      </c>
      <c r="D51" s="137" t="str">
        <f t="array" ref="D51">IF($A51="","",INDEX('Daily Sales'!A:A,$A51))</f>
        <v>4-5110</v>
      </c>
      <c r="E51" s="138" t="s">
        <v>30</v>
      </c>
      <c r="F51" s="139" t="str">
        <f t="shared" si="1"/>
        <v>Discount</v>
      </c>
      <c r="G51" s="140"/>
      <c r="H51" s="138">
        <f t="array" ref="H51">IF($A51="","",
  IF(
    OR(
      $A51=23,
      AND($A51&gt;=32,$A51&lt;=50)
    ),
    IFERROR(
      INDEX('Daily Sales'!$C:$AG,
        $A51,
        MATCH(TEXT($B51,"0"),TEXT('Daily Sales'!$C$2:$AG$2,"0"),0)
      ),
    ""),
  "")
)</f>
        <v>902500</v>
      </c>
      <c r="I51" s="138" t="str">
        <f t="array" ref="I51">IF($A51="","",
  IF(
    OR(
      AND($A51&gt;=4,$A51&lt;=8),
      AND($A51&gt;=12,$A51&lt;=19),
      AND($A51&gt;=28,$A51&lt;=29)
    ),
    IFERROR(
      INDEX('Daily Sales'!$C:$AG,
        $A51,
        MATCH(TEXT($B51,"0"),TEXT('Daily Sales'!$C$2:$AG$2,"0"),0)
      ),
    ""),
  "")
)</f>
        <v/>
      </c>
      <c r="J51" s="79" t="e">
        <f t="shared" si="2"/>
        <v>#VALUE!</v>
      </c>
      <c r="K51" s="141"/>
      <c r="L51" s="81"/>
      <c r="M51" s="141"/>
      <c r="N51" s="133"/>
      <c r="O51" s="4"/>
      <c r="P51" s="4"/>
      <c r="Q51" s="4"/>
      <c r="R51" s="109"/>
      <c r="S51" s="109"/>
      <c r="T51" s="108"/>
      <c r="U51" s="110"/>
      <c r="V51" s="110"/>
      <c r="W51" s="110"/>
      <c r="X51" s="110"/>
    </row>
    <row r="52" spans="1:24" ht="13.5" customHeight="1">
      <c r="A52" s="110">
        <f>IF(E52="","",MATCH(E52,'Daily Sales'!B$4:B$51,0)+3)</f>
        <v>32</v>
      </c>
      <c r="B52" s="135">
        <v>46175</v>
      </c>
      <c r="C52" s="136" t="s">
        <v>92</v>
      </c>
      <c r="D52" s="137" t="str">
        <f t="array" ref="D52">IF($A52="","",INDEX('Daily Sales'!A:A,$A52))</f>
        <v>1-1119</v>
      </c>
      <c r="E52" s="138" t="s">
        <v>40</v>
      </c>
      <c r="F52" s="139" t="str">
        <f t="shared" si="1"/>
        <v>Cash IDR</v>
      </c>
      <c r="G52" s="140"/>
      <c r="H52" s="138">
        <f t="array" ref="H52">IF($A52="","",
  IF(
    OR(
      $A52=23,
      AND($A52&gt;=32,$A52&lt;=50)
    ),
    IFERROR(
      INDEX('Daily Sales'!$C:$AG,
        $A52,
        MATCH(TEXT($B52,"0"),TEXT('Daily Sales'!$C$2:$AG$2,"0"),0)
      ),
    ""),
  "")
)</f>
        <v>7081180</v>
      </c>
      <c r="I52" s="138" t="str">
        <f t="array" ref="I52">IF($A52="","",
  IF(
    OR(
      AND($A52&gt;=4,$A52&lt;=8),
      AND($A52&gt;=12,$A52&lt;=19),
      AND($A52&gt;=28,$A52&lt;=29)
    ),
    IFERROR(
      INDEX('Daily Sales'!$C:$AG,
        $A52,
        MATCH(TEXT($B52,"0"),TEXT('Daily Sales'!$C$2:$AG$2,"0"),0)
      ),
    ""),
  "")
)</f>
        <v/>
      </c>
      <c r="J52" s="79" t="e">
        <f t="shared" si="2"/>
        <v>#VALUE!</v>
      </c>
      <c r="K52" s="141"/>
      <c r="L52" s="81"/>
      <c r="M52" s="141"/>
      <c r="N52" s="133"/>
      <c r="O52" s="4"/>
      <c r="P52" s="4"/>
      <c r="Q52" s="4"/>
      <c r="R52" s="109"/>
      <c r="S52" s="109"/>
      <c r="T52" s="108"/>
      <c r="U52" s="110"/>
      <c r="V52" s="110"/>
      <c r="W52" s="110"/>
      <c r="X52" s="110"/>
    </row>
    <row r="53" spans="1:24" ht="13.5" customHeight="1">
      <c r="A53" s="110">
        <f>IF(E53="","",MATCH(E53,'Daily Sales'!B$4:B$51,0)+3)</f>
        <v>33</v>
      </c>
      <c r="B53" s="135">
        <v>46175</v>
      </c>
      <c r="C53" s="136" t="s">
        <v>92</v>
      </c>
      <c r="D53" s="137" t="str">
        <f t="array" ref="D53">IF($A53="","",INDEX('Daily Sales'!A:A,$A53))</f>
        <v>1-1217</v>
      </c>
      <c r="E53" s="138" t="s">
        <v>43</v>
      </c>
      <c r="F53" s="139" t="str">
        <f t="shared" si="1"/>
        <v>Bank transfer</v>
      </c>
      <c r="G53" s="140"/>
      <c r="H53" s="138">
        <f t="array" ref="H53">IF($A53="","",
  IF(
    OR(
      $A53=23,
      AND($A53&gt;=32,$A53&lt;=50)
    ),
    IFERROR(
      INDEX('Daily Sales'!$C:$AG,
        $A53,
        MATCH(TEXT($B53,"0"),TEXT('Daily Sales'!$C$2:$AG$2,"0"),0)
      ),
    ""),
  "")
)</f>
        <v>0</v>
      </c>
      <c r="I53" s="138" t="str">
        <f t="array" ref="I53">IF($A53="","",
  IF(
    OR(
      AND($A53&gt;=4,$A53&lt;=8),
      AND($A53&gt;=12,$A53&lt;=19),
      AND($A53&gt;=28,$A53&lt;=29)
    ),
    IFERROR(
      INDEX('Daily Sales'!$C:$AG,
        $A53,
        MATCH(TEXT($B53,"0"),TEXT('Daily Sales'!$C$2:$AG$2,"0"),0)
      ),
    ""),
  "")
)</f>
        <v/>
      </c>
      <c r="J53" s="79" t="e">
        <f t="shared" si="2"/>
        <v>#VALUE!</v>
      </c>
      <c r="K53" s="141"/>
      <c r="L53" s="81"/>
      <c r="M53" s="141"/>
      <c r="N53" s="133"/>
      <c r="O53" s="4"/>
      <c r="P53" s="4"/>
      <c r="Q53" s="4"/>
      <c r="R53" s="109"/>
      <c r="S53" s="109"/>
      <c r="T53" s="108"/>
      <c r="U53" s="110"/>
      <c r="V53" s="110"/>
      <c r="W53" s="110"/>
      <c r="X53" s="110"/>
    </row>
    <row r="54" spans="1:24" ht="13.5" customHeight="1">
      <c r="A54" s="110">
        <f>IF(E54="","",MATCH(E54,'Daily Sales'!B$4:B$51,0)+3)</f>
        <v>35</v>
      </c>
      <c r="B54" s="135">
        <v>46175</v>
      </c>
      <c r="C54" s="136" t="s">
        <v>92</v>
      </c>
      <c r="D54" s="137" t="str">
        <f t="array" ref="D54">IF($A54="","",INDEX('Daily Sales'!A:A,$A54))</f>
        <v>1-1216</v>
      </c>
      <c r="E54" s="138" t="s">
        <v>46</v>
      </c>
      <c r="F54" s="139" t="str">
        <f t="shared" si="1"/>
        <v>Cim Niaga TBB</v>
      </c>
      <c r="G54" s="140"/>
      <c r="H54" s="138">
        <f t="array" ref="H54">IF($A54="","",
  IF(
    OR(
      $A54=23,
      AND($A54&gt;=32,$A54&lt;=50)
    ),
    IFERROR(
      INDEX('Daily Sales'!$C:$AG,
        $A54,
        MATCH(TEXT($B54,"0"),TEXT('Daily Sales'!$C$2:$AG$2,"0"),0)
      ),
    ""),
  "")
)</f>
        <v>0</v>
      </c>
      <c r="I54" s="138" t="str">
        <f t="array" ref="I54">IF($A54="","",
  IF(
    OR(
      AND($A54&gt;=4,$A54&lt;=8),
      AND($A54&gt;=12,$A54&lt;=19),
      AND($A54&gt;=28,$A54&lt;=29)
    ),
    IFERROR(
      INDEX('Daily Sales'!$C:$AG,
        $A54,
        MATCH(TEXT($B54,"0"),TEXT('Daily Sales'!$C$2:$AG$2,"0"),0)
      ),
    ""),
  "")
)</f>
        <v/>
      </c>
      <c r="J54" s="79" t="e">
        <f t="shared" si="2"/>
        <v>#VALUE!</v>
      </c>
      <c r="K54" s="141"/>
      <c r="L54" s="81"/>
      <c r="M54" s="141"/>
      <c r="N54" s="133"/>
      <c r="O54" s="4"/>
      <c r="P54" s="4"/>
      <c r="Q54" s="4"/>
      <c r="R54" s="109"/>
      <c r="S54" s="109"/>
      <c r="T54" s="108"/>
      <c r="U54" s="110"/>
      <c r="V54" s="110"/>
      <c r="W54" s="110"/>
      <c r="X54" s="110"/>
    </row>
    <row r="55" spans="1:24" ht="13.5" customHeight="1">
      <c r="A55" s="110">
        <f>IF(E55="","",MATCH(E55,'Daily Sales'!B$4:B$51,0)+3)</f>
        <v>36</v>
      </c>
      <c r="B55" s="135">
        <v>46175</v>
      </c>
      <c r="C55" s="136" t="s">
        <v>92</v>
      </c>
      <c r="D55" s="137" t="str">
        <f t="array" ref="D55">IF($A55="","",INDEX('Daily Sales'!A:A,$A55))</f>
        <v>1-1213</v>
      </c>
      <c r="E55" s="138" t="s">
        <v>49</v>
      </c>
      <c r="F55" s="139" t="str">
        <f t="shared" si="1"/>
        <v>Mandiri Debet</v>
      </c>
      <c r="G55" s="140"/>
      <c r="H55" s="138">
        <f t="array" ref="H55">IF($A55="","",
  IF(
    OR(
      $A55=23,
      AND($A55&gt;=32,$A55&lt;=50)
    ),
    IFERROR(
      INDEX('Daily Sales'!$C:$AG,
        $A55,
        MATCH(TEXT($B55,"0"),TEXT('Daily Sales'!$C$2:$AG$2,"0"),0)
      ),
    ""),
  "")
)</f>
        <v>0</v>
      </c>
      <c r="I55" s="138" t="str">
        <f t="array" ref="I55">IF($A55="","",
  IF(
    OR(
      AND($A55&gt;=4,$A55&lt;=8),
      AND($A55&gt;=12,$A55&lt;=19),
      AND($A55&gt;=28,$A55&lt;=29)
    ),
    IFERROR(
      INDEX('Daily Sales'!$C:$AG,
        $A55,
        MATCH(TEXT($B55,"0"),TEXT('Daily Sales'!$C$2:$AG$2,"0"),0)
      ),
    ""),
  "")
)</f>
        <v/>
      </c>
      <c r="J55" s="79" t="e">
        <f t="shared" si="2"/>
        <v>#VALUE!</v>
      </c>
      <c r="K55" s="141"/>
      <c r="L55" s="81"/>
      <c r="M55" s="141"/>
      <c r="N55" s="133"/>
      <c r="O55" s="4"/>
      <c r="P55" s="4"/>
      <c r="Q55" s="4"/>
      <c r="R55" s="109"/>
      <c r="S55" s="109"/>
      <c r="T55" s="108"/>
      <c r="U55" s="110"/>
      <c r="V55" s="110"/>
      <c r="W55" s="110"/>
      <c r="X55" s="110"/>
    </row>
    <row r="56" spans="1:24" ht="13.5" customHeight="1">
      <c r="A56" s="110">
        <f>IF(E56="","",MATCH(E56,'Daily Sales'!B$4:B$51,0)+3)</f>
        <v>37</v>
      </c>
      <c r="B56" s="135">
        <v>46175</v>
      </c>
      <c r="C56" s="136" t="s">
        <v>92</v>
      </c>
      <c r="D56" s="137" t="str">
        <f t="array" ref="D56">IF($A56="","",INDEX('Daily Sales'!A:A,$A56))</f>
        <v>1-1213</v>
      </c>
      <c r="E56" s="138" t="s">
        <v>50</v>
      </c>
      <c r="F56" s="139" t="str">
        <f t="shared" si="1"/>
        <v>Mandiri CC</v>
      </c>
      <c r="G56" s="140"/>
      <c r="H56" s="138">
        <f t="array" ref="H56">IF($A56="","",
  IF(
    OR(
      $A56=23,
      AND($A56&gt;=32,$A56&lt;=50)
    ),
    IFERROR(
      INDEX('Daily Sales'!$C:$AG,
        $A56,
        MATCH(TEXT($B56,"0"),TEXT('Daily Sales'!$C$2:$AG$2,"0"),0)
      ),
    ""),
  "")
)</f>
        <v>23991345</v>
      </c>
      <c r="I56" s="138" t="str">
        <f t="array" ref="I56">IF($A56="","",
  IF(
    OR(
      AND($A56&gt;=4,$A56&lt;=8),
      AND($A56&gt;=12,$A56&lt;=19),
      AND($A56&gt;=28,$A56&lt;=29)
    ),
    IFERROR(
      INDEX('Daily Sales'!$C:$AG,
        $A56,
        MATCH(TEXT($B56,"0"),TEXT('Daily Sales'!$C$2:$AG$2,"0"),0)
      ),
    ""),
  "")
)</f>
        <v/>
      </c>
      <c r="J56" s="79" t="e">
        <f t="shared" si="2"/>
        <v>#VALUE!</v>
      </c>
      <c r="K56" s="141"/>
      <c r="L56" s="81"/>
      <c r="M56" s="141"/>
      <c r="N56" s="133"/>
      <c r="O56" s="4"/>
      <c r="P56" s="4"/>
      <c r="Q56" s="4"/>
      <c r="R56" s="109"/>
      <c r="S56" s="109"/>
      <c r="T56" s="108"/>
      <c r="U56" s="110"/>
      <c r="V56" s="110"/>
      <c r="W56" s="110"/>
      <c r="X56" s="110"/>
    </row>
    <row r="57" spans="1:24" ht="13.5" customHeight="1">
      <c r="A57" s="110">
        <f>IF(E57="","",MATCH(E57,'Daily Sales'!B$4:B$51,0)+3)</f>
        <v>38</v>
      </c>
      <c r="B57" s="135">
        <v>46175</v>
      </c>
      <c r="C57" s="136" t="s">
        <v>92</v>
      </c>
      <c r="D57" s="137" t="str">
        <f t="array" ref="D57">IF($A57="","",INDEX('Daily Sales'!A:A,$A57))</f>
        <v>1-1213</v>
      </c>
      <c r="E57" s="138" t="s">
        <v>51</v>
      </c>
      <c r="F57" s="139" t="str">
        <f t="shared" si="1"/>
        <v>Mandiri NPG</v>
      </c>
      <c r="G57" s="140"/>
      <c r="H57" s="138">
        <f t="array" ref="H57">IF($A57="","",
  IF(
    OR(
      $A57=23,
      AND($A57&gt;=32,$A57&lt;=50)
    ),
    IFERROR(
      INDEX('Daily Sales'!$C:$AG,
        $A57,
        MATCH(TEXT($B57,"0"),TEXT('Daily Sales'!$C$2:$AG$2,"0"),0)
      ),
    ""),
  "")
)</f>
        <v>1106380</v>
      </c>
      <c r="I57" s="138" t="str">
        <f t="array" ref="I57">IF($A57="","",
  IF(
    OR(
      AND($A57&gt;=4,$A57&lt;=8),
      AND($A57&gt;=12,$A57&lt;=19),
      AND($A57&gt;=28,$A57&lt;=29)
    ),
    IFERROR(
      INDEX('Daily Sales'!$C:$AG,
        $A57,
        MATCH(TEXT($B57,"0"),TEXT('Daily Sales'!$C$2:$AG$2,"0"),0)
      ),
    ""),
  "")
)</f>
        <v/>
      </c>
      <c r="J57" s="79" t="e">
        <f t="shared" si="2"/>
        <v>#VALUE!</v>
      </c>
      <c r="K57" s="141"/>
      <c r="L57" s="81"/>
      <c r="M57" s="141"/>
      <c r="N57" s="133"/>
      <c r="O57" s="4"/>
      <c r="P57" s="4"/>
      <c r="Q57" s="4"/>
      <c r="R57" s="109"/>
      <c r="S57" s="109"/>
      <c r="T57" s="108"/>
      <c r="U57" s="110"/>
      <c r="V57" s="110"/>
      <c r="W57" s="110"/>
      <c r="X57" s="110"/>
    </row>
    <row r="58" spans="1:24" ht="13.5" customHeight="1">
      <c r="A58" s="110">
        <f>IF(E58="","",MATCH(E58,'Daily Sales'!B$4:B$51,0)+3)</f>
        <v>39</v>
      </c>
      <c r="B58" s="135">
        <v>46175</v>
      </c>
      <c r="C58" s="136" t="s">
        <v>92</v>
      </c>
      <c r="D58" s="137" t="str">
        <f t="array" ref="D58">IF($A58="","",INDEX('Daily Sales'!A:A,$A58))</f>
        <v>1-1213</v>
      </c>
      <c r="E58" s="138" t="s">
        <v>52</v>
      </c>
      <c r="F58" s="139" t="str">
        <f t="shared" si="1"/>
        <v>Mandiri QR</v>
      </c>
      <c r="G58" s="140"/>
      <c r="H58" s="138">
        <f t="array" ref="H58">IF($A58="","",
  IF(
    OR(
      $A58=23,
      AND($A58&gt;=32,$A58&lt;=50)
    ),
    IFERROR(
      INDEX('Daily Sales'!$C:$AG,
        $A58,
        MATCH(TEXT($B58,"0"),TEXT('Daily Sales'!$C$2:$AG$2,"0"),0)
      ),
    ""),
  "")
)</f>
        <v>15065331</v>
      </c>
      <c r="I58" s="138" t="str">
        <f t="array" ref="I58">IF($A58="","",
  IF(
    OR(
      AND($A58&gt;=4,$A58&lt;=8),
      AND($A58&gt;=12,$A58&lt;=19),
      AND($A58&gt;=28,$A58&lt;=29)
    ),
    IFERROR(
      INDEX('Daily Sales'!$C:$AG,
        $A58,
        MATCH(TEXT($B58,"0"),TEXT('Daily Sales'!$C$2:$AG$2,"0"),0)
      ),
    ""),
  "")
)</f>
        <v/>
      </c>
      <c r="J58" s="79" t="e">
        <f t="shared" si="2"/>
        <v>#VALUE!</v>
      </c>
      <c r="K58" s="141"/>
      <c r="L58" s="81"/>
      <c r="M58" s="141"/>
      <c r="N58" s="133"/>
      <c r="O58" s="4"/>
      <c r="P58" s="4"/>
      <c r="Q58" s="4"/>
      <c r="R58" s="109"/>
      <c r="S58" s="109"/>
      <c r="T58" s="108"/>
      <c r="U58" s="110"/>
      <c r="V58" s="110"/>
      <c r="W58" s="110"/>
      <c r="X58" s="110"/>
    </row>
    <row r="59" spans="1:24" ht="13.5" customHeight="1">
      <c r="A59" s="110">
        <f>IF(E59="","",MATCH(E59,'Daily Sales'!B$4:B$51,0)+3)</f>
        <v>40</v>
      </c>
      <c r="B59" s="135">
        <v>46175</v>
      </c>
      <c r="C59" s="136" t="s">
        <v>92</v>
      </c>
      <c r="D59" s="137" t="str">
        <f t="array" ref="D59">IF($A59="","",INDEX('Daily Sales'!A:A,$A59))</f>
        <v>1-1217</v>
      </c>
      <c r="E59" s="138" t="s">
        <v>54</v>
      </c>
      <c r="F59" s="139" t="str">
        <f t="shared" si="1"/>
        <v>BCA CC</v>
      </c>
      <c r="G59" s="140"/>
      <c r="H59" s="138">
        <f t="array" ref="H59">IF($A59="","",
  IF(
    OR(
      $A59=23,
      AND($A59&gt;=32,$A59&lt;=50)
    ),
    IFERROR(
      INDEX('Daily Sales'!$C:$AG,
        $A59,
        MATCH(TEXT($B59,"0"),TEXT('Daily Sales'!$C$2:$AG$2,"0"),0)
      ),
    ""),
  "")
)</f>
        <v>70620</v>
      </c>
      <c r="I59" s="138" t="str">
        <f t="array" ref="I59">IF($A59="","",
  IF(
    OR(
      AND($A59&gt;=4,$A59&lt;=8),
      AND($A59&gt;=12,$A59&lt;=19),
      AND($A59&gt;=28,$A59&lt;=29)
    ),
    IFERROR(
      INDEX('Daily Sales'!$C:$AG,
        $A59,
        MATCH(TEXT($B59,"0"),TEXT('Daily Sales'!$C$2:$AG$2,"0"),0)
      ),
    ""),
  "")
)</f>
        <v/>
      </c>
      <c r="J59" s="79" t="e">
        <f t="shared" si="2"/>
        <v>#VALUE!</v>
      </c>
      <c r="K59" s="141"/>
      <c r="L59" s="81"/>
      <c r="M59" s="141"/>
      <c r="N59" s="133"/>
      <c r="O59" s="4"/>
      <c r="P59" s="4"/>
      <c r="Q59" s="4"/>
      <c r="R59" s="109"/>
      <c r="S59" s="109"/>
      <c r="T59" s="108"/>
      <c r="U59" s="110"/>
      <c r="V59" s="110"/>
      <c r="W59" s="110"/>
      <c r="X59" s="110"/>
    </row>
    <row r="60" spans="1:24" ht="13.5" customHeight="1">
      <c r="A60" s="110">
        <f>IF(E60="","",MATCH(E60,'Daily Sales'!B$4:B$51,0)+3)</f>
        <v>41</v>
      </c>
      <c r="B60" s="135">
        <v>46175</v>
      </c>
      <c r="C60" s="136" t="s">
        <v>92</v>
      </c>
      <c r="D60" s="137" t="str">
        <f t="array" ref="D60">IF($A60="","",INDEX('Daily Sales'!A:A,$A60))</f>
        <v>1-1217</v>
      </c>
      <c r="E60" s="138" t="s">
        <v>55</v>
      </c>
      <c r="F60" s="139" t="str">
        <f t="shared" si="1"/>
        <v>BCA debt</v>
      </c>
      <c r="G60" s="140"/>
      <c r="H60" s="138">
        <f t="array" ref="H60">IF($A60="","",
  IF(
    OR(
      $A60=23,
      AND($A60&gt;=32,$A60&lt;=50)
    ),
    IFERROR(
      INDEX('Daily Sales'!$C:$AG,
        $A60,
        MATCH(TEXT($B60,"0"),TEXT('Daily Sales'!$C$2:$AG$2,"0"),0)
      ),
    ""),
  "")
)</f>
        <v>0</v>
      </c>
      <c r="I60" s="138" t="str">
        <f t="array" ref="I60">IF($A60="","",
  IF(
    OR(
      AND($A60&gt;=4,$A60&lt;=8),
      AND($A60&gt;=12,$A60&lt;=19),
      AND($A60&gt;=28,$A60&lt;=29)
    ),
    IFERROR(
      INDEX('Daily Sales'!$C:$AG,
        $A60,
        MATCH(TEXT($B60,"0"),TEXT('Daily Sales'!$C$2:$AG$2,"0"),0)
      ),
    ""),
  "")
)</f>
        <v/>
      </c>
      <c r="J60" s="79" t="e">
        <f t="shared" si="2"/>
        <v>#VALUE!</v>
      </c>
      <c r="K60" s="141"/>
      <c r="L60" s="81"/>
      <c r="M60" s="141"/>
      <c r="N60" s="133"/>
      <c r="O60" s="4"/>
      <c r="P60" s="4"/>
      <c r="Q60" s="4"/>
      <c r="R60" s="109"/>
      <c r="S60" s="109"/>
      <c r="T60" s="108"/>
      <c r="U60" s="110"/>
      <c r="V60" s="110"/>
      <c r="W60" s="110"/>
      <c r="X60" s="110"/>
    </row>
    <row r="61" spans="1:24" ht="13.5" customHeight="1">
      <c r="A61" s="110">
        <f>IF(E61="","",MATCH(E61,'Daily Sales'!B$4:B$51,0)+3)</f>
        <v>42</v>
      </c>
      <c r="B61" s="135">
        <v>46175</v>
      </c>
      <c r="C61" s="136" t="s">
        <v>92</v>
      </c>
      <c r="D61" s="137" t="str">
        <f t="array" ref="D61">IF($A61="","",INDEX('Daily Sales'!A:A,$A61))</f>
        <v>1-1217</v>
      </c>
      <c r="E61" s="138" t="s">
        <v>56</v>
      </c>
      <c r="F61" s="139" t="str">
        <f t="shared" si="1"/>
        <v>BCA QR</v>
      </c>
      <c r="G61" s="140"/>
      <c r="H61" s="138">
        <f t="array" ref="H61">IF($A61="","",
  IF(
    OR(
      $A61=23,
      AND($A61&gt;=32,$A61&lt;=50)
    ),
    IFERROR(
      INDEX('Daily Sales'!$C:$AG,
        $A61,
        MATCH(TEXT($B61,"0"),TEXT('Daily Sales'!$C$2:$AG$2,"0"),0)
      ),
    ""),
  "")
)</f>
        <v>0</v>
      </c>
      <c r="I61" s="138" t="str">
        <f t="array" ref="I61">IF($A61="","",
  IF(
    OR(
      AND($A61&gt;=4,$A61&lt;=8),
      AND($A61&gt;=12,$A61&lt;=19),
      AND($A61&gt;=28,$A61&lt;=29)
    ),
    IFERROR(
      INDEX('Daily Sales'!$C:$AG,
        $A61,
        MATCH(TEXT($B61,"0"),TEXT('Daily Sales'!$C$2:$AG$2,"0"),0)
      ),
    ""),
  "")
)</f>
        <v/>
      </c>
      <c r="J61" s="79" t="e">
        <f t="shared" si="2"/>
        <v>#VALUE!</v>
      </c>
      <c r="K61" s="141"/>
      <c r="L61" s="81"/>
      <c r="M61" s="141"/>
      <c r="N61" s="133"/>
      <c r="O61" s="4"/>
      <c r="P61" s="4"/>
      <c r="Q61" s="4"/>
      <c r="R61" s="109"/>
      <c r="S61" s="109"/>
      <c r="T61" s="108"/>
      <c r="U61" s="110"/>
      <c r="V61" s="110"/>
      <c r="W61" s="110"/>
      <c r="X61" s="110"/>
    </row>
    <row r="62" spans="1:24" ht="13.5" customHeight="1">
      <c r="A62" s="110">
        <f>IF(E62="","",MATCH(E62,'Daily Sales'!B$4:B$51,0)+3)</f>
        <v>43</v>
      </c>
      <c r="B62" s="135">
        <v>46175</v>
      </c>
      <c r="C62" s="136" t="s">
        <v>92</v>
      </c>
      <c r="D62" s="137" t="str">
        <f t="array" ref="D62">IF($A62="","",INDEX('Daily Sales'!A:A,$A62))</f>
        <v>1-1214</v>
      </c>
      <c r="E62" s="138" t="s">
        <v>59</v>
      </c>
      <c r="F62" s="139" t="str">
        <f t="shared" si="1"/>
        <v>Bank BRI DEBET</v>
      </c>
      <c r="G62" s="140"/>
      <c r="H62" s="138">
        <f t="array" ref="H62">IF($A62="","",
  IF(
    OR(
      $A62=23,
      AND($A62&gt;=32,$A62&lt;=50)
    ),
    IFERROR(
      INDEX('Daily Sales'!$C:$AG,
        $A62,
        MATCH(TEXT($B62,"0"),TEXT('Daily Sales'!$C$2:$AG$2,"0"),0)
      ),
    ""),
  "")
)</f>
        <v>0</v>
      </c>
      <c r="I62" s="138" t="str">
        <f t="array" ref="I62">IF($A62="","",
  IF(
    OR(
      AND($A62&gt;=4,$A62&lt;=8),
      AND($A62&gt;=12,$A62&lt;=19),
      AND($A62&gt;=28,$A62&lt;=29)
    ),
    IFERROR(
      INDEX('Daily Sales'!$C:$AG,
        $A62,
        MATCH(TEXT($B62,"0"),TEXT('Daily Sales'!$C$2:$AG$2,"0"),0)
      ),
    ""),
  "")
)</f>
        <v/>
      </c>
      <c r="J62" s="79" t="e">
        <f t="shared" si="2"/>
        <v>#VALUE!</v>
      </c>
      <c r="K62" s="141"/>
      <c r="L62" s="81"/>
      <c r="M62" s="141"/>
      <c r="N62" s="133"/>
      <c r="O62" s="4"/>
      <c r="P62" s="4"/>
      <c r="Q62" s="4"/>
      <c r="R62" s="109"/>
      <c r="S62" s="109"/>
      <c r="T62" s="108"/>
      <c r="U62" s="110"/>
      <c r="V62" s="110"/>
      <c r="W62" s="110"/>
      <c r="X62" s="110"/>
    </row>
    <row r="63" spans="1:24" ht="13.5" customHeight="1">
      <c r="A63" s="110">
        <f>IF(E63="","",MATCH(E63,'Daily Sales'!B$4:B$51,0)+3)</f>
        <v>44</v>
      </c>
      <c r="B63" s="135">
        <v>46175</v>
      </c>
      <c r="C63" s="136" t="s">
        <v>92</v>
      </c>
      <c r="D63" s="137" t="str">
        <f t="array" ref="D63">IF($A63="","",INDEX('Daily Sales'!A:A,$A63))</f>
        <v>1-1214</v>
      </c>
      <c r="E63" s="138" t="s">
        <v>60</v>
      </c>
      <c r="F63" s="139" t="str">
        <f t="shared" si="1"/>
        <v>Bank BRI CC</v>
      </c>
      <c r="G63" s="140"/>
      <c r="H63" s="138">
        <f t="array" ref="H63">IF($A63="","",
  IF(
    OR(
      $A63=23,
      AND($A63&gt;=32,$A63&lt;=50)
    ),
    IFERROR(
      INDEX('Daily Sales'!$C:$AG,
        $A63,
        MATCH(TEXT($B63,"0"),TEXT('Daily Sales'!$C$2:$AG$2,"0"),0)
      ),
    ""),
  "")
)</f>
        <v>0</v>
      </c>
      <c r="I63" s="138" t="str">
        <f t="array" ref="I63">IF($A63="","",
  IF(
    OR(
      AND($A63&gt;=4,$A63&lt;=8),
      AND($A63&gt;=12,$A63&lt;=19),
      AND($A63&gt;=28,$A63&lt;=29)
    ),
    IFERROR(
      INDEX('Daily Sales'!$C:$AG,
        $A63,
        MATCH(TEXT($B63,"0"),TEXT('Daily Sales'!$C$2:$AG$2,"0"),0)
      ),
    ""),
  "")
)</f>
        <v/>
      </c>
      <c r="J63" s="79" t="e">
        <f t="shared" si="2"/>
        <v>#VALUE!</v>
      </c>
      <c r="K63" s="141"/>
      <c r="L63" s="81"/>
      <c r="M63" s="141"/>
      <c r="N63" s="133"/>
      <c r="O63" s="4"/>
      <c r="P63" s="4"/>
      <c r="Q63" s="4"/>
      <c r="R63" s="109"/>
      <c r="S63" s="109"/>
      <c r="T63" s="108"/>
      <c r="U63" s="110"/>
      <c r="V63" s="110"/>
      <c r="W63" s="110"/>
      <c r="X63" s="110"/>
    </row>
    <row r="64" spans="1:24" ht="13.5" customHeight="1">
      <c r="A64" s="110">
        <f>IF(E64="","",MATCH(E64,'Daily Sales'!B$4:B$51,0)+3)</f>
        <v>45</v>
      </c>
      <c r="B64" s="135">
        <v>46175</v>
      </c>
      <c r="C64" s="136" t="s">
        <v>92</v>
      </c>
      <c r="D64" s="137" t="str">
        <f t="array" ref="D64">IF($A64="","",INDEX('Daily Sales'!A:A,$A64))</f>
        <v>1-1214</v>
      </c>
      <c r="E64" s="138" t="s">
        <v>61</v>
      </c>
      <c r="F64" s="139" t="str">
        <f t="shared" si="1"/>
        <v>Bank BRI QR</v>
      </c>
      <c r="G64" s="140"/>
      <c r="H64" s="138">
        <f t="array" ref="H64">IF($A64="","",
  IF(
    OR(
      $A64=23,
      AND($A64&gt;=32,$A64&lt;=50)
    ),
    IFERROR(
      INDEX('Daily Sales'!$C:$AG,
        $A64,
        MATCH(TEXT($B64,"0"),TEXT('Daily Sales'!$C$2:$AG$2,"0"),0)
      ),
    ""),
  "")
)</f>
        <v>0</v>
      </c>
      <c r="I64" s="138" t="str">
        <f t="array" ref="I64">IF($A64="","",
  IF(
    OR(
      AND($A64&gt;=4,$A64&lt;=8),
      AND($A64&gt;=12,$A64&lt;=19),
      AND($A64&gt;=28,$A64&lt;=29)
    ),
    IFERROR(
      INDEX('Daily Sales'!$C:$AG,
        $A64,
        MATCH(TEXT($B64,"0"),TEXT('Daily Sales'!$C$2:$AG$2,"0"),0)
      ),
    ""),
  "")
)</f>
        <v/>
      </c>
      <c r="J64" s="79" t="e">
        <f t="shared" si="2"/>
        <v>#VALUE!</v>
      </c>
      <c r="K64" s="141"/>
      <c r="L64" s="81"/>
      <c r="M64" s="141"/>
      <c r="N64" s="133"/>
      <c r="O64" s="4"/>
      <c r="P64" s="4"/>
      <c r="Q64" s="4"/>
      <c r="R64" s="109"/>
      <c r="S64" s="109"/>
      <c r="T64" s="108"/>
      <c r="U64" s="110"/>
      <c r="V64" s="110"/>
      <c r="W64" s="110"/>
      <c r="X64" s="110"/>
    </row>
    <row r="65" spans="1:24" ht="13.5" customHeight="1">
      <c r="A65" s="110">
        <f>IF(E65="","",MATCH(E65,'Daily Sales'!B$4:B$51,0)+3)</f>
        <v>46</v>
      </c>
      <c r="B65" s="135">
        <v>46175</v>
      </c>
      <c r="C65" s="136" t="s">
        <v>92</v>
      </c>
      <c r="D65" s="137" t="str">
        <f t="array" ref="D65">IF($A65="","",INDEX('Daily Sales'!A:A,$A65))</f>
        <v>1-1202</v>
      </c>
      <c r="E65" s="138" t="s">
        <v>64</v>
      </c>
      <c r="F65" s="139" t="str">
        <f t="shared" si="1"/>
        <v>Ledger</v>
      </c>
      <c r="G65" s="140"/>
      <c r="H65" s="138">
        <f t="array" ref="H65">IF($A65="","",
  IF(
    OR(
      $A65=23,
      AND($A65&gt;=32,$A65&lt;=50)
    ),
    IFERROR(
      INDEX('Daily Sales'!$C:$AG,
        $A65,
        MATCH(TEXT($B65,"0"),TEXT('Daily Sales'!$C$2:$AG$2,"0"),0)
      ),
    ""),
  "")
)</f>
        <v>717971</v>
      </c>
      <c r="I65" s="138" t="str">
        <f t="array" ref="I65">IF($A65="","",
  IF(
    OR(
      AND($A65&gt;=4,$A65&lt;=8),
      AND($A65&gt;=12,$A65&lt;=19),
      AND($A65&gt;=28,$A65&lt;=29)
    ),
    IFERROR(
      INDEX('Daily Sales'!$C:$AG,
        $A65,
        MATCH(TEXT($B65,"0"),TEXT('Daily Sales'!$C$2:$AG$2,"0"),0)
      ),
    ""),
  "")
)</f>
        <v/>
      </c>
      <c r="J65" s="79" t="e">
        <f t="shared" si="2"/>
        <v>#VALUE!</v>
      </c>
      <c r="K65" s="141"/>
      <c r="L65" s="81"/>
      <c r="M65" s="141"/>
      <c r="N65" s="133"/>
      <c r="O65" s="4"/>
      <c r="P65" s="4"/>
      <c r="Q65" s="4"/>
      <c r="R65" s="109"/>
      <c r="S65" s="109"/>
      <c r="T65" s="108"/>
      <c r="U65" s="110"/>
      <c r="V65" s="110"/>
      <c r="W65" s="110"/>
      <c r="X65" s="110"/>
    </row>
    <row r="66" spans="1:24" ht="13.5" customHeight="1">
      <c r="A66" s="110">
        <f>IF(E66="","",MATCH(E66,'Daily Sales'!B$4:B$51,0)+3)</f>
        <v>47</v>
      </c>
      <c r="B66" s="135">
        <v>46175</v>
      </c>
      <c r="C66" s="136" t="s">
        <v>92</v>
      </c>
      <c r="D66" s="137" t="str">
        <f t="array" ref="D66">IF($A66="","",INDEX('Daily Sales'!A:A,$A66))</f>
        <v>1-1129</v>
      </c>
      <c r="E66" s="138" t="s">
        <v>66</v>
      </c>
      <c r="F66" s="139" t="str">
        <f t="shared" si="1"/>
        <v>Star Points</v>
      </c>
      <c r="G66" s="140"/>
      <c r="H66" s="138">
        <f t="array" ref="H66">IF($A66="","",
  IF(
    OR(
      $A66=23,
      AND($A66&gt;=32,$A66&lt;=50)
    ),
    IFERROR(
      INDEX('Daily Sales'!$C:$AG,
        $A66,
        MATCH(TEXT($B66,"0"),TEXT('Daily Sales'!$C$2:$AG$2,"0"),0)
      ),
    ""),
  "")
)</f>
        <v>0</v>
      </c>
      <c r="I66" s="138" t="str">
        <f t="array" ref="I66">IF($A66="","",
  IF(
    OR(
      AND($A66&gt;=4,$A66&lt;=8),
      AND($A66&gt;=12,$A66&lt;=19),
      AND($A66&gt;=28,$A66&lt;=29)
    ),
    IFERROR(
      INDEX('Daily Sales'!$C:$AG,
        $A66,
        MATCH(TEXT($B66,"0"),TEXT('Daily Sales'!$C$2:$AG$2,"0"),0)
      ),
    ""),
  "")
)</f>
        <v/>
      </c>
      <c r="J66" s="79" t="e">
        <f t="shared" si="2"/>
        <v>#VALUE!</v>
      </c>
      <c r="K66" s="141"/>
      <c r="L66" s="81"/>
      <c r="M66" s="141"/>
      <c r="N66" s="133"/>
      <c r="O66" s="4"/>
      <c r="P66" s="4"/>
      <c r="Q66" s="4"/>
      <c r="R66" s="109"/>
      <c r="S66" s="109"/>
      <c r="T66" s="108"/>
      <c r="U66" s="110"/>
      <c r="V66" s="110"/>
      <c r="W66" s="110"/>
      <c r="X66" s="110"/>
    </row>
    <row r="67" spans="1:24" ht="13.5" customHeight="1">
      <c r="A67" s="110">
        <f>IF(E67="","",MATCH(E67,'Daily Sales'!B$4:B$51,0)+3)</f>
        <v>48</v>
      </c>
      <c r="B67" s="135">
        <v>46175</v>
      </c>
      <c r="C67" s="136" t="s">
        <v>92</v>
      </c>
      <c r="D67" s="137" t="str">
        <f t="array" ref="D67">IF($A67="","",INDEX('Daily Sales'!A:A,$A67))</f>
        <v>1-1215</v>
      </c>
      <c r="E67" s="138" t="s">
        <v>68</v>
      </c>
      <c r="F67" s="139" t="str">
        <f t="shared" si="1"/>
        <v>Ovo</v>
      </c>
      <c r="G67" s="140"/>
      <c r="H67" s="138">
        <f t="array" ref="H67">IF($A67="","",
  IF(
    OR(
      $A67=23,
      AND($A67&gt;=32,$A67&lt;=50)
    ),
    IFERROR(
      INDEX('Daily Sales'!$C:$AG,
        $A67,
        MATCH(TEXT($B67,"0"),TEXT('Daily Sales'!$C$2:$AG$2,"0"),0)
      ),
    ""),
  "")
)</f>
        <v>0</v>
      </c>
      <c r="I67" s="138" t="str">
        <f t="array" ref="I67">IF($A67="","",
  IF(
    OR(
      AND($A67&gt;=4,$A67&lt;=8),
      AND($A67&gt;=12,$A67&lt;=19),
      AND($A67&gt;=28,$A67&lt;=29)
    ),
    IFERROR(
      INDEX('Daily Sales'!$C:$AG,
        $A67,
        MATCH(TEXT($B67,"0"),TEXT('Daily Sales'!$C$2:$AG$2,"0"),0)
      ),
    ""),
  "")
)</f>
        <v/>
      </c>
      <c r="J67" s="79" t="e">
        <f t="shared" si="2"/>
        <v>#VALUE!</v>
      </c>
      <c r="K67" s="141"/>
      <c r="L67" s="81"/>
      <c r="M67" s="141"/>
      <c r="N67" s="133"/>
      <c r="O67" s="4"/>
      <c r="P67" s="4"/>
      <c r="Q67" s="4"/>
      <c r="R67" s="109"/>
      <c r="S67" s="109"/>
      <c r="T67" s="108"/>
      <c r="U67" s="110"/>
      <c r="V67" s="110"/>
      <c r="W67" s="110"/>
      <c r="X67" s="110"/>
    </row>
    <row r="68" spans="1:24" ht="13.5" customHeight="1">
      <c r="A68" s="110">
        <f>IF(E68="","",MATCH(E68,'Daily Sales'!B$4:B$51,0)+3)</f>
        <v>49</v>
      </c>
      <c r="B68" s="135">
        <v>46175</v>
      </c>
      <c r="C68" s="136" t="s">
        <v>92</v>
      </c>
      <c r="D68" s="137" t="str">
        <f t="array" ref="D68">IF($A68="","",INDEX('Daily Sales'!A:A,$A68))</f>
        <v>1-1211</v>
      </c>
      <c r="E68" s="138" t="s">
        <v>70</v>
      </c>
      <c r="F68" s="139" t="str">
        <f t="shared" si="1"/>
        <v>Gopay</v>
      </c>
      <c r="G68" s="140"/>
      <c r="H68" s="138">
        <f t="array" ref="H68">IF($A68="","",
  IF(
    OR(
      $A68=23,
      AND($A68&gt;=32,$A68&lt;=50)
    ),
    IFERROR(
      INDEX('Daily Sales'!$C:$AG,
        $A68,
        MATCH(TEXT($B68,"0"),TEXT('Daily Sales'!$C$2:$AG$2,"0"),0)
      ),
    ""),
  "")
)</f>
        <v>0</v>
      </c>
      <c r="I68" s="138" t="str">
        <f t="array" ref="I68">IF($A68="","",
  IF(
    OR(
      AND($A68&gt;=4,$A68&lt;=8),
      AND($A68&gt;=12,$A68&lt;=19),
      AND($A68&gt;=28,$A68&lt;=29)
    ),
    IFERROR(
      INDEX('Daily Sales'!$C:$AG,
        $A68,
        MATCH(TEXT($B68,"0"),TEXT('Daily Sales'!$C$2:$AG$2,"0"),0)
      ),
    ""),
  "")
)</f>
        <v/>
      </c>
      <c r="J68" s="79" t="e">
        <f t="shared" si="2"/>
        <v>#VALUE!</v>
      </c>
      <c r="K68" s="141"/>
      <c r="L68" s="81"/>
      <c r="M68" s="141"/>
      <c r="N68" s="133"/>
      <c r="O68" s="4"/>
      <c r="P68" s="4"/>
      <c r="Q68" s="4"/>
      <c r="R68" s="109"/>
      <c r="S68" s="109"/>
      <c r="T68" s="108"/>
      <c r="U68" s="110"/>
      <c r="V68" s="110"/>
      <c r="W68" s="110"/>
      <c r="X68" s="110"/>
    </row>
    <row r="69" spans="1:24" ht="13.5" customHeight="1">
      <c r="A69" s="110">
        <f>IF(E69="","",MATCH(E69,'Daily Sales'!B$4:B$51,0)+3)</f>
        <v>50</v>
      </c>
      <c r="B69" s="135">
        <v>46175</v>
      </c>
      <c r="C69" s="136" t="s">
        <v>92</v>
      </c>
      <c r="D69" s="137" t="str">
        <f t="array" ref="D69">IF($A69="","",INDEX('Daily Sales'!A:A,$A69))</f>
        <v>2-2110</v>
      </c>
      <c r="E69" s="138" t="s">
        <v>72</v>
      </c>
      <c r="F69" s="139" t="str">
        <f t="shared" si="1"/>
        <v>Cash Short/Over</v>
      </c>
      <c r="G69" s="140"/>
      <c r="H69" s="138">
        <f t="array" ref="H69">IF($A69="","",
  IF(
    OR(
      $A69=23,
      AND($A69&gt;=32,$A69&lt;=50)
    ),
    IFERROR(
      INDEX('Daily Sales'!$C:$AG,
        $A69,
        MATCH(TEXT($B69,"0"),TEXT('Daily Sales'!$C$2:$AG$2,"0"),0)
      ),
    ""),
  "")
)</f>
        <v>-3.13</v>
      </c>
      <c r="I69" s="138" t="str">
        <f t="array" ref="I69">IF($A69="","",
  IF(
    OR(
      AND($A69&gt;=4,$A69&lt;=8),
      AND($A69&gt;=12,$A69&lt;=19),
      AND($A69&gt;=28,$A69&lt;=29)
    ),
    IFERROR(
      INDEX('Daily Sales'!$C:$AG,
        $A69,
        MATCH(TEXT($B69,"0"),TEXT('Daily Sales'!$C$2:$AG$2,"0"),0)
      ),
    ""),
  "")
)</f>
        <v/>
      </c>
      <c r="J69" s="79" t="e">
        <f t="shared" si="2"/>
        <v>#VALUE!</v>
      </c>
      <c r="K69" s="141"/>
      <c r="L69" s="81"/>
      <c r="M69" s="141"/>
      <c r="N69" s="133"/>
      <c r="O69" s="4"/>
      <c r="P69" s="4"/>
      <c r="Q69" s="4"/>
      <c r="R69" s="109"/>
      <c r="S69" s="109"/>
      <c r="T69" s="108"/>
      <c r="U69" s="110"/>
      <c r="V69" s="110"/>
      <c r="W69" s="110"/>
      <c r="X69" s="110"/>
    </row>
    <row r="70" spans="1:24" ht="13.5" customHeight="1">
      <c r="A70" s="110" t="str">
        <f>IF(E70="","",MATCH(E70,'Daily Sales'!B$4:B$51,0)+3)</f>
        <v/>
      </c>
      <c r="B70" s="135"/>
      <c r="C70" s="136"/>
      <c r="D70" s="137"/>
      <c r="E70" s="138"/>
      <c r="F70" s="139">
        <f t="shared" si="1"/>
        <v>0</v>
      </c>
      <c r="G70" s="140"/>
      <c r="H70" s="138" t="str">
        <f t="array" ref="H70">IF($A70="","",
  IF(
    OR(
      $A70=23,
      AND($A70&gt;=32,$A70&lt;=50)
    ),
    IFERROR(
      INDEX('Daily Sales'!$C:$AG,
        $A70,
        MATCH(TEXT($B70,"0"),TEXT('Daily Sales'!$C$2:$AG$2,"0"),0)
      ),
    ""),
  "")
)</f>
        <v/>
      </c>
      <c r="I70" s="138" t="str">
        <f t="array" ref="I70">IF($A70="","",
  IF(
    OR(
      AND($A70&gt;=4,$A70&lt;=8),
      AND($A70&gt;=12,$A70&lt;=19),
      AND($A70&gt;=28,$A70&lt;=29)
    ),
    IFERROR(
      INDEX('Daily Sales'!$C:$AG,
        $A70,
        MATCH(TEXT($B70,"0"),TEXT('Daily Sales'!$C$2:$AG$2,"0"),0)
      ),
    ""),
  "")
)</f>
        <v/>
      </c>
      <c r="J70" s="79" t="e">
        <f t="shared" si="2"/>
        <v>#VALUE!</v>
      </c>
      <c r="K70" s="141"/>
      <c r="L70" s="81"/>
      <c r="M70" s="141"/>
      <c r="N70" s="133"/>
      <c r="O70" s="4"/>
      <c r="P70" s="4"/>
      <c r="Q70" s="4"/>
      <c r="R70" s="109"/>
      <c r="S70" s="109"/>
      <c r="T70" s="108"/>
      <c r="U70" s="110"/>
      <c r="V70" s="110"/>
      <c r="W70" s="110"/>
      <c r="X70" s="110"/>
    </row>
    <row r="71" spans="1:24" ht="13.5" customHeight="1">
      <c r="A71" s="110">
        <f>IF(E71="","",MATCH(E71,'Daily Sales'!B$4:B$51,0)+3)</f>
        <v>4</v>
      </c>
      <c r="B71" s="135">
        <v>46176</v>
      </c>
      <c r="C71" s="136" t="s">
        <v>93</v>
      </c>
      <c r="D71" s="137" t="str">
        <f t="array" ref="D71">IF($A71="","",INDEX('Daily Sales'!A:A,$A71))</f>
        <v>4-2100</v>
      </c>
      <c r="E71" s="138" t="s">
        <v>5</v>
      </c>
      <c r="F71" s="139" t="str">
        <f t="shared" si="1"/>
        <v>Sales Food TERRACE</v>
      </c>
      <c r="G71" s="140"/>
      <c r="H71" s="138" t="str">
        <f t="array" ref="H71">IF($A71="","",
  IF(
    OR(
      $A71=23,
      AND($A71&gt;=32,$A71&lt;=50)
    ),
    IFERROR(
      INDEX('Daily Sales'!$C:$AG,
        $A71,
        MATCH(TEXT($B71,"0"),TEXT('Daily Sales'!$C$2:$AG$2,"0"),0)
      ),
    ""),
  "")
)</f>
        <v/>
      </c>
      <c r="I71" s="138">
        <f t="array" ref="I71">IF($A71="","",
  IF(
    OR(
      AND($A71&gt;=4,$A71&lt;=8),
      AND($A71&gt;=12,$A71&lt;=19),
      AND($A71&gt;=28,$A71&lt;=29)
    ),
    IFERROR(
      INDEX('Daily Sales'!$C:$AG,
        $A71,
        MATCH(TEXT($B71,"0"),TEXT('Daily Sales'!$C$2:$AG$2,"0"),0)
      ),
    ""),
  "")
)</f>
        <v>4209000</v>
      </c>
      <c r="J71" s="79" t="e">
        <f t="shared" si="2"/>
        <v>#VALUE!</v>
      </c>
      <c r="K71" s="141"/>
      <c r="L71" s="81"/>
      <c r="M71" s="141"/>
      <c r="N71" s="133"/>
      <c r="O71" s="4"/>
      <c r="P71" s="4"/>
      <c r="Q71" s="4"/>
      <c r="R71" s="109"/>
      <c r="S71" s="109"/>
      <c r="T71" s="108"/>
      <c r="U71" s="110"/>
      <c r="V71" s="110"/>
      <c r="W71" s="110"/>
      <c r="X71" s="110"/>
    </row>
    <row r="72" spans="1:24" ht="13.5" customHeight="1">
      <c r="A72" s="110">
        <f>IF(E72="","",MATCH(E72,'Daily Sales'!B$4:B$51,0)+3)</f>
        <v>5</v>
      </c>
      <c r="B72" s="135">
        <v>46176</v>
      </c>
      <c r="C72" s="136" t="s">
        <v>93</v>
      </c>
      <c r="D72" s="137" t="str">
        <f t="array" ref="D72">IF($A72="","",INDEX('Daily Sales'!A:A,$A72))</f>
        <v>4-2200</v>
      </c>
      <c r="E72" s="138" t="s">
        <v>7</v>
      </c>
      <c r="F72" s="139" t="str">
        <f t="shared" si="1"/>
        <v>Sales Beverages TERRACE</v>
      </c>
      <c r="G72" s="140"/>
      <c r="H72" s="138" t="str">
        <f t="array" ref="H72">IF($A72="","",
  IF(
    OR(
      $A72=23,
      AND($A72&gt;=32,$A72&lt;=50)
    ),
    IFERROR(
      INDEX('Daily Sales'!$C:$AG,
        $A72,
        MATCH(TEXT($B72,"0"),TEXT('Daily Sales'!$C$2:$AG$2,"0"),0)
      ),
    ""),
  "")
)</f>
        <v/>
      </c>
      <c r="I72" s="138">
        <f t="array" ref="I72">IF($A72="","",
  IF(
    OR(
      AND($A72&gt;=4,$A72&lt;=8),
      AND($A72&gt;=12,$A72&lt;=19),
      AND($A72&gt;=28,$A72&lt;=29)
    ),
    IFERROR(
      INDEX('Daily Sales'!$C:$AG,
        $A72,
        MATCH(TEXT($B72,"0"),TEXT('Daily Sales'!$C$2:$AG$2,"0"),0)
      ),
    ""),
  "")
)</f>
        <v>7993000</v>
      </c>
      <c r="J72" s="79" t="e">
        <f t="shared" si="2"/>
        <v>#VALUE!</v>
      </c>
      <c r="K72" s="141"/>
      <c r="L72" s="81"/>
      <c r="M72" s="141"/>
      <c r="N72" s="133"/>
      <c r="O72" s="4"/>
      <c r="P72" s="4"/>
      <c r="Q72" s="4"/>
      <c r="R72" s="109"/>
      <c r="S72" s="109"/>
      <c r="T72" s="108"/>
      <c r="U72" s="110"/>
      <c r="V72" s="110"/>
      <c r="W72" s="110"/>
      <c r="X72" s="110"/>
    </row>
    <row r="73" spans="1:24" ht="13.5" customHeight="1">
      <c r="A73" s="110">
        <f>IF(E73="","",MATCH(E73,'Daily Sales'!B$4:B$51,0)+3)</f>
        <v>6</v>
      </c>
      <c r="B73" s="135">
        <v>46176</v>
      </c>
      <c r="C73" s="136" t="s">
        <v>93</v>
      </c>
      <c r="D73" s="137" t="str">
        <f t="array" ref="D73">IF($A73="","",INDEX('Daily Sales'!A:A,$A73))</f>
        <v>4-2400</v>
      </c>
      <c r="E73" s="138" t="s">
        <v>9</v>
      </c>
      <c r="F73" s="139" t="str">
        <f t="shared" si="1"/>
        <v>Sales Cigarette TERRACE</v>
      </c>
      <c r="G73" s="140"/>
      <c r="H73" s="138" t="str">
        <f t="array" ref="H73">IF($A73="","",
  IF(
    OR(
      $A73=23,
      AND($A73&gt;=32,$A73&lt;=50)
    ),
    IFERROR(
      INDEX('Daily Sales'!$C:$AG,
        $A73,
        MATCH(TEXT($B73,"0"),TEXT('Daily Sales'!$C$2:$AG$2,"0"),0)
      ),
    ""),
  "")
)</f>
        <v/>
      </c>
      <c r="I73" s="138">
        <f t="array" ref="I73">IF($A73="","",
  IF(
    OR(
      AND($A73&gt;=4,$A73&lt;=8),
      AND($A73&gt;=12,$A73&lt;=19),
      AND($A73&gt;=28,$A73&lt;=29)
    ),
    IFERROR(
      INDEX('Daily Sales'!$C:$AG,
        $A73,
        MATCH(TEXT($B73,"0"),TEXT('Daily Sales'!$C$2:$AG$2,"0"),0)
      ),
    ""),
  "")
)</f>
        <v>259000</v>
      </c>
      <c r="J73" s="79" t="e">
        <f t="shared" si="2"/>
        <v>#VALUE!</v>
      </c>
      <c r="K73" s="141"/>
      <c r="L73" s="81"/>
      <c r="M73" s="141"/>
      <c r="N73" s="133"/>
      <c r="O73" s="4"/>
      <c r="P73" s="4"/>
      <c r="Q73" s="4"/>
      <c r="R73" s="109"/>
      <c r="S73" s="109"/>
      <c r="T73" s="108"/>
      <c r="U73" s="110"/>
      <c r="V73" s="110"/>
      <c r="W73" s="110"/>
      <c r="X73" s="110"/>
    </row>
    <row r="74" spans="1:24" ht="13.5" customHeight="1">
      <c r="A74" s="110">
        <f>IF(E74="","",MATCH(E74,'Daily Sales'!B$4:B$51,0)+3)</f>
        <v>7</v>
      </c>
      <c r="B74" s="135">
        <v>46176</v>
      </c>
      <c r="C74" s="136" t="s">
        <v>93</v>
      </c>
      <c r="D74" s="137" t="str">
        <f t="array" ref="D74">IF($A74="","",INDEX('Daily Sales'!A:A,$A74))</f>
        <v>4-2300</v>
      </c>
      <c r="E74" s="138" t="s">
        <v>11</v>
      </c>
      <c r="F74" s="139" t="str">
        <f t="shared" si="1"/>
        <v>Sales Shisa TERRACE</v>
      </c>
      <c r="G74" s="140"/>
      <c r="H74" s="138" t="str">
        <f t="array" ref="H74">IF($A74="","",
  IF(
    OR(
      $A74=23,
      AND($A74&gt;=32,$A74&lt;=50)
    ),
    IFERROR(
      INDEX('Daily Sales'!$C:$AG,
        $A74,
        MATCH(TEXT($B74,"0"),TEXT('Daily Sales'!$C$2:$AG$2,"0"),0)
      ),
    ""),
  "")
)</f>
        <v/>
      </c>
      <c r="I74" s="138">
        <f t="array" ref="I74">IF($A74="","",
  IF(
    OR(
      AND($A74&gt;=4,$A74&lt;=8),
      AND($A74&gt;=12,$A74&lt;=19),
      AND($A74&gt;=28,$A74&lt;=29)
    ),
    IFERROR(
      INDEX('Daily Sales'!$C:$AG,
        $A74,
        MATCH(TEXT($B74,"0"),TEXT('Daily Sales'!$C$2:$AG$2,"0"),0)
      ),
    ""),
  "")
)</f>
        <v>500000</v>
      </c>
      <c r="J74" s="79" t="e">
        <f t="shared" si="2"/>
        <v>#VALUE!</v>
      </c>
      <c r="K74" s="141"/>
      <c r="L74" s="81"/>
      <c r="M74" s="141"/>
      <c r="N74" s="133"/>
      <c r="O74" s="4"/>
      <c r="P74" s="4"/>
      <c r="Q74" s="4"/>
      <c r="R74" s="109"/>
      <c r="S74" s="109"/>
      <c r="T74" s="108"/>
      <c r="U74" s="110"/>
      <c r="V74" s="110"/>
      <c r="W74" s="110"/>
      <c r="X74" s="110"/>
    </row>
    <row r="75" spans="1:24" ht="13.5" customHeight="1">
      <c r="A75" s="110">
        <f>IF(E75="","",MATCH(E75,'Daily Sales'!B$4:B$51,0)+3)</f>
        <v>12</v>
      </c>
      <c r="B75" s="135">
        <v>46176</v>
      </c>
      <c r="C75" s="136" t="s">
        <v>93</v>
      </c>
      <c r="D75" s="137" t="str">
        <f t="array" ref="D75">IF($A75="","",INDEX('Daily Sales'!A:A,$A75))</f>
        <v>4-2200</v>
      </c>
      <c r="E75" s="138" t="s">
        <v>17</v>
      </c>
      <c r="F75" s="139" t="str">
        <f t="shared" si="1"/>
        <v>Sales Beverages CLUB</v>
      </c>
      <c r="G75" s="140"/>
      <c r="H75" s="138" t="str">
        <f t="array" ref="H75">IF($A75="","",
  IF(
    OR(
      $A75=23,
      AND($A75&gt;=32,$A75&lt;=50)
    ),
    IFERROR(
      INDEX('Daily Sales'!$C:$AG,
        $A75,
        MATCH(TEXT($B75,"0"),TEXT('Daily Sales'!$C$2:$AG$2,"0"),0)
      ),
    ""),
  "")
)</f>
        <v/>
      </c>
      <c r="I75" s="138">
        <f t="array" ref="I75">IF($A75="","",
  IF(
    OR(
      AND($A75&gt;=4,$A75&lt;=8),
      AND($A75&gt;=12,$A75&lt;=19),
      AND($A75&gt;=28,$A75&lt;=29)
    ),
    IFERROR(
      INDEX('Daily Sales'!$C:$AG,
        $A75,
        MATCH(TEXT($B75,"0"),TEXT('Daily Sales'!$C$2:$AG$2,"0"),0)
      ),
    ""),
  "")
)</f>
        <v>12240000</v>
      </c>
      <c r="J75" s="79" t="e">
        <f t="shared" si="2"/>
        <v>#VALUE!</v>
      </c>
      <c r="K75" s="141"/>
      <c r="L75" s="81"/>
      <c r="M75" s="141"/>
      <c r="N75" s="133"/>
      <c r="O75" s="4"/>
      <c r="P75" s="4"/>
      <c r="Q75" s="4"/>
      <c r="R75" s="109"/>
      <c r="S75" s="109"/>
      <c r="T75" s="108"/>
      <c r="U75" s="110"/>
      <c r="V75" s="110"/>
      <c r="W75" s="110"/>
      <c r="X75" s="110"/>
    </row>
    <row r="76" spans="1:24" ht="13.5" customHeight="1">
      <c r="A76" s="110">
        <f>IF(E76="","",MATCH(E76,'Daily Sales'!B$4:B$51,0)+3)</f>
        <v>13</v>
      </c>
      <c r="B76" s="135">
        <v>46176</v>
      </c>
      <c r="C76" s="136" t="s">
        <v>93</v>
      </c>
      <c r="D76" s="137" t="str">
        <f t="array" ref="D76">IF($A76="","",INDEX('Daily Sales'!A:A,$A76))</f>
        <v>4-2400</v>
      </c>
      <c r="E76" s="138" t="s">
        <v>18</v>
      </c>
      <c r="F76" s="139" t="str">
        <f t="shared" si="1"/>
        <v>Sales Cigarette CLUB</v>
      </c>
      <c r="G76" s="140"/>
      <c r="H76" s="138" t="str">
        <f t="array" ref="H76">IF($A76="","",
  IF(
    OR(
      $A76=23,
      AND($A76&gt;=32,$A76&lt;=50)
    ),
    IFERROR(
      INDEX('Daily Sales'!$C:$AG,
        $A76,
        MATCH(TEXT($B76,"0"),TEXT('Daily Sales'!$C$2:$AG$2,"0"),0)
      ),
    ""),
  "")
)</f>
        <v/>
      </c>
      <c r="I76" s="138">
        <f t="array" ref="I76">IF($A76="","",
  IF(
    OR(
      AND($A76&gt;=4,$A76&lt;=8),
      AND($A76&gt;=12,$A76&lt;=19),
      AND($A76&gt;=28,$A76&lt;=29)
    ),
    IFERROR(
      INDEX('Daily Sales'!$C:$AG,
        $A76,
        MATCH(TEXT($B76,"0"),TEXT('Daily Sales'!$C$2:$AG$2,"0"),0)
      ),
    ""),
  "")
)</f>
        <v>420000</v>
      </c>
      <c r="J76" s="79" t="e">
        <f t="shared" si="2"/>
        <v>#VALUE!</v>
      </c>
      <c r="K76" s="141"/>
      <c r="L76" s="81"/>
      <c r="M76" s="141"/>
      <c r="N76" s="133"/>
      <c r="O76" s="4"/>
      <c r="P76" s="4"/>
      <c r="Q76" s="4"/>
      <c r="R76" s="109"/>
      <c r="S76" s="109"/>
      <c r="T76" s="108"/>
      <c r="U76" s="110"/>
      <c r="V76" s="110"/>
      <c r="W76" s="110"/>
      <c r="X76" s="110"/>
    </row>
    <row r="77" spans="1:24" ht="13.5" customHeight="1">
      <c r="A77" s="110">
        <f>IF(E77="","",MATCH(E77,'Daily Sales'!B$4:B$51,0)+3)</f>
        <v>14</v>
      </c>
      <c r="B77" s="135">
        <v>46176</v>
      </c>
      <c r="C77" s="136" t="s">
        <v>93</v>
      </c>
      <c r="D77" s="137" t="str">
        <f t="array" ref="D77">IF($A77="","",INDEX('Daily Sales'!A:A,$A77))</f>
        <v>4-2100</v>
      </c>
      <c r="E77" s="138" t="s">
        <v>19</v>
      </c>
      <c r="F77" s="139" t="str">
        <f t="shared" si="1"/>
        <v>Sales Food CLUB</v>
      </c>
      <c r="G77" s="140"/>
      <c r="H77" s="138" t="str">
        <f t="array" ref="H77">IF($A77="","",
  IF(
    OR(
      $A77=23,
      AND($A77&gt;=32,$A77&lt;=50)
    ),
    IFERROR(
      INDEX('Daily Sales'!$C:$AG,
        $A77,
        MATCH(TEXT($B77,"0"),TEXT('Daily Sales'!$C$2:$AG$2,"0"),0)
      ),
    ""),
  "")
)</f>
        <v/>
      </c>
      <c r="I77" s="138">
        <f t="array" ref="I77">IF($A77="","",
  IF(
    OR(
      AND($A77&gt;=4,$A77&lt;=8),
      AND($A77&gt;=12,$A77&lt;=19),
      AND($A77&gt;=28,$A77&lt;=29)
    ),
    IFERROR(
      INDEX('Daily Sales'!$C:$AG,
        $A77,
        MATCH(TEXT($B77,"0"),TEXT('Daily Sales'!$C$2:$AG$2,"0"),0)
      ),
    ""),
  "")
)</f>
        <v>530000</v>
      </c>
      <c r="J77" s="79" t="e">
        <f t="shared" si="2"/>
        <v>#VALUE!</v>
      </c>
      <c r="K77" s="141"/>
      <c r="L77" s="81"/>
      <c r="M77" s="141"/>
      <c r="N77" s="133"/>
      <c r="O77" s="4"/>
      <c r="P77" s="4"/>
      <c r="Q77" s="4"/>
      <c r="R77" s="109"/>
      <c r="S77" s="109"/>
      <c r="T77" s="108"/>
      <c r="U77" s="110"/>
      <c r="V77" s="110"/>
      <c r="W77" s="110"/>
      <c r="X77" s="110"/>
    </row>
    <row r="78" spans="1:24" ht="13.5" customHeight="1">
      <c r="A78" s="110">
        <f>IF(E78="","",MATCH(E78,'Daily Sales'!B$4:B$51,0)+3)</f>
        <v>15</v>
      </c>
      <c r="B78" s="135">
        <v>46176</v>
      </c>
      <c r="C78" s="136" t="s">
        <v>93</v>
      </c>
      <c r="D78" s="137" t="str">
        <f t="array" ref="D78">IF($A78="","",INDEX('Daily Sales'!A:A,$A78))</f>
        <v>4-2300</v>
      </c>
      <c r="E78" s="138" t="s">
        <v>20</v>
      </c>
      <c r="F78" s="139" t="str">
        <f t="shared" si="1"/>
        <v>Sales Shisa CLUB</v>
      </c>
      <c r="G78" s="140"/>
      <c r="H78" s="138" t="str">
        <f t="array" ref="H78">IF($A78="","",
  IF(
    OR(
      $A78=23,
      AND($A78&gt;=32,$A78&lt;=50)
    ),
    IFERROR(
      INDEX('Daily Sales'!$C:$AG,
        $A78,
        MATCH(TEXT($B78,"0"),TEXT('Daily Sales'!$C$2:$AG$2,"0"),0)
      ),
    ""),
  "")
)</f>
        <v/>
      </c>
      <c r="I78" s="138">
        <f t="array" ref="I78">IF($A78="","",
  IF(
    OR(
      AND($A78&gt;=4,$A78&lt;=8),
      AND($A78&gt;=12,$A78&lt;=19),
      AND($A78&gt;=28,$A78&lt;=29)
    ),
    IFERROR(
      INDEX('Daily Sales'!$C:$AG,
        $A78,
        MATCH(TEXT($B78,"0"),TEXT('Daily Sales'!$C$2:$AG$2,"0"),0)
      ),
    ""),
  "")
)</f>
        <v>750000</v>
      </c>
      <c r="J78" s="79" t="e">
        <f t="shared" si="2"/>
        <v>#VALUE!</v>
      </c>
      <c r="K78" s="141"/>
      <c r="L78" s="81"/>
      <c r="M78" s="141"/>
      <c r="N78" s="133"/>
      <c r="O78" s="4"/>
      <c r="P78" s="4"/>
      <c r="Q78" s="4"/>
      <c r="R78" s="109"/>
      <c r="S78" s="109"/>
      <c r="T78" s="108"/>
      <c r="U78" s="110"/>
      <c r="V78" s="110"/>
      <c r="W78" s="110"/>
      <c r="X78" s="110"/>
    </row>
    <row r="79" spans="1:24" ht="13.5" customHeight="1">
      <c r="A79" s="110">
        <f>IF(E79="","",MATCH(E79,'Daily Sales'!B$4:B$51,0)+3)</f>
        <v>17</v>
      </c>
      <c r="B79" s="135">
        <v>46176</v>
      </c>
      <c r="C79" s="136" t="s">
        <v>93</v>
      </c>
      <c r="D79" s="137" t="str">
        <f t="array" ref="D79">IF($A79="","",INDEX('Daily Sales'!A:A,$A79))</f>
        <v>4-2601</v>
      </c>
      <c r="E79" s="138" t="s">
        <v>23</v>
      </c>
      <c r="F79" s="139" t="str">
        <f t="shared" si="1"/>
        <v xml:space="preserve">Misc </v>
      </c>
      <c r="G79" s="140"/>
      <c r="H79" s="138" t="str">
        <f t="array" ref="H79">IF($A79="","",
  IF(
    OR(
      $A79=23,
      AND($A79&gt;=32,$A79&lt;=50)
    ),
    IFERROR(
      INDEX('Daily Sales'!$C:$AG,
        $A79,
        MATCH(TEXT($B79,"0"),TEXT('Daily Sales'!$C$2:$AG$2,"0"),0)
      ),
    ""),
  "")
)</f>
        <v/>
      </c>
      <c r="I79" s="138">
        <f t="array" ref="I79">IF($A79="","",
  IF(
    OR(
      AND($A79&gt;=4,$A79&lt;=8),
      AND($A79&gt;=12,$A79&lt;=19),
      AND($A79&gt;=28,$A79&lt;=29)
    ),
    IFERROR(
      INDEX('Daily Sales'!$C:$AG,
        $A79,
        MATCH(TEXT($B79,"0"),TEXT('Daily Sales'!$C$2:$AG$2,"0"),0)
      ),
    ""),
  "")
)</f>
        <v>200000</v>
      </c>
      <c r="J79" s="79" t="e">
        <f t="shared" si="2"/>
        <v>#VALUE!</v>
      </c>
      <c r="K79" s="141"/>
      <c r="L79" s="81"/>
      <c r="M79" s="141"/>
      <c r="N79" s="133"/>
      <c r="O79" s="4"/>
      <c r="P79" s="4"/>
      <c r="Q79" s="4"/>
      <c r="R79" s="109"/>
      <c r="S79" s="109"/>
      <c r="T79" s="108"/>
      <c r="U79" s="110"/>
      <c r="V79" s="110"/>
      <c r="W79" s="110"/>
      <c r="X79" s="110"/>
    </row>
    <row r="80" spans="1:24" ht="13.5" customHeight="1">
      <c r="A80" s="110">
        <f>IF(E80="","",MATCH(E80,'Daily Sales'!B$4:B$51,0)+3)</f>
        <v>19</v>
      </c>
      <c r="B80" s="135">
        <v>46176</v>
      </c>
      <c r="C80" s="136" t="s">
        <v>93</v>
      </c>
      <c r="D80" s="137" t="str">
        <f t="array" ref="D80">IF($A80="","",INDEX('Daily Sales'!A:A,$A80))</f>
        <v>4-2500</v>
      </c>
      <c r="E80" s="138" t="s">
        <v>26</v>
      </c>
      <c r="F80" s="139" t="str">
        <f t="shared" si="1"/>
        <v>Sales Ticket</v>
      </c>
      <c r="G80" s="140"/>
      <c r="H80" s="138" t="str">
        <f t="array" ref="H80">IF($A80="","",
  IF(
    OR(
      $A80=23,
      AND($A80&gt;=32,$A80&lt;=50)
    ),
    IFERROR(
      INDEX('Daily Sales'!$C:$AG,
        $A80,
        MATCH(TEXT($B80,"0"),TEXT('Daily Sales'!$C$2:$AG$2,"0"),0)
      ),
    ""),
  "")
)</f>
        <v/>
      </c>
      <c r="I80" s="138">
        <f t="array" ref="I80">IF($A80="","",
  IF(
    OR(
      AND($A80&gt;=4,$A80&lt;=8),
      AND($A80&gt;=12,$A80&lt;=19),
      AND($A80&gt;=28,$A80&lt;=29)
    ),
    IFERROR(
      INDEX('Daily Sales'!$C:$AG,
        $A80,
        MATCH(TEXT($B80,"0"),TEXT('Daily Sales'!$C$2:$AG$2,"0"),0)
      ),
    ""),
  "")
)</f>
        <v>13763844</v>
      </c>
      <c r="J80" s="79" t="e">
        <f t="shared" si="2"/>
        <v>#VALUE!</v>
      </c>
      <c r="K80" s="141"/>
      <c r="L80" s="81"/>
      <c r="M80" s="141"/>
      <c r="N80" s="133"/>
      <c r="O80" s="4"/>
      <c r="P80" s="4"/>
      <c r="Q80" s="4"/>
      <c r="R80" s="109"/>
      <c r="S80" s="109"/>
      <c r="T80" s="108"/>
      <c r="U80" s="110"/>
      <c r="V80" s="110"/>
      <c r="W80" s="110"/>
      <c r="X80" s="110"/>
    </row>
    <row r="81" spans="1:24" ht="13.5" customHeight="1">
      <c r="A81" s="110">
        <f>IF(E81="","",MATCH(E81,'Daily Sales'!B$4:B$51,0)+3)</f>
        <v>28</v>
      </c>
      <c r="B81" s="135">
        <v>46176</v>
      </c>
      <c r="C81" s="136" t="s">
        <v>93</v>
      </c>
      <c r="D81" s="137" t="str">
        <f t="array" ref="D81">IF($A81="","",INDEX('Daily Sales'!A:A,$A81))</f>
        <v>2-2106</v>
      </c>
      <c r="E81" s="138" t="s">
        <v>35</v>
      </c>
      <c r="F81" s="139" t="str">
        <f t="shared" si="1"/>
        <v>Service Charges 7%</v>
      </c>
      <c r="G81" s="140"/>
      <c r="H81" s="138" t="str">
        <f t="array" ref="H81">IF($A81="","",
  IF(
    OR(
      $A81=23,
      AND($A81&gt;=32,$A81&lt;=50)
    ),
    IFERROR(
      INDEX('Daily Sales'!$C:$AG,
        $A81,
        MATCH(TEXT($B81,"0"),TEXT('Daily Sales'!$C$2:$AG$2,"0"),0)
      ),
    ""),
  "")
)</f>
        <v/>
      </c>
      <c r="I81" s="138">
        <f t="array" ref="I81">IF($A81="","",
  IF(
    OR(
      AND($A81&gt;=4,$A81&lt;=8),
      AND($A81&gt;=12,$A81&lt;=19),
      AND($A81&gt;=28,$A81&lt;=29)
    ),
    IFERROR(
      INDEX('Daily Sales'!$C:$AG,
        $A81,
        MATCH(TEXT($B81,"0"),TEXT('Daily Sales'!$C$2:$AG$2,"0"),0)
      ),
    ""),
  "")
)</f>
        <v>2820359.08</v>
      </c>
      <c r="J81" s="79" t="e">
        <f t="shared" si="2"/>
        <v>#VALUE!</v>
      </c>
      <c r="K81" s="141"/>
      <c r="L81" s="81"/>
      <c r="M81" s="141"/>
      <c r="N81" s="133"/>
      <c r="O81" s="4"/>
      <c r="P81" s="4"/>
      <c r="Q81" s="4"/>
      <c r="R81" s="109"/>
      <c r="S81" s="109"/>
      <c r="T81" s="108"/>
      <c r="U81" s="110"/>
      <c r="V81" s="110"/>
      <c r="W81" s="110"/>
      <c r="X81" s="110"/>
    </row>
    <row r="82" spans="1:24" ht="13.5" customHeight="1">
      <c r="A82" s="110">
        <f>IF(E82="","",MATCH(E82,'Daily Sales'!B$4:B$51,0)+3)</f>
        <v>29</v>
      </c>
      <c r="B82" s="135">
        <v>46176</v>
      </c>
      <c r="C82" s="136" t="s">
        <v>93</v>
      </c>
      <c r="D82" s="137" t="str">
        <f t="array" ref="D82">IF($A82="","",INDEX('Daily Sales'!A:A,$A82))</f>
        <v>2-3101</v>
      </c>
      <c r="E82" s="138" t="s">
        <v>37</v>
      </c>
      <c r="F82" s="139" t="str">
        <f t="shared" si="1"/>
        <v>Tax PB1 10%</v>
      </c>
      <c r="G82" s="140"/>
      <c r="H82" s="138" t="str">
        <f t="array" ref="H82">IF($A82="","",
  IF(
    OR(
      $A82=23,
      AND($A82&gt;=32,$A82&lt;=50)
    ),
    IFERROR(
      INDEX('Daily Sales'!$C:$AG,
        $A82,
        MATCH(TEXT($B82,"0"),TEXT('Daily Sales'!$C$2:$AG$2,"0"),0)
      ),
    ""),
  "")
)</f>
        <v/>
      </c>
      <c r="I82" s="138">
        <f t="array" ref="I82">IF($A82="","",
  IF(
    OR(
      AND($A82&gt;=4,$A82&lt;=8),
      AND($A82&gt;=12,$A82&lt;=19),
      AND($A82&gt;=28,$A82&lt;=29)
    ),
    IFERROR(
      INDEX('Daily Sales'!$C:$AG,
        $A82,
        MATCH(TEXT($B82,"0"),TEXT('Daily Sales'!$C$2:$AG$2,"0"),0)
      ),
    ""),
  "")
)</f>
        <v>4311120.3080000002</v>
      </c>
      <c r="J82" s="79" t="e">
        <f t="shared" si="2"/>
        <v>#VALUE!</v>
      </c>
      <c r="K82" s="141"/>
      <c r="L82" s="81"/>
      <c r="M82" s="141"/>
      <c r="N82" s="133"/>
      <c r="O82" s="4"/>
      <c r="P82" s="4"/>
      <c r="Q82" s="4"/>
      <c r="R82" s="109"/>
      <c r="S82" s="109"/>
      <c r="T82" s="108"/>
      <c r="U82" s="110"/>
      <c r="V82" s="110"/>
      <c r="W82" s="110"/>
      <c r="X82" s="110"/>
    </row>
    <row r="83" spans="1:24" ht="13.5" customHeight="1">
      <c r="A83" s="110">
        <f>IF(E83="","",MATCH(E83,'Daily Sales'!B$4:B$51,0)+3)</f>
        <v>23</v>
      </c>
      <c r="B83" s="135">
        <v>46176</v>
      </c>
      <c r="C83" s="136" t="s">
        <v>93</v>
      </c>
      <c r="D83" s="137" t="str">
        <f t="array" ref="D83">IF($A83="","",INDEX('Daily Sales'!A:A,$A83))</f>
        <v>4-5110</v>
      </c>
      <c r="E83" s="138" t="s">
        <v>30</v>
      </c>
      <c r="F83" s="139" t="str">
        <f t="shared" si="1"/>
        <v>Discount</v>
      </c>
      <c r="G83" s="140"/>
      <c r="H83" s="138">
        <f t="array" ref="H83">IF($A83="","",
  IF(
    OR(
      $A83=23,
      AND($A83&gt;=32,$A83&lt;=50)
    ),
    IFERROR(
      INDEX('Daily Sales'!$C:$AG,
        $A83,
        MATCH(TEXT($B83,"0"),TEXT('Daily Sales'!$C$2:$AG$2,"0"),0)
      ),
    ""),
  "")
)</f>
        <v>374000</v>
      </c>
      <c r="I83" s="138" t="str">
        <f t="array" ref="I83">IF($A83="","",
  IF(
    OR(
      AND($A83&gt;=4,$A83&lt;=8),
      AND($A83&gt;=12,$A83&lt;=19),
      AND($A83&gt;=28,$A83&lt;=29)
    ),
    IFERROR(
      INDEX('Daily Sales'!$C:$AG,
        $A83,
        MATCH(TEXT($B83,"0"),TEXT('Daily Sales'!$C$2:$AG$2,"0"),0)
      ),
    ""),
  "")
)</f>
        <v/>
      </c>
      <c r="J83" s="79" t="e">
        <f t="shared" si="2"/>
        <v>#VALUE!</v>
      </c>
      <c r="K83" s="141"/>
      <c r="L83" s="81"/>
      <c r="M83" s="141"/>
      <c r="N83" s="133"/>
      <c r="O83" s="4"/>
      <c r="P83" s="4"/>
      <c r="Q83" s="4"/>
      <c r="R83" s="109"/>
      <c r="S83" s="109"/>
      <c r="T83" s="108"/>
      <c r="U83" s="110"/>
      <c r="V83" s="110"/>
      <c r="W83" s="110"/>
      <c r="X83" s="110"/>
    </row>
    <row r="84" spans="1:24" ht="13.5" customHeight="1">
      <c r="A84" s="110">
        <f>IF(E84="","",MATCH(E84,'Daily Sales'!B$4:B$51,0)+3)</f>
        <v>32</v>
      </c>
      <c r="B84" s="135">
        <v>46176</v>
      </c>
      <c r="C84" s="136" t="s">
        <v>93</v>
      </c>
      <c r="D84" s="137" t="str">
        <f t="array" ref="D84">IF($A84="","",INDEX('Daily Sales'!A:A,$A84))</f>
        <v>1-1119</v>
      </c>
      <c r="E84" s="138" t="s">
        <v>40</v>
      </c>
      <c r="F84" s="139" t="str">
        <f t="shared" si="1"/>
        <v>Cash IDR</v>
      </c>
      <c r="G84" s="140"/>
      <c r="H84" s="138">
        <f t="array" ref="H84">IF($A84="","",
  IF(
    OR(
      $A84=23,
      AND($A84&gt;=32,$A84&lt;=50)
    ),
    IFERROR(
      INDEX('Daily Sales'!$C:$AG,
        $A84,
        MATCH(TEXT($B84,"0"),TEXT('Daily Sales'!$C$2:$AG$2,"0"),0)
      ),
    ""),
  "")
)</f>
        <v>9760327</v>
      </c>
      <c r="I84" s="138" t="str">
        <f t="array" ref="I84">IF($A84="","",
  IF(
    OR(
      AND($A84&gt;=4,$A84&lt;=8),
      AND($A84&gt;=12,$A84&lt;=19),
      AND($A84&gt;=28,$A84&lt;=29)
    ),
    IFERROR(
      INDEX('Daily Sales'!$C:$AG,
        $A84,
        MATCH(TEXT($B84,"0"),TEXT('Daily Sales'!$C$2:$AG$2,"0"),0)
      ),
    ""),
  "")
)</f>
        <v/>
      </c>
      <c r="J84" s="79" t="e">
        <f t="shared" si="2"/>
        <v>#VALUE!</v>
      </c>
      <c r="K84" s="141"/>
      <c r="L84" s="81"/>
      <c r="M84" s="141"/>
      <c r="N84" s="133"/>
      <c r="O84" s="4"/>
      <c r="P84" s="4"/>
      <c r="Q84" s="4"/>
      <c r="R84" s="109"/>
      <c r="S84" s="109"/>
      <c r="T84" s="108"/>
      <c r="U84" s="110"/>
      <c r="V84" s="110"/>
      <c r="W84" s="110"/>
      <c r="X84" s="110"/>
    </row>
    <row r="85" spans="1:24" ht="13.5" customHeight="1">
      <c r="A85" s="110">
        <f>IF(E85="","",MATCH(E85,'Daily Sales'!B$4:B$51,0)+3)</f>
        <v>33</v>
      </c>
      <c r="B85" s="135">
        <v>46176</v>
      </c>
      <c r="C85" s="136" t="s">
        <v>93</v>
      </c>
      <c r="D85" s="137" t="str">
        <f t="array" ref="D85">IF($A85="","",INDEX('Daily Sales'!A:A,$A85))</f>
        <v>1-1217</v>
      </c>
      <c r="E85" s="138" t="s">
        <v>43</v>
      </c>
      <c r="F85" s="139" t="str">
        <f t="shared" si="1"/>
        <v>Bank transfer</v>
      </c>
      <c r="G85" s="140"/>
      <c r="H85" s="138">
        <f t="array" ref="H85">IF($A85="","",
  IF(
    OR(
      $A85=23,
      AND($A85&gt;=32,$A85&lt;=50)
    ),
    IFERROR(
      INDEX('Daily Sales'!$C:$AG,
        $A85,
        MATCH(TEXT($B85,"0"),TEXT('Daily Sales'!$C$2:$AG$2,"0"),0)
      ),
    ""),
  "")
)</f>
        <v>0</v>
      </c>
      <c r="I85" s="138" t="str">
        <f t="array" ref="I85">IF($A85="","",
  IF(
    OR(
      AND($A85&gt;=4,$A85&lt;=8),
      AND($A85&gt;=12,$A85&lt;=19),
      AND($A85&gt;=28,$A85&lt;=29)
    ),
    IFERROR(
      INDEX('Daily Sales'!$C:$AG,
        $A85,
        MATCH(TEXT($B85,"0"),TEXT('Daily Sales'!$C$2:$AG$2,"0"),0)
      ),
    ""),
  "")
)</f>
        <v/>
      </c>
      <c r="J85" s="79" t="e">
        <f t="shared" si="2"/>
        <v>#VALUE!</v>
      </c>
      <c r="K85" s="141"/>
      <c r="L85" s="81"/>
      <c r="M85" s="141"/>
      <c r="N85" s="133"/>
      <c r="O85" s="4"/>
      <c r="P85" s="4"/>
      <c r="Q85" s="4"/>
      <c r="R85" s="109"/>
      <c r="S85" s="109"/>
      <c r="T85" s="108"/>
      <c r="U85" s="110"/>
      <c r="V85" s="110"/>
      <c r="W85" s="110"/>
      <c r="X85" s="110"/>
    </row>
    <row r="86" spans="1:24" ht="13.5" customHeight="1">
      <c r="A86" s="110">
        <f>IF(E86="","",MATCH(E86,'Daily Sales'!B$4:B$51,0)+3)</f>
        <v>35</v>
      </c>
      <c r="B86" s="135">
        <v>46176</v>
      </c>
      <c r="C86" s="136" t="s">
        <v>93</v>
      </c>
      <c r="D86" s="137" t="str">
        <f t="array" ref="D86">IF($A86="","",INDEX('Daily Sales'!A:A,$A86))</f>
        <v>1-1216</v>
      </c>
      <c r="E86" s="138" t="s">
        <v>46</v>
      </c>
      <c r="F86" s="139" t="str">
        <f t="shared" si="1"/>
        <v>Cim Niaga TBB</v>
      </c>
      <c r="G86" s="140"/>
      <c r="H86" s="138">
        <f t="array" ref="H86">IF($A86="","",
  IF(
    OR(
      $A86=23,
      AND($A86&gt;=32,$A86&lt;=50)
    ),
    IFERROR(
      INDEX('Daily Sales'!$C:$AG,
        $A86,
        MATCH(TEXT($B86,"0"),TEXT('Daily Sales'!$C$2:$AG$2,"0"),0)
      ),
    ""),
  "")
)</f>
        <v>0</v>
      </c>
      <c r="I86" s="138" t="str">
        <f t="array" ref="I86">IF($A86="","",
  IF(
    OR(
      AND($A86&gt;=4,$A86&lt;=8),
      AND($A86&gt;=12,$A86&lt;=19),
      AND($A86&gt;=28,$A86&lt;=29)
    ),
    IFERROR(
      INDEX('Daily Sales'!$C:$AG,
        $A86,
        MATCH(TEXT($B86,"0"),TEXT('Daily Sales'!$C$2:$AG$2,"0"),0)
      ),
    ""),
  "")
)</f>
        <v/>
      </c>
      <c r="J86" s="79" t="e">
        <f t="shared" si="2"/>
        <v>#VALUE!</v>
      </c>
      <c r="K86" s="141"/>
      <c r="L86" s="81"/>
      <c r="M86" s="141"/>
      <c r="N86" s="133"/>
      <c r="O86" s="4"/>
      <c r="P86" s="4"/>
      <c r="Q86" s="4"/>
      <c r="R86" s="109"/>
      <c r="S86" s="109"/>
      <c r="T86" s="108"/>
      <c r="U86" s="110"/>
      <c r="V86" s="110"/>
      <c r="W86" s="110"/>
      <c r="X86" s="110"/>
    </row>
    <row r="87" spans="1:24" ht="13.5" customHeight="1">
      <c r="A87" s="110">
        <f>IF(E87="","",MATCH(E87,'Daily Sales'!B$4:B$51,0)+3)</f>
        <v>36</v>
      </c>
      <c r="B87" s="135">
        <v>46176</v>
      </c>
      <c r="C87" s="136" t="s">
        <v>93</v>
      </c>
      <c r="D87" s="137" t="str">
        <f t="array" ref="D87">IF($A87="","",INDEX('Daily Sales'!A:A,$A87))</f>
        <v>1-1213</v>
      </c>
      <c r="E87" s="138" t="s">
        <v>49</v>
      </c>
      <c r="F87" s="139" t="str">
        <f t="shared" si="1"/>
        <v>Mandiri Debet</v>
      </c>
      <c r="G87" s="140"/>
      <c r="H87" s="138">
        <f t="array" ref="H87">IF($A87="","",
  IF(
    OR(
      $A87=23,
      AND($A87&gt;=32,$A87&lt;=50)
    ),
    IFERROR(
      INDEX('Daily Sales'!$C:$AG,
        $A87,
        MATCH(TEXT($B87,"0"),TEXT('Daily Sales'!$C$2:$AG$2,"0"),0)
      ),
    ""),
  "")
)</f>
        <v>515526</v>
      </c>
      <c r="I87" s="138" t="str">
        <f t="array" ref="I87">IF($A87="","",
  IF(
    OR(
      AND($A87&gt;=4,$A87&lt;=8),
      AND($A87&gt;=12,$A87&lt;=19),
      AND($A87&gt;=28,$A87&lt;=29)
    ),
    IFERROR(
      INDEX('Daily Sales'!$C:$AG,
        $A87,
        MATCH(TEXT($B87,"0"),TEXT('Daily Sales'!$C$2:$AG$2,"0"),0)
      ),
    ""),
  "")
)</f>
        <v/>
      </c>
      <c r="J87" s="79" t="e">
        <f t="shared" si="2"/>
        <v>#VALUE!</v>
      </c>
      <c r="K87" s="141"/>
      <c r="L87" s="81"/>
      <c r="M87" s="141"/>
      <c r="N87" s="133"/>
      <c r="O87" s="4"/>
      <c r="P87" s="4"/>
      <c r="Q87" s="4"/>
      <c r="R87" s="109"/>
      <c r="S87" s="109"/>
      <c r="T87" s="108"/>
      <c r="U87" s="110"/>
      <c r="V87" s="110"/>
      <c r="W87" s="110"/>
      <c r="X87" s="110"/>
    </row>
    <row r="88" spans="1:24" ht="13.5" customHeight="1">
      <c r="A88" s="110">
        <f>IF(E88="","",MATCH(E88,'Daily Sales'!B$4:B$51,0)+3)</f>
        <v>37</v>
      </c>
      <c r="B88" s="135">
        <v>46176</v>
      </c>
      <c r="C88" s="136" t="s">
        <v>93</v>
      </c>
      <c r="D88" s="137" t="str">
        <f t="array" ref="D88">IF($A88="","",INDEX('Daily Sales'!A:A,$A88))</f>
        <v>1-1213</v>
      </c>
      <c r="E88" s="138" t="s">
        <v>50</v>
      </c>
      <c r="F88" s="139" t="str">
        <f t="shared" si="1"/>
        <v>Mandiri CC</v>
      </c>
      <c r="G88" s="140"/>
      <c r="H88" s="138">
        <f t="array" ref="H88">IF($A88="","",
  IF(
    OR(
      $A88=23,
      AND($A88&gt;=32,$A88&lt;=50)
    ),
    IFERROR(
      INDEX('Daily Sales'!$C:$AG,
        $A88,
        MATCH(TEXT($B88,"0"),TEXT('Daily Sales'!$C$2:$AG$2,"0"),0)
      ),
    ""),
  "")
)</f>
        <v>24441385</v>
      </c>
      <c r="I88" s="138" t="str">
        <f t="array" ref="I88">IF($A88="","",
  IF(
    OR(
      AND($A88&gt;=4,$A88&lt;=8),
      AND($A88&gt;=12,$A88&lt;=19),
      AND($A88&gt;=28,$A88&lt;=29)
    ),
    IFERROR(
      INDEX('Daily Sales'!$C:$AG,
        $A88,
        MATCH(TEXT($B88,"0"),TEXT('Daily Sales'!$C$2:$AG$2,"0"),0)
      ),
    ""),
  "")
)</f>
        <v/>
      </c>
      <c r="J88" s="79" t="e">
        <f t="shared" si="2"/>
        <v>#VALUE!</v>
      </c>
      <c r="K88" s="141"/>
      <c r="L88" s="81"/>
      <c r="M88" s="141"/>
      <c r="N88" s="133"/>
      <c r="O88" s="4"/>
      <c r="P88" s="4"/>
      <c r="Q88" s="4"/>
      <c r="R88" s="109"/>
      <c r="S88" s="109"/>
      <c r="T88" s="108"/>
      <c r="U88" s="110"/>
      <c r="V88" s="110"/>
      <c r="W88" s="110"/>
      <c r="X88" s="110"/>
    </row>
    <row r="89" spans="1:24" ht="13.5" customHeight="1">
      <c r="A89" s="110">
        <f>IF(E89="","",MATCH(E89,'Daily Sales'!B$4:B$51,0)+3)</f>
        <v>38</v>
      </c>
      <c r="B89" s="135">
        <v>46176</v>
      </c>
      <c r="C89" s="136" t="s">
        <v>93</v>
      </c>
      <c r="D89" s="137" t="str">
        <f t="array" ref="D89">IF($A89="","",INDEX('Daily Sales'!A:A,$A89))</f>
        <v>1-1213</v>
      </c>
      <c r="E89" s="138" t="s">
        <v>51</v>
      </c>
      <c r="F89" s="139" t="str">
        <f t="shared" si="1"/>
        <v>Mandiri NPG</v>
      </c>
      <c r="G89" s="140"/>
      <c r="H89" s="138">
        <f t="array" ref="H89">IF($A89="","",
  IF(
    OR(
      $A89=23,
      AND($A89&gt;=32,$A89&lt;=50)
    ),
    IFERROR(
      INDEX('Daily Sales'!$C:$AG,
        $A89,
        MATCH(TEXT($B89,"0"),TEXT('Daily Sales'!$C$2:$AG$2,"0"),0)
      ),
    ""),
  "")
)</f>
        <v>1923855</v>
      </c>
      <c r="I89" s="138" t="str">
        <f t="array" ref="I89">IF($A89="","",
  IF(
    OR(
      AND($A89&gt;=4,$A89&lt;=8),
      AND($A89&gt;=12,$A89&lt;=19),
      AND($A89&gt;=28,$A89&lt;=29)
    ),
    IFERROR(
      INDEX('Daily Sales'!$C:$AG,
        $A89,
        MATCH(TEXT($B89,"0"),TEXT('Daily Sales'!$C$2:$AG$2,"0"),0)
      ),
    ""),
  "")
)</f>
        <v/>
      </c>
      <c r="J89" s="79" t="e">
        <f t="shared" si="2"/>
        <v>#VALUE!</v>
      </c>
      <c r="K89" s="141"/>
      <c r="L89" s="81"/>
      <c r="M89" s="141"/>
      <c r="N89" s="133"/>
      <c r="O89" s="4"/>
      <c r="P89" s="4"/>
      <c r="Q89" s="4"/>
      <c r="R89" s="109"/>
      <c r="S89" s="109"/>
      <c r="T89" s="108"/>
      <c r="U89" s="110"/>
      <c r="V89" s="110"/>
      <c r="W89" s="110"/>
      <c r="X89" s="110"/>
    </row>
    <row r="90" spans="1:24" ht="13.5" customHeight="1">
      <c r="A90" s="110">
        <f>IF(E90="","",MATCH(E90,'Daily Sales'!B$4:B$51,0)+3)</f>
        <v>39</v>
      </c>
      <c r="B90" s="135">
        <v>46176</v>
      </c>
      <c r="C90" s="136" t="s">
        <v>93</v>
      </c>
      <c r="D90" s="137" t="str">
        <f t="array" ref="D90">IF($A90="","",INDEX('Daily Sales'!A:A,$A90))</f>
        <v>1-1213</v>
      </c>
      <c r="E90" s="138" t="s">
        <v>52</v>
      </c>
      <c r="F90" s="139" t="str">
        <f t="shared" si="1"/>
        <v>Mandiri QR</v>
      </c>
      <c r="G90" s="140"/>
      <c r="H90" s="138">
        <f t="array" ref="H90">IF($A90="","",
  IF(
    OR(
      $A90=23,
      AND($A90&gt;=32,$A90&lt;=50)
    ),
    IFERROR(
      INDEX('Daily Sales'!$C:$AG,
        $A90,
        MATCH(TEXT($B90,"0"),TEXT('Daily Sales'!$C$2:$AG$2,"0"),0)
      ),
    ""),
  "")
)</f>
        <v>1947755</v>
      </c>
      <c r="I90" s="138" t="str">
        <f t="array" ref="I90">IF($A90="","",
  IF(
    OR(
      AND($A90&gt;=4,$A90&lt;=8),
      AND($A90&gt;=12,$A90&lt;=19),
      AND($A90&gt;=28,$A90&lt;=29)
    ),
    IFERROR(
      INDEX('Daily Sales'!$C:$AG,
        $A90,
        MATCH(TEXT($B90,"0"),TEXT('Daily Sales'!$C$2:$AG$2,"0"),0)
      ),
    ""),
  "")
)</f>
        <v/>
      </c>
      <c r="J90" s="79" t="e">
        <f t="shared" si="2"/>
        <v>#VALUE!</v>
      </c>
      <c r="K90" s="141"/>
      <c r="L90" s="81"/>
      <c r="M90" s="141"/>
      <c r="N90" s="133"/>
      <c r="O90" s="4"/>
      <c r="P90" s="4"/>
      <c r="Q90" s="4"/>
      <c r="R90" s="109"/>
      <c r="S90" s="109"/>
      <c r="T90" s="108"/>
      <c r="U90" s="110"/>
      <c r="V90" s="110"/>
      <c r="W90" s="110"/>
      <c r="X90" s="110"/>
    </row>
    <row r="91" spans="1:24" ht="13.5" customHeight="1">
      <c r="A91" s="110">
        <f>IF(E91="","",MATCH(E91,'Daily Sales'!B$4:B$51,0)+3)</f>
        <v>40</v>
      </c>
      <c r="B91" s="135">
        <v>46176</v>
      </c>
      <c r="C91" s="136" t="s">
        <v>93</v>
      </c>
      <c r="D91" s="137" t="str">
        <f t="array" ref="D91">IF($A91="","",INDEX('Daily Sales'!A:A,$A91))</f>
        <v>1-1217</v>
      </c>
      <c r="E91" s="138" t="s">
        <v>54</v>
      </c>
      <c r="F91" s="139" t="str">
        <f t="shared" si="1"/>
        <v>BCA CC</v>
      </c>
      <c r="G91" s="140"/>
      <c r="H91" s="138">
        <f t="array" ref="H91">IF($A91="","",
  IF(
    OR(
      $A91=23,
      AND($A91&gt;=32,$A91&lt;=50)
    ),
    IFERROR(
      INDEX('Daily Sales'!$C:$AG,
        $A91,
        MATCH(TEXT($B91,"0"),TEXT('Daily Sales'!$C$2:$AG$2,"0"),0)
      ),
    ""),
  "")
)</f>
        <v>7497490</v>
      </c>
      <c r="I91" s="138" t="str">
        <f t="array" ref="I91">IF($A91="","",
  IF(
    OR(
      AND($A91&gt;=4,$A91&lt;=8),
      AND($A91&gt;=12,$A91&lt;=19),
      AND($A91&gt;=28,$A91&lt;=29)
    ),
    IFERROR(
      INDEX('Daily Sales'!$C:$AG,
        $A91,
        MATCH(TEXT($B91,"0"),TEXT('Daily Sales'!$C$2:$AG$2,"0"),0)
      ),
    ""),
  "")
)</f>
        <v/>
      </c>
      <c r="J91" s="79" t="e">
        <f t="shared" si="2"/>
        <v>#VALUE!</v>
      </c>
      <c r="K91" s="141"/>
      <c r="L91" s="81"/>
      <c r="M91" s="141"/>
      <c r="N91" s="133"/>
      <c r="O91" s="4"/>
      <c r="P91" s="4"/>
      <c r="Q91" s="4"/>
      <c r="R91" s="109"/>
      <c r="S91" s="109"/>
      <c r="T91" s="108"/>
      <c r="U91" s="110"/>
      <c r="V91" s="110"/>
      <c r="W91" s="110"/>
      <c r="X91" s="110"/>
    </row>
    <row r="92" spans="1:24" ht="13.5" customHeight="1">
      <c r="A92" s="110">
        <f>IF(E92="","",MATCH(E92,'Daily Sales'!B$4:B$51,0)+3)</f>
        <v>41</v>
      </c>
      <c r="B92" s="135">
        <v>46176</v>
      </c>
      <c r="C92" s="136" t="s">
        <v>93</v>
      </c>
      <c r="D92" s="137" t="str">
        <f t="array" ref="D92">IF($A92="","",INDEX('Daily Sales'!A:A,$A92))</f>
        <v>1-1217</v>
      </c>
      <c r="E92" s="138" t="s">
        <v>55</v>
      </c>
      <c r="F92" s="139" t="str">
        <f t="shared" si="1"/>
        <v>BCA debt</v>
      </c>
      <c r="G92" s="140"/>
      <c r="H92" s="138">
        <f t="array" ref="H92">IF($A92="","",
  IF(
    OR(
      $A92=23,
      AND($A92&gt;=32,$A92&lt;=50)
    ),
    IFERROR(
      INDEX('Daily Sales'!$C:$AG,
        $A92,
        MATCH(TEXT($B92,"0"),TEXT('Daily Sales'!$C$2:$AG$2,"0"),0)
      ),
    ""),
  "")
)</f>
        <v>364870</v>
      </c>
      <c r="I92" s="138" t="str">
        <f t="array" ref="I92">IF($A92="","",
  IF(
    OR(
      AND($A92&gt;=4,$A92&lt;=8),
      AND($A92&gt;=12,$A92&lt;=19),
      AND($A92&gt;=28,$A92&lt;=29)
    ),
    IFERROR(
      INDEX('Daily Sales'!$C:$AG,
        $A92,
        MATCH(TEXT($B92,"0"),TEXT('Daily Sales'!$C$2:$AG$2,"0"),0)
      ),
    ""),
  "")
)</f>
        <v/>
      </c>
      <c r="J92" s="79" t="e">
        <f t="shared" si="2"/>
        <v>#VALUE!</v>
      </c>
      <c r="K92" s="141"/>
      <c r="L92" s="81"/>
      <c r="M92" s="141"/>
      <c r="N92" s="133"/>
      <c r="O92" s="4"/>
      <c r="P92" s="4"/>
      <c r="Q92" s="4"/>
      <c r="R92" s="109"/>
      <c r="S92" s="109"/>
      <c r="T92" s="108"/>
      <c r="U92" s="110"/>
      <c r="V92" s="110"/>
      <c r="W92" s="110"/>
      <c r="X92" s="110"/>
    </row>
    <row r="93" spans="1:24" ht="13.5" customHeight="1">
      <c r="A93" s="110">
        <f>IF(E93="","",MATCH(E93,'Daily Sales'!B$4:B$51,0)+3)</f>
        <v>42</v>
      </c>
      <c r="B93" s="135">
        <v>46176</v>
      </c>
      <c r="C93" s="136" t="s">
        <v>93</v>
      </c>
      <c r="D93" s="137" t="str">
        <f t="array" ref="D93">IF($A93="","",INDEX('Daily Sales'!A:A,$A93))</f>
        <v>1-1217</v>
      </c>
      <c r="E93" s="138" t="s">
        <v>56</v>
      </c>
      <c r="F93" s="139" t="str">
        <f t="shared" si="1"/>
        <v>BCA QR</v>
      </c>
      <c r="G93" s="140"/>
      <c r="H93" s="138">
        <f t="array" ref="H93">IF($A93="","",
  IF(
    OR(
      $A93=23,
      AND($A93&gt;=32,$A93&lt;=50)
    ),
    IFERROR(
      INDEX('Daily Sales'!$C:$AG,
        $A93,
        MATCH(TEXT($B93,"0"),TEXT('Daily Sales'!$C$2:$AG$2,"0"),0)
      ),
    ""),
  "")
)</f>
        <v>105930</v>
      </c>
      <c r="I93" s="138" t="str">
        <f t="array" ref="I93">IF($A93="","",
  IF(
    OR(
      AND($A93&gt;=4,$A93&lt;=8),
      AND($A93&gt;=12,$A93&lt;=19),
      AND($A93&gt;=28,$A93&lt;=29)
    ),
    IFERROR(
      INDEX('Daily Sales'!$C:$AG,
        $A93,
        MATCH(TEXT($B93,"0"),TEXT('Daily Sales'!$C$2:$AG$2,"0"),0)
      ),
    ""),
  "")
)</f>
        <v/>
      </c>
      <c r="J93" s="79" t="e">
        <f t="shared" si="2"/>
        <v>#VALUE!</v>
      </c>
      <c r="K93" s="141"/>
      <c r="L93" s="81"/>
      <c r="M93" s="141"/>
      <c r="N93" s="133"/>
      <c r="O93" s="4"/>
      <c r="P93" s="4"/>
      <c r="Q93" s="4"/>
      <c r="R93" s="109"/>
      <c r="S93" s="109"/>
      <c r="T93" s="108"/>
      <c r="U93" s="110"/>
      <c r="V93" s="110"/>
      <c r="W93" s="110"/>
      <c r="X93" s="110"/>
    </row>
    <row r="94" spans="1:24" ht="13.5" customHeight="1">
      <c r="A94" s="110">
        <f>IF(E94="","",MATCH(E94,'Daily Sales'!B$4:B$51,0)+3)</f>
        <v>43</v>
      </c>
      <c r="B94" s="135">
        <v>46176</v>
      </c>
      <c r="C94" s="136" t="s">
        <v>93</v>
      </c>
      <c r="D94" s="137" t="str">
        <f t="array" ref="D94">IF($A94="","",INDEX('Daily Sales'!A:A,$A94))</f>
        <v>1-1214</v>
      </c>
      <c r="E94" s="138" t="s">
        <v>59</v>
      </c>
      <c r="F94" s="139" t="str">
        <f t="shared" si="1"/>
        <v>Bank BRI DEBET</v>
      </c>
      <c r="G94" s="140"/>
      <c r="H94" s="138">
        <f t="array" ref="H94">IF($A94="","",
  IF(
    OR(
      $A94=23,
      AND($A94&gt;=32,$A94&lt;=50)
    ),
    IFERROR(
      INDEX('Daily Sales'!$C:$AG,
        $A94,
        MATCH(TEXT($B94,"0"),TEXT('Daily Sales'!$C$2:$AG$2,"0"),0)
      ),
    ""),
  "")
)</f>
        <v>0</v>
      </c>
      <c r="I94" s="138" t="str">
        <f t="array" ref="I94">IF($A94="","",
  IF(
    OR(
      AND($A94&gt;=4,$A94&lt;=8),
      AND($A94&gt;=12,$A94&lt;=19),
      AND($A94&gt;=28,$A94&lt;=29)
    ),
    IFERROR(
      INDEX('Daily Sales'!$C:$AG,
        $A94,
        MATCH(TEXT($B94,"0"),TEXT('Daily Sales'!$C$2:$AG$2,"0"),0)
      ),
    ""),
  "")
)</f>
        <v/>
      </c>
      <c r="J94" s="79" t="e">
        <f t="shared" si="2"/>
        <v>#VALUE!</v>
      </c>
      <c r="K94" s="141"/>
      <c r="L94" s="81"/>
      <c r="M94" s="141"/>
      <c r="N94" s="133"/>
      <c r="O94" s="4"/>
      <c r="P94" s="4"/>
      <c r="Q94" s="4"/>
      <c r="R94" s="109"/>
      <c r="S94" s="109"/>
      <c r="T94" s="108"/>
      <c r="U94" s="110"/>
      <c r="V94" s="110"/>
      <c r="W94" s="110"/>
      <c r="X94" s="110"/>
    </row>
    <row r="95" spans="1:24" ht="13.5" customHeight="1">
      <c r="A95" s="110">
        <f>IF(E95="","",MATCH(E95,'Daily Sales'!B$4:B$51,0)+3)</f>
        <v>44</v>
      </c>
      <c r="B95" s="135">
        <v>46176</v>
      </c>
      <c r="C95" s="136" t="s">
        <v>93</v>
      </c>
      <c r="D95" s="137" t="str">
        <f t="array" ref="D95">IF($A95="","",INDEX('Daily Sales'!A:A,$A95))</f>
        <v>1-1214</v>
      </c>
      <c r="E95" s="138" t="s">
        <v>60</v>
      </c>
      <c r="F95" s="139" t="str">
        <f t="shared" si="1"/>
        <v>Bank BRI CC</v>
      </c>
      <c r="G95" s="140"/>
      <c r="H95" s="138">
        <f t="array" ref="H95">IF($A95="","",
  IF(
    OR(
      $A95=23,
      AND($A95&gt;=32,$A95&lt;=50)
    ),
    IFERROR(
      INDEX('Daily Sales'!$C:$AG,
        $A95,
        MATCH(TEXT($B95,"0"),TEXT('Daily Sales'!$C$2:$AG$2,"0"),0)
      ),
    ""),
  "")
)</f>
        <v>247170</v>
      </c>
      <c r="I95" s="138" t="str">
        <f t="array" ref="I95">IF($A95="","",
  IF(
    OR(
      AND($A95&gt;=4,$A95&lt;=8),
      AND($A95&gt;=12,$A95&lt;=19),
      AND($A95&gt;=28,$A95&lt;=29)
    ),
    IFERROR(
      INDEX('Daily Sales'!$C:$AG,
        $A95,
        MATCH(TEXT($B95,"0"),TEXT('Daily Sales'!$C$2:$AG$2,"0"),0)
      ),
    ""),
  "")
)</f>
        <v/>
      </c>
      <c r="J95" s="79" t="e">
        <f t="shared" si="2"/>
        <v>#VALUE!</v>
      </c>
      <c r="K95" s="141"/>
      <c r="L95" s="81"/>
      <c r="M95" s="141"/>
      <c r="N95" s="133"/>
      <c r="O95" s="4"/>
      <c r="P95" s="4"/>
      <c r="Q95" s="4"/>
      <c r="R95" s="109"/>
      <c r="S95" s="109"/>
      <c r="T95" s="108"/>
      <c r="U95" s="110"/>
      <c r="V95" s="110"/>
      <c r="W95" s="110"/>
      <c r="X95" s="110"/>
    </row>
    <row r="96" spans="1:24" ht="13.5" customHeight="1">
      <c r="A96" s="110">
        <f>IF(E96="","",MATCH(E96,'Daily Sales'!B$4:B$51,0)+3)</f>
        <v>45</v>
      </c>
      <c r="B96" s="135">
        <v>46176</v>
      </c>
      <c r="C96" s="136" t="s">
        <v>93</v>
      </c>
      <c r="D96" s="137" t="str">
        <f t="array" ref="D96">IF($A96="","",INDEX('Daily Sales'!A:A,$A96))</f>
        <v>1-1214</v>
      </c>
      <c r="E96" s="138" t="s">
        <v>61</v>
      </c>
      <c r="F96" s="139" t="str">
        <f t="shared" si="1"/>
        <v>Bank BRI QR</v>
      </c>
      <c r="G96" s="140"/>
      <c r="H96" s="138">
        <f t="array" ref="H96">IF($A96="","",
  IF(
    OR(
      $A96=23,
      AND($A96&gt;=32,$A96&lt;=50)
    ),
    IFERROR(
      INDEX('Daily Sales'!$C:$AG,
        $A96,
        MATCH(TEXT($B96,"0"),TEXT('Daily Sales'!$C$2:$AG$2,"0"),0)
      ),
    ""),
  "")
)</f>
        <v>0</v>
      </c>
      <c r="I96" s="138" t="str">
        <f t="array" ref="I96">IF($A96="","",
  IF(
    OR(
      AND($A96&gt;=4,$A96&lt;=8),
      AND($A96&gt;=12,$A96&lt;=19),
      AND($A96&gt;=28,$A96&lt;=29)
    ),
    IFERROR(
      INDEX('Daily Sales'!$C:$AG,
        $A96,
        MATCH(TEXT($B96,"0"),TEXT('Daily Sales'!$C$2:$AG$2,"0"),0)
      ),
    ""),
  "")
)</f>
        <v/>
      </c>
      <c r="J96" s="79" t="e">
        <f t="shared" si="2"/>
        <v>#VALUE!</v>
      </c>
      <c r="K96" s="141"/>
      <c r="L96" s="81"/>
      <c r="M96" s="141"/>
      <c r="N96" s="133"/>
      <c r="O96" s="4"/>
      <c r="P96" s="4"/>
      <c r="Q96" s="4"/>
      <c r="R96" s="109"/>
      <c r="S96" s="109"/>
      <c r="T96" s="108"/>
      <c r="U96" s="110"/>
      <c r="V96" s="110"/>
      <c r="W96" s="110"/>
      <c r="X96" s="110"/>
    </row>
    <row r="97" spans="1:24" ht="13.5" customHeight="1">
      <c r="A97" s="110">
        <f>IF(E97="","",MATCH(E97,'Daily Sales'!B$4:B$51,0)+3)</f>
        <v>46</v>
      </c>
      <c r="B97" s="135">
        <v>46176</v>
      </c>
      <c r="C97" s="136" t="s">
        <v>93</v>
      </c>
      <c r="D97" s="137" t="str">
        <f t="array" ref="D97">IF($A97="","",INDEX('Daily Sales'!A:A,$A97))</f>
        <v>1-1202</v>
      </c>
      <c r="E97" s="138" t="s">
        <v>64</v>
      </c>
      <c r="F97" s="139" t="str">
        <f t="shared" si="1"/>
        <v>Ledger</v>
      </c>
      <c r="G97" s="140"/>
      <c r="H97" s="138">
        <f t="array" ref="H97">IF($A97="","",
  IF(
    OR(
      $A97=23,
      AND($A97&gt;=32,$A97&lt;=50)
    ),
    IFERROR(
      INDEX('Daily Sales'!$C:$AG,
        $A97,
        MATCH(TEXT($B97,"0"),TEXT('Daily Sales'!$C$2:$AG$2,"0"),0)
      ),
    ""),
  "")
)</f>
        <v>415481</v>
      </c>
      <c r="I97" s="138" t="str">
        <f t="array" ref="I97">IF($A97="","",
  IF(
    OR(
      AND($A97&gt;=4,$A97&lt;=8),
      AND($A97&gt;=12,$A97&lt;=19),
      AND($A97&gt;=28,$A97&lt;=29)
    ),
    IFERROR(
      INDEX('Daily Sales'!$C:$AG,
        $A97,
        MATCH(TEXT($B97,"0"),TEXT('Daily Sales'!$C$2:$AG$2,"0"),0)
      ),
    ""),
  "")
)</f>
        <v/>
      </c>
      <c r="J97" s="79" t="e">
        <f t="shared" si="2"/>
        <v>#VALUE!</v>
      </c>
      <c r="K97" s="141"/>
      <c r="L97" s="81"/>
      <c r="M97" s="141"/>
      <c r="N97" s="133"/>
      <c r="O97" s="4"/>
      <c r="P97" s="4"/>
      <c r="Q97" s="4"/>
      <c r="R97" s="109"/>
      <c r="S97" s="109"/>
      <c r="T97" s="108"/>
      <c r="U97" s="110"/>
      <c r="V97" s="110"/>
      <c r="W97" s="110"/>
      <c r="X97" s="110"/>
    </row>
    <row r="98" spans="1:24" ht="13.5" customHeight="1">
      <c r="A98" s="110">
        <f>IF(E98="","",MATCH(E98,'Daily Sales'!B$4:B$51,0)+3)</f>
        <v>47</v>
      </c>
      <c r="B98" s="135">
        <v>46176</v>
      </c>
      <c r="C98" s="136" t="s">
        <v>93</v>
      </c>
      <c r="D98" s="137" t="str">
        <f t="array" ref="D98">IF($A98="","",INDEX('Daily Sales'!A:A,$A98))</f>
        <v>1-1129</v>
      </c>
      <c r="E98" s="138" t="s">
        <v>66</v>
      </c>
      <c r="F98" s="139" t="str">
        <f t="shared" si="1"/>
        <v>Star Points</v>
      </c>
      <c r="G98" s="140"/>
      <c r="H98" s="138">
        <f t="array" ref="H98">IF($A98="","",
  IF(
    OR(
      $A98=23,
      AND($A98&gt;=32,$A98&lt;=50)
    ),
    IFERROR(
      INDEX('Daily Sales'!$C:$AG,
        $A98,
        MATCH(TEXT($B98,"0"),TEXT('Daily Sales'!$C$2:$AG$2,"0"),0)
      ),
    ""),
  "")
)</f>
        <v>141240</v>
      </c>
      <c r="I98" s="138" t="str">
        <f t="array" ref="I98">IF($A98="","",
  IF(
    OR(
      AND($A98&gt;=4,$A98&lt;=8),
      AND($A98&gt;=12,$A98&lt;=19),
      AND($A98&gt;=28,$A98&lt;=29)
    ),
    IFERROR(
      INDEX('Daily Sales'!$C:$AG,
        $A98,
        MATCH(TEXT($B98,"0"),TEXT('Daily Sales'!$C$2:$AG$2,"0"),0)
      ),
    ""),
  "")
)</f>
        <v/>
      </c>
      <c r="J98" s="79" t="e">
        <f t="shared" si="2"/>
        <v>#VALUE!</v>
      </c>
      <c r="K98" s="141"/>
      <c r="L98" s="81"/>
      <c r="M98" s="141"/>
      <c r="N98" s="133"/>
      <c r="O98" s="4"/>
      <c r="P98" s="4"/>
      <c r="Q98" s="4"/>
      <c r="R98" s="109"/>
      <c r="S98" s="109"/>
      <c r="T98" s="108"/>
      <c r="U98" s="110"/>
      <c r="V98" s="110"/>
      <c r="W98" s="110"/>
      <c r="X98" s="110"/>
    </row>
    <row r="99" spans="1:24" ht="13.5" customHeight="1">
      <c r="A99" s="110">
        <f>IF(E99="","",MATCH(E99,'Daily Sales'!B$4:B$51,0)+3)</f>
        <v>48</v>
      </c>
      <c r="B99" s="135">
        <v>46176</v>
      </c>
      <c r="C99" s="136" t="s">
        <v>93</v>
      </c>
      <c r="D99" s="137" t="str">
        <f t="array" ref="D99">IF($A99="","",INDEX('Daily Sales'!A:A,$A99))</f>
        <v>1-1215</v>
      </c>
      <c r="E99" s="138" t="s">
        <v>68</v>
      </c>
      <c r="F99" s="139" t="str">
        <f t="shared" si="1"/>
        <v>Ovo</v>
      </c>
      <c r="G99" s="140"/>
      <c r="H99" s="138">
        <f t="array" ref="H99">IF($A99="","",
  IF(
    OR(
      $A99=23,
      AND($A99&gt;=32,$A99&lt;=50)
    ),
    IFERROR(
      INDEX('Daily Sales'!$C:$AG,
        $A99,
        MATCH(TEXT($B99,"0"),TEXT('Daily Sales'!$C$2:$AG$2,"0"),0)
      ),
    ""),
  "")
)</f>
        <v>0</v>
      </c>
      <c r="I99" s="138" t="str">
        <f t="array" ref="I99">IF($A99="","",
  IF(
    OR(
      AND($A99&gt;=4,$A99&lt;=8),
      AND($A99&gt;=12,$A99&lt;=19),
      AND($A99&gt;=28,$A99&lt;=29)
    ),
    IFERROR(
      INDEX('Daily Sales'!$C:$AG,
        $A99,
        MATCH(TEXT($B99,"0"),TEXT('Daily Sales'!$C$2:$AG$2,"0"),0)
      ),
    ""),
  "")
)</f>
        <v/>
      </c>
      <c r="J99" s="79" t="e">
        <f t="shared" si="2"/>
        <v>#VALUE!</v>
      </c>
      <c r="K99" s="141"/>
      <c r="L99" s="81"/>
      <c r="M99" s="141"/>
      <c r="N99" s="133"/>
      <c r="O99" s="4"/>
      <c r="P99" s="4"/>
      <c r="Q99" s="4"/>
      <c r="R99" s="109"/>
      <c r="S99" s="109"/>
      <c r="T99" s="108"/>
      <c r="U99" s="110"/>
      <c r="V99" s="110"/>
      <c r="W99" s="110"/>
      <c r="X99" s="110"/>
    </row>
    <row r="100" spans="1:24" ht="13.5" customHeight="1">
      <c r="A100" s="110">
        <f>IF(E100="","",MATCH(E100,'Daily Sales'!B$4:B$51,0)+3)</f>
        <v>49</v>
      </c>
      <c r="B100" s="135">
        <v>46176</v>
      </c>
      <c r="C100" s="136" t="s">
        <v>93</v>
      </c>
      <c r="D100" s="137" t="str">
        <f t="array" ref="D100">IF($A100="","",INDEX('Daily Sales'!A:A,$A100))</f>
        <v>1-1211</v>
      </c>
      <c r="E100" s="138" t="s">
        <v>70</v>
      </c>
      <c r="F100" s="139" t="str">
        <f t="shared" si="1"/>
        <v>Gopay</v>
      </c>
      <c r="G100" s="140"/>
      <c r="H100" s="138">
        <f t="array" ref="H100">IF($A100="","",
  IF(
    OR(
      $A100=23,
      AND($A100&gt;=32,$A100&lt;=50)
    ),
    IFERROR(
      INDEX('Daily Sales'!$C:$AG,
        $A100,
        MATCH(TEXT($B100,"0"),TEXT('Daily Sales'!$C$2:$AG$2,"0"),0)
      ),
    ""),
  "")
)</f>
        <v>222000</v>
      </c>
      <c r="I100" s="138" t="str">
        <f t="array" ref="I100">IF($A100="","",
  IF(
    OR(
      AND($A100&gt;=4,$A100&lt;=8),
      AND($A100&gt;=12,$A100&lt;=19),
      AND($A100&gt;=28,$A100&lt;=29)
    ),
    IFERROR(
      INDEX('Daily Sales'!$C:$AG,
        $A100,
        MATCH(TEXT($B100,"0"),TEXT('Daily Sales'!$C$2:$AG$2,"0"),0)
      ),
    ""),
  "")
)</f>
        <v/>
      </c>
      <c r="J100" s="79" t="e">
        <f t="shared" si="2"/>
        <v>#VALUE!</v>
      </c>
      <c r="K100" s="141"/>
      <c r="L100" s="81"/>
      <c r="M100" s="141"/>
      <c r="N100" s="133"/>
      <c r="O100" s="4"/>
      <c r="P100" s="4"/>
      <c r="Q100" s="4"/>
      <c r="R100" s="109"/>
      <c r="S100" s="109"/>
      <c r="T100" s="108"/>
      <c r="U100" s="110"/>
      <c r="V100" s="110"/>
      <c r="W100" s="110"/>
      <c r="X100" s="110"/>
    </row>
    <row r="101" spans="1:24" ht="13.5" customHeight="1">
      <c r="A101" s="110">
        <f>IF(E101="","",MATCH(E101,'Daily Sales'!B$4:B$51,0)+3)</f>
        <v>50</v>
      </c>
      <c r="B101" s="135">
        <v>46176</v>
      </c>
      <c r="C101" s="136" t="s">
        <v>93</v>
      </c>
      <c r="D101" s="137" t="str">
        <f t="array" ref="D101">IF($A101="","",INDEX('Daily Sales'!A:A,$A101))</f>
        <v>2-2110</v>
      </c>
      <c r="E101" s="138" t="s">
        <v>72</v>
      </c>
      <c r="F101" s="139" t="str">
        <f t="shared" si="1"/>
        <v>Cash Short/Over</v>
      </c>
      <c r="G101" s="140"/>
      <c r="H101" s="138">
        <f t="array" ref="H101">IF($A101="","",
  IF(
    OR(
      $A101=23,
      AND($A101&gt;=32,$A101&lt;=50)
    ),
    IFERROR(
      INDEX('Daily Sales'!$C:$AG,
        $A101,
        MATCH(TEXT($B101,"0"),TEXT('Daily Sales'!$C$2:$AG$2,"0"),0)
      ),
    ""),
  "")
)</f>
        <v>39294.39</v>
      </c>
      <c r="I101" s="138" t="str">
        <f t="array" ref="I101">IF($A101="","",
  IF(
    OR(
      AND($A101&gt;=4,$A101&lt;=8),
      AND($A101&gt;=12,$A101&lt;=19),
      AND($A101&gt;=28,$A101&lt;=29)
    ),
    IFERROR(
      INDEX('Daily Sales'!$C:$AG,
        $A101,
        MATCH(TEXT($B101,"0"),TEXT('Daily Sales'!$C$2:$AG$2,"0"),0)
      ),
    ""),
  "")
)</f>
        <v/>
      </c>
      <c r="J101" s="79" t="e">
        <f t="shared" si="2"/>
        <v>#VALUE!</v>
      </c>
      <c r="K101" s="141"/>
      <c r="L101" s="81"/>
      <c r="M101" s="141"/>
      <c r="N101" s="133"/>
      <c r="O101" s="4"/>
      <c r="P101" s="4"/>
      <c r="Q101" s="4"/>
      <c r="R101" s="109"/>
      <c r="S101" s="109"/>
      <c r="T101" s="108"/>
      <c r="U101" s="110"/>
      <c r="V101" s="110"/>
      <c r="W101" s="110"/>
      <c r="X101" s="110"/>
    </row>
    <row r="102" spans="1:24" ht="13.5" customHeight="1">
      <c r="A102" s="110" t="str">
        <f>IF(E102="","",MATCH(E102,'Daily Sales'!B$4:B$51,0)+3)</f>
        <v/>
      </c>
      <c r="B102" s="135"/>
      <c r="C102" s="136"/>
      <c r="D102" s="137" t="str">
        <f t="array" ref="D102">IF($A102="","",INDEX('Daily Sales'!A:A,$A102))</f>
        <v/>
      </c>
      <c r="E102" s="138"/>
      <c r="F102" s="139">
        <f t="shared" si="1"/>
        <v>0</v>
      </c>
      <c r="G102" s="140"/>
      <c r="H102" s="138" t="str">
        <f t="array" ref="H102">IF($A102="","",
  IF(
    OR(
      $A102=23,
      AND($A102&gt;=32,$A102&lt;=50)
    ),
    IFERROR(
      INDEX('Daily Sales'!$C:$AG,
        $A102,
        MATCH(TEXT($B102,"0"),TEXT('Daily Sales'!$C$2:$AG$2,"0"),0)
      ),
    ""),
  "")
)</f>
        <v/>
      </c>
      <c r="I102" s="138" t="str">
        <f t="array" ref="I102">IF($A102="","",
  IF(
    OR(
      AND($A102&gt;=4,$A102&lt;=8),
      AND($A102&gt;=12,$A102&lt;=19),
      AND($A102&gt;=28,$A102&lt;=29)
    ),
    IFERROR(
      INDEX('Daily Sales'!$C:$AG,
        $A102,
        MATCH(TEXT($B102,"0"),TEXT('Daily Sales'!$C$2:$AG$2,"0"),0)
      ),
    ""),
  "")
)</f>
        <v/>
      </c>
      <c r="J102" s="79" t="e">
        <f t="shared" si="2"/>
        <v>#VALUE!</v>
      </c>
      <c r="K102" s="141"/>
      <c r="L102" s="81"/>
      <c r="M102" s="141"/>
      <c r="N102" s="133"/>
      <c r="O102" s="4"/>
      <c r="P102" s="4"/>
      <c r="Q102" s="4"/>
      <c r="R102" s="109"/>
      <c r="S102" s="109"/>
      <c r="T102" s="108"/>
      <c r="U102" s="110"/>
      <c r="V102" s="110"/>
      <c r="W102" s="110"/>
      <c r="X102" s="110"/>
    </row>
    <row r="103" spans="1:24" ht="13.5" customHeight="1">
      <c r="A103" s="110">
        <f>IF(E103="","",MATCH(E103,'Daily Sales'!B$4:B$51,0)+3)</f>
        <v>4</v>
      </c>
      <c r="B103" s="135">
        <v>46177</v>
      </c>
      <c r="C103" s="136" t="s">
        <v>94</v>
      </c>
      <c r="D103" s="137" t="str">
        <f t="array" ref="D103">IF($A103="","",INDEX('Daily Sales'!A:A,$A103))</f>
        <v>4-2100</v>
      </c>
      <c r="E103" s="138" t="s">
        <v>5</v>
      </c>
      <c r="F103" s="139" t="str">
        <f t="shared" si="1"/>
        <v>Sales Food TERRACE</v>
      </c>
      <c r="G103" s="140"/>
      <c r="H103" s="138" t="str">
        <f t="array" ref="H103">IF($A103="","",
  IF(
    OR(
      $A103=23,
      AND($A103&gt;=32,$A103&lt;=50)
    ),
    IFERROR(
      INDEX('Daily Sales'!$C:$AG,
        $A103,
        MATCH(TEXT($B103,"0"),TEXT('Daily Sales'!$C$2:$AG$2,"0"),0)
      ),
    ""),
  "")
)</f>
        <v/>
      </c>
      <c r="I103" s="138">
        <f t="array" ref="I103">IF($A103="","",
  IF(
    OR(
      AND($A103&gt;=4,$A103&lt;=8),
      AND($A103&gt;=12,$A103&lt;=19),
      AND($A103&gt;=28,$A103&lt;=29)
    ),
    IFERROR(
      INDEX('Daily Sales'!$C:$AG,
        $A103,
        MATCH(TEXT($B103,"0"),TEXT('Daily Sales'!$C$2:$AG$2,"0"),0)
      ),
    ""),
  "")
)</f>
        <v>3432500</v>
      </c>
      <c r="J103" s="79" t="e">
        <f t="shared" si="2"/>
        <v>#VALUE!</v>
      </c>
      <c r="K103" s="141"/>
      <c r="L103" s="81"/>
      <c r="M103" s="141"/>
      <c r="N103" s="133"/>
      <c r="O103" s="4"/>
      <c r="P103" s="4"/>
      <c r="Q103" s="4"/>
      <c r="R103" s="109"/>
      <c r="S103" s="109"/>
      <c r="T103" s="108"/>
      <c r="U103" s="110"/>
      <c r="V103" s="110"/>
      <c r="W103" s="110"/>
      <c r="X103" s="110"/>
    </row>
    <row r="104" spans="1:24" ht="13.5" customHeight="1">
      <c r="A104" s="110">
        <f>IF(E104="","",MATCH(E104,'Daily Sales'!B$4:B$51,0)+3)</f>
        <v>5</v>
      </c>
      <c r="B104" s="135">
        <v>46177</v>
      </c>
      <c r="C104" s="136" t="s">
        <v>94</v>
      </c>
      <c r="D104" s="137" t="str">
        <f t="array" ref="D104">IF($A104="","",INDEX('Daily Sales'!A:A,$A104))</f>
        <v>4-2200</v>
      </c>
      <c r="E104" s="138" t="s">
        <v>7</v>
      </c>
      <c r="F104" s="139" t="str">
        <f t="shared" si="1"/>
        <v>Sales Beverages TERRACE</v>
      </c>
      <c r="G104" s="140"/>
      <c r="H104" s="138" t="str">
        <f t="array" ref="H104">IF($A104="","",
  IF(
    OR(
      $A104=23,
      AND($A104&gt;=32,$A104&lt;=50)
    ),
    IFERROR(
      INDEX('Daily Sales'!$C:$AG,
        $A104,
        MATCH(TEXT($B104,"0"),TEXT('Daily Sales'!$C$2:$AG$2,"0"),0)
      ),
    ""),
  "")
)</f>
        <v/>
      </c>
      <c r="I104" s="138">
        <f t="array" ref="I104">IF($A104="","",
  IF(
    OR(
      AND($A104&gt;=4,$A104&lt;=8),
      AND($A104&gt;=12,$A104&lt;=19),
      AND($A104&gt;=28,$A104&lt;=29)
    ),
    IFERROR(
      INDEX('Daily Sales'!$C:$AG,
        $A104,
        MATCH(TEXT($B104,"0"),TEXT('Daily Sales'!$C$2:$AG$2,"0"),0)
      ),
    ""),
  "")
)</f>
        <v>5855000</v>
      </c>
      <c r="J104" s="79" t="e">
        <f t="shared" si="2"/>
        <v>#VALUE!</v>
      </c>
      <c r="K104" s="141"/>
      <c r="L104" s="81"/>
      <c r="M104" s="141"/>
      <c r="N104" s="133"/>
      <c r="O104" s="4"/>
      <c r="P104" s="4"/>
      <c r="Q104" s="4"/>
      <c r="R104" s="109"/>
      <c r="S104" s="109"/>
      <c r="T104" s="108"/>
      <c r="U104" s="110"/>
      <c r="V104" s="110"/>
      <c r="W104" s="110"/>
      <c r="X104" s="110"/>
    </row>
    <row r="105" spans="1:24" ht="13.5" customHeight="1">
      <c r="A105" s="110">
        <f>IF(E105="","",MATCH(E105,'Daily Sales'!B$4:B$51,0)+3)</f>
        <v>6</v>
      </c>
      <c r="B105" s="135">
        <v>46177</v>
      </c>
      <c r="C105" s="136" t="s">
        <v>94</v>
      </c>
      <c r="D105" s="137" t="str">
        <f t="array" ref="D105">IF($A105="","",INDEX('Daily Sales'!A:A,$A105))</f>
        <v>4-2400</v>
      </c>
      <c r="E105" s="138" t="s">
        <v>9</v>
      </c>
      <c r="F105" s="139" t="str">
        <f t="shared" si="1"/>
        <v>Sales Cigarette TERRACE</v>
      </c>
      <c r="G105" s="140"/>
      <c r="H105" s="138" t="str">
        <f t="array" ref="H105">IF($A105="","",
  IF(
    OR(
      $A105=23,
      AND($A105&gt;=32,$A105&lt;=50)
    ),
    IFERROR(
      INDEX('Daily Sales'!$C:$AG,
        $A105,
        MATCH(TEXT($B105,"0"),TEXT('Daily Sales'!$C$2:$AG$2,"0"),0)
      ),
    ""),
  "")
)</f>
        <v/>
      </c>
      <c r="I105" s="138">
        <f t="array" ref="I105">IF($A105="","",
  IF(
    OR(
      AND($A105&gt;=4,$A105&lt;=8),
      AND($A105&gt;=12,$A105&lt;=19),
      AND($A105&gt;=28,$A105&lt;=29)
    ),
    IFERROR(
      INDEX('Daily Sales'!$C:$AG,
        $A105,
        MATCH(TEXT($B105,"0"),TEXT('Daily Sales'!$C$2:$AG$2,"0"),0)
      ),
    ""),
  "")
)</f>
        <v>70000</v>
      </c>
      <c r="J105" s="79" t="e">
        <f t="shared" si="2"/>
        <v>#VALUE!</v>
      </c>
      <c r="K105" s="141"/>
      <c r="L105" s="81"/>
      <c r="M105" s="141"/>
      <c r="N105" s="133"/>
      <c r="O105" s="4"/>
      <c r="P105" s="4"/>
      <c r="Q105" s="4"/>
      <c r="R105" s="109"/>
      <c r="S105" s="109"/>
      <c r="T105" s="108"/>
      <c r="U105" s="110"/>
      <c r="V105" s="110"/>
      <c r="W105" s="110"/>
      <c r="X105" s="110"/>
    </row>
    <row r="106" spans="1:24" ht="13.5" customHeight="1">
      <c r="A106" s="110">
        <f>IF(E106="","",MATCH(E106,'Daily Sales'!B$4:B$51,0)+3)</f>
        <v>7</v>
      </c>
      <c r="B106" s="135">
        <v>46177</v>
      </c>
      <c r="C106" s="136" t="s">
        <v>94</v>
      </c>
      <c r="D106" s="137" t="str">
        <f t="array" ref="D106">IF($A106="","",INDEX('Daily Sales'!A:A,$A106))</f>
        <v>4-2300</v>
      </c>
      <c r="E106" s="138" t="s">
        <v>11</v>
      </c>
      <c r="F106" s="139" t="str">
        <f t="shared" si="1"/>
        <v>Sales Shisa TERRACE</v>
      </c>
      <c r="G106" s="140"/>
      <c r="H106" s="138" t="str">
        <f t="array" ref="H106">IF($A106="","",
  IF(
    OR(
      $A106=23,
      AND($A106&gt;=32,$A106&lt;=50)
    ),
    IFERROR(
      INDEX('Daily Sales'!$C:$AG,
        $A106,
        MATCH(TEXT($B106,"0"),TEXT('Daily Sales'!$C$2:$AG$2,"0"),0)
      ),
    ""),
  "")
)</f>
        <v/>
      </c>
      <c r="I106" s="138">
        <f t="array" ref="I106">IF($A106="","",
  IF(
    OR(
      AND($A106&gt;=4,$A106&lt;=8),
      AND($A106&gt;=12,$A106&lt;=19),
      AND($A106&gt;=28,$A106&lt;=29)
    ),
    IFERROR(
      INDEX('Daily Sales'!$C:$AG,
        $A106,
        MATCH(TEXT($B106,"0"),TEXT('Daily Sales'!$C$2:$AG$2,"0"),0)
      ),
    ""),
  "")
)</f>
        <v>0</v>
      </c>
      <c r="J106" s="79" t="e">
        <f t="shared" si="2"/>
        <v>#VALUE!</v>
      </c>
      <c r="K106" s="141"/>
      <c r="L106" s="81"/>
      <c r="M106" s="141"/>
      <c r="N106" s="133"/>
      <c r="O106" s="4"/>
      <c r="P106" s="4"/>
      <c r="Q106" s="4"/>
      <c r="R106" s="109"/>
      <c r="S106" s="109"/>
      <c r="T106" s="108"/>
      <c r="U106" s="110"/>
      <c r="V106" s="110"/>
      <c r="W106" s="110"/>
      <c r="X106" s="110"/>
    </row>
    <row r="107" spans="1:24" ht="13.5" customHeight="1">
      <c r="A107" s="110">
        <f>IF(E107="","",MATCH(E107,'Daily Sales'!B$4:B$51,0)+3)</f>
        <v>12</v>
      </c>
      <c r="B107" s="135">
        <v>46177</v>
      </c>
      <c r="C107" s="136" t="s">
        <v>94</v>
      </c>
      <c r="D107" s="137" t="str">
        <f t="array" ref="D107">IF($A107="","",INDEX('Daily Sales'!A:A,$A107))</f>
        <v>4-2200</v>
      </c>
      <c r="E107" s="138" t="s">
        <v>17</v>
      </c>
      <c r="F107" s="139" t="str">
        <f t="shared" si="1"/>
        <v>Sales Beverages CLUB</v>
      </c>
      <c r="G107" s="140"/>
      <c r="H107" s="138" t="str">
        <f t="array" ref="H107">IF($A107="","",
  IF(
    OR(
      $A107=23,
      AND($A107&gt;=32,$A107&lt;=50)
    ),
    IFERROR(
      INDEX('Daily Sales'!$C:$AG,
        $A107,
        MATCH(TEXT($B107,"0"),TEXT('Daily Sales'!$C$2:$AG$2,"0"),0)
      ),
    ""),
  "")
)</f>
        <v/>
      </c>
      <c r="I107" s="138">
        <f t="array" ref="I107">IF($A107="","",
  IF(
    OR(
      AND($A107&gt;=4,$A107&lt;=8),
      AND($A107&gt;=12,$A107&lt;=19),
      AND($A107&gt;=28,$A107&lt;=29)
    ),
    IFERROR(
      INDEX('Daily Sales'!$C:$AG,
        $A107,
        MATCH(TEXT($B107,"0"),TEXT('Daily Sales'!$C$2:$AG$2,"0"),0)
      ),
    ""),
  "")
)</f>
        <v>33750000</v>
      </c>
      <c r="J107" s="79" t="e">
        <f t="shared" si="2"/>
        <v>#VALUE!</v>
      </c>
      <c r="K107" s="141"/>
      <c r="L107" s="81"/>
      <c r="M107" s="141"/>
      <c r="N107" s="133"/>
      <c r="O107" s="4"/>
      <c r="P107" s="4"/>
      <c r="Q107" s="4"/>
      <c r="R107" s="109"/>
      <c r="S107" s="109"/>
      <c r="T107" s="108"/>
      <c r="U107" s="110"/>
      <c r="V107" s="110"/>
      <c r="W107" s="110"/>
      <c r="X107" s="110"/>
    </row>
    <row r="108" spans="1:24" ht="13.5" customHeight="1">
      <c r="A108" s="110">
        <f>IF(E108="","",MATCH(E108,'Daily Sales'!B$4:B$51,0)+3)</f>
        <v>13</v>
      </c>
      <c r="B108" s="135">
        <v>46177</v>
      </c>
      <c r="C108" s="136" t="s">
        <v>94</v>
      </c>
      <c r="D108" s="137" t="str">
        <f t="array" ref="D108">IF($A108="","",INDEX('Daily Sales'!A:A,$A108))</f>
        <v>4-2400</v>
      </c>
      <c r="E108" s="138" t="s">
        <v>18</v>
      </c>
      <c r="F108" s="139" t="str">
        <f t="shared" si="1"/>
        <v>Sales Cigarette CLUB</v>
      </c>
      <c r="G108" s="140"/>
      <c r="H108" s="138" t="str">
        <f t="array" ref="H108">IF($A108="","",
  IF(
    OR(
      $A108=23,
      AND($A108&gt;=32,$A108&lt;=50)
    ),
    IFERROR(
      INDEX('Daily Sales'!$C:$AG,
        $A108,
        MATCH(TEXT($B108,"0"),TEXT('Daily Sales'!$C$2:$AG$2,"0"),0)
      ),
    ""),
  "")
)</f>
        <v/>
      </c>
      <c r="I108" s="138">
        <f t="array" ref="I108">IF($A108="","",
  IF(
    OR(
      AND($A108&gt;=4,$A108&lt;=8),
      AND($A108&gt;=12,$A108&lt;=19),
      AND($A108&gt;=28,$A108&lt;=29)
    ),
    IFERROR(
      INDEX('Daily Sales'!$C:$AG,
        $A108,
        MATCH(TEXT($B108,"0"),TEXT('Daily Sales'!$C$2:$AG$2,"0"),0)
      ),
    ""),
  "")
)</f>
        <v>490000</v>
      </c>
      <c r="J108" s="79" t="e">
        <f t="shared" si="2"/>
        <v>#VALUE!</v>
      </c>
      <c r="K108" s="141"/>
      <c r="L108" s="81"/>
      <c r="M108" s="141"/>
      <c r="N108" s="133"/>
      <c r="O108" s="4"/>
      <c r="P108" s="4"/>
      <c r="Q108" s="4"/>
      <c r="R108" s="109"/>
      <c r="S108" s="109"/>
      <c r="T108" s="108"/>
      <c r="U108" s="110"/>
      <c r="V108" s="110"/>
      <c r="W108" s="110"/>
      <c r="X108" s="110"/>
    </row>
    <row r="109" spans="1:24" ht="13.5" customHeight="1">
      <c r="A109" s="110">
        <f>IF(E109="","",MATCH(E109,'Daily Sales'!B$4:B$51,0)+3)</f>
        <v>14</v>
      </c>
      <c r="B109" s="135">
        <v>46177</v>
      </c>
      <c r="C109" s="136" t="s">
        <v>94</v>
      </c>
      <c r="D109" s="137" t="str">
        <f t="array" ref="D109">IF($A109="","",INDEX('Daily Sales'!A:A,$A109))</f>
        <v>4-2100</v>
      </c>
      <c r="E109" s="138" t="s">
        <v>19</v>
      </c>
      <c r="F109" s="139" t="str">
        <f t="shared" si="1"/>
        <v>Sales Food CLUB</v>
      </c>
      <c r="G109" s="140"/>
      <c r="H109" s="138" t="str">
        <f t="array" ref="H109">IF($A109="","",
  IF(
    OR(
      $A109=23,
      AND($A109&gt;=32,$A109&lt;=50)
    ),
    IFERROR(
      INDEX('Daily Sales'!$C:$AG,
        $A109,
        MATCH(TEXT($B109,"0"),TEXT('Daily Sales'!$C$2:$AG$2,"0"),0)
      ),
    ""),
  "")
)</f>
        <v/>
      </c>
      <c r="I109" s="138">
        <f t="array" ref="I109">IF($A109="","",
  IF(
    OR(
      AND($A109&gt;=4,$A109&lt;=8),
      AND($A109&gt;=12,$A109&lt;=19),
      AND($A109&gt;=28,$A109&lt;=29)
    ),
    IFERROR(
      INDEX('Daily Sales'!$C:$AG,
        $A109,
        MATCH(TEXT($B109,"0"),TEXT('Daily Sales'!$C$2:$AG$2,"0"),0)
      ),
    ""),
  "")
)</f>
        <v>790000</v>
      </c>
      <c r="J109" s="79" t="e">
        <f t="shared" si="2"/>
        <v>#VALUE!</v>
      </c>
      <c r="K109" s="141"/>
      <c r="L109" s="81"/>
      <c r="M109" s="141"/>
      <c r="N109" s="133"/>
      <c r="O109" s="4"/>
      <c r="P109" s="4"/>
      <c r="Q109" s="4"/>
      <c r="R109" s="109"/>
      <c r="S109" s="109"/>
      <c r="T109" s="108"/>
      <c r="U109" s="110"/>
      <c r="V109" s="110"/>
      <c r="W109" s="110"/>
      <c r="X109" s="110"/>
    </row>
    <row r="110" spans="1:24" ht="13.5" customHeight="1">
      <c r="A110" s="110">
        <f>IF(E110="","",MATCH(E110,'Daily Sales'!B$4:B$51,0)+3)</f>
        <v>15</v>
      </c>
      <c r="B110" s="135">
        <v>46177</v>
      </c>
      <c r="C110" s="136" t="s">
        <v>94</v>
      </c>
      <c r="D110" s="137" t="str">
        <f t="array" ref="D110">IF($A110="","",INDEX('Daily Sales'!A:A,$A110))</f>
        <v>4-2300</v>
      </c>
      <c r="E110" s="138" t="s">
        <v>20</v>
      </c>
      <c r="F110" s="139" t="str">
        <f t="shared" si="1"/>
        <v>Sales Shisa CLUB</v>
      </c>
      <c r="G110" s="140"/>
      <c r="H110" s="138" t="str">
        <f t="array" ref="H110">IF($A110="","",
  IF(
    OR(
      $A110=23,
      AND($A110&gt;=32,$A110&lt;=50)
    ),
    IFERROR(
      INDEX('Daily Sales'!$C:$AG,
        $A110,
        MATCH(TEXT($B110,"0"),TEXT('Daily Sales'!$C$2:$AG$2,"0"),0)
      ),
    ""),
  "")
)</f>
        <v/>
      </c>
      <c r="I110" s="138">
        <f t="array" ref="I110">IF($A110="","",
  IF(
    OR(
      AND($A110&gt;=4,$A110&lt;=8),
      AND($A110&gt;=12,$A110&lt;=19),
      AND($A110&gt;=28,$A110&lt;=29)
    ),
    IFERROR(
      INDEX('Daily Sales'!$C:$AG,
        $A110,
        MATCH(TEXT($B110,"0"),TEXT('Daily Sales'!$C$2:$AG$2,"0"),0)
      ),
    ""),
  "")
)</f>
        <v>750000</v>
      </c>
      <c r="J110" s="79" t="e">
        <f t="shared" si="2"/>
        <v>#VALUE!</v>
      </c>
      <c r="K110" s="141"/>
      <c r="L110" s="81"/>
      <c r="M110" s="141"/>
      <c r="N110" s="133"/>
      <c r="O110" s="4"/>
      <c r="P110" s="4"/>
      <c r="Q110" s="4"/>
      <c r="R110" s="109"/>
      <c r="S110" s="109"/>
      <c r="T110" s="108"/>
      <c r="U110" s="110"/>
      <c r="V110" s="110"/>
      <c r="W110" s="110"/>
      <c r="X110" s="110"/>
    </row>
    <row r="111" spans="1:24" ht="13.5" customHeight="1">
      <c r="A111" s="110">
        <f>IF(E111="","",MATCH(E111,'Daily Sales'!B$4:B$51,0)+3)</f>
        <v>17</v>
      </c>
      <c r="B111" s="135">
        <v>46177</v>
      </c>
      <c r="C111" s="136" t="s">
        <v>94</v>
      </c>
      <c r="D111" s="137" t="str">
        <f t="array" ref="D111">IF($A111="","",INDEX('Daily Sales'!A:A,$A111))</f>
        <v>4-2601</v>
      </c>
      <c r="E111" s="138" t="s">
        <v>23</v>
      </c>
      <c r="F111" s="139" t="str">
        <f t="shared" si="1"/>
        <v xml:space="preserve">Misc </v>
      </c>
      <c r="G111" s="140"/>
      <c r="H111" s="138" t="str">
        <f t="array" ref="H111">IF($A111="","",
  IF(
    OR(
      $A111=23,
      AND($A111&gt;=32,$A111&lt;=50)
    ),
    IFERROR(
      INDEX('Daily Sales'!$C:$AG,
        $A111,
        MATCH(TEXT($B111,"0"),TEXT('Daily Sales'!$C$2:$AG$2,"0"),0)
      ),
    ""),
  "")
)</f>
        <v/>
      </c>
      <c r="I111" s="138">
        <f t="array" ref="I111">IF($A111="","",
  IF(
    OR(
      AND($A111&gt;=4,$A111&lt;=8),
      AND($A111&gt;=12,$A111&lt;=19),
      AND($A111&gt;=28,$A111&lt;=29)
    ),
    IFERROR(
      INDEX('Daily Sales'!$C:$AG,
        $A111,
        MATCH(TEXT($B111,"0"),TEXT('Daily Sales'!$C$2:$AG$2,"0"),0)
      ),
    ""),
  "")
)</f>
        <v>0</v>
      </c>
      <c r="J111" s="79" t="e">
        <f t="shared" si="2"/>
        <v>#VALUE!</v>
      </c>
      <c r="K111" s="141"/>
      <c r="L111" s="81"/>
      <c r="M111" s="141"/>
      <c r="N111" s="133"/>
      <c r="O111" s="4"/>
      <c r="P111" s="4"/>
      <c r="Q111" s="4"/>
      <c r="R111" s="109"/>
      <c r="S111" s="109"/>
      <c r="T111" s="108"/>
      <c r="U111" s="110"/>
      <c r="V111" s="110"/>
      <c r="W111" s="110"/>
      <c r="X111" s="110"/>
    </row>
    <row r="112" spans="1:24" ht="13.5" customHeight="1">
      <c r="A112" s="110">
        <f>IF(E112="","",MATCH(E112,'Daily Sales'!B$4:B$51,0)+3)</f>
        <v>19</v>
      </c>
      <c r="B112" s="135">
        <v>46177</v>
      </c>
      <c r="C112" s="136" t="s">
        <v>94</v>
      </c>
      <c r="D112" s="137" t="str">
        <f t="array" ref="D112">IF($A112="","",INDEX('Daily Sales'!A:A,$A112))</f>
        <v>4-2500</v>
      </c>
      <c r="E112" s="138" t="s">
        <v>26</v>
      </c>
      <c r="F112" s="139" t="str">
        <f t="shared" si="1"/>
        <v>Sales Ticket</v>
      </c>
      <c r="G112" s="140"/>
      <c r="H112" s="138" t="str">
        <f t="array" ref="H112">IF($A112="","",
  IF(
    OR(
      $A112=23,
      AND($A112&gt;=32,$A112&lt;=50)
    ),
    IFERROR(
      INDEX('Daily Sales'!$C:$AG,
        $A112,
        MATCH(TEXT($B112,"0"),TEXT('Daily Sales'!$C$2:$AG$2,"0"),0)
      ),
    ""),
  "")
)</f>
        <v/>
      </c>
      <c r="I112" s="138">
        <f t="array" ref="I112">IF($A112="","",
  IF(
    OR(
      AND($A112&gt;=4,$A112&lt;=8),
      AND($A112&gt;=12,$A112&lt;=19),
      AND($A112&gt;=28,$A112&lt;=29)
    ),
    IFERROR(
      INDEX('Daily Sales'!$C:$AG,
        $A112,
        MATCH(TEXT($B112,"0"),TEXT('Daily Sales'!$C$2:$AG$2,"0"),0)
      ),
    ""),
  "")
)</f>
        <v>14061211</v>
      </c>
      <c r="J112" s="79" t="e">
        <f t="shared" si="2"/>
        <v>#VALUE!</v>
      </c>
      <c r="K112" s="141"/>
      <c r="L112" s="81"/>
      <c r="M112" s="141"/>
      <c r="N112" s="133"/>
      <c r="O112" s="4"/>
      <c r="P112" s="4"/>
      <c r="Q112" s="4"/>
      <c r="R112" s="109"/>
      <c r="S112" s="109"/>
      <c r="T112" s="108"/>
      <c r="U112" s="110"/>
      <c r="V112" s="110"/>
      <c r="W112" s="110"/>
      <c r="X112" s="110"/>
    </row>
    <row r="113" spans="1:24" ht="13.5" customHeight="1">
      <c r="A113" s="110">
        <f>IF(E113="","",MATCH(E113,'Daily Sales'!B$4:B$51,0)+3)</f>
        <v>28</v>
      </c>
      <c r="B113" s="135">
        <v>46177</v>
      </c>
      <c r="C113" s="136" t="s">
        <v>94</v>
      </c>
      <c r="D113" s="137" t="str">
        <f t="array" ref="D113">IF($A113="","",INDEX('Daily Sales'!A:A,$A113))</f>
        <v>2-2106</v>
      </c>
      <c r="E113" s="138" t="s">
        <v>35</v>
      </c>
      <c r="F113" s="139" t="str">
        <f t="shared" si="1"/>
        <v>Service Charges 7%</v>
      </c>
      <c r="G113" s="140"/>
      <c r="H113" s="138" t="str">
        <f t="array" ref="H113">IF($A113="","",
  IF(
    OR(
      $A113=23,
      AND($A113&gt;=32,$A113&lt;=50)
    ),
    IFERROR(
      INDEX('Daily Sales'!$C:$AG,
        $A113,
        MATCH(TEXT($B113,"0"),TEXT('Daily Sales'!$C$2:$AG$2,"0"),0)
      ),
    ""),
  "")
)</f>
        <v/>
      </c>
      <c r="I113" s="138">
        <f t="array" ref="I113">IF($A113="","",
  IF(
    OR(
      AND($A113&gt;=4,$A113&lt;=8),
      AND($A113&gt;=12,$A113&lt;=19),
      AND($A113&gt;=28,$A113&lt;=29)
    ),
    IFERROR(
      INDEX('Daily Sales'!$C:$AG,
        $A113,
        MATCH(TEXT($B113,"0"),TEXT('Daily Sales'!$C$2:$AG$2,"0"),0)
      ),
    ""),
  "")
)</f>
        <v>4020779.7700000005</v>
      </c>
      <c r="J113" s="79" t="e">
        <f t="shared" si="2"/>
        <v>#VALUE!</v>
      </c>
      <c r="K113" s="141"/>
      <c r="L113" s="81"/>
      <c r="M113" s="141"/>
      <c r="N113" s="133"/>
      <c r="O113" s="4"/>
      <c r="P113" s="4"/>
      <c r="Q113" s="4"/>
      <c r="R113" s="109"/>
      <c r="S113" s="109"/>
      <c r="T113" s="108"/>
      <c r="U113" s="110"/>
      <c r="V113" s="110"/>
      <c r="W113" s="110"/>
      <c r="X113" s="110"/>
    </row>
    <row r="114" spans="1:24" ht="13.5" customHeight="1">
      <c r="A114" s="110">
        <f>IF(E114="","",MATCH(E114,'Daily Sales'!B$4:B$51,0)+3)</f>
        <v>29</v>
      </c>
      <c r="B114" s="135">
        <v>46177</v>
      </c>
      <c r="C114" s="136" t="s">
        <v>94</v>
      </c>
      <c r="D114" s="137" t="str">
        <f t="array" ref="D114">IF($A114="","",INDEX('Daily Sales'!A:A,$A114))</f>
        <v>2-3101</v>
      </c>
      <c r="E114" s="138" t="s">
        <v>37</v>
      </c>
      <c r="F114" s="139" t="str">
        <f t="shared" si="1"/>
        <v>Tax PB1 10%</v>
      </c>
      <c r="G114" s="140"/>
      <c r="H114" s="138" t="str">
        <f t="array" ref="H114">IF($A114="","",
  IF(
    OR(
      $A114=23,
      AND($A114&gt;=32,$A114&lt;=50)
    ),
    IFERROR(
      INDEX('Daily Sales'!$C:$AG,
        $A114,
        MATCH(TEXT($B114,"0"),TEXT('Daily Sales'!$C$2:$AG$2,"0"),0)
      ),
    ""),
  "")
)</f>
        <v/>
      </c>
      <c r="I114" s="138">
        <f t="array" ref="I114">IF($A114="","",
  IF(
    OR(
      AND($A114&gt;=4,$A114&lt;=8),
      AND($A114&gt;=12,$A114&lt;=19),
      AND($A114&gt;=28,$A114&lt;=29)
    ),
    IFERROR(
      INDEX('Daily Sales'!$C:$AG,
        $A114,
        MATCH(TEXT($B114,"0"),TEXT('Daily Sales'!$C$2:$AG$2,"0"),0)
      ),
    ""),
  "")
)</f>
        <v>6146049.0770000005</v>
      </c>
      <c r="J114" s="79" t="e">
        <f t="shared" si="2"/>
        <v>#VALUE!</v>
      </c>
      <c r="K114" s="141"/>
      <c r="L114" s="81"/>
      <c r="M114" s="141"/>
      <c r="N114" s="133"/>
      <c r="O114" s="4"/>
      <c r="P114" s="4"/>
      <c r="Q114" s="4"/>
      <c r="R114" s="109"/>
      <c r="S114" s="109"/>
      <c r="T114" s="108"/>
      <c r="U114" s="110"/>
      <c r="V114" s="110"/>
      <c r="W114" s="110"/>
      <c r="X114" s="110"/>
    </row>
    <row r="115" spans="1:24" ht="13.5" customHeight="1">
      <c r="A115" s="110">
        <f>IF(E115="","",MATCH(E115,'Daily Sales'!B$4:B$51,0)+3)</f>
        <v>23</v>
      </c>
      <c r="B115" s="135">
        <v>46177</v>
      </c>
      <c r="C115" s="136" t="s">
        <v>94</v>
      </c>
      <c r="D115" s="137" t="str">
        <f t="array" ref="D115">IF($A115="","",INDEX('Daily Sales'!A:A,$A115))</f>
        <v>4-5110</v>
      </c>
      <c r="E115" s="138" t="s">
        <v>30</v>
      </c>
      <c r="F115" s="139" t="str">
        <f t="shared" si="1"/>
        <v>Discount</v>
      </c>
      <c r="G115" s="140"/>
      <c r="H115" s="138">
        <f t="array" ref="H115">IF($A115="","",
  IF(
    OR(
      $A115=23,
      AND($A115&gt;=32,$A115&lt;=50)
    ),
    IFERROR(
      INDEX('Daily Sales'!$C:$AG,
        $A115,
        MATCH(TEXT($B115,"0"),TEXT('Daily Sales'!$C$2:$AG$2,"0"),0)
      ),
    ""),
  "")
)</f>
        <v>1759000</v>
      </c>
      <c r="I115" s="138" t="str">
        <f t="array" ref="I115">IF($A115="","",
  IF(
    OR(
      AND($A115&gt;=4,$A115&lt;=8),
      AND($A115&gt;=12,$A115&lt;=19),
      AND($A115&gt;=28,$A115&lt;=29)
    ),
    IFERROR(
      INDEX('Daily Sales'!$C:$AG,
        $A115,
        MATCH(TEXT($B115,"0"),TEXT('Daily Sales'!$C$2:$AG$2,"0"),0)
      ),
    ""),
  "")
)</f>
        <v/>
      </c>
      <c r="J115" s="79" t="e">
        <f t="shared" si="2"/>
        <v>#VALUE!</v>
      </c>
      <c r="K115" s="141"/>
      <c r="L115" s="81"/>
      <c r="M115" s="141"/>
      <c r="N115" s="133"/>
      <c r="O115" s="4"/>
      <c r="P115" s="4"/>
      <c r="Q115" s="4"/>
      <c r="R115" s="109"/>
      <c r="S115" s="109"/>
      <c r="T115" s="108"/>
      <c r="U115" s="110"/>
      <c r="V115" s="110"/>
      <c r="W115" s="110"/>
      <c r="X115" s="110"/>
    </row>
    <row r="116" spans="1:24" ht="13.5" customHeight="1">
      <c r="A116" s="110">
        <f>IF(E116="","",MATCH(E116,'Daily Sales'!B$4:B$51,0)+3)</f>
        <v>32</v>
      </c>
      <c r="B116" s="135">
        <v>46177</v>
      </c>
      <c r="C116" s="136" t="s">
        <v>94</v>
      </c>
      <c r="D116" s="137" t="str">
        <f t="array" ref="D116">IF($A116="","",INDEX('Daily Sales'!A:A,$A116))</f>
        <v>1-1119</v>
      </c>
      <c r="E116" s="138" t="s">
        <v>40</v>
      </c>
      <c r="F116" s="139" t="str">
        <f t="shared" si="1"/>
        <v>Cash IDR</v>
      </c>
      <c r="G116" s="140"/>
      <c r="H116" s="138">
        <f t="array" ref="H116">IF($A116="","",
  IF(
    OR(
      $A116=23,
      AND($A116&gt;=32,$A116&lt;=50)
    ),
    IFERROR(
      INDEX('Daily Sales'!$C:$AG,
        $A116,
        MATCH(TEXT($B116,"0"),TEXT('Daily Sales'!$C$2:$AG$2,"0"),0)
      ),
    ""),
  "")
)</f>
        <v>6021430</v>
      </c>
      <c r="I116" s="138" t="str">
        <f t="array" ref="I116">IF($A116="","",
  IF(
    OR(
      AND($A116&gt;=4,$A116&lt;=8),
      AND($A116&gt;=12,$A116&lt;=19),
      AND($A116&gt;=28,$A116&lt;=29)
    ),
    IFERROR(
      INDEX('Daily Sales'!$C:$AG,
        $A116,
        MATCH(TEXT($B116,"0"),TEXT('Daily Sales'!$C$2:$AG$2,"0"),0)
      ),
    ""),
  "")
)</f>
        <v/>
      </c>
      <c r="J116" s="79" t="e">
        <f t="shared" si="2"/>
        <v>#VALUE!</v>
      </c>
      <c r="K116" s="141"/>
      <c r="L116" s="81"/>
      <c r="M116" s="141"/>
      <c r="N116" s="133"/>
      <c r="O116" s="4"/>
      <c r="P116" s="4"/>
      <c r="Q116" s="4"/>
      <c r="R116" s="109"/>
      <c r="S116" s="109"/>
      <c r="T116" s="108"/>
      <c r="U116" s="110"/>
      <c r="V116" s="110"/>
      <c r="W116" s="110"/>
      <c r="X116" s="110"/>
    </row>
    <row r="117" spans="1:24" ht="13.5" customHeight="1">
      <c r="A117" s="110">
        <f>IF(E117="","",MATCH(E117,'Daily Sales'!B$4:B$51,0)+3)</f>
        <v>33</v>
      </c>
      <c r="B117" s="135">
        <v>46177</v>
      </c>
      <c r="C117" s="136" t="s">
        <v>94</v>
      </c>
      <c r="D117" s="137" t="str">
        <f t="array" ref="D117">IF($A117="","",INDEX('Daily Sales'!A:A,$A117))</f>
        <v>1-1217</v>
      </c>
      <c r="E117" s="138" t="s">
        <v>43</v>
      </c>
      <c r="F117" s="139" t="str">
        <f t="shared" si="1"/>
        <v>Bank transfer</v>
      </c>
      <c r="G117" s="140"/>
      <c r="H117" s="138">
        <f t="array" ref="H117">IF($A117="","",
  IF(
    OR(
      $A117=23,
      AND($A117&gt;=32,$A117&lt;=50)
    ),
    IFERROR(
      INDEX('Daily Sales'!$C:$AG,
        $A117,
        MATCH(TEXT($B117,"0"),TEXT('Daily Sales'!$C$2:$AG$2,"0"),0)
      ),
    ""),
  "")
)</f>
        <v>0</v>
      </c>
      <c r="I117" s="138" t="str">
        <f t="array" ref="I117">IF($A117="","",
  IF(
    OR(
      AND($A117&gt;=4,$A117&lt;=8),
      AND($A117&gt;=12,$A117&lt;=19),
      AND($A117&gt;=28,$A117&lt;=29)
    ),
    IFERROR(
      INDEX('Daily Sales'!$C:$AG,
        $A117,
        MATCH(TEXT($B117,"0"),TEXT('Daily Sales'!$C$2:$AG$2,"0"),0)
      ),
    ""),
  "")
)</f>
        <v/>
      </c>
      <c r="J117" s="79" t="e">
        <f t="shared" si="2"/>
        <v>#VALUE!</v>
      </c>
      <c r="K117" s="141"/>
      <c r="L117" s="81"/>
      <c r="M117" s="141"/>
      <c r="N117" s="133"/>
      <c r="O117" s="4"/>
      <c r="P117" s="4"/>
      <c r="Q117" s="4"/>
      <c r="R117" s="109"/>
      <c r="S117" s="109"/>
      <c r="T117" s="108"/>
      <c r="U117" s="110"/>
      <c r="V117" s="110"/>
      <c r="W117" s="110"/>
      <c r="X117" s="110"/>
    </row>
    <row r="118" spans="1:24" ht="13.5" customHeight="1">
      <c r="A118" s="110">
        <f>IF(E118="","",MATCH(E118,'Daily Sales'!B$4:B$51,0)+3)</f>
        <v>35</v>
      </c>
      <c r="B118" s="135">
        <v>46177</v>
      </c>
      <c r="C118" s="136" t="s">
        <v>94</v>
      </c>
      <c r="D118" s="137" t="str">
        <f t="array" ref="D118">IF($A118="","",INDEX('Daily Sales'!A:A,$A118))</f>
        <v>1-1216</v>
      </c>
      <c r="E118" s="138" t="s">
        <v>46</v>
      </c>
      <c r="F118" s="139" t="str">
        <f t="shared" si="1"/>
        <v>Cim Niaga TBB</v>
      </c>
      <c r="G118" s="140"/>
      <c r="H118" s="138">
        <f t="array" ref="H118">IF($A118="","",
  IF(
    OR(
      $A118=23,
      AND($A118&gt;=32,$A118&lt;=50)
    ),
    IFERROR(
      INDEX('Daily Sales'!$C:$AG,
        $A118,
        MATCH(TEXT($B118,"0"),TEXT('Daily Sales'!$C$2:$AG$2,"0"),0)
      ),
    ""),
  "")
)</f>
        <v>0</v>
      </c>
      <c r="I118" s="138" t="str">
        <f t="array" ref="I118">IF($A118="","",
  IF(
    OR(
      AND($A118&gt;=4,$A118&lt;=8),
      AND($A118&gt;=12,$A118&lt;=19),
      AND($A118&gt;=28,$A118&lt;=29)
    ),
    IFERROR(
      INDEX('Daily Sales'!$C:$AG,
        $A118,
        MATCH(TEXT($B118,"0"),TEXT('Daily Sales'!$C$2:$AG$2,"0"),0)
      ),
    ""),
  "")
)</f>
        <v/>
      </c>
      <c r="J118" s="79" t="e">
        <f t="shared" si="2"/>
        <v>#VALUE!</v>
      </c>
      <c r="K118" s="141"/>
      <c r="L118" s="81"/>
      <c r="M118" s="141"/>
      <c r="N118" s="133"/>
      <c r="O118" s="4"/>
      <c r="P118" s="4"/>
      <c r="Q118" s="4"/>
      <c r="R118" s="109"/>
      <c r="S118" s="109"/>
      <c r="T118" s="108"/>
      <c r="U118" s="110"/>
      <c r="V118" s="110"/>
      <c r="W118" s="110"/>
      <c r="X118" s="110"/>
    </row>
    <row r="119" spans="1:24" ht="13.5" customHeight="1">
      <c r="A119" s="110">
        <f>IF(E119="","",MATCH(E119,'Daily Sales'!B$4:B$51,0)+3)</f>
        <v>36</v>
      </c>
      <c r="B119" s="135">
        <v>46177</v>
      </c>
      <c r="C119" s="136" t="s">
        <v>94</v>
      </c>
      <c r="D119" s="137" t="str">
        <f t="array" ref="D119">IF($A119="","",INDEX('Daily Sales'!A:A,$A119))</f>
        <v>1-1213</v>
      </c>
      <c r="E119" s="138" t="s">
        <v>49</v>
      </c>
      <c r="F119" s="139" t="str">
        <f t="shared" si="1"/>
        <v>Mandiri Debet</v>
      </c>
      <c r="G119" s="140"/>
      <c r="H119" s="138">
        <f t="array" ref="H119">IF($A119="","",
  IF(
    OR(
      $A119=23,
      AND($A119&gt;=32,$A119&lt;=50)
    ),
    IFERROR(
      INDEX('Daily Sales'!$C:$AG,
        $A119,
        MATCH(TEXT($B119,"0"),TEXT('Daily Sales'!$C$2:$AG$2,"0"),0)
      ),
    ""),
  "")
)</f>
        <v>4896050</v>
      </c>
      <c r="I119" s="138" t="str">
        <f t="array" ref="I119">IF($A119="","",
  IF(
    OR(
      AND($A119&gt;=4,$A119&lt;=8),
      AND($A119&gt;=12,$A119&lt;=19),
      AND($A119&gt;=28,$A119&lt;=29)
    ),
    IFERROR(
      INDEX('Daily Sales'!$C:$AG,
        $A119,
        MATCH(TEXT($B119,"0"),TEXT('Daily Sales'!$C$2:$AG$2,"0"),0)
      ),
    ""),
  "")
)</f>
        <v/>
      </c>
      <c r="J119" s="79" t="e">
        <f t="shared" si="2"/>
        <v>#VALUE!</v>
      </c>
      <c r="K119" s="141"/>
      <c r="L119" s="81"/>
      <c r="M119" s="141"/>
      <c r="N119" s="133"/>
      <c r="O119" s="4"/>
      <c r="P119" s="4"/>
      <c r="Q119" s="4"/>
      <c r="R119" s="109"/>
      <c r="S119" s="109"/>
      <c r="T119" s="108"/>
      <c r="U119" s="110"/>
      <c r="V119" s="110"/>
      <c r="W119" s="110"/>
      <c r="X119" s="110"/>
    </row>
    <row r="120" spans="1:24" ht="13.5" customHeight="1">
      <c r="A120" s="110">
        <f>IF(E120="","",MATCH(E120,'Daily Sales'!B$4:B$51,0)+3)</f>
        <v>37</v>
      </c>
      <c r="B120" s="135">
        <v>46177</v>
      </c>
      <c r="C120" s="136" t="s">
        <v>94</v>
      </c>
      <c r="D120" s="137" t="str">
        <f t="array" ref="D120">IF($A120="","",INDEX('Daily Sales'!A:A,$A120))</f>
        <v>1-1213</v>
      </c>
      <c r="E120" s="138" t="s">
        <v>50</v>
      </c>
      <c r="F120" s="139" t="str">
        <f t="shared" si="1"/>
        <v>Mandiri CC</v>
      </c>
      <c r="G120" s="140"/>
      <c r="H120" s="138">
        <f t="array" ref="H120">IF($A120="","",
  IF(
    OR(
      $A120=23,
      AND($A120&gt;=32,$A120&lt;=50)
    ),
    IFERROR(
      INDEX('Daily Sales'!$C:$AG,
        $A120,
        MATCH(TEXT($B120,"0"),TEXT('Daily Sales'!$C$2:$AG$2,"0"),0)
      ),
    ""),
  "")
)</f>
        <v>34067990</v>
      </c>
      <c r="I120" s="138" t="str">
        <f t="array" ref="I120">IF($A120="","",
  IF(
    OR(
      AND($A120&gt;=4,$A120&lt;=8),
      AND($A120&gt;=12,$A120&lt;=19),
      AND($A120&gt;=28,$A120&lt;=29)
    ),
    IFERROR(
      INDEX('Daily Sales'!$C:$AG,
        $A120,
        MATCH(TEXT($B120,"0"),TEXT('Daily Sales'!$C$2:$AG$2,"0"),0)
      ),
    ""),
  "")
)</f>
        <v/>
      </c>
      <c r="J120" s="79" t="e">
        <f t="shared" si="2"/>
        <v>#VALUE!</v>
      </c>
      <c r="K120" s="141"/>
      <c r="L120" s="81"/>
      <c r="M120" s="141"/>
      <c r="N120" s="133"/>
      <c r="O120" s="4"/>
      <c r="P120" s="4"/>
      <c r="Q120" s="4"/>
      <c r="R120" s="109"/>
      <c r="S120" s="109"/>
      <c r="T120" s="108"/>
      <c r="U120" s="110"/>
      <c r="V120" s="110"/>
      <c r="W120" s="110"/>
      <c r="X120" s="110"/>
    </row>
    <row r="121" spans="1:24" ht="13.5" customHeight="1">
      <c r="A121" s="110">
        <f>IF(E121="","",MATCH(E121,'Daily Sales'!B$4:B$51,0)+3)</f>
        <v>38</v>
      </c>
      <c r="B121" s="135">
        <v>46177</v>
      </c>
      <c r="C121" s="136" t="s">
        <v>94</v>
      </c>
      <c r="D121" s="137" t="str">
        <f t="array" ref="D121">IF($A121="","",INDEX('Daily Sales'!A:A,$A121))</f>
        <v>1-1213</v>
      </c>
      <c r="E121" s="138" t="s">
        <v>51</v>
      </c>
      <c r="F121" s="139" t="str">
        <f t="shared" si="1"/>
        <v>Mandiri NPG</v>
      </c>
      <c r="G121" s="140"/>
      <c r="H121" s="138">
        <f t="array" ref="H121">IF($A121="","",
  IF(
    OR(
      $A121=23,
      AND($A121&gt;=32,$A121&lt;=50)
    ),
    IFERROR(
      INDEX('Daily Sales'!$C:$AG,
        $A121,
        MATCH(TEXT($B121,"0"),TEXT('Daily Sales'!$C$2:$AG$2,"0"),0)
      ),
    ""),
  "")
)</f>
        <v>2159255</v>
      </c>
      <c r="I121" s="138" t="str">
        <f t="array" ref="I121">IF($A121="","",
  IF(
    OR(
      AND($A121&gt;=4,$A121&lt;=8),
      AND($A121&gt;=12,$A121&lt;=19),
      AND($A121&gt;=28,$A121&lt;=29)
    ),
    IFERROR(
      INDEX('Daily Sales'!$C:$AG,
        $A121,
        MATCH(TEXT($B121,"0"),TEXT('Daily Sales'!$C$2:$AG$2,"0"),0)
      ),
    ""),
  "")
)</f>
        <v/>
      </c>
      <c r="J121" s="79" t="e">
        <f t="shared" si="2"/>
        <v>#VALUE!</v>
      </c>
      <c r="K121" s="141"/>
      <c r="L121" s="81"/>
      <c r="M121" s="141"/>
      <c r="N121" s="133"/>
      <c r="O121" s="4"/>
      <c r="P121" s="4"/>
      <c r="Q121" s="4"/>
      <c r="R121" s="109"/>
      <c r="S121" s="109"/>
      <c r="T121" s="108"/>
      <c r="U121" s="110"/>
      <c r="V121" s="110"/>
      <c r="W121" s="110"/>
      <c r="X121" s="110"/>
    </row>
    <row r="122" spans="1:24" ht="13.5" customHeight="1">
      <c r="A122" s="110">
        <f>IF(E122="","",MATCH(E122,'Daily Sales'!B$4:B$51,0)+3)</f>
        <v>39</v>
      </c>
      <c r="B122" s="135">
        <v>46177</v>
      </c>
      <c r="C122" s="136" t="s">
        <v>94</v>
      </c>
      <c r="D122" s="137" t="str">
        <f t="array" ref="D122">IF($A122="","",INDEX('Daily Sales'!A:A,$A122))</f>
        <v>1-1213</v>
      </c>
      <c r="E122" s="138" t="s">
        <v>52</v>
      </c>
      <c r="F122" s="139" t="str">
        <f t="shared" si="1"/>
        <v>Mandiri QR</v>
      </c>
      <c r="G122" s="140"/>
      <c r="H122" s="138">
        <f t="array" ref="H122">IF($A122="","",
  IF(
    OR(
      $A122=23,
      AND($A122&gt;=32,$A122&lt;=50)
    ),
    IFERROR(
      INDEX('Daily Sales'!$C:$AG,
        $A122,
        MATCH(TEXT($B122,"0"),TEXT('Daily Sales'!$C$2:$AG$2,"0"),0)
      ),
    ""),
  "")
)</f>
        <v>15820360</v>
      </c>
      <c r="I122" s="138" t="str">
        <f t="array" ref="I122">IF($A122="","",
  IF(
    OR(
      AND($A122&gt;=4,$A122&lt;=8),
      AND($A122&gt;=12,$A122&lt;=19),
      AND($A122&gt;=28,$A122&lt;=29)
    ),
    IFERROR(
      INDEX('Daily Sales'!$C:$AG,
        $A122,
        MATCH(TEXT($B122,"0"),TEXT('Daily Sales'!$C$2:$AG$2,"0"),0)
      ),
    ""),
  "")
)</f>
        <v/>
      </c>
      <c r="J122" s="79" t="e">
        <f t="shared" si="2"/>
        <v>#VALUE!</v>
      </c>
      <c r="K122" s="141"/>
      <c r="L122" s="81"/>
      <c r="M122" s="141"/>
      <c r="N122" s="133"/>
      <c r="O122" s="4"/>
      <c r="P122" s="4"/>
      <c r="Q122" s="4"/>
      <c r="R122" s="109"/>
      <c r="S122" s="109"/>
      <c r="T122" s="108"/>
      <c r="U122" s="110"/>
      <c r="V122" s="110"/>
      <c r="W122" s="110"/>
      <c r="X122" s="110"/>
    </row>
    <row r="123" spans="1:24" ht="13.5" customHeight="1">
      <c r="A123" s="110">
        <f>IF(E123="","",MATCH(E123,'Daily Sales'!B$4:B$51,0)+3)</f>
        <v>40</v>
      </c>
      <c r="B123" s="135">
        <v>46177</v>
      </c>
      <c r="C123" s="136" t="s">
        <v>94</v>
      </c>
      <c r="D123" s="137" t="str">
        <f t="array" ref="D123">IF($A123="","",INDEX('Daily Sales'!A:A,$A123))</f>
        <v>1-1217</v>
      </c>
      <c r="E123" s="138" t="s">
        <v>54</v>
      </c>
      <c r="F123" s="139" t="str">
        <f t="shared" si="1"/>
        <v>BCA CC</v>
      </c>
      <c r="G123" s="140"/>
      <c r="H123" s="138">
        <f t="array" ref="H123">IF($A123="","",
  IF(
    OR(
      $A123=23,
      AND($A123&gt;=32,$A123&lt;=50)
    ),
    IFERROR(
      INDEX('Daily Sales'!$C:$AG,
        $A123,
        MATCH(TEXT($B123,"0"),TEXT('Daily Sales'!$C$2:$AG$2,"0"),0)
      ),
    ""),
  "")
)</f>
        <v>1571295</v>
      </c>
      <c r="I123" s="138" t="str">
        <f t="array" ref="I123">IF($A123="","",
  IF(
    OR(
      AND($A123&gt;=4,$A123&lt;=8),
      AND($A123&gt;=12,$A123&lt;=19),
      AND($A123&gt;=28,$A123&lt;=29)
    ),
    IFERROR(
      INDEX('Daily Sales'!$C:$AG,
        $A123,
        MATCH(TEXT($B123,"0"),TEXT('Daily Sales'!$C$2:$AG$2,"0"),0)
      ),
    ""),
  "")
)</f>
        <v/>
      </c>
      <c r="J123" s="79" t="e">
        <f t="shared" si="2"/>
        <v>#VALUE!</v>
      </c>
      <c r="K123" s="141"/>
      <c r="L123" s="81"/>
      <c r="M123" s="141"/>
      <c r="N123" s="133"/>
      <c r="O123" s="4"/>
      <c r="P123" s="4"/>
      <c r="Q123" s="4"/>
      <c r="R123" s="109"/>
      <c r="S123" s="109"/>
      <c r="T123" s="108"/>
      <c r="U123" s="110"/>
      <c r="V123" s="110"/>
      <c r="W123" s="110"/>
      <c r="X123" s="110"/>
    </row>
    <row r="124" spans="1:24" ht="13.5" customHeight="1">
      <c r="A124" s="110">
        <f>IF(E124="","",MATCH(E124,'Daily Sales'!B$4:B$51,0)+3)</f>
        <v>41</v>
      </c>
      <c r="B124" s="135">
        <v>46177</v>
      </c>
      <c r="C124" s="136" t="s">
        <v>94</v>
      </c>
      <c r="D124" s="137" t="str">
        <f t="array" ref="D124">IF($A124="","",INDEX('Daily Sales'!A:A,$A124))</f>
        <v>1-1217</v>
      </c>
      <c r="E124" s="138" t="s">
        <v>55</v>
      </c>
      <c r="F124" s="139" t="str">
        <f t="shared" si="1"/>
        <v>BCA debt</v>
      </c>
      <c r="G124" s="140"/>
      <c r="H124" s="138">
        <f t="array" ref="H124">IF($A124="","",
  IF(
    OR(
      $A124=23,
      AND($A124&gt;=32,$A124&lt;=50)
    ),
    IFERROR(
      INDEX('Daily Sales'!$C:$AG,
        $A124,
        MATCH(TEXT($B124,"0"),TEXT('Daily Sales'!$C$2:$AG$2,"0"),0)
      ),
    ""),
  "")
)</f>
        <v>1535985</v>
      </c>
      <c r="I124" s="138" t="str">
        <f t="array" ref="I124">IF($A124="","",
  IF(
    OR(
      AND($A124&gt;=4,$A124&lt;=8),
      AND($A124&gt;=12,$A124&lt;=19),
      AND($A124&gt;=28,$A124&lt;=29)
    ),
    IFERROR(
      INDEX('Daily Sales'!$C:$AG,
        $A124,
        MATCH(TEXT($B124,"0"),TEXT('Daily Sales'!$C$2:$AG$2,"0"),0)
      ),
    ""),
  "")
)</f>
        <v/>
      </c>
      <c r="J124" s="79" t="e">
        <f t="shared" si="2"/>
        <v>#VALUE!</v>
      </c>
      <c r="K124" s="141"/>
      <c r="L124" s="81"/>
      <c r="M124" s="141"/>
      <c r="N124" s="133"/>
      <c r="O124" s="4"/>
      <c r="P124" s="4"/>
      <c r="Q124" s="4"/>
      <c r="R124" s="109"/>
      <c r="S124" s="109"/>
      <c r="T124" s="108"/>
      <c r="U124" s="110"/>
      <c r="V124" s="110"/>
      <c r="W124" s="110"/>
      <c r="X124" s="110"/>
    </row>
    <row r="125" spans="1:24" ht="13.5" customHeight="1">
      <c r="A125" s="110">
        <f>IF(E125="","",MATCH(E125,'Daily Sales'!B$4:B$51,0)+3)</f>
        <v>42</v>
      </c>
      <c r="B125" s="135">
        <v>46177</v>
      </c>
      <c r="C125" s="136" t="s">
        <v>94</v>
      </c>
      <c r="D125" s="137" t="str">
        <f t="array" ref="D125">IF($A125="","",INDEX('Daily Sales'!A:A,$A125))</f>
        <v>1-1217</v>
      </c>
      <c r="E125" s="138" t="s">
        <v>56</v>
      </c>
      <c r="F125" s="139" t="str">
        <f t="shared" si="1"/>
        <v>BCA QR</v>
      </c>
      <c r="G125" s="140"/>
      <c r="H125" s="138">
        <f t="array" ref="H125">IF($A125="","",
  IF(
    OR(
      $A125=23,
      AND($A125&gt;=32,$A125&lt;=50)
    ),
    IFERROR(
      INDEX('Daily Sales'!$C:$AG,
        $A125,
        MATCH(TEXT($B125,"0"),TEXT('Daily Sales'!$C$2:$AG$2,"0"),0)
      ),
    ""),
  "")
)</f>
        <v>694430</v>
      </c>
      <c r="I125" s="138" t="str">
        <f t="array" ref="I125">IF($A125="","",
  IF(
    OR(
      AND($A125&gt;=4,$A125&lt;=8),
      AND($A125&gt;=12,$A125&lt;=19),
      AND($A125&gt;=28,$A125&lt;=29)
    ),
    IFERROR(
      INDEX('Daily Sales'!$C:$AG,
        $A125,
        MATCH(TEXT($B125,"0"),TEXT('Daily Sales'!$C$2:$AG$2,"0"),0)
      ),
    ""),
  "")
)</f>
        <v/>
      </c>
      <c r="J125" s="79" t="e">
        <f t="shared" si="2"/>
        <v>#VALUE!</v>
      </c>
      <c r="K125" s="141"/>
      <c r="L125" s="81"/>
      <c r="M125" s="141"/>
      <c r="N125" s="133"/>
      <c r="O125" s="4"/>
      <c r="P125" s="4"/>
      <c r="Q125" s="4"/>
      <c r="R125" s="109"/>
      <c r="S125" s="109"/>
      <c r="T125" s="108"/>
      <c r="U125" s="110"/>
      <c r="V125" s="110"/>
      <c r="W125" s="110"/>
      <c r="X125" s="110"/>
    </row>
    <row r="126" spans="1:24" ht="13.5" customHeight="1">
      <c r="A126" s="110">
        <f>IF(E126="","",MATCH(E126,'Daily Sales'!B$4:B$51,0)+3)</f>
        <v>43</v>
      </c>
      <c r="B126" s="135">
        <v>46177</v>
      </c>
      <c r="C126" s="136" t="s">
        <v>94</v>
      </c>
      <c r="D126" s="137" t="str">
        <f t="array" ref="D126">IF($A126="","",INDEX('Daily Sales'!A:A,$A126))</f>
        <v>1-1214</v>
      </c>
      <c r="E126" s="138" t="s">
        <v>59</v>
      </c>
      <c r="F126" s="139" t="str">
        <f t="shared" si="1"/>
        <v>Bank BRI DEBET</v>
      </c>
      <c r="G126" s="140"/>
      <c r="H126" s="138">
        <f t="array" ref="H126">IF($A126="","",
  IF(
    OR(
      $A126=23,
      AND($A126&gt;=32,$A126&lt;=50)
    ),
    IFERROR(
      INDEX('Daily Sales'!$C:$AG,
        $A126,
        MATCH(TEXT($B126,"0"),TEXT('Daily Sales'!$C$2:$AG$2,"0"),0)
      ),
    ""),
  "")
)</f>
        <v>0</v>
      </c>
      <c r="I126" s="138" t="str">
        <f t="array" ref="I126">IF($A126="","",
  IF(
    OR(
      AND($A126&gt;=4,$A126&lt;=8),
      AND($A126&gt;=12,$A126&lt;=19),
      AND($A126&gt;=28,$A126&lt;=29)
    ),
    IFERROR(
      INDEX('Daily Sales'!$C:$AG,
        $A126,
        MATCH(TEXT($B126,"0"),TEXT('Daily Sales'!$C$2:$AG$2,"0"),0)
      ),
    ""),
  "")
)</f>
        <v/>
      </c>
      <c r="J126" s="79" t="e">
        <f t="shared" si="2"/>
        <v>#VALUE!</v>
      </c>
      <c r="K126" s="141"/>
      <c r="L126" s="81"/>
      <c r="M126" s="141"/>
      <c r="N126" s="133"/>
      <c r="O126" s="4"/>
      <c r="P126" s="4"/>
      <c r="Q126" s="4"/>
      <c r="R126" s="109"/>
      <c r="S126" s="109"/>
      <c r="T126" s="108"/>
      <c r="U126" s="110"/>
      <c r="V126" s="110"/>
      <c r="W126" s="110"/>
      <c r="X126" s="110"/>
    </row>
    <row r="127" spans="1:24" ht="13.5" customHeight="1">
      <c r="A127" s="110">
        <f>IF(E127="","",MATCH(E127,'Daily Sales'!B$4:B$51,0)+3)</f>
        <v>44</v>
      </c>
      <c r="B127" s="135">
        <v>46177</v>
      </c>
      <c r="C127" s="136" t="s">
        <v>94</v>
      </c>
      <c r="D127" s="137" t="str">
        <f t="array" ref="D127">IF($A127="","",INDEX('Daily Sales'!A:A,$A127))</f>
        <v>1-1214</v>
      </c>
      <c r="E127" s="138" t="s">
        <v>60</v>
      </c>
      <c r="F127" s="139" t="str">
        <f t="shared" si="1"/>
        <v>Bank BRI CC</v>
      </c>
      <c r="G127" s="140"/>
      <c r="H127" s="138">
        <f t="array" ref="H127">IF($A127="","",
  IF(
    OR(
      $A127=23,
      AND($A127&gt;=32,$A127&lt;=50)
    ),
    IFERROR(
      INDEX('Daily Sales'!$C:$AG,
        $A127,
        MATCH(TEXT($B127,"0"),TEXT('Daily Sales'!$C$2:$AG$2,"0"),0)
      ),
    ""),
  "")
)</f>
        <v>0</v>
      </c>
      <c r="I127" s="138" t="str">
        <f t="array" ref="I127">IF($A127="","",
  IF(
    OR(
      AND($A127&gt;=4,$A127&lt;=8),
      AND($A127&gt;=12,$A127&lt;=19),
      AND($A127&gt;=28,$A127&lt;=29)
    ),
    IFERROR(
      INDEX('Daily Sales'!$C:$AG,
        $A127,
        MATCH(TEXT($B127,"0"),TEXT('Daily Sales'!$C$2:$AG$2,"0"),0)
      ),
    ""),
  "")
)</f>
        <v/>
      </c>
      <c r="J127" s="79" t="e">
        <f t="shared" si="2"/>
        <v>#VALUE!</v>
      </c>
      <c r="K127" s="141"/>
      <c r="L127" s="81"/>
      <c r="M127" s="141"/>
      <c r="N127" s="133"/>
      <c r="O127" s="4"/>
      <c r="P127" s="4"/>
      <c r="Q127" s="4"/>
      <c r="R127" s="109"/>
      <c r="S127" s="109"/>
      <c r="T127" s="108"/>
      <c r="U127" s="110"/>
      <c r="V127" s="110"/>
      <c r="W127" s="110"/>
      <c r="X127" s="110"/>
    </row>
    <row r="128" spans="1:24" ht="13.5" customHeight="1">
      <c r="A128" s="110">
        <f>IF(E128="","",MATCH(E128,'Daily Sales'!B$4:B$51,0)+3)</f>
        <v>45</v>
      </c>
      <c r="B128" s="135">
        <v>46177</v>
      </c>
      <c r="C128" s="136" t="s">
        <v>94</v>
      </c>
      <c r="D128" s="137" t="str">
        <f t="array" ref="D128">IF($A128="","",INDEX('Daily Sales'!A:A,$A128))</f>
        <v>1-1214</v>
      </c>
      <c r="E128" s="138" t="s">
        <v>61</v>
      </c>
      <c r="F128" s="139" t="str">
        <f t="shared" si="1"/>
        <v>Bank BRI QR</v>
      </c>
      <c r="G128" s="140"/>
      <c r="H128" s="138">
        <f t="array" ref="H128">IF($A128="","",
  IF(
    OR(
      $A128=23,
      AND($A128&gt;=32,$A128&lt;=50)
    ),
    IFERROR(
      INDEX('Daily Sales'!$C:$AG,
        $A128,
        MATCH(TEXT($B128,"0"),TEXT('Daily Sales'!$C$2:$AG$2,"0"),0)
      ),
    ""),
  "")
)</f>
        <v>0</v>
      </c>
      <c r="I128" s="138" t="str">
        <f t="array" ref="I128">IF($A128="","",
  IF(
    OR(
      AND($A128&gt;=4,$A128&lt;=8),
      AND($A128&gt;=12,$A128&lt;=19),
      AND($A128&gt;=28,$A128&lt;=29)
    ),
    IFERROR(
      INDEX('Daily Sales'!$C:$AG,
        $A128,
        MATCH(TEXT($B128,"0"),TEXT('Daily Sales'!$C$2:$AG$2,"0"),0)
      ),
    ""),
  "")
)</f>
        <v/>
      </c>
      <c r="J128" s="79" t="e">
        <f t="shared" si="2"/>
        <v>#VALUE!</v>
      </c>
      <c r="K128" s="141"/>
      <c r="L128" s="81"/>
      <c r="M128" s="141"/>
      <c r="N128" s="133"/>
      <c r="O128" s="4"/>
      <c r="P128" s="4"/>
      <c r="Q128" s="4"/>
      <c r="R128" s="109"/>
      <c r="S128" s="109"/>
      <c r="T128" s="108"/>
      <c r="U128" s="110"/>
      <c r="V128" s="110"/>
      <c r="W128" s="110"/>
      <c r="X128" s="110"/>
    </row>
    <row r="129" spans="1:24" ht="13.5" customHeight="1">
      <c r="A129" s="110">
        <f>IF(E129="","",MATCH(E129,'Daily Sales'!B$4:B$51,0)+3)</f>
        <v>46</v>
      </c>
      <c r="B129" s="135">
        <v>46177</v>
      </c>
      <c r="C129" s="136" t="s">
        <v>94</v>
      </c>
      <c r="D129" s="137" t="str">
        <f t="array" ref="D129">IF($A129="","",INDEX('Daily Sales'!A:A,$A129))</f>
        <v>1-1202</v>
      </c>
      <c r="E129" s="138" t="s">
        <v>64</v>
      </c>
      <c r="F129" s="139" t="str">
        <f t="shared" si="1"/>
        <v>Ledger</v>
      </c>
      <c r="G129" s="140"/>
      <c r="H129" s="138">
        <f t="array" ref="H129">IF($A129="","",
  IF(
    OR(
      $A129=23,
      AND($A129&gt;=32,$A129&lt;=50)
    ),
    IFERROR(
      INDEX('Daily Sales'!$C:$AG,
        $A129,
        MATCH(TEXT($B129,"0"),TEXT('Daily Sales'!$C$2:$AG$2,"0"),0)
      ),
    ""),
  "")
)</f>
        <v>736802</v>
      </c>
      <c r="I129" s="138" t="str">
        <f t="array" ref="I129">IF($A129="","",
  IF(
    OR(
      AND($A129&gt;=4,$A129&lt;=8),
      AND($A129&gt;=12,$A129&lt;=19),
      AND($A129&gt;=28,$A129&lt;=29)
    ),
    IFERROR(
      INDEX('Daily Sales'!$C:$AG,
        $A129,
        MATCH(TEXT($B129,"0"),TEXT('Daily Sales'!$C$2:$AG$2,"0"),0)
      ),
    ""),
  "")
)</f>
        <v/>
      </c>
      <c r="J129" s="79" t="e">
        <f t="shared" si="2"/>
        <v>#VALUE!</v>
      </c>
      <c r="K129" s="141"/>
      <c r="L129" s="81"/>
      <c r="M129" s="141"/>
      <c r="N129" s="133"/>
      <c r="O129" s="4"/>
      <c r="P129" s="4"/>
      <c r="Q129" s="4"/>
      <c r="R129" s="109"/>
      <c r="S129" s="109"/>
      <c r="T129" s="108"/>
      <c r="U129" s="110"/>
      <c r="V129" s="110"/>
      <c r="W129" s="110"/>
      <c r="X129" s="110"/>
    </row>
    <row r="130" spans="1:24" ht="13.5" customHeight="1">
      <c r="A130" s="110">
        <f>IF(E130="","",MATCH(E130,'Daily Sales'!B$4:B$51,0)+3)</f>
        <v>47</v>
      </c>
      <c r="B130" s="135">
        <v>46177</v>
      </c>
      <c r="C130" s="136" t="s">
        <v>94</v>
      </c>
      <c r="D130" s="137" t="str">
        <f t="array" ref="D130">IF($A130="","",INDEX('Daily Sales'!A:A,$A130))</f>
        <v>1-1129</v>
      </c>
      <c r="E130" s="138" t="s">
        <v>66</v>
      </c>
      <c r="F130" s="139" t="str">
        <f t="shared" si="1"/>
        <v>Star Points</v>
      </c>
      <c r="G130" s="140"/>
      <c r="H130" s="138">
        <f t="array" ref="H130">IF($A130="","",
  IF(
    OR(
      $A130=23,
      AND($A130&gt;=32,$A130&lt;=50)
    ),
    IFERROR(
      INDEX('Daily Sales'!$C:$AG,
        $A130,
        MATCH(TEXT($B130,"0"),TEXT('Daily Sales'!$C$2:$AG$2,"0"),0)
      ),
    ""),
  "")
)</f>
        <v>0</v>
      </c>
      <c r="I130" s="138" t="str">
        <f t="array" ref="I130">IF($A130="","",
  IF(
    OR(
      AND($A130&gt;=4,$A130&lt;=8),
      AND($A130&gt;=12,$A130&lt;=19),
      AND($A130&gt;=28,$A130&lt;=29)
    ),
    IFERROR(
      INDEX('Daily Sales'!$C:$AG,
        $A130,
        MATCH(TEXT($B130,"0"),TEXT('Daily Sales'!$C$2:$AG$2,"0"),0)
      ),
    ""),
  "")
)</f>
        <v/>
      </c>
      <c r="J130" s="79" t="e">
        <f t="shared" si="2"/>
        <v>#VALUE!</v>
      </c>
      <c r="K130" s="141"/>
      <c r="L130" s="81"/>
      <c r="M130" s="141"/>
      <c r="N130" s="133"/>
      <c r="O130" s="4"/>
      <c r="P130" s="4"/>
      <c r="Q130" s="4"/>
      <c r="R130" s="109"/>
      <c r="S130" s="109"/>
      <c r="T130" s="108"/>
      <c r="U130" s="110"/>
      <c r="V130" s="110"/>
      <c r="W130" s="110"/>
      <c r="X130" s="110"/>
    </row>
    <row r="131" spans="1:24" ht="13.5" customHeight="1">
      <c r="A131" s="110">
        <f>IF(E131="","",MATCH(E131,'Daily Sales'!B$4:B$51,0)+3)</f>
        <v>48</v>
      </c>
      <c r="B131" s="135">
        <v>46177</v>
      </c>
      <c r="C131" s="136" t="s">
        <v>94</v>
      </c>
      <c r="D131" s="137" t="str">
        <f t="array" ref="D131">IF($A131="","",INDEX('Daily Sales'!A:A,$A131))</f>
        <v>1-1215</v>
      </c>
      <c r="E131" s="138" t="s">
        <v>68</v>
      </c>
      <c r="F131" s="139" t="str">
        <f t="shared" si="1"/>
        <v>Ovo</v>
      </c>
      <c r="G131" s="140"/>
      <c r="H131" s="138">
        <f t="array" ref="H131">IF($A131="","",
  IF(
    OR(
      $A131=23,
      AND($A131&gt;=32,$A131&lt;=50)
    ),
    IFERROR(
      INDEX('Daily Sales'!$C:$AG,
        $A131,
        MATCH(TEXT($B131,"0"),TEXT('Daily Sales'!$C$2:$AG$2,"0"),0)
      ),
    ""),
  "")
)</f>
        <v>187500</v>
      </c>
      <c r="I131" s="138" t="str">
        <f t="array" ref="I131">IF($A131="","",
  IF(
    OR(
      AND($A131&gt;=4,$A131&lt;=8),
      AND($A131&gt;=12,$A131&lt;=19),
      AND($A131&gt;=28,$A131&lt;=29)
    ),
    IFERROR(
      INDEX('Daily Sales'!$C:$AG,
        $A131,
        MATCH(TEXT($B131,"0"),TEXT('Daily Sales'!$C$2:$AG$2,"0"),0)
      ),
    ""),
  "")
)</f>
        <v/>
      </c>
      <c r="J131" s="79" t="e">
        <f t="shared" si="2"/>
        <v>#VALUE!</v>
      </c>
      <c r="K131" s="141"/>
      <c r="L131" s="81"/>
      <c r="M131" s="141"/>
      <c r="N131" s="133"/>
      <c r="O131" s="4"/>
      <c r="P131" s="4"/>
      <c r="Q131" s="4"/>
      <c r="R131" s="109"/>
      <c r="S131" s="109"/>
      <c r="T131" s="108"/>
      <c r="U131" s="110"/>
      <c r="V131" s="110"/>
      <c r="W131" s="110"/>
      <c r="X131" s="110"/>
    </row>
    <row r="132" spans="1:24" ht="13.5" customHeight="1">
      <c r="A132" s="110">
        <f>IF(E132="","",MATCH(E132,'Daily Sales'!B$4:B$51,0)+3)</f>
        <v>49</v>
      </c>
      <c r="B132" s="135">
        <v>46177</v>
      </c>
      <c r="C132" s="136" t="s">
        <v>94</v>
      </c>
      <c r="D132" s="137" t="str">
        <f t="array" ref="D132">IF($A132="","",INDEX('Daily Sales'!A:A,$A132))</f>
        <v>1-1211</v>
      </c>
      <c r="E132" s="138" t="s">
        <v>70</v>
      </c>
      <c r="F132" s="139" t="str">
        <f t="shared" si="1"/>
        <v>Gopay</v>
      </c>
      <c r="G132" s="140"/>
      <c r="H132" s="138">
        <f t="array" ref="H132">IF($A132="","",
  IF(
    OR(
      $A132=23,
      AND($A132&gt;=32,$A132&lt;=50)
    ),
    IFERROR(
      INDEX('Daily Sales'!$C:$AG,
        $A132,
        MATCH(TEXT($B132,"0"),TEXT('Daily Sales'!$C$2:$AG$2,"0"),0)
      ),
    ""),
  "")
)</f>
        <v>0</v>
      </c>
      <c r="I132" s="138" t="str">
        <f t="array" ref="I132">IF($A132="","",
  IF(
    OR(
      AND($A132&gt;=4,$A132&lt;=8),
      AND($A132&gt;=12,$A132&lt;=19),
      AND($A132&gt;=28,$A132&lt;=29)
    ),
    IFERROR(
      INDEX('Daily Sales'!$C:$AG,
        $A132,
        MATCH(TEXT($B132,"0"),TEXT('Daily Sales'!$C$2:$AG$2,"0"),0)
      ),
    ""),
  "")
)</f>
        <v/>
      </c>
      <c r="J132" s="79" t="e">
        <f t="shared" si="2"/>
        <v>#VALUE!</v>
      </c>
      <c r="K132" s="141"/>
      <c r="L132" s="81"/>
      <c r="M132" s="141"/>
      <c r="N132" s="133"/>
      <c r="O132" s="4"/>
      <c r="P132" s="4"/>
      <c r="Q132" s="4"/>
      <c r="R132" s="109"/>
      <c r="S132" s="109"/>
      <c r="T132" s="108"/>
      <c r="U132" s="110"/>
      <c r="V132" s="110"/>
      <c r="W132" s="110"/>
      <c r="X132" s="110"/>
    </row>
    <row r="133" spans="1:24" ht="13.5" customHeight="1">
      <c r="A133" s="110">
        <f>IF(E133="","",MATCH(E133,'Daily Sales'!B$4:B$51,0)+3)</f>
        <v>50</v>
      </c>
      <c r="B133" s="135">
        <v>46177</v>
      </c>
      <c r="C133" s="136" t="s">
        <v>94</v>
      </c>
      <c r="D133" s="137" t="str">
        <f t="array" ref="D133">IF($A133="","",INDEX('Daily Sales'!A:A,$A133))</f>
        <v>2-2110</v>
      </c>
      <c r="E133" s="138" t="s">
        <v>72</v>
      </c>
      <c r="F133" s="139" t="str">
        <f t="shared" si="1"/>
        <v>Cash Short/Over</v>
      </c>
      <c r="G133" s="140"/>
      <c r="H133" s="138">
        <f t="array" ref="H133">IF($A133="","",
  IF(
    OR(
      $A133=23,
      AND($A133&gt;=32,$A133&lt;=50)
    ),
    IFERROR(
      INDEX('Daily Sales'!$C:$AG,
        $A133,
        MATCH(TEXT($B133,"0"),TEXT('Daily Sales'!$C$2:$AG$2,"0"),0)
      ),
    ""),
  "")
)</f>
        <v>-84557.15</v>
      </c>
      <c r="I133" s="138" t="str">
        <f t="array" ref="I133">IF($A133="","",
  IF(
    OR(
      AND($A133&gt;=4,$A133&lt;=8),
      AND($A133&gt;=12,$A133&lt;=19),
      AND($A133&gt;=28,$A133&lt;=29)
    ),
    IFERROR(
      INDEX('Daily Sales'!$C:$AG,
        $A133,
        MATCH(TEXT($B133,"0"),TEXT('Daily Sales'!$C$2:$AG$2,"0"),0)
      ),
    ""),
  "")
)</f>
        <v/>
      </c>
      <c r="J133" s="79" t="e">
        <f t="shared" si="2"/>
        <v>#VALUE!</v>
      </c>
      <c r="K133" s="141"/>
      <c r="L133" s="81"/>
      <c r="M133" s="141"/>
      <c r="N133" s="133"/>
      <c r="O133" s="4"/>
      <c r="P133" s="4"/>
      <c r="Q133" s="4"/>
      <c r="R133" s="109"/>
      <c r="S133" s="109"/>
      <c r="T133" s="108"/>
      <c r="U133" s="110"/>
      <c r="V133" s="110"/>
      <c r="W133" s="110"/>
      <c r="X133" s="110"/>
    </row>
    <row r="134" spans="1:24" ht="13.5" customHeight="1">
      <c r="A134" s="110" t="str">
        <f>IF(E134="","",MATCH(E134,'Daily Sales'!B$4:B$51,0)+3)</f>
        <v/>
      </c>
      <c r="B134" s="135"/>
      <c r="C134" s="136"/>
      <c r="D134" s="137" t="str">
        <f t="array" ref="D134">IF($A134="","",INDEX('Daily Sales'!A:A,$A134))</f>
        <v/>
      </c>
      <c r="E134" s="138"/>
      <c r="F134" s="139">
        <f t="shared" si="1"/>
        <v>0</v>
      </c>
      <c r="G134" s="140"/>
      <c r="H134" s="138" t="str">
        <f t="array" ref="H134">IF($A134="","",
  IF(
    OR(
      $A134=23,
      AND($A134&gt;=32,$A134&lt;=50)
    ),
    IFERROR(
      INDEX('Daily Sales'!$C:$AG,
        $A134,
        MATCH(TEXT($B134,"0"),TEXT('Daily Sales'!$C$2:$AG$2,"0"),0)
      ),
    ""),
  "")
)</f>
        <v/>
      </c>
      <c r="I134" s="138" t="str">
        <f t="array" ref="I134">IF($A134="","",
  IF(
    OR(
      AND($A134&gt;=4,$A134&lt;=8),
      AND($A134&gt;=12,$A134&lt;=19),
      AND($A134&gt;=28,$A134&lt;=29)
    ),
    IFERROR(
      INDEX('Daily Sales'!$C:$AG,
        $A134,
        MATCH(TEXT($B134,"0"),TEXT('Daily Sales'!$C$2:$AG$2,"0"),0)
      ),
    ""),
  "")
)</f>
        <v/>
      </c>
      <c r="J134" s="79" t="e">
        <f t="shared" si="2"/>
        <v>#VALUE!</v>
      </c>
      <c r="K134" s="141"/>
      <c r="L134" s="81"/>
      <c r="M134" s="141"/>
      <c r="N134" s="133"/>
      <c r="O134" s="4"/>
      <c r="P134" s="4"/>
      <c r="Q134" s="4"/>
      <c r="R134" s="109"/>
      <c r="S134" s="109"/>
      <c r="T134" s="108"/>
      <c r="U134" s="110"/>
      <c r="V134" s="110"/>
      <c r="W134" s="110"/>
      <c r="X134" s="110"/>
    </row>
    <row r="135" spans="1:24" ht="13.5" customHeight="1">
      <c r="A135" s="110">
        <f>IF(E135="","",MATCH(E135,'Daily Sales'!B$4:B$51,0)+3)</f>
        <v>4</v>
      </c>
      <c r="B135" s="135">
        <v>46178</v>
      </c>
      <c r="C135" s="136" t="s">
        <v>95</v>
      </c>
      <c r="D135" s="137" t="str">
        <f t="array" ref="D135">IF($A135="","",INDEX('Daily Sales'!A:A,$A135))</f>
        <v>4-2100</v>
      </c>
      <c r="E135" s="138" t="s">
        <v>5</v>
      </c>
      <c r="F135" s="139" t="str">
        <f t="shared" si="1"/>
        <v>Sales Food TERRACE</v>
      </c>
      <c r="G135" s="140"/>
      <c r="H135" s="138" t="str">
        <f t="array" ref="H135">IF($A135="","",
  IF(
    OR(
      $A135=23,
      AND($A135&gt;=32,$A135&lt;=50)
    ),
    IFERROR(
      INDEX('Daily Sales'!$C:$AG,
        $A135,
        MATCH(TEXT($B135,"0"),TEXT('Daily Sales'!$C$2:$AG$2,"0"),0)
      ),
    ""),
  "")
)</f>
        <v/>
      </c>
      <c r="I135" s="138">
        <f t="array" ref="I135">IF($A135="","",
  IF(
    OR(
      AND($A135&gt;=4,$A135&lt;=8),
      AND($A135&gt;=12,$A135&lt;=19),
      AND($A135&gt;=28,$A135&lt;=29)
    ),
    IFERROR(
      INDEX('Daily Sales'!$C:$AG,
        $A135,
        MATCH(TEXT($B135,"0"),TEXT('Daily Sales'!$C$2:$AG$2,"0"),0)
      ),
    ""),
  "")
)</f>
        <v>8275000</v>
      </c>
      <c r="J135" s="79" t="e">
        <f t="shared" si="2"/>
        <v>#VALUE!</v>
      </c>
      <c r="K135" s="141"/>
      <c r="L135" s="81"/>
      <c r="M135" s="141"/>
      <c r="N135" s="133"/>
      <c r="O135" s="4"/>
      <c r="P135" s="4"/>
      <c r="Q135" s="4"/>
      <c r="R135" s="109"/>
      <c r="S135" s="109"/>
      <c r="T135" s="108"/>
      <c r="U135" s="110"/>
      <c r="V135" s="110"/>
      <c r="W135" s="110"/>
      <c r="X135" s="110"/>
    </row>
    <row r="136" spans="1:24" ht="13.5" customHeight="1">
      <c r="A136" s="110">
        <f>IF(E136="","",MATCH(E136,'Daily Sales'!B$4:B$51,0)+3)</f>
        <v>5</v>
      </c>
      <c r="B136" s="135">
        <v>46178</v>
      </c>
      <c r="C136" s="136" t="s">
        <v>95</v>
      </c>
      <c r="D136" s="137" t="str">
        <f t="array" ref="D136">IF($A136="","",INDEX('Daily Sales'!A:A,$A136))</f>
        <v>4-2200</v>
      </c>
      <c r="E136" s="138" t="s">
        <v>7</v>
      </c>
      <c r="F136" s="139" t="str">
        <f t="shared" si="1"/>
        <v>Sales Beverages TERRACE</v>
      </c>
      <c r="G136" s="140"/>
      <c r="H136" s="138" t="str">
        <f t="array" ref="H136">IF($A136="","",
  IF(
    OR(
      $A136=23,
      AND($A136&gt;=32,$A136&lt;=50)
    ),
    IFERROR(
      INDEX('Daily Sales'!$C:$AG,
        $A136,
        MATCH(TEXT($B136,"0"),TEXT('Daily Sales'!$C$2:$AG$2,"0"),0)
      ),
    ""),
  "")
)</f>
        <v/>
      </c>
      <c r="I136" s="138">
        <f t="array" ref="I136">IF($A136="","",
  IF(
    OR(
      AND($A136&gt;=4,$A136&lt;=8),
      AND($A136&gt;=12,$A136&lt;=19),
      AND($A136&gt;=28,$A136&lt;=29)
    ),
    IFERROR(
      INDEX('Daily Sales'!$C:$AG,
        $A136,
        MATCH(TEXT($B136,"0"),TEXT('Daily Sales'!$C$2:$AG$2,"0"),0)
      ),
    ""),
  "")
)</f>
        <v>12875000</v>
      </c>
      <c r="J136" s="79" t="e">
        <f t="shared" si="2"/>
        <v>#VALUE!</v>
      </c>
      <c r="K136" s="141"/>
      <c r="L136" s="81"/>
      <c r="M136" s="141"/>
      <c r="N136" s="133"/>
      <c r="O136" s="4"/>
      <c r="P136" s="4"/>
      <c r="Q136" s="4"/>
      <c r="R136" s="109"/>
      <c r="S136" s="109"/>
      <c r="T136" s="108"/>
      <c r="U136" s="110"/>
      <c r="V136" s="110"/>
      <c r="W136" s="110"/>
      <c r="X136" s="110"/>
    </row>
    <row r="137" spans="1:24" ht="13.5" customHeight="1">
      <c r="A137" s="110">
        <f>IF(E137="","",MATCH(E137,'Daily Sales'!B$4:B$51,0)+3)</f>
        <v>6</v>
      </c>
      <c r="B137" s="135">
        <v>46178</v>
      </c>
      <c r="C137" s="136" t="s">
        <v>95</v>
      </c>
      <c r="D137" s="137" t="str">
        <f t="array" ref="D137">IF($A137="","",INDEX('Daily Sales'!A:A,$A137))</f>
        <v>4-2400</v>
      </c>
      <c r="E137" s="138" t="s">
        <v>9</v>
      </c>
      <c r="F137" s="139" t="str">
        <f t="shared" si="1"/>
        <v>Sales Cigarette TERRACE</v>
      </c>
      <c r="G137" s="140"/>
      <c r="H137" s="138" t="str">
        <f t="array" ref="H137">IF($A137="","",
  IF(
    OR(
      $A137=23,
      AND($A137&gt;=32,$A137&lt;=50)
    ),
    IFERROR(
      INDEX('Daily Sales'!$C:$AG,
        $A137,
        MATCH(TEXT($B137,"0"),TEXT('Daily Sales'!$C$2:$AG$2,"0"),0)
      ),
    ""),
  "")
)</f>
        <v/>
      </c>
      <c r="I137" s="138">
        <f t="array" ref="I137">IF($A137="","",
  IF(
    OR(
      AND($A137&gt;=4,$A137&lt;=8),
      AND($A137&gt;=12,$A137&lt;=19),
      AND($A137&gt;=28,$A137&lt;=29)
    ),
    IFERROR(
      INDEX('Daily Sales'!$C:$AG,
        $A137,
        MATCH(TEXT($B137,"0"),TEXT('Daily Sales'!$C$2:$AG$2,"0"),0)
      ),
    ""),
  "")
)</f>
        <v>210000</v>
      </c>
      <c r="J137" s="79" t="e">
        <f t="shared" si="2"/>
        <v>#VALUE!</v>
      </c>
      <c r="K137" s="141"/>
      <c r="L137" s="81"/>
      <c r="M137" s="141"/>
      <c r="N137" s="133"/>
      <c r="O137" s="4"/>
      <c r="P137" s="4"/>
      <c r="Q137" s="4"/>
      <c r="R137" s="109"/>
      <c r="S137" s="109"/>
      <c r="T137" s="108"/>
      <c r="U137" s="110"/>
      <c r="V137" s="110"/>
      <c r="W137" s="110"/>
      <c r="X137" s="110"/>
    </row>
    <row r="138" spans="1:24" ht="13.5" customHeight="1">
      <c r="A138" s="110">
        <f>IF(E138="","",MATCH(E138,'Daily Sales'!B$4:B$51,0)+3)</f>
        <v>7</v>
      </c>
      <c r="B138" s="135">
        <v>46178</v>
      </c>
      <c r="C138" s="136" t="s">
        <v>95</v>
      </c>
      <c r="D138" s="137" t="str">
        <f t="array" ref="D138">IF($A138="","",INDEX('Daily Sales'!A:A,$A138))</f>
        <v>4-2300</v>
      </c>
      <c r="E138" s="138" t="s">
        <v>11</v>
      </c>
      <c r="F138" s="139" t="str">
        <f t="shared" si="1"/>
        <v>Sales Shisa TERRACE</v>
      </c>
      <c r="G138" s="140"/>
      <c r="H138" s="138" t="str">
        <f t="array" ref="H138">IF($A138="","",
  IF(
    OR(
      $A138=23,
      AND($A138&gt;=32,$A138&lt;=50)
    ),
    IFERROR(
      INDEX('Daily Sales'!$C:$AG,
        $A138,
        MATCH(TEXT($B138,"0"),TEXT('Daily Sales'!$C$2:$AG$2,"0"),0)
      ),
    ""),
  "")
)</f>
        <v/>
      </c>
      <c r="I138" s="138">
        <f t="array" ref="I138">IF($A138="","",
  IF(
    OR(
      AND($A138&gt;=4,$A138&lt;=8),
      AND($A138&gt;=12,$A138&lt;=19),
      AND($A138&gt;=28,$A138&lt;=29)
    ),
    IFERROR(
      INDEX('Daily Sales'!$C:$AG,
        $A138,
        MATCH(TEXT($B138,"0"),TEXT('Daily Sales'!$C$2:$AG$2,"0"),0)
      ),
    ""),
  "")
)</f>
        <v>500000</v>
      </c>
      <c r="J138" s="79" t="e">
        <f t="shared" si="2"/>
        <v>#VALUE!</v>
      </c>
      <c r="K138" s="141"/>
      <c r="L138" s="81"/>
      <c r="M138" s="141"/>
      <c r="N138" s="133"/>
      <c r="O138" s="4"/>
      <c r="P138" s="4"/>
      <c r="Q138" s="4"/>
      <c r="R138" s="109"/>
      <c r="S138" s="109"/>
      <c r="T138" s="108"/>
      <c r="U138" s="110"/>
      <c r="V138" s="110"/>
      <c r="W138" s="110"/>
      <c r="X138" s="110"/>
    </row>
    <row r="139" spans="1:24" ht="13.5" customHeight="1">
      <c r="A139" s="110">
        <f>IF(E139="","",MATCH(E139,'Daily Sales'!B$4:B$51,0)+3)</f>
        <v>12</v>
      </c>
      <c r="B139" s="135">
        <v>46178</v>
      </c>
      <c r="C139" s="136" t="s">
        <v>95</v>
      </c>
      <c r="D139" s="137" t="str">
        <f t="array" ref="D139">IF($A139="","",INDEX('Daily Sales'!A:A,$A139))</f>
        <v>4-2200</v>
      </c>
      <c r="E139" s="138" t="s">
        <v>17</v>
      </c>
      <c r="F139" s="139" t="str">
        <f t="shared" si="1"/>
        <v>Sales Beverages CLUB</v>
      </c>
      <c r="G139" s="140"/>
      <c r="H139" s="138" t="str">
        <f t="array" ref="H139">IF($A139="","",
  IF(
    OR(
      $A139=23,
      AND($A139&gt;=32,$A139&lt;=50)
    ),
    IFERROR(
      INDEX('Daily Sales'!$C:$AG,
        $A139,
        MATCH(TEXT($B139,"0"),TEXT('Daily Sales'!$C$2:$AG$2,"0"),0)
      ),
    ""),
  "")
)</f>
        <v/>
      </c>
      <c r="I139" s="138">
        <f t="array" ref="I139">IF($A139="","",
  IF(
    OR(
      AND($A139&gt;=4,$A139&lt;=8),
      AND($A139&gt;=12,$A139&lt;=19),
      AND($A139&gt;=28,$A139&lt;=29)
    ),
    IFERROR(
      INDEX('Daily Sales'!$C:$AG,
        $A139,
        MATCH(TEXT($B139,"0"),TEXT('Daily Sales'!$C$2:$AG$2,"0"),0)
      ),
    ""),
  "")
)</f>
        <v>60190000</v>
      </c>
      <c r="J139" s="79" t="e">
        <f t="shared" si="2"/>
        <v>#VALUE!</v>
      </c>
      <c r="K139" s="141"/>
      <c r="L139" s="81"/>
      <c r="M139" s="141"/>
      <c r="N139" s="133"/>
      <c r="O139" s="4"/>
      <c r="P139" s="4"/>
      <c r="Q139" s="4"/>
      <c r="R139" s="109"/>
      <c r="S139" s="109"/>
      <c r="T139" s="108"/>
      <c r="U139" s="110"/>
      <c r="V139" s="110"/>
      <c r="W139" s="110"/>
      <c r="X139" s="110"/>
    </row>
    <row r="140" spans="1:24" ht="13.5" customHeight="1">
      <c r="A140" s="110">
        <f>IF(E140="","",MATCH(E140,'Daily Sales'!B$4:B$51,0)+3)</f>
        <v>13</v>
      </c>
      <c r="B140" s="135">
        <v>46178</v>
      </c>
      <c r="C140" s="136" t="s">
        <v>95</v>
      </c>
      <c r="D140" s="137" t="str">
        <f t="array" ref="D140">IF($A140="","",INDEX('Daily Sales'!A:A,$A140))</f>
        <v>4-2400</v>
      </c>
      <c r="E140" s="138" t="s">
        <v>18</v>
      </c>
      <c r="F140" s="139" t="str">
        <f t="shared" si="1"/>
        <v>Sales Cigarette CLUB</v>
      </c>
      <c r="G140" s="140"/>
      <c r="H140" s="138" t="str">
        <f t="array" ref="H140">IF($A140="","",
  IF(
    OR(
      $A140=23,
      AND($A140&gt;=32,$A140&lt;=50)
    ),
    IFERROR(
      INDEX('Daily Sales'!$C:$AG,
        $A140,
        MATCH(TEXT($B140,"0"),TEXT('Daily Sales'!$C$2:$AG$2,"0"),0)
      ),
    ""),
  "")
)</f>
        <v/>
      </c>
      <c r="I140" s="138">
        <f t="array" ref="I140">IF($A140="","",
  IF(
    OR(
      AND($A140&gt;=4,$A140&lt;=8),
      AND($A140&gt;=12,$A140&lt;=19),
      AND($A140&gt;=28,$A140&lt;=29)
    ),
    IFERROR(
      INDEX('Daily Sales'!$C:$AG,
        $A140,
        MATCH(TEXT($B140,"0"),TEXT('Daily Sales'!$C$2:$AG$2,"0"),0)
      ),
    ""),
  "")
)</f>
        <v>1260000</v>
      </c>
      <c r="J140" s="79" t="e">
        <f t="shared" si="2"/>
        <v>#VALUE!</v>
      </c>
      <c r="K140" s="141"/>
      <c r="L140" s="81"/>
      <c r="M140" s="141"/>
      <c r="N140" s="133"/>
      <c r="O140" s="4"/>
      <c r="P140" s="4"/>
      <c r="Q140" s="4"/>
      <c r="R140" s="109"/>
      <c r="S140" s="109"/>
      <c r="T140" s="108"/>
      <c r="U140" s="110"/>
      <c r="V140" s="110"/>
      <c r="W140" s="110"/>
      <c r="X140" s="110"/>
    </row>
    <row r="141" spans="1:24" ht="13.5" customHeight="1">
      <c r="A141" s="110">
        <f>IF(E141="","",MATCH(E141,'Daily Sales'!B$4:B$51,0)+3)</f>
        <v>14</v>
      </c>
      <c r="B141" s="135">
        <v>46178</v>
      </c>
      <c r="C141" s="136" t="s">
        <v>95</v>
      </c>
      <c r="D141" s="137" t="str">
        <f t="array" ref="D141">IF($A141="","",INDEX('Daily Sales'!A:A,$A141))</f>
        <v>4-2100</v>
      </c>
      <c r="E141" s="138" t="s">
        <v>19</v>
      </c>
      <c r="F141" s="139" t="str">
        <f t="shared" si="1"/>
        <v>Sales Food CLUB</v>
      </c>
      <c r="G141" s="140"/>
      <c r="H141" s="138" t="str">
        <f t="array" ref="H141">IF($A141="","",
  IF(
    OR(
      $A141=23,
      AND($A141&gt;=32,$A141&lt;=50)
    ),
    IFERROR(
      INDEX('Daily Sales'!$C:$AG,
        $A141,
        MATCH(TEXT($B141,"0"),TEXT('Daily Sales'!$C$2:$AG$2,"0"),0)
      ),
    ""),
  "")
)</f>
        <v/>
      </c>
      <c r="I141" s="138">
        <f t="array" ref="I141">IF($A141="","",
  IF(
    OR(
      AND($A141&gt;=4,$A141&lt;=8),
      AND($A141&gt;=12,$A141&lt;=19),
      AND($A141&gt;=28,$A141&lt;=29)
    ),
    IFERROR(
      INDEX('Daily Sales'!$C:$AG,
        $A141,
        MATCH(TEXT($B141,"0"),TEXT('Daily Sales'!$C$2:$AG$2,"0"),0)
      ),
    ""),
  "")
)</f>
        <v>1160000</v>
      </c>
      <c r="J141" s="79" t="e">
        <f t="shared" si="2"/>
        <v>#VALUE!</v>
      </c>
      <c r="K141" s="141"/>
      <c r="L141" s="81"/>
      <c r="M141" s="141"/>
      <c r="N141" s="133"/>
      <c r="O141" s="4"/>
      <c r="P141" s="4"/>
      <c r="Q141" s="4"/>
      <c r="R141" s="109"/>
      <c r="S141" s="109"/>
      <c r="T141" s="108"/>
      <c r="U141" s="110"/>
      <c r="V141" s="110"/>
      <c r="W141" s="110"/>
      <c r="X141" s="110"/>
    </row>
    <row r="142" spans="1:24" ht="13.5" customHeight="1">
      <c r="A142" s="110">
        <f>IF(E142="","",MATCH(E142,'Daily Sales'!B$4:B$51,0)+3)</f>
        <v>15</v>
      </c>
      <c r="B142" s="135">
        <v>46178</v>
      </c>
      <c r="C142" s="136" t="s">
        <v>95</v>
      </c>
      <c r="D142" s="137" t="str">
        <f t="array" ref="D142">IF($A142="","",INDEX('Daily Sales'!A:A,$A142))</f>
        <v>4-2300</v>
      </c>
      <c r="E142" s="138" t="s">
        <v>20</v>
      </c>
      <c r="F142" s="139" t="str">
        <f t="shared" si="1"/>
        <v>Sales Shisa CLUB</v>
      </c>
      <c r="G142" s="140"/>
      <c r="H142" s="138" t="str">
        <f t="array" ref="H142">IF($A142="","",
  IF(
    OR(
      $A142=23,
      AND($A142&gt;=32,$A142&lt;=50)
    ),
    IFERROR(
      INDEX('Daily Sales'!$C:$AG,
        $A142,
        MATCH(TEXT($B142,"0"),TEXT('Daily Sales'!$C$2:$AG$2,"0"),0)
      ),
    ""),
  "")
)</f>
        <v/>
      </c>
      <c r="I142" s="138">
        <f t="array" ref="I142">IF($A142="","",
  IF(
    OR(
      AND($A142&gt;=4,$A142&lt;=8),
      AND($A142&gt;=12,$A142&lt;=19),
      AND($A142&gt;=28,$A142&lt;=29)
    ),
    IFERROR(
      INDEX('Daily Sales'!$C:$AG,
        $A142,
        MATCH(TEXT($B142,"0"),TEXT('Daily Sales'!$C$2:$AG$2,"0"),0)
      ),
    ""),
  "")
)</f>
        <v>1750000</v>
      </c>
      <c r="J142" s="79" t="e">
        <f t="shared" si="2"/>
        <v>#VALUE!</v>
      </c>
      <c r="K142" s="141"/>
      <c r="L142" s="81"/>
      <c r="M142" s="141"/>
      <c r="N142" s="133"/>
      <c r="O142" s="4"/>
      <c r="P142" s="4"/>
      <c r="Q142" s="4"/>
      <c r="R142" s="109"/>
      <c r="S142" s="109"/>
      <c r="T142" s="108"/>
      <c r="U142" s="110"/>
      <c r="V142" s="110"/>
      <c r="W142" s="110"/>
      <c r="X142" s="110"/>
    </row>
    <row r="143" spans="1:24" ht="13.5" customHeight="1">
      <c r="A143" s="110">
        <f>IF(E143="","",MATCH(E143,'Daily Sales'!B$4:B$51,0)+3)</f>
        <v>17</v>
      </c>
      <c r="B143" s="135">
        <v>46178</v>
      </c>
      <c r="C143" s="136" t="s">
        <v>95</v>
      </c>
      <c r="D143" s="137" t="str">
        <f t="array" ref="D143">IF($A143="","",INDEX('Daily Sales'!A:A,$A143))</f>
        <v>4-2601</v>
      </c>
      <c r="E143" s="138" t="s">
        <v>23</v>
      </c>
      <c r="F143" s="139" t="str">
        <f t="shared" si="1"/>
        <v xml:space="preserve">Misc </v>
      </c>
      <c r="G143" s="140"/>
      <c r="H143" s="138" t="str">
        <f t="array" ref="H143">IF($A143="","",
  IF(
    OR(
      $A143=23,
      AND($A143&gt;=32,$A143&lt;=50)
    ),
    IFERROR(
      INDEX('Daily Sales'!$C:$AG,
        $A143,
        MATCH(TEXT($B143,"0"),TEXT('Daily Sales'!$C$2:$AG$2,"0"),0)
      ),
    ""),
  "")
)</f>
        <v/>
      </c>
      <c r="I143" s="138">
        <f t="array" ref="I143">IF($A143="","",
  IF(
    OR(
      AND($A143&gt;=4,$A143&lt;=8),
      AND($A143&gt;=12,$A143&lt;=19),
      AND($A143&gt;=28,$A143&lt;=29)
    ),
    IFERROR(
      INDEX('Daily Sales'!$C:$AG,
        $A143,
        MATCH(TEXT($B143,"0"),TEXT('Daily Sales'!$C$2:$AG$2,"0"),0)
      ),
    ""),
  "")
)</f>
        <v>120000</v>
      </c>
      <c r="J143" s="79" t="e">
        <f t="shared" si="2"/>
        <v>#VALUE!</v>
      </c>
      <c r="K143" s="141"/>
      <c r="L143" s="81"/>
      <c r="M143" s="141"/>
      <c r="N143" s="133"/>
      <c r="O143" s="4"/>
      <c r="P143" s="4"/>
      <c r="Q143" s="4"/>
      <c r="R143" s="109"/>
      <c r="S143" s="109"/>
      <c r="T143" s="108"/>
      <c r="U143" s="110"/>
      <c r="V143" s="110"/>
      <c r="W143" s="110"/>
      <c r="X143" s="110"/>
    </row>
    <row r="144" spans="1:24" ht="13.5" customHeight="1">
      <c r="A144" s="110">
        <f>IF(E144="","",MATCH(E144,'Daily Sales'!B$4:B$51,0)+3)</f>
        <v>19</v>
      </c>
      <c r="B144" s="135">
        <v>46178</v>
      </c>
      <c r="C144" s="136" t="s">
        <v>95</v>
      </c>
      <c r="D144" s="137" t="str">
        <f t="array" ref="D144">IF($A144="","",INDEX('Daily Sales'!A:A,$A144))</f>
        <v>4-2500</v>
      </c>
      <c r="E144" s="138" t="s">
        <v>26</v>
      </c>
      <c r="F144" s="139" t="str">
        <f t="shared" si="1"/>
        <v>Sales Ticket</v>
      </c>
      <c r="G144" s="140"/>
      <c r="H144" s="138" t="str">
        <f t="array" ref="H144">IF($A144="","",
  IF(
    OR(
      $A144=23,
      AND($A144&gt;=32,$A144&lt;=50)
    ),
    IFERROR(
      INDEX('Daily Sales'!$C:$AG,
        $A144,
        MATCH(TEXT($B144,"0"),TEXT('Daily Sales'!$C$2:$AG$2,"0"),0)
      ),
    ""),
  "")
)</f>
        <v/>
      </c>
      <c r="I144" s="138">
        <f t="array" ref="I144">IF($A144="","",
  IF(
    OR(
      AND($A144&gt;=4,$A144&lt;=8),
      AND($A144&gt;=12,$A144&lt;=19),
      AND($A144&gt;=28,$A144&lt;=29)
    ),
    IFERROR(
      INDEX('Daily Sales'!$C:$AG,
        $A144,
        MATCH(TEXT($B144,"0"),TEXT('Daily Sales'!$C$2:$AG$2,"0"),0)
      ),
    ""),
  "")
)</f>
        <v>24936347</v>
      </c>
      <c r="J144" s="79" t="e">
        <f t="shared" si="2"/>
        <v>#VALUE!</v>
      </c>
      <c r="K144" s="141"/>
      <c r="L144" s="81"/>
      <c r="M144" s="141"/>
      <c r="N144" s="133"/>
      <c r="O144" s="4"/>
      <c r="P144" s="4"/>
      <c r="Q144" s="4"/>
      <c r="R144" s="109"/>
      <c r="S144" s="109"/>
      <c r="T144" s="108"/>
      <c r="U144" s="110"/>
      <c r="V144" s="110"/>
      <c r="W144" s="110"/>
      <c r="X144" s="110"/>
    </row>
    <row r="145" spans="1:24" ht="13.5" customHeight="1">
      <c r="A145" s="110">
        <f>IF(E145="","",MATCH(E145,'Daily Sales'!B$4:B$51,0)+3)</f>
        <v>28</v>
      </c>
      <c r="B145" s="135">
        <v>46178</v>
      </c>
      <c r="C145" s="136" t="s">
        <v>95</v>
      </c>
      <c r="D145" s="137" t="str">
        <f t="array" ref="D145">IF($A145="","",INDEX('Daily Sales'!A:A,$A145))</f>
        <v>2-2106</v>
      </c>
      <c r="E145" s="138" t="s">
        <v>35</v>
      </c>
      <c r="F145" s="139" t="str">
        <f t="shared" si="1"/>
        <v>Service Charges 7%</v>
      </c>
      <c r="G145" s="140"/>
      <c r="H145" s="138" t="str">
        <f t="array" ref="H145">IF($A145="","",
  IF(
    OR(
      $A145=23,
      AND($A145&gt;=32,$A145&lt;=50)
    ),
    IFERROR(
      INDEX('Daily Sales'!$C:$AG,
        $A145,
        MATCH(TEXT($B145,"0"),TEXT('Daily Sales'!$C$2:$AG$2,"0"),0)
      ),
    ""),
  "")
)</f>
        <v/>
      </c>
      <c r="I145" s="138">
        <f t="array" ref="I145">IF($A145="","",
  IF(
    OR(
      AND($A145&gt;=4,$A145&lt;=8),
      AND($A145&gt;=12,$A145&lt;=19),
      AND($A145&gt;=28,$A145&lt;=29)
    ),
    IFERROR(
      INDEX('Daily Sales'!$C:$AG,
        $A145,
        MATCH(TEXT($B145,"0"),TEXT('Daily Sales'!$C$2:$AG$2,"0"),0)
      ),
    ""),
  "")
)</f>
        <v>7694704.290000001</v>
      </c>
      <c r="J145" s="79" t="e">
        <f t="shared" si="2"/>
        <v>#VALUE!</v>
      </c>
      <c r="K145" s="141"/>
      <c r="L145" s="81"/>
      <c r="M145" s="141"/>
      <c r="N145" s="133"/>
      <c r="O145" s="4"/>
      <c r="P145" s="4"/>
      <c r="Q145" s="4"/>
      <c r="R145" s="109"/>
      <c r="S145" s="109"/>
      <c r="T145" s="108"/>
      <c r="U145" s="110"/>
      <c r="V145" s="110"/>
      <c r="W145" s="110"/>
      <c r="X145" s="110"/>
    </row>
    <row r="146" spans="1:24" ht="13.5" customHeight="1">
      <c r="A146" s="110">
        <f>IF(E146="","",MATCH(E146,'Daily Sales'!B$4:B$51,0)+3)</f>
        <v>29</v>
      </c>
      <c r="B146" s="135">
        <v>46178</v>
      </c>
      <c r="C146" s="136" t="s">
        <v>95</v>
      </c>
      <c r="D146" s="137" t="str">
        <f t="array" ref="D146">IF($A146="","",INDEX('Daily Sales'!A:A,$A146))</f>
        <v>2-3101</v>
      </c>
      <c r="E146" s="138" t="s">
        <v>37</v>
      </c>
      <c r="F146" s="139" t="str">
        <f t="shared" si="1"/>
        <v>Tax PB1 10%</v>
      </c>
      <c r="G146" s="140"/>
      <c r="H146" s="138" t="str">
        <f t="array" ref="H146">IF($A146="","",
  IF(
    OR(
      $A146=23,
      AND($A146&gt;=32,$A146&lt;=50)
    ),
    IFERROR(
      INDEX('Daily Sales'!$C:$AG,
        $A146,
        MATCH(TEXT($B146,"0"),TEXT('Daily Sales'!$C$2:$AG$2,"0"),0)
      ),
    ""),
  "")
)</f>
        <v/>
      </c>
      <c r="I146" s="138">
        <f t="array" ref="I146">IF($A146="","",
  IF(
    OR(
      AND($A146&gt;=4,$A146&lt;=8),
      AND($A146&gt;=12,$A146&lt;=19),
      AND($A146&gt;=28,$A146&lt;=29)
    ),
    IFERROR(
      INDEX('Daily Sales'!$C:$AG,
        $A146,
        MATCH(TEXT($B146,"0"),TEXT('Daily Sales'!$C$2:$AG$2,"0"),0)
      ),
    ""),
  "")
)</f>
        <v>11761905.129000001</v>
      </c>
      <c r="J146" s="79" t="e">
        <f t="shared" si="2"/>
        <v>#VALUE!</v>
      </c>
      <c r="K146" s="141"/>
      <c r="L146" s="81"/>
      <c r="M146" s="141"/>
      <c r="N146" s="133"/>
      <c r="O146" s="4"/>
      <c r="P146" s="4"/>
      <c r="Q146" s="4"/>
      <c r="R146" s="109"/>
      <c r="S146" s="109"/>
      <c r="T146" s="108"/>
      <c r="U146" s="110"/>
      <c r="V146" s="110"/>
      <c r="W146" s="110"/>
      <c r="X146" s="110"/>
    </row>
    <row r="147" spans="1:24" ht="13.5" customHeight="1">
      <c r="A147" s="110">
        <f>IF(E147="","",MATCH(E147,'Daily Sales'!B$4:B$51,0)+3)</f>
        <v>23</v>
      </c>
      <c r="B147" s="135">
        <v>46178</v>
      </c>
      <c r="C147" s="136" t="s">
        <v>95</v>
      </c>
      <c r="D147" s="137" t="str">
        <f t="array" ref="D147">IF($A147="","",INDEX('Daily Sales'!A:A,$A147))</f>
        <v>4-5110</v>
      </c>
      <c r="E147" s="138" t="s">
        <v>30</v>
      </c>
      <c r="F147" s="139" t="str">
        <f t="shared" si="1"/>
        <v>Discount</v>
      </c>
      <c r="G147" s="140"/>
      <c r="H147" s="138">
        <f t="array" ref="H147">IF($A147="","",
  IF(
    OR(
      $A147=23,
      AND($A147&gt;=32,$A147&lt;=50)
    ),
    IFERROR(
      INDEX('Daily Sales'!$C:$AG,
        $A147,
        MATCH(TEXT($B147,"0"),TEXT('Daily Sales'!$C$2:$AG$2,"0"),0)
      ),
    ""),
  "")
)</f>
        <v>1352000</v>
      </c>
      <c r="I147" s="138" t="str">
        <f t="array" ref="I147">IF($A147="","",
  IF(
    OR(
      AND($A147&gt;=4,$A147&lt;=8),
      AND($A147&gt;=12,$A147&lt;=19),
      AND($A147&gt;=28,$A147&lt;=29)
    ),
    IFERROR(
      INDEX('Daily Sales'!$C:$AG,
        $A147,
        MATCH(TEXT($B147,"0"),TEXT('Daily Sales'!$C$2:$AG$2,"0"),0)
      ),
    ""),
  "")
)</f>
        <v/>
      </c>
      <c r="J147" s="79" t="e">
        <f t="shared" si="2"/>
        <v>#VALUE!</v>
      </c>
      <c r="K147" s="141"/>
      <c r="L147" s="81"/>
      <c r="M147" s="141"/>
      <c r="N147" s="133"/>
      <c r="O147" s="4"/>
      <c r="P147" s="4"/>
      <c r="Q147" s="4"/>
      <c r="R147" s="109"/>
      <c r="S147" s="109"/>
      <c r="T147" s="108"/>
      <c r="U147" s="110"/>
      <c r="V147" s="110"/>
      <c r="W147" s="110"/>
      <c r="X147" s="110"/>
    </row>
    <row r="148" spans="1:24" ht="13.5" customHeight="1">
      <c r="A148" s="110">
        <f>IF(E148="","",MATCH(E148,'Daily Sales'!B$4:B$51,0)+3)</f>
        <v>32</v>
      </c>
      <c r="B148" s="135">
        <v>46178</v>
      </c>
      <c r="C148" s="136" t="s">
        <v>95</v>
      </c>
      <c r="D148" s="137" t="str">
        <f t="array" ref="D148">IF($A148="","",INDEX('Daily Sales'!A:A,$A148))</f>
        <v>1-1119</v>
      </c>
      <c r="E148" s="138" t="s">
        <v>40</v>
      </c>
      <c r="F148" s="139" t="str">
        <f t="shared" si="1"/>
        <v>Cash IDR</v>
      </c>
      <c r="G148" s="140"/>
      <c r="H148" s="138">
        <f t="array" ref="H148">IF($A148="","",
  IF(
    OR(
      $A148=23,
      AND($A148&gt;=32,$A148&lt;=50)
    ),
    IFERROR(
      INDEX('Daily Sales'!$C:$AG,
        $A148,
        MATCH(TEXT($B148,"0"),TEXT('Daily Sales'!$C$2:$AG$2,"0"),0)
      ),
    ""),
  "")
)</f>
        <v>16352290</v>
      </c>
      <c r="I148" s="138" t="str">
        <f t="array" ref="I148">IF($A148="","",
  IF(
    OR(
      AND($A148&gt;=4,$A148&lt;=8),
      AND($A148&gt;=12,$A148&lt;=19),
      AND($A148&gt;=28,$A148&lt;=29)
    ),
    IFERROR(
      INDEX('Daily Sales'!$C:$AG,
        $A148,
        MATCH(TEXT($B148,"0"),TEXT('Daily Sales'!$C$2:$AG$2,"0"),0)
      ),
    ""),
  "")
)</f>
        <v/>
      </c>
      <c r="J148" s="79" t="e">
        <f t="shared" si="2"/>
        <v>#VALUE!</v>
      </c>
      <c r="K148" s="141"/>
      <c r="L148" s="81"/>
      <c r="M148" s="141"/>
      <c r="N148" s="133"/>
      <c r="O148" s="4"/>
      <c r="P148" s="4"/>
      <c r="Q148" s="4"/>
      <c r="R148" s="109"/>
      <c r="S148" s="109"/>
      <c r="T148" s="108"/>
      <c r="U148" s="110"/>
      <c r="V148" s="110"/>
      <c r="W148" s="110"/>
      <c r="X148" s="110"/>
    </row>
    <row r="149" spans="1:24" ht="13.5" customHeight="1">
      <c r="A149" s="110">
        <f>IF(E149="","",MATCH(E149,'Daily Sales'!B$4:B$51,0)+3)</f>
        <v>33</v>
      </c>
      <c r="B149" s="135">
        <v>46178</v>
      </c>
      <c r="C149" s="136" t="s">
        <v>95</v>
      </c>
      <c r="D149" s="137" t="str">
        <f t="array" ref="D149">IF($A149="","",INDEX('Daily Sales'!A:A,$A149))</f>
        <v>1-1217</v>
      </c>
      <c r="E149" s="138" t="s">
        <v>43</v>
      </c>
      <c r="F149" s="139" t="str">
        <f t="shared" si="1"/>
        <v>Bank transfer</v>
      </c>
      <c r="G149" s="140"/>
      <c r="H149" s="138">
        <f t="array" ref="H149">IF($A149="","",
  IF(
    OR(
      $A149=23,
      AND($A149&gt;=32,$A149&lt;=50)
    ),
    IFERROR(
      INDEX('Daily Sales'!$C:$AG,
        $A149,
        MATCH(TEXT($B149,"0"),TEXT('Daily Sales'!$C$2:$AG$2,"0"),0)
      ),
    ""),
  "")
)</f>
        <v>0</v>
      </c>
      <c r="I149" s="138" t="str">
        <f t="array" ref="I149">IF($A149="","",
  IF(
    OR(
      AND($A149&gt;=4,$A149&lt;=8),
      AND($A149&gt;=12,$A149&lt;=19),
      AND($A149&gt;=28,$A149&lt;=29)
    ),
    IFERROR(
      INDEX('Daily Sales'!$C:$AG,
        $A149,
        MATCH(TEXT($B149,"0"),TEXT('Daily Sales'!$C$2:$AG$2,"0"),0)
      ),
    ""),
  "")
)</f>
        <v/>
      </c>
      <c r="J149" s="79" t="e">
        <f t="shared" si="2"/>
        <v>#VALUE!</v>
      </c>
      <c r="K149" s="141"/>
      <c r="L149" s="81"/>
      <c r="M149" s="141"/>
      <c r="N149" s="133"/>
      <c r="O149" s="4"/>
      <c r="P149" s="4"/>
      <c r="Q149" s="4"/>
      <c r="R149" s="109"/>
      <c r="S149" s="109"/>
      <c r="T149" s="108"/>
      <c r="U149" s="110"/>
      <c r="V149" s="110"/>
      <c r="W149" s="110"/>
      <c r="X149" s="110"/>
    </row>
    <row r="150" spans="1:24" ht="13.5" customHeight="1">
      <c r="A150" s="110">
        <f>IF(E150="","",MATCH(E150,'Daily Sales'!B$4:B$51,0)+3)</f>
        <v>35</v>
      </c>
      <c r="B150" s="135">
        <v>46178</v>
      </c>
      <c r="C150" s="136" t="s">
        <v>95</v>
      </c>
      <c r="D150" s="137" t="str">
        <f t="array" ref="D150">IF($A150="","",INDEX('Daily Sales'!A:A,$A150))</f>
        <v>1-1216</v>
      </c>
      <c r="E150" s="138" t="s">
        <v>46</v>
      </c>
      <c r="F150" s="139" t="str">
        <f t="shared" si="1"/>
        <v>Cim Niaga TBB</v>
      </c>
      <c r="G150" s="140"/>
      <c r="H150" s="138">
        <f t="array" ref="H150">IF($A150="","",
  IF(
    OR(
      $A150=23,
      AND($A150&gt;=32,$A150&lt;=50)
    ),
    IFERROR(
      INDEX('Daily Sales'!$C:$AG,
        $A150,
        MATCH(TEXT($B150,"0"),TEXT('Daily Sales'!$C$2:$AG$2,"0"),0)
      ),
    ""),
  "")
)</f>
        <v>1000450</v>
      </c>
      <c r="I150" s="138" t="str">
        <f t="array" ref="I150">IF($A150="","",
  IF(
    OR(
      AND($A150&gt;=4,$A150&lt;=8),
      AND($A150&gt;=12,$A150&lt;=19),
      AND($A150&gt;=28,$A150&lt;=29)
    ),
    IFERROR(
      INDEX('Daily Sales'!$C:$AG,
        $A150,
        MATCH(TEXT($B150,"0"),TEXT('Daily Sales'!$C$2:$AG$2,"0"),0)
      ),
    ""),
  "")
)</f>
        <v/>
      </c>
      <c r="J150" s="79" t="e">
        <f t="shared" si="2"/>
        <v>#VALUE!</v>
      </c>
      <c r="K150" s="141"/>
      <c r="L150" s="81"/>
      <c r="M150" s="141"/>
      <c r="N150" s="133"/>
      <c r="O150" s="4"/>
      <c r="P150" s="4"/>
      <c r="Q150" s="4"/>
      <c r="R150" s="109"/>
      <c r="S150" s="109"/>
      <c r="T150" s="108"/>
      <c r="U150" s="110"/>
      <c r="V150" s="110"/>
      <c r="W150" s="110"/>
      <c r="X150" s="110"/>
    </row>
    <row r="151" spans="1:24" ht="13.5" customHeight="1">
      <c r="A151" s="110">
        <f>IF(E151="","",MATCH(E151,'Daily Sales'!B$4:B$51,0)+3)</f>
        <v>36</v>
      </c>
      <c r="B151" s="135">
        <v>46178</v>
      </c>
      <c r="C151" s="136" t="s">
        <v>95</v>
      </c>
      <c r="D151" s="137" t="str">
        <f t="array" ref="D151">IF($A151="","",INDEX('Daily Sales'!A:A,$A151))</f>
        <v>1-1213</v>
      </c>
      <c r="E151" s="138" t="s">
        <v>49</v>
      </c>
      <c r="F151" s="139" t="str">
        <f t="shared" si="1"/>
        <v>Mandiri Debet</v>
      </c>
      <c r="G151" s="140"/>
      <c r="H151" s="138">
        <f t="array" ref="H151">IF($A151="","",
  IF(
    OR(
      $A151=23,
      AND($A151&gt;=32,$A151&lt;=50)
    ),
    IFERROR(
      INDEX('Daily Sales'!$C:$AG,
        $A151,
        MATCH(TEXT($B151,"0"),TEXT('Daily Sales'!$C$2:$AG$2,"0"),0)
      ),
    ""),
  "")
)</f>
        <v>2315185</v>
      </c>
      <c r="I151" s="138" t="str">
        <f t="array" ref="I151">IF($A151="","",
  IF(
    OR(
      AND($A151&gt;=4,$A151&lt;=8),
      AND($A151&gt;=12,$A151&lt;=19),
      AND($A151&gt;=28,$A151&lt;=29)
    ),
    IFERROR(
      INDEX('Daily Sales'!$C:$AG,
        $A151,
        MATCH(TEXT($B151,"0"),TEXT('Daily Sales'!$C$2:$AG$2,"0"),0)
      ),
    ""),
  "")
)</f>
        <v/>
      </c>
      <c r="J151" s="79" t="e">
        <f t="shared" si="2"/>
        <v>#VALUE!</v>
      </c>
      <c r="K151" s="141"/>
      <c r="L151" s="81"/>
      <c r="M151" s="141"/>
      <c r="N151" s="133"/>
      <c r="O151" s="4"/>
      <c r="P151" s="4"/>
      <c r="Q151" s="4"/>
      <c r="R151" s="109"/>
      <c r="S151" s="109"/>
      <c r="T151" s="108"/>
      <c r="U151" s="110"/>
      <c r="V151" s="110"/>
      <c r="W151" s="110"/>
      <c r="X151" s="110"/>
    </row>
    <row r="152" spans="1:24" ht="13.5" customHeight="1">
      <c r="A152" s="110">
        <f>IF(E152="","",MATCH(E152,'Daily Sales'!B$4:B$51,0)+3)</f>
        <v>37</v>
      </c>
      <c r="B152" s="135">
        <v>46178</v>
      </c>
      <c r="C152" s="136" t="s">
        <v>95</v>
      </c>
      <c r="D152" s="137" t="str">
        <f t="array" ref="D152">IF($A152="","",INDEX('Daily Sales'!A:A,$A152))</f>
        <v>1-1213</v>
      </c>
      <c r="E152" s="138" t="s">
        <v>50</v>
      </c>
      <c r="F152" s="139" t="str">
        <f t="shared" si="1"/>
        <v>Mandiri CC</v>
      </c>
      <c r="G152" s="140"/>
      <c r="H152" s="138">
        <f t="array" ref="H152">IF($A152="","",
  IF(
    OR(
      $A152=23,
      AND($A152&gt;=32,$A152&lt;=50)
    ),
    IFERROR(
      INDEX('Daily Sales'!$C:$AG,
        $A152,
        MATCH(TEXT($B152,"0"),TEXT('Daily Sales'!$C$2:$AG$2,"0"),0)
      ),
    ""),
  "")
)</f>
        <v>70510841</v>
      </c>
      <c r="I152" s="138" t="str">
        <f t="array" ref="I152">IF($A152="","",
  IF(
    OR(
      AND($A152&gt;=4,$A152&lt;=8),
      AND($A152&gt;=12,$A152&lt;=19),
      AND($A152&gt;=28,$A152&lt;=29)
    ),
    IFERROR(
      INDEX('Daily Sales'!$C:$AG,
        $A152,
        MATCH(TEXT($B152,"0"),TEXT('Daily Sales'!$C$2:$AG$2,"0"),0)
      ),
    ""),
  "")
)</f>
        <v/>
      </c>
      <c r="J152" s="79" t="e">
        <f t="shared" si="2"/>
        <v>#VALUE!</v>
      </c>
      <c r="K152" s="141"/>
      <c r="L152" s="81"/>
      <c r="M152" s="141"/>
      <c r="N152" s="133"/>
      <c r="O152" s="4"/>
      <c r="P152" s="4"/>
      <c r="Q152" s="4"/>
      <c r="R152" s="109"/>
      <c r="S152" s="109"/>
      <c r="T152" s="108"/>
      <c r="U152" s="110"/>
      <c r="V152" s="110"/>
      <c r="W152" s="110"/>
      <c r="X152" s="110"/>
    </row>
    <row r="153" spans="1:24" ht="13.5" customHeight="1">
      <c r="A153" s="110">
        <f>IF(E153="","",MATCH(E153,'Daily Sales'!B$4:B$51,0)+3)</f>
        <v>38</v>
      </c>
      <c r="B153" s="135">
        <v>46178</v>
      </c>
      <c r="C153" s="136" t="s">
        <v>95</v>
      </c>
      <c r="D153" s="137" t="str">
        <f t="array" ref="D153">IF($A153="","",INDEX('Daily Sales'!A:A,$A153))</f>
        <v>1-1213</v>
      </c>
      <c r="E153" s="138" t="s">
        <v>51</v>
      </c>
      <c r="F153" s="139" t="str">
        <f t="shared" si="1"/>
        <v>Mandiri NPG</v>
      </c>
      <c r="G153" s="140"/>
      <c r="H153" s="138">
        <f t="array" ref="H153">IF($A153="","",
  IF(
    OR(
      $A153=23,
      AND($A153&gt;=32,$A153&lt;=50)
    ),
    IFERROR(
      INDEX('Daily Sales'!$C:$AG,
        $A153,
        MATCH(TEXT($B153,"0"),TEXT('Daily Sales'!$C$2:$AG$2,"0"),0)
      ),
    ""),
  "")
)</f>
        <v>4352295</v>
      </c>
      <c r="I153" s="138" t="str">
        <f t="array" ref="I153">IF($A153="","",
  IF(
    OR(
      AND($A153&gt;=4,$A153&lt;=8),
      AND($A153&gt;=12,$A153&lt;=19),
      AND($A153&gt;=28,$A153&lt;=29)
    ),
    IFERROR(
      INDEX('Daily Sales'!$C:$AG,
        $A153,
        MATCH(TEXT($B153,"0"),TEXT('Daily Sales'!$C$2:$AG$2,"0"),0)
      ),
    ""),
  "")
)</f>
        <v/>
      </c>
      <c r="J153" s="79" t="e">
        <f t="shared" si="2"/>
        <v>#VALUE!</v>
      </c>
      <c r="K153" s="141"/>
      <c r="L153" s="81"/>
      <c r="M153" s="141"/>
      <c r="N153" s="133"/>
      <c r="O153" s="4"/>
      <c r="P153" s="4"/>
      <c r="Q153" s="4"/>
      <c r="R153" s="109"/>
      <c r="S153" s="109"/>
      <c r="T153" s="108"/>
      <c r="U153" s="110"/>
      <c r="V153" s="110"/>
      <c r="W153" s="110"/>
      <c r="X153" s="110"/>
    </row>
    <row r="154" spans="1:24" ht="13.5" customHeight="1">
      <c r="A154" s="110">
        <f>IF(E154="","",MATCH(E154,'Daily Sales'!B$4:B$51,0)+3)</f>
        <v>39</v>
      </c>
      <c r="B154" s="135">
        <v>46178</v>
      </c>
      <c r="C154" s="136" t="s">
        <v>95</v>
      </c>
      <c r="D154" s="137" t="str">
        <f t="array" ref="D154">IF($A154="","",INDEX('Daily Sales'!A:A,$A154))</f>
        <v>1-1213</v>
      </c>
      <c r="E154" s="138" t="s">
        <v>52</v>
      </c>
      <c r="F154" s="139" t="str">
        <f t="shared" si="1"/>
        <v>Mandiri QR</v>
      </c>
      <c r="G154" s="140"/>
      <c r="H154" s="138">
        <f t="array" ref="H154">IF($A154="","",
  IF(
    OR(
      $A154=23,
      AND($A154&gt;=32,$A154&lt;=50)
    ),
    IFERROR(
      INDEX('Daily Sales'!$C:$AG,
        $A154,
        MATCH(TEXT($B154,"0"),TEXT('Daily Sales'!$C$2:$AG$2,"0"),0)
      ),
    ""),
  "")
)</f>
        <v>6931023</v>
      </c>
      <c r="I154" s="138" t="str">
        <f t="array" ref="I154">IF($A154="","",
  IF(
    OR(
      AND($A154&gt;=4,$A154&lt;=8),
      AND($A154&gt;=12,$A154&lt;=19),
      AND($A154&gt;=28,$A154&lt;=29)
    ),
    IFERROR(
      INDEX('Daily Sales'!$C:$AG,
        $A154,
        MATCH(TEXT($B154,"0"),TEXT('Daily Sales'!$C$2:$AG$2,"0"),0)
      ),
    ""),
  "")
)</f>
        <v/>
      </c>
      <c r="J154" s="79" t="e">
        <f t="shared" si="2"/>
        <v>#VALUE!</v>
      </c>
      <c r="K154" s="141"/>
      <c r="L154" s="81"/>
      <c r="M154" s="141"/>
      <c r="N154" s="133"/>
      <c r="O154" s="4"/>
      <c r="P154" s="4"/>
      <c r="Q154" s="4"/>
      <c r="R154" s="109"/>
      <c r="S154" s="109"/>
      <c r="T154" s="108"/>
      <c r="U154" s="110"/>
      <c r="V154" s="110"/>
      <c r="W154" s="110"/>
      <c r="X154" s="110"/>
    </row>
    <row r="155" spans="1:24" ht="13.5" customHeight="1">
      <c r="A155" s="110">
        <f>IF(E155="","",MATCH(E155,'Daily Sales'!B$4:B$51,0)+3)</f>
        <v>40</v>
      </c>
      <c r="B155" s="135">
        <v>46178</v>
      </c>
      <c r="C155" s="136" t="s">
        <v>95</v>
      </c>
      <c r="D155" s="137" t="str">
        <f t="array" ref="D155">IF($A155="","",INDEX('Daily Sales'!A:A,$A155))</f>
        <v>1-1217</v>
      </c>
      <c r="E155" s="138" t="s">
        <v>54</v>
      </c>
      <c r="F155" s="139" t="str">
        <f t="shared" si="1"/>
        <v>BCA CC</v>
      </c>
      <c r="G155" s="140"/>
      <c r="H155" s="138">
        <f t="array" ref="H155">IF($A155="","",
  IF(
    OR(
      $A155=23,
      AND($A155&gt;=32,$A155&lt;=50)
    ),
    IFERROR(
      INDEX('Daily Sales'!$C:$AG,
        $A155,
        MATCH(TEXT($B155,"0"),TEXT('Daily Sales'!$C$2:$AG$2,"0"),0)
      ),
    ""),
  "")
)</f>
        <v>11755980</v>
      </c>
      <c r="I155" s="138" t="str">
        <f t="array" ref="I155">IF($A155="","",
  IF(
    OR(
      AND($A155&gt;=4,$A155&lt;=8),
      AND($A155&gt;=12,$A155&lt;=19),
      AND($A155&gt;=28,$A155&lt;=29)
    ),
    IFERROR(
      INDEX('Daily Sales'!$C:$AG,
        $A155,
        MATCH(TEXT($B155,"0"),TEXT('Daily Sales'!$C$2:$AG$2,"0"),0)
      ),
    ""),
  "")
)</f>
        <v/>
      </c>
      <c r="J155" s="79" t="e">
        <f t="shared" si="2"/>
        <v>#VALUE!</v>
      </c>
      <c r="K155" s="141"/>
      <c r="L155" s="81"/>
      <c r="M155" s="141"/>
      <c r="N155" s="133"/>
      <c r="O155" s="4"/>
      <c r="P155" s="4"/>
      <c r="Q155" s="4"/>
      <c r="R155" s="109"/>
      <c r="S155" s="109"/>
      <c r="T155" s="108"/>
      <c r="U155" s="110"/>
      <c r="V155" s="110"/>
      <c r="W155" s="110"/>
      <c r="X155" s="110"/>
    </row>
    <row r="156" spans="1:24" ht="13.5" customHeight="1">
      <c r="A156" s="110">
        <f>IF(E156="","",MATCH(E156,'Daily Sales'!B$4:B$51,0)+3)</f>
        <v>41</v>
      </c>
      <c r="B156" s="135">
        <v>46178</v>
      </c>
      <c r="C156" s="136" t="s">
        <v>95</v>
      </c>
      <c r="D156" s="137" t="str">
        <f t="array" ref="D156">IF($A156="","",INDEX('Daily Sales'!A:A,$A156))</f>
        <v>1-1217</v>
      </c>
      <c r="E156" s="138" t="s">
        <v>55</v>
      </c>
      <c r="F156" s="139" t="str">
        <f t="shared" si="1"/>
        <v>BCA debt</v>
      </c>
      <c r="G156" s="140"/>
      <c r="H156" s="138">
        <f t="array" ref="H156">IF($A156="","",
  IF(
    OR(
      $A156=23,
      AND($A156&gt;=32,$A156&lt;=50)
    ),
    IFERROR(
      INDEX('Daily Sales'!$C:$AG,
        $A156,
        MATCH(TEXT($B156,"0"),TEXT('Daily Sales'!$C$2:$AG$2,"0"),0)
      ),
    ""),
  "")
)</f>
        <v>3531000</v>
      </c>
      <c r="I156" s="138" t="str">
        <f t="array" ref="I156">IF($A156="","",
  IF(
    OR(
      AND($A156&gt;=4,$A156&lt;=8),
      AND($A156&gt;=12,$A156&lt;=19),
      AND($A156&gt;=28,$A156&lt;=29)
    ),
    IFERROR(
      INDEX('Daily Sales'!$C:$AG,
        $A156,
        MATCH(TEXT($B156,"0"),TEXT('Daily Sales'!$C$2:$AG$2,"0"),0)
      ),
    ""),
  "")
)</f>
        <v/>
      </c>
      <c r="J156" s="79" t="e">
        <f t="shared" si="2"/>
        <v>#VALUE!</v>
      </c>
      <c r="K156" s="141"/>
      <c r="L156" s="81"/>
      <c r="M156" s="141"/>
      <c r="N156" s="133"/>
      <c r="O156" s="4"/>
      <c r="P156" s="4"/>
      <c r="Q156" s="4"/>
      <c r="R156" s="109"/>
      <c r="S156" s="109"/>
      <c r="T156" s="108"/>
      <c r="U156" s="110"/>
      <c r="V156" s="110"/>
      <c r="W156" s="110"/>
      <c r="X156" s="110"/>
    </row>
    <row r="157" spans="1:24" ht="13.5" customHeight="1">
      <c r="A157" s="110">
        <f>IF(E157="","",MATCH(E157,'Daily Sales'!B$4:B$51,0)+3)</f>
        <v>42</v>
      </c>
      <c r="B157" s="135">
        <v>46178</v>
      </c>
      <c r="C157" s="136" t="s">
        <v>95</v>
      </c>
      <c r="D157" s="137" t="str">
        <f t="array" ref="D157">IF($A157="","",INDEX('Daily Sales'!A:A,$A157))</f>
        <v>1-1217</v>
      </c>
      <c r="E157" s="138" t="s">
        <v>56</v>
      </c>
      <c r="F157" s="139" t="str">
        <f t="shared" si="1"/>
        <v>BCA QR</v>
      </c>
      <c r="G157" s="140"/>
      <c r="H157" s="138">
        <f t="array" ref="H157">IF($A157="","",
  IF(
    OR(
      $A157=23,
      AND($A157&gt;=32,$A157&lt;=50)
    ),
    IFERROR(
      INDEX('Daily Sales'!$C:$AG,
        $A157,
        MATCH(TEXT($B157,"0"),TEXT('Daily Sales'!$C$2:$AG$2,"0"),0)
      ),
    ""),
  "")
)</f>
        <v>13970990</v>
      </c>
      <c r="I157" s="138" t="str">
        <f t="array" ref="I157">IF($A157="","",
  IF(
    OR(
      AND($A157&gt;=4,$A157&lt;=8),
      AND($A157&gt;=12,$A157&lt;=19),
      AND($A157&gt;=28,$A157&lt;=29)
    ),
    IFERROR(
      INDEX('Daily Sales'!$C:$AG,
        $A157,
        MATCH(TEXT($B157,"0"),TEXT('Daily Sales'!$C$2:$AG$2,"0"),0)
      ),
    ""),
  "")
)</f>
        <v/>
      </c>
      <c r="J157" s="79" t="e">
        <f t="shared" si="2"/>
        <v>#VALUE!</v>
      </c>
      <c r="K157" s="141"/>
      <c r="L157" s="81"/>
      <c r="M157" s="141"/>
      <c r="N157" s="133"/>
      <c r="O157" s="4"/>
      <c r="P157" s="4"/>
      <c r="Q157" s="4"/>
      <c r="R157" s="109"/>
      <c r="S157" s="109"/>
      <c r="T157" s="108"/>
      <c r="U157" s="110"/>
      <c r="V157" s="110"/>
      <c r="W157" s="110"/>
      <c r="X157" s="110"/>
    </row>
    <row r="158" spans="1:24" ht="13.5" customHeight="1">
      <c r="A158" s="110">
        <f>IF(E158="","",MATCH(E158,'Daily Sales'!B$4:B$51,0)+3)</f>
        <v>43</v>
      </c>
      <c r="B158" s="135">
        <v>46178</v>
      </c>
      <c r="C158" s="136" t="s">
        <v>95</v>
      </c>
      <c r="D158" s="137" t="str">
        <f t="array" ref="D158">IF($A158="","",INDEX('Daily Sales'!A:A,$A158))</f>
        <v>1-1214</v>
      </c>
      <c r="E158" s="138" t="s">
        <v>59</v>
      </c>
      <c r="F158" s="139" t="str">
        <f t="shared" si="1"/>
        <v>Bank BRI DEBET</v>
      </c>
      <c r="G158" s="140"/>
      <c r="H158" s="138">
        <f t="array" ref="H158">IF($A158="","",
  IF(
    OR(
      $A158=23,
      AND($A158&gt;=32,$A158&lt;=50)
    ),
    IFERROR(
      INDEX('Daily Sales'!$C:$AG,
        $A158,
        MATCH(TEXT($B158,"0"),TEXT('Daily Sales'!$C$2:$AG$2,"0"),0)
      ),
    ""),
  "")
)</f>
        <v>0</v>
      </c>
      <c r="I158" s="138" t="str">
        <f t="array" ref="I158">IF($A158="","",
  IF(
    OR(
      AND($A158&gt;=4,$A158&lt;=8),
      AND($A158&gt;=12,$A158&lt;=19),
      AND($A158&gt;=28,$A158&lt;=29)
    ),
    IFERROR(
      INDEX('Daily Sales'!$C:$AG,
        $A158,
        MATCH(TEXT($B158,"0"),TEXT('Daily Sales'!$C$2:$AG$2,"0"),0)
      ),
    ""),
  "")
)</f>
        <v/>
      </c>
      <c r="J158" s="79" t="e">
        <f t="shared" si="2"/>
        <v>#VALUE!</v>
      </c>
      <c r="K158" s="141"/>
      <c r="L158" s="81"/>
      <c r="M158" s="141"/>
      <c r="N158" s="133"/>
      <c r="O158" s="4"/>
      <c r="P158" s="4"/>
      <c r="Q158" s="4"/>
      <c r="R158" s="109"/>
      <c r="S158" s="109"/>
      <c r="T158" s="108"/>
      <c r="U158" s="110"/>
      <c r="V158" s="110"/>
      <c r="W158" s="110"/>
      <c r="X158" s="110"/>
    </row>
    <row r="159" spans="1:24" ht="13.5" customHeight="1">
      <c r="A159" s="110">
        <f>IF(E159="","",MATCH(E159,'Daily Sales'!B$4:B$51,0)+3)</f>
        <v>44</v>
      </c>
      <c r="B159" s="135">
        <v>46178</v>
      </c>
      <c r="C159" s="136" t="s">
        <v>95</v>
      </c>
      <c r="D159" s="137" t="str">
        <f t="array" ref="D159">IF($A159="","",INDEX('Daily Sales'!A:A,$A159))</f>
        <v>1-1214</v>
      </c>
      <c r="E159" s="138" t="s">
        <v>60</v>
      </c>
      <c r="F159" s="139" t="str">
        <f t="shared" si="1"/>
        <v>Bank BRI CC</v>
      </c>
      <c r="G159" s="140"/>
      <c r="H159" s="138">
        <f t="array" ref="H159">IF($A159="","",
  IF(
    OR(
      $A159=23,
      AND($A159&gt;=32,$A159&lt;=50)
    ),
    IFERROR(
      INDEX('Daily Sales'!$C:$AG,
        $A159,
        MATCH(TEXT($B159,"0"),TEXT('Daily Sales'!$C$2:$AG$2,"0"),0)
      ),
    ""),
  "")
)</f>
        <v>506110</v>
      </c>
      <c r="I159" s="138" t="str">
        <f t="array" ref="I159">IF($A159="","",
  IF(
    OR(
      AND($A159&gt;=4,$A159&lt;=8),
      AND($A159&gt;=12,$A159&lt;=19),
      AND($A159&gt;=28,$A159&lt;=29)
    ),
    IFERROR(
      INDEX('Daily Sales'!$C:$AG,
        $A159,
        MATCH(TEXT($B159,"0"),TEXT('Daily Sales'!$C$2:$AG$2,"0"),0)
      ),
    ""),
  "")
)</f>
        <v/>
      </c>
      <c r="J159" s="79" t="e">
        <f t="shared" si="2"/>
        <v>#VALUE!</v>
      </c>
      <c r="K159" s="141"/>
      <c r="L159" s="81"/>
      <c r="M159" s="141"/>
      <c r="N159" s="133"/>
      <c r="O159" s="4"/>
      <c r="P159" s="4"/>
      <c r="Q159" s="4"/>
      <c r="R159" s="109"/>
      <c r="S159" s="109"/>
      <c r="T159" s="108"/>
      <c r="U159" s="110"/>
      <c r="V159" s="110"/>
      <c r="W159" s="110"/>
      <c r="X159" s="110"/>
    </row>
    <row r="160" spans="1:24" ht="13.5" customHeight="1">
      <c r="A160" s="110">
        <f>IF(E160="","",MATCH(E160,'Daily Sales'!B$4:B$51,0)+3)</f>
        <v>45</v>
      </c>
      <c r="B160" s="135">
        <v>46178</v>
      </c>
      <c r="C160" s="136" t="s">
        <v>95</v>
      </c>
      <c r="D160" s="137" t="str">
        <f t="array" ref="D160">IF($A160="","",INDEX('Daily Sales'!A:A,$A160))</f>
        <v>1-1214</v>
      </c>
      <c r="E160" s="138" t="s">
        <v>61</v>
      </c>
      <c r="F160" s="139" t="str">
        <f t="shared" si="1"/>
        <v>Bank BRI QR</v>
      </c>
      <c r="G160" s="140"/>
      <c r="H160" s="138">
        <f t="array" ref="H160">IF($A160="","",
  IF(
    OR(
      $A160=23,
      AND($A160&gt;=32,$A160&lt;=50)
    ),
    IFERROR(
      INDEX('Daily Sales'!$C:$AG,
        $A160,
        MATCH(TEXT($B160,"0"),TEXT('Daily Sales'!$C$2:$AG$2,"0"),0)
      ),
    ""),
  "")
)</f>
        <v>147125</v>
      </c>
      <c r="I160" s="138" t="str">
        <f t="array" ref="I160">IF($A160="","",
  IF(
    OR(
      AND($A160&gt;=4,$A160&lt;=8),
      AND($A160&gt;=12,$A160&lt;=19),
      AND($A160&gt;=28,$A160&lt;=29)
    ),
    IFERROR(
      INDEX('Daily Sales'!$C:$AG,
        $A160,
        MATCH(TEXT($B160,"0"),TEXT('Daily Sales'!$C$2:$AG$2,"0"),0)
      ),
    ""),
  "")
)</f>
        <v/>
      </c>
      <c r="J160" s="79" t="e">
        <f t="shared" si="2"/>
        <v>#VALUE!</v>
      </c>
      <c r="K160" s="141"/>
      <c r="L160" s="81"/>
      <c r="M160" s="141"/>
      <c r="N160" s="133"/>
      <c r="O160" s="4"/>
      <c r="P160" s="4"/>
      <c r="Q160" s="4"/>
      <c r="R160" s="109"/>
      <c r="S160" s="109"/>
      <c r="T160" s="108"/>
      <c r="U160" s="110"/>
      <c r="V160" s="110"/>
      <c r="W160" s="110"/>
      <c r="X160" s="110"/>
    </row>
    <row r="161" spans="1:24" ht="13.5" customHeight="1">
      <c r="A161" s="110">
        <f>IF(E161="","",MATCH(E161,'Daily Sales'!B$4:B$51,0)+3)</f>
        <v>46</v>
      </c>
      <c r="B161" s="135">
        <v>46178</v>
      </c>
      <c r="C161" s="136" t="s">
        <v>95</v>
      </c>
      <c r="D161" s="137" t="str">
        <f t="array" ref="D161">IF($A161="","",INDEX('Daily Sales'!A:A,$A161))</f>
        <v>1-1202</v>
      </c>
      <c r="E161" s="138" t="s">
        <v>64</v>
      </c>
      <c r="F161" s="139" t="str">
        <f t="shared" si="1"/>
        <v>Ledger</v>
      </c>
      <c r="G161" s="140"/>
      <c r="H161" s="138">
        <f t="array" ref="H161">IF($A161="","",
  IF(
    OR(
      $A161=23,
      AND($A161&gt;=32,$A161&lt;=50)
    ),
    IFERROR(
      INDEX('Daily Sales'!$C:$AG,
        $A161,
        MATCH(TEXT($B161,"0"),TEXT('Daily Sales'!$C$2:$AG$2,"0"),0)
      ),
    ""),
  "")
)</f>
        <v>514938</v>
      </c>
      <c r="I161" s="138" t="str">
        <f t="array" ref="I161">IF($A161="","",
  IF(
    OR(
      AND($A161&gt;=4,$A161&lt;=8),
      AND($A161&gt;=12,$A161&lt;=19),
      AND($A161&gt;=28,$A161&lt;=29)
    ),
    IFERROR(
      INDEX('Daily Sales'!$C:$AG,
        $A161,
        MATCH(TEXT($B161,"0"),TEXT('Daily Sales'!$C$2:$AG$2,"0"),0)
      ),
    ""),
  "")
)</f>
        <v/>
      </c>
      <c r="J161" s="79" t="e">
        <f t="shared" si="2"/>
        <v>#VALUE!</v>
      </c>
      <c r="K161" s="141"/>
      <c r="L161" s="81"/>
      <c r="M161" s="141"/>
      <c r="N161" s="133"/>
      <c r="O161" s="4"/>
      <c r="P161" s="4"/>
      <c r="Q161" s="4"/>
      <c r="R161" s="109"/>
      <c r="S161" s="109"/>
      <c r="T161" s="108"/>
      <c r="U161" s="110"/>
      <c r="V161" s="110"/>
      <c r="W161" s="110"/>
      <c r="X161" s="110"/>
    </row>
    <row r="162" spans="1:24" ht="13.5" customHeight="1">
      <c r="A162" s="110">
        <f>IF(E162="","",MATCH(E162,'Daily Sales'!B$4:B$51,0)+3)</f>
        <v>47</v>
      </c>
      <c r="B162" s="135">
        <v>46178</v>
      </c>
      <c r="C162" s="136" t="s">
        <v>95</v>
      </c>
      <c r="D162" s="137" t="str">
        <f t="array" ref="D162">IF($A162="","",INDEX('Daily Sales'!A:A,$A162))</f>
        <v>1-1129</v>
      </c>
      <c r="E162" s="138" t="s">
        <v>66</v>
      </c>
      <c r="F162" s="139" t="str">
        <f t="shared" si="1"/>
        <v>Star Points</v>
      </c>
      <c r="G162" s="140"/>
      <c r="H162" s="138">
        <f t="array" ref="H162">IF($A162="","",
  IF(
    OR(
      $A162=23,
      AND($A162&gt;=32,$A162&lt;=50)
    ),
    IFERROR(
      INDEX('Daily Sales'!$C:$AG,
        $A162,
        MATCH(TEXT($B162,"0"),TEXT('Daily Sales'!$C$2:$AG$2,"0"),0)
      ),
    ""),
  "")
)</f>
        <v>0</v>
      </c>
      <c r="I162" s="138" t="str">
        <f t="array" ref="I162">IF($A162="","",
  IF(
    OR(
      AND($A162&gt;=4,$A162&lt;=8),
      AND($A162&gt;=12,$A162&lt;=19),
      AND($A162&gt;=28,$A162&lt;=29)
    ),
    IFERROR(
      INDEX('Daily Sales'!$C:$AG,
        $A162,
        MATCH(TEXT($B162,"0"),TEXT('Daily Sales'!$C$2:$AG$2,"0"),0)
      ),
    ""),
  "")
)</f>
        <v/>
      </c>
      <c r="J162" s="79" t="e">
        <f t="shared" si="2"/>
        <v>#VALUE!</v>
      </c>
      <c r="K162" s="141"/>
      <c r="L162" s="81"/>
      <c r="M162" s="141"/>
      <c r="N162" s="133"/>
      <c r="O162" s="4"/>
      <c r="P162" s="4"/>
      <c r="Q162" s="4"/>
      <c r="R162" s="109"/>
      <c r="S162" s="109"/>
      <c r="T162" s="108"/>
      <c r="U162" s="110"/>
      <c r="V162" s="110"/>
      <c r="W162" s="110"/>
      <c r="X162" s="110"/>
    </row>
    <row r="163" spans="1:24" ht="13.5" customHeight="1">
      <c r="A163" s="110">
        <f>IF(E163="","",MATCH(E163,'Daily Sales'!B$4:B$51,0)+3)</f>
        <v>48</v>
      </c>
      <c r="B163" s="135">
        <v>46178</v>
      </c>
      <c r="C163" s="136" t="s">
        <v>95</v>
      </c>
      <c r="D163" s="137" t="str">
        <f t="array" ref="D163">IF($A163="","",INDEX('Daily Sales'!A:A,$A163))</f>
        <v>1-1215</v>
      </c>
      <c r="E163" s="138" t="s">
        <v>68</v>
      </c>
      <c r="F163" s="139" t="str">
        <f t="shared" si="1"/>
        <v>Ovo</v>
      </c>
      <c r="G163" s="140"/>
      <c r="H163" s="138">
        <f t="array" ref="H163">IF($A163="","",
  IF(
    OR(
      $A163=23,
      AND($A163&gt;=32,$A163&lt;=50)
    ),
    IFERROR(
      INDEX('Daily Sales'!$C:$AG,
        $A163,
        MATCH(TEXT($B163,"0"),TEXT('Daily Sales'!$C$2:$AG$2,"0"),0)
      ),
    ""),
  "")
)</f>
        <v>0</v>
      </c>
      <c r="I163" s="138" t="str">
        <f t="array" ref="I163">IF($A163="","",
  IF(
    OR(
      AND($A163&gt;=4,$A163&lt;=8),
      AND($A163&gt;=12,$A163&lt;=19),
      AND($A163&gt;=28,$A163&lt;=29)
    ),
    IFERROR(
      INDEX('Daily Sales'!$C:$AG,
        $A163,
        MATCH(TEXT($B163,"0"),TEXT('Daily Sales'!$C$2:$AG$2,"0"),0)
      ),
    ""),
  "")
)</f>
        <v/>
      </c>
      <c r="J163" s="79" t="e">
        <f t="shared" si="2"/>
        <v>#VALUE!</v>
      </c>
      <c r="K163" s="141"/>
      <c r="L163" s="81"/>
      <c r="M163" s="141"/>
      <c r="N163" s="133"/>
      <c r="O163" s="4"/>
      <c r="P163" s="4"/>
      <c r="Q163" s="4"/>
      <c r="R163" s="109"/>
      <c r="S163" s="109"/>
      <c r="T163" s="108"/>
      <c r="U163" s="110"/>
      <c r="V163" s="110"/>
      <c r="W163" s="110"/>
      <c r="X163" s="110"/>
    </row>
    <row r="164" spans="1:24" ht="13.5" customHeight="1">
      <c r="A164" s="110">
        <f>IF(E164="","",MATCH(E164,'Daily Sales'!B$4:B$51,0)+3)</f>
        <v>49</v>
      </c>
      <c r="B164" s="135">
        <v>46178</v>
      </c>
      <c r="C164" s="136" t="s">
        <v>95</v>
      </c>
      <c r="D164" s="137" t="str">
        <f t="array" ref="D164">IF($A164="","",INDEX('Daily Sales'!A:A,$A164))</f>
        <v>1-1211</v>
      </c>
      <c r="E164" s="138" t="s">
        <v>70</v>
      </c>
      <c r="F164" s="139" t="str">
        <f t="shared" si="1"/>
        <v>Gopay</v>
      </c>
      <c r="G164" s="140"/>
      <c r="H164" s="138">
        <f t="array" ref="H164">IF($A164="","",
  IF(
    OR(
      $A164=23,
      AND($A164&gt;=32,$A164&lt;=50)
    ),
    IFERROR(
      INDEX('Daily Sales'!$C:$AG,
        $A164,
        MATCH(TEXT($B164,"0"),TEXT('Daily Sales'!$C$2:$AG$2,"0"),0)
      ),
    ""),
  "")
)</f>
        <v>0</v>
      </c>
      <c r="I164" s="138" t="str">
        <f t="array" ref="I164">IF($A164="","",
  IF(
    OR(
      AND($A164&gt;=4,$A164&lt;=8),
      AND($A164&gt;=12,$A164&lt;=19),
      AND($A164&gt;=28,$A164&lt;=29)
    ),
    IFERROR(
      INDEX('Daily Sales'!$C:$AG,
        $A164,
        MATCH(TEXT($B164,"0"),TEXT('Daily Sales'!$C$2:$AG$2,"0"),0)
      ),
    ""),
  "")
)</f>
        <v/>
      </c>
      <c r="J164" s="79" t="e">
        <f t="shared" si="2"/>
        <v>#VALUE!</v>
      </c>
      <c r="K164" s="141"/>
      <c r="L164" s="81"/>
      <c r="M164" s="141"/>
      <c r="N164" s="133"/>
      <c r="O164" s="4"/>
      <c r="P164" s="4"/>
      <c r="Q164" s="4"/>
      <c r="R164" s="109"/>
      <c r="S164" s="109"/>
      <c r="T164" s="108"/>
      <c r="U164" s="110"/>
      <c r="V164" s="110"/>
      <c r="W164" s="110"/>
      <c r="X164" s="110"/>
    </row>
    <row r="165" spans="1:24" ht="13.5" customHeight="1">
      <c r="A165" s="110">
        <f>IF(E165="","",MATCH(E165,'Daily Sales'!B$4:B$51,0)+3)</f>
        <v>50</v>
      </c>
      <c r="B165" s="135">
        <v>46178</v>
      </c>
      <c r="C165" s="136" t="s">
        <v>95</v>
      </c>
      <c r="D165" s="137" t="str">
        <f t="array" ref="D165">IF($A165="","",INDEX('Daily Sales'!A:A,$A165))</f>
        <v>2-2110</v>
      </c>
      <c r="E165" s="138" t="s">
        <v>72</v>
      </c>
      <c r="F165" s="139" t="str">
        <f t="shared" si="1"/>
        <v>Cash Short/Over</v>
      </c>
      <c r="G165" s="140"/>
      <c r="H165" s="138">
        <f t="array" ref="H165">IF($A165="","",
  IF(
    OR(
      $A165=23,
      AND($A165&gt;=32,$A165&lt;=50)
    ),
    IFERROR(
      INDEX('Daily Sales'!$C:$AG,
        $A165,
        MATCH(TEXT($B165,"0"),TEXT('Daily Sales'!$C$2:$AG$2,"0"),0)
      ),
    ""),
  "")
)</f>
        <v>-2507270.5810000002</v>
      </c>
      <c r="I165" s="138" t="str">
        <f t="array" ref="I165">IF($A165="","",
  IF(
    OR(
      AND($A165&gt;=4,$A165&lt;=8),
      AND($A165&gt;=12,$A165&lt;=19),
      AND($A165&gt;=28,$A165&lt;=29)
    ),
    IFERROR(
      INDEX('Daily Sales'!$C:$AG,
        $A165,
        MATCH(TEXT($B165,"0"),TEXT('Daily Sales'!$C$2:$AG$2,"0"),0)
      ),
    ""),
  "")
)</f>
        <v/>
      </c>
      <c r="J165" s="79" t="e">
        <f t="shared" si="2"/>
        <v>#VALUE!</v>
      </c>
      <c r="K165" s="141"/>
      <c r="L165" s="81"/>
      <c r="M165" s="141"/>
      <c r="N165" s="133"/>
      <c r="O165" s="4"/>
      <c r="P165" s="4"/>
      <c r="Q165" s="4"/>
      <c r="R165" s="109"/>
      <c r="S165" s="109"/>
      <c r="T165" s="108"/>
      <c r="U165" s="110"/>
      <c r="V165" s="110"/>
      <c r="W165" s="110"/>
      <c r="X165" s="110"/>
    </row>
    <row r="166" spans="1:24" ht="13.5" customHeight="1">
      <c r="A166" s="110" t="str">
        <f>IF(E166="","",MATCH(E166,'Daily Sales'!B$4:B$51,0)+3)</f>
        <v/>
      </c>
      <c r="B166" s="135"/>
      <c r="C166" s="136"/>
      <c r="D166" s="137" t="str">
        <f t="array" ref="D166">IF($A166="","",INDEX('Daily Sales'!A:A,$A166))</f>
        <v/>
      </c>
      <c r="E166" s="138"/>
      <c r="F166" s="139">
        <f t="shared" si="1"/>
        <v>0</v>
      </c>
      <c r="G166" s="140"/>
      <c r="H166" s="138" t="str">
        <f t="array" ref="H166">IF($A166="","",
  IF(
    OR(
      $A166=23,
      AND($A166&gt;=32,$A166&lt;=50)
    ),
    IFERROR(
      INDEX('Daily Sales'!$C:$AG,
        $A166,
        MATCH(TEXT($B166,"0"),TEXT('Daily Sales'!$C$2:$AG$2,"0"),0)
      ),
    ""),
  "")
)</f>
        <v/>
      </c>
      <c r="I166" s="138" t="str">
        <f t="array" ref="I166">IF($A166="","",
  IF(
    OR(
      AND($A166&gt;=4,$A166&lt;=8),
      AND($A166&gt;=12,$A166&lt;=19),
      AND($A166&gt;=28,$A166&lt;=29)
    ),
    IFERROR(
      INDEX('Daily Sales'!$C:$AG,
        $A166,
        MATCH(TEXT($B166,"0"),TEXT('Daily Sales'!$C$2:$AG$2,"0"),0)
      ),
    ""),
  "")
)</f>
        <v/>
      </c>
      <c r="J166" s="79" t="e">
        <f t="shared" si="2"/>
        <v>#VALUE!</v>
      </c>
      <c r="K166" s="141"/>
      <c r="L166" s="81"/>
      <c r="M166" s="141"/>
      <c r="N166" s="133"/>
      <c r="O166" s="4"/>
      <c r="P166" s="4"/>
      <c r="Q166" s="4"/>
      <c r="R166" s="109"/>
      <c r="S166" s="109"/>
      <c r="T166" s="108"/>
      <c r="U166" s="110"/>
      <c r="V166" s="110"/>
      <c r="W166" s="110"/>
      <c r="X166" s="110"/>
    </row>
    <row r="167" spans="1:24" ht="13.5" customHeight="1">
      <c r="A167" s="110">
        <f>IF(E167="","",MATCH(E167,'Daily Sales'!B$4:B$51,0)+3)</f>
        <v>4</v>
      </c>
      <c r="B167" s="135">
        <v>46179</v>
      </c>
      <c r="C167" s="136" t="s">
        <v>96</v>
      </c>
      <c r="D167" s="137" t="str">
        <f t="array" ref="D167">IF($A167="","",INDEX('Daily Sales'!A:A,$A167))</f>
        <v>4-2100</v>
      </c>
      <c r="E167" s="138" t="s">
        <v>5</v>
      </c>
      <c r="F167" s="139" t="str">
        <f t="shared" si="1"/>
        <v>Sales Food TERRACE</v>
      </c>
      <c r="G167" s="140"/>
      <c r="H167" s="138" t="str">
        <f t="array" ref="H167">IF($A167="","",
  IF(
    OR(
      $A167=23,
      AND($A167&gt;=32,$A167&lt;=50)
    ),
    IFERROR(
      INDEX('Daily Sales'!$C:$AG,
        $A167,
        MATCH(TEXT($B167,"0"),TEXT('Daily Sales'!$C$2:$AG$2,"0"),0)
      ),
    ""),
  "")
)</f>
        <v/>
      </c>
      <c r="I167" s="138">
        <f t="array" ref="I167">IF($A167="","",
  IF(
    OR(
      AND($A167&gt;=4,$A167&lt;=8),
      AND($A167&gt;=12,$A167&lt;=19),
      AND($A167&gt;=28,$A167&lt;=29)
    ),
    IFERROR(
      INDEX('Daily Sales'!$C:$AG,
        $A167,
        MATCH(TEXT($B167,"0"),TEXT('Daily Sales'!$C$2:$AG$2,"0"),0)
      ),
    ""),
  "")
)</f>
        <v>5030000</v>
      </c>
      <c r="J167" s="79" t="e">
        <f t="shared" si="2"/>
        <v>#VALUE!</v>
      </c>
      <c r="K167" s="141"/>
      <c r="L167" s="81"/>
      <c r="M167" s="141"/>
      <c r="N167" s="133"/>
      <c r="O167" s="4"/>
      <c r="P167" s="4"/>
      <c r="Q167" s="4"/>
      <c r="R167" s="109"/>
      <c r="S167" s="109"/>
      <c r="T167" s="108"/>
      <c r="U167" s="110"/>
      <c r="V167" s="110"/>
      <c r="W167" s="110"/>
      <c r="X167" s="110"/>
    </row>
    <row r="168" spans="1:24" ht="13.5" customHeight="1">
      <c r="A168" s="110">
        <f>IF(E168="","",MATCH(E168,'Daily Sales'!B$4:B$51,0)+3)</f>
        <v>5</v>
      </c>
      <c r="B168" s="135">
        <v>46179</v>
      </c>
      <c r="C168" s="136" t="s">
        <v>96</v>
      </c>
      <c r="D168" s="137" t="str">
        <f t="array" ref="D168">IF($A168="","",INDEX('Daily Sales'!A:A,$A168))</f>
        <v>4-2200</v>
      </c>
      <c r="E168" s="138" t="s">
        <v>7</v>
      </c>
      <c r="F168" s="139" t="str">
        <f t="shared" si="1"/>
        <v>Sales Beverages TERRACE</v>
      </c>
      <c r="G168" s="140"/>
      <c r="H168" s="138" t="str">
        <f t="array" ref="H168">IF($A168="","",
  IF(
    OR(
      $A168=23,
      AND($A168&gt;=32,$A168&lt;=50)
    ),
    IFERROR(
      INDEX('Daily Sales'!$C:$AG,
        $A168,
        MATCH(TEXT($B168,"0"),TEXT('Daily Sales'!$C$2:$AG$2,"0"),0)
      ),
    ""),
  "")
)</f>
        <v/>
      </c>
      <c r="I168" s="138">
        <f t="array" ref="I168">IF($A168="","",
  IF(
    OR(
      AND($A168&gt;=4,$A168&lt;=8),
      AND($A168&gt;=12,$A168&lt;=19),
      AND($A168&gt;=28,$A168&lt;=29)
    ),
    IFERROR(
      INDEX('Daily Sales'!$C:$AG,
        $A168,
        MATCH(TEXT($B168,"0"),TEXT('Daily Sales'!$C$2:$AG$2,"0"),0)
      ),
    ""),
  "")
)</f>
        <v>6765000</v>
      </c>
      <c r="J168" s="79" t="e">
        <f t="shared" si="2"/>
        <v>#VALUE!</v>
      </c>
      <c r="K168" s="141"/>
      <c r="L168" s="81"/>
      <c r="M168" s="141"/>
      <c r="N168" s="133"/>
      <c r="O168" s="4"/>
      <c r="P168" s="4"/>
      <c r="Q168" s="4"/>
      <c r="R168" s="109"/>
      <c r="S168" s="109"/>
      <c r="T168" s="108"/>
      <c r="U168" s="110"/>
      <c r="V168" s="110"/>
      <c r="W168" s="110"/>
      <c r="X168" s="110"/>
    </row>
    <row r="169" spans="1:24" ht="13.5" customHeight="1">
      <c r="A169" s="110">
        <f>IF(E169="","",MATCH(E169,'Daily Sales'!B$4:B$51,0)+3)</f>
        <v>6</v>
      </c>
      <c r="B169" s="135">
        <v>46179</v>
      </c>
      <c r="C169" s="136" t="s">
        <v>96</v>
      </c>
      <c r="D169" s="137" t="str">
        <f t="array" ref="D169">IF($A169="","",INDEX('Daily Sales'!A:A,$A169))</f>
        <v>4-2400</v>
      </c>
      <c r="E169" s="138" t="s">
        <v>9</v>
      </c>
      <c r="F169" s="139" t="str">
        <f t="shared" si="1"/>
        <v>Sales Cigarette TERRACE</v>
      </c>
      <c r="G169" s="140"/>
      <c r="H169" s="138" t="str">
        <f t="array" ref="H169">IF($A169="","",
  IF(
    OR(
      $A169=23,
      AND($A169&gt;=32,$A169&lt;=50)
    ),
    IFERROR(
      INDEX('Daily Sales'!$C:$AG,
        $A169,
        MATCH(TEXT($B169,"0"),TEXT('Daily Sales'!$C$2:$AG$2,"0"),0)
      ),
    ""),
  "")
)</f>
        <v/>
      </c>
      <c r="I169" s="138">
        <f t="array" ref="I169">IF($A169="","",
  IF(
    OR(
      AND($A169&gt;=4,$A169&lt;=8),
      AND($A169&gt;=12,$A169&lt;=19),
      AND($A169&gt;=28,$A169&lt;=29)
    ),
    IFERROR(
      INDEX('Daily Sales'!$C:$AG,
        $A169,
        MATCH(TEXT($B169,"0"),TEXT('Daily Sales'!$C$2:$AG$2,"0"),0)
      ),
    ""),
  "")
)</f>
        <v>140000</v>
      </c>
      <c r="J169" s="79" t="e">
        <f t="shared" si="2"/>
        <v>#VALUE!</v>
      </c>
      <c r="K169" s="141"/>
      <c r="L169" s="81"/>
      <c r="M169" s="141"/>
      <c r="N169" s="133"/>
      <c r="O169" s="4"/>
      <c r="P169" s="4"/>
      <c r="Q169" s="4"/>
      <c r="R169" s="109"/>
      <c r="S169" s="109"/>
      <c r="T169" s="108"/>
      <c r="U169" s="110"/>
      <c r="V169" s="110"/>
      <c r="W169" s="110"/>
      <c r="X169" s="110"/>
    </row>
    <row r="170" spans="1:24" ht="13.5" customHeight="1">
      <c r="A170" s="110">
        <f>IF(E170="","",MATCH(E170,'Daily Sales'!B$4:B$51,0)+3)</f>
        <v>7</v>
      </c>
      <c r="B170" s="135">
        <v>46179</v>
      </c>
      <c r="C170" s="136" t="s">
        <v>96</v>
      </c>
      <c r="D170" s="137" t="str">
        <f t="array" ref="D170">IF($A170="","",INDEX('Daily Sales'!A:A,$A170))</f>
        <v>4-2300</v>
      </c>
      <c r="E170" s="138" t="s">
        <v>11</v>
      </c>
      <c r="F170" s="139" t="str">
        <f t="shared" si="1"/>
        <v>Sales Shisa TERRACE</v>
      </c>
      <c r="G170" s="140"/>
      <c r="H170" s="138" t="str">
        <f t="array" ref="H170">IF($A170="","",
  IF(
    OR(
      $A170=23,
      AND($A170&gt;=32,$A170&lt;=50)
    ),
    IFERROR(
      INDEX('Daily Sales'!$C:$AG,
        $A170,
        MATCH(TEXT($B170,"0"),TEXT('Daily Sales'!$C$2:$AG$2,"0"),0)
      ),
    ""),
  "")
)</f>
        <v/>
      </c>
      <c r="I170" s="138">
        <f t="array" ref="I170">IF($A170="","",
  IF(
    OR(
      AND($A170&gt;=4,$A170&lt;=8),
      AND($A170&gt;=12,$A170&lt;=19),
      AND($A170&gt;=28,$A170&lt;=29)
    ),
    IFERROR(
      INDEX('Daily Sales'!$C:$AG,
        $A170,
        MATCH(TEXT($B170,"0"),TEXT('Daily Sales'!$C$2:$AG$2,"0"),0)
      ),
    ""),
  "")
)</f>
        <v>0</v>
      </c>
      <c r="J170" s="79" t="e">
        <f t="shared" si="2"/>
        <v>#VALUE!</v>
      </c>
      <c r="K170" s="141"/>
      <c r="L170" s="81"/>
      <c r="M170" s="141"/>
      <c r="N170" s="133"/>
      <c r="O170" s="4"/>
      <c r="P170" s="4"/>
      <c r="Q170" s="4"/>
      <c r="R170" s="109"/>
      <c r="S170" s="109"/>
      <c r="T170" s="108"/>
      <c r="U170" s="110"/>
      <c r="V170" s="110"/>
      <c r="W170" s="110"/>
      <c r="X170" s="110"/>
    </row>
    <row r="171" spans="1:24" ht="13.5" customHeight="1">
      <c r="A171" s="110">
        <f>IF(E171="","",MATCH(E171,'Daily Sales'!B$4:B$51,0)+3)</f>
        <v>12</v>
      </c>
      <c r="B171" s="135">
        <v>46179</v>
      </c>
      <c r="C171" s="136" t="s">
        <v>96</v>
      </c>
      <c r="D171" s="137" t="str">
        <f t="array" ref="D171">IF($A171="","",INDEX('Daily Sales'!A:A,$A171))</f>
        <v>4-2200</v>
      </c>
      <c r="E171" s="138" t="s">
        <v>17</v>
      </c>
      <c r="F171" s="139" t="str">
        <f t="shared" si="1"/>
        <v>Sales Beverages CLUB</v>
      </c>
      <c r="G171" s="140"/>
      <c r="H171" s="138" t="str">
        <f t="array" ref="H171">IF($A171="","",
  IF(
    OR(
      $A171=23,
      AND($A171&gt;=32,$A171&lt;=50)
    ),
    IFERROR(
      INDEX('Daily Sales'!$C:$AG,
        $A171,
        MATCH(TEXT($B171,"0"),TEXT('Daily Sales'!$C$2:$AG$2,"0"),0)
      ),
    ""),
  "")
)</f>
        <v/>
      </c>
      <c r="I171" s="138">
        <f t="array" ref="I171">IF($A171="","",
  IF(
    OR(
      AND($A171&gt;=4,$A171&lt;=8),
      AND($A171&gt;=12,$A171&lt;=19),
      AND($A171&gt;=28,$A171&lt;=29)
    ),
    IFERROR(
      INDEX('Daily Sales'!$C:$AG,
        $A171,
        MATCH(TEXT($B171,"0"),TEXT('Daily Sales'!$C$2:$AG$2,"0"),0)
      ),
    ""),
  "")
)</f>
        <v>94895000</v>
      </c>
      <c r="J171" s="79" t="e">
        <f t="shared" si="2"/>
        <v>#VALUE!</v>
      </c>
      <c r="K171" s="141"/>
      <c r="L171" s="81"/>
      <c r="M171" s="141"/>
      <c r="N171" s="133"/>
      <c r="O171" s="4"/>
      <c r="P171" s="4"/>
      <c r="Q171" s="4"/>
      <c r="R171" s="109"/>
      <c r="S171" s="109"/>
      <c r="T171" s="108"/>
      <c r="U171" s="110"/>
      <c r="V171" s="110"/>
      <c r="W171" s="110"/>
      <c r="X171" s="110"/>
    </row>
    <row r="172" spans="1:24" ht="13.5" customHeight="1">
      <c r="A172" s="110">
        <f>IF(E172="","",MATCH(E172,'Daily Sales'!B$4:B$51,0)+3)</f>
        <v>13</v>
      </c>
      <c r="B172" s="135">
        <v>46179</v>
      </c>
      <c r="C172" s="136" t="s">
        <v>96</v>
      </c>
      <c r="D172" s="137" t="str">
        <f t="array" ref="D172">IF($A172="","",INDEX('Daily Sales'!A:A,$A172))</f>
        <v>4-2400</v>
      </c>
      <c r="E172" s="138" t="s">
        <v>18</v>
      </c>
      <c r="F172" s="139" t="str">
        <f t="shared" si="1"/>
        <v>Sales Cigarette CLUB</v>
      </c>
      <c r="G172" s="140"/>
      <c r="H172" s="138" t="str">
        <f t="array" ref="H172">IF($A172="","",
  IF(
    OR(
      $A172=23,
      AND($A172&gt;=32,$A172&lt;=50)
    ),
    IFERROR(
      INDEX('Daily Sales'!$C:$AG,
        $A172,
        MATCH(TEXT($B172,"0"),TEXT('Daily Sales'!$C$2:$AG$2,"0"),0)
      ),
    ""),
  "")
)</f>
        <v/>
      </c>
      <c r="I172" s="138">
        <f t="array" ref="I172">IF($A172="","",
  IF(
    OR(
      AND($A172&gt;=4,$A172&lt;=8),
      AND($A172&gt;=12,$A172&lt;=19),
      AND($A172&gt;=28,$A172&lt;=29)
    ),
    IFERROR(
      INDEX('Daily Sales'!$C:$AG,
        $A172,
        MATCH(TEXT($B172,"0"),TEXT('Daily Sales'!$C$2:$AG$2,"0"),0)
      ),
    ""),
  "")
)</f>
        <v>1540000</v>
      </c>
      <c r="J172" s="79" t="e">
        <f t="shared" si="2"/>
        <v>#VALUE!</v>
      </c>
      <c r="K172" s="141"/>
      <c r="L172" s="81"/>
      <c r="M172" s="141"/>
      <c r="N172" s="133"/>
      <c r="O172" s="4"/>
      <c r="P172" s="4"/>
      <c r="Q172" s="4"/>
      <c r="R172" s="109"/>
      <c r="S172" s="109"/>
      <c r="T172" s="108"/>
      <c r="U172" s="110"/>
      <c r="V172" s="110"/>
      <c r="W172" s="110"/>
      <c r="X172" s="110"/>
    </row>
    <row r="173" spans="1:24" ht="13.5" customHeight="1">
      <c r="A173" s="110">
        <f>IF(E173="","",MATCH(E173,'Daily Sales'!B$4:B$51,0)+3)</f>
        <v>14</v>
      </c>
      <c r="B173" s="135">
        <v>46179</v>
      </c>
      <c r="C173" s="136" t="s">
        <v>96</v>
      </c>
      <c r="D173" s="137" t="str">
        <f t="array" ref="D173">IF($A173="","",INDEX('Daily Sales'!A:A,$A173))</f>
        <v>4-2100</v>
      </c>
      <c r="E173" s="138" t="s">
        <v>19</v>
      </c>
      <c r="F173" s="139" t="str">
        <f t="shared" si="1"/>
        <v>Sales Food CLUB</v>
      </c>
      <c r="G173" s="140"/>
      <c r="H173" s="138" t="str">
        <f t="array" ref="H173">IF($A173="","",
  IF(
    OR(
      $A173=23,
      AND($A173&gt;=32,$A173&lt;=50)
    ),
    IFERROR(
      INDEX('Daily Sales'!$C:$AG,
        $A173,
        MATCH(TEXT($B173,"0"),TEXT('Daily Sales'!$C$2:$AG$2,"0"),0)
      ),
    ""),
  "")
)</f>
        <v/>
      </c>
      <c r="I173" s="138">
        <f t="array" ref="I173">IF($A173="","",
  IF(
    OR(
      AND($A173&gt;=4,$A173&lt;=8),
      AND($A173&gt;=12,$A173&lt;=19),
      AND($A173&gt;=28,$A173&lt;=29)
    ),
    IFERROR(
      INDEX('Daily Sales'!$C:$AG,
        $A173,
        MATCH(TEXT($B173,"0"),TEXT('Daily Sales'!$C$2:$AG$2,"0"),0)
      ),
    ""),
  "")
)</f>
        <v>1490000</v>
      </c>
      <c r="J173" s="79" t="e">
        <f t="shared" si="2"/>
        <v>#VALUE!</v>
      </c>
      <c r="K173" s="141"/>
      <c r="L173" s="81"/>
      <c r="M173" s="141"/>
      <c r="N173" s="133"/>
      <c r="O173" s="4"/>
      <c r="P173" s="4"/>
      <c r="Q173" s="4"/>
      <c r="R173" s="109"/>
      <c r="S173" s="109"/>
      <c r="T173" s="108"/>
      <c r="U173" s="110"/>
      <c r="V173" s="110"/>
      <c r="W173" s="110"/>
      <c r="X173" s="110"/>
    </row>
    <row r="174" spans="1:24" ht="13.5" customHeight="1">
      <c r="A174" s="110">
        <f>IF(E174="","",MATCH(E174,'Daily Sales'!B$4:B$51,0)+3)</f>
        <v>15</v>
      </c>
      <c r="B174" s="135">
        <v>46179</v>
      </c>
      <c r="C174" s="136" t="s">
        <v>96</v>
      </c>
      <c r="D174" s="137" t="str">
        <f t="array" ref="D174">IF($A174="","",INDEX('Daily Sales'!A:A,$A174))</f>
        <v>4-2300</v>
      </c>
      <c r="E174" s="138" t="s">
        <v>20</v>
      </c>
      <c r="F174" s="139" t="str">
        <f t="shared" si="1"/>
        <v>Sales Shisa CLUB</v>
      </c>
      <c r="G174" s="140"/>
      <c r="H174" s="138" t="str">
        <f t="array" ref="H174">IF($A174="","",
  IF(
    OR(
      $A174=23,
      AND($A174&gt;=32,$A174&lt;=50)
    ),
    IFERROR(
      INDEX('Daily Sales'!$C:$AG,
        $A174,
        MATCH(TEXT($B174,"0"),TEXT('Daily Sales'!$C$2:$AG$2,"0"),0)
      ),
    ""),
  "")
)</f>
        <v/>
      </c>
      <c r="I174" s="138">
        <f t="array" ref="I174">IF($A174="","",
  IF(
    OR(
      AND($A174&gt;=4,$A174&lt;=8),
      AND($A174&gt;=12,$A174&lt;=19),
      AND($A174&gt;=28,$A174&lt;=29)
    ),
    IFERROR(
      INDEX('Daily Sales'!$C:$AG,
        $A174,
        MATCH(TEXT($B174,"0"),TEXT('Daily Sales'!$C$2:$AG$2,"0"),0)
      ),
    ""),
  "")
)</f>
        <v>750000</v>
      </c>
      <c r="J174" s="79" t="e">
        <f t="shared" si="2"/>
        <v>#VALUE!</v>
      </c>
      <c r="K174" s="141"/>
      <c r="L174" s="81"/>
      <c r="M174" s="141"/>
      <c r="N174" s="133"/>
      <c r="O174" s="4"/>
      <c r="P174" s="4"/>
      <c r="Q174" s="4"/>
      <c r="R174" s="109"/>
      <c r="S174" s="109"/>
      <c r="T174" s="108"/>
      <c r="U174" s="110"/>
      <c r="V174" s="110"/>
      <c r="W174" s="110"/>
      <c r="X174" s="110"/>
    </row>
    <row r="175" spans="1:24" ht="13.5" customHeight="1">
      <c r="A175" s="110">
        <f>IF(E175="","",MATCH(E175,'Daily Sales'!B$4:B$51,0)+3)</f>
        <v>17</v>
      </c>
      <c r="B175" s="135">
        <v>46179</v>
      </c>
      <c r="C175" s="136" t="s">
        <v>96</v>
      </c>
      <c r="D175" s="137" t="str">
        <f t="array" ref="D175">IF($A175="","",INDEX('Daily Sales'!A:A,$A175))</f>
        <v>4-2601</v>
      </c>
      <c r="E175" s="138" t="s">
        <v>23</v>
      </c>
      <c r="F175" s="139" t="str">
        <f t="shared" si="1"/>
        <v xml:space="preserve">Misc </v>
      </c>
      <c r="G175" s="140"/>
      <c r="H175" s="138" t="str">
        <f t="array" ref="H175">IF($A175="","",
  IF(
    OR(
      $A175=23,
      AND($A175&gt;=32,$A175&lt;=50)
    ),
    IFERROR(
      INDEX('Daily Sales'!$C:$AG,
        $A175,
        MATCH(TEXT($B175,"0"),TEXT('Daily Sales'!$C$2:$AG$2,"0"),0)
      ),
    ""),
  "")
)</f>
        <v/>
      </c>
      <c r="I175" s="138">
        <f t="array" ref="I175">IF($A175="","",
  IF(
    OR(
      AND($A175&gt;=4,$A175&lt;=8),
      AND($A175&gt;=12,$A175&lt;=19),
      AND($A175&gt;=28,$A175&lt;=29)
    ),
    IFERROR(
      INDEX('Daily Sales'!$C:$AG,
        $A175,
        MATCH(TEXT($B175,"0"),TEXT('Daily Sales'!$C$2:$AG$2,"0"),0)
      ),
    ""),
  "")
)</f>
        <v>0</v>
      </c>
      <c r="J175" s="79" t="e">
        <f t="shared" si="2"/>
        <v>#VALUE!</v>
      </c>
      <c r="K175" s="141"/>
      <c r="L175" s="81"/>
      <c r="M175" s="141"/>
      <c r="N175" s="133"/>
      <c r="O175" s="4"/>
      <c r="P175" s="4"/>
      <c r="Q175" s="4"/>
      <c r="R175" s="109"/>
      <c r="S175" s="109"/>
      <c r="T175" s="108"/>
      <c r="U175" s="110"/>
      <c r="V175" s="110"/>
      <c r="W175" s="110"/>
      <c r="X175" s="110"/>
    </row>
    <row r="176" spans="1:24" ht="13.5" customHeight="1">
      <c r="A176" s="110">
        <f>IF(E176="","",MATCH(E176,'Daily Sales'!B$4:B$51,0)+3)</f>
        <v>19</v>
      </c>
      <c r="B176" s="135">
        <v>46179</v>
      </c>
      <c r="C176" s="136" t="s">
        <v>96</v>
      </c>
      <c r="D176" s="137" t="str">
        <f t="array" ref="D176">IF($A176="","",INDEX('Daily Sales'!A:A,$A176))</f>
        <v>4-2500</v>
      </c>
      <c r="E176" s="138" t="s">
        <v>26</v>
      </c>
      <c r="F176" s="139" t="str">
        <f t="shared" si="1"/>
        <v>Sales Ticket</v>
      </c>
      <c r="G176" s="140"/>
      <c r="H176" s="138" t="str">
        <f t="array" ref="H176">IF($A176="","",
  IF(
    OR(
      $A176=23,
      AND($A176&gt;=32,$A176&lt;=50)
    ),
    IFERROR(
      INDEX('Daily Sales'!$C:$AG,
        $A176,
        MATCH(TEXT($B176,"0"),TEXT('Daily Sales'!$C$2:$AG$2,"0"),0)
      ),
    ""),
  "")
)</f>
        <v/>
      </c>
      <c r="I176" s="138">
        <f t="array" ref="I176">IF($A176="","",
  IF(
    OR(
      AND($A176&gt;=4,$A176&lt;=8),
      AND($A176&gt;=12,$A176&lt;=19),
      AND($A176&gt;=28,$A176&lt;=29)
    ),
    IFERROR(
      INDEX('Daily Sales'!$C:$AG,
        $A176,
        MATCH(TEXT($B176,"0"),TEXT('Daily Sales'!$C$2:$AG$2,"0"),0)
      ),
    ""),
  "")
)</f>
        <v>36321255</v>
      </c>
      <c r="J176" s="79" t="e">
        <f t="shared" si="2"/>
        <v>#VALUE!</v>
      </c>
      <c r="K176" s="141"/>
      <c r="L176" s="81"/>
      <c r="M176" s="141"/>
      <c r="N176" s="133"/>
      <c r="O176" s="4"/>
      <c r="P176" s="4"/>
      <c r="Q176" s="4"/>
      <c r="R176" s="109"/>
      <c r="S176" s="109"/>
      <c r="T176" s="108"/>
      <c r="U176" s="110"/>
      <c r="V176" s="110"/>
      <c r="W176" s="110"/>
      <c r="X176" s="110"/>
    </row>
    <row r="177" spans="1:24" ht="13.5" customHeight="1">
      <c r="A177" s="110">
        <f>IF(E177="","",MATCH(E177,'Daily Sales'!B$4:B$51,0)+3)</f>
        <v>28</v>
      </c>
      <c r="B177" s="135">
        <v>46179</v>
      </c>
      <c r="C177" s="136" t="s">
        <v>96</v>
      </c>
      <c r="D177" s="137" t="str">
        <f t="array" ref="D177">IF($A177="","",INDEX('Daily Sales'!A:A,$A177))</f>
        <v>2-2106</v>
      </c>
      <c r="E177" s="138" t="s">
        <v>35</v>
      </c>
      <c r="F177" s="139" t="str">
        <f t="shared" si="1"/>
        <v>Service Charges 7%</v>
      </c>
      <c r="G177" s="140"/>
      <c r="H177" s="138" t="str">
        <f t="array" ref="H177">IF($A177="","",
  IF(
    OR(
      $A177=23,
      AND($A177&gt;=32,$A177&lt;=50)
    ),
    IFERROR(
      INDEX('Daily Sales'!$C:$AG,
        $A177,
        MATCH(TEXT($B177,"0"),TEXT('Daily Sales'!$C$2:$AG$2,"0"),0)
      ),
    ""),
  "")
)</f>
        <v/>
      </c>
      <c r="I177" s="138">
        <f t="array" ref="I177">IF($A177="","",
  IF(
    OR(
      AND($A177&gt;=4,$A177&lt;=8),
      AND($A177&gt;=12,$A177&lt;=19),
      AND($A177&gt;=28,$A177&lt;=29)
    ),
    IFERROR(
      INDEX('Daily Sales'!$C:$AG,
        $A177,
        MATCH(TEXT($B177,"0"),TEXT('Daily Sales'!$C$2:$AG$2,"0"),0)
      ),
    ""),
  "")
)</f>
        <v>10084567.850000001</v>
      </c>
      <c r="J177" s="79" t="e">
        <f t="shared" si="2"/>
        <v>#VALUE!</v>
      </c>
      <c r="K177" s="141"/>
      <c r="L177" s="81"/>
      <c r="M177" s="141"/>
      <c r="N177" s="133"/>
      <c r="O177" s="4"/>
      <c r="P177" s="4"/>
      <c r="Q177" s="4"/>
      <c r="R177" s="109"/>
      <c r="S177" s="109"/>
      <c r="T177" s="108"/>
      <c r="U177" s="110"/>
      <c r="V177" s="110"/>
      <c r="W177" s="110"/>
      <c r="X177" s="110"/>
    </row>
    <row r="178" spans="1:24" ht="13.5" customHeight="1">
      <c r="A178" s="110">
        <f>IF(E178="","",MATCH(E178,'Daily Sales'!B$4:B$51,0)+3)</f>
        <v>29</v>
      </c>
      <c r="B178" s="135">
        <v>46179</v>
      </c>
      <c r="C178" s="136" t="s">
        <v>96</v>
      </c>
      <c r="D178" s="137" t="str">
        <f t="array" ref="D178">IF($A178="","",INDEX('Daily Sales'!A:A,$A178))</f>
        <v>2-3101</v>
      </c>
      <c r="E178" s="138" t="s">
        <v>37</v>
      </c>
      <c r="F178" s="139" t="str">
        <f t="shared" si="1"/>
        <v>Tax PB1 10%</v>
      </c>
      <c r="G178" s="140"/>
      <c r="H178" s="138" t="str">
        <f t="array" ref="H178">IF($A178="","",
  IF(
    OR(
      $A178=23,
      AND($A178&gt;=32,$A178&lt;=50)
    ),
    IFERROR(
      INDEX('Daily Sales'!$C:$AG,
        $A178,
        MATCH(TEXT($B178,"0"),TEXT('Daily Sales'!$C$2:$AG$2,"0"),0)
      ),
    ""),
  "")
)</f>
        <v/>
      </c>
      <c r="I178" s="138">
        <f t="array" ref="I178">IF($A178="","",
  IF(
    OR(
      AND($A178&gt;=4,$A178&lt;=8),
      AND($A178&gt;=12,$A178&lt;=19),
      AND($A178&gt;=28,$A178&lt;=29)
    ),
    IFERROR(
      INDEX('Daily Sales'!$C:$AG,
        $A178,
        MATCH(TEXT($B178,"0"),TEXT('Daily Sales'!$C$2:$AG$2,"0"),0)
      ),
    ""),
  "")
)</f>
        <v>15414982.285</v>
      </c>
      <c r="J178" s="79" t="e">
        <f t="shared" si="2"/>
        <v>#VALUE!</v>
      </c>
      <c r="K178" s="141"/>
      <c r="L178" s="81"/>
      <c r="M178" s="141"/>
      <c r="N178" s="133"/>
      <c r="O178" s="4"/>
      <c r="P178" s="4"/>
      <c r="Q178" s="4"/>
      <c r="R178" s="109"/>
      <c r="S178" s="109"/>
      <c r="T178" s="108"/>
      <c r="U178" s="110"/>
      <c r="V178" s="110"/>
      <c r="W178" s="110"/>
      <c r="X178" s="110"/>
    </row>
    <row r="179" spans="1:24" ht="13.5" customHeight="1">
      <c r="A179" s="110">
        <f>IF(E179="","",MATCH(E179,'Daily Sales'!B$4:B$51,0)+3)</f>
        <v>23</v>
      </c>
      <c r="B179" s="135">
        <v>46179</v>
      </c>
      <c r="C179" s="136" t="s">
        <v>96</v>
      </c>
      <c r="D179" s="137" t="str">
        <f t="array" ref="D179">IF($A179="","",INDEX('Daily Sales'!A:A,$A179))</f>
        <v>4-5110</v>
      </c>
      <c r="E179" s="138" t="s">
        <v>30</v>
      </c>
      <c r="F179" s="139" t="str">
        <f t="shared" si="1"/>
        <v>Discount</v>
      </c>
      <c r="G179" s="140"/>
      <c r="H179" s="138">
        <f t="array" ref="H179">IF($A179="","",
  IF(
    OR(
      $A179=23,
      AND($A179&gt;=32,$A179&lt;=50)
    ),
    IFERROR(
      INDEX('Daily Sales'!$C:$AG,
        $A179,
        MATCH(TEXT($B179,"0"),TEXT('Daily Sales'!$C$2:$AG$2,"0"),0)
      ),
    ""),
  "")
)</f>
        <v>2866000</v>
      </c>
      <c r="I179" s="138" t="str">
        <f t="array" ref="I179">IF($A179="","",
  IF(
    OR(
      AND($A179&gt;=4,$A179&lt;=8),
      AND($A179&gt;=12,$A179&lt;=19),
      AND($A179&gt;=28,$A179&lt;=29)
    ),
    IFERROR(
      INDEX('Daily Sales'!$C:$AG,
        $A179,
        MATCH(TEXT($B179,"0"),TEXT('Daily Sales'!$C$2:$AG$2,"0"),0)
      ),
    ""),
  "")
)</f>
        <v/>
      </c>
      <c r="J179" s="79" t="e">
        <f t="shared" si="2"/>
        <v>#VALUE!</v>
      </c>
      <c r="K179" s="141"/>
      <c r="L179" s="81"/>
      <c r="M179" s="141"/>
      <c r="N179" s="133"/>
      <c r="O179" s="4"/>
      <c r="P179" s="4"/>
      <c r="Q179" s="4"/>
      <c r="R179" s="109"/>
      <c r="S179" s="109"/>
      <c r="T179" s="108"/>
      <c r="U179" s="110"/>
      <c r="V179" s="110"/>
      <c r="W179" s="110"/>
      <c r="X179" s="110"/>
    </row>
    <row r="180" spans="1:24" ht="13.5" customHeight="1">
      <c r="A180" s="110">
        <f>IF(E180="","",MATCH(E180,'Daily Sales'!B$4:B$51,0)+3)</f>
        <v>32</v>
      </c>
      <c r="B180" s="135">
        <v>46179</v>
      </c>
      <c r="C180" s="136" t="s">
        <v>96</v>
      </c>
      <c r="D180" s="137" t="str">
        <f t="array" ref="D180">IF($A180="","",INDEX('Daily Sales'!A:A,$A180))</f>
        <v>1-1119</v>
      </c>
      <c r="E180" s="138" t="s">
        <v>40</v>
      </c>
      <c r="F180" s="139" t="str">
        <f t="shared" si="1"/>
        <v>Cash IDR</v>
      </c>
      <c r="G180" s="140"/>
      <c r="H180" s="138">
        <f t="array" ref="H180">IF($A180="","",
  IF(
    OR(
      $A180=23,
      AND($A180&gt;=32,$A180&lt;=50)
    ),
    IFERROR(
      INDEX('Daily Sales'!$C:$AG,
        $A180,
        MATCH(TEXT($B180,"0"),TEXT('Daily Sales'!$C$2:$AG$2,"0"),0)
      ),
    ""),
  "")
)</f>
        <v>18648462</v>
      </c>
      <c r="I180" s="138" t="str">
        <f t="array" ref="I180">IF($A180="","",
  IF(
    OR(
      AND($A180&gt;=4,$A180&lt;=8),
      AND($A180&gt;=12,$A180&lt;=19),
      AND($A180&gt;=28,$A180&lt;=29)
    ),
    IFERROR(
      INDEX('Daily Sales'!$C:$AG,
        $A180,
        MATCH(TEXT($B180,"0"),TEXT('Daily Sales'!$C$2:$AG$2,"0"),0)
      ),
    ""),
  "")
)</f>
        <v/>
      </c>
      <c r="J180" s="79" t="e">
        <f t="shared" si="2"/>
        <v>#VALUE!</v>
      </c>
      <c r="K180" s="141"/>
      <c r="L180" s="81"/>
      <c r="M180" s="141"/>
      <c r="N180" s="133"/>
      <c r="O180" s="4"/>
      <c r="P180" s="4"/>
      <c r="Q180" s="4"/>
      <c r="R180" s="109"/>
      <c r="S180" s="109"/>
      <c r="T180" s="108"/>
      <c r="U180" s="110"/>
      <c r="V180" s="110"/>
      <c r="W180" s="110"/>
      <c r="X180" s="110"/>
    </row>
    <row r="181" spans="1:24" ht="13.5" customHeight="1">
      <c r="A181" s="110">
        <f>IF(E181="","",MATCH(E181,'Daily Sales'!B$4:B$51,0)+3)</f>
        <v>33</v>
      </c>
      <c r="B181" s="135">
        <v>46179</v>
      </c>
      <c r="C181" s="136" t="s">
        <v>96</v>
      </c>
      <c r="D181" s="137" t="str">
        <f t="array" ref="D181">IF($A181="","",INDEX('Daily Sales'!A:A,$A181))</f>
        <v>1-1217</v>
      </c>
      <c r="E181" s="138" t="s">
        <v>43</v>
      </c>
      <c r="F181" s="139" t="str">
        <f t="shared" si="1"/>
        <v>Bank transfer</v>
      </c>
      <c r="G181" s="140"/>
      <c r="H181" s="138">
        <f t="array" ref="H181">IF($A181="","",
  IF(
    OR(
      $A181=23,
      AND($A181&gt;=32,$A181&lt;=50)
    ),
    IFERROR(
      INDEX('Daily Sales'!$C:$AG,
        $A181,
        MATCH(TEXT($B181,"0"),TEXT('Daily Sales'!$C$2:$AG$2,"0"),0)
      ),
    ""),
  "")
)</f>
        <v>8000000</v>
      </c>
      <c r="I181" s="138" t="str">
        <f t="array" ref="I181">IF($A181="","",
  IF(
    OR(
      AND($A181&gt;=4,$A181&lt;=8),
      AND($A181&gt;=12,$A181&lt;=19),
      AND($A181&gt;=28,$A181&lt;=29)
    ),
    IFERROR(
      INDEX('Daily Sales'!$C:$AG,
        $A181,
        MATCH(TEXT($B181,"0"),TEXT('Daily Sales'!$C$2:$AG$2,"0"),0)
      ),
    ""),
  "")
)</f>
        <v/>
      </c>
      <c r="J181" s="79" t="e">
        <f t="shared" si="2"/>
        <v>#VALUE!</v>
      </c>
      <c r="K181" s="141"/>
      <c r="L181" s="81"/>
      <c r="M181" s="141"/>
      <c r="N181" s="133"/>
      <c r="O181" s="4"/>
      <c r="P181" s="4"/>
      <c r="Q181" s="4"/>
      <c r="R181" s="109"/>
      <c r="S181" s="109"/>
      <c r="T181" s="108"/>
      <c r="U181" s="110"/>
      <c r="V181" s="110"/>
      <c r="W181" s="110"/>
      <c r="X181" s="110"/>
    </row>
    <row r="182" spans="1:24" ht="13.5" customHeight="1">
      <c r="A182" s="110">
        <f>IF(E182="","",MATCH(E182,'Daily Sales'!B$4:B$51,0)+3)</f>
        <v>35</v>
      </c>
      <c r="B182" s="135">
        <v>46179</v>
      </c>
      <c r="C182" s="136" t="s">
        <v>96</v>
      </c>
      <c r="D182" s="137" t="str">
        <f t="array" ref="D182">IF($A182="","",INDEX('Daily Sales'!A:A,$A182))</f>
        <v>1-1216</v>
      </c>
      <c r="E182" s="138" t="s">
        <v>46</v>
      </c>
      <c r="F182" s="139" t="str">
        <f t="shared" si="1"/>
        <v>Cim Niaga TBB</v>
      </c>
      <c r="G182" s="140"/>
      <c r="H182" s="138">
        <f t="array" ref="H182">IF($A182="","",
  IF(
    OR(
      $A182=23,
      AND($A182&gt;=32,$A182&lt;=50)
    ),
    IFERROR(
      INDEX('Daily Sales'!$C:$AG,
        $A182,
        MATCH(TEXT($B182,"0"),TEXT('Daily Sales'!$C$2:$AG$2,"0"),0)
      ),
    ""),
  "")
)</f>
        <v>23967805</v>
      </c>
      <c r="I182" s="138" t="str">
        <f t="array" ref="I182">IF($A182="","",
  IF(
    OR(
      AND($A182&gt;=4,$A182&lt;=8),
      AND($A182&gt;=12,$A182&lt;=19),
      AND($A182&gt;=28,$A182&lt;=29)
    ),
    IFERROR(
      INDEX('Daily Sales'!$C:$AG,
        $A182,
        MATCH(TEXT($B182,"0"),TEXT('Daily Sales'!$C$2:$AG$2,"0"),0)
      ),
    ""),
  "")
)</f>
        <v/>
      </c>
      <c r="J182" s="79" t="e">
        <f t="shared" si="2"/>
        <v>#VALUE!</v>
      </c>
      <c r="K182" s="141"/>
      <c r="L182" s="81"/>
      <c r="M182" s="141"/>
      <c r="N182" s="133"/>
      <c r="O182" s="4"/>
      <c r="P182" s="4"/>
      <c r="Q182" s="4"/>
      <c r="R182" s="109"/>
      <c r="S182" s="109"/>
      <c r="T182" s="108"/>
      <c r="U182" s="110"/>
      <c r="V182" s="110"/>
      <c r="W182" s="110"/>
      <c r="X182" s="110"/>
    </row>
    <row r="183" spans="1:24" ht="13.5" customHeight="1">
      <c r="A183" s="110">
        <f>IF(E183="","",MATCH(E183,'Daily Sales'!B$4:B$51,0)+3)</f>
        <v>36</v>
      </c>
      <c r="B183" s="135">
        <v>46179</v>
      </c>
      <c r="C183" s="136" t="s">
        <v>96</v>
      </c>
      <c r="D183" s="137" t="str">
        <f t="array" ref="D183">IF($A183="","",INDEX('Daily Sales'!A:A,$A183))</f>
        <v>1-1213</v>
      </c>
      <c r="E183" s="138" t="s">
        <v>49</v>
      </c>
      <c r="F183" s="139" t="str">
        <f t="shared" si="1"/>
        <v>Mandiri Debet</v>
      </c>
      <c r="G183" s="140"/>
      <c r="H183" s="138">
        <f t="array" ref="H183">IF($A183="","",
  IF(
    OR(
      $A183=23,
      AND($A183&gt;=32,$A183&lt;=50)
    ),
    IFERROR(
      INDEX('Daily Sales'!$C:$AG,
        $A183,
        MATCH(TEXT($B183,"0"),TEXT('Daily Sales'!$C$2:$AG$2,"0"),0)
      ),
    ""),
  "")
)</f>
        <v>1000000</v>
      </c>
      <c r="I183" s="138" t="str">
        <f t="array" ref="I183">IF($A183="","",
  IF(
    OR(
      AND($A183&gt;=4,$A183&lt;=8),
      AND($A183&gt;=12,$A183&lt;=19),
      AND($A183&gt;=28,$A183&lt;=29)
    ),
    IFERROR(
      INDEX('Daily Sales'!$C:$AG,
        $A183,
        MATCH(TEXT($B183,"0"),TEXT('Daily Sales'!$C$2:$AG$2,"0"),0)
      ),
    ""),
  "")
)</f>
        <v/>
      </c>
      <c r="J183" s="79" t="e">
        <f t="shared" si="2"/>
        <v>#VALUE!</v>
      </c>
      <c r="K183" s="141"/>
      <c r="L183" s="81"/>
      <c r="M183" s="141"/>
      <c r="N183" s="133"/>
      <c r="O183" s="4"/>
      <c r="P183" s="4"/>
      <c r="Q183" s="4"/>
      <c r="R183" s="109"/>
      <c r="S183" s="109"/>
      <c r="T183" s="108"/>
      <c r="U183" s="110"/>
      <c r="V183" s="110"/>
      <c r="W183" s="110"/>
      <c r="X183" s="110"/>
    </row>
    <row r="184" spans="1:24" ht="13.5" customHeight="1">
      <c r="A184" s="110">
        <f>IF(E184="","",MATCH(E184,'Daily Sales'!B$4:B$51,0)+3)</f>
        <v>37</v>
      </c>
      <c r="B184" s="135">
        <v>46179</v>
      </c>
      <c r="C184" s="136" t="s">
        <v>96</v>
      </c>
      <c r="D184" s="137" t="str">
        <f t="array" ref="D184">IF($A184="","",INDEX('Daily Sales'!A:A,$A184))</f>
        <v>1-1213</v>
      </c>
      <c r="E184" s="138" t="s">
        <v>50</v>
      </c>
      <c r="F184" s="139" t="str">
        <f t="shared" si="1"/>
        <v>Mandiri CC</v>
      </c>
      <c r="G184" s="140"/>
      <c r="H184" s="138">
        <f t="array" ref="H184">IF($A184="","",
  IF(
    OR(
      $A184=23,
      AND($A184&gt;=32,$A184&lt;=50)
    ),
    IFERROR(
      INDEX('Daily Sales'!$C:$AG,
        $A184,
        MATCH(TEXT($B184,"0"),TEXT('Daily Sales'!$C$2:$AG$2,"0"),0)
      ),
    ""),
  "")
)</f>
        <v>58769985</v>
      </c>
      <c r="I184" s="138" t="str">
        <f t="array" ref="I184">IF($A184="","",
  IF(
    OR(
      AND($A184&gt;=4,$A184&lt;=8),
      AND($A184&gt;=12,$A184&lt;=19),
      AND($A184&gt;=28,$A184&lt;=29)
    ),
    IFERROR(
      INDEX('Daily Sales'!$C:$AG,
        $A184,
        MATCH(TEXT($B184,"0"),TEXT('Daily Sales'!$C$2:$AG$2,"0"),0)
      ),
    ""),
  "")
)</f>
        <v/>
      </c>
      <c r="J184" s="79" t="e">
        <f t="shared" si="2"/>
        <v>#VALUE!</v>
      </c>
      <c r="K184" s="141"/>
      <c r="L184" s="81"/>
      <c r="M184" s="141"/>
      <c r="N184" s="133"/>
      <c r="O184" s="4"/>
      <c r="P184" s="4"/>
      <c r="Q184" s="4"/>
      <c r="R184" s="109"/>
      <c r="S184" s="109"/>
      <c r="T184" s="108"/>
      <c r="U184" s="110"/>
      <c r="V184" s="110"/>
      <c r="W184" s="110"/>
      <c r="X184" s="110"/>
    </row>
    <row r="185" spans="1:24" ht="13.5" customHeight="1">
      <c r="A185" s="110">
        <f>IF(E185="","",MATCH(E185,'Daily Sales'!B$4:B$51,0)+3)</f>
        <v>38</v>
      </c>
      <c r="B185" s="135">
        <v>46179</v>
      </c>
      <c r="C185" s="136" t="s">
        <v>96</v>
      </c>
      <c r="D185" s="137" t="str">
        <f t="array" ref="D185">IF($A185="","",INDEX('Daily Sales'!A:A,$A185))</f>
        <v>1-1213</v>
      </c>
      <c r="E185" s="138" t="s">
        <v>51</v>
      </c>
      <c r="F185" s="139" t="str">
        <f t="shared" si="1"/>
        <v>Mandiri NPG</v>
      </c>
      <c r="G185" s="140"/>
      <c r="H185" s="138">
        <f t="array" ref="H185">IF($A185="","",
  IF(
    OR(
      $A185=23,
      AND($A185&gt;=32,$A185&lt;=50)
    ),
    IFERROR(
      INDEX('Daily Sales'!$C:$AG,
        $A185,
        MATCH(TEXT($B185,"0"),TEXT('Daily Sales'!$C$2:$AG$2,"0"),0)
      ),
    ""),
  "")
)</f>
        <v>5641915</v>
      </c>
      <c r="I185" s="138" t="str">
        <f t="array" ref="I185">IF($A185="","",
  IF(
    OR(
      AND($A185&gt;=4,$A185&lt;=8),
      AND($A185&gt;=12,$A185&lt;=19),
      AND($A185&gt;=28,$A185&lt;=29)
    ),
    IFERROR(
      INDEX('Daily Sales'!$C:$AG,
        $A185,
        MATCH(TEXT($B185,"0"),TEXT('Daily Sales'!$C$2:$AG$2,"0"),0)
      ),
    ""),
  "")
)</f>
        <v/>
      </c>
      <c r="J185" s="79" t="e">
        <f t="shared" si="2"/>
        <v>#VALUE!</v>
      </c>
      <c r="K185" s="141"/>
      <c r="L185" s="81"/>
      <c r="M185" s="141"/>
      <c r="N185" s="133"/>
      <c r="O185" s="4"/>
      <c r="P185" s="4"/>
      <c r="Q185" s="4"/>
      <c r="R185" s="109"/>
      <c r="S185" s="109"/>
      <c r="T185" s="108"/>
      <c r="U185" s="110"/>
      <c r="V185" s="110"/>
      <c r="W185" s="110"/>
      <c r="X185" s="110"/>
    </row>
    <row r="186" spans="1:24" ht="13.5" customHeight="1">
      <c r="A186" s="110">
        <f>IF(E186="","",MATCH(E186,'Daily Sales'!B$4:B$51,0)+3)</f>
        <v>39</v>
      </c>
      <c r="B186" s="135">
        <v>46179</v>
      </c>
      <c r="C186" s="136" t="s">
        <v>96</v>
      </c>
      <c r="D186" s="137" t="str">
        <f t="array" ref="D186">IF($A186="","",INDEX('Daily Sales'!A:A,$A186))</f>
        <v>1-1213</v>
      </c>
      <c r="E186" s="138" t="s">
        <v>52</v>
      </c>
      <c r="F186" s="139" t="str">
        <f t="shared" si="1"/>
        <v>Mandiri QR</v>
      </c>
      <c r="G186" s="140"/>
      <c r="H186" s="138">
        <f t="array" ref="H186">IF($A186="","",
  IF(
    OR(
      $A186=23,
      AND($A186&gt;=32,$A186&lt;=50)
    ),
    IFERROR(
      INDEX('Daily Sales'!$C:$AG,
        $A186,
        MATCH(TEXT($B186,"0"),TEXT('Daily Sales'!$C$2:$AG$2,"0"),0)
      ),
    ""),
  "")
)</f>
        <v>20328480</v>
      </c>
      <c r="I186" s="138" t="str">
        <f t="array" ref="I186">IF($A186="","",
  IF(
    OR(
      AND($A186&gt;=4,$A186&lt;=8),
      AND($A186&gt;=12,$A186&lt;=19),
      AND($A186&gt;=28,$A186&lt;=29)
    ),
    IFERROR(
      INDEX('Daily Sales'!$C:$AG,
        $A186,
        MATCH(TEXT($B186,"0"),TEXT('Daily Sales'!$C$2:$AG$2,"0"),0)
      ),
    ""),
  "")
)</f>
        <v/>
      </c>
      <c r="J186" s="79" t="e">
        <f t="shared" si="2"/>
        <v>#VALUE!</v>
      </c>
      <c r="K186" s="141"/>
      <c r="L186" s="81"/>
      <c r="M186" s="141"/>
      <c r="N186" s="133"/>
      <c r="O186" s="4"/>
      <c r="P186" s="4"/>
      <c r="Q186" s="4"/>
      <c r="R186" s="109"/>
      <c r="S186" s="109"/>
      <c r="T186" s="108"/>
      <c r="U186" s="110"/>
      <c r="V186" s="110"/>
      <c r="W186" s="110"/>
      <c r="X186" s="110"/>
    </row>
    <row r="187" spans="1:24" ht="13.5" customHeight="1">
      <c r="A187" s="110">
        <f>IF(E187="","",MATCH(E187,'Daily Sales'!B$4:B$51,0)+3)</f>
        <v>40</v>
      </c>
      <c r="B187" s="135">
        <v>46179</v>
      </c>
      <c r="C187" s="136" t="s">
        <v>96</v>
      </c>
      <c r="D187" s="137" t="str">
        <f t="array" ref="D187">IF($A187="","",INDEX('Daily Sales'!A:A,$A187))</f>
        <v>1-1217</v>
      </c>
      <c r="E187" s="138" t="s">
        <v>54</v>
      </c>
      <c r="F187" s="139" t="str">
        <f t="shared" si="1"/>
        <v>BCA CC</v>
      </c>
      <c r="G187" s="140"/>
      <c r="H187" s="138">
        <f t="array" ref="H187">IF($A187="","",
  IF(
    OR(
      $A187=23,
      AND($A187&gt;=32,$A187&lt;=50)
    ),
    IFERROR(
      INDEX('Daily Sales'!$C:$AG,
        $A187,
        MATCH(TEXT($B187,"0"),TEXT('Daily Sales'!$C$2:$AG$2,"0"),0)
      ),
    ""),
  "")
)</f>
        <v>16559213</v>
      </c>
      <c r="I187" s="138" t="str">
        <f t="array" ref="I187">IF($A187="","",
  IF(
    OR(
      AND($A187&gt;=4,$A187&lt;=8),
      AND($A187&gt;=12,$A187&lt;=19),
      AND($A187&gt;=28,$A187&lt;=29)
    ),
    IFERROR(
      INDEX('Daily Sales'!$C:$AG,
        $A187,
        MATCH(TEXT($B187,"0"),TEXT('Daily Sales'!$C$2:$AG$2,"0"),0)
      ),
    ""),
  "")
)</f>
        <v/>
      </c>
      <c r="J187" s="79" t="e">
        <f t="shared" si="2"/>
        <v>#VALUE!</v>
      </c>
      <c r="K187" s="141"/>
      <c r="L187" s="81"/>
      <c r="M187" s="141"/>
      <c r="N187" s="133"/>
      <c r="O187" s="4"/>
      <c r="P187" s="4"/>
      <c r="Q187" s="4"/>
      <c r="R187" s="109"/>
      <c r="S187" s="109"/>
      <c r="T187" s="108"/>
      <c r="U187" s="110"/>
      <c r="V187" s="110"/>
      <c r="W187" s="110"/>
      <c r="X187" s="110"/>
    </row>
    <row r="188" spans="1:24" ht="13.5" customHeight="1">
      <c r="A188" s="110">
        <f>IF(E188="","",MATCH(E188,'Daily Sales'!B$4:B$51,0)+3)</f>
        <v>41</v>
      </c>
      <c r="B188" s="135">
        <v>46179</v>
      </c>
      <c r="C188" s="136" t="s">
        <v>96</v>
      </c>
      <c r="D188" s="137" t="str">
        <f t="array" ref="D188">IF($A188="","",INDEX('Daily Sales'!A:A,$A188))</f>
        <v>1-1217</v>
      </c>
      <c r="E188" s="138" t="s">
        <v>55</v>
      </c>
      <c r="F188" s="139" t="str">
        <f t="shared" si="1"/>
        <v>BCA debt</v>
      </c>
      <c r="G188" s="140"/>
      <c r="H188" s="138">
        <f t="array" ref="H188">IF($A188="","",
  IF(
    OR(
      $A188=23,
      AND($A188&gt;=32,$A188&lt;=50)
    ),
    IFERROR(
      INDEX('Daily Sales'!$C:$AG,
        $A188,
        MATCH(TEXT($B188,"0"),TEXT('Daily Sales'!$C$2:$AG$2,"0"),0)
      ),
    ""),
  "")
)</f>
        <v>3236750</v>
      </c>
      <c r="I188" s="138" t="str">
        <f t="array" ref="I188">IF($A188="","",
  IF(
    OR(
      AND($A188&gt;=4,$A188&lt;=8),
      AND($A188&gt;=12,$A188&lt;=19),
      AND($A188&gt;=28,$A188&lt;=29)
    ),
    IFERROR(
      INDEX('Daily Sales'!$C:$AG,
        $A188,
        MATCH(TEXT($B188,"0"),TEXT('Daily Sales'!$C$2:$AG$2,"0"),0)
      ),
    ""),
  "")
)</f>
        <v/>
      </c>
      <c r="J188" s="79" t="e">
        <f t="shared" si="2"/>
        <v>#VALUE!</v>
      </c>
      <c r="K188" s="141"/>
      <c r="L188" s="81"/>
      <c r="M188" s="141"/>
      <c r="N188" s="133"/>
      <c r="O188" s="4"/>
      <c r="P188" s="4"/>
      <c r="Q188" s="4"/>
      <c r="R188" s="109"/>
      <c r="S188" s="109"/>
      <c r="T188" s="108"/>
      <c r="U188" s="110"/>
      <c r="V188" s="110"/>
      <c r="W188" s="110"/>
      <c r="X188" s="110"/>
    </row>
    <row r="189" spans="1:24" ht="13.5" customHeight="1">
      <c r="A189" s="110">
        <f>IF(E189="","",MATCH(E189,'Daily Sales'!B$4:B$51,0)+3)</f>
        <v>42</v>
      </c>
      <c r="B189" s="135">
        <v>46179</v>
      </c>
      <c r="C189" s="136" t="s">
        <v>96</v>
      </c>
      <c r="D189" s="137" t="str">
        <f t="array" ref="D189">IF($A189="","",INDEX('Daily Sales'!A:A,$A189))</f>
        <v>1-1217</v>
      </c>
      <c r="E189" s="138" t="s">
        <v>56</v>
      </c>
      <c r="F189" s="139" t="str">
        <f t="shared" si="1"/>
        <v>BCA QR</v>
      </c>
      <c r="G189" s="140"/>
      <c r="H189" s="138">
        <f t="array" ref="H189">IF($A189="","",
  IF(
    OR(
      $A189=23,
      AND($A189&gt;=32,$A189&lt;=50)
    ),
    IFERROR(
      INDEX('Daily Sales'!$C:$AG,
        $A189,
        MATCH(TEXT($B189,"0"),TEXT('Daily Sales'!$C$2:$AG$2,"0"),0)
      ),
    ""),
  "")
)</f>
        <v>13332883</v>
      </c>
      <c r="I189" s="138" t="str">
        <f t="array" ref="I189">IF($A189="","",
  IF(
    OR(
      AND($A189&gt;=4,$A189&lt;=8),
      AND($A189&gt;=12,$A189&lt;=19),
      AND($A189&gt;=28,$A189&lt;=29)
    ),
    IFERROR(
      INDEX('Daily Sales'!$C:$AG,
        $A189,
        MATCH(TEXT($B189,"0"),TEXT('Daily Sales'!$C$2:$AG$2,"0"),0)
      ),
    ""),
  "")
)</f>
        <v/>
      </c>
      <c r="J189" s="79" t="e">
        <f t="shared" si="2"/>
        <v>#VALUE!</v>
      </c>
      <c r="K189" s="141"/>
      <c r="L189" s="81"/>
      <c r="M189" s="141"/>
      <c r="N189" s="133"/>
      <c r="O189" s="4"/>
      <c r="P189" s="4"/>
      <c r="Q189" s="4"/>
      <c r="R189" s="109"/>
      <c r="S189" s="109"/>
      <c r="T189" s="108"/>
      <c r="U189" s="110"/>
      <c r="V189" s="110"/>
      <c r="W189" s="110"/>
      <c r="X189" s="110"/>
    </row>
    <row r="190" spans="1:24" ht="13.5" customHeight="1">
      <c r="A190" s="110">
        <f>IF(E190="","",MATCH(E190,'Daily Sales'!B$4:B$51,0)+3)</f>
        <v>43</v>
      </c>
      <c r="B190" s="135">
        <v>46179</v>
      </c>
      <c r="C190" s="136" t="s">
        <v>96</v>
      </c>
      <c r="D190" s="137" t="str">
        <f t="array" ref="D190">IF($A190="","",INDEX('Daily Sales'!A:A,$A190))</f>
        <v>1-1214</v>
      </c>
      <c r="E190" s="138" t="s">
        <v>59</v>
      </c>
      <c r="F190" s="139" t="str">
        <f t="shared" si="1"/>
        <v>Bank BRI DEBET</v>
      </c>
      <c r="G190" s="140"/>
      <c r="H190" s="138">
        <f t="array" ref="H190">IF($A190="","",
  IF(
    OR(
      $A190=23,
      AND($A190&gt;=32,$A190&lt;=50)
    ),
    IFERROR(
      INDEX('Daily Sales'!$C:$AG,
        $A190,
        MATCH(TEXT($B190,"0"),TEXT('Daily Sales'!$C$2:$AG$2,"0"),0)
      ),
    ""),
  "")
)</f>
        <v>0</v>
      </c>
      <c r="I190" s="138" t="str">
        <f t="array" ref="I190">IF($A190="","",
  IF(
    OR(
      AND($A190&gt;=4,$A190&lt;=8),
      AND($A190&gt;=12,$A190&lt;=19),
      AND($A190&gt;=28,$A190&lt;=29)
    ),
    IFERROR(
      INDEX('Daily Sales'!$C:$AG,
        $A190,
        MATCH(TEXT($B190,"0"),TEXT('Daily Sales'!$C$2:$AG$2,"0"),0)
      ),
    ""),
  "")
)</f>
        <v/>
      </c>
      <c r="J190" s="79" t="e">
        <f t="shared" si="2"/>
        <v>#VALUE!</v>
      </c>
      <c r="K190" s="141"/>
      <c r="L190" s="81"/>
      <c r="M190" s="141"/>
      <c r="N190" s="133"/>
      <c r="O190" s="4"/>
      <c r="P190" s="4"/>
      <c r="Q190" s="4"/>
      <c r="R190" s="109"/>
      <c r="S190" s="109"/>
      <c r="T190" s="108"/>
      <c r="U190" s="110"/>
      <c r="V190" s="110"/>
      <c r="W190" s="110"/>
      <c r="X190" s="110"/>
    </row>
    <row r="191" spans="1:24" ht="13.5" customHeight="1">
      <c r="A191" s="110">
        <f>IF(E191="","",MATCH(E191,'Daily Sales'!B$4:B$51,0)+3)</f>
        <v>44</v>
      </c>
      <c r="B191" s="135">
        <v>46179</v>
      </c>
      <c r="C191" s="136" t="s">
        <v>96</v>
      </c>
      <c r="D191" s="137" t="str">
        <f t="array" ref="D191">IF($A191="","",INDEX('Daily Sales'!A:A,$A191))</f>
        <v>1-1214</v>
      </c>
      <c r="E191" s="138" t="s">
        <v>60</v>
      </c>
      <c r="F191" s="139" t="str">
        <f t="shared" si="1"/>
        <v>Bank BRI CC</v>
      </c>
      <c r="G191" s="140"/>
      <c r="H191" s="138">
        <f t="array" ref="H191">IF($A191="","",
  IF(
    OR(
      $A191=23,
      AND($A191&gt;=32,$A191&lt;=50)
    ),
    IFERROR(
      INDEX('Daily Sales'!$C:$AG,
        $A191,
        MATCH(TEXT($B191,"0"),TEXT('Daily Sales'!$C$2:$AG$2,"0"),0)
      ),
    ""),
  "")
)</f>
        <v>476685</v>
      </c>
      <c r="I191" s="138" t="str">
        <f t="array" ref="I191">IF($A191="","",
  IF(
    OR(
      AND($A191&gt;=4,$A191&lt;=8),
      AND($A191&gt;=12,$A191&lt;=19),
      AND($A191&gt;=28,$A191&lt;=29)
    ),
    IFERROR(
      INDEX('Daily Sales'!$C:$AG,
        $A191,
        MATCH(TEXT($B191,"0"),TEXT('Daily Sales'!$C$2:$AG$2,"0"),0)
      ),
    ""),
  "")
)</f>
        <v/>
      </c>
      <c r="J191" s="79" t="e">
        <f t="shared" si="2"/>
        <v>#VALUE!</v>
      </c>
      <c r="K191" s="141"/>
      <c r="L191" s="81"/>
      <c r="M191" s="141"/>
      <c r="N191" s="133"/>
      <c r="O191" s="4"/>
      <c r="P191" s="4"/>
      <c r="Q191" s="4"/>
      <c r="R191" s="109"/>
      <c r="S191" s="109"/>
      <c r="T191" s="108"/>
      <c r="U191" s="110"/>
      <c r="V191" s="110"/>
      <c r="W191" s="110"/>
      <c r="X191" s="110"/>
    </row>
    <row r="192" spans="1:24" ht="13.5" customHeight="1">
      <c r="A192" s="110">
        <f>IF(E192="","",MATCH(E192,'Daily Sales'!B$4:B$51,0)+3)</f>
        <v>45</v>
      </c>
      <c r="B192" s="135">
        <v>46179</v>
      </c>
      <c r="C192" s="136" t="s">
        <v>96</v>
      </c>
      <c r="D192" s="137" t="str">
        <f t="array" ref="D192">IF($A192="","",INDEX('Daily Sales'!A:A,$A192))</f>
        <v>1-1214</v>
      </c>
      <c r="E192" s="138" t="s">
        <v>61</v>
      </c>
      <c r="F192" s="139" t="str">
        <f t="shared" si="1"/>
        <v>Bank BRI QR</v>
      </c>
      <c r="G192" s="140"/>
      <c r="H192" s="138">
        <f t="array" ref="H192">IF($A192="","",
  IF(
    OR(
      $A192=23,
      AND($A192&gt;=32,$A192&lt;=50)
    ),
    IFERROR(
      INDEX('Daily Sales'!$C:$AG,
        $A192,
        MATCH(TEXT($B192,"0"),TEXT('Daily Sales'!$C$2:$AG$2,"0"),0)
      ),
    ""),
  "")
)</f>
        <v>0</v>
      </c>
      <c r="I192" s="138" t="str">
        <f t="array" ref="I192">IF($A192="","",
  IF(
    OR(
      AND($A192&gt;=4,$A192&lt;=8),
      AND($A192&gt;=12,$A192&lt;=19),
      AND($A192&gt;=28,$A192&lt;=29)
    ),
    IFERROR(
      INDEX('Daily Sales'!$C:$AG,
        $A192,
        MATCH(TEXT($B192,"0"),TEXT('Daily Sales'!$C$2:$AG$2,"0"),0)
      ),
    ""),
  "")
)</f>
        <v/>
      </c>
      <c r="J192" s="79" t="e">
        <f t="shared" si="2"/>
        <v>#VALUE!</v>
      </c>
      <c r="K192" s="141"/>
      <c r="L192" s="81"/>
      <c r="M192" s="141"/>
      <c r="N192" s="133"/>
      <c r="O192" s="4"/>
      <c r="P192" s="4"/>
      <c r="Q192" s="4"/>
      <c r="R192" s="109"/>
      <c r="S192" s="109"/>
      <c r="T192" s="108"/>
      <c r="U192" s="110"/>
      <c r="V192" s="110"/>
      <c r="W192" s="110"/>
      <c r="X192" s="110"/>
    </row>
    <row r="193" spans="1:24" ht="13.5" customHeight="1">
      <c r="A193" s="110">
        <f>IF(E193="","",MATCH(E193,'Daily Sales'!B$4:B$51,0)+3)</f>
        <v>46</v>
      </c>
      <c r="B193" s="135">
        <v>46179</v>
      </c>
      <c r="C193" s="136" t="s">
        <v>96</v>
      </c>
      <c r="D193" s="137" t="str">
        <f t="array" ref="D193">IF($A193="","",INDEX('Daily Sales'!A:A,$A193))</f>
        <v>1-1202</v>
      </c>
      <c r="E193" s="138" t="s">
        <v>64</v>
      </c>
      <c r="F193" s="139" t="str">
        <f t="shared" si="1"/>
        <v>Ledger</v>
      </c>
      <c r="G193" s="140"/>
      <c r="H193" s="138">
        <f t="array" ref="H193">IF($A193="","",
  IF(
    OR(
      $A193=23,
      AND($A193&gt;=32,$A193&lt;=50)
    ),
    IFERROR(
      INDEX('Daily Sales'!$C:$AG,
        $A193,
        MATCH(TEXT($B193,"0"),TEXT('Daily Sales'!$C$2:$AG$2,"0"),0)
      ),
    ""),
  "")
)</f>
        <v>426663</v>
      </c>
      <c r="I193" s="138" t="str">
        <f t="array" ref="I193">IF($A193="","",
  IF(
    OR(
      AND($A193&gt;=4,$A193&lt;=8),
      AND($A193&gt;=12,$A193&lt;=19),
      AND($A193&gt;=28,$A193&lt;=29)
    ),
    IFERROR(
      INDEX('Daily Sales'!$C:$AG,
        $A193,
        MATCH(TEXT($B193,"0"),TEXT('Daily Sales'!$C$2:$AG$2,"0"),0)
      ),
    ""),
  "")
)</f>
        <v/>
      </c>
      <c r="J193" s="79" t="e">
        <f t="shared" si="2"/>
        <v>#VALUE!</v>
      </c>
      <c r="K193" s="141"/>
      <c r="L193" s="81"/>
      <c r="M193" s="141"/>
      <c r="N193" s="133"/>
      <c r="O193" s="4"/>
      <c r="P193" s="4"/>
      <c r="Q193" s="4"/>
      <c r="R193" s="109"/>
      <c r="S193" s="109"/>
      <c r="T193" s="108"/>
      <c r="U193" s="110"/>
      <c r="V193" s="110"/>
      <c r="W193" s="110"/>
      <c r="X193" s="110"/>
    </row>
    <row r="194" spans="1:24" ht="13.5" customHeight="1">
      <c r="A194" s="110">
        <f>IF(E194="","",MATCH(E194,'Daily Sales'!B$4:B$51,0)+3)</f>
        <v>47</v>
      </c>
      <c r="B194" s="135">
        <v>46179</v>
      </c>
      <c r="C194" s="136" t="s">
        <v>96</v>
      </c>
      <c r="D194" s="137" t="str">
        <f t="array" ref="D194">IF($A194="","",INDEX('Daily Sales'!A:A,$A194))</f>
        <v>1-1129</v>
      </c>
      <c r="E194" s="138" t="s">
        <v>66</v>
      </c>
      <c r="F194" s="139" t="str">
        <f t="shared" si="1"/>
        <v>Star Points</v>
      </c>
      <c r="G194" s="140"/>
      <c r="H194" s="138">
        <f t="array" ref="H194">IF($A194="","",
  IF(
    OR(
      $A194=23,
      AND($A194&gt;=32,$A194&lt;=50)
    ),
    IFERROR(
      INDEX('Daily Sales'!$C:$AG,
        $A194,
        MATCH(TEXT($B194,"0"),TEXT('Daily Sales'!$C$2:$AG$2,"0"),0)
      ),
    ""),
  "")
)</f>
        <v>0</v>
      </c>
      <c r="I194" s="138" t="str">
        <f t="array" ref="I194">IF($A194="","",
  IF(
    OR(
      AND($A194&gt;=4,$A194&lt;=8),
      AND($A194&gt;=12,$A194&lt;=19),
      AND($A194&gt;=28,$A194&lt;=29)
    ),
    IFERROR(
      INDEX('Daily Sales'!$C:$AG,
        $A194,
        MATCH(TEXT($B194,"0"),TEXT('Daily Sales'!$C$2:$AG$2,"0"),0)
      ),
    ""),
  "")
)</f>
        <v/>
      </c>
      <c r="J194" s="79" t="e">
        <f t="shared" si="2"/>
        <v>#VALUE!</v>
      </c>
      <c r="K194" s="141"/>
      <c r="L194" s="81"/>
      <c r="M194" s="141"/>
      <c r="N194" s="133"/>
      <c r="O194" s="4"/>
      <c r="P194" s="4"/>
      <c r="Q194" s="4"/>
      <c r="R194" s="109"/>
      <c r="S194" s="109"/>
      <c r="T194" s="108"/>
      <c r="U194" s="110"/>
      <c r="V194" s="110"/>
      <c r="W194" s="110"/>
      <c r="X194" s="110"/>
    </row>
    <row r="195" spans="1:24" ht="13.5" customHeight="1">
      <c r="A195" s="110">
        <f>IF(E195="","",MATCH(E195,'Daily Sales'!B$4:B$51,0)+3)</f>
        <v>48</v>
      </c>
      <c r="B195" s="135">
        <v>46179</v>
      </c>
      <c r="C195" s="136" t="s">
        <v>96</v>
      </c>
      <c r="D195" s="137" t="str">
        <f t="array" ref="D195">IF($A195="","",INDEX('Daily Sales'!A:A,$A195))</f>
        <v>1-1215</v>
      </c>
      <c r="E195" s="138" t="s">
        <v>68</v>
      </c>
      <c r="F195" s="139" t="str">
        <f t="shared" si="1"/>
        <v>Ovo</v>
      </c>
      <c r="G195" s="140"/>
      <c r="H195" s="138">
        <f t="array" ref="H195">IF($A195="","",
  IF(
    OR(
      $A195=23,
      AND($A195&gt;=32,$A195&lt;=50)
    ),
    IFERROR(
      INDEX('Daily Sales'!$C:$AG,
        $A195,
        MATCH(TEXT($B195,"0"),TEXT('Daily Sales'!$C$2:$AG$2,"0"),0)
      ),
    ""),
  "")
)</f>
        <v>0</v>
      </c>
      <c r="I195" s="138" t="str">
        <f t="array" ref="I195">IF($A195="","",
  IF(
    OR(
      AND($A195&gt;=4,$A195&lt;=8),
      AND($A195&gt;=12,$A195&lt;=19),
      AND($A195&gt;=28,$A195&lt;=29)
    ),
    IFERROR(
      INDEX('Daily Sales'!$C:$AG,
        $A195,
        MATCH(TEXT($B195,"0"),TEXT('Daily Sales'!$C$2:$AG$2,"0"),0)
      ),
    ""),
  "")
)</f>
        <v/>
      </c>
      <c r="J195" s="79" t="e">
        <f t="shared" si="2"/>
        <v>#VALUE!</v>
      </c>
      <c r="K195" s="141"/>
      <c r="L195" s="81"/>
      <c r="M195" s="141"/>
      <c r="N195" s="133"/>
      <c r="O195" s="4"/>
      <c r="P195" s="4"/>
      <c r="Q195" s="4"/>
      <c r="R195" s="109"/>
      <c r="S195" s="109"/>
      <c r="T195" s="108"/>
      <c r="U195" s="110"/>
      <c r="V195" s="110"/>
      <c r="W195" s="110"/>
      <c r="X195" s="110"/>
    </row>
    <row r="196" spans="1:24" ht="13.5" customHeight="1">
      <c r="A196" s="110">
        <f>IF(E196="","",MATCH(E196,'Daily Sales'!B$4:B$51,0)+3)</f>
        <v>49</v>
      </c>
      <c r="B196" s="135">
        <v>46179</v>
      </c>
      <c r="C196" s="136" t="s">
        <v>96</v>
      </c>
      <c r="D196" s="137" t="str">
        <f t="array" ref="D196">IF($A196="","",INDEX('Daily Sales'!A:A,$A196))</f>
        <v>1-1211</v>
      </c>
      <c r="E196" s="138" t="s">
        <v>70</v>
      </c>
      <c r="F196" s="139" t="str">
        <f t="shared" si="1"/>
        <v>Gopay</v>
      </c>
      <c r="G196" s="140"/>
      <c r="H196" s="138">
        <f t="array" ref="H196">IF($A196="","",
  IF(
    OR(
      $A196=23,
      AND($A196&gt;=32,$A196&lt;=50)
    ),
    IFERROR(
      INDEX('Daily Sales'!$C:$AG,
        $A196,
        MATCH(TEXT($B196,"0"),TEXT('Daily Sales'!$C$2:$AG$2,"0"),0)
      ),
    ""),
  "")
)</f>
        <v>0</v>
      </c>
      <c r="I196" s="138" t="str">
        <f t="array" ref="I196">IF($A196="","",
  IF(
    OR(
      AND($A196&gt;=4,$A196&lt;=8),
      AND($A196&gt;=12,$A196&lt;=19),
      AND($A196&gt;=28,$A196&lt;=29)
    ),
    IFERROR(
      INDEX('Daily Sales'!$C:$AG,
        $A196,
        MATCH(TEXT($B196,"0"),TEXT('Daily Sales'!$C$2:$AG$2,"0"),0)
      ),
    ""),
  "")
)</f>
        <v/>
      </c>
      <c r="J196" s="79" t="e">
        <f t="shared" si="2"/>
        <v>#VALUE!</v>
      </c>
      <c r="K196" s="141"/>
      <c r="L196" s="81"/>
      <c r="M196" s="141"/>
      <c r="N196" s="133"/>
      <c r="O196" s="4"/>
      <c r="P196" s="4"/>
      <c r="Q196" s="4"/>
      <c r="R196" s="109"/>
      <c r="S196" s="109"/>
      <c r="T196" s="108"/>
      <c r="U196" s="110"/>
      <c r="V196" s="110"/>
      <c r="W196" s="110"/>
      <c r="X196" s="110"/>
    </row>
    <row r="197" spans="1:24" ht="13.5" customHeight="1">
      <c r="A197" s="110">
        <f>IF(E197="","",MATCH(E197,'Daily Sales'!B$4:B$51,0)+3)</f>
        <v>50</v>
      </c>
      <c r="B197" s="135">
        <v>46179</v>
      </c>
      <c r="C197" s="136" t="s">
        <v>96</v>
      </c>
      <c r="D197" s="137" t="str">
        <f t="array" ref="D197">IF($A197="","",INDEX('Daily Sales'!A:A,$A197))</f>
        <v>2-2110</v>
      </c>
      <c r="E197" s="138" t="s">
        <v>72</v>
      </c>
      <c r="F197" s="139" t="str">
        <f t="shared" si="1"/>
        <v>Cash Short/Over</v>
      </c>
      <c r="G197" s="140"/>
      <c r="H197" s="138">
        <f t="array" ref="H197">IF($A197="","",
  IF(
    OR(
      $A197=23,
      AND($A197&gt;=32,$A197&lt;=50)
    ),
    IFERROR(
      INDEX('Daily Sales'!$C:$AG,
        $A197,
        MATCH(TEXT($B197,"0"),TEXT('Daily Sales'!$C$2:$AG$2,"0"),0)
      ),
    ""),
  "")
)</f>
        <v>-824035.86500000954</v>
      </c>
      <c r="I197" s="138" t="str">
        <f t="array" ref="I197">IF($A197="","",
  IF(
    OR(
      AND($A197&gt;=4,$A197&lt;=8),
      AND($A197&gt;=12,$A197&lt;=19),
      AND($A197&gt;=28,$A197&lt;=29)
    ),
    IFERROR(
      INDEX('Daily Sales'!$C:$AG,
        $A197,
        MATCH(TEXT($B197,"0"),TEXT('Daily Sales'!$C$2:$AG$2,"0"),0)
      ),
    ""),
  "")
)</f>
        <v/>
      </c>
      <c r="J197" s="79" t="e">
        <f t="shared" si="2"/>
        <v>#VALUE!</v>
      </c>
      <c r="K197" s="141"/>
      <c r="L197" s="81"/>
      <c r="M197" s="141"/>
      <c r="N197" s="133"/>
      <c r="O197" s="4"/>
      <c r="P197" s="4"/>
      <c r="Q197" s="4"/>
      <c r="R197" s="109"/>
      <c r="S197" s="109"/>
      <c r="T197" s="108"/>
      <c r="U197" s="110"/>
      <c r="V197" s="110"/>
      <c r="W197" s="110"/>
      <c r="X197" s="110"/>
    </row>
    <row r="198" spans="1:24" ht="13.5" customHeight="1">
      <c r="A198" s="110" t="str">
        <f>IF(E198="","",MATCH(E198,'Daily Sales'!B$4:B$51,0)+3)</f>
        <v/>
      </c>
      <c r="B198" s="135"/>
      <c r="C198" s="136"/>
      <c r="D198" s="137" t="str">
        <f t="array" ref="D198">IF($A198="","",INDEX('Daily Sales'!A:A,$A198))</f>
        <v/>
      </c>
      <c r="E198" s="138"/>
      <c r="F198" s="139">
        <f t="shared" si="1"/>
        <v>0</v>
      </c>
      <c r="G198" s="140"/>
      <c r="H198" s="138" t="str">
        <f t="array" ref="H198">IF($A198="","",
  IF(
    OR(
      $A198=23,
      AND($A198&gt;=32,$A198&lt;=50)
    ),
    IFERROR(
      INDEX('Daily Sales'!$C:$AG,
        $A198,
        MATCH(TEXT($B198,"0"),TEXT('Daily Sales'!$C$2:$AG$2,"0"),0)
      ),
    ""),
  "")
)</f>
        <v/>
      </c>
      <c r="I198" s="138" t="str">
        <f t="array" ref="I198">IF($A198="","",
  IF(
    OR(
      AND($A198&gt;=4,$A198&lt;=8),
      AND($A198&gt;=12,$A198&lt;=19),
      AND($A198&gt;=28,$A198&lt;=29)
    ),
    IFERROR(
      INDEX('Daily Sales'!$C:$AG,
        $A198,
        MATCH(TEXT($B198,"0"),TEXT('Daily Sales'!$C$2:$AG$2,"0"),0)
      ),
    ""),
  "")
)</f>
        <v/>
      </c>
      <c r="J198" s="79" t="e">
        <f t="shared" si="2"/>
        <v>#VALUE!</v>
      </c>
      <c r="K198" s="141"/>
      <c r="L198" s="81"/>
      <c r="M198" s="141"/>
      <c r="N198" s="133"/>
      <c r="O198" s="4"/>
      <c r="P198" s="4"/>
      <c r="Q198" s="4"/>
      <c r="R198" s="109"/>
      <c r="S198" s="109"/>
      <c r="T198" s="108"/>
      <c r="U198" s="110"/>
      <c r="V198" s="110"/>
      <c r="W198" s="110"/>
      <c r="X198" s="110"/>
    </row>
    <row r="199" spans="1:24" ht="13.5" customHeight="1">
      <c r="A199" s="110">
        <f>IF(E199="","",MATCH(E199,'Daily Sales'!B$4:B$51,0)+3)</f>
        <v>4</v>
      </c>
      <c r="B199" s="135">
        <v>46180</v>
      </c>
      <c r="C199" s="136" t="s">
        <v>97</v>
      </c>
      <c r="D199" s="137" t="str">
        <f t="array" ref="D199">IF($A199="","",INDEX('Daily Sales'!A:A,$A199))</f>
        <v>4-2100</v>
      </c>
      <c r="E199" s="138" t="s">
        <v>5</v>
      </c>
      <c r="F199" s="139" t="str">
        <f t="shared" si="1"/>
        <v>Sales Food TERRACE</v>
      </c>
      <c r="G199" s="140"/>
      <c r="H199" s="138" t="str">
        <f t="array" ref="H199">IF($A199="","",
  IF(
    OR(
      $A199=23,
      AND($A199&gt;=32,$A199&lt;=50)
    ),
    IFERROR(
      INDEX('Daily Sales'!$C:$AG,
        $A199,
        MATCH(TEXT($B199,"0"),TEXT('Daily Sales'!$C$2:$AG$2,"0"),0)
      ),
    ""),
  "")
)</f>
        <v/>
      </c>
      <c r="I199" s="138">
        <f t="array" ref="I199">IF($A199="","",
  IF(
    OR(
      AND($A199&gt;=4,$A199&lt;=8),
      AND($A199&gt;=12,$A199&lt;=19),
      AND($A199&gt;=28,$A199&lt;=29)
    ),
    IFERROR(
      INDEX('Daily Sales'!$C:$AG,
        $A199,
        MATCH(TEXT($B199,"0"),TEXT('Daily Sales'!$C$2:$AG$2,"0"),0)
      ),
    ""),
  "")
)</f>
        <v>5040000</v>
      </c>
      <c r="J199" s="79" t="e">
        <f t="shared" si="2"/>
        <v>#VALUE!</v>
      </c>
      <c r="K199" s="141"/>
      <c r="L199" s="81"/>
      <c r="M199" s="141"/>
      <c r="N199" s="133"/>
      <c r="O199" s="4"/>
      <c r="P199" s="4"/>
      <c r="Q199" s="4"/>
      <c r="R199" s="109"/>
      <c r="S199" s="109"/>
      <c r="T199" s="108"/>
      <c r="U199" s="110"/>
      <c r="V199" s="110"/>
      <c r="W199" s="110"/>
      <c r="X199" s="110"/>
    </row>
    <row r="200" spans="1:24" ht="13.5" customHeight="1">
      <c r="A200" s="110">
        <f>IF(E200="","",MATCH(E200,'Daily Sales'!B$4:B$51,0)+3)</f>
        <v>5</v>
      </c>
      <c r="B200" s="135">
        <v>46180</v>
      </c>
      <c r="C200" s="136" t="s">
        <v>97</v>
      </c>
      <c r="D200" s="137" t="str">
        <f t="array" ref="D200">IF($A200="","",INDEX('Daily Sales'!A:A,$A200))</f>
        <v>4-2200</v>
      </c>
      <c r="E200" s="138" t="s">
        <v>7</v>
      </c>
      <c r="F200" s="139" t="str">
        <f t="shared" si="1"/>
        <v>Sales Beverages TERRACE</v>
      </c>
      <c r="G200" s="140"/>
      <c r="H200" s="138" t="str">
        <f t="array" ref="H200">IF($A200="","",
  IF(
    OR(
      $A200=23,
      AND($A200&gt;=32,$A200&lt;=50)
    ),
    IFERROR(
      INDEX('Daily Sales'!$C:$AG,
        $A200,
        MATCH(TEXT($B200,"0"),TEXT('Daily Sales'!$C$2:$AG$2,"0"),0)
      ),
    ""),
  "")
)</f>
        <v/>
      </c>
      <c r="I200" s="138">
        <f t="array" ref="I200">IF($A200="","",
  IF(
    OR(
      AND($A200&gt;=4,$A200&lt;=8),
      AND($A200&gt;=12,$A200&lt;=19),
      AND($A200&gt;=28,$A200&lt;=29)
    ),
    IFERROR(
      INDEX('Daily Sales'!$C:$AG,
        $A200,
        MATCH(TEXT($B200,"0"),TEXT('Daily Sales'!$C$2:$AG$2,"0"),0)
      ),
    ""),
  "")
)</f>
        <v>5610000</v>
      </c>
      <c r="J200" s="79" t="e">
        <f t="shared" si="2"/>
        <v>#VALUE!</v>
      </c>
      <c r="K200" s="141"/>
      <c r="L200" s="81"/>
      <c r="M200" s="141"/>
      <c r="N200" s="133"/>
      <c r="O200" s="4"/>
      <c r="P200" s="4"/>
      <c r="Q200" s="4"/>
      <c r="R200" s="109"/>
      <c r="S200" s="109"/>
      <c r="T200" s="108"/>
      <c r="U200" s="110"/>
      <c r="V200" s="110"/>
      <c r="W200" s="110"/>
      <c r="X200" s="110"/>
    </row>
    <row r="201" spans="1:24" ht="13.5" customHeight="1">
      <c r="A201" s="110">
        <f>IF(E201="","",MATCH(E201,'Daily Sales'!B$4:B$51,0)+3)</f>
        <v>6</v>
      </c>
      <c r="B201" s="135">
        <v>46180</v>
      </c>
      <c r="C201" s="136" t="s">
        <v>97</v>
      </c>
      <c r="D201" s="137" t="str">
        <f t="array" ref="D201">IF($A201="","",INDEX('Daily Sales'!A:A,$A201))</f>
        <v>4-2400</v>
      </c>
      <c r="E201" s="138" t="s">
        <v>9</v>
      </c>
      <c r="F201" s="139" t="str">
        <f t="shared" si="1"/>
        <v>Sales Cigarette TERRACE</v>
      </c>
      <c r="G201" s="140"/>
      <c r="H201" s="138" t="str">
        <f t="array" ref="H201">IF($A201="","",
  IF(
    OR(
      $A201=23,
      AND($A201&gt;=32,$A201&lt;=50)
    ),
    IFERROR(
      INDEX('Daily Sales'!$C:$AG,
        $A201,
        MATCH(TEXT($B201,"0"),TEXT('Daily Sales'!$C$2:$AG$2,"0"),0)
      ),
    ""),
  "")
)</f>
        <v/>
      </c>
      <c r="I201" s="138">
        <f t="array" ref="I201">IF($A201="","",
  IF(
    OR(
      AND($A201&gt;=4,$A201&lt;=8),
      AND($A201&gt;=12,$A201&lt;=19),
      AND($A201&gt;=28,$A201&lt;=29)
    ),
    IFERROR(
      INDEX('Daily Sales'!$C:$AG,
        $A201,
        MATCH(TEXT($B201,"0"),TEXT('Daily Sales'!$C$2:$AG$2,"0"),0)
      ),
    ""),
  "")
)</f>
        <v>70000</v>
      </c>
      <c r="J201" s="79" t="e">
        <f t="shared" si="2"/>
        <v>#VALUE!</v>
      </c>
      <c r="K201" s="141"/>
      <c r="L201" s="81"/>
      <c r="M201" s="141"/>
      <c r="N201" s="133"/>
      <c r="O201" s="4"/>
      <c r="P201" s="4"/>
      <c r="Q201" s="4"/>
      <c r="R201" s="109"/>
      <c r="S201" s="109"/>
      <c r="T201" s="108"/>
      <c r="U201" s="110"/>
      <c r="V201" s="110"/>
      <c r="W201" s="110"/>
      <c r="X201" s="110"/>
    </row>
    <row r="202" spans="1:24" ht="13.5" customHeight="1">
      <c r="A202" s="110">
        <f>IF(E202="","",MATCH(E202,'Daily Sales'!B$4:B$51,0)+3)</f>
        <v>7</v>
      </c>
      <c r="B202" s="135">
        <v>46180</v>
      </c>
      <c r="C202" s="136" t="s">
        <v>97</v>
      </c>
      <c r="D202" s="137" t="str">
        <f t="array" ref="D202">IF($A202="","",INDEX('Daily Sales'!A:A,$A202))</f>
        <v>4-2300</v>
      </c>
      <c r="E202" s="138" t="s">
        <v>11</v>
      </c>
      <c r="F202" s="139" t="str">
        <f t="shared" si="1"/>
        <v>Sales Shisa TERRACE</v>
      </c>
      <c r="G202" s="140"/>
      <c r="H202" s="138" t="str">
        <f t="array" ref="H202">IF($A202="","",
  IF(
    OR(
      $A202=23,
      AND($A202&gt;=32,$A202&lt;=50)
    ),
    IFERROR(
      INDEX('Daily Sales'!$C:$AG,
        $A202,
        MATCH(TEXT($B202,"0"),TEXT('Daily Sales'!$C$2:$AG$2,"0"),0)
      ),
    ""),
  "")
)</f>
        <v/>
      </c>
      <c r="I202" s="138">
        <f t="array" ref="I202">IF($A202="","",
  IF(
    OR(
      AND($A202&gt;=4,$A202&lt;=8),
      AND($A202&gt;=12,$A202&lt;=19),
      AND($A202&gt;=28,$A202&lt;=29)
    ),
    IFERROR(
      INDEX('Daily Sales'!$C:$AG,
        $A202,
        MATCH(TEXT($B202,"0"),TEXT('Daily Sales'!$C$2:$AG$2,"0"),0)
      ),
    ""),
  "")
)</f>
        <v>250000</v>
      </c>
      <c r="J202" s="79" t="e">
        <f t="shared" si="2"/>
        <v>#VALUE!</v>
      </c>
      <c r="K202" s="141"/>
      <c r="L202" s="81"/>
      <c r="M202" s="141"/>
      <c r="N202" s="133"/>
      <c r="O202" s="4"/>
      <c r="P202" s="4"/>
      <c r="Q202" s="4"/>
      <c r="R202" s="109"/>
      <c r="S202" s="109"/>
      <c r="T202" s="108"/>
      <c r="U202" s="110"/>
      <c r="V202" s="110"/>
      <c r="W202" s="110"/>
      <c r="X202" s="110"/>
    </row>
    <row r="203" spans="1:24" ht="13.5" customHeight="1">
      <c r="A203" s="110">
        <f>IF(E203="","",MATCH(E203,'Daily Sales'!B$4:B$51,0)+3)</f>
        <v>12</v>
      </c>
      <c r="B203" s="135">
        <v>46180</v>
      </c>
      <c r="C203" s="136" t="s">
        <v>97</v>
      </c>
      <c r="D203" s="137" t="str">
        <f t="array" ref="D203">IF($A203="","",INDEX('Daily Sales'!A:A,$A203))</f>
        <v>4-2200</v>
      </c>
      <c r="E203" s="138" t="s">
        <v>17</v>
      </c>
      <c r="F203" s="139" t="str">
        <f t="shared" si="1"/>
        <v>Sales Beverages CLUB</v>
      </c>
      <c r="G203" s="140"/>
      <c r="H203" s="138" t="str">
        <f t="array" ref="H203">IF($A203="","",
  IF(
    OR(
      $A203=23,
      AND($A203&gt;=32,$A203&lt;=50)
    ),
    IFERROR(
      INDEX('Daily Sales'!$C:$AG,
        $A203,
        MATCH(TEXT($B203,"0"),TEXT('Daily Sales'!$C$2:$AG$2,"0"),0)
      ),
    ""),
  "")
)</f>
        <v/>
      </c>
      <c r="I203" s="138">
        <f t="array" ref="I203">IF($A203="","",
  IF(
    OR(
      AND($A203&gt;=4,$A203&lt;=8),
      AND($A203&gt;=12,$A203&lt;=19),
      AND($A203&gt;=28,$A203&lt;=29)
    ),
    IFERROR(
      INDEX('Daily Sales'!$C:$AG,
        $A203,
        MATCH(TEXT($B203,"0"),TEXT('Daily Sales'!$C$2:$AG$2,"0"),0)
      ),
    ""),
  "")
)</f>
        <v>11220000</v>
      </c>
      <c r="J203" s="79" t="e">
        <f t="shared" si="2"/>
        <v>#VALUE!</v>
      </c>
      <c r="K203" s="141"/>
      <c r="L203" s="81"/>
      <c r="M203" s="141"/>
      <c r="N203" s="133"/>
      <c r="O203" s="4"/>
      <c r="P203" s="4"/>
      <c r="Q203" s="4"/>
      <c r="R203" s="109"/>
      <c r="S203" s="109"/>
      <c r="T203" s="108"/>
      <c r="U203" s="110"/>
      <c r="V203" s="110"/>
      <c r="W203" s="110"/>
      <c r="X203" s="110"/>
    </row>
    <row r="204" spans="1:24" ht="13.5" customHeight="1">
      <c r="A204" s="110">
        <f>IF(E204="","",MATCH(E204,'Daily Sales'!B$4:B$51,0)+3)</f>
        <v>13</v>
      </c>
      <c r="B204" s="135">
        <v>46180</v>
      </c>
      <c r="C204" s="136" t="s">
        <v>97</v>
      </c>
      <c r="D204" s="137" t="str">
        <f t="array" ref="D204">IF($A204="","",INDEX('Daily Sales'!A:A,$A204))</f>
        <v>4-2400</v>
      </c>
      <c r="E204" s="138" t="s">
        <v>18</v>
      </c>
      <c r="F204" s="139" t="str">
        <f t="shared" si="1"/>
        <v>Sales Cigarette CLUB</v>
      </c>
      <c r="G204" s="140"/>
      <c r="H204" s="138" t="str">
        <f t="array" ref="H204">IF($A204="","",
  IF(
    OR(
      $A204=23,
      AND($A204&gt;=32,$A204&lt;=50)
    ),
    IFERROR(
      INDEX('Daily Sales'!$C:$AG,
        $A204,
        MATCH(TEXT($B204,"0"),TEXT('Daily Sales'!$C$2:$AG$2,"0"),0)
      ),
    ""),
  "")
)</f>
        <v/>
      </c>
      <c r="I204" s="138">
        <f t="array" ref="I204">IF($A204="","",
  IF(
    OR(
      AND($A204&gt;=4,$A204&lt;=8),
      AND($A204&gt;=12,$A204&lt;=19),
      AND($A204&gt;=28,$A204&lt;=29)
    ),
    IFERROR(
      INDEX('Daily Sales'!$C:$AG,
        $A204,
        MATCH(TEXT($B204,"0"),TEXT('Daily Sales'!$C$2:$AG$2,"0"),0)
      ),
    ""),
  "")
)</f>
        <v>630000</v>
      </c>
      <c r="J204" s="79" t="e">
        <f t="shared" si="2"/>
        <v>#VALUE!</v>
      </c>
      <c r="K204" s="141"/>
      <c r="L204" s="81"/>
      <c r="M204" s="141"/>
      <c r="N204" s="133"/>
      <c r="O204" s="4"/>
      <c r="P204" s="4"/>
      <c r="Q204" s="4"/>
      <c r="R204" s="109"/>
      <c r="S204" s="109"/>
      <c r="T204" s="108"/>
      <c r="U204" s="110"/>
      <c r="V204" s="110"/>
      <c r="W204" s="110"/>
      <c r="X204" s="110"/>
    </row>
    <row r="205" spans="1:24" ht="13.5" customHeight="1">
      <c r="A205" s="110">
        <f>IF(E205="","",MATCH(E205,'Daily Sales'!B$4:B$51,0)+3)</f>
        <v>14</v>
      </c>
      <c r="B205" s="135">
        <v>46180</v>
      </c>
      <c r="C205" s="136" t="s">
        <v>97</v>
      </c>
      <c r="D205" s="137" t="str">
        <f t="array" ref="D205">IF($A205="","",INDEX('Daily Sales'!A:A,$A205))</f>
        <v>4-2100</v>
      </c>
      <c r="E205" s="138" t="s">
        <v>19</v>
      </c>
      <c r="F205" s="139" t="str">
        <f t="shared" si="1"/>
        <v>Sales Food CLUB</v>
      </c>
      <c r="G205" s="140"/>
      <c r="H205" s="138" t="str">
        <f t="array" ref="H205">IF($A205="","",
  IF(
    OR(
      $A205=23,
      AND($A205&gt;=32,$A205&lt;=50)
    ),
    IFERROR(
      INDEX('Daily Sales'!$C:$AG,
        $A205,
        MATCH(TEXT($B205,"0"),TEXT('Daily Sales'!$C$2:$AG$2,"0"),0)
      ),
    ""),
  "")
)</f>
        <v/>
      </c>
      <c r="I205" s="138">
        <f t="array" ref="I205">IF($A205="","",
  IF(
    OR(
      AND($A205&gt;=4,$A205&lt;=8),
      AND($A205&gt;=12,$A205&lt;=19),
      AND($A205&gt;=28,$A205&lt;=29)
    ),
    IFERROR(
      INDEX('Daily Sales'!$C:$AG,
        $A205,
        MATCH(TEXT($B205,"0"),TEXT('Daily Sales'!$C$2:$AG$2,"0"),0)
      ),
    ""),
  "")
)</f>
        <v>245000</v>
      </c>
      <c r="J205" s="79" t="e">
        <f t="shared" si="2"/>
        <v>#VALUE!</v>
      </c>
      <c r="K205" s="141"/>
      <c r="L205" s="81"/>
      <c r="M205" s="141"/>
      <c r="N205" s="133"/>
      <c r="O205" s="4"/>
      <c r="P205" s="4"/>
      <c r="Q205" s="4"/>
      <c r="R205" s="109"/>
      <c r="S205" s="109"/>
      <c r="T205" s="108"/>
      <c r="U205" s="110"/>
      <c r="V205" s="110"/>
      <c r="W205" s="110"/>
      <c r="X205" s="110"/>
    </row>
    <row r="206" spans="1:24" ht="13.5" customHeight="1">
      <c r="A206" s="110">
        <f>IF(E206="","",MATCH(E206,'Daily Sales'!B$4:B$51,0)+3)</f>
        <v>15</v>
      </c>
      <c r="B206" s="135">
        <v>46180</v>
      </c>
      <c r="C206" s="136" t="s">
        <v>97</v>
      </c>
      <c r="D206" s="137" t="str">
        <f t="array" ref="D206">IF($A206="","",INDEX('Daily Sales'!A:A,$A206))</f>
        <v>4-2300</v>
      </c>
      <c r="E206" s="138" t="s">
        <v>20</v>
      </c>
      <c r="F206" s="139" t="str">
        <f t="shared" si="1"/>
        <v>Sales Shisa CLUB</v>
      </c>
      <c r="G206" s="140"/>
      <c r="H206" s="138" t="str">
        <f t="array" ref="H206">IF($A206="","",
  IF(
    OR(
      $A206=23,
      AND($A206&gt;=32,$A206&lt;=50)
    ),
    IFERROR(
      INDEX('Daily Sales'!$C:$AG,
        $A206,
        MATCH(TEXT($B206,"0"),TEXT('Daily Sales'!$C$2:$AG$2,"0"),0)
      ),
    ""),
  "")
)</f>
        <v/>
      </c>
      <c r="I206" s="138">
        <f t="array" ref="I206">IF($A206="","",
  IF(
    OR(
      AND($A206&gt;=4,$A206&lt;=8),
      AND($A206&gt;=12,$A206&lt;=19),
      AND($A206&gt;=28,$A206&lt;=29)
    ),
    IFERROR(
      INDEX('Daily Sales'!$C:$AG,
        $A206,
        MATCH(TEXT($B206,"0"),TEXT('Daily Sales'!$C$2:$AG$2,"0"),0)
      ),
    ""),
  "")
)</f>
        <v>0</v>
      </c>
      <c r="J206" s="79" t="e">
        <f t="shared" si="2"/>
        <v>#VALUE!</v>
      </c>
      <c r="K206" s="141"/>
      <c r="L206" s="81"/>
      <c r="M206" s="141"/>
      <c r="N206" s="133"/>
      <c r="O206" s="4"/>
      <c r="P206" s="4"/>
      <c r="Q206" s="4"/>
      <c r="R206" s="109"/>
      <c r="S206" s="109"/>
      <c r="T206" s="108"/>
      <c r="U206" s="110"/>
      <c r="V206" s="110"/>
      <c r="W206" s="110"/>
      <c r="X206" s="110"/>
    </row>
    <row r="207" spans="1:24" ht="13.5" customHeight="1">
      <c r="A207" s="110">
        <f>IF(E207="","",MATCH(E207,'Daily Sales'!B$4:B$51,0)+3)</f>
        <v>17</v>
      </c>
      <c r="B207" s="135">
        <v>46180</v>
      </c>
      <c r="C207" s="136" t="s">
        <v>97</v>
      </c>
      <c r="D207" s="137" t="str">
        <f t="array" ref="D207">IF($A207="","",INDEX('Daily Sales'!A:A,$A207))</f>
        <v>4-2601</v>
      </c>
      <c r="E207" s="138" t="s">
        <v>23</v>
      </c>
      <c r="F207" s="139" t="str">
        <f t="shared" si="1"/>
        <v xml:space="preserve">Misc </v>
      </c>
      <c r="G207" s="140"/>
      <c r="H207" s="138" t="str">
        <f t="array" ref="H207">IF($A207="","",
  IF(
    OR(
      $A207=23,
      AND($A207&gt;=32,$A207&lt;=50)
    ),
    IFERROR(
      INDEX('Daily Sales'!$C:$AG,
        $A207,
        MATCH(TEXT($B207,"0"),TEXT('Daily Sales'!$C$2:$AG$2,"0"),0)
      ),
    ""),
  "")
)</f>
        <v/>
      </c>
      <c r="I207" s="138">
        <f t="array" ref="I207">IF($A207="","",
  IF(
    OR(
      AND($A207&gt;=4,$A207&lt;=8),
      AND($A207&gt;=12,$A207&lt;=19),
      AND($A207&gt;=28,$A207&lt;=29)
    ),
    IFERROR(
      INDEX('Daily Sales'!$C:$AG,
        $A207,
        MATCH(TEXT($B207,"0"),TEXT('Daily Sales'!$C$2:$AG$2,"0"),0)
      ),
    ""),
  "")
)</f>
        <v>0</v>
      </c>
      <c r="J207" s="79" t="e">
        <f t="shared" si="2"/>
        <v>#VALUE!</v>
      </c>
      <c r="K207" s="141"/>
      <c r="L207" s="81"/>
      <c r="M207" s="141"/>
      <c r="N207" s="133"/>
      <c r="O207" s="4"/>
      <c r="P207" s="4"/>
      <c r="Q207" s="4"/>
      <c r="R207" s="109"/>
      <c r="S207" s="109"/>
      <c r="T207" s="108"/>
      <c r="U207" s="110"/>
      <c r="V207" s="110"/>
      <c r="W207" s="110"/>
      <c r="X207" s="110"/>
    </row>
    <row r="208" spans="1:24" ht="13.5" customHeight="1">
      <c r="A208" s="110">
        <f>IF(E208="","",MATCH(E208,'Daily Sales'!B$4:B$51,0)+3)</f>
        <v>19</v>
      </c>
      <c r="B208" s="135">
        <v>46180</v>
      </c>
      <c r="C208" s="136" t="s">
        <v>97</v>
      </c>
      <c r="D208" s="137" t="str">
        <f t="array" ref="D208">IF($A208="","",INDEX('Daily Sales'!A:A,$A208))</f>
        <v>4-2500</v>
      </c>
      <c r="E208" s="138" t="s">
        <v>26</v>
      </c>
      <c r="F208" s="139" t="str">
        <f t="shared" si="1"/>
        <v>Sales Ticket</v>
      </c>
      <c r="G208" s="140"/>
      <c r="H208" s="138" t="str">
        <f t="array" ref="H208">IF($A208="","",
  IF(
    OR(
      $A208=23,
      AND($A208&gt;=32,$A208&lt;=50)
    ),
    IFERROR(
      INDEX('Daily Sales'!$C:$AG,
        $A208,
        MATCH(TEXT($B208,"0"),TEXT('Daily Sales'!$C$2:$AG$2,"0"),0)
      ),
    ""),
  "")
)</f>
        <v/>
      </c>
      <c r="I208" s="138">
        <f t="array" ref="I208">IF($A208="","",
  IF(
    OR(
      AND($A208&gt;=4,$A208&lt;=8),
      AND($A208&gt;=12,$A208&lt;=19),
      AND($A208&gt;=28,$A208&lt;=29)
    ),
    IFERROR(
      INDEX('Daily Sales'!$C:$AG,
        $A208,
        MATCH(TEXT($B208,"0"),TEXT('Daily Sales'!$C$2:$AG$2,"0"),0)
      ),
    ""),
  "")
)</f>
        <v>11214984</v>
      </c>
      <c r="J208" s="79" t="e">
        <f t="shared" si="2"/>
        <v>#VALUE!</v>
      </c>
      <c r="K208" s="141"/>
      <c r="L208" s="81"/>
      <c r="M208" s="141"/>
      <c r="N208" s="133"/>
      <c r="O208" s="4"/>
      <c r="P208" s="4"/>
      <c r="Q208" s="4"/>
      <c r="R208" s="109"/>
      <c r="S208" s="109"/>
      <c r="T208" s="108"/>
      <c r="U208" s="110"/>
      <c r="V208" s="110"/>
      <c r="W208" s="110"/>
      <c r="X208" s="110"/>
    </row>
    <row r="209" spans="1:24" ht="13.5" customHeight="1">
      <c r="A209" s="110">
        <f>IF(E209="","",MATCH(E209,'Daily Sales'!B$4:B$51,0)+3)</f>
        <v>28</v>
      </c>
      <c r="B209" s="135">
        <v>46180</v>
      </c>
      <c r="C209" s="136" t="s">
        <v>97</v>
      </c>
      <c r="D209" s="137" t="str">
        <f t="array" ref="D209">IF($A209="","",INDEX('Daily Sales'!A:A,$A209))</f>
        <v>2-2106</v>
      </c>
      <c r="E209" s="138" t="s">
        <v>35</v>
      </c>
      <c r="F209" s="139" t="str">
        <f t="shared" si="1"/>
        <v>Service Charges 7%</v>
      </c>
      <c r="G209" s="140"/>
      <c r="H209" s="138" t="str">
        <f t="array" ref="H209">IF($A209="","",
  IF(
    OR(
      $A209=23,
      AND($A209&gt;=32,$A209&lt;=50)
    ),
    IFERROR(
      INDEX('Daily Sales'!$C:$AG,
        $A209,
        MATCH(TEXT($B209,"0"),TEXT('Daily Sales'!$C$2:$AG$2,"0"),0)
      ),
    ""),
  "")
)</f>
        <v/>
      </c>
      <c r="I209" s="138">
        <f t="array" ref="I209">IF($A209="","",
  IF(
    OR(
      AND($A209&gt;=4,$A209&lt;=8),
      AND($A209&gt;=12,$A209&lt;=19),
      AND($A209&gt;=28,$A209&lt;=29)
    ),
    IFERROR(
      INDEX('Daily Sales'!$C:$AG,
        $A209,
        MATCH(TEXT($B209,"0"),TEXT('Daily Sales'!$C$2:$AG$2,"0"),0)
      ),
    ""),
  "")
)</f>
        <v>2344508.8800000004</v>
      </c>
      <c r="J209" s="79" t="e">
        <f t="shared" si="2"/>
        <v>#VALUE!</v>
      </c>
      <c r="K209" s="141"/>
      <c r="L209" s="81"/>
      <c r="M209" s="141"/>
      <c r="N209" s="133"/>
      <c r="O209" s="4"/>
      <c r="P209" s="4"/>
      <c r="Q209" s="4"/>
      <c r="R209" s="109"/>
      <c r="S209" s="109"/>
      <c r="T209" s="108"/>
      <c r="U209" s="110"/>
      <c r="V209" s="110"/>
      <c r="W209" s="110"/>
      <c r="X209" s="110"/>
    </row>
    <row r="210" spans="1:24" ht="13.5" customHeight="1">
      <c r="A210" s="110">
        <f>IF(E210="","",MATCH(E210,'Daily Sales'!B$4:B$51,0)+3)</f>
        <v>29</v>
      </c>
      <c r="B210" s="135">
        <v>46180</v>
      </c>
      <c r="C210" s="136" t="s">
        <v>97</v>
      </c>
      <c r="D210" s="137" t="str">
        <f t="array" ref="D210">IF($A210="","",INDEX('Daily Sales'!A:A,$A210))</f>
        <v>2-3101</v>
      </c>
      <c r="E210" s="138" t="s">
        <v>37</v>
      </c>
      <c r="F210" s="139" t="str">
        <f t="shared" si="1"/>
        <v>Tax PB1 10%</v>
      </c>
      <c r="G210" s="140"/>
      <c r="H210" s="138" t="str">
        <f t="array" ref="H210">IF($A210="","",
  IF(
    OR(
      $A210=23,
      AND($A210&gt;=32,$A210&lt;=50)
    ),
    IFERROR(
      INDEX('Daily Sales'!$C:$AG,
        $A210,
        MATCH(TEXT($B210,"0"),TEXT('Daily Sales'!$C$2:$AG$2,"0"),0)
      ),
    ""),
  "")
)</f>
        <v/>
      </c>
      <c r="I210" s="138">
        <f t="array" ref="I210">IF($A210="","",
  IF(
    OR(
      AND($A210&gt;=4,$A210&lt;=8),
      AND($A210&gt;=12,$A210&lt;=19),
      AND($A210&gt;=28,$A210&lt;=29)
    ),
    IFERROR(
      INDEX('Daily Sales'!$C:$AG,
        $A210,
        MATCH(TEXT($B210,"0"),TEXT('Daily Sales'!$C$2:$AG$2,"0"),0)
      ),
    ""),
  "")
)</f>
        <v>3583749.2880000006</v>
      </c>
      <c r="J210" s="79" t="e">
        <f t="shared" si="2"/>
        <v>#VALUE!</v>
      </c>
      <c r="K210" s="141"/>
      <c r="L210" s="81"/>
      <c r="M210" s="141"/>
      <c r="N210" s="133"/>
      <c r="O210" s="4"/>
      <c r="P210" s="4"/>
      <c r="Q210" s="4"/>
      <c r="R210" s="109"/>
      <c r="S210" s="109"/>
      <c r="T210" s="108"/>
      <c r="U210" s="110"/>
      <c r="V210" s="110"/>
      <c r="W210" s="110"/>
      <c r="X210" s="110"/>
    </row>
    <row r="211" spans="1:24" ht="13.5" customHeight="1">
      <c r="A211" s="110">
        <f>IF(E211="","",MATCH(E211,'Daily Sales'!B$4:B$51,0)+3)</f>
        <v>23</v>
      </c>
      <c r="B211" s="135">
        <v>46180</v>
      </c>
      <c r="C211" s="136" t="s">
        <v>97</v>
      </c>
      <c r="D211" s="137" t="str">
        <f t="array" ref="D211">IF($A211="","",INDEX('Daily Sales'!A:A,$A211))</f>
        <v>4-5110</v>
      </c>
      <c r="E211" s="138" t="s">
        <v>30</v>
      </c>
      <c r="F211" s="139" t="str">
        <f t="shared" si="1"/>
        <v>Discount</v>
      </c>
      <c r="G211" s="140"/>
      <c r="H211" s="138">
        <f t="array" ref="H211">IF($A211="","",
  IF(
    OR(
      $A211=23,
      AND($A211&gt;=32,$A211&lt;=50)
    ),
    IFERROR(
      INDEX('Daily Sales'!$C:$AG,
        $A211,
        MATCH(TEXT($B211,"0"),TEXT('Daily Sales'!$C$2:$AG$2,"0"),0)
      ),
    ""),
  "")
)</f>
        <v>787000</v>
      </c>
      <c r="I211" s="138" t="str">
        <f t="array" ref="I211">IF($A211="","",
  IF(
    OR(
      AND($A211&gt;=4,$A211&lt;=8),
      AND($A211&gt;=12,$A211&lt;=19),
      AND($A211&gt;=28,$A211&lt;=29)
    ),
    IFERROR(
      INDEX('Daily Sales'!$C:$AG,
        $A211,
        MATCH(TEXT($B211,"0"),TEXT('Daily Sales'!$C$2:$AG$2,"0"),0)
      ),
    ""),
  "")
)</f>
        <v/>
      </c>
      <c r="J211" s="79" t="e">
        <f t="shared" si="2"/>
        <v>#VALUE!</v>
      </c>
      <c r="K211" s="141"/>
      <c r="L211" s="81"/>
      <c r="M211" s="141"/>
      <c r="N211" s="133"/>
      <c r="O211" s="4"/>
      <c r="P211" s="4"/>
      <c r="Q211" s="4"/>
      <c r="R211" s="109"/>
      <c r="S211" s="109"/>
      <c r="T211" s="108"/>
      <c r="U211" s="110"/>
      <c r="V211" s="110"/>
      <c r="W211" s="110"/>
      <c r="X211" s="110"/>
    </row>
    <row r="212" spans="1:24" ht="13.5" customHeight="1">
      <c r="A212" s="110">
        <f>IF(E212="","",MATCH(E212,'Daily Sales'!B$4:B$51,0)+3)</f>
        <v>32</v>
      </c>
      <c r="B212" s="135">
        <v>46180</v>
      </c>
      <c r="C212" s="136" t="s">
        <v>97</v>
      </c>
      <c r="D212" s="137" t="str">
        <f t="array" ref="D212">IF($A212="","",INDEX('Daily Sales'!A:A,$A212))</f>
        <v>1-1119</v>
      </c>
      <c r="E212" s="138" t="s">
        <v>40</v>
      </c>
      <c r="F212" s="139" t="str">
        <f t="shared" si="1"/>
        <v>Cash IDR</v>
      </c>
      <c r="G212" s="140"/>
      <c r="H212" s="138">
        <f t="array" ref="H212">IF($A212="","",
  IF(
    OR(
      $A212=23,
      AND($A212&gt;=32,$A212&lt;=50)
    ),
    IFERROR(
      INDEX('Daily Sales'!$C:$AG,
        $A212,
        MATCH(TEXT($B212,"0"),TEXT('Daily Sales'!$C$2:$AG$2,"0"),0)
      ),
    ""),
  "")
)</f>
        <v>6757477</v>
      </c>
      <c r="I212" s="138" t="str">
        <f t="array" ref="I212">IF($A212="","",
  IF(
    OR(
      AND($A212&gt;=4,$A212&lt;=8),
      AND($A212&gt;=12,$A212&lt;=19),
      AND($A212&gt;=28,$A212&lt;=29)
    ),
    IFERROR(
      INDEX('Daily Sales'!$C:$AG,
        $A212,
        MATCH(TEXT($B212,"0"),TEXT('Daily Sales'!$C$2:$AG$2,"0"),0)
      ),
    ""),
  "")
)</f>
        <v/>
      </c>
      <c r="J212" s="79" t="e">
        <f t="shared" si="2"/>
        <v>#VALUE!</v>
      </c>
      <c r="K212" s="141"/>
      <c r="L212" s="81"/>
      <c r="M212" s="141"/>
      <c r="N212" s="133"/>
      <c r="O212" s="4"/>
      <c r="P212" s="4"/>
      <c r="Q212" s="4"/>
      <c r="R212" s="109"/>
      <c r="S212" s="109"/>
      <c r="T212" s="108"/>
      <c r="U212" s="110"/>
      <c r="V212" s="110"/>
      <c r="W212" s="110"/>
      <c r="X212" s="110"/>
    </row>
    <row r="213" spans="1:24" ht="13.5" customHeight="1">
      <c r="A213" s="110">
        <f>IF(E213="","",MATCH(E213,'Daily Sales'!B$4:B$51,0)+3)</f>
        <v>33</v>
      </c>
      <c r="B213" s="135">
        <v>46180</v>
      </c>
      <c r="C213" s="136" t="s">
        <v>97</v>
      </c>
      <c r="D213" s="137" t="str">
        <f t="array" ref="D213">IF($A213="","",INDEX('Daily Sales'!A:A,$A213))</f>
        <v>1-1217</v>
      </c>
      <c r="E213" s="138" t="s">
        <v>43</v>
      </c>
      <c r="F213" s="139" t="str">
        <f t="shared" si="1"/>
        <v>Bank transfer</v>
      </c>
      <c r="G213" s="140"/>
      <c r="H213" s="138">
        <f t="array" ref="H213">IF($A213="","",
  IF(
    OR(
      $A213=23,
      AND($A213&gt;=32,$A213&lt;=50)
    ),
    IFERROR(
      INDEX('Daily Sales'!$C:$AG,
        $A213,
        MATCH(TEXT($B213,"0"),TEXT('Daily Sales'!$C$2:$AG$2,"0"),0)
      ),
    ""),
  "")
)</f>
        <v>0</v>
      </c>
      <c r="I213" s="138" t="str">
        <f t="array" ref="I213">IF($A213="","",
  IF(
    OR(
      AND($A213&gt;=4,$A213&lt;=8),
      AND($A213&gt;=12,$A213&lt;=19),
      AND($A213&gt;=28,$A213&lt;=29)
    ),
    IFERROR(
      INDEX('Daily Sales'!$C:$AG,
        $A213,
        MATCH(TEXT($B213,"0"),TEXT('Daily Sales'!$C$2:$AG$2,"0"),0)
      ),
    ""),
  "")
)</f>
        <v/>
      </c>
      <c r="J213" s="79" t="e">
        <f t="shared" si="2"/>
        <v>#VALUE!</v>
      </c>
      <c r="K213" s="141"/>
      <c r="L213" s="81"/>
      <c r="M213" s="141"/>
      <c r="N213" s="133"/>
      <c r="O213" s="4"/>
      <c r="P213" s="4"/>
      <c r="Q213" s="4"/>
      <c r="R213" s="109"/>
      <c r="S213" s="109"/>
      <c r="T213" s="108"/>
      <c r="U213" s="110"/>
      <c r="V213" s="110"/>
      <c r="W213" s="110"/>
      <c r="X213" s="110"/>
    </row>
    <row r="214" spans="1:24" ht="13.5" customHeight="1">
      <c r="A214" s="110">
        <f>IF(E214="","",MATCH(E214,'Daily Sales'!B$4:B$51,0)+3)</f>
        <v>35</v>
      </c>
      <c r="B214" s="135">
        <v>46180</v>
      </c>
      <c r="C214" s="136" t="s">
        <v>97</v>
      </c>
      <c r="D214" s="137" t="str">
        <f t="array" ref="D214">IF($A214="","",INDEX('Daily Sales'!A:A,$A214))</f>
        <v>1-1216</v>
      </c>
      <c r="E214" s="138" t="s">
        <v>46</v>
      </c>
      <c r="F214" s="139" t="str">
        <f t="shared" si="1"/>
        <v>Cim Niaga TBB</v>
      </c>
      <c r="G214" s="140"/>
      <c r="H214" s="138">
        <f t="array" ref="H214">IF($A214="","",
  IF(
    OR(
      $A214=23,
      AND($A214&gt;=32,$A214&lt;=50)
    ),
    IFERROR(
      INDEX('Daily Sales'!$C:$AG,
        $A214,
        MATCH(TEXT($B214,"0"),TEXT('Daily Sales'!$C$2:$AG$2,"0"),0)
      ),
    ""),
  "")
)</f>
        <v>0</v>
      </c>
      <c r="I214" s="138" t="str">
        <f t="array" ref="I214">IF($A214="","",
  IF(
    OR(
      AND($A214&gt;=4,$A214&lt;=8),
      AND($A214&gt;=12,$A214&lt;=19),
      AND($A214&gt;=28,$A214&lt;=29)
    ),
    IFERROR(
      INDEX('Daily Sales'!$C:$AG,
        $A214,
        MATCH(TEXT($B214,"0"),TEXT('Daily Sales'!$C$2:$AG$2,"0"),0)
      ),
    ""),
  "")
)</f>
        <v/>
      </c>
      <c r="J214" s="79" t="e">
        <f t="shared" si="2"/>
        <v>#VALUE!</v>
      </c>
      <c r="K214" s="141"/>
      <c r="L214" s="81"/>
      <c r="M214" s="141"/>
      <c r="N214" s="133"/>
      <c r="O214" s="4"/>
      <c r="P214" s="4"/>
      <c r="Q214" s="4"/>
      <c r="R214" s="109"/>
      <c r="S214" s="109"/>
      <c r="T214" s="108"/>
      <c r="U214" s="110"/>
      <c r="V214" s="110"/>
      <c r="W214" s="110"/>
      <c r="X214" s="110"/>
    </row>
    <row r="215" spans="1:24" ht="13.5" customHeight="1">
      <c r="A215" s="110">
        <f>IF(E215="","",MATCH(E215,'Daily Sales'!B$4:B$51,0)+3)</f>
        <v>36</v>
      </c>
      <c r="B215" s="135">
        <v>46180</v>
      </c>
      <c r="C215" s="136" t="s">
        <v>97</v>
      </c>
      <c r="D215" s="137" t="str">
        <f t="array" ref="D215">IF($A215="","",INDEX('Daily Sales'!A:A,$A215))</f>
        <v>1-1213</v>
      </c>
      <c r="E215" s="138" t="s">
        <v>49</v>
      </c>
      <c r="F215" s="139" t="str">
        <f t="shared" si="1"/>
        <v>Mandiri Debet</v>
      </c>
      <c r="G215" s="140"/>
      <c r="H215" s="138">
        <f t="array" ref="H215">IF($A215="","",
  IF(
    OR(
      $A215=23,
      AND($A215&gt;=32,$A215&lt;=50)
    ),
    IFERROR(
      INDEX('Daily Sales'!$C:$AG,
        $A215,
        MATCH(TEXT($B215,"0"),TEXT('Daily Sales'!$C$2:$AG$2,"0"),0)
      ),
    ""),
  "")
)</f>
        <v>200000</v>
      </c>
      <c r="I215" s="138" t="str">
        <f t="array" ref="I215">IF($A215="","",
  IF(
    OR(
      AND($A215&gt;=4,$A215&lt;=8),
      AND($A215&gt;=12,$A215&lt;=19),
      AND($A215&gt;=28,$A215&lt;=29)
    ),
    IFERROR(
      INDEX('Daily Sales'!$C:$AG,
        $A215,
        MATCH(TEXT($B215,"0"),TEXT('Daily Sales'!$C$2:$AG$2,"0"),0)
      ),
    ""),
  "")
)</f>
        <v/>
      </c>
      <c r="J215" s="79" t="e">
        <f t="shared" si="2"/>
        <v>#VALUE!</v>
      </c>
      <c r="K215" s="141"/>
      <c r="L215" s="81"/>
      <c r="M215" s="141"/>
      <c r="N215" s="133"/>
      <c r="O215" s="4"/>
      <c r="P215" s="4"/>
      <c r="Q215" s="4"/>
      <c r="R215" s="109"/>
      <c r="S215" s="109"/>
      <c r="T215" s="108"/>
      <c r="U215" s="110"/>
      <c r="V215" s="110"/>
      <c r="W215" s="110"/>
      <c r="X215" s="110"/>
    </row>
    <row r="216" spans="1:24" ht="13.5" customHeight="1">
      <c r="A216" s="110">
        <f>IF(E216="","",MATCH(E216,'Daily Sales'!B$4:B$51,0)+3)</f>
        <v>37</v>
      </c>
      <c r="B216" s="135">
        <v>46180</v>
      </c>
      <c r="C216" s="136" t="s">
        <v>97</v>
      </c>
      <c r="D216" s="137" t="str">
        <f t="array" ref="D216">IF($A216="","",INDEX('Daily Sales'!A:A,$A216))</f>
        <v>1-1213</v>
      </c>
      <c r="E216" s="138" t="s">
        <v>50</v>
      </c>
      <c r="F216" s="139" t="str">
        <f t="shared" si="1"/>
        <v>Mandiri CC</v>
      </c>
      <c r="G216" s="140"/>
      <c r="H216" s="138">
        <f t="array" ref="H216">IF($A216="","",
  IF(
    OR(
      $A216=23,
      AND($A216&gt;=32,$A216&lt;=50)
    ),
    IFERROR(
      INDEX('Daily Sales'!$C:$AG,
        $A216,
        MATCH(TEXT($B216,"0"),TEXT('Daily Sales'!$C$2:$AG$2,"0"),0)
      ),
    ""),
  "")
)</f>
        <v>21889110</v>
      </c>
      <c r="I216" s="138" t="str">
        <f t="array" ref="I216">IF($A216="","",
  IF(
    OR(
      AND($A216&gt;=4,$A216&lt;=8),
      AND($A216&gt;=12,$A216&lt;=19),
      AND($A216&gt;=28,$A216&lt;=29)
    ),
    IFERROR(
      INDEX('Daily Sales'!$C:$AG,
        $A216,
        MATCH(TEXT($B216,"0"),TEXT('Daily Sales'!$C$2:$AG$2,"0"),0)
      ),
    ""),
  "")
)</f>
        <v/>
      </c>
      <c r="J216" s="79" t="e">
        <f t="shared" si="2"/>
        <v>#VALUE!</v>
      </c>
      <c r="K216" s="141"/>
      <c r="L216" s="81"/>
      <c r="M216" s="141"/>
      <c r="N216" s="133"/>
      <c r="O216" s="4"/>
      <c r="P216" s="4"/>
      <c r="Q216" s="4"/>
      <c r="R216" s="109"/>
      <c r="S216" s="109"/>
      <c r="T216" s="108"/>
      <c r="U216" s="110"/>
      <c r="V216" s="110"/>
      <c r="W216" s="110"/>
      <c r="X216" s="110"/>
    </row>
    <row r="217" spans="1:24" ht="13.5" customHeight="1">
      <c r="A217" s="110">
        <f>IF(E217="","",MATCH(E217,'Daily Sales'!B$4:B$51,0)+3)</f>
        <v>38</v>
      </c>
      <c r="B217" s="135">
        <v>46180</v>
      </c>
      <c r="C217" s="136" t="s">
        <v>97</v>
      </c>
      <c r="D217" s="137" t="str">
        <f t="array" ref="D217">IF($A217="","",INDEX('Daily Sales'!A:A,$A217))</f>
        <v>1-1213</v>
      </c>
      <c r="E217" s="138" t="s">
        <v>51</v>
      </c>
      <c r="F217" s="139" t="str">
        <f t="shared" si="1"/>
        <v>Mandiri NPG</v>
      </c>
      <c r="G217" s="140"/>
      <c r="H217" s="138">
        <f t="array" ref="H217">IF($A217="","",
  IF(
    OR(
      $A217=23,
      AND($A217&gt;=32,$A217&lt;=50)
    ),
    IFERROR(
      INDEX('Daily Sales'!$C:$AG,
        $A217,
        MATCH(TEXT($B217,"0"),TEXT('Daily Sales'!$C$2:$AG$2,"0"),0)
      ),
    ""),
  "")
)</f>
        <v>3330460</v>
      </c>
      <c r="I217" s="138" t="str">
        <f t="array" ref="I217">IF($A217="","",
  IF(
    OR(
      AND($A217&gt;=4,$A217&lt;=8),
      AND($A217&gt;=12,$A217&lt;=19),
      AND($A217&gt;=28,$A217&lt;=29)
    ),
    IFERROR(
      INDEX('Daily Sales'!$C:$AG,
        $A217,
        MATCH(TEXT($B217,"0"),TEXT('Daily Sales'!$C$2:$AG$2,"0"),0)
      ),
    ""),
  "")
)</f>
        <v/>
      </c>
      <c r="J217" s="79" t="e">
        <f t="shared" si="2"/>
        <v>#VALUE!</v>
      </c>
      <c r="K217" s="141"/>
      <c r="L217" s="81"/>
      <c r="M217" s="141"/>
      <c r="N217" s="133"/>
      <c r="O217" s="4"/>
      <c r="P217" s="4"/>
      <c r="Q217" s="4"/>
      <c r="R217" s="109"/>
      <c r="S217" s="109"/>
      <c r="T217" s="108"/>
      <c r="U217" s="110"/>
      <c r="V217" s="110"/>
      <c r="W217" s="110"/>
      <c r="X217" s="110"/>
    </row>
    <row r="218" spans="1:24" ht="13.5" customHeight="1">
      <c r="A218" s="110">
        <f>IF(E218="","",MATCH(E218,'Daily Sales'!B$4:B$51,0)+3)</f>
        <v>39</v>
      </c>
      <c r="B218" s="135">
        <v>46180</v>
      </c>
      <c r="C218" s="136" t="s">
        <v>97</v>
      </c>
      <c r="D218" s="137" t="str">
        <f t="array" ref="D218">IF($A218="","",INDEX('Daily Sales'!A:A,$A218))</f>
        <v>1-1213</v>
      </c>
      <c r="E218" s="138" t="s">
        <v>52</v>
      </c>
      <c r="F218" s="139" t="str">
        <f t="shared" si="1"/>
        <v>Mandiri QR</v>
      </c>
      <c r="G218" s="140"/>
      <c r="H218" s="138">
        <f t="array" ref="H218">IF($A218="","",
  IF(
    OR(
      $A218=23,
      AND($A218&gt;=32,$A218&lt;=50)
    ),
    IFERROR(
      INDEX('Daily Sales'!$C:$AG,
        $A218,
        MATCH(TEXT($B218,"0"),TEXT('Daily Sales'!$C$2:$AG$2,"0"),0)
      ),
    ""),
  "")
)</f>
        <v>4392433</v>
      </c>
      <c r="I218" s="138" t="str">
        <f t="array" ref="I218">IF($A218="","",
  IF(
    OR(
      AND($A218&gt;=4,$A218&lt;=8),
      AND($A218&gt;=12,$A218&lt;=19),
      AND($A218&gt;=28,$A218&lt;=29)
    ),
    IFERROR(
      INDEX('Daily Sales'!$C:$AG,
        $A218,
        MATCH(TEXT($B218,"0"),TEXT('Daily Sales'!$C$2:$AG$2,"0"),0)
      ),
    ""),
  "")
)</f>
        <v/>
      </c>
      <c r="J218" s="79" t="e">
        <f t="shared" si="2"/>
        <v>#VALUE!</v>
      </c>
      <c r="K218" s="141"/>
      <c r="L218" s="81"/>
      <c r="M218" s="141"/>
      <c r="N218" s="133"/>
      <c r="O218" s="4"/>
      <c r="P218" s="4"/>
      <c r="Q218" s="4"/>
      <c r="R218" s="109"/>
      <c r="S218" s="109"/>
      <c r="T218" s="108"/>
      <c r="U218" s="110"/>
      <c r="V218" s="110"/>
      <c r="W218" s="110"/>
      <c r="X218" s="110"/>
    </row>
    <row r="219" spans="1:24" ht="13.5" customHeight="1">
      <c r="A219" s="110">
        <f>IF(E219="","",MATCH(E219,'Daily Sales'!B$4:B$51,0)+3)</f>
        <v>40</v>
      </c>
      <c r="B219" s="135">
        <v>46180</v>
      </c>
      <c r="C219" s="136" t="s">
        <v>97</v>
      </c>
      <c r="D219" s="137" t="str">
        <f t="array" ref="D219">IF($A219="","",INDEX('Daily Sales'!A:A,$A219))</f>
        <v>1-1217</v>
      </c>
      <c r="E219" s="138" t="s">
        <v>54</v>
      </c>
      <c r="F219" s="139" t="str">
        <f t="shared" si="1"/>
        <v>BCA CC</v>
      </c>
      <c r="G219" s="140"/>
      <c r="H219" s="138">
        <f t="array" ref="H219">IF($A219="","",
  IF(
    OR(
      $A219=23,
      AND($A219&gt;=32,$A219&lt;=50)
    ),
    IFERROR(
      INDEX('Daily Sales'!$C:$AG,
        $A219,
        MATCH(TEXT($B219,"0"),TEXT('Daily Sales'!$C$2:$AG$2,"0"),0)
      ),
    ""),
  "")
)</f>
        <v>1412400</v>
      </c>
      <c r="I219" s="138" t="str">
        <f t="array" ref="I219">IF($A219="","",
  IF(
    OR(
      AND($A219&gt;=4,$A219&lt;=8),
      AND($A219&gt;=12,$A219&lt;=19),
      AND($A219&gt;=28,$A219&lt;=29)
    ),
    IFERROR(
      INDEX('Daily Sales'!$C:$AG,
        $A219,
        MATCH(TEXT($B219,"0"),TEXT('Daily Sales'!$C$2:$AG$2,"0"),0)
      ),
    ""),
  "")
)</f>
        <v/>
      </c>
      <c r="J219" s="79" t="e">
        <f t="shared" si="2"/>
        <v>#VALUE!</v>
      </c>
      <c r="K219" s="141"/>
      <c r="L219" s="81"/>
      <c r="M219" s="141"/>
      <c r="N219" s="133"/>
      <c r="O219" s="4"/>
      <c r="P219" s="4"/>
      <c r="Q219" s="4"/>
      <c r="R219" s="109"/>
      <c r="S219" s="109"/>
      <c r="T219" s="108"/>
      <c r="U219" s="110"/>
      <c r="V219" s="110"/>
      <c r="W219" s="110"/>
      <c r="X219" s="110"/>
    </row>
    <row r="220" spans="1:24" ht="13.5" customHeight="1">
      <c r="A220" s="110">
        <f>IF(E220="","",MATCH(E220,'Daily Sales'!B$4:B$51,0)+3)</f>
        <v>41</v>
      </c>
      <c r="B220" s="135">
        <v>46180</v>
      </c>
      <c r="C220" s="136" t="s">
        <v>97</v>
      </c>
      <c r="D220" s="137" t="str">
        <f t="array" ref="D220">IF($A220="","",INDEX('Daily Sales'!A:A,$A220))</f>
        <v>1-1217</v>
      </c>
      <c r="E220" s="138" t="s">
        <v>55</v>
      </c>
      <c r="F220" s="139" t="str">
        <f t="shared" si="1"/>
        <v>BCA debt</v>
      </c>
      <c r="G220" s="140"/>
      <c r="H220" s="138">
        <f t="array" ref="H220">IF($A220="","",
  IF(
    OR(
      $A220=23,
      AND($A220&gt;=32,$A220&lt;=50)
    ),
    IFERROR(
      INDEX('Daily Sales'!$C:$AG,
        $A220,
        MATCH(TEXT($B220,"0"),TEXT('Daily Sales'!$C$2:$AG$2,"0"),0)
      ),
    ""),
  "")
)</f>
        <v>765050</v>
      </c>
      <c r="I220" s="138" t="str">
        <f t="array" ref="I220">IF($A220="","",
  IF(
    OR(
      AND($A220&gt;=4,$A220&lt;=8),
      AND($A220&gt;=12,$A220&lt;=19),
      AND($A220&gt;=28,$A220&lt;=29)
    ),
    IFERROR(
      INDEX('Daily Sales'!$C:$AG,
        $A220,
        MATCH(TEXT($B220,"0"),TEXT('Daily Sales'!$C$2:$AG$2,"0"),0)
      ),
    ""),
  "")
)</f>
        <v/>
      </c>
      <c r="J220" s="79" t="e">
        <f t="shared" si="2"/>
        <v>#VALUE!</v>
      </c>
      <c r="K220" s="141"/>
      <c r="L220" s="81"/>
      <c r="M220" s="141"/>
      <c r="N220" s="133"/>
      <c r="O220" s="4"/>
      <c r="P220" s="4"/>
      <c r="Q220" s="4"/>
      <c r="R220" s="109"/>
      <c r="S220" s="109"/>
      <c r="T220" s="108"/>
      <c r="U220" s="110"/>
      <c r="V220" s="110"/>
      <c r="W220" s="110"/>
      <c r="X220" s="110"/>
    </row>
    <row r="221" spans="1:24" ht="13.5" customHeight="1">
      <c r="A221" s="110">
        <f>IF(E221="","",MATCH(E221,'Daily Sales'!B$4:B$51,0)+3)</f>
        <v>42</v>
      </c>
      <c r="B221" s="135">
        <v>46180</v>
      </c>
      <c r="C221" s="136" t="s">
        <v>97</v>
      </c>
      <c r="D221" s="137" t="str">
        <f t="array" ref="D221">IF($A221="","",INDEX('Daily Sales'!A:A,$A221))</f>
        <v>1-1217</v>
      </c>
      <c r="E221" s="138" t="s">
        <v>56</v>
      </c>
      <c r="F221" s="139" t="str">
        <f t="shared" si="1"/>
        <v>BCA QR</v>
      </c>
      <c r="G221" s="140"/>
      <c r="H221" s="138">
        <f t="array" ref="H221">IF($A221="","",
  IF(
    OR(
      $A221=23,
      AND($A221&gt;=32,$A221&lt;=50)
    ),
    IFERROR(
      INDEX('Daily Sales'!$C:$AG,
        $A221,
        MATCH(TEXT($B221,"0"),TEXT('Daily Sales'!$C$2:$AG$2,"0"),0)
      ),
    ""),
  "")
)</f>
        <v>164780</v>
      </c>
      <c r="I221" s="138" t="str">
        <f t="array" ref="I221">IF($A221="","",
  IF(
    OR(
      AND($A221&gt;=4,$A221&lt;=8),
      AND($A221&gt;=12,$A221&lt;=19),
      AND($A221&gt;=28,$A221&lt;=29)
    ),
    IFERROR(
      INDEX('Daily Sales'!$C:$AG,
        $A221,
        MATCH(TEXT($B221,"0"),TEXT('Daily Sales'!$C$2:$AG$2,"0"),0)
      ),
    ""),
  "")
)</f>
        <v/>
      </c>
      <c r="J221" s="79" t="e">
        <f t="shared" si="2"/>
        <v>#VALUE!</v>
      </c>
      <c r="K221" s="141"/>
      <c r="L221" s="81"/>
      <c r="M221" s="141"/>
      <c r="N221" s="133"/>
      <c r="O221" s="4"/>
      <c r="P221" s="4"/>
      <c r="Q221" s="4"/>
      <c r="R221" s="109"/>
      <c r="S221" s="109"/>
      <c r="T221" s="108"/>
      <c r="U221" s="110"/>
      <c r="V221" s="110"/>
      <c r="W221" s="110"/>
      <c r="X221" s="110"/>
    </row>
    <row r="222" spans="1:24" ht="13.5" customHeight="1">
      <c r="A222" s="110">
        <f>IF(E222="","",MATCH(E222,'Daily Sales'!B$4:B$51,0)+3)</f>
        <v>43</v>
      </c>
      <c r="B222" s="135">
        <v>46180</v>
      </c>
      <c r="C222" s="136" t="s">
        <v>97</v>
      </c>
      <c r="D222" s="137" t="str">
        <f t="array" ref="D222">IF($A222="","",INDEX('Daily Sales'!A:A,$A222))</f>
        <v>1-1214</v>
      </c>
      <c r="E222" s="138" t="s">
        <v>59</v>
      </c>
      <c r="F222" s="139" t="str">
        <f t="shared" si="1"/>
        <v>Bank BRI DEBET</v>
      </c>
      <c r="G222" s="140"/>
      <c r="H222" s="138">
        <f t="array" ref="H222">IF($A222="","",
  IF(
    OR(
      $A222=23,
      AND($A222&gt;=32,$A222&lt;=50)
    ),
    IFERROR(
      INDEX('Daily Sales'!$C:$AG,
        $A222,
        MATCH(TEXT($B222,"0"),TEXT('Daily Sales'!$C$2:$AG$2,"0"),0)
      ),
    ""),
  "")
)</f>
        <v>0</v>
      </c>
      <c r="I222" s="138" t="str">
        <f t="array" ref="I222">IF($A222="","",
  IF(
    OR(
      AND($A222&gt;=4,$A222&lt;=8),
      AND($A222&gt;=12,$A222&lt;=19),
      AND($A222&gt;=28,$A222&lt;=29)
    ),
    IFERROR(
      INDEX('Daily Sales'!$C:$AG,
        $A222,
        MATCH(TEXT($B222,"0"),TEXT('Daily Sales'!$C$2:$AG$2,"0"),0)
      ),
    ""),
  "")
)</f>
        <v/>
      </c>
      <c r="J222" s="79" t="e">
        <f t="shared" si="2"/>
        <v>#VALUE!</v>
      </c>
      <c r="K222" s="141"/>
      <c r="L222" s="81"/>
      <c r="M222" s="141"/>
      <c r="N222" s="133"/>
      <c r="O222" s="4"/>
      <c r="P222" s="4"/>
      <c r="Q222" s="4"/>
      <c r="R222" s="109"/>
      <c r="S222" s="109"/>
      <c r="T222" s="108"/>
      <c r="U222" s="110"/>
      <c r="V222" s="110"/>
      <c r="W222" s="110"/>
      <c r="X222" s="110"/>
    </row>
    <row r="223" spans="1:24" ht="13.5" customHeight="1">
      <c r="A223" s="110">
        <f>IF(E223="","",MATCH(E223,'Daily Sales'!B$4:B$51,0)+3)</f>
        <v>44</v>
      </c>
      <c r="B223" s="135">
        <v>46180</v>
      </c>
      <c r="C223" s="136" t="s">
        <v>97</v>
      </c>
      <c r="D223" s="137" t="str">
        <f t="array" ref="D223">IF($A223="","",INDEX('Daily Sales'!A:A,$A223))</f>
        <v>1-1214</v>
      </c>
      <c r="E223" s="138" t="s">
        <v>60</v>
      </c>
      <c r="F223" s="139" t="str">
        <f t="shared" si="1"/>
        <v>Bank BRI CC</v>
      </c>
      <c r="G223" s="140"/>
      <c r="H223" s="138">
        <f t="array" ref="H223">IF($A223="","",
  IF(
    OR(
      $A223=23,
      AND($A223&gt;=32,$A223&lt;=50)
    ),
    IFERROR(
      INDEX('Daily Sales'!$C:$AG,
        $A223,
        MATCH(TEXT($B223,"0"),TEXT('Daily Sales'!$C$2:$AG$2,"0"),0)
      ),
    ""),
  "")
)</f>
        <v>0</v>
      </c>
      <c r="I223" s="138" t="str">
        <f t="array" ref="I223">IF($A223="","",
  IF(
    OR(
      AND($A223&gt;=4,$A223&lt;=8),
      AND($A223&gt;=12,$A223&lt;=19),
      AND($A223&gt;=28,$A223&lt;=29)
    ),
    IFERROR(
      INDEX('Daily Sales'!$C:$AG,
        $A223,
        MATCH(TEXT($B223,"0"),TEXT('Daily Sales'!$C$2:$AG$2,"0"),0)
      ),
    ""),
  "")
)</f>
        <v/>
      </c>
      <c r="J223" s="79" t="e">
        <f t="shared" si="2"/>
        <v>#VALUE!</v>
      </c>
      <c r="K223" s="141"/>
      <c r="L223" s="81"/>
      <c r="M223" s="141"/>
      <c r="N223" s="133"/>
      <c r="O223" s="4"/>
      <c r="P223" s="4"/>
      <c r="Q223" s="4"/>
      <c r="R223" s="109"/>
      <c r="S223" s="109"/>
      <c r="T223" s="108"/>
      <c r="U223" s="110"/>
      <c r="V223" s="110"/>
      <c r="W223" s="110"/>
      <c r="X223" s="110"/>
    </row>
    <row r="224" spans="1:24" ht="13.5" customHeight="1">
      <c r="A224" s="110">
        <f>IF(E224="","",MATCH(E224,'Daily Sales'!B$4:B$51,0)+3)</f>
        <v>45</v>
      </c>
      <c r="B224" s="135">
        <v>46180</v>
      </c>
      <c r="C224" s="136" t="s">
        <v>97</v>
      </c>
      <c r="D224" s="137" t="str">
        <f t="array" ref="D224">IF($A224="","",INDEX('Daily Sales'!A:A,$A224))</f>
        <v>1-1214</v>
      </c>
      <c r="E224" s="138" t="s">
        <v>61</v>
      </c>
      <c r="F224" s="139" t="str">
        <f t="shared" si="1"/>
        <v>Bank BRI QR</v>
      </c>
      <c r="G224" s="140"/>
      <c r="H224" s="138">
        <f t="array" ref="H224">IF($A224="","",
  IF(
    OR(
      $A224=23,
      AND($A224&gt;=32,$A224&lt;=50)
    ),
    IFERROR(
      INDEX('Daily Sales'!$C:$AG,
        $A224,
        MATCH(TEXT($B224,"0"),TEXT('Daily Sales'!$C$2:$AG$2,"0"),0)
      ),
    ""),
  "")
)</f>
        <v>0</v>
      </c>
      <c r="I224" s="138" t="str">
        <f t="array" ref="I224">IF($A224="","",
  IF(
    OR(
      AND($A224&gt;=4,$A224&lt;=8),
      AND($A224&gt;=12,$A224&lt;=19),
      AND($A224&gt;=28,$A224&lt;=29)
    ),
    IFERROR(
      INDEX('Daily Sales'!$C:$AG,
        $A224,
        MATCH(TEXT($B224,"0"),TEXT('Daily Sales'!$C$2:$AG$2,"0"),0)
      ),
    ""),
  "")
)</f>
        <v/>
      </c>
      <c r="J224" s="79" t="e">
        <f t="shared" si="2"/>
        <v>#VALUE!</v>
      </c>
      <c r="K224" s="141"/>
      <c r="L224" s="81"/>
      <c r="M224" s="141"/>
      <c r="N224" s="133"/>
      <c r="O224" s="4"/>
      <c r="P224" s="4"/>
      <c r="Q224" s="4"/>
      <c r="R224" s="109"/>
      <c r="S224" s="109"/>
      <c r="T224" s="108"/>
      <c r="U224" s="110"/>
      <c r="V224" s="110"/>
      <c r="W224" s="110"/>
      <c r="X224" s="110"/>
    </row>
    <row r="225" spans="1:24" ht="13.5" customHeight="1">
      <c r="A225" s="110">
        <f>IF(E225="","",MATCH(E225,'Daily Sales'!B$4:B$51,0)+3)</f>
        <v>46</v>
      </c>
      <c r="B225" s="135">
        <v>46180</v>
      </c>
      <c r="C225" s="136" t="s">
        <v>97</v>
      </c>
      <c r="D225" s="137" t="str">
        <f t="array" ref="D225">IF($A225="","",INDEX('Daily Sales'!A:A,$A225))</f>
        <v>1-1202</v>
      </c>
      <c r="E225" s="138" t="s">
        <v>64</v>
      </c>
      <c r="F225" s="139" t="str">
        <f t="shared" si="1"/>
        <v>Ledger</v>
      </c>
      <c r="G225" s="140"/>
      <c r="H225" s="138">
        <f t="array" ref="H225">IF($A225="","",
  IF(
    OR(
      $A225=23,
      AND($A225&gt;=32,$A225&lt;=50)
    ),
    IFERROR(
      INDEX('Daily Sales'!$C:$AG,
        $A225,
        MATCH(TEXT($B225,"0"),TEXT('Daily Sales'!$C$2:$AG$2,"0"),0)
      ),
    ""),
  "")
)</f>
        <v>509054</v>
      </c>
      <c r="I225" s="138" t="str">
        <f t="array" ref="I225">IF($A225="","",
  IF(
    OR(
      AND($A225&gt;=4,$A225&lt;=8),
      AND($A225&gt;=12,$A225&lt;=19),
      AND($A225&gt;=28,$A225&lt;=29)
    ),
    IFERROR(
      INDEX('Daily Sales'!$C:$AG,
        $A225,
        MATCH(TEXT($B225,"0"),TEXT('Daily Sales'!$C$2:$AG$2,"0"),0)
      ),
    ""),
  "")
)</f>
        <v/>
      </c>
      <c r="J225" s="79" t="e">
        <f t="shared" si="2"/>
        <v>#VALUE!</v>
      </c>
      <c r="K225" s="141"/>
      <c r="L225" s="81"/>
      <c r="M225" s="141"/>
      <c r="N225" s="133"/>
      <c r="O225" s="4"/>
      <c r="P225" s="4"/>
      <c r="Q225" s="4"/>
      <c r="R225" s="109"/>
      <c r="S225" s="109"/>
      <c r="T225" s="108"/>
      <c r="U225" s="110"/>
      <c r="V225" s="110"/>
      <c r="W225" s="110"/>
      <c r="X225" s="110"/>
    </row>
    <row r="226" spans="1:24" ht="13.5" customHeight="1">
      <c r="A226" s="110">
        <f>IF(E226="","",MATCH(E226,'Daily Sales'!B$4:B$51,0)+3)</f>
        <v>47</v>
      </c>
      <c r="B226" s="135">
        <v>46180</v>
      </c>
      <c r="C226" s="136" t="s">
        <v>97</v>
      </c>
      <c r="D226" s="137" t="str">
        <f t="array" ref="D226">IF($A226="","",INDEX('Daily Sales'!A:A,$A226))</f>
        <v>1-1129</v>
      </c>
      <c r="E226" s="138" t="s">
        <v>66</v>
      </c>
      <c r="F226" s="139" t="str">
        <f t="shared" si="1"/>
        <v>Star Points</v>
      </c>
      <c r="G226" s="140"/>
      <c r="H226" s="138">
        <f t="array" ref="H226">IF($A226="","",
  IF(
    OR(
      $A226=23,
      AND($A226&gt;=32,$A226&lt;=50)
    ),
    IFERROR(
      INDEX('Daily Sales'!$C:$AG,
        $A226,
        MATCH(TEXT($B226,"0"),TEXT('Daily Sales'!$C$2:$AG$2,"0"),0)
      ),
    ""),
  "")
)</f>
        <v>0</v>
      </c>
      <c r="I226" s="138" t="str">
        <f t="array" ref="I226">IF($A226="","",
  IF(
    OR(
      AND($A226&gt;=4,$A226&lt;=8),
      AND($A226&gt;=12,$A226&lt;=19),
      AND($A226&gt;=28,$A226&lt;=29)
    ),
    IFERROR(
      INDEX('Daily Sales'!$C:$AG,
        $A226,
        MATCH(TEXT($B226,"0"),TEXT('Daily Sales'!$C$2:$AG$2,"0"),0)
      ),
    ""),
  "")
)</f>
        <v/>
      </c>
      <c r="J226" s="79" t="e">
        <f t="shared" si="2"/>
        <v>#VALUE!</v>
      </c>
      <c r="K226" s="141"/>
      <c r="L226" s="81"/>
      <c r="M226" s="141"/>
      <c r="N226" s="133"/>
      <c r="O226" s="4"/>
      <c r="P226" s="4"/>
      <c r="Q226" s="4"/>
      <c r="R226" s="109"/>
      <c r="S226" s="109"/>
      <c r="T226" s="108"/>
      <c r="U226" s="110"/>
      <c r="V226" s="110"/>
      <c r="W226" s="110"/>
      <c r="X226" s="110"/>
    </row>
    <row r="227" spans="1:24" ht="13.5" customHeight="1">
      <c r="A227" s="110">
        <f>IF(E227="","",MATCH(E227,'Daily Sales'!B$4:B$51,0)+3)</f>
        <v>48</v>
      </c>
      <c r="B227" s="135">
        <v>46180</v>
      </c>
      <c r="C227" s="136" t="s">
        <v>97</v>
      </c>
      <c r="D227" s="137" t="str">
        <f t="array" ref="D227">IF($A227="","",INDEX('Daily Sales'!A:A,$A227))</f>
        <v>1-1215</v>
      </c>
      <c r="E227" s="138" t="s">
        <v>68</v>
      </c>
      <c r="F227" s="139" t="str">
        <f t="shared" si="1"/>
        <v>Ovo</v>
      </c>
      <c r="G227" s="140"/>
      <c r="H227" s="138">
        <f t="array" ref="H227">IF($A227="","",
  IF(
    OR(
      $A227=23,
      AND($A227&gt;=32,$A227&lt;=50)
    ),
    IFERROR(
      INDEX('Daily Sales'!$C:$AG,
        $A227,
        MATCH(TEXT($B227,"0"),TEXT('Daily Sales'!$C$2:$AG$2,"0"),0)
      ),
    ""),
  "")
)</f>
        <v>0</v>
      </c>
      <c r="I227" s="138" t="str">
        <f t="array" ref="I227">IF($A227="","",
  IF(
    OR(
      AND($A227&gt;=4,$A227&lt;=8),
      AND($A227&gt;=12,$A227&lt;=19),
      AND($A227&gt;=28,$A227&lt;=29)
    ),
    IFERROR(
      INDEX('Daily Sales'!$C:$AG,
        $A227,
        MATCH(TEXT($B227,"0"),TEXT('Daily Sales'!$C$2:$AG$2,"0"),0)
      ),
    ""),
  "")
)</f>
        <v/>
      </c>
      <c r="J227" s="79" t="e">
        <f t="shared" si="2"/>
        <v>#VALUE!</v>
      </c>
      <c r="K227" s="141"/>
      <c r="L227" s="81"/>
      <c r="M227" s="141"/>
      <c r="N227" s="133"/>
      <c r="O227" s="4"/>
      <c r="P227" s="4"/>
      <c r="Q227" s="4"/>
      <c r="R227" s="109"/>
      <c r="S227" s="109"/>
      <c r="T227" s="108"/>
      <c r="U227" s="110"/>
      <c r="V227" s="110"/>
      <c r="W227" s="110"/>
      <c r="X227" s="110"/>
    </row>
    <row r="228" spans="1:24" ht="13.5" customHeight="1">
      <c r="A228" s="110">
        <f>IF(E228="","",MATCH(E228,'Daily Sales'!B$4:B$51,0)+3)</f>
        <v>49</v>
      </c>
      <c r="B228" s="135">
        <v>46180</v>
      </c>
      <c r="C228" s="136" t="s">
        <v>97</v>
      </c>
      <c r="D228" s="137" t="str">
        <f t="array" ref="D228">IF($A228="","",INDEX('Daily Sales'!A:A,$A228))</f>
        <v>1-1211</v>
      </c>
      <c r="E228" s="138" t="s">
        <v>70</v>
      </c>
      <c r="F228" s="139" t="str">
        <f t="shared" si="1"/>
        <v>Gopay</v>
      </c>
      <c r="G228" s="140"/>
      <c r="H228" s="138">
        <f t="array" ref="H228">IF($A228="","",
  IF(
    OR(
      $A228=23,
      AND($A228&gt;=32,$A228&lt;=50)
    ),
    IFERROR(
      INDEX('Daily Sales'!$C:$AG,
        $A228,
        MATCH(TEXT($B228,"0"),TEXT('Daily Sales'!$C$2:$AG$2,"0"),0)
      ),
    ""),
  "")
)</f>
        <v>0</v>
      </c>
      <c r="I228" s="138" t="str">
        <f t="array" ref="I228">IF($A228="","",
  IF(
    OR(
      AND($A228&gt;=4,$A228&lt;=8),
      AND($A228&gt;=12,$A228&lt;=19),
      AND($A228&gt;=28,$A228&lt;=29)
    ),
    IFERROR(
      INDEX('Daily Sales'!$C:$AG,
        $A228,
        MATCH(TEXT($B228,"0"),TEXT('Daily Sales'!$C$2:$AG$2,"0"),0)
      ),
    ""),
  "")
)</f>
        <v/>
      </c>
      <c r="J228" s="79" t="e">
        <f t="shared" si="2"/>
        <v>#VALUE!</v>
      </c>
      <c r="K228" s="141"/>
      <c r="L228" s="81"/>
      <c r="M228" s="141"/>
      <c r="N228" s="133"/>
      <c r="O228" s="4"/>
      <c r="P228" s="4"/>
      <c r="Q228" s="4"/>
      <c r="R228" s="109"/>
      <c r="S228" s="109"/>
      <c r="T228" s="108"/>
      <c r="U228" s="110"/>
      <c r="V228" s="110"/>
      <c r="W228" s="110"/>
      <c r="X228" s="110"/>
    </row>
    <row r="229" spans="1:24" ht="13.5" customHeight="1">
      <c r="A229" s="110">
        <f>IF(E229="","",MATCH(E229,'Daily Sales'!B$4:B$51,0)+3)</f>
        <v>50</v>
      </c>
      <c r="B229" s="135">
        <v>46180</v>
      </c>
      <c r="C229" s="136" t="s">
        <v>97</v>
      </c>
      <c r="D229" s="137" t="str">
        <f t="array" ref="D229">IF($A229="","",INDEX('Daily Sales'!A:A,$A229))</f>
        <v>2-2110</v>
      </c>
      <c r="E229" s="138" t="s">
        <v>72</v>
      </c>
      <c r="F229" s="139" t="str">
        <f t="shared" si="1"/>
        <v>Cash Short/Over</v>
      </c>
      <c r="G229" s="140"/>
      <c r="H229" s="138">
        <f t="array" ref="H229">IF($A229="","",
  IF(
    OR(
      $A229=23,
      AND($A229&gt;=32,$A229&lt;=50)
    ),
    IFERROR(
      INDEX('Daily Sales'!$C:$AG,
        $A229,
        MATCH(TEXT($B229,"0"),TEXT('Daily Sales'!$C$2:$AG$2,"0"),0)
      ),
    ""),
  "")
)</f>
        <v>478.1680000051856</v>
      </c>
      <c r="I229" s="138" t="str">
        <f t="array" ref="I229">IF($A229="","",
  IF(
    OR(
      AND($A229&gt;=4,$A229&lt;=8),
      AND($A229&gt;=12,$A229&lt;=19),
      AND($A229&gt;=28,$A229&lt;=29)
    ),
    IFERROR(
      INDEX('Daily Sales'!$C:$AG,
        $A229,
        MATCH(TEXT($B229,"0"),TEXT('Daily Sales'!$C$2:$AG$2,"0"),0)
      ),
    ""),
  "")
)</f>
        <v/>
      </c>
      <c r="J229" s="79" t="e">
        <f t="shared" si="2"/>
        <v>#VALUE!</v>
      </c>
      <c r="K229" s="141"/>
      <c r="L229" s="81"/>
      <c r="M229" s="141"/>
      <c r="N229" s="133"/>
      <c r="O229" s="4"/>
      <c r="P229" s="4"/>
      <c r="Q229" s="4"/>
      <c r="R229" s="109"/>
      <c r="S229" s="109"/>
      <c r="T229" s="108"/>
      <c r="U229" s="110"/>
      <c r="V229" s="110"/>
      <c r="W229" s="110"/>
      <c r="X229" s="110"/>
    </row>
    <row r="230" spans="1:24" ht="13.5" customHeight="1">
      <c r="A230" s="110" t="str">
        <f>IF(E230="","",MATCH(E230,'Daily Sales'!B$4:B$51,0)+3)</f>
        <v/>
      </c>
      <c r="B230" s="135"/>
      <c r="C230" s="136"/>
      <c r="D230" s="137" t="str">
        <f t="array" ref="D230">IF($A230="","",INDEX('Daily Sales'!A:A,$A230))</f>
        <v/>
      </c>
      <c r="E230" s="138"/>
      <c r="F230" s="139">
        <f t="shared" si="1"/>
        <v>0</v>
      </c>
      <c r="G230" s="140"/>
      <c r="H230" s="138" t="str">
        <f t="array" ref="H230">IF($A230="","",
  IF(
    OR(
      $A230=23,
      AND($A230&gt;=32,$A230&lt;=50)
    ),
    IFERROR(
      INDEX('Daily Sales'!$C:$AG,
        $A230,
        MATCH(TEXT($B230,"0"),TEXT('Daily Sales'!$C$2:$AG$2,"0"),0)
      ),
    ""),
  "")
)</f>
        <v/>
      </c>
      <c r="I230" s="138" t="str">
        <f t="array" ref="I230">IF($A230="","",
  IF(
    OR(
      AND($A230&gt;=4,$A230&lt;=8),
      AND($A230&gt;=12,$A230&lt;=19),
      AND($A230&gt;=28,$A230&lt;=29)
    ),
    IFERROR(
      INDEX('Daily Sales'!$C:$AG,
        $A230,
        MATCH(TEXT($B230,"0"),TEXT('Daily Sales'!$C$2:$AG$2,"0"),0)
      ),
    ""),
  "")
)</f>
        <v/>
      </c>
      <c r="J230" s="79" t="e">
        <f t="shared" si="2"/>
        <v>#VALUE!</v>
      </c>
      <c r="K230" s="141"/>
      <c r="L230" s="81"/>
      <c r="M230" s="141"/>
      <c r="N230" s="133"/>
      <c r="O230" s="4"/>
      <c r="P230" s="4"/>
      <c r="Q230" s="4"/>
      <c r="R230" s="109"/>
      <c r="S230" s="109"/>
      <c r="T230" s="108"/>
      <c r="U230" s="110"/>
      <c r="V230" s="110"/>
      <c r="W230" s="110"/>
      <c r="X230" s="110"/>
    </row>
    <row r="231" spans="1:24" ht="13.5" customHeight="1">
      <c r="A231" s="110">
        <f>IF(E231="","",MATCH(E231,'Daily Sales'!B$4:B$51,0)+3)</f>
        <v>4</v>
      </c>
      <c r="B231" s="135">
        <v>46181</v>
      </c>
      <c r="C231" s="136" t="s">
        <v>98</v>
      </c>
      <c r="D231" s="137" t="str">
        <f t="array" ref="D231">IF($A231="","",INDEX('Daily Sales'!A:A,$A231))</f>
        <v>4-2100</v>
      </c>
      <c r="E231" s="138" t="s">
        <v>5</v>
      </c>
      <c r="F231" s="139" t="str">
        <f t="shared" si="1"/>
        <v>Sales Food TERRACE</v>
      </c>
      <c r="G231" s="140"/>
      <c r="H231" s="138" t="str">
        <f t="array" ref="H231">IF($A231="","",
  IF(
    OR(
      $A231=23,
      AND($A231&gt;=32,$A231&lt;=50)
    ),
    IFERROR(
      INDEX('Daily Sales'!$C:$AG,
        $A231,
        MATCH(TEXT($B231,"0"),TEXT('Daily Sales'!$C$2:$AG$2,"0"),0)
      ),
    ""),
  "")
)</f>
        <v/>
      </c>
      <c r="I231" s="138">
        <f t="array" ref="I231">IF($A231="","",
  IF(
    OR(
      AND($A231&gt;=4,$A231&lt;=8),
      AND($A231&gt;=12,$A231&lt;=19),
      AND($A231&gt;=28,$A231&lt;=29)
    ),
    IFERROR(
      INDEX('Daily Sales'!$C:$AG,
        $A231,
        MATCH(TEXT($B231,"0"),TEXT('Daily Sales'!$C$2:$AG$2,"0"),0)
      ),
    ""),
  "")
)</f>
        <v>3341000</v>
      </c>
      <c r="J231" s="79" t="e">
        <f t="shared" si="2"/>
        <v>#VALUE!</v>
      </c>
      <c r="K231" s="141"/>
      <c r="L231" s="81"/>
      <c r="M231" s="141"/>
      <c r="N231" s="133"/>
      <c r="O231" s="4"/>
      <c r="P231" s="4"/>
      <c r="Q231" s="4"/>
      <c r="R231" s="109"/>
      <c r="S231" s="109"/>
      <c r="T231" s="108"/>
      <c r="U231" s="110"/>
      <c r="V231" s="110"/>
      <c r="W231" s="110"/>
      <c r="X231" s="110"/>
    </row>
    <row r="232" spans="1:24" ht="13.5" customHeight="1">
      <c r="A232" s="110">
        <f>IF(E232="","",MATCH(E232,'Daily Sales'!B$4:B$51,0)+3)</f>
        <v>5</v>
      </c>
      <c r="B232" s="135">
        <v>46181</v>
      </c>
      <c r="C232" s="136" t="s">
        <v>98</v>
      </c>
      <c r="D232" s="137" t="str">
        <f t="array" ref="D232">IF($A232="","",INDEX('Daily Sales'!A:A,$A232))</f>
        <v>4-2200</v>
      </c>
      <c r="E232" s="138" t="s">
        <v>7</v>
      </c>
      <c r="F232" s="139" t="str">
        <f t="shared" si="1"/>
        <v>Sales Beverages TERRACE</v>
      </c>
      <c r="G232" s="140"/>
      <c r="H232" s="138" t="str">
        <f t="array" ref="H232">IF($A232="","",
  IF(
    OR(
      $A232=23,
      AND($A232&gt;=32,$A232&lt;=50)
    ),
    IFERROR(
      INDEX('Daily Sales'!$C:$AG,
        $A232,
        MATCH(TEXT($B232,"0"),TEXT('Daily Sales'!$C$2:$AG$2,"0"),0)
      ),
    ""),
  "")
)</f>
        <v/>
      </c>
      <c r="I232" s="138">
        <f t="array" ref="I232">IF($A232="","",
  IF(
    OR(
      AND($A232&gt;=4,$A232&lt;=8),
      AND($A232&gt;=12,$A232&lt;=19),
      AND($A232&gt;=28,$A232&lt;=29)
    ),
    IFERROR(
      INDEX('Daily Sales'!$C:$AG,
        $A232,
        MATCH(TEXT($B232,"0"),TEXT('Daily Sales'!$C$2:$AG$2,"0"),0)
      ),
    ""),
  "")
)</f>
        <v>2674000</v>
      </c>
      <c r="J232" s="79" t="e">
        <f t="shared" si="2"/>
        <v>#VALUE!</v>
      </c>
      <c r="K232" s="141"/>
      <c r="L232" s="81"/>
      <c r="M232" s="141"/>
      <c r="N232" s="133"/>
      <c r="O232" s="4"/>
      <c r="P232" s="4"/>
      <c r="Q232" s="4"/>
      <c r="R232" s="109"/>
      <c r="S232" s="109"/>
      <c r="T232" s="108"/>
      <c r="U232" s="110"/>
      <c r="V232" s="110"/>
      <c r="W232" s="110"/>
      <c r="X232" s="110"/>
    </row>
    <row r="233" spans="1:24" ht="13.5" customHeight="1">
      <c r="A233" s="110">
        <f>IF(E233="","",MATCH(E233,'Daily Sales'!B$4:B$51,0)+3)</f>
        <v>6</v>
      </c>
      <c r="B233" s="135">
        <v>46181</v>
      </c>
      <c r="C233" s="136" t="s">
        <v>98</v>
      </c>
      <c r="D233" s="137" t="str">
        <f t="array" ref="D233">IF($A233="","",INDEX('Daily Sales'!A:A,$A233))</f>
        <v>4-2400</v>
      </c>
      <c r="E233" s="138" t="s">
        <v>9</v>
      </c>
      <c r="F233" s="139" t="str">
        <f t="shared" si="1"/>
        <v>Sales Cigarette TERRACE</v>
      </c>
      <c r="G233" s="140"/>
      <c r="H233" s="138" t="str">
        <f t="array" ref="H233">IF($A233="","",
  IF(
    OR(
      $A233=23,
      AND($A233&gt;=32,$A233&lt;=50)
    ),
    IFERROR(
      INDEX('Daily Sales'!$C:$AG,
        $A233,
        MATCH(TEXT($B233,"0"),TEXT('Daily Sales'!$C$2:$AG$2,"0"),0)
      ),
    ""),
  "")
)</f>
        <v/>
      </c>
      <c r="I233" s="138">
        <f t="array" ref="I233">IF($A233="","",
  IF(
    OR(
      AND($A233&gt;=4,$A233&lt;=8),
      AND($A233&gt;=12,$A233&lt;=19),
      AND($A233&gt;=28,$A233&lt;=29)
    ),
    IFERROR(
      INDEX('Daily Sales'!$C:$AG,
        $A233,
        MATCH(TEXT($B233,"0"),TEXT('Daily Sales'!$C$2:$AG$2,"0"),0)
      ),
    ""),
  "")
)</f>
        <v>70000</v>
      </c>
      <c r="J233" s="79" t="e">
        <f t="shared" si="2"/>
        <v>#VALUE!</v>
      </c>
      <c r="K233" s="141"/>
      <c r="L233" s="81"/>
      <c r="M233" s="141"/>
      <c r="N233" s="133"/>
      <c r="O233" s="4"/>
      <c r="P233" s="4"/>
      <c r="Q233" s="4"/>
      <c r="R233" s="109"/>
      <c r="S233" s="109"/>
      <c r="T233" s="108"/>
      <c r="U233" s="110"/>
      <c r="V233" s="110"/>
      <c r="W233" s="110"/>
      <c r="X233" s="110"/>
    </row>
    <row r="234" spans="1:24" ht="13.5" customHeight="1">
      <c r="A234" s="110">
        <f>IF(E234="","",MATCH(E234,'Daily Sales'!B$4:B$51,0)+3)</f>
        <v>7</v>
      </c>
      <c r="B234" s="135">
        <v>46181</v>
      </c>
      <c r="C234" s="136" t="s">
        <v>98</v>
      </c>
      <c r="D234" s="137" t="str">
        <f t="array" ref="D234">IF($A234="","",INDEX('Daily Sales'!A:A,$A234))</f>
        <v>4-2300</v>
      </c>
      <c r="E234" s="138" t="s">
        <v>11</v>
      </c>
      <c r="F234" s="139" t="str">
        <f t="shared" si="1"/>
        <v>Sales Shisa TERRACE</v>
      </c>
      <c r="G234" s="140"/>
      <c r="H234" s="138" t="str">
        <f t="array" ref="H234">IF($A234="","",
  IF(
    OR(
      $A234=23,
      AND($A234&gt;=32,$A234&lt;=50)
    ),
    IFERROR(
      INDEX('Daily Sales'!$C:$AG,
        $A234,
        MATCH(TEXT($B234,"0"),TEXT('Daily Sales'!$C$2:$AG$2,"0"),0)
      ),
    ""),
  "")
)</f>
        <v/>
      </c>
      <c r="I234" s="138">
        <f t="array" ref="I234">IF($A234="","",
  IF(
    OR(
      AND($A234&gt;=4,$A234&lt;=8),
      AND($A234&gt;=12,$A234&lt;=19),
      AND($A234&gt;=28,$A234&lt;=29)
    ),
    IFERROR(
      INDEX('Daily Sales'!$C:$AG,
        $A234,
        MATCH(TEXT($B234,"0"),TEXT('Daily Sales'!$C$2:$AG$2,"0"),0)
      ),
    ""),
  "")
)</f>
        <v>0</v>
      </c>
      <c r="J234" s="79" t="e">
        <f t="shared" si="2"/>
        <v>#VALUE!</v>
      </c>
      <c r="K234" s="141"/>
      <c r="L234" s="81"/>
      <c r="M234" s="141"/>
      <c r="N234" s="133"/>
      <c r="O234" s="4"/>
      <c r="P234" s="4"/>
      <c r="Q234" s="4"/>
      <c r="R234" s="109"/>
      <c r="S234" s="109"/>
      <c r="T234" s="108"/>
      <c r="U234" s="110"/>
      <c r="V234" s="110"/>
      <c r="W234" s="110"/>
      <c r="X234" s="110"/>
    </row>
    <row r="235" spans="1:24" ht="13.5" customHeight="1">
      <c r="A235" s="110">
        <f>IF(E235="","",MATCH(E235,'Daily Sales'!B$4:B$51,0)+3)</f>
        <v>12</v>
      </c>
      <c r="B235" s="135">
        <v>46181</v>
      </c>
      <c r="C235" s="136" t="s">
        <v>98</v>
      </c>
      <c r="D235" s="137" t="str">
        <f t="array" ref="D235">IF($A235="","",INDEX('Daily Sales'!A:A,$A235))</f>
        <v>4-2200</v>
      </c>
      <c r="E235" s="138" t="s">
        <v>17</v>
      </c>
      <c r="F235" s="139" t="str">
        <f t="shared" si="1"/>
        <v>Sales Beverages CLUB</v>
      </c>
      <c r="G235" s="140"/>
      <c r="H235" s="138" t="str">
        <f t="array" ref="H235">IF($A235="","",
  IF(
    OR(
      $A235=23,
      AND($A235&gt;=32,$A235&lt;=50)
    ),
    IFERROR(
      INDEX('Daily Sales'!$C:$AG,
        $A235,
        MATCH(TEXT($B235,"0"),TEXT('Daily Sales'!$C$2:$AG$2,"0"),0)
      ),
    ""),
  "")
)</f>
        <v/>
      </c>
      <c r="I235" s="138">
        <f t="array" ref="I235">IF($A235="","",
  IF(
    OR(
      AND($A235&gt;=4,$A235&lt;=8),
      AND($A235&gt;=12,$A235&lt;=19),
      AND($A235&gt;=28,$A235&lt;=29)
    ),
    IFERROR(
      INDEX('Daily Sales'!$C:$AG,
        $A235,
        MATCH(TEXT($B235,"0"),TEXT('Daily Sales'!$C$2:$AG$2,"0"),0)
      ),
    ""),
  "")
)</f>
        <v>48200000</v>
      </c>
      <c r="J235" s="79" t="e">
        <f t="shared" si="2"/>
        <v>#VALUE!</v>
      </c>
      <c r="K235" s="141"/>
      <c r="L235" s="81"/>
      <c r="M235" s="141"/>
      <c r="N235" s="133"/>
      <c r="O235" s="4"/>
      <c r="P235" s="4"/>
      <c r="Q235" s="4"/>
      <c r="R235" s="109"/>
      <c r="S235" s="109"/>
      <c r="T235" s="108"/>
      <c r="U235" s="110"/>
      <c r="V235" s="110"/>
      <c r="W235" s="110"/>
      <c r="X235" s="110"/>
    </row>
    <row r="236" spans="1:24" ht="13.5" customHeight="1">
      <c r="A236" s="110">
        <f>IF(E236="","",MATCH(E236,'Daily Sales'!B$4:B$51,0)+3)</f>
        <v>13</v>
      </c>
      <c r="B236" s="135">
        <v>46181</v>
      </c>
      <c r="C236" s="136" t="s">
        <v>98</v>
      </c>
      <c r="D236" s="137" t="str">
        <f t="array" ref="D236">IF($A236="","",INDEX('Daily Sales'!A:A,$A236))</f>
        <v>4-2400</v>
      </c>
      <c r="E236" s="138" t="s">
        <v>18</v>
      </c>
      <c r="F236" s="139" t="str">
        <f t="shared" si="1"/>
        <v>Sales Cigarette CLUB</v>
      </c>
      <c r="G236" s="140"/>
      <c r="H236" s="138" t="str">
        <f t="array" ref="H236">IF($A236="","",
  IF(
    OR(
      $A236=23,
      AND($A236&gt;=32,$A236&lt;=50)
    ),
    IFERROR(
      INDEX('Daily Sales'!$C:$AG,
        $A236,
        MATCH(TEXT($B236,"0"),TEXT('Daily Sales'!$C$2:$AG$2,"0"),0)
      ),
    ""),
  "")
)</f>
        <v/>
      </c>
      <c r="I236" s="138">
        <f t="array" ref="I236">IF($A236="","",
  IF(
    OR(
      AND($A236&gt;=4,$A236&lt;=8),
      AND($A236&gt;=12,$A236&lt;=19),
      AND($A236&gt;=28,$A236&lt;=29)
    ),
    IFERROR(
      INDEX('Daily Sales'!$C:$AG,
        $A236,
        MATCH(TEXT($B236,"0"),TEXT('Daily Sales'!$C$2:$AG$2,"0"),0)
      ),
    ""),
  "")
)</f>
        <v>630000</v>
      </c>
      <c r="J236" s="79" t="e">
        <f t="shared" si="2"/>
        <v>#VALUE!</v>
      </c>
      <c r="K236" s="141"/>
      <c r="L236" s="81"/>
      <c r="M236" s="141"/>
      <c r="N236" s="133"/>
      <c r="O236" s="4"/>
      <c r="P236" s="4"/>
      <c r="Q236" s="4"/>
      <c r="R236" s="109"/>
      <c r="S236" s="109"/>
      <c r="T236" s="108"/>
      <c r="U236" s="110"/>
      <c r="V236" s="110"/>
      <c r="W236" s="110"/>
      <c r="X236" s="110"/>
    </row>
    <row r="237" spans="1:24" ht="13.5" customHeight="1">
      <c r="A237" s="110">
        <f>IF(E237="","",MATCH(E237,'Daily Sales'!B$4:B$51,0)+3)</f>
        <v>14</v>
      </c>
      <c r="B237" s="135">
        <v>46181</v>
      </c>
      <c r="C237" s="136" t="s">
        <v>98</v>
      </c>
      <c r="D237" s="137" t="str">
        <f t="array" ref="D237">IF($A237="","",INDEX('Daily Sales'!A:A,$A237))</f>
        <v>4-2100</v>
      </c>
      <c r="E237" s="138" t="s">
        <v>19</v>
      </c>
      <c r="F237" s="139" t="str">
        <f t="shared" si="1"/>
        <v>Sales Food CLUB</v>
      </c>
      <c r="G237" s="140"/>
      <c r="H237" s="138" t="str">
        <f t="array" ref="H237">IF($A237="","",
  IF(
    OR(
      $A237=23,
      AND($A237&gt;=32,$A237&lt;=50)
    ),
    IFERROR(
      INDEX('Daily Sales'!$C:$AG,
        $A237,
        MATCH(TEXT($B237,"0"),TEXT('Daily Sales'!$C$2:$AG$2,"0"),0)
      ),
    ""),
  "")
)</f>
        <v/>
      </c>
      <c r="I237" s="138">
        <f t="array" ref="I237">IF($A237="","",
  IF(
    OR(
      AND($A237&gt;=4,$A237&lt;=8),
      AND($A237&gt;=12,$A237&lt;=19),
      AND($A237&gt;=28,$A237&lt;=29)
    ),
    IFERROR(
      INDEX('Daily Sales'!$C:$AG,
        $A237,
        MATCH(TEXT($B237,"0"),TEXT('Daily Sales'!$C$2:$AG$2,"0"),0)
      ),
    ""),
  "")
)</f>
        <v>1040000</v>
      </c>
      <c r="J237" s="79" t="e">
        <f t="shared" si="2"/>
        <v>#VALUE!</v>
      </c>
      <c r="K237" s="141"/>
      <c r="L237" s="81"/>
      <c r="M237" s="141"/>
      <c r="N237" s="133"/>
      <c r="O237" s="4"/>
      <c r="P237" s="4"/>
      <c r="Q237" s="4"/>
      <c r="R237" s="109"/>
      <c r="S237" s="109"/>
      <c r="T237" s="108"/>
      <c r="U237" s="110"/>
      <c r="V237" s="110"/>
      <c r="W237" s="110"/>
      <c r="X237" s="110"/>
    </row>
    <row r="238" spans="1:24" ht="13.5" customHeight="1">
      <c r="A238" s="110">
        <f>IF(E238="","",MATCH(E238,'Daily Sales'!B$4:B$51,0)+3)</f>
        <v>15</v>
      </c>
      <c r="B238" s="135">
        <v>46181</v>
      </c>
      <c r="C238" s="136" t="s">
        <v>98</v>
      </c>
      <c r="D238" s="137" t="str">
        <f t="array" ref="D238">IF($A238="","",INDEX('Daily Sales'!A:A,$A238))</f>
        <v>4-2300</v>
      </c>
      <c r="E238" s="138" t="s">
        <v>20</v>
      </c>
      <c r="F238" s="139" t="str">
        <f t="shared" si="1"/>
        <v>Sales Shisa CLUB</v>
      </c>
      <c r="G238" s="140"/>
      <c r="H238" s="138" t="str">
        <f t="array" ref="H238">IF($A238="","",
  IF(
    OR(
      $A238=23,
      AND($A238&gt;=32,$A238&lt;=50)
    ),
    IFERROR(
      INDEX('Daily Sales'!$C:$AG,
        $A238,
        MATCH(TEXT($B238,"0"),TEXT('Daily Sales'!$C$2:$AG$2,"0"),0)
      ),
    ""),
  "")
)</f>
        <v/>
      </c>
      <c r="I238" s="138">
        <f t="array" ref="I238">IF($A238="","",
  IF(
    OR(
      AND($A238&gt;=4,$A238&lt;=8),
      AND($A238&gt;=12,$A238&lt;=19),
      AND($A238&gt;=28,$A238&lt;=29)
    ),
    IFERROR(
      INDEX('Daily Sales'!$C:$AG,
        $A238,
        MATCH(TEXT($B238,"0"),TEXT('Daily Sales'!$C$2:$AG$2,"0"),0)
      ),
    ""),
  "")
)</f>
        <v>500000</v>
      </c>
      <c r="J238" s="79" t="e">
        <f t="shared" si="2"/>
        <v>#VALUE!</v>
      </c>
      <c r="K238" s="141"/>
      <c r="L238" s="81"/>
      <c r="M238" s="141"/>
      <c r="N238" s="133"/>
      <c r="O238" s="4"/>
      <c r="P238" s="4"/>
      <c r="Q238" s="4"/>
      <c r="R238" s="109"/>
      <c r="S238" s="109"/>
      <c r="T238" s="108"/>
      <c r="U238" s="110"/>
      <c r="V238" s="110"/>
      <c r="W238" s="110"/>
      <c r="X238" s="110"/>
    </row>
    <row r="239" spans="1:24" ht="13.5" customHeight="1">
      <c r="A239" s="110">
        <f>IF(E239="","",MATCH(E239,'Daily Sales'!B$4:B$51,0)+3)</f>
        <v>17</v>
      </c>
      <c r="B239" s="135">
        <v>46181</v>
      </c>
      <c r="C239" s="136" t="s">
        <v>98</v>
      </c>
      <c r="D239" s="137" t="str">
        <f t="array" ref="D239">IF($A239="","",INDEX('Daily Sales'!A:A,$A239))</f>
        <v>4-2601</v>
      </c>
      <c r="E239" s="138" t="s">
        <v>23</v>
      </c>
      <c r="F239" s="139" t="str">
        <f t="shared" si="1"/>
        <v xml:space="preserve">Misc </v>
      </c>
      <c r="G239" s="140"/>
      <c r="H239" s="138" t="str">
        <f t="array" ref="H239">IF($A239="","",
  IF(
    OR(
      $A239=23,
      AND($A239&gt;=32,$A239&lt;=50)
    ),
    IFERROR(
      INDEX('Daily Sales'!$C:$AG,
        $A239,
        MATCH(TEXT($B239,"0"),TEXT('Daily Sales'!$C$2:$AG$2,"0"),0)
      ),
    ""),
  "")
)</f>
        <v/>
      </c>
      <c r="I239" s="138">
        <f t="array" ref="I239">IF($A239="","",
  IF(
    OR(
      AND($A239&gt;=4,$A239&lt;=8),
      AND($A239&gt;=12,$A239&lt;=19),
      AND($A239&gt;=28,$A239&lt;=29)
    ),
    IFERROR(
      INDEX('Daily Sales'!$C:$AG,
        $A239,
        MATCH(TEXT($B239,"0"),TEXT('Daily Sales'!$C$2:$AG$2,"0"),0)
      ),
    ""),
  "")
)</f>
        <v>0</v>
      </c>
      <c r="J239" s="79" t="e">
        <f t="shared" si="2"/>
        <v>#VALUE!</v>
      </c>
      <c r="K239" s="141"/>
      <c r="L239" s="81"/>
      <c r="M239" s="141"/>
      <c r="N239" s="133"/>
      <c r="O239" s="4"/>
      <c r="P239" s="4"/>
      <c r="Q239" s="4"/>
      <c r="R239" s="109"/>
      <c r="S239" s="109"/>
      <c r="T239" s="108"/>
      <c r="U239" s="110"/>
      <c r="V239" s="110"/>
      <c r="W239" s="110"/>
      <c r="X239" s="110"/>
    </row>
    <row r="240" spans="1:24" ht="13.5" customHeight="1">
      <c r="A240" s="110">
        <f>IF(E240="","",MATCH(E240,'Daily Sales'!B$4:B$51,0)+3)</f>
        <v>19</v>
      </c>
      <c r="B240" s="135">
        <v>46181</v>
      </c>
      <c r="C240" s="136" t="s">
        <v>98</v>
      </c>
      <c r="D240" s="137" t="str">
        <f t="array" ref="D240">IF($A240="","",INDEX('Daily Sales'!A:A,$A240))</f>
        <v>4-2500</v>
      </c>
      <c r="E240" s="138" t="s">
        <v>26</v>
      </c>
      <c r="F240" s="139" t="str">
        <f t="shared" si="1"/>
        <v>Sales Ticket</v>
      </c>
      <c r="G240" s="140"/>
      <c r="H240" s="138" t="str">
        <f t="array" ref="H240">IF($A240="","",
  IF(
    OR(
      $A240=23,
      AND($A240&gt;=32,$A240&lt;=50)
    ),
    IFERROR(
      INDEX('Daily Sales'!$C:$AG,
        $A240,
        MATCH(TEXT($B240,"0"),TEXT('Daily Sales'!$C$2:$AG$2,"0"),0)
      ),
    ""),
  "")
)</f>
        <v/>
      </c>
      <c r="I240" s="138">
        <f t="array" ref="I240">IF($A240="","",
  IF(
    OR(
      AND($A240&gt;=4,$A240&lt;=8),
      AND($A240&gt;=12,$A240&lt;=19),
      AND($A240&gt;=28,$A240&lt;=29)
    ),
    IFERROR(
      INDEX('Daily Sales'!$C:$AG,
        $A240,
        MATCH(TEXT($B240,"0"),TEXT('Daily Sales'!$C$2:$AG$2,"0"),0)
      ),
    ""),
  "")
)</f>
        <v>13593920</v>
      </c>
      <c r="J240" s="79" t="e">
        <f t="shared" si="2"/>
        <v>#VALUE!</v>
      </c>
      <c r="K240" s="141"/>
      <c r="L240" s="81"/>
      <c r="M240" s="141"/>
      <c r="N240" s="133"/>
      <c r="O240" s="4"/>
      <c r="P240" s="4"/>
      <c r="Q240" s="4"/>
      <c r="R240" s="109"/>
      <c r="S240" s="109"/>
      <c r="T240" s="108"/>
      <c r="U240" s="110"/>
      <c r="V240" s="110"/>
      <c r="W240" s="110"/>
      <c r="X240" s="110"/>
    </row>
    <row r="241" spans="1:24" ht="13.5" customHeight="1">
      <c r="A241" s="110">
        <f>IF(E241="","",MATCH(E241,'Daily Sales'!B$4:B$51,0)+3)</f>
        <v>28</v>
      </c>
      <c r="B241" s="135">
        <v>46181</v>
      </c>
      <c r="C241" s="136" t="s">
        <v>98</v>
      </c>
      <c r="D241" s="137" t="str">
        <f t="array" ref="D241">IF($A241="","",INDEX('Daily Sales'!A:A,$A241))</f>
        <v>2-2106</v>
      </c>
      <c r="E241" s="138" t="s">
        <v>35</v>
      </c>
      <c r="F241" s="139" t="str">
        <f t="shared" si="1"/>
        <v>Service Charges 7%</v>
      </c>
      <c r="G241" s="140"/>
      <c r="H241" s="138" t="str">
        <f t="array" ref="H241">IF($A241="","",
  IF(
    OR(
      $A241=23,
      AND($A241&gt;=32,$A241&lt;=50)
    ),
    IFERROR(
      INDEX('Daily Sales'!$C:$AG,
        $A241,
        MATCH(TEXT($B241,"0"),TEXT('Daily Sales'!$C$2:$AG$2,"0"),0)
      ),
    ""),
  "")
)</f>
        <v/>
      </c>
      <c r="I241" s="138">
        <f t="array" ref="I241">IF($A241="","",
  IF(
    OR(
      AND($A241&gt;=4,$A241&lt;=8),
      AND($A241&gt;=12,$A241&lt;=19),
      AND($A241&gt;=28,$A241&lt;=29)
    ),
    IFERROR(
      INDEX('Daily Sales'!$C:$AG,
        $A241,
        MATCH(TEXT($B241,"0"),TEXT('Daily Sales'!$C$2:$AG$2,"0"),0)
      ),
    ""),
  "")
)</f>
        <v>4855019.4000000004</v>
      </c>
      <c r="J241" s="79" t="e">
        <f t="shared" si="2"/>
        <v>#VALUE!</v>
      </c>
      <c r="K241" s="141"/>
      <c r="L241" s="81"/>
      <c r="M241" s="141"/>
      <c r="N241" s="133"/>
      <c r="O241" s="4"/>
      <c r="P241" s="4"/>
      <c r="Q241" s="4"/>
      <c r="R241" s="109"/>
      <c r="S241" s="109"/>
      <c r="T241" s="108"/>
      <c r="U241" s="110"/>
      <c r="V241" s="110"/>
      <c r="W241" s="110"/>
      <c r="X241" s="110"/>
    </row>
    <row r="242" spans="1:24" ht="13.5" customHeight="1">
      <c r="A242" s="110">
        <f>IF(E242="","",MATCH(E242,'Daily Sales'!B$4:B$51,0)+3)</f>
        <v>29</v>
      </c>
      <c r="B242" s="135">
        <v>46181</v>
      </c>
      <c r="C242" s="136" t="s">
        <v>98</v>
      </c>
      <c r="D242" s="137" t="str">
        <f t="array" ref="D242">IF($A242="","",INDEX('Daily Sales'!A:A,$A242))</f>
        <v>2-3101</v>
      </c>
      <c r="E242" s="138" t="s">
        <v>37</v>
      </c>
      <c r="F242" s="139" t="str">
        <f t="shared" si="1"/>
        <v>Tax PB1 10%</v>
      </c>
      <c r="G242" s="140"/>
      <c r="H242" s="138" t="str">
        <f t="array" ref="H242">IF($A242="","",
  IF(
    OR(
      $A242=23,
      AND($A242&gt;=32,$A242&lt;=50)
    ),
    IFERROR(
      INDEX('Daily Sales'!$C:$AG,
        $A242,
        MATCH(TEXT($B242,"0"),TEXT('Daily Sales'!$C$2:$AG$2,"0"),0)
      ),
    ""),
  "")
)</f>
        <v/>
      </c>
      <c r="I242" s="138">
        <f t="array" ref="I242">IF($A242="","",
  IF(
    OR(
      AND($A242&gt;=4,$A242&lt;=8),
      AND($A242&gt;=12,$A242&lt;=19),
      AND($A242&gt;=28,$A242&lt;=29)
    ),
    IFERROR(
      INDEX('Daily Sales'!$C:$AG,
        $A242,
        MATCH(TEXT($B242,"0"),TEXT('Daily Sales'!$C$2:$AG$2,"0"),0)
      ),
    ""),
  "")
)</f>
        <v>7421243.9400000013</v>
      </c>
      <c r="J242" s="79" t="e">
        <f t="shared" si="2"/>
        <v>#VALUE!</v>
      </c>
      <c r="K242" s="141"/>
      <c r="L242" s="81"/>
      <c r="M242" s="141"/>
      <c r="N242" s="133"/>
      <c r="O242" s="4"/>
      <c r="P242" s="4"/>
      <c r="Q242" s="4"/>
      <c r="R242" s="109"/>
      <c r="S242" s="109"/>
      <c r="T242" s="108"/>
      <c r="U242" s="110"/>
      <c r="V242" s="110"/>
      <c r="W242" s="110"/>
      <c r="X242" s="110"/>
    </row>
    <row r="243" spans="1:24" ht="13.5" customHeight="1">
      <c r="A243" s="110">
        <f>IF(E243="","",MATCH(E243,'Daily Sales'!B$4:B$51,0)+3)</f>
        <v>23</v>
      </c>
      <c r="B243" s="135">
        <v>46181</v>
      </c>
      <c r="C243" s="136" t="s">
        <v>98</v>
      </c>
      <c r="D243" s="137" t="str">
        <f t="array" ref="D243">IF($A243="","",INDEX('Daily Sales'!A:A,$A243))</f>
        <v>4-5110</v>
      </c>
      <c r="E243" s="138" t="s">
        <v>30</v>
      </c>
      <c r="F243" s="139" t="str">
        <f t="shared" si="1"/>
        <v>Discount</v>
      </c>
      <c r="G243" s="140"/>
      <c r="H243" s="138">
        <f t="array" ref="H243">IF($A243="","",
  IF(
    OR(
      $A243=23,
      AND($A243&gt;=32,$A243&lt;=50)
    ),
    IFERROR(
      INDEX('Daily Sales'!$C:$AG,
        $A243,
        MATCH(TEXT($B243,"0"),TEXT('Daily Sales'!$C$2:$AG$2,"0"),0)
      ),
    ""),
  "")
)</f>
        <v>691500</v>
      </c>
      <c r="I243" s="138" t="str">
        <f t="array" ref="I243">IF($A243="","",
  IF(
    OR(
      AND($A243&gt;=4,$A243&lt;=8),
      AND($A243&gt;=12,$A243&lt;=19),
      AND($A243&gt;=28,$A243&lt;=29)
    ),
    IFERROR(
      INDEX('Daily Sales'!$C:$AG,
        $A243,
        MATCH(TEXT($B243,"0"),TEXT('Daily Sales'!$C$2:$AG$2,"0"),0)
      ),
    ""),
  "")
)</f>
        <v/>
      </c>
      <c r="J243" s="79" t="e">
        <f t="shared" si="2"/>
        <v>#VALUE!</v>
      </c>
      <c r="K243" s="141"/>
      <c r="L243" s="81"/>
      <c r="M243" s="141"/>
      <c r="N243" s="133"/>
      <c r="O243" s="4"/>
      <c r="P243" s="4"/>
      <c r="Q243" s="4"/>
      <c r="R243" s="109"/>
      <c r="S243" s="109"/>
      <c r="T243" s="108"/>
      <c r="U243" s="110"/>
      <c r="V243" s="110"/>
      <c r="W243" s="110"/>
      <c r="X243" s="110"/>
    </row>
    <row r="244" spans="1:24" ht="13.5" customHeight="1">
      <c r="A244" s="110">
        <f>IF(E244="","",MATCH(E244,'Daily Sales'!B$4:B$51,0)+3)</f>
        <v>32</v>
      </c>
      <c r="B244" s="135">
        <v>46181</v>
      </c>
      <c r="C244" s="136" t="s">
        <v>98</v>
      </c>
      <c r="D244" s="137" t="str">
        <f t="array" ref="D244">IF($A244="","",INDEX('Daily Sales'!A:A,$A244))</f>
        <v>1-1119</v>
      </c>
      <c r="E244" s="138" t="s">
        <v>40</v>
      </c>
      <c r="F244" s="139" t="str">
        <f t="shared" si="1"/>
        <v>Cash IDR</v>
      </c>
      <c r="G244" s="140"/>
      <c r="H244" s="138">
        <f t="array" ref="H244">IF($A244="","",
  IF(
    OR(
      $A244=23,
      AND($A244&gt;=32,$A244&lt;=50)
    ),
    IFERROR(
      INDEX('Daily Sales'!$C:$AG,
        $A244,
        MATCH(TEXT($B244,"0"),TEXT('Daily Sales'!$C$2:$AG$2,"0"),0)
      ),
    ""),
  "")
)</f>
        <v>6333536</v>
      </c>
      <c r="I244" s="138" t="str">
        <f t="array" ref="I244">IF($A244="","",
  IF(
    OR(
      AND($A244&gt;=4,$A244&lt;=8),
      AND($A244&gt;=12,$A244&lt;=19),
      AND($A244&gt;=28,$A244&lt;=29)
    ),
    IFERROR(
      INDEX('Daily Sales'!$C:$AG,
        $A244,
        MATCH(TEXT($B244,"0"),TEXT('Daily Sales'!$C$2:$AG$2,"0"),0)
      ),
    ""),
  "")
)</f>
        <v/>
      </c>
      <c r="J244" s="79" t="e">
        <f t="shared" si="2"/>
        <v>#VALUE!</v>
      </c>
      <c r="K244" s="141"/>
      <c r="L244" s="81"/>
      <c r="M244" s="141"/>
      <c r="N244" s="133"/>
      <c r="O244" s="4"/>
      <c r="P244" s="4"/>
      <c r="Q244" s="4"/>
      <c r="R244" s="109"/>
      <c r="S244" s="109"/>
      <c r="T244" s="108"/>
      <c r="U244" s="110"/>
      <c r="V244" s="110"/>
      <c r="W244" s="110"/>
      <c r="X244" s="110"/>
    </row>
    <row r="245" spans="1:24" ht="13.5" customHeight="1">
      <c r="A245" s="110">
        <f>IF(E245="","",MATCH(E245,'Daily Sales'!B$4:B$51,0)+3)</f>
        <v>33</v>
      </c>
      <c r="B245" s="135">
        <v>46181</v>
      </c>
      <c r="C245" s="136" t="s">
        <v>98</v>
      </c>
      <c r="D245" s="137" t="str">
        <f t="array" ref="D245">IF($A245="","",INDEX('Daily Sales'!A:A,$A245))</f>
        <v>1-1217</v>
      </c>
      <c r="E245" s="138" t="s">
        <v>43</v>
      </c>
      <c r="F245" s="139" t="str">
        <f t="shared" si="1"/>
        <v>Bank transfer</v>
      </c>
      <c r="G245" s="140"/>
      <c r="H245" s="138">
        <f t="array" ref="H245">IF($A245="","",
  IF(
    OR(
      $A245=23,
      AND($A245&gt;=32,$A245&lt;=50)
    ),
    IFERROR(
      INDEX('Daily Sales'!$C:$AG,
        $A245,
        MATCH(TEXT($B245,"0"),TEXT('Daily Sales'!$C$2:$AG$2,"0"),0)
      ),
    ""),
  "")
)</f>
        <v>0</v>
      </c>
      <c r="I245" s="138" t="str">
        <f t="array" ref="I245">IF($A245="","",
  IF(
    OR(
      AND($A245&gt;=4,$A245&lt;=8),
      AND($A245&gt;=12,$A245&lt;=19),
      AND($A245&gt;=28,$A245&lt;=29)
    ),
    IFERROR(
      INDEX('Daily Sales'!$C:$AG,
        $A245,
        MATCH(TEXT($B245,"0"),TEXT('Daily Sales'!$C$2:$AG$2,"0"),0)
      ),
    ""),
  "")
)</f>
        <v/>
      </c>
      <c r="J245" s="79" t="e">
        <f t="shared" si="2"/>
        <v>#VALUE!</v>
      </c>
      <c r="K245" s="141"/>
      <c r="L245" s="81"/>
      <c r="M245" s="141"/>
      <c r="N245" s="133"/>
      <c r="O245" s="4"/>
      <c r="P245" s="4"/>
      <c r="Q245" s="4"/>
      <c r="R245" s="109"/>
      <c r="S245" s="109"/>
      <c r="T245" s="108"/>
      <c r="U245" s="110"/>
      <c r="V245" s="110"/>
      <c r="W245" s="110"/>
      <c r="X245" s="110"/>
    </row>
    <row r="246" spans="1:24" ht="13.5" customHeight="1">
      <c r="A246" s="110">
        <f>IF(E246="","",MATCH(E246,'Daily Sales'!B$4:B$51,0)+3)</f>
        <v>35</v>
      </c>
      <c r="B246" s="135">
        <v>46181</v>
      </c>
      <c r="C246" s="136" t="s">
        <v>98</v>
      </c>
      <c r="D246" s="137" t="str">
        <f t="array" ref="D246">IF($A246="","",INDEX('Daily Sales'!A:A,$A246))</f>
        <v>1-1216</v>
      </c>
      <c r="E246" s="138" t="s">
        <v>46</v>
      </c>
      <c r="F246" s="139" t="str">
        <f t="shared" si="1"/>
        <v>Cim Niaga TBB</v>
      </c>
      <c r="G246" s="140"/>
      <c r="H246" s="138">
        <f t="array" ref="H246">IF($A246="","",
  IF(
    OR(
      $A246=23,
      AND($A246&gt;=32,$A246&lt;=50)
    ),
    IFERROR(
      INDEX('Daily Sales'!$C:$AG,
        $A246,
        MATCH(TEXT($B246,"0"),TEXT('Daily Sales'!$C$2:$AG$2,"0"),0)
      ),
    ""),
  "")
)</f>
        <v>0</v>
      </c>
      <c r="I246" s="138" t="str">
        <f t="array" ref="I246">IF($A246="","",
  IF(
    OR(
      AND($A246&gt;=4,$A246&lt;=8),
      AND($A246&gt;=12,$A246&lt;=19),
      AND($A246&gt;=28,$A246&lt;=29)
    ),
    IFERROR(
      INDEX('Daily Sales'!$C:$AG,
        $A246,
        MATCH(TEXT($B246,"0"),TEXT('Daily Sales'!$C$2:$AG$2,"0"),0)
      ),
    ""),
  "")
)</f>
        <v/>
      </c>
      <c r="J246" s="79" t="e">
        <f t="shared" si="2"/>
        <v>#VALUE!</v>
      </c>
      <c r="K246" s="141"/>
      <c r="L246" s="81"/>
      <c r="M246" s="141"/>
      <c r="N246" s="133"/>
      <c r="O246" s="4"/>
      <c r="P246" s="4"/>
      <c r="Q246" s="4"/>
      <c r="R246" s="109"/>
      <c r="S246" s="109"/>
      <c r="T246" s="108"/>
      <c r="U246" s="110"/>
      <c r="V246" s="110"/>
      <c r="W246" s="110"/>
      <c r="X246" s="110"/>
    </row>
    <row r="247" spans="1:24" ht="13.5" customHeight="1">
      <c r="A247" s="110">
        <f>IF(E247="","",MATCH(E247,'Daily Sales'!B$4:B$51,0)+3)</f>
        <v>36</v>
      </c>
      <c r="B247" s="135">
        <v>46181</v>
      </c>
      <c r="C247" s="136" t="s">
        <v>98</v>
      </c>
      <c r="D247" s="137" t="str">
        <f t="array" ref="D247">IF($A247="","",INDEX('Daily Sales'!A:A,$A247))</f>
        <v>1-1213</v>
      </c>
      <c r="E247" s="138" t="s">
        <v>49</v>
      </c>
      <c r="F247" s="139" t="str">
        <f t="shared" si="1"/>
        <v>Mandiri Debet</v>
      </c>
      <c r="G247" s="140"/>
      <c r="H247" s="138">
        <f t="array" ref="H247">IF($A247="","",
  IF(
    OR(
      $A247=23,
      AND($A247&gt;=32,$A247&lt;=50)
    ),
    IFERROR(
      INDEX('Daily Sales'!$C:$AG,
        $A247,
        MATCH(TEXT($B247,"0"),TEXT('Daily Sales'!$C$2:$AG$2,"0"),0)
      ),
    ""),
  "")
)</f>
        <v>623810</v>
      </c>
      <c r="I247" s="138" t="str">
        <f t="array" ref="I247">IF($A247="","",
  IF(
    OR(
      AND($A247&gt;=4,$A247&lt;=8),
      AND($A247&gt;=12,$A247&lt;=19),
      AND($A247&gt;=28,$A247&lt;=29)
    ),
    IFERROR(
      INDEX('Daily Sales'!$C:$AG,
        $A247,
        MATCH(TEXT($B247,"0"),TEXT('Daily Sales'!$C$2:$AG$2,"0"),0)
      ),
    ""),
  "")
)</f>
        <v/>
      </c>
      <c r="J247" s="79" t="e">
        <f t="shared" si="2"/>
        <v>#VALUE!</v>
      </c>
      <c r="K247" s="141"/>
      <c r="L247" s="81"/>
      <c r="M247" s="141"/>
      <c r="N247" s="133"/>
      <c r="O247" s="4"/>
      <c r="P247" s="4"/>
      <c r="Q247" s="4"/>
      <c r="R247" s="109"/>
      <c r="S247" s="109"/>
      <c r="T247" s="108"/>
      <c r="U247" s="110"/>
      <c r="V247" s="110"/>
      <c r="W247" s="110"/>
      <c r="X247" s="110"/>
    </row>
    <row r="248" spans="1:24" ht="13.5" customHeight="1">
      <c r="A248" s="110">
        <f>IF(E248="","",MATCH(E248,'Daily Sales'!B$4:B$51,0)+3)</f>
        <v>37</v>
      </c>
      <c r="B248" s="135">
        <v>46181</v>
      </c>
      <c r="C248" s="136" t="s">
        <v>98</v>
      </c>
      <c r="D248" s="137" t="str">
        <f t="array" ref="D248">IF($A248="","",INDEX('Daily Sales'!A:A,$A248))</f>
        <v>1-1213</v>
      </c>
      <c r="E248" s="138" t="s">
        <v>50</v>
      </c>
      <c r="F248" s="139" t="str">
        <f t="shared" si="1"/>
        <v>Mandiri CC</v>
      </c>
      <c r="G248" s="140"/>
      <c r="H248" s="138">
        <f t="array" ref="H248">IF($A248="","",
  IF(
    OR(
      $A248=23,
      AND($A248&gt;=32,$A248&lt;=50)
    ),
    IFERROR(
      INDEX('Daily Sales'!$C:$AG,
        $A248,
        MATCH(TEXT($B248,"0"),TEXT('Daily Sales'!$C$2:$AG$2,"0"),0)
      ),
    ""),
  "")
)</f>
        <v>39201170</v>
      </c>
      <c r="I248" s="138" t="str">
        <f t="array" ref="I248">IF($A248="","",
  IF(
    OR(
      AND($A248&gt;=4,$A248&lt;=8),
      AND($A248&gt;=12,$A248&lt;=19),
      AND($A248&gt;=28,$A248&lt;=29)
    ),
    IFERROR(
      INDEX('Daily Sales'!$C:$AG,
        $A248,
        MATCH(TEXT($B248,"0"),TEXT('Daily Sales'!$C$2:$AG$2,"0"),0)
      ),
    ""),
  "")
)</f>
        <v/>
      </c>
      <c r="J248" s="79" t="e">
        <f t="shared" si="2"/>
        <v>#VALUE!</v>
      </c>
      <c r="K248" s="141"/>
      <c r="L248" s="81"/>
      <c r="M248" s="141"/>
      <c r="N248" s="133"/>
      <c r="O248" s="4"/>
      <c r="P248" s="4"/>
      <c r="Q248" s="4"/>
      <c r="R248" s="109"/>
      <c r="S248" s="109"/>
      <c r="T248" s="108"/>
      <c r="U248" s="110"/>
      <c r="V248" s="110"/>
      <c r="W248" s="110"/>
      <c r="X248" s="110"/>
    </row>
    <row r="249" spans="1:24" ht="13.5" customHeight="1">
      <c r="A249" s="110">
        <f>IF(E249="","",MATCH(E249,'Daily Sales'!B$4:B$51,0)+3)</f>
        <v>38</v>
      </c>
      <c r="B249" s="135">
        <v>46181</v>
      </c>
      <c r="C249" s="136" t="s">
        <v>98</v>
      </c>
      <c r="D249" s="137" t="str">
        <f t="array" ref="D249">IF($A249="","",INDEX('Daily Sales'!A:A,$A249))</f>
        <v>1-1213</v>
      </c>
      <c r="E249" s="138" t="s">
        <v>51</v>
      </c>
      <c r="F249" s="139" t="str">
        <f t="shared" si="1"/>
        <v>Mandiri NPG</v>
      </c>
      <c r="G249" s="140"/>
      <c r="H249" s="138">
        <f t="array" ref="H249">IF($A249="","",
  IF(
    OR(
      $A249=23,
      AND($A249&gt;=32,$A249&lt;=50)
    ),
    IFERROR(
      INDEX('Daily Sales'!$C:$AG,
        $A249,
        MATCH(TEXT($B249,"0"),TEXT('Daily Sales'!$C$2:$AG$2,"0"),0)
      ),
    ""),
  "")
)</f>
        <v>694160</v>
      </c>
      <c r="I249" s="138" t="str">
        <f t="array" ref="I249">IF($A249="","",
  IF(
    OR(
      AND($A249&gt;=4,$A249&lt;=8),
      AND($A249&gt;=12,$A249&lt;=19),
      AND($A249&gt;=28,$A249&lt;=29)
    ),
    IFERROR(
      INDEX('Daily Sales'!$C:$AG,
        $A249,
        MATCH(TEXT($B249,"0"),TEXT('Daily Sales'!$C$2:$AG$2,"0"),0)
      ),
    ""),
  "")
)</f>
        <v/>
      </c>
      <c r="J249" s="79" t="e">
        <f t="shared" si="2"/>
        <v>#VALUE!</v>
      </c>
      <c r="K249" s="141"/>
      <c r="L249" s="81"/>
      <c r="M249" s="141"/>
      <c r="N249" s="133"/>
      <c r="O249" s="4"/>
      <c r="P249" s="4"/>
      <c r="Q249" s="4"/>
      <c r="R249" s="109"/>
      <c r="S249" s="109"/>
      <c r="T249" s="108"/>
      <c r="U249" s="110"/>
      <c r="V249" s="110"/>
      <c r="W249" s="110"/>
      <c r="X249" s="110"/>
    </row>
    <row r="250" spans="1:24" ht="13.5" customHeight="1">
      <c r="A250" s="110">
        <f>IF(E250="","",MATCH(E250,'Daily Sales'!B$4:B$51,0)+3)</f>
        <v>39</v>
      </c>
      <c r="B250" s="135">
        <v>46181</v>
      </c>
      <c r="C250" s="136" t="s">
        <v>98</v>
      </c>
      <c r="D250" s="137" t="str">
        <f t="array" ref="D250">IF($A250="","",INDEX('Daily Sales'!A:A,$A250))</f>
        <v>1-1213</v>
      </c>
      <c r="E250" s="138" t="s">
        <v>52</v>
      </c>
      <c r="F250" s="139" t="str">
        <f t="shared" si="1"/>
        <v>Mandiri QR</v>
      </c>
      <c r="G250" s="140"/>
      <c r="H250" s="138">
        <f t="array" ref="H250">IF($A250="","",
  IF(
    OR(
      $A250=23,
      AND($A250&gt;=32,$A250&lt;=50)
    ),
    IFERROR(
      INDEX('Daily Sales'!$C:$AG,
        $A250,
        MATCH(TEXT($B250,"0"),TEXT('Daily Sales'!$C$2:$AG$2,"0"),0)
      ),
    ""),
  "")
)</f>
        <v>9768560</v>
      </c>
      <c r="I250" s="138" t="str">
        <f t="array" ref="I250">IF($A250="","",
  IF(
    OR(
      AND($A250&gt;=4,$A250&lt;=8),
      AND($A250&gt;=12,$A250&lt;=19),
      AND($A250&gt;=28,$A250&lt;=29)
    ),
    IFERROR(
      INDEX('Daily Sales'!$C:$AG,
        $A250,
        MATCH(TEXT($B250,"0"),TEXT('Daily Sales'!$C$2:$AG$2,"0"),0)
      ),
    ""),
  "")
)</f>
        <v/>
      </c>
      <c r="J250" s="79" t="e">
        <f t="shared" si="2"/>
        <v>#VALUE!</v>
      </c>
      <c r="K250" s="141"/>
      <c r="L250" s="81"/>
      <c r="M250" s="141"/>
      <c r="N250" s="133"/>
      <c r="O250" s="4"/>
      <c r="P250" s="4"/>
      <c r="Q250" s="4"/>
      <c r="R250" s="109"/>
      <c r="S250" s="109"/>
      <c r="T250" s="108"/>
      <c r="U250" s="110"/>
      <c r="V250" s="110"/>
      <c r="W250" s="110"/>
      <c r="X250" s="110"/>
    </row>
    <row r="251" spans="1:24" ht="13.5" customHeight="1">
      <c r="A251" s="110">
        <f>IF(E251="","",MATCH(E251,'Daily Sales'!B$4:B$51,0)+3)</f>
        <v>40</v>
      </c>
      <c r="B251" s="135">
        <v>46181</v>
      </c>
      <c r="C251" s="136" t="s">
        <v>98</v>
      </c>
      <c r="D251" s="137" t="str">
        <f t="array" ref="D251">IF($A251="","",INDEX('Daily Sales'!A:A,$A251))</f>
        <v>1-1217</v>
      </c>
      <c r="E251" s="138" t="s">
        <v>54</v>
      </c>
      <c r="F251" s="139" t="str">
        <f t="shared" si="1"/>
        <v>BCA CC</v>
      </c>
      <c r="G251" s="140"/>
      <c r="H251" s="138">
        <f t="array" ref="H251">IF($A251="","",
  IF(
    OR(
      $A251=23,
      AND($A251&gt;=32,$A251&lt;=50)
    ),
    IFERROR(
      INDEX('Daily Sales'!$C:$AG,
        $A251,
        MATCH(TEXT($B251,"0"),TEXT('Daily Sales'!$C$2:$AG$2,"0"),0)
      ),
    ""),
  "")
)</f>
        <v>19067400</v>
      </c>
      <c r="I251" s="138" t="str">
        <f t="array" ref="I251">IF($A251="","",
  IF(
    OR(
      AND($A251&gt;=4,$A251&lt;=8),
      AND($A251&gt;=12,$A251&lt;=19),
      AND($A251&gt;=28,$A251&lt;=29)
    ),
    IFERROR(
      INDEX('Daily Sales'!$C:$AG,
        $A251,
        MATCH(TEXT($B251,"0"),TEXT('Daily Sales'!$C$2:$AG$2,"0"),0)
      ),
    ""),
  "")
)</f>
        <v/>
      </c>
      <c r="J251" s="79" t="e">
        <f t="shared" si="2"/>
        <v>#VALUE!</v>
      </c>
      <c r="K251" s="141"/>
      <c r="L251" s="81"/>
      <c r="M251" s="141"/>
      <c r="N251" s="133"/>
      <c r="O251" s="4"/>
      <c r="P251" s="4"/>
      <c r="Q251" s="4"/>
      <c r="R251" s="109"/>
      <c r="S251" s="109"/>
      <c r="T251" s="108"/>
      <c r="U251" s="110"/>
      <c r="V251" s="110"/>
      <c r="W251" s="110"/>
      <c r="X251" s="110"/>
    </row>
    <row r="252" spans="1:24" ht="13.5" customHeight="1">
      <c r="A252" s="110">
        <f>IF(E252="","",MATCH(E252,'Daily Sales'!B$4:B$51,0)+3)</f>
        <v>41</v>
      </c>
      <c r="B252" s="135">
        <v>46181</v>
      </c>
      <c r="C252" s="136" t="s">
        <v>98</v>
      </c>
      <c r="D252" s="137" t="str">
        <f t="array" ref="D252">IF($A252="","",INDEX('Daily Sales'!A:A,$A252))</f>
        <v>1-1217</v>
      </c>
      <c r="E252" s="138" t="s">
        <v>55</v>
      </c>
      <c r="F252" s="139" t="str">
        <f t="shared" si="1"/>
        <v>BCA debt</v>
      </c>
      <c r="G252" s="140"/>
      <c r="H252" s="138">
        <f t="array" ref="H252">IF($A252="","",
  IF(
    OR(
      $A252=23,
      AND($A252&gt;=32,$A252&lt;=50)
    ),
    IFERROR(
      INDEX('Daily Sales'!$C:$AG,
        $A252,
        MATCH(TEXT($B252,"0"),TEXT('Daily Sales'!$C$2:$AG$2,"0"),0)
      ),
    ""),
  "")
)</f>
        <v>5090525</v>
      </c>
      <c r="I252" s="138" t="str">
        <f t="array" ref="I252">IF($A252="","",
  IF(
    OR(
      AND($A252&gt;=4,$A252&lt;=8),
      AND($A252&gt;=12,$A252&lt;=19),
      AND($A252&gt;=28,$A252&lt;=29)
    ),
    IFERROR(
      INDEX('Daily Sales'!$C:$AG,
        $A252,
        MATCH(TEXT($B252,"0"),TEXT('Daily Sales'!$C$2:$AG$2,"0"),0)
      ),
    ""),
  "")
)</f>
        <v/>
      </c>
      <c r="J252" s="79" t="e">
        <f t="shared" si="2"/>
        <v>#VALUE!</v>
      </c>
      <c r="K252" s="141"/>
      <c r="L252" s="81"/>
      <c r="M252" s="141"/>
      <c r="N252" s="133"/>
      <c r="O252" s="4"/>
      <c r="P252" s="4"/>
      <c r="Q252" s="4"/>
      <c r="R252" s="109"/>
      <c r="S252" s="109"/>
      <c r="T252" s="108"/>
      <c r="U252" s="110"/>
      <c r="V252" s="110"/>
      <c r="W252" s="110"/>
      <c r="X252" s="110"/>
    </row>
    <row r="253" spans="1:24" ht="13.5" customHeight="1">
      <c r="A253" s="110">
        <f>IF(E253="","",MATCH(E253,'Daily Sales'!B$4:B$51,0)+3)</f>
        <v>42</v>
      </c>
      <c r="B253" s="135">
        <v>46181</v>
      </c>
      <c r="C253" s="136" t="s">
        <v>98</v>
      </c>
      <c r="D253" s="137" t="str">
        <f t="array" ref="D253">IF($A253="","",INDEX('Daily Sales'!A:A,$A253))</f>
        <v>1-1217</v>
      </c>
      <c r="E253" s="138" t="s">
        <v>56</v>
      </c>
      <c r="F253" s="139" t="str">
        <f t="shared" si="1"/>
        <v>BCA QR</v>
      </c>
      <c r="G253" s="140"/>
      <c r="H253" s="138">
        <f t="array" ref="H253">IF($A253="","",
  IF(
    OR(
      $A253=23,
      AND($A253&gt;=32,$A253&lt;=50)
    ),
    IFERROR(
      INDEX('Daily Sales'!$C:$AG,
        $A253,
        MATCH(TEXT($B253,"0"),TEXT('Daily Sales'!$C$2:$AG$2,"0"),0)
      ),
    ""),
  "")
)</f>
        <v>235400</v>
      </c>
      <c r="I253" s="138" t="str">
        <f t="array" ref="I253">IF($A253="","",
  IF(
    OR(
      AND($A253&gt;=4,$A253&lt;=8),
      AND($A253&gt;=12,$A253&lt;=19),
      AND($A253&gt;=28,$A253&lt;=29)
    ),
    IFERROR(
      INDEX('Daily Sales'!$C:$AG,
        $A253,
        MATCH(TEXT($B253,"0"),TEXT('Daily Sales'!$C$2:$AG$2,"0"),0)
      ),
    ""),
  "")
)</f>
        <v/>
      </c>
      <c r="J253" s="79" t="e">
        <f t="shared" si="2"/>
        <v>#VALUE!</v>
      </c>
      <c r="K253" s="141"/>
      <c r="L253" s="81"/>
      <c r="M253" s="141"/>
      <c r="N253" s="133"/>
      <c r="O253" s="4"/>
      <c r="P253" s="4"/>
      <c r="Q253" s="4"/>
      <c r="R253" s="109"/>
      <c r="S253" s="109"/>
      <c r="T253" s="108"/>
      <c r="U253" s="110"/>
      <c r="V253" s="110"/>
      <c r="W253" s="110"/>
      <c r="X253" s="110"/>
    </row>
    <row r="254" spans="1:24" ht="13.5" customHeight="1">
      <c r="A254" s="110">
        <f>IF(E254="","",MATCH(E254,'Daily Sales'!B$4:B$51,0)+3)</f>
        <v>43</v>
      </c>
      <c r="B254" s="135">
        <v>46181</v>
      </c>
      <c r="C254" s="136" t="s">
        <v>98</v>
      </c>
      <c r="D254" s="137" t="str">
        <f t="array" ref="D254">IF($A254="","",INDEX('Daily Sales'!A:A,$A254))</f>
        <v>1-1214</v>
      </c>
      <c r="E254" s="138" t="s">
        <v>59</v>
      </c>
      <c r="F254" s="139" t="str">
        <f t="shared" si="1"/>
        <v>Bank BRI DEBET</v>
      </c>
      <c r="G254" s="140"/>
      <c r="H254" s="138">
        <f t="array" ref="H254">IF($A254="","",
  IF(
    OR(
      $A254=23,
      AND($A254&gt;=32,$A254&lt;=50)
    ),
    IFERROR(
      INDEX('Daily Sales'!$C:$AG,
        $A254,
        MATCH(TEXT($B254,"0"),TEXT('Daily Sales'!$C$2:$AG$2,"0"),0)
      ),
    ""),
  "")
)</f>
        <v>0</v>
      </c>
      <c r="I254" s="138" t="str">
        <f t="array" ref="I254">IF($A254="","",
  IF(
    OR(
      AND($A254&gt;=4,$A254&lt;=8),
      AND($A254&gt;=12,$A254&lt;=19),
      AND($A254&gt;=28,$A254&lt;=29)
    ),
    IFERROR(
      INDEX('Daily Sales'!$C:$AG,
        $A254,
        MATCH(TEXT($B254,"0"),TEXT('Daily Sales'!$C$2:$AG$2,"0"),0)
      ),
    ""),
  "")
)</f>
        <v/>
      </c>
      <c r="J254" s="79" t="e">
        <f t="shared" si="2"/>
        <v>#VALUE!</v>
      </c>
      <c r="K254" s="141"/>
      <c r="L254" s="81"/>
      <c r="M254" s="141"/>
      <c r="N254" s="133"/>
      <c r="O254" s="4"/>
      <c r="P254" s="4"/>
      <c r="Q254" s="4"/>
      <c r="R254" s="109"/>
      <c r="S254" s="109"/>
      <c r="T254" s="108"/>
      <c r="U254" s="110"/>
      <c r="V254" s="110"/>
      <c r="W254" s="110"/>
      <c r="X254" s="110"/>
    </row>
    <row r="255" spans="1:24" ht="13.5" customHeight="1">
      <c r="A255" s="110">
        <f>IF(E255="","",MATCH(E255,'Daily Sales'!B$4:B$51,0)+3)</f>
        <v>44</v>
      </c>
      <c r="B255" s="135">
        <v>46181</v>
      </c>
      <c r="C255" s="136" t="s">
        <v>98</v>
      </c>
      <c r="D255" s="137" t="str">
        <f t="array" ref="D255">IF($A255="","",INDEX('Daily Sales'!A:A,$A255))</f>
        <v>1-1214</v>
      </c>
      <c r="E255" s="138" t="s">
        <v>60</v>
      </c>
      <c r="F255" s="139" t="str">
        <f t="shared" si="1"/>
        <v>Bank BRI CC</v>
      </c>
      <c r="G255" s="140"/>
      <c r="H255" s="138">
        <f t="array" ref="H255">IF($A255="","",
  IF(
    OR(
      $A255=23,
      AND($A255&gt;=32,$A255&lt;=50)
    ),
    IFERROR(
      INDEX('Daily Sales'!$C:$AG,
        $A255,
        MATCH(TEXT($B255,"0"),TEXT('Daily Sales'!$C$2:$AG$2,"0"),0)
      ),
    ""),
  "")
)</f>
        <v>0</v>
      </c>
      <c r="I255" s="138" t="str">
        <f t="array" ref="I255">IF($A255="","",
  IF(
    OR(
      AND($A255&gt;=4,$A255&lt;=8),
      AND($A255&gt;=12,$A255&lt;=19),
      AND($A255&gt;=28,$A255&lt;=29)
    ),
    IFERROR(
      INDEX('Daily Sales'!$C:$AG,
        $A255,
        MATCH(TEXT($B255,"0"),TEXT('Daily Sales'!$C$2:$AG$2,"0"),0)
      ),
    ""),
  "")
)</f>
        <v/>
      </c>
      <c r="J255" s="79" t="e">
        <f t="shared" si="2"/>
        <v>#VALUE!</v>
      </c>
      <c r="K255" s="141"/>
      <c r="L255" s="81"/>
      <c r="M255" s="141"/>
      <c r="N255" s="133"/>
      <c r="O255" s="4"/>
      <c r="P255" s="4"/>
      <c r="Q255" s="4"/>
      <c r="R255" s="109"/>
      <c r="S255" s="109"/>
      <c r="T255" s="108"/>
      <c r="U255" s="110"/>
      <c r="V255" s="110"/>
      <c r="W255" s="110"/>
      <c r="X255" s="110"/>
    </row>
    <row r="256" spans="1:24" ht="13.5" customHeight="1">
      <c r="A256" s="110">
        <f>IF(E256="","",MATCH(E256,'Daily Sales'!B$4:B$51,0)+3)</f>
        <v>45</v>
      </c>
      <c r="B256" s="135">
        <v>46181</v>
      </c>
      <c r="C256" s="136" t="s">
        <v>98</v>
      </c>
      <c r="D256" s="137" t="str">
        <f t="array" ref="D256">IF($A256="","",INDEX('Daily Sales'!A:A,$A256))</f>
        <v>1-1214</v>
      </c>
      <c r="E256" s="138" t="s">
        <v>61</v>
      </c>
      <c r="F256" s="139" t="str">
        <f t="shared" si="1"/>
        <v>Bank BRI QR</v>
      </c>
      <c r="G256" s="140"/>
      <c r="H256" s="138">
        <f t="array" ref="H256">IF($A256="","",
  IF(
    OR(
      $A256=23,
      AND($A256&gt;=32,$A256&lt;=50)
    ),
    IFERROR(
      INDEX('Daily Sales'!$C:$AG,
        $A256,
        MATCH(TEXT($B256,"0"),TEXT('Daily Sales'!$C$2:$AG$2,"0"),0)
      ),
    ""),
  "")
)</f>
        <v>0</v>
      </c>
      <c r="I256" s="138" t="str">
        <f t="array" ref="I256">IF($A256="","",
  IF(
    OR(
      AND($A256&gt;=4,$A256&lt;=8),
      AND($A256&gt;=12,$A256&lt;=19),
      AND($A256&gt;=28,$A256&lt;=29)
    ),
    IFERROR(
      INDEX('Daily Sales'!$C:$AG,
        $A256,
        MATCH(TEXT($B256,"0"),TEXT('Daily Sales'!$C$2:$AG$2,"0"),0)
      ),
    ""),
  "")
)</f>
        <v/>
      </c>
      <c r="J256" s="79" t="e">
        <f t="shared" si="2"/>
        <v>#VALUE!</v>
      </c>
      <c r="K256" s="141"/>
      <c r="L256" s="81"/>
      <c r="M256" s="141"/>
      <c r="N256" s="133"/>
      <c r="O256" s="4"/>
      <c r="P256" s="4"/>
      <c r="Q256" s="4"/>
      <c r="R256" s="109"/>
      <c r="S256" s="109"/>
      <c r="T256" s="108"/>
      <c r="U256" s="110"/>
      <c r="V256" s="110"/>
      <c r="W256" s="110"/>
      <c r="X256" s="110"/>
    </row>
    <row r="257" spans="1:24" ht="13.5" customHeight="1">
      <c r="A257" s="110">
        <f>IF(E257="","",MATCH(E257,'Daily Sales'!B$4:B$51,0)+3)</f>
        <v>46</v>
      </c>
      <c r="B257" s="135">
        <v>46181</v>
      </c>
      <c r="C257" s="136" t="s">
        <v>98</v>
      </c>
      <c r="D257" s="137" t="str">
        <f t="array" ref="D257">IF($A257="","",INDEX('Daily Sales'!A:A,$A257))</f>
        <v>1-1202</v>
      </c>
      <c r="E257" s="138" t="s">
        <v>64</v>
      </c>
      <c r="F257" s="139" t="str">
        <f t="shared" si="1"/>
        <v>Ledger</v>
      </c>
      <c r="G257" s="140"/>
      <c r="H257" s="138">
        <f t="array" ref="H257">IF($A257="","",
  IF(
    OR(
      $A257=23,
      AND($A257&gt;=32,$A257&lt;=50)
    ),
    IFERROR(
      INDEX('Daily Sales'!$C:$AG,
        $A257,
        MATCH(TEXT($B257,"0"),TEXT('Daily Sales'!$C$2:$AG$2,"0"),0)
      ),
    ""),
  "")
)</f>
        <v>177728</v>
      </c>
      <c r="I257" s="138" t="str">
        <f t="array" ref="I257">IF($A257="","",
  IF(
    OR(
      AND($A257&gt;=4,$A257&lt;=8),
      AND($A257&gt;=12,$A257&lt;=19),
      AND($A257&gt;=28,$A257&lt;=29)
    ),
    IFERROR(
      INDEX('Daily Sales'!$C:$AG,
        $A257,
        MATCH(TEXT($B257,"0"),TEXT('Daily Sales'!$C$2:$AG$2,"0"),0)
      ),
    ""),
  "")
)</f>
        <v/>
      </c>
      <c r="J257" s="79" t="e">
        <f t="shared" si="2"/>
        <v>#VALUE!</v>
      </c>
      <c r="K257" s="141"/>
      <c r="L257" s="81"/>
      <c r="M257" s="141"/>
      <c r="N257" s="133"/>
      <c r="O257" s="4"/>
      <c r="P257" s="4"/>
      <c r="Q257" s="4"/>
      <c r="R257" s="109"/>
      <c r="S257" s="109"/>
      <c r="T257" s="108"/>
      <c r="U257" s="110"/>
      <c r="V257" s="110"/>
      <c r="W257" s="110"/>
      <c r="X257" s="110"/>
    </row>
    <row r="258" spans="1:24" ht="13.5" customHeight="1">
      <c r="A258" s="110">
        <f>IF(E258="","",MATCH(E258,'Daily Sales'!B$4:B$51,0)+3)</f>
        <v>47</v>
      </c>
      <c r="B258" s="135">
        <v>46181</v>
      </c>
      <c r="C258" s="136" t="s">
        <v>98</v>
      </c>
      <c r="D258" s="137" t="str">
        <f t="array" ref="D258">IF($A258="","",INDEX('Daily Sales'!A:A,$A258))</f>
        <v>1-1129</v>
      </c>
      <c r="E258" s="138" t="s">
        <v>66</v>
      </c>
      <c r="F258" s="139" t="str">
        <f t="shared" si="1"/>
        <v>Star Points</v>
      </c>
      <c r="G258" s="140"/>
      <c r="H258" s="138">
        <f t="array" ref="H258">IF($A258="","",
  IF(
    OR(
      $A258=23,
      AND($A258&gt;=32,$A258&lt;=50)
    ),
    IFERROR(
      INDEX('Daily Sales'!$C:$AG,
        $A258,
        MATCH(TEXT($B258,"0"),TEXT('Daily Sales'!$C$2:$AG$2,"0"),0)
      ),
    ""),
  "")
)</f>
        <v>0</v>
      </c>
      <c r="I258" s="138" t="str">
        <f t="array" ref="I258">IF($A258="","",
  IF(
    OR(
      AND($A258&gt;=4,$A258&lt;=8),
      AND($A258&gt;=12,$A258&lt;=19),
      AND($A258&gt;=28,$A258&lt;=29)
    ),
    IFERROR(
      INDEX('Daily Sales'!$C:$AG,
        $A258,
        MATCH(TEXT($B258,"0"),TEXT('Daily Sales'!$C$2:$AG$2,"0"),0)
      ),
    ""),
  "")
)</f>
        <v/>
      </c>
      <c r="J258" s="79" t="e">
        <f t="shared" si="2"/>
        <v>#VALUE!</v>
      </c>
      <c r="K258" s="141"/>
      <c r="L258" s="81"/>
      <c r="M258" s="141"/>
      <c r="N258" s="133"/>
      <c r="O258" s="4"/>
      <c r="P258" s="4"/>
      <c r="Q258" s="4"/>
      <c r="R258" s="109"/>
      <c r="S258" s="109"/>
      <c r="T258" s="108"/>
      <c r="U258" s="110"/>
      <c r="V258" s="110"/>
      <c r="W258" s="110"/>
      <c r="X258" s="110"/>
    </row>
    <row r="259" spans="1:24" ht="13.5" customHeight="1">
      <c r="A259" s="110">
        <f>IF(E259="","",MATCH(E259,'Daily Sales'!B$4:B$51,0)+3)</f>
        <v>48</v>
      </c>
      <c r="B259" s="135">
        <v>46181</v>
      </c>
      <c r="C259" s="136" t="s">
        <v>98</v>
      </c>
      <c r="D259" s="137" t="str">
        <f t="array" ref="D259">IF($A259="","",INDEX('Daily Sales'!A:A,$A259))</f>
        <v>1-1215</v>
      </c>
      <c r="E259" s="138" t="s">
        <v>68</v>
      </c>
      <c r="F259" s="139" t="str">
        <f t="shared" si="1"/>
        <v>Ovo</v>
      </c>
      <c r="G259" s="140"/>
      <c r="H259" s="138">
        <f t="array" ref="H259">IF($A259="","",
  IF(
    OR(
      $A259=23,
      AND($A259&gt;=32,$A259&lt;=50)
    ),
    IFERROR(
      INDEX('Daily Sales'!$C:$AG,
        $A259,
        MATCH(TEXT($B259,"0"),TEXT('Daily Sales'!$C$2:$AG$2,"0"),0)
      ),
    ""),
  "")
)</f>
        <v>805000</v>
      </c>
      <c r="I259" s="138" t="str">
        <f t="array" ref="I259">IF($A259="","",
  IF(
    OR(
      AND($A259&gt;=4,$A259&lt;=8),
      AND($A259&gt;=12,$A259&lt;=19),
      AND($A259&gt;=28,$A259&lt;=29)
    ),
    IFERROR(
      INDEX('Daily Sales'!$C:$AG,
        $A259,
        MATCH(TEXT($B259,"0"),TEXT('Daily Sales'!$C$2:$AG$2,"0"),0)
      ),
    ""),
  "")
)</f>
        <v/>
      </c>
      <c r="J259" s="79" t="e">
        <f t="shared" si="2"/>
        <v>#VALUE!</v>
      </c>
      <c r="K259" s="141"/>
      <c r="L259" s="81"/>
      <c r="M259" s="141"/>
      <c r="N259" s="133"/>
      <c r="O259" s="4"/>
      <c r="P259" s="4"/>
      <c r="Q259" s="4"/>
      <c r="R259" s="109"/>
      <c r="S259" s="109"/>
      <c r="T259" s="108"/>
      <c r="U259" s="110"/>
      <c r="V259" s="110"/>
      <c r="W259" s="110"/>
      <c r="X259" s="110"/>
    </row>
    <row r="260" spans="1:24" ht="13.5" customHeight="1">
      <c r="A260" s="110">
        <f>IF(E260="","",MATCH(E260,'Daily Sales'!B$4:B$51,0)+3)</f>
        <v>49</v>
      </c>
      <c r="B260" s="135">
        <v>46181</v>
      </c>
      <c r="C260" s="136" t="s">
        <v>98</v>
      </c>
      <c r="D260" s="137" t="str">
        <f t="array" ref="D260">IF($A260="","",INDEX('Daily Sales'!A:A,$A260))</f>
        <v>1-1211</v>
      </c>
      <c r="E260" s="138" t="s">
        <v>70</v>
      </c>
      <c r="F260" s="139" t="str">
        <f t="shared" si="1"/>
        <v>Gopay</v>
      </c>
      <c r="G260" s="140"/>
      <c r="H260" s="138">
        <f t="array" ref="H260">IF($A260="","",
  IF(
    OR(
      $A260=23,
      AND($A260&gt;=32,$A260&lt;=50)
    ),
    IFERROR(
      INDEX('Daily Sales'!$C:$AG,
        $A260,
        MATCH(TEXT($B260,"0"),TEXT('Daily Sales'!$C$2:$AG$2,"0"),0)
      ),
    ""),
  "")
)</f>
        <v>0</v>
      </c>
      <c r="I260" s="138" t="str">
        <f t="array" ref="I260">IF($A260="","",
  IF(
    OR(
      AND($A260&gt;=4,$A260&lt;=8),
      AND($A260&gt;=12,$A260&lt;=19),
      AND($A260&gt;=28,$A260&lt;=29)
    ),
    IFERROR(
      INDEX('Daily Sales'!$C:$AG,
        $A260,
        MATCH(TEXT($B260,"0"),TEXT('Daily Sales'!$C$2:$AG$2,"0"),0)
      ),
    ""),
  "")
)</f>
        <v/>
      </c>
      <c r="J260" s="79" t="e">
        <f t="shared" si="2"/>
        <v>#VALUE!</v>
      </c>
      <c r="K260" s="141"/>
      <c r="L260" s="81"/>
      <c r="M260" s="141"/>
      <c r="N260" s="133"/>
      <c r="O260" s="4"/>
      <c r="P260" s="4"/>
      <c r="Q260" s="4"/>
      <c r="R260" s="109"/>
      <c r="S260" s="109"/>
      <c r="T260" s="108"/>
      <c r="U260" s="110"/>
      <c r="V260" s="110"/>
      <c r="W260" s="110"/>
      <c r="X260" s="110"/>
    </row>
    <row r="261" spans="1:24" ht="13.5" customHeight="1">
      <c r="A261" s="110">
        <f>IF(E261="","",MATCH(E261,'Daily Sales'!B$4:B$51,0)+3)</f>
        <v>50</v>
      </c>
      <c r="B261" s="135">
        <v>46181</v>
      </c>
      <c r="C261" s="136" t="s">
        <v>98</v>
      </c>
      <c r="D261" s="137" t="str">
        <f t="array" ref="D261">IF($A261="","",INDEX('Daily Sales'!A:A,$A261))</f>
        <v>2-2110</v>
      </c>
      <c r="E261" s="138" t="s">
        <v>72</v>
      </c>
      <c r="F261" s="139" t="str">
        <f t="shared" si="1"/>
        <v>Cash Short/Over</v>
      </c>
      <c r="G261" s="140"/>
      <c r="H261" s="138">
        <f t="array" ref="H261">IF($A261="","",
  IF(
    OR(
      $A261=23,
      AND($A261&gt;=32,$A261&lt;=50)
    ),
    IFERROR(
      INDEX('Daily Sales'!$C:$AG,
        $A261,
        MATCH(TEXT($B261,"0"),TEXT('Daily Sales'!$C$2:$AG$2,"0"),0)
      ),
    ""),
  "")
)</f>
        <v>-363605.66</v>
      </c>
      <c r="I261" s="138" t="str">
        <f t="array" ref="I261">IF($A261="","",
  IF(
    OR(
      AND($A261&gt;=4,$A261&lt;=8),
      AND($A261&gt;=12,$A261&lt;=19),
      AND($A261&gt;=28,$A261&lt;=29)
    ),
    IFERROR(
      INDEX('Daily Sales'!$C:$AG,
        $A261,
        MATCH(TEXT($B261,"0"),TEXT('Daily Sales'!$C$2:$AG$2,"0"),0)
      ),
    ""),
  "")
)</f>
        <v/>
      </c>
      <c r="J261" s="79" t="e">
        <f t="shared" si="2"/>
        <v>#VALUE!</v>
      </c>
      <c r="K261" s="141"/>
      <c r="L261" s="81"/>
      <c r="M261" s="141"/>
      <c r="N261" s="133"/>
      <c r="O261" s="4"/>
      <c r="P261" s="4"/>
      <c r="Q261" s="4"/>
      <c r="R261" s="109"/>
      <c r="S261" s="109"/>
      <c r="T261" s="108"/>
      <c r="U261" s="110"/>
      <c r="V261" s="110"/>
      <c r="W261" s="110"/>
      <c r="X261" s="110"/>
    </row>
    <row r="262" spans="1:24" ht="13.5" customHeight="1">
      <c r="A262" s="110" t="str">
        <f>IF(E262="","",MATCH(E262,'Daily Sales'!B$4:B$51,0)+3)</f>
        <v/>
      </c>
      <c r="B262" s="135"/>
      <c r="C262" s="136"/>
      <c r="D262" s="137" t="str">
        <f t="array" ref="D262">IF($A262="","",INDEX('Daily Sales'!A:A,$A262))</f>
        <v/>
      </c>
      <c r="E262" s="138"/>
      <c r="F262" s="139">
        <f t="shared" ref="F262:F485" si="3">E262</f>
        <v>0</v>
      </c>
      <c r="G262" s="140"/>
      <c r="H262" s="138" t="str">
        <f t="array" ref="H262">IF($A262="","",
  IF(
    OR(
      $A262=23,
      AND($A262&gt;=32,$A262&lt;=50)
    ),
    IFERROR(
      INDEX('Daily Sales'!$C:$AG,
        $A262,
        MATCH(TEXT($B262,"0"),TEXT('Daily Sales'!$C$2:$AG$2,"0"),0)
      ),
    ""),
  "")
)</f>
        <v/>
      </c>
      <c r="I262" s="138" t="str">
        <f t="array" ref="I262">IF($A262="","",
  IF(
    OR(
      AND($A262&gt;=4,$A262&lt;=8),
      AND($A262&gt;=12,$A262&lt;=19),
      AND($A262&gt;=28,$A262&lt;=29)
    ),
    IFERROR(
      INDEX('Daily Sales'!$C:$AG,
        $A262,
        MATCH(TEXT($B262,"0"),TEXT('Daily Sales'!$C$2:$AG$2,"0"),0)
      ),
    ""),
  "")
)</f>
        <v/>
      </c>
      <c r="J262" s="79" t="e">
        <f t="shared" ref="J262:J516" si="4">J261+H262-I262</f>
        <v>#VALUE!</v>
      </c>
      <c r="K262" s="141"/>
      <c r="L262" s="81"/>
      <c r="M262" s="141"/>
      <c r="N262" s="133"/>
      <c r="O262" s="4"/>
      <c r="P262" s="4"/>
      <c r="Q262" s="4"/>
      <c r="R262" s="109"/>
      <c r="S262" s="109"/>
      <c r="T262" s="108"/>
      <c r="U262" s="110"/>
      <c r="V262" s="110"/>
      <c r="W262" s="110"/>
      <c r="X262" s="110"/>
    </row>
    <row r="263" spans="1:24" ht="13.5" customHeight="1">
      <c r="A263" s="110">
        <f>IF(E263="","",MATCH(E263,'Daily Sales'!B$4:B$51,0)+3)</f>
        <v>4</v>
      </c>
      <c r="B263" s="135">
        <v>46182</v>
      </c>
      <c r="C263" s="136" t="s">
        <v>99</v>
      </c>
      <c r="D263" s="137" t="str">
        <f t="array" ref="D263">IF($A263="","",INDEX('Daily Sales'!A:A,$A263))</f>
        <v>4-2100</v>
      </c>
      <c r="E263" s="138" t="s">
        <v>5</v>
      </c>
      <c r="F263" s="139" t="str">
        <f t="shared" si="3"/>
        <v>Sales Food TERRACE</v>
      </c>
      <c r="G263" s="140"/>
      <c r="H263" s="138" t="str">
        <f t="array" ref="H263">IF($A263="","",
  IF(
    OR(
      $A263=23,
      AND($A263&gt;=32,$A263&lt;=50)
    ),
    IFERROR(
      INDEX('Daily Sales'!$C:$AG,
        $A263,
        MATCH(TEXT($B263,"0"),TEXT('Daily Sales'!$C$2:$AG$2,"0"),0)
      ),
    ""),
  "")
)</f>
        <v/>
      </c>
      <c r="I263" s="138">
        <f t="array" ref="I263">IF($A263="","",
  IF(
    OR(
      AND($A263&gt;=4,$A263&lt;=8),
      AND($A263&gt;=12,$A263&lt;=19),
      AND($A263&gt;=28,$A263&lt;=29)
    ),
    IFERROR(
      INDEX('Daily Sales'!$C:$AG,
        $A263,
        MATCH(TEXT($B263,"0"),TEXT('Daily Sales'!$C$2:$AG$2,"0"),0)
      ),
    ""),
  "")
)</f>
        <v>4035000</v>
      </c>
      <c r="J263" s="79" t="e">
        <f t="shared" si="4"/>
        <v>#VALUE!</v>
      </c>
      <c r="K263" s="141"/>
      <c r="L263" s="81"/>
      <c r="M263" s="141"/>
      <c r="N263" s="133"/>
      <c r="O263" s="4"/>
      <c r="P263" s="4"/>
      <c r="Q263" s="4"/>
      <c r="R263" s="109"/>
      <c r="S263" s="109"/>
      <c r="T263" s="108"/>
      <c r="U263" s="110"/>
      <c r="V263" s="110"/>
      <c r="W263" s="110"/>
      <c r="X263" s="110"/>
    </row>
    <row r="264" spans="1:24" ht="13.5" customHeight="1">
      <c r="A264" s="110">
        <f>IF(E264="","",MATCH(E264,'Daily Sales'!B$4:B$51,0)+3)</f>
        <v>5</v>
      </c>
      <c r="B264" s="135">
        <v>46182</v>
      </c>
      <c r="C264" s="136" t="s">
        <v>99</v>
      </c>
      <c r="D264" s="137" t="str">
        <f t="array" ref="D264">IF($A264="","",INDEX('Daily Sales'!A:A,$A264))</f>
        <v>4-2200</v>
      </c>
      <c r="E264" s="138" t="s">
        <v>7</v>
      </c>
      <c r="F264" s="139" t="str">
        <f t="shared" si="3"/>
        <v>Sales Beverages TERRACE</v>
      </c>
      <c r="G264" s="140"/>
      <c r="H264" s="138" t="str">
        <f t="array" ref="H264">IF($A264="","",
  IF(
    OR(
      $A264=23,
      AND($A264&gt;=32,$A264&lt;=50)
    ),
    IFERROR(
      INDEX('Daily Sales'!$C:$AG,
        $A264,
        MATCH(TEXT($B264,"0"),TEXT('Daily Sales'!$C$2:$AG$2,"0"),0)
      ),
    ""),
  "")
)</f>
        <v/>
      </c>
      <c r="I264" s="138">
        <f t="array" ref="I264">IF($A264="","",
  IF(
    OR(
      AND($A264&gt;=4,$A264&lt;=8),
      AND($A264&gt;=12,$A264&lt;=19),
      AND($A264&gt;=28,$A264&lt;=29)
    ),
    IFERROR(
      INDEX('Daily Sales'!$C:$AG,
        $A264,
        MATCH(TEXT($B264,"0"),TEXT('Daily Sales'!$C$2:$AG$2,"0"),0)
      ),
    ""),
  "")
)</f>
        <v>5815000</v>
      </c>
      <c r="J264" s="79" t="e">
        <f t="shared" si="4"/>
        <v>#VALUE!</v>
      </c>
      <c r="K264" s="141"/>
      <c r="L264" s="81"/>
      <c r="M264" s="141"/>
      <c r="N264" s="133"/>
      <c r="O264" s="4"/>
      <c r="P264" s="4"/>
      <c r="Q264" s="4"/>
      <c r="R264" s="109"/>
      <c r="S264" s="109"/>
      <c r="T264" s="108"/>
      <c r="U264" s="110"/>
      <c r="V264" s="110"/>
      <c r="W264" s="110"/>
      <c r="X264" s="110"/>
    </row>
    <row r="265" spans="1:24" ht="13.5" customHeight="1">
      <c r="A265" s="110">
        <f>IF(E265="","",MATCH(E265,'Daily Sales'!B$4:B$51,0)+3)</f>
        <v>6</v>
      </c>
      <c r="B265" s="135">
        <v>46182</v>
      </c>
      <c r="C265" s="136" t="s">
        <v>99</v>
      </c>
      <c r="D265" s="137" t="str">
        <f t="array" ref="D265">IF($A265="","",INDEX('Daily Sales'!A:A,$A265))</f>
        <v>4-2400</v>
      </c>
      <c r="E265" s="138" t="s">
        <v>9</v>
      </c>
      <c r="F265" s="139" t="str">
        <f t="shared" si="3"/>
        <v>Sales Cigarette TERRACE</v>
      </c>
      <c r="G265" s="140"/>
      <c r="H265" s="138" t="str">
        <f t="array" ref="H265">IF($A265="","",
  IF(
    OR(
      $A265=23,
      AND($A265&gt;=32,$A265&lt;=50)
    ),
    IFERROR(
      INDEX('Daily Sales'!$C:$AG,
        $A265,
        MATCH(TEXT($B265,"0"),TEXT('Daily Sales'!$C$2:$AG$2,"0"),0)
      ),
    ""),
  "")
)</f>
        <v/>
      </c>
      <c r="I265" s="138">
        <f t="array" ref="I265">IF($A265="","",
  IF(
    OR(
      AND($A265&gt;=4,$A265&lt;=8),
      AND($A265&gt;=12,$A265&lt;=19),
      AND($A265&gt;=28,$A265&lt;=29)
    ),
    IFERROR(
      INDEX('Daily Sales'!$C:$AG,
        $A265,
        MATCH(TEXT($B265,"0"),TEXT('Daily Sales'!$C$2:$AG$2,"0"),0)
      ),
    ""),
  "")
)</f>
        <v>70000</v>
      </c>
      <c r="J265" s="79" t="e">
        <f t="shared" si="4"/>
        <v>#VALUE!</v>
      </c>
      <c r="K265" s="141"/>
      <c r="L265" s="81"/>
      <c r="M265" s="141"/>
      <c r="N265" s="133"/>
      <c r="O265" s="4"/>
      <c r="P265" s="4"/>
      <c r="Q265" s="4"/>
      <c r="R265" s="109"/>
      <c r="S265" s="109"/>
      <c r="T265" s="108"/>
      <c r="U265" s="110"/>
      <c r="V265" s="110"/>
      <c r="W265" s="110"/>
      <c r="X265" s="110"/>
    </row>
    <row r="266" spans="1:24" ht="13.5" customHeight="1">
      <c r="A266" s="110">
        <f>IF(E266="","",MATCH(E266,'Daily Sales'!B$4:B$51,0)+3)</f>
        <v>7</v>
      </c>
      <c r="B266" s="135">
        <v>46182</v>
      </c>
      <c r="C266" s="136" t="s">
        <v>99</v>
      </c>
      <c r="D266" s="137" t="str">
        <f t="array" ref="D266">IF($A266="","",INDEX('Daily Sales'!A:A,$A266))</f>
        <v>4-2300</v>
      </c>
      <c r="E266" s="138" t="s">
        <v>11</v>
      </c>
      <c r="F266" s="139" t="str">
        <f t="shared" si="3"/>
        <v>Sales Shisa TERRACE</v>
      </c>
      <c r="G266" s="140"/>
      <c r="H266" s="138" t="str">
        <f t="array" ref="H266">IF($A266="","",
  IF(
    OR(
      $A266=23,
      AND($A266&gt;=32,$A266&lt;=50)
    ),
    IFERROR(
      INDEX('Daily Sales'!$C:$AG,
        $A266,
        MATCH(TEXT($B266,"0"),TEXT('Daily Sales'!$C$2:$AG$2,"0"),0)
      ),
    ""),
  "")
)</f>
        <v/>
      </c>
      <c r="I266" s="138">
        <f t="array" ref="I266">IF($A266="","",
  IF(
    OR(
      AND($A266&gt;=4,$A266&lt;=8),
      AND($A266&gt;=12,$A266&lt;=19),
      AND($A266&gt;=28,$A266&lt;=29)
    ),
    IFERROR(
      INDEX('Daily Sales'!$C:$AG,
        $A266,
        MATCH(TEXT($B266,"0"),TEXT('Daily Sales'!$C$2:$AG$2,"0"),0)
      ),
    ""),
  "")
)</f>
        <v>250000</v>
      </c>
      <c r="J266" s="79" t="e">
        <f t="shared" si="4"/>
        <v>#VALUE!</v>
      </c>
      <c r="K266" s="141"/>
      <c r="L266" s="81"/>
      <c r="M266" s="141"/>
      <c r="N266" s="133"/>
      <c r="O266" s="4"/>
      <c r="P266" s="4"/>
      <c r="Q266" s="4"/>
      <c r="R266" s="109"/>
      <c r="S266" s="109"/>
      <c r="T266" s="108"/>
      <c r="U266" s="110"/>
      <c r="V266" s="110"/>
      <c r="W266" s="110"/>
      <c r="X266" s="110"/>
    </row>
    <row r="267" spans="1:24" ht="13.5" customHeight="1">
      <c r="A267" s="110">
        <f>IF(E267="","",MATCH(E267,'Daily Sales'!B$4:B$51,0)+3)</f>
        <v>12</v>
      </c>
      <c r="B267" s="135">
        <v>46182</v>
      </c>
      <c r="C267" s="136" t="s">
        <v>99</v>
      </c>
      <c r="D267" s="137" t="str">
        <f t="array" ref="D267">IF($A267="","",INDEX('Daily Sales'!A:A,$A267))</f>
        <v>4-2200</v>
      </c>
      <c r="E267" s="138" t="s">
        <v>17</v>
      </c>
      <c r="F267" s="139" t="str">
        <f t="shared" si="3"/>
        <v>Sales Beverages CLUB</v>
      </c>
      <c r="G267" s="140"/>
      <c r="H267" s="138" t="str">
        <f t="array" ref="H267">IF($A267="","",
  IF(
    OR(
      $A267=23,
      AND($A267&gt;=32,$A267&lt;=50)
    ),
    IFERROR(
      INDEX('Daily Sales'!$C:$AG,
        $A267,
        MATCH(TEXT($B267,"0"),TEXT('Daily Sales'!$C$2:$AG$2,"0"),0)
      ),
    ""),
  "")
)</f>
        <v/>
      </c>
      <c r="I267" s="138">
        <f t="array" ref="I267">IF($A267="","",
  IF(
    OR(
      AND($A267&gt;=4,$A267&lt;=8),
      AND($A267&gt;=12,$A267&lt;=19),
      AND($A267&gt;=28,$A267&lt;=29)
    ),
    IFERROR(
      INDEX('Daily Sales'!$C:$AG,
        $A267,
        MATCH(TEXT($B267,"0"),TEXT('Daily Sales'!$C$2:$AG$2,"0"),0)
      ),
    ""),
  "")
)</f>
        <v>38654000</v>
      </c>
      <c r="J267" s="79" t="e">
        <f t="shared" si="4"/>
        <v>#VALUE!</v>
      </c>
      <c r="K267" s="141"/>
      <c r="L267" s="81"/>
      <c r="M267" s="141"/>
      <c r="N267" s="133"/>
      <c r="O267" s="4"/>
      <c r="P267" s="4"/>
      <c r="Q267" s="4"/>
      <c r="R267" s="109"/>
      <c r="S267" s="109"/>
      <c r="T267" s="108"/>
      <c r="U267" s="110"/>
      <c r="V267" s="110"/>
      <c r="W267" s="110"/>
      <c r="X267" s="110"/>
    </row>
    <row r="268" spans="1:24" ht="13.5" customHeight="1">
      <c r="A268" s="110">
        <f>IF(E268="","",MATCH(E268,'Daily Sales'!B$4:B$51,0)+3)</f>
        <v>13</v>
      </c>
      <c r="B268" s="135">
        <v>46182</v>
      </c>
      <c r="C268" s="136" t="s">
        <v>99</v>
      </c>
      <c r="D268" s="137" t="str">
        <f t="array" ref="D268">IF($A268="","",INDEX('Daily Sales'!A:A,$A268))</f>
        <v>4-2400</v>
      </c>
      <c r="E268" s="138" t="s">
        <v>18</v>
      </c>
      <c r="F268" s="139" t="str">
        <f t="shared" si="3"/>
        <v>Sales Cigarette CLUB</v>
      </c>
      <c r="G268" s="140"/>
      <c r="H268" s="138" t="str">
        <f t="array" ref="H268">IF($A268="","",
  IF(
    OR(
      $A268=23,
      AND($A268&gt;=32,$A268&lt;=50)
    ),
    IFERROR(
      INDEX('Daily Sales'!$C:$AG,
        $A268,
        MATCH(TEXT($B268,"0"),TEXT('Daily Sales'!$C$2:$AG$2,"0"),0)
      ),
    ""),
  "")
)</f>
        <v/>
      </c>
      <c r="I268" s="138">
        <f t="array" ref="I268">IF($A268="","",
  IF(
    OR(
      AND($A268&gt;=4,$A268&lt;=8),
      AND($A268&gt;=12,$A268&lt;=19),
      AND($A268&gt;=28,$A268&lt;=29)
    ),
    IFERROR(
      INDEX('Daily Sales'!$C:$AG,
        $A268,
        MATCH(TEXT($B268,"0"),TEXT('Daily Sales'!$C$2:$AG$2,"0"),0)
      ),
    ""),
  "")
)</f>
        <v>840000</v>
      </c>
      <c r="J268" s="79" t="e">
        <f t="shared" si="4"/>
        <v>#VALUE!</v>
      </c>
      <c r="K268" s="141"/>
      <c r="L268" s="81"/>
      <c r="M268" s="141"/>
      <c r="N268" s="133"/>
      <c r="O268" s="4"/>
      <c r="P268" s="4"/>
      <c r="Q268" s="4"/>
      <c r="R268" s="109"/>
      <c r="S268" s="109"/>
      <c r="T268" s="108"/>
      <c r="U268" s="110"/>
      <c r="V268" s="110"/>
      <c r="W268" s="110"/>
      <c r="X268" s="110"/>
    </row>
    <row r="269" spans="1:24" ht="13.5" customHeight="1">
      <c r="A269" s="110">
        <f>IF(E269="","",MATCH(E269,'Daily Sales'!B$4:B$51,0)+3)</f>
        <v>14</v>
      </c>
      <c r="B269" s="135">
        <v>46182</v>
      </c>
      <c r="C269" s="136" t="s">
        <v>99</v>
      </c>
      <c r="D269" s="137" t="str">
        <f t="array" ref="D269">IF($A269="","",INDEX('Daily Sales'!A:A,$A269))</f>
        <v>4-2100</v>
      </c>
      <c r="E269" s="138" t="s">
        <v>19</v>
      </c>
      <c r="F269" s="139" t="str">
        <f t="shared" si="3"/>
        <v>Sales Food CLUB</v>
      </c>
      <c r="G269" s="140"/>
      <c r="H269" s="138" t="str">
        <f t="array" ref="H269">IF($A269="","",
  IF(
    OR(
      $A269=23,
      AND($A269&gt;=32,$A269&lt;=50)
    ),
    IFERROR(
      INDEX('Daily Sales'!$C:$AG,
        $A269,
        MATCH(TEXT($B269,"0"),TEXT('Daily Sales'!$C$2:$AG$2,"0"),0)
      ),
    ""),
  "")
)</f>
        <v/>
      </c>
      <c r="I269" s="138">
        <f t="array" ref="I269">IF($A269="","",
  IF(
    OR(
      AND($A269&gt;=4,$A269&lt;=8),
      AND($A269&gt;=12,$A269&lt;=19),
      AND($A269&gt;=28,$A269&lt;=29)
    ),
    IFERROR(
      INDEX('Daily Sales'!$C:$AG,
        $A269,
        MATCH(TEXT($B269,"0"),TEXT('Daily Sales'!$C$2:$AG$2,"0"),0)
      ),
    ""),
  "")
)</f>
        <v>250000</v>
      </c>
      <c r="J269" s="79" t="e">
        <f t="shared" si="4"/>
        <v>#VALUE!</v>
      </c>
      <c r="K269" s="141"/>
      <c r="L269" s="81"/>
      <c r="M269" s="141"/>
      <c r="N269" s="133"/>
      <c r="O269" s="4"/>
      <c r="P269" s="4"/>
      <c r="Q269" s="4"/>
      <c r="R269" s="109"/>
      <c r="S269" s="109"/>
      <c r="T269" s="108"/>
      <c r="U269" s="110"/>
      <c r="V269" s="110"/>
      <c r="W269" s="110"/>
      <c r="X269" s="110"/>
    </row>
    <row r="270" spans="1:24" ht="13.5" customHeight="1">
      <c r="A270" s="110">
        <f>IF(E270="","",MATCH(E270,'Daily Sales'!B$4:B$51,0)+3)</f>
        <v>15</v>
      </c>
      <c r="B270" s="135">
        <v>46182</v>
      </c>
      <c r="C270" s="136" t="s">
        <v>99</v>
      </c>
      <c r="D270" s="137" t="str">
        <f t="array" ref="D270">IF($A270="","",INDEX('Daily Sales'!A:A,$A270))</f>
        <v>4-2300</v>
      </c>
      <c r="E270" s="138" t="s">
        <v>20</v>
      </c>
      <c r="F270" s="139" t="str">
        <f t="shared" si="3"/>
        <v>Sales Shisa CLUB</v>
      </c>
      <c r="G270" s="140"/>
      <c r="H270" s="138" t="str">
        <f t="array" ref="H270">IF($A270="","",
  IF(
    OR(
      $A270=23,
      AND($A270&gt;=32,$A270&lt;=50)
    ),
    IFERROR(
      INDEX('Daily Sales'!$C:$AG,
        $A270,
        MATCH(TEXT($B270,"0"),TEXT('Daily Sales'!$C$2:$AG$2,"0"),0)
      ),
    ""),
  "")
)</f>
        <v/>
      </c>
      <c r="I270" s="138">
        <f t="array" ref="I270">IF($A270="","",
  IF(
    OR(
      AND($A270&gt;=4,$A270&lt;=8),
      AND($A270&gt;=12,$A270&lt;=19),
      AND($A270&gt;=28,$A270&lt;=29)
    ),
    IFERROR(
      INDEX('Daily Sales'!$C:$AG,
        $A270,
        MATCH(TEXT($B270,"0"),TEXT('Daily Sales'!$C$2:$AG$2,"0"),0)
      ),
    ""),
  "")
)</f>
        <v>250000</v>
      </c>
      <c r="J270" s="79" t="e">
        <f t="shared" si="4"/>
        <v>#VALUE!</v>
      </c>
      <c r="K270" s="141"/>
      <c r="L270" s="81"/>
      <c r="M270" s="141"/>
      <c r="N270" s="133"/>
      <c r="O270" s="4"/>
      <c r="P270" s="4"/>
      <c r="Q270" s="4"/>
      <c r="R270" s="109"/>
      <c r="S270" s="109"/>
      <c r="T270" s="108"/>
      <c r="U270" s="110"/>
      <c r="V270" s="110"/>
      <c r="W270" s="110"/>
      <c r="X270" s="110"/>
    </row>
    <row r="271" spans="1:24" ht="13.5" customHeight="1">
      <c r="A271" s="110">
        <f>IF(E271="","",MATCH(E271,'Daily Sales'!B$4:B$51,0)+3)</f>
        <v>17</v>
      </c>
      <c r="B271" s="135">
        <v>46182</v>
      </c>
      <c r="C271" s="136" t="s">
        <v>99</v>
      </c>
      <c r="D271" s="137" t="str">
        <f t="array" ref="D271">IF($A271="","",INDEX('Daily Sales'!A:A,$A271))</f>
        <v>4-2601</v>
      </c>
      <c r="E271" s="138" t="s">
        <v>23</v>
      </c>
      <c r="F271" s="139" t="str">
        <f t="shared" si="3"/>
        <v xml:space="preserve">Misc </v>
      </c>
      <c r="G271" s="140"/>
      <c r="H271" s="138" t="str">
        <f t="array" ref="H271">IF($A271="","",
  IF(
    OR(
      $A271=23,
      AND($A271&gt;=32,$A271&lt;=50)
    ),
    IFERROR(
      INDEX('Daily Sales'!$C:$AG,
        $A271,
        MATCH(TEXT($B271,"0"),TEXT('Daily Sales'!$C$2:$AG$2,"0"),0)
      ),
    ""),
  "")
)</f>
        <v/>
      </c>
      <c r="I271" s="138">
        <f t="array" ref="I271">IF($A271="","",
  IF(
    OR(
      AND($A271&gt;=4,$A271&lt;=8),
      AND($A271&gt;=12,$A271&lt;=19),
      AND($A271&gt;=28,$A271&lt;=29)
    ),
    IFERROR(
      INDEX('Daily Sales'!$C:$AG,
        $A271,
        MATCH(TEXT($B271,"0"),TEXT('Daily Sales'!$C$2:$AG$2,"0"),0)
      ),
    ""),
  "")
)</f>
        <v>0</v>
      </c>
      <c r="J271" s="79" t="e">
        <f t="shared" si="4"/>
        <v>#VALUE!</v>
      </c>
      <c r="K271" s="141"/>
      <c r="L271" s="81"/>
      <c r="M271" s="141"/>
      <c r="N271" s="133"/>
      <c r="O271" s="4"/>
      <c r="P271" s="4"/>
      <c r="Q271" s="4"/>
      <c r="R271" s="109"/>
      <c r="S271" s="109"/>
      <c r="T271" s="108"/>
      <c r="U271" s="110"/>
      <c r="V271" s="110"/>
      <c r="W271" s="110"/>
      <c r="X271" s="110"/>
    </row>
    <row r="272" spans="1:24" ht="13.5" customHeight="1">
      <c r="A272" s="110">
        <f>IF(E272="","",MATCH(E272,'Daily Sales'!B$4:B$51,0)+3)</f>
        <v>19</v>
      </c>
      <c r="B272" s="135">
        <v>46182</v>
      </c>
      <c r="C272" s="136" t="s">
        <v>99</v>
      </c>
      <c r="D272" s="137" t="str">
        <f t="array" ref="D272">IF($A272="","",INDEX('Daily Sales'!A:A,$A272))</f>
        <v>4-2500</v>
      </c>
      <c r="E272" s="138" t="s">
        <v>26</v>
      </c>
      <c r="F272" s="139" t="str">
        <f t="shared" si="3"/>
        <v>Sales Ticket</v>
      </c>
      <c r="G272" s="140"/>
      <c r="H272" s="138" t="str">
        <f t="array" ref="H272">IF($A272="","",
  IF(
    OR(
      $A272=23,
      AND($A272&gt;=32,$A272&lt;=50)
    ),
    IFERROR(
      INDEX('Daily Sales'!$C:$AG,
        $A272,
        MATCH(TEXT($B272,"0"),TEXT('Daily Sales'!$C$2:$AG$2,"0"),0)
      ),
    ""),
  "")
)</f>
        <v/>
      </c>
      <c r="I272" s="138">
        <f t="array" ref="I272">IF($A272="","",
  IF(
    OR(
      AND($A272&gt;=4,$A272&lt;=8),
      AND($A272&gt;=12,$A272&lt;=19),
      AND($A272&gt;=28,$A272&lt;=29)
    ),
    IFERROR(
      INDEX('Daily Sales'!$C:$AG,
        $A272,
        MATCH(TEXT($B272,"0"),TEXT('Daily Sales'!$C$2:$AG$2,"0"),0)
      ),
    ""),
  "")
)</f>
        <v>11639794</v>
      </c>
      <c r="J272" s="79" t="e">
        <f t="shared" si="4"/>
        <v>#VALUE!</v>
      </c>
      <c r="K272" s="141"/>
      <c r="L272" s="81"/>
      <c r="M272" s="141"/>
      <c r="N272" s="133"/>
      <c r="O272" s="4"/>
      <c r="P272" s="4"/>
      <c r="Q272" s="4"/>
      <c r="R272" s="109"/>
      <c r="S272" s="109"/>
      <c r="T272" s="108"/>
      <c r="U272" s="110"/>
      <c r="V272" s="110"/>
      <c r="W272" s="110"/>
      <c r="X272" s="110"/>
    </row>
    <row r="273" spans="1:24" ht="13.5" customHeight="1">
      <c r="A273" s="110">
        <f>IF(E273="","",MATCH(E273,'Daily Sales'!B$4:B$51,0)+3)</f>
        <v>28</v>
      </c>
      <c r="B273" s="135">
        <v>46182</v>
      </c>
      <c r="C273" s="136" t="s">
        <v>99</v>
      </c>
      <c r="D273" s="137" t="str">
        <f t="array" ref="D273">IF($A273="","",INDEX('Daily Sales'!A:A,$A273))</f>
        <v>2-2106</v>
      </c>
      <c r="E273" s="138" t="s">
        <v>35</v>
      </c>
      <c r="F273" s="139" t="str">
        <f t="shared" si="3"/>
        <v>Service Charges 7%</v>
      </c>
      <c r="G273" s="140"/>
      <c r="H273" s="138" t="str">
        <f t="array" ref="H273">IF($A273="","",
  IF(
    OR(
      $A273=23,
      AND($A273&gt;=32,$A273&lt;=50)
    ),
    IFERROR(
      INDEX('Daily Sales'!$C:$AG,
        $A273,
        MATCH(TEXT($B273,"0"),TEXT('Daily Sales'!$C$2:$AG$2,"0"),0)
      ),
    ""),
  "")
)</f>
        <v/>
      </c>
      <c r="I273" s="138">
        <f t="array" ref="I273">IF($A273="","",
  IF(
    OR(
      AND($A273&gt;=4,$A273&lt;=8),
      AND($A273&gt;=12,$A273&lt;=19),
      AND($A273&gt;=28,$A273&lt;=29)
    ),
    IFERROR(
      INDEX('Daily Sales'!$C:$AG,
        $A273,
        MATCH(TEXT($B273,"0"),TEXT('Daily Sales'!$C$2:$AG$2,"0"),0)
      ),
    ""),
  "")
)</f>
        <v>4271315.58</v>
      </c>
      <c r="J273" s="79" t="e">
        <f t="shared" si="4"/>
        <v>#VALUE!</v>
      </c>
      <c r="K273" s="141"/>
      <c r="L273" s="81"/>
      <c r="M273" s="141"/>
      <c r="N273" s="133"/>
      <c r="O273" s="4"/>
      <c r="P273" s="4"/>
      <c r="Q273" s="4"/>
      <c r="R273" s="109"/>
      <c r="S273" s="109"/>
      <c r="T273" s="108"/>
      <c r="U273" s="110"/>
      <c r="V273" s="110"/>
      <c r="W273" s="110"/>
      <c r="X273" s="110"/>
    </row>
    <row r="274" spans="1:24" ht="13.5" customHeight="1">
      <c r="A274" s="110">
        <f>IF(E274="","",MATCH(E274,'Daily Sales'!B$4:B$51,0)+3)</f>
        <v>29</v>
      </c>
      <c r="B274" s="135">
        <v>46182</v>
      </c>
      <c r="C274" s="136" t="s">
        <v>99</v>
      </c>
      <c r="D274" s="137" t="str">
        <f t="array" ref="D274">IF($A274="","",INDEX('Daily Sales'!A:A,$A274))</f>
        <v>2-3101</v>
      </c>
      <c r="E274" s="138" t="s">
        <v>37</v>
      </c>
      <c r="F274" s="139" t="str">
        <f t="shared" si="3"/>
        <v>Tax PB1 10%</v>
      </c>
      <c r="G274" s="140"/>
      <c r="H274" s="138" t="str">
        <f t="array" ref="H274">IF($A274="","",
  IF(
    OR(
      $A274=23,
      AND($A274&gt;=32,$A274&lt;=50)
    ),
    IFERROR(
      INDEX('Daily Sales'!$C:$AG,
        $A274,
        MATCH(TEXT($B274,"0"),TEXT('Daily Sales'!$C$2:$AG$2,"0"),0)
      ),
    ""),
  "")
)</f>
        <v/>
      </c>
      <c r="I274" s="138">
        <f t="array" ref="I274">IF($A274="","",
  IF(
    OR(
      AND($A274&gt;=4,$A274&lt;=8),
      AND($A274&gt;=12,$A274&lt;=19),
      AND($A274&gt;=28,$A274&lt;=29)
    ),
    IFERROR(
      INDEX('Daily Sales'!$C:$AG,
        $A274,
        MATCH(TEXT($B274,"0"),TEXT('Daily Sales'!$C$2:$AG$2,"0"),0)
      ),
    ""),
  "")
)</f>
        <v>6529010.9580000006</v>
      </c>
      <c r="J274" s="79" t="e">
        <f t="shared" si="4"/>
        <v>#VALUE!</v>
      </c>
      <c r="K274" s="141"/>
      <c r="L274" s="81"/>
      <c r="M274" s="141"/>
      <c r="N274" s="133"/>
      <c r="O274" s="4"/>
      <c r="P274" s="4"/>
      <c r="Q274" s="4"/>
      <c r="R274" s="109"/>
      <c r="S274" s="109"/>
      <c r="T274" s="108"/>
      <c r="U274" s="110"/>
      <c r="V274" s="110"/>
      <c r="W274" s="110"/>
      <c r="X274" s="110"/>
    </row>
    <row r="275" spans="1:24" ht="13.5" customHeight="1">
      <c r="A275" s="110">
        <f>IF(E275="","",MATCH(E275,'Daily Sales'!B$4:B$51,0)+3)</f>
        <v>23</v>
      </c>
      <c r="B275" s="135">
        <v>46182</v>
      </c>
      <c r="C275" s="136" t="s">
        <v>99</v>
      </c>
      <c r="D275" s="137" t="str">
        <f t="array" ref="D275">IF($A275="","",INDEX('Daily Sales'!A:A,$A275))</f>
        <v>4-5110</v>
      </c>
      <c r="E275" s="138" t="s">
        <v>30</v>
      </c>
      <c r="F275" s="139" t="str">
        <f t="shared" si="3"/>
        <v>Discount</v>
      </c>
      <c r="G275" s="140"/>
      <c r="H275" s="138">
        <f t="array" ref="H275">IF($A275="","",
  IF(
    OR(
      $A275=23,
      AND($A275&gt;=32,$A275&lt;=50)
    ),
    IFERROR(
      INDEX('Daily Sales'!$C:$AG,
        $A275,
        MATCH(TEXT($B275,"0"),TEXT('Daily Sales'!$C$2:$AG$2,"0"),0)
      ),
    ""),
  "")
)</f>
        <v>785000</v>
      </c>
      <c r="I275" s="138" t="str">
        <f t="array" ref="I275">IF($A275="","",
  IF(
    OR(
      AND($A275&gt;=4,$A275&lt;=8),
      AND($A275&gt;=12,$A275&lt;=19),
      AND($A275&gt;=28,$A275&lt;=29)
    ),
    IFERROR(
      INDEX('Daily Sales'!$C:$AG,
        $A275,
        MATCH(TEXT($B275,"0"),TEXT('Daily Sales'!$C$2:$AG$2,"0"),0)
      ),
    ""),
  "")
)</f>
        <v/>
      </c>
      <c r="J275" s="79" t="e">
        <f t="shared" si="4"/>
        <v>#VALUE!</v>
      </c>
      <c r="K275" s="141"/>
      <c r="L275" s="81"/>
      <c r="M275" s="141"/>
      <c r="N275" s="133"/>
      <c r="O275" s="4"/>
      <c r="P275" s="4"/>
      <c r="Q275" s="4"/>
      <c r="R275" s="109"/>
      <c r="S275" s="109"/>
      <c r="T275" s="108"/>
      <c r="U275" s="110"/>
      <c r="V275" s="110"/>
      <c r="W275" s="110"/>
      <c r="X275" s="110"/>
    </row>
    <row r="276" spans="1:24" ht="13.5" customHeight="1">
      <c r="A276" s="110">
        <f>IF(E276="","",MATCH(E276,'Daily Sales'!B$4:B$51,0)+3)</f>
        <v>32</v>
      </c>
      <c r="B276" s="135">
        <v>46182</v>
      </c>
      <c r="C276" s="136" t="s">
        <v>99</v>
      </c>
      <c r="D276" s="137" t="str">
        <f t="array" ref="D276">IF($A276="","",INDEX('Daily Sales'!A:A,$A276))</f>
        <v>1-1119</v>
      </c>
      <c r="E276" s="138" t="s">
        <v>40</v>
      </c>
      <c r="F276" s="139" t="str">
        <f t="shared" si="3"/>
        <v>Cash IDR</v>
      </c>
      <c r="G276" s="140"/>
      <c r="H276" s="138">
        <f t="array" ref="H276">IF($A276="","",
  IF(
    OR(
      $A276=23,
      AND($A276&gt;=32,$A276&lt;=50)
    ),
    IFERROR(
      INDEX('Daily Sales'!$C:$AG,
        $A276,
        MATCH(TEXT($B276,"0"),TEXT('Daily Sales'!$C$2:$AG$2,"0"),0)
      ),
    ""),
  "")
)</f>
        <v>6916461</v>
      </c>
      <c r="I276" s="138" t="str">
        <f t="array" ref="I276">IF($A276="","",
  IF(
    OR(
      AND($A276&gt;=4,$A276&lt;=8),
      AND($A276&gt;=12,$A276&lt;=19),
      AND($A276&gt;=28,$A276&lt;=29)
    ),
    IFERROR(
      INDEX('Daily Sales'!$C:$AG,
        $A276,
        MATCH(TEXT($B276,"0"),TEXT('Daily Sales'!$C$2:$AG$2,"0"),0)
      ),
    ""),
  "")
)</f>
        <v/>
      </c>
      <c r="J276" s="79" t="e">
        <f t="shared" si="4"/>
        <v>#VALUE!</v>
      </c>
      <c r="K276" s="141"/>
      <c r="L276" s="81"/>
      <c r="M276" s="141"/>
      <c r="N276" s="133"/>
      <c r="O276" s="4"/>
      <c r="P276" s="4"/>
      <c r="Q276" s="4"/>
      <c r="R276" s="109"/>
      <c r="S276" s="109"/>
      <c r="T276" s="108"/>
      <c r="U276" s="110"/>
      <c r="V276" s="110"/>
      <c r="W276" s="110"/>
      <c r="X276" s="110"/>
    </row>
    <row r="277" spans="1:24" ht="13.5" customHeight="1">
      <c r="A277" s="110">
        <f>IF(E277="","",MATCH(E277,'Daily Sales'!B$4:B$51,0)+3)</f>
        <v>33</v>
      </c>
      <c r="B277" s="135">
        <v>46182</v>
      </c>
      <c r="C277" s="136" t="s">
        <v>99</v>
      </c>
      <c r="D277" s="137" t="str">
        <f t="array" ref="D277">IF($A277="","",INDEX('Daily Sales'!A:A,$A277))</f>
        <v>1-1217</v>
      </c>
      <c r="E277" s="138" t="s">
        <v>43</v>
      </c>
      <c r="F277" s="139" t="str">
        <f t="shared" si="3"/>
        <v>Bank transfer</v>
      </c>
      <c r="G277" s="140"/>
      <c r="H277" s="138">
        <f t="array" ref="H277">IF($A277="","",
  IF(
    OR(
      $A277=23,
      AND($A277&gt;=32,$A277&lt;=50)
    ),
    IFERROR(
      INDEX('Daily Sales'!$C:$AG,
        $A277,
        MATCH(TEXT($B277,"0"),TEXT('Daily Sales'!$C$2:$AG$2,"0"),0)
      ),
    ""),
  "")
)</f>
        <v>0</v>
      </c>
      <c r="I277" s="138" t="str">
        <f t="array" ref="I277">IF($A277="","",
  IF(
    OR(
      AND($A277&gt;=4,$A277&lt;=8),
      AND($A277&gt;=12,$A277&lt;=19),
      AND($A277&gt;=28,$A277&lt;=29)
    ),
    IFERROR(
      INDEX('Daily Sales'!$C:$AG,
        $A277,
        MATCH(TEXT($B277,"0"),TEXT('Daily Sales'!$C$2:$AG$2,"0"),0)
      ),
    ""),
  "")
)</f>
        <v/>
      </c>
      <c r="J277" s="79" t="e">
        <f t="shared" si="4"/>
        <v>#VALUE!</v>
      </c>
      <c r="K277" s="141"/>
      <c r="L277" s="81"/>
      <c r="M277" s="141"/>
      <c r="N277" s="133"/>
      <c r="O277" s="4"/>
      <c r="P277" s="4"/>
      <c r="Q277" s="4"/>
      <c r="R277" s="109"/>
      <c r="S277" s="109"/>
      <c r="T277" s="108"/>
      <c r="U277" s="110"/>
      <c r="V277" s="110"/>
      <c r="W277" s="110"/>
      <c r="X277" s="110"/>
    </row>
    <row r="278" spans="1:24" ht="13.5" customHeight="1">
      <c r="A278" s="110">
        <f>IF(E278="","",MATCH(E278,'Daily Sales'!B$4:B$51,0)+3)</f>
        <v>35</v>
      </c>
      <c r="B278" s="135">
        <v>46182</v>
      </c>
      <c r="C278" s="136" t="s">
        <v>99</v>
      </c>
      <c r="D278" s="137" t="str">
        <f t="array" ref="D278">IF($A278="","",INDEX('Daily Sales'!A:A,$A278))</f>
        <v>1-1216</v>
      </c>
      <c r="E278" s="138" t="s">
        <v>46</v>
      </c>
      <c r="F278" s="139" t="str">
        <f t="shared" si="3"/>
        <v>Cim Niaga TBB</v>
      </c>
      <c r="G278" s="140"/>
      <c r="H278" s="138">
        <f t="array" ref="H278">IF($A278="","",
  IF(
    OR(
      $A278=23,
      AND($A278&gt;=32,$A278&lt;=50)
    ),
    IFERROR(
      INDEX('Daily Sales'!$C:$AG,
        $A278,
        MATCH(TEXT($B278,"0"),TEXT('Daily Sales'!$C$2:$AG$2,"0"),0)
      ),
    ""),
  "")
)</f>
        <v>4731541</v>
      </c>
      <c r="I278" s="138" t="str">
        <f t="array" ref="I278">IF($A278="","",
  IF(
    OR(
      AND($A278&gt;=4,$A278&lt;=8),
      AND($A278&gt;=12,$A278&lt;=19),
      AND($A278&gt;=28,$A278&lt;=29)
    ),
    IFERROR(
      INDEX('Daily Sales'!$C:$AG,
        $A278,
        MATCH(TEXT($B278,"0"),TEXT('Daily Sales'!$C$2:$AG$2,"0"),0)
      ),
    ""),
  "")
)</f>
        <v/>
      </c>
      <c r="J278" s="79" t="e">
        <f t="shared" si="4"/>
        <v>#VALUE!</v>
      </c>
      <c r="K278" s="141"/>
      <c r="L278" s="81"/>
      <c r="M278" s="141"/>
      <c r="N278" s="133"/>
      <c r="O278" s="4"/>
      <c r="P278" s="4"/>
      <c r="Q278" s="4"/>
      <c r="R278" s="109"/>
      <c r="S278" s="109"/>
      <c r="T278" s="108"/>
      <c r="U278" s="110"/>
      <c r="V278" s="110"/>
      <c r="W278" s="110"/>
      <c r="X278" s="110"/>
    </row>
    <row r="279" spans="1:24" ht="13.5" customHeight="1">
      <c r="A279" s="110">
        <f>IF(E279="","",MATCH(E279,'Daily Sales'!B$4:B$51,0)+3)</f>
        <v>36</v>
      </c>
      <c r="B279" s="135">
        <v>46182</v>
      </c>
      <c r="C279" s="136" t="s">
        <v>99</v>
      </c>
      <c r="D279" s="137" t="str">
        <f t="array" ref="D279">IF($A279="","",INDEX('Daily Sales'!A:A,$A279))</f>
        <v>1-1213</v>
      </c>
      <c r="E279" s="138" t="s">
        <v>49</v>
      </c>
      <c r="F279" s="139" t="str">
        <f t="shared" si="3"/>
        <v>Mandiri Debet</v>
      </c>
      <c r="G279" s="140"/>
      <c r="H279" s="138">
        <f t="array" ref="H279">IF($A279="","",
  IF(
    OR(
      $A279=23,
      AND($A279&gt;=32,$A279&lt;=50)
    ),
    IFERROR(
      INDEX('Daily Sales'!$C:$AG,
        $A279,
        MATCH(TEXT($B279,"0"),TEXT('Daily Sales'!$C$2:$AG$2,"0"),0)
      ),
    ""),
  "")
)</f>
        <v>2244878</v>
      </c>
      <c r="I279" s="138" t="str">
        <f t="array" ref="I279">IF($A279="","",
  IF(
    OR(
      AND($A279&gt;=4,$A279&lt;=8),
      AND($A279&gt;=12,$A279&lt;=19),
      AND($A279&gt;=28,$A279&lt;=29)
    ),
    IFERROR(
      INDEX('Daily Sales'!$C:$AG,
        $A279,
        MATCH(TEXT($B279,"0"),TEXT('Daily Sales'!$C$2:$AG$2,"0"),0)
      ),
    ""),
  "")
)</f>
        <v/>
      </c>
      <c r="J279" s="79" t="e">
        <f t="shared" si="4"/>
        <v>#VALUE!</v>
      </c>
      <c r="K279" s="141"/>
      <c r="L279" s="81"/>
      <c r="M279" s="141"/>
      <c r="N279" s="133"/>
      <c r="O279" s="4"/>
      <c r="P279" s="4"/>
      <c r="Q279" s="4"/>
      <c r="R279" s="109"/>
      <c r="S279" s="109"/>
      <c r="T279" s="108"/>
      <c r="U279" s="110"/>
      <c r="V279" s="110"/>
      <c r="W279" s="110"/>
      <c r="X279" s="110"/>
    </row>
    <row r="280" spans="1:24" ht="13.5" customHeight="1">
      <c r="A280" s="110">
        <f>IF(E280="","",MATCH(E280,'Daily Sales'!B$4:B$51,0)+3)</f>
        <v>37</v>
      </c>
      <c r="B280" s="135">
        <v>46182</v>
      </c>
      <c r="C280" s="136" t="s">
        <v>99</v>
      </c>
      <c r="D280" s="137" t="str">
        <f t="array" ref="D280">IF($A280="","",INDEX('Daily Sales'!A:A,$A280))</f>
        <v>1-1213</v>
      </c>
      <c r="E280" s="138" t="s">
        <v>50</v>
      </c>
      <c r="F280" s="139" t="str">
        <f t="shared" si="3"/>
        <v>Mandiri CC</v>
      </c>
      <c r="G280" s="140"/>
      <c r="H280" s="138">
        <f t="array" ref="H280">IF($A280="","",
  IF(
    OR(
      $A280=23,
      AND($A280&gt;=32,$A280&lt;=50)
    ),
    IFERROR(
      INDEX('Daily Sales'!$C:$AG,
        $A280,
        MATCH(TEXT($B280,"0"),TEXT('Daily Sales'!$C$2:$AG$2,"0"),0)
      ),
    ""),
  "")
)</f>
        <v>39943800</v>
      </c>
      <c r="I280" s="138" t="str">
        <f t="array" ref="I280">IF($A280="","",
  IF(
    OR(
      AND($A280&gt;=4,$A280&lt;=8),
      AND($A280&gt;=12,$A280&lt;=19),
      AND($A280&gt;=28,$A280&lt;=29)
    ),
    IFERROR(
      INDEX('Daily Sales'!$C:$AG,
        $A280,
        MATCH(TEXT($B280,"0"),TEXT('Daily Sales'!$C$2:$AG$2,"0"),0)
      ),
    ""),
  "")
)</f>
        <v/>
      </c>
      <c r="J280" s="79" t="e">
        <f t="shared" si="4"/>
        <v>#VALUE!</v>
      </c>
      <c r="K280" s="141"/>
      <c r="L280" s="81"/>
      <c r="M280" s="141"/>
      <c r="N280" s="133"/>
      <c r="O280" s="4"/>
      <c r="P280" s="4"/>
      <c r="Q280" s="4"/>
      <c r="R280" s="109"/>
      <c r="S280" s="109"/>
      <c r="T280" s="108"/>
      <c r="U280" s="110"/>
      <c r="V280" s="110"/>
      <c r="W280" s="110"/>
      <c r="X280" s="110"/>
    </row>
    <row r="281" spans="1:24" ht="13.5" customHeight="1">
      <c r="A281" s="110">
        <f>IF(E281="","",MATCH(E281,'Daily Sales'!B$4:B$51,0)+3)</f>
        <v>38</v>
      </c>
      <c r="B281" s="135">
        <v>46182</v>
      </c>
      <c r="C281" s="136" t="s">
        <v>99</v>
      </c>
      <c r="D281" s="137" t="str">
        <f t="array" ref="D281">IF($A281="","",INDEX('Daily Sales'!A:A,$A281))</f>
        <v>1-1213</v>
      </c>
      <c r="E281" s="138" t="s">
        <v>51</v>
      </c>
      <c r="F281" s="139" t="str">
        <f t="shared" si="3"/>
        <v>Mandiri NPG</v>
      </c>
      <c r="G281" s="140"/>
      <c r="H281" s="138">
        <f t="array" ref="H281">IF($A281="","",
  IF(
    OR(
      $A281=23,
      AND($A281&gt;=32,$A281&lt;=50)
    ),
    IFERROR(
      INDEX('Daily Sales'!$C:$AG,
        $A281,
        MATCH(TEXT($B281,"0"),TEXT('Daily Sales'!$C$2:$AG$2,"0"),0)
      ),
    ""),
  "")
)</f>
        <v>7755800</v>
      </c>
      <c r="I281" s="138" t="str">
        <f t="array" ref="I281">IF($A281="","",
  IF(
    OR(
      AND($A281&gt;=4,$A281&lt;=8),
      AND($A281&gt;=12,$A281&lt;=19),
      AND($A281&gt;=28,$A281&lt;=29)
    ),
    IFERROR(
      INDEX('Daily Sales'!$C:$AG,
        $A281,
        MATCH(TEXT($B281,"0"),TEXT('Daily Sales'!$C$2:$AG$2,"0"),0)
      ),
    ""),
  "")
)</f>
        <v/>
      </c>
      <c r="J281" s="79" t="e">
        <f t="shared" si="4"/>
        <v>#VALUE!</v>
      </c>
      <c r="K281" s="141"/>
      <c r="L281" s="81"/>
      <c r="M281" s="141"/>
      <c r="N281" s="133"/>
      <c r="O281" s="4"/>
      <c r="P281" s="4"/>
      <c r="Q281" s="4"/>
      <c r="R281" s="109"/>
      <c r="S281" s="109"/>
      <c r="T281" s="108"/>
      <c r="U281" s="110"/>
      <c r="V281" s="110"/>
      <c r="W281" s="110"/>
      <c r="X281" s="110"/>
    </row>
    <row r="282" spans="1:24" ht="13.5" customHeight="1">
      <c r="A282" s="110">
        <f>IF(E282="","",MATCH(E282,'Daily Sales'!B$4:B$51,0)+3)</f>
        <v>39</v>
      </c>
      <c r="B282" s="135">
        <v>46182</v>
      </c>
      <c r="C282" s="136" t="s">
        <v>99</v>
      </c>
      <c r="D282" s="137" t="str">
        <f t="array" ref="D282">IF($A282="","",INDEX('Daily Sales'!A:A,$A282))</f>
        <v>1-1213</v>
      </c>
      <c r="E282" s="138" t="s">
        <v>52</v>
      </c>
      <c r="F282" s="139" t="str">
        <f t="shared" si="3"/>
        <v>Mandiri QR</v>
      </c>
      <c r="G282" s="140"/>
      <c r="H282" s="138">
        <f t="array" ref="H282">IF($A282="","",
  IF(
    OR(
      $A282=23,
      AND($A282&gt;=32,$A282&lt;=50)
    ),
    IFERROR(
      INDEX('Daily Sales'!$C:$AG,
        $A282,
        MATCH(TEXT($B282,"0"),TEXT('Daily Sales'!$C$2:$AG$2,"0"),0)
      ),
    ""),
  "")
)</f>
        <v>3579576</v>
      </c>
      <c r="I282" s="138" t="str">
        <f t="array" ref="I282">IF($A282="","",
  IF(
    OR(
      AND($A282&gt;=4,$A282&lt;=8),
      AND($A282&gt;=12,$A282&lt;=19),
      AND($A282&gt;=28,$A282&lt;=29)
    ),
    IFERROR(
      INDEX('Daily Sales'!$C:$AG,
        $A282,
        MATCH(TEXT($B282,"0"),TEXT('Daily Sales'!$C$2:$AG$2,"0"),0)
      ),
    ""),
  "")
)</f>
        <v/>
      </c>
      <c r="J282" s="79" t="e">
        <f t="shared" si="4"/>
        <v>#VALUE!</v>
      </c>
      <c r="K282" s="141"/>
      <c r="L282" s="81"/>
      <c r="M282" s="141"/>
      <c r="N282" s="133"/>
      <c r="O282" s="4"/>
      <c r="P282" s="4"/>
      <c r="Q282" s="4"/>
      <c r="R282" s="109"/>
      <c r="S282" s="109"/>
      <c r="T282" s="108"/>
      <c r="U282" s="110"/>
      <c r="V282" s="110"/>
      <c r="W282" s="110"/>
      <c r="X282" s="110"/>
    </row>
    <row r="283" spans="1:24" ht="13.5" customHeight="1">
      <c r="A283" s="110">
        <f>IF(E283="","",MATCH(E283,'Daily Sales'!B$4:B$51,0)+3)</f>
        <v>40</v>
      </c>
      <c r="B283" s="135">
        <v>46182</v>
      </c>
      <c r="C283" s="136" t="s">
        <v>99</v>
      </c>
      <c r="D283" s="137" t="str">
        <f t="array" ref="D283">IF($A283="","",INDEX('Daily Sales'!A:A,$A283))</f>
        <v>1-1217</v>
      </c>
      <c r="E283" s="138" t="s">
        <v>54</v>
      </c>
      <c r="F283" s="139" t="str">
        <f t="shared" si="3"/>
        <v>BCA CC</v>
      </c>
      <c r="G283" s="140"/>
      <c r="H283" s="138">
        <f t="array" ref="H283">IF($A283="","",
  IF(
    OR(
      $A283=23,
      AND($A283&gt;=32,$A283&lt;=50)
    ),
    IFERROR(
      INDEX('Daily Sales'!$C:$AG,
        $A283,
        MATCH(TEXT($B283,"0"),TEXT('Daily Sales'!$C$2:$AG$2,"0"),0)
      ),
    ""),
  "")
)</f>
        <v>5267075</v>
      </c>
      <c r="I283" s="138" t="str">
        <f t="array" ref="I283">IF($A283="","",
  IF(
    OR(
      AND($A283&gt;=4,$A283&lt;=8),
      AND($A283&gt;=12,$A283&lt;=19),
      AND($A283&gt;=28,$A283&lt;=29)
    ),
    IFERROR(
      INDEX('Daily Sales'!$C:$AG,
        $A283,
        MATCH(TEXT($B283,"0"),TEXT('Daily Sales'!$C$2:$AG$2,"0"),0)
      ),
    ""),
  "")
)</f>
        <v/>
      </c>
      <c r="J283" s="79" t="e">
        <f t="shared" si="4"/>
        <v>#VALUE!</v>
      </c>
      <c r="K283" s="141"/>
      <c r="L283" s="81"/>
      <c r="M283" s="141"/>
      <c r="N283" s="133"/>
      <c r="O283" s="4"/>
      <c r="P283" s="4"/>
      <c r="Q283" s="4"/>
      <c r="R283" s="109"/>
      <c r="S283" s="109"/>
      <c r="T283" s="108"/>
      <c r="U283" s="110"/>
      <c r="V283" s="110"/>
      <c r="W283" s="110"/>
      <c r="X283" s="110"/>
    </row>
    <row r="284" spans="1:24" ht="13.5" customHeight="1">
      <c r="A284" s="110">
        <f>IF(E284="","",MATCH(E284,'Daily Sales'!B$4:B$51,0)+3)</f>
        <v>41</v>
      </c>
      <c r="B284" s="135">
        <v>46182</v>
      </c>
      <c r="C284" s="136" t="s">
        <v>99</v>
      </c>
      <c r="D284" s="137" t="str">
        <f t="array" ref="D284">IF($A284="","",INDEX('Daily Sales'!A:A,$A284))</f>
        <v>1-1217</v>
      </c>
      <c r="E284" s="138" t="s">
        <v>55</v>
      </c>
      <c r="F284" s="139" t="str">
        <f t="shared" si="3"/>
        <v>BCA debt</v>
      </c>
      <c r="G284" s="140"/>
      <c r="H284" s="138">
        <f t="array" ref="H284">IF($A284="","",
  IF(
    OR(
      $A284=23,
      AND($A284&gt;=32,$A284&lt;=50)
    ),
    IFERROR(
      INDEX('Daily Sales'!$C:$AG,
        $A284,
        MATCH(TEXT($B284,"0"),TEXT('Daily Sales'!$C$2:$AG$2,"0"),0)
      ),
    ""),
  "")
)</f>
        <v>570845</v>
      </c>
      <c r="I284" s="138" t="str">
        <f t="array" ref="I284">IF($A284="","",
  IF(
    OR(
      AND($A284&gt;=4,$A284&lt;=8),
      AND($A284&gt;=12,$A284&lt;=19),
      AND($A284&gt;=28,$A284&lt;=29)
    ),
    IFERROR(
      INDEX('Daily Sales'!$C:$AG,
        $A284,
        MATCH(TEXT($B284,"0"),TEXT('Daily Sales'!$C$2:$AG$2,"0"),0)
      ),
    ""),
  "")
)</f>
        <v/>
      </c>
      <c r="J284" s="79" t="e">
        <f t="shared" si="4"/>
        <v>#VALUE!</v>
      </c>
      <c r="K284" s="141"/>
      <c r="L284" s="81"/>
      <c r="M284" s="141"/>
      <c r="N284" s="133"/>
      <c r="O284" s="4"/>
      <c r="P284" s="4"/>
      <c r="Q284" s="4"/>
      <c r="R284" s="109"/>
      <c r="S284" s="109"/>
      <c r="T284" s="108"/>
      <c r="U284" s="110"/>
      <c r="V284" s="110"/>
      <c r="W284" s="110"/>
      <c r="X284" s="110"/>
    </row>
    <row r="285" spans="1:24" ht="13.5" customHeight="1">
      <c r="A285" s="110">
        <f>IF(E285="","",MATCH(E285,'Daily Sales'!B$4:B$51,0)+3)</f>
        <v>42</v>
      </c>
      <c r="B285" s="135">
        <v>46182</v>
      </c>
      <c r="C285" s="136" t="s">
        <v>99</v>
      </c>
      <c r="D285" s="137" t="str">
        <f t="array" ref="D285">IF($A285="","",INDEX('Daily Sales'!A:A,$A285))</f>
        <v>1-1217</v>
      </c>
      <c r="E285" s="138" t="s">
        <v>56</v>
      </c>
      <c r="F285" s="139" t="str">
        <f t="shared" si="3"/>
        <v>BCA QR</v>
      </c>
      <c r="G285" s="140"/>
      <c r="H285" s="138">
        <f t="array" ref="H285">IF($A285="","",
  IF(
    OR(
      $A285=23,
      AND($A285&gt;=32,$A285&lt;=50)
    ),
    IFERROR(
      INDEX('Daily Sales'!$C:$AG,
        $A285,
        MATCH(TEXT($B285,"0"),TEXT('Daily Sales'!$C$2:$AG$2,"0"),0)
      ),
    ""),
  "")
)</f>
        <v>164780</v>
      </c>
      <c r="I285" s="138" t="str">
        <f t="array" ref="I285">IF($A285="","",
  IF(
    OR(
      AND($A285&gt;=4,$A285&lt;=8),
      AND($A285&gt;=12,$A285&lt;=19),
      AND($A285&gt;=28,$A285&lt;=29)
    ),
    IFERROR(
      INDEX('Daily Sales'!$C:$AG,
        $A285,
        MATCH(TEXT($B285,"0"),TEXT('Daily Sales'!$C$2:$AG$2,"0"),0)
      ),
    ""),
  "")
)</f>
        <v/>
      </c>
      <c r="J285" s="79" t="e">
        <f t="shared" si="4"/>
        <v>#VALUE!</v>
      </c>
      <c r="K285" s="141"/>
      <c r="L285" s="81"/>
      <c r="M285" s="141"/>
      <c r="N285" s="133"/>
      <c r="O285" s="4"/>
      <c r="P285" s="4"/>
      <c r="Q285" s="4"/>
      <c r="R285" s="109"/>
      <c r="S285" s="109"/>
      <c r="T285" s="108"/>
      <c r="U285" s="110"/>
      <c r="V285" s="110"/>
      <c r="W285" s="110"/>
      <c r="X285" s="110"/>
    </row>
    <row r="286" spans="1:24" ht="13.5" customHeight="1">
      <c r="A286" s="110">
        <f>IF(E286="","",MATCH(E286,'Daily Sales'!B$4:B$51,0)+3)</f>
        <v>43</v>
      </c>
      <c r="B286" s="135">
        <v>46182</v>
      </c>
      <c r="C286" s="136" t="s">
        <v>99</v>
      </c>
      <c r="D286" s="137" t="str">
        <f t="array" ref="D286">IF($A286="","",INDEX('Daily Sales'!A:A,$A286))</f>
        <v>1-1214</v>
      </c>
      <c r="E286" s="138" t="s">
        <v>59</v>
      </c>
      <c r="F286" s="139" t="str">
        <f t="shared" si="3"/>
        <v>Bank BRI DEBET</v>
      </c>
      <c r="G286" s="140"/>
      <c r="H286" s="138">
        <f t="array" ref="H286">IF($A286="","",
  IF(
    OR(
      $A286=23,
      AND($A286&gt;=32,$A286&lt;=50)
    ),
    IFERROR(
      INDEX('Daily Sales'!$C:$AG,
        $A286,
        MATCH(TEXT($B286,"0"),TEXT('Daily Sales'!$C$2:$AG$2,"0"),0)
      ),
    ""),
  "")
)</f>
        <v>0</v>
      </c>
      <c r="I286" s="138" t="str">
        <f t="array" ref="I286">IF($A286="","",
  IF(
    OR(
      AND($A286&gt;=4,$A286&lt;=8),
      AND($A286&gt;=12,$A286&lt;=19),
      AND($A286&gt;=28,$A286&lt;=29)
    ),
    IFERROR(
      INDEX('Daily Sales'!$C:$AG,
        $A286,
        MATCH(TEXT($B286,"0"),TEXT('Daily Sales'!$C$2:$AG$2,"0"),0)
      ),
    ""),
  "")
)</f>
        <v/>
      </c>
      <c r="J286" s="79" t="e">
        <f t="shared" si="4"/>
        <v>#VALUE!</v>
      </c>
      <c r="K286" s="141"/>
      <c r="L286" s="81"/>
      <c r="M286" s="141"/>
      <c r="N286" s="133"/>
      <c r="O286" s="4"/>
      <c r="P286" s="4"/>
      <c r="Q286" s="4"/>
      <c r="R286" s="109"/>
      <c r="S286" s="109"/>
      <c r="T286" s="108"/>
      <c r="U286" s="110"/>
      <c r="V286" s="110"/>
      <c r="W286" s="110"/>
      <c r="X286" s="110"/>
    </row>
    <row r="287" spans="1:24" ht="13.5" customHeight="1">
      <c r="A287" s="110">
        <f>IF(E287="","",MATCH(E287,'Daily Sales'!B$4:B$51,0)+3)</f>
        <v>44</v>
      </c>
      <c r="B287" s="135">
        <v>46182</v>
      </c>
      <c r="C287" s="136" t="s">
        <v>99</v>
      </c>
      <c r="D287" s="137" t="str">
        <f t="array" ref="D287">IF($A287="","",INDEX('Daily Sales'!A:A,$A287))</f>
        <v>1-1214</v>
      </c>
      <c r="E287" s="138" t="s">
        <v>60</v>
      </c>
      <c r="F287" s="139" t="str">
        <f t="shared" si="3"/>
        <v>Bank BRI CC</v>
      </c>
      <c r="G287" s="140"/>
      <c r="H287" s="138">
        <f t="array" ref="H287">IF($A287="","",
  IF(
    OR(
      $A287=23,
      AND($A287&gt;=32,$A287&lt;=50)
    ),
    IFERROR(
      INDEX('Daily Sales'!$C:$AG,
        $A287,
        MATCH(TEXT($B287,"0"),TEXT('Daily Sales'!$C$2:$AG$2,"0"),0)
      ),
    ""),
  "")
)</f>
        <v>0</v>
      </c>
      <c r="I287" s="138" t="str">
        <f t="array" ref="I287">IF($A287="","",
  IF(
    OR(
      AND($A287&gt;=4,$A287&lt;=8),
      AND($A287&gt;=12,$A287&lt;=19),
      AND($A287&gt;=28,$A287&lt;=29)
    ),
    IFERROR(
      INDEX('Daily Sales'!$C:$AG,
        $A287,
        MATCH(TEXT($B287,"0"),TEXT('Daily Sales'!$C$2:$AG$2,"0"),0)
      ),
    ""),
  "")
)</f>
        <v/>
      </c>
      <c r="J287" s="79" t="e">
        <f t="shared" si="4"/>
        <v>#VALUE!</v>
      </c>
      <c r="K287" s="141"/>
      <c r="L287" s="81"/>
      <c r="M287" s="141"/>
      <c r="N287" s="133"/>
      <c r="O287" s="4"/>
      <c r="P287" s="4"/>
      <c r="Q287" s="4"/>
      <c r="R287" s="109"/>
      <c r="S287" s="109"/>
      <c r="T287" s="108"/>
      <c r="U287" s="110"/>
      <c r="V287" s="110"/>
      <c r="W287" s="110"/>
      <c r="X287" s="110"/>
    </row>
    <row r="288" spans="1:24" ht="13.5" customHeight="1">
      <c r="A288" s="110">
        <f>IF(E288="","",MATCH(E288,'Daily Sales'!B$4:B$51,0)+3)</f>
        <v>45</v>
      </c>
      <c r="B288" s="135">
        <v>46182</v>
      </c>
      <c r="C288" s="136" t="s">
        <v>99</v>
      </c>
      <c r="D288" s="137" t="str">
        <f t="array" ref="D288">IF($A288="","",INDEX('Daily Sales'!A:A,$A288))</f>
        <v>1-1214</v>
      </c>
      <c r="E288" s="138" t="s">
        <v>61</v>
      </c>
      <c r="F288" s="139" t="str">
        <f t="shared" si="3"/>
        <v>Bank BRI QR</v>
      </c>
      <c r="G288" s="140"/>
      <c r="H288" s="138">
        <f t="array" ref="H288">IF($A288="","",
  IF(
    OR(
      $A288=23,
      AND($A288&gt;=32,$A288&lt;=50)
    ),
    IFERROR(
      INDEX('Daily Sales'!$C:$AG,
        $A288,
        MATCH(TEXT($B288,"0"),TEXT('Daily Sales'!$C$2:$AG$2,"0"),0)
      ),
    ""),
  "")
)</f>
        <v>0</v>
      </c>
      <c r="I288" s="138" t="str">
        <f t="array" ref="I288">IF($A288="","",
  IF(
    OR(
      AND($A288&gt;=4,$A288&lt;=8),
      AND($A288&gt;=12,$A288&lt;=19),
      AND($A288&gt;=28,$A288&lt;=29)
    ),
    IFERROR(
      INDEX('Daily Sales'!$C:$AG,
        $A288,
        MATCH(TEXT($B288,"0"),TEXT('Daily Sales'!$C$2:$AG$2,"0"),0)
      ),
    ""),
  "")
)</f>
        <v/>
      </c>
      <c r="J288" s="79" t="e">
        <f t="shared" si="4"/>
        <v>#VALUE!</v>
      </c>
      <c r="K288" s="141"/>
      <c r="L288" s="81"/>
      <c r="M288" s="141"/>
      <c r="N288" s="133"/>
      <c r="O288" s="4"/>
      <c r="P288" s="4"/>
      <c r="Q288" s="4"/>
      <c r="R288" s="109"/>
      <c r="S288" s="109"/>
      <c r="T288" s="108"/>
      <c r="U288" s="110"/>
      <c r="V288" s="110"/>
      <c r="W288" s="110"/>
      <c r="X288" s="110"/>
    </row>
    <row r="289" spans="1:24" ht="13.5" customHeight="1">
      <c r="A289" s="110">
        <f>IF(E289="","",MATCH(E289,'Daily Sales'!B$4:B$51,0)+3)</f>
        <v>46</v>
      </c>
      <c r="B289" s="135">
        <v>46182</v>
      </c>
      <c r="C289" s="136" t="s">
        <v>99</v>
      </c>
      <c r="D289" s="137" t="str">
        <f t="array" ref="D289">IF($A289="","",INDEX('Daily Sales'!A:A,$A289))</f>
        <v>1-1202</v>
      </c>
      <c r="E289" s="138" t="s">
        <v>64</v>
      </c>
      <c r="F289" s="139" t="str">
        <f t="shared" si="3"/>
        <v>Ledger</v>
      </c>
      <c r="G289" s="140"/>
      <c r="H289" s="138">
        <f t="array" ref="H289">IF($A289="","",
  IF(
    OR(
      $A289=23,
      AND($A289&gt;=32,$A289&lt;=50)
    ),
    IFERROR(
      INDEX('Daily Sales'!$C:$AG,
        $A289,
        MATCH(TEXT($B289,"0"),TEXT('Daily Sales'!$C$2:$AG$2,"0"),0)
      ),
    ""),
  "")
)</f>
        <v>644408</v>
      </c>
      <c r="I289" s="138" t="str">
        <f t="array" ref="I289">IF($A289="","",
  IF(
    OR(
      AND($A289&gt;=4,$A289&lt;=8),
      AND($A289&gt;=12,$A289&lt;=19),
      AND($A289&gt;=28,$A289&lt;=29)
    ),
    IFERROR(
      INDEX('Daily Sales'!$C:$AG,
        $A289,
        MATCH(TEXT($B289,"0"),TEXT('Daily Sales'!$C$2:$AG$2,"0"),0)
      ),
    ""),
  "")
)</f>
        <v/>
      </c>
      <c r="J289" s="79" t="e">
        <f t="shared" si="4"/>
        <v>#VALUE!</v>
      </c>
      <c r="K289" s="141"/>
      <c r="L289" s="81"/>
      <c r="M289" s="141"/>
      <c r="N289" s="133"/>
      <c r="O289" s="4"/>
      <c r="P289" s="4"/>
      <c r="Q289" s="4"/>
      <c r="R289" s="109"/>
      <c r="S289" s="109"/>
      <c r="T289" s="108"/>
      <c r="U289" s="110"/>
      <c r="V289" s="110"/>
      <c r="W289" s="110"/>
      <c r="X289" s="110"/>
    </row>
    <row r="290" spans="1:24" ht="13.5" customHeight="1">
      <c r="A290" s="110">
        <f>IF(E290="","",MATCH(E290,'Daily Sales'!B$4:B$51,0)+3)</f>
        <v>47</v>
      </c>
      <c r="B290" s="135">
        <v>46182</v>
      </c>
      <c r="C290" s="136" t="s">
        <v>99</v>
      </c>
      <c r="D290" s="137" t="str">
        <f t="array" ref="D290">IF($A290="","",INDEX('Daily Sales'!A:A,$A290))</f>
        <v>1-1129</v>
      </c>
      <c r="E290" s="138" t="s">
        <v>66</v>
      </c>
      <c r="F290" s="139" t="str">
        <f t="shared" si="3"/>
        <v>Star Points</v>
      </c>
      <c r="G290" s="140"/>
      <c r="H290" s="138">
        <f t="array" ref="H290">IF($A290="","",
  IF(
    OR(
      $A290=23,
      AND($A290&gt;=32,$A290&lt;=50)
    ),
    IFERROR(
      INDEX('Daily Sales'!$C:$AG,
        $A290,
        MATCH(TEXT($B290,"0"),TEXT('Daily Sales'!$C$2:$AG$2,"0"),0)
      ),
    ""),
  "")
)</f>
        <v>0</v>
      </c>
      <c r="I290" s="138" t="str">
        <f t="array" ref="I290">IF($A290="","",
  IF(
    OR(
      AND($A290&gt;=4,$A290&lt;=8),
      AND($A290&gt;=12,$A290&lt;=19),
      AND($A290&gt;=28,$A290&lt;=29)
    ),
    IFERROR(
      INDEX('Daily Sales'!$C:$AG,
        $A290,
        MATCH(TEXT($B290,"0"),TEXT('Daily Sales'!$C$2:$AG$2,"0"),0)
      ),
    ""),
  "")
)</f>
        <v/>
      </c>
      <c r="J290" s="79" t="e">
        <f t="shared" si="4"/>
        <v>#VALUE!</v>
      </c>
      <c r="K290" s="141"/>
      <c r="L290" s="81"/>
      <c r="M290" s="141"/>
      <c r="N290" s="133"/>
      <c r="O290" s="4"/>
      <c r="P290" s="4"/>
      <c r="Q290" s="4"/>
      <c r="R290" s="109"/>
      <c r="S290" s="109"/>
      <c r="T290" s="108"/>
      <c r="U290" s="110"/>
      <c r="V290" s="110"/>
      <c r="W290" s="110"/>
      <c r="X290" s="110"/>
    </row>
    <row r="291" spans="1:24" ht="13.5" customHeight="1">
      <c r="A291" s="110">
        <f>IF(E291="","",MATCH(E291,'Daily Sales'!B$4:B$51,0)+3)</f>
        <v>48</v>
      </c>
      <c r="B291" s="135">
        <v>46182</v>
      </c>
      <c r="C291" s="136" t="s">
        <v>99</v>
      </c>
      <c r="D291" s="137" t="str">
        <f t="array" ref="D291">IF($A291="","",INDEX('Daily Sales'!A:A,$A291))</f>
        <v>1-1215</v>
      </c>
      <c r="E291" s="138" t="s">
        <v>68</v>
      </c>
      <c r="F291" s="139" t="str">
        <f t="shared" si="3"/>
        <v>Ovo</v>
      </c>
      <c r="G291" s="140"/>
      <c r="H291" s="138">
        <f t="array" ref="H291">IF($A291="","",
  IF(
    OR(
      $A291=23,
      AND($A291&gt;=32,$A291&lt;=50)
    ),
    IFERROR(
      INDEX('Daily Sales'!$C:$AG,
        $A291,
        MATCH(TEXT($B291,"0"),TEXT('Daily Sales'!$C$2:$AG$2,"0"),0)
      ),
    ""),
  "")
)</f>
        <v>0</v>
      </c>
      <c r="I291" s="138" t="str">
        <f t="array" ref="I291">IF($A291="","",
  IF(
    OR(
      AND($A291&gt;=4,$A291&lt;=8),
      AND($A291&gt;=12,$A291&lt;=19),
      AND($A291&gt;=28,$A291&lt;=29)
    ),
    IFERROR(
      INDEX('Daily Sales'!$C:$AG,
        $A291,
        MATCH(TEXT($B291,"0"),TEXT('Daily Sales'!$C$2:$AG$2,"0"),0)
      ),
    ""),
  "")
)</f>
        <v/>
      </c>
      <c r="J291" s="79" t="e">
        <f t="shared" si="4"/>
        <v>#VALUE!</v>
      </c>
      <c r="K291" s="141"/>
      <c r="L291" s="81"/>
      <c r="M291" s="141"/>
      <c r="N291" s="133"/>
      <c r="O291" s="4"/>
      <c r="P291" s="4"/>
      <c r="Q291" s="4"/>
      <c r="R291" s="109"/>
      <c r="S291" s="109"/>
      <c r="T291" s="108"/>
      <c r="U291" s="110"/>
      <c r="V291" s="110"/>
      <c r="W291" s="110"/>
      <c r="X291" s="110"/>
    </row>
    <row r="292" spans="1:24" ht="13.5" customHeight="1">
      <c r="A292" s="110">
        <f>IF(E292="","",MATCH(E292,'Daily Sales'!B$4:B$51,0)+3)</f>
        <v>49</v>
      </c>
      <c r="B292" s="135">
        <v>46182</v>
      </c>
      <c r="C292" s="136" t="s">
        <v>99</v>
      </c>
      <c r="D292" s="137" t="str">
        <f t="array" ref="D292">IF($A292="","",INDEX('Daily Sales'!A:A,$A292))</f>
        <v>1-1211</v>
      </c>
      <c r="E292" s="138" t="s">
        <v>70</v>
      </c>
      <c r="F292" s="139" t="str">
        <f t="shared" si="3"/>
        <v>Gopay</v>
      </c>
      <c r="G292" s="140"/>
      <c r="H292" s="138">
        <f t="array" ref="H292">IF($A292="","",
  IF(
    OR(
      $A292=23,
      AND($A292&gt;=32,$A292&lt;=50)
    ),
    IFERROR(
      INDEX('Daily Sales'!$C:$AG,
        $A292,
        MATCH(TEXT($B292,"0"),TEXT('Daily Sales'!$C$2:$AG$2,"0"),0)
      ),
    ""),
  "")
)</f>
        <v>0</v>
      </c>
      <c r="I292" s="138" t="str">
        <f t="array" ref="I292">IF($A292="","",
  IF(
    OR(
      AND($A292&gt;=4,$A292&lt;=8),
      AND($A292&gt;=12,$A292&lt;=19),
      AND($A292&gt;=28,$A292&lt;=29)
    ),
    IFERROR(
      INDEX('Daily Sales'!$C:$AG,
        $A292,
        MATCH(TEXT($B292,"0"),TEXT('Daily Sales'!$C$2:$AG$2,"0"),0)
      ),
    ""),
  "")
)</f>
        <v/>
      </c>
      <c r="J292" s="79" t="e">
        <f t="shared" si="4"/>
        <v>#VALUE!</v>
      </c>
      <c r="K292" s="141"/>
      <c r="L292" s="81"/>
      <c r="M292" s="141"/>
      <c r="N292" s="133"/>
      <c r="O292" s="4"/>
      <c r="P292" s="4"/>
      <c r="Q292" s="4"/>
      <c r="R292" s="109"/>
      <c r="S292" s="109"/>
      <c r="T292" s="108"/>
      <c r="U292" s="110"/>
      <c r="V292" s="110"/>
      <c r="W292" s="110"/>
      <c r="X292" s="110"/>
    </row>
    <row r="293" spans="1:24" ht="13.5" customHeight="1">
      <c r="A293" s="110">
        <f>IF(E293="","",MATCH(E293,'Daily Sales'!B$4:B$51,0)+3)</f>
        <v>50</v>
      </c>
      <c r="B293" s="135">
        <v>46182</v>
      </c>
      <c r="C293" s="136" t="s">
        <v>99</v>
      </c>
      <c r="D293" s="137" t="str">
        <f t="array" ref="D293">IF($A293="","",INDEX('Daily Sales'!A:A,$A293))</f>
        <v>2-2110</v>
      </c>
      <c r="E293" s="138" t="s">
        <v>72</v>
      </c>
      <c r="F293" s="139" t="str">
        <f t="shared" si="3"/>
        <v>Cash Short/Over</v>
      </c>
      <c r="G293" s="140"/>
      <c r="H293" s="138">
        <f t="array" ref="H293">IF($A293="","",
  IF(
    OR(
      $A293=23,
      AND($A293&gt;=32,$A293&lt;=50)
    ),
    IFERROR(
      INDEX('Daily Sales'!$C:$AG,
        $A293,
        MATCH(TEXT($B293,"0"),TEXT('Daily Sales'!$C$2:$AG$2,"0"),0)
      ),
    ""),
  "")
)</f>
        <v>-43.46</v>
      </c>
      <c r="I293" s="138" t="str">
        <f t="array" ref="I293">IF($A293="","",
  IF(
    OR(
      AND($A293&gt;=4,$A293&lt;=8),
      AND($A293&gt;=12,$A293&lt;=19),
      AND($A293&gt;=28,$A293&lt;=29)
    ),
    IFERROR(
      INDEX('Daily Sales'!$C:$AG,
        $A293,
        MATCH(TEXT($B293,"0"),TEXT('Daily Sales'!$C$2:$AG$2,"0"),0)
      ),
    ""),
  "")
)</f>
        <v/>
      </c>
      <c r="J293" s="79" t="e">
        <f t="shared" si="4"/>
        <v>#VALUE!</v>
      </c>
      <c r="K293" s="141"/>
      <c r="L293" s="81"/>
      <c r="M293" s="141"/>
      <c r="N293" s="133"/>
      <c r="O293" s="4"/>
      <c r="P293" s="4"/>
      <c r="Q293" s="4"/>
      <c r="R293" s="109"/>
      <c r="S293" s="109"/>
      <c r="T293" s="108"/>
      <c r="U293" s="110"/>
      <c r="V293" s="110"/>
      <c r="W293" s="110"/>
      <c r="X293" s="110"/>
    </row>
    <row r="294" spans="1:24" ht="13.5" customHeight="1">
      <c r="A294" s="110" t="str">
        <f>IF(E294="","",MATCH(E294,'Daily Sales'!B$4:B$51,0)+3)</f>
        <v/>
      </c>
      <c r="B294" s="135"/>
      <c r="C294" s="136"/>
      <c r="D294" s="137" t="str">
        <f t="array" ref="D294">IF($A294="","",INDEX('Daily Sales'!A:A,$A294))</f>
        <v/>
      </c>
      <c r="E294" s="138"/>
      <c r="F294" s="139">
        <f t="shared" si="3"/>
        <v>0</v>
      </c>
      <c r="G294" s="140"/>
      <c r="H294" s="138" t="str">
        <f t="array" ref="H294">IF($A294="","",
  IF(
    OR(
      $A294=23,
      AND($A294&gt;=32,$A294&lt;=50)
    ),
    IFERROR(
      INDEX('Daily Sales'!$C:$AG,
        $A294,
        MATCH(TEXT($B294,"0"),TEXT('Daily Sales'!$C$2:$AG$2,"0"),0)
      ),
    ""),
  "")
)</f>
        <v/>
      </c>
      <c r="I294" s="138" t="str">
        <f t="array" ref="I294">IF($A294="","",
  IF(
    OR(
      AND($A294&gt;=4,$A294&lt;=8),
      AND($A294&gt;=12,$A294&lt;=19),
      AND($A294&gt;=28,$A294&lt;=29)
    ),
    IFERROR(
      INDEX('Daily Sales'!$C:$AG,
        $A294,
        MATCH(TEXT($B294,"0"),TEXT('Daily Sales'!$C$2:$AG$2,"0"),0)
      ),
    ""),
  "")
)</f>
        <v/>
      </c>
      <c r="J294" s="79" t="e">
        <f t="shared" si="4"/>
        <v>#VALUE!</v>
      </c>
      <c r="K294" s="141"/>
      <c r="L294" s="81"/>
      <c r="M294" s="141"/>
      <c r="N294" s="133"/>
      <c r="O294" s="4"/>
      <c r="P294" s="4"/>
      <c r="Q294" s="4"/>
      <c r="R294" s="109"/>
      <c r="S294" s="109"/>
      <c r="T294" s="108"/>
      <c r="U294" s="110"/>
      <c r="V294" s="110"/>
      <c r="W294" s="110"/>
      <c r="X294" s="110"/>
    </row>
    <row r="295" spans="1:24" ht="13.5" customHeight="1">
      <c r="A295" s="110">
        <f>IF(E295="","",MATCH(E295,'Daily Sales'!B$4:B$51,0)+3)</f>
        <v>4</v>
      </c>
      <c r="B295" s="135">
        <v>46183</v>
      </c>
      <c r="C295" s="136" t="s">
        <v>100</v>
      </c>
      <c r="D295" s="137" t="str">
        <f t="array" ref="D295">IF($A295="","",INDEX('Daily Sales'!A:A,$A295))</f>
        <v>4-2100</v>
      </c>
      <c r="E295" s="138" t="s">
        <v>5</v>
      </c>
      <c r="F295" s="139" t="str">
        <f t="shared" si="3"/>
        <v>Sales Food TERRACE</v>
      </c>
      <c r="G295" s="140"/>
      <c r="H295" s="138" t="str">
        <f t="array" ref="H295">IF($A295="","",
  IF(
    OR(
      $A295=23,
      AND($A295&gt;=32,$A295&lt;=50)
    ),
    IFERROR(
      INDEX('Daily Sales'!$C:$AG,
        $A295,
        MATCH(TEXT($B295,"0"),TEXT('Daily Sales'!$C$2:$AG$2,"0"),0)
      ),
    ""),
  "")
)</f>
        <v/>
      </c>
      <c r="I295" s="138">
        <f t="array" ref="I295">IF($A295="","",
  IF(
    OR(
      AND($A295&gt;=4,$A295&lt;=8),
      AND($A295&gt;=12,$A295&lt;=19),
      AND($A295&gt;=28,$A295&lt;=29)
    ),
    IFERROR(
      INDEX('Daily Sales'!$C:$AG,
        $A295,
        MATCH(TEXT($B295,"0"),TEXT('Daily Sales'!$C$2:$AG$2,"0"),0)
      ),
    ""),
  "")
)</f>
        <v>6649000</v>
      </c>
      <c r="J295" s="79" t="e">
        <f t="shared" si="4"/>
        <v>#VALUE!</v>
      </c>
      <c r="K295" s="141"/>
      <c r="L295" s="81"/>
      <c r="M295" s="141"/>
      <c r="N295" s="133"/>
      <c r="O295" s="4"/>
      <c r="P295" s="4"/>
      <c r="Q295" s="4"/>
      <c r="R295" s="109"/>
      <c r="S295" s="109"/>
      <c r="T295" s="108"/>
      <c r="U295" s="110"/>
      <c r="V295" s="110"/>
      <c r="W295" s="110"/>
      <c r="X295" s="110"/>
    </row>
    <row r="296" spans="1:24" ht="13.5" customHeight="1">
      <c r="A296" s="110">
        <f>IF(E296="","",MATCH(E296,'Daily Sales'!B$4:B$51,0)+3)</f>
        <v>5</v>
      </c>
      <c r="B296" s="135">
        <v>46183</v>
      </c>
      <c r="C296" s="136" t="s">
        <v>100</v>
      </c>
      <c r="D296" s="137" t="str">
        <f t="array" ref="D296">IF($A296="","",INDEX('Daily Sales'!A:A,$A296))</f>
        <v>4-2200</v>
      </c>
      <c r="E296" s="138" t="s">
        <v>7</v>
      </c>
      <c r="F296" s="139" t="str">
        <f t="shared" si="3"/>
        <v>Sales Beverages TERRACE</v>
      </c>
      <c r="G296" s="140"/>
      <c r="H296" s="138" t="str">
        <f t="array" ref="H296">IF($A296="","",
  IF(
    OR(
      $A296=23,
      AND($A296&gt;=32,$A296&lt;=50)
    ),
    IFERROR(
      INDEX('Daily Sales'!$C:$AG,
        $A296,
        MATCH(TEXT($B296,"0"),TEXT('Daily Sales'!$C$2:$AG$2,"0"),0)
      ),
    ""),
  "")
)</f>
        <v/>
      </c>
      <c r="I296" s="138">
        <f t="array" ref="I296">IF($A296="","",
  IF(
    OR(
      AND($A296&gt;=4,$A296&lt;=8),
      AND($A296&gt;=12,$A296&lt;=19),
      AND($A296&gt;=28,$A296&lt;=29)
    ),
    IFERROR(
      INDEX('Daily Sales'!$C:$AG,
        $A296,
        MATCH(TEXT($B296,"0"),TEXT('Daily Sales'!$C$2:$AG$2,"0"),0)
      ),
    ""),
  "")
)</f>
        <v>7545000</v>
      </c>
      <c r="J296" s="79" t="e">
        <f t="shared" si="4"/>
        <v>#VALUE!</v>
      </c>
      <c r="K296" s="141"/>
      <c r="L296" s="81"/>
      <c r="M296" s="141"/>
      <c r="N296" s="133"/>
      <c r="O296" s="4"/>
      <c r="P296" s="4"/>
      <c r="Q296" s="4"/>
      <c r="R296" s="109"/>
      <c r="S296" s="109"/>
      <c r="T296" s="108"/>
      <c r="U296" s="110"/>
      <c r="V296" s="110"/>
      <c r="W296" s="110"/>
      <c r="X296" s="110"/>
    </row>
    <row r="297" spans="1:24" ht="13.5" customHeight="1">
      <c r="A297" s="110">
        <f>IF(E297="","",MATCH(E297,'Daily Sales'!B$4:B$51,0)+3)</f>
        <v>6</v>
      </c>
      <c r="B297" s="135">
        <v>46183</v>
      </c>
      <c r="C297" s="136" t="s">
        <v>100</v>
      </c>
      <c r="D297" s="137" t="str">
        <f t="array" ref="D297">IF($A297="","",INDEX('Daily Sales'!A:A,$A297))</f>
        <v>4-2400</v>
      </c>
      <c r="E297" s="138" t="s">
        <v>9</v>
      </c>
      <c r="F297" s="139" t="str">
        <f t="shared" si="3"/>
        <v>Sales Cigarette TERRACE</v>
      </c>
      <c r="G297" s="140"/>
      <c r="H297" s="138" t="str">
        <f t="array" ref="H297">IF($A297="","",
  IF(
    OR(
      $A297=23,
      AND($A297&gt;=32,$A297&lt;=50)
    ),
    IFERROR(
      INDEX('Daily Sales'!$C:$AG,
        $A297,
        MATCH(TEXT($B297,"0"),TEXT('Daily Sales'!$C$2:$AG$2,"0"),0)
      ),
    ""),
  "")
)</f>
        <v/>
      </c>
      <c r="I297" s="138">
        <f t="array" ref="I297">IF($A297="","",
  IF(
    OR(
      AND($A297&gt;=4,$A297&lt;=8),
      AND($A297&gt;=12,$A297&lt;=19),
      AND($A297&gt;=28,$A297&lt;=29)
    ),
    IFERROR(
      INDEX('Daily Sales'!$C:$AG,
        $A297,
        MATCH(TEXT($B297,"0"),TEXT('Daily Sales'!$C$2:$AG$2,"0"),0)
      ),
    ""),
  "")
)</f>
        <v>0</v>
      </c>
      <c r="J297" s="79" t="e">
        <f t="shared" si="4"/>
        <v>#VALUE!</v>
      </c>
      <c r="K297" s="141"/>
      <c r="L297" s="81"/>
      <c r="M297" s="141"/>
      <c r="N297" s="133"/>
      <c r="O297" s="4"/>
      <c r="P297" s="4"/>
      <c r="Q297" s="4"/>
      <c r="R297" s="109"/>
      <c r="S297" s="109"/>
      <c r="T297" s="108"/>
      <c r="U297" s="110"/>
      <c r="V297" s="110"/>
      <c r="W297" s="110"/>
      <c r="X297" s="110"/>
    </row>
    <row r="298" spans="1:24" ht="13.5" customHeight="1">
      <c r="A298" s="110">
        <f>IF(E298="","",MATCH(E298,'Daily Sales'!B$4:B$51,0)+3)</f>
        <v>7</v>
      </c>
      <c r="B298" s="135">
        <v>46183</v>
      </c>
      <c r="C298" s="136" t="s">
        <v>100</v>
      </c>
      <c r="D298" s="137" t="str">
        <f t="array" ref="D298">IF($A298="","",INDEX('Daily Sales'!A:A,$A298))</f>
        <v>4-2300</v>
      </c>
      <c r="E298" s="138" t="s">
        <v>11</v>
      </c>
      <c r="F298" s="139" t="str">
        <f t="shared" si="3"/>
        <v>Sales Shisa TERRACE</v>
      </c>
      <c r="G298" s="140"/>
      <c r="H298" s="138" t="str">
        <f t="array" ref="H298">IF($A298="","",
  IF(
    OR(
      $A298=23,
      AND($A298&gt;=32,$A298&lt;=50)
    ),
    IFERROR(
      INDEX('Daily Sales'!$C:$AG,
        $A298,
        MATCH(TEXT($B298,"0"),TEXT('Daily Sales'!$C$2:$AG$2,"0"),0)
      ),
    ""),
  "")
)</f>
        <v/>
      </c>
      <c r="I298" s="138">
        <f t="array" ref="I298">IF($A298="","",
  IF(
    OR(
      AND($A298&gt;=4,$A298&lt;=8),
      AND($A298&gt;=12,$A298&lt;=19),
      AND($A298&gt;=28,$A298&lt;=29)
    ),
    IFERROR(
      INDEX('Daily Sales'!$C:$AG,
        $A298,
        MATCH(TEXT($B298,"0"),TEXT('Daily Sales'!$C$2:$AG$2,"0"),0)
      ),
    ""),
  "")
)</f>
        <v>0</v>
      </c>
      <c r="J298" s="79" t="e">
        <f t="shared" si="4"/>
        <v>#VALUE!</v>
      </c>
      <c r="K298" s="141"/>
      <c r="L298" s="81"/>
      <c r="M298" s="141"/>
      <c r="N298" s="133"/>
      <c r="O298" s="4"/>
      <c r="P298" s="4"/>
      <c r="Q298" s="4"/>
      <c r="R298" s="109"/>
      <c r="S298" s="109"/>
      <c r="T298" s="108"/>
      <c r="U298" s="110"/>
      <c r="V298" s="110"/>
      <c r="W298" s="110"/>
      <c r="X298" s="110"/>
    </row>
    <row r="299" spans="1:24" ht="13.5" customHeight="1">
      <c r="A299" s="110">
        <f>IF(E299="","",MATCH(E299,'Daily Sales'!B$4:B$51,0)+3)</f>
        <v>12</v>
      </c>
      <c r="B299" s="135">
        <v>46183</v>
      </c>
      <c r="C299" s="136" t="s">
        <v>100</v>
      </c>
      <c r="D299" s="137" t="str">
        <f t="array" ref="D299">IF($A299="","",INDEX('Daily Sales'!A:A,$A299))</f>
        <v>4-2200</v>
      </c>
      <c r="E299" s="138" t="s">
        <v>17</v>
      </c>
      <c r="F299" s="139" t="str">
        <f t="shared" si="3"/>
        <v>Sales Beverages CLUB</v>
      </c>
      <c r="G299" s="140"/>
      <c r="H299" s="138" t="str">
        <f t="array" ref="H299">IF($A299="","",
  IF(
    OR(
      $A299=23,
      AND($A299&gt;=32,$A299&lt;=50)
    ),
    IFERROR(
      INDEX('Daily Sales'!$C:$AG,
        $A299,
        MATCH(TEXT($B299,"0"),TEXT('Daily Sales'!$C$2:$AG$2,"0"),0)
      ),
    ""),
  "")
)</f>
        <v/>
      </c>
      <c r="I299" s="138">
        <f t="array" ref="I299">IF($A299="","",
  IF(
    OR(
      AND($A299&gt;=4,$A299&lt;=8),
      AND($A299&gt;=12,$A299&lt;=19),
      AND($A299&gt;=28,$A299&lt;=29)
    ),
    IFERROR(
      INDEX('Daily Sales'!$C:$AG,
        $A299,
        MATCH(TEXT($B299,"0"),TEXT('Daily Sales'!$C$2:$AG$2,"0"),0)
      ),
    ""),
  "")
)</f>
        <v>30350000</v>
      </c>
      <c r="J299" s="79" t="e">
        <f t="shared" si="4"/>
        <v>#VALUE!</v>
      </c>
      <c r="K299" s="141"/>
      <c r="L299" s="81"/>
      <c r="M299" s="141"/>
      <c r="N299" s="133"/>
      <c r="O299" s="4"/>
      <c r="P299" s="4"/>
      <c r="Q299" s="4"/>
      <c r="R299" s="109"/>
      <c r="S299" s="109"/>
      <c r="T299" s="108"/>
      <c r="U299" s="110"/>
      <c r="V299" s="110"/>
      <c r="W299" s="110"/>
      <c r="X299" s="110"/>
    </row>
    <row r="300" spans="1:24" ht="13.5" customHeight="1">
      <c r="A300" s="110">
        <f>IF(E300="","",MATCH(E300,'Daily Sales'!B$4:B$51,0)+3)</f>
        <v>13</v>
      </c>
      <c r="B300" s="135">
        <v>46183</v>
      </c>
      <c r="C300" s="136" t="s">
        <v>100</v>
      </c>
      <c r="D300" s="137" t="str">
        <f t="array" ref="D300">IF($A300="","",INDEX('Daily Sales'!A:A,$A300))</f>
        <v>4-2400</v>
      </c>
      <c r="E300" s="138" t="s">
        <v>18</v>
      </c>
      <c r="F300" s="139" t="str">
        <f t="shared" si="3"/>
        <v>Sales Cigarette CLUB</v>
      </c>
      <c r="G300" s="140"/>
      <c r="H300" s="138" t="str">
        <f t="array" ref="H300">IF($A300="","",
  IF(
    OR(
      $A300=23,
      AND($A300&gt;=32,$A300&lt;=50)
    ),
    IFERROR(
      INDEX('Daily Sales'!$C:$AG,
        $A300,
        MATCH(TEXT($B300,"0"),TEXT('Daily Sales'!$C$2:$AG$2,"0"),0)
      ),
    ""),
  "")
)</f>
        <v/>
      </c>
      <c r="I300" s="138">
        <f t="array" ref="I300">IF($A300="","",
  IF(
    OR(
      AND($A300&gt;=4,$A300&lt;=8),
      AND($A300&gt;=12,$A300&lt;=19),
      AND($A300&gt;=28,$A300&lt;=29)
    ),
    IFERROR(
      INDEX('Daily Sales'!$C:$AG,
        $A300,
        MATCH(TEXT($B300,"0"),TEXT('Daily Sales'!$C$2:$AG$2,"0"),0)
      ),
    ""),
  "")
)</f>
        <v>70000</v>
      </c>
      <c r="J300" s="79" t="e">
        <f t="shared" si="4"/>
        <v>#VALUE!</v>
      </c>
      <c r="K300" s="141"/>
      <c r="L300" s="81"/>
      <c r="M300" s="141"/>
      <c r="N300" s="133"/>
      <c r="O300" s="4"/>
      <c r="P300" s="4"/>
      <c r="Q300" s="4"/>
      <c r="R300" s="109"/>
      <c r="S300" s="109"/>
      <c r="T300" s="108"/>
      <c r="U300" s="110"/>
      <c r="V300" s="110"/>
      <c r="W300" s="110"/>
      <c r="X300" s="110"/>
    </row>
    <row r="301" spans="1:24" ht="13.5" customHeight="1">
      <c r="A301" s="110">
        <f>IF(E301="","",MATCH(E301,'Daily Sales'!B$4:B$51,0)+3)</f>
        <v>14</v>
      </c>
      <c r="B301" s="135">
        <v>46183</v>
      </c>
      <c r="C301" s="136" t="s">
        <v>100</v>
      </c>
      <c r="D301" s="137" t="str">
        <f t="array" ref="D301">IF($A301="","",INDEX('Daily Sales'!A:A,$A301))</f>
        <v>4-2100</v>
      </c>
      <c r="E301" s="138" t="s">
        <v>19</v>
      </c>
      <c r="F301" s="139" t="str">
        <f t="shared" si="3"/>
        <v>Sales Food CLUB</v>
      </c>
      <c r="G301" s="140"/>
      <c r="H301" s="138" t="str">
        <f t="array" ref="H301">IF($A301="","",
  IF(
    OR(
      $A301=23,
      AND($A301&gt;=32,$A301&lt;=50)
    ),
    IFERROR(
      INDEX('Daily Sales'!$C:$AG,
        $A301,
        MATCH(TEXT($B301,"0"),TEXT('Daily Sales'!$C$2:$AG$2,"0"),0)
      ),
    ""),
  "")
)</f>
        <v/>
      </c>
      <c r="I301" s="138">
        <f t="array" ref="I301">IF($A301="","",
  IF(
    OR(
      AND($A301&gt;=4,$A301&lt;=8),
      AND($A301&gt;=12,$A301&lt;=19),
      AND($A301&gt;=28,$A301&lt;=29)
    ),
    IFERROR(
      INDEX('Daily Sales'!$C:$AG,
        $A301,
        MATCH(TEXT($B301,"0"),TEXT('Daily Sales'!$C$2:$AG$2,"0"),0)
      ),
    ""),
  "")
)</f>
        <v>0</v>
      </c>
      <c r="J301" s="79" t="e">
        <f t="shared" si="4"/>
        <v>#VALUE!</v>
      </c>
      <c r="K301" s="141"/>
      <c r="L301" s="81"/>
      <c r="M301" s="141"/>
      <c r="N301" s="133"/>
      <c r="O301" s="4"/>
      <c r="P301" s="4"/>
      <c r="Q301" s="4"/>
      <c r="R301" s="109"/>
      <c r="S301" s="109"/>
      <c r="T301" s="108"/>
      <c r="U301" s="110"/>
      <c r="V301" s="110"/>
      <c r="W301" s="110"/>
      <c r="X301" s="110"/>
    </row>
    <row r="302" spans="1:24" ht="13.5" customHeight="1">
      <c r="A302" s="110">
        <f>IF(E302="","",MATCH(E302,'Daily Sales'!B$4:B$51,0)+3)</f>
        <v>15</v>
      </c>
      <c r="B302" s="135">
        <v>46183</v>
      </c>
      <c r="C302" s="136" t="s">
        <v>100</v>
      </c>
      <c r="D302" s="137" t="str">
        <f t="array" ref="D302">IF($A302="","",INDEX('Daily Sales'!A:A,$A302))</f>
        <v>4-2300</v>
      </c>
      <c r="E302" s="138" t="s">
        <v>20</v>
      </c>
      <c r="F302" s="139" t="str">
        <f t="shared" si="3"/>
        <v>Sales Shisa CLUB</v>
      </c>
      <c r="G302" s="140"/>
      <c r="H302" s="138" t="str">
        <f t="array" ref="H302">IF($A302="","",
  IF(
    OR(
      $A302=23,
      AND($A302&gt;=32,$A302&lt;=50)
    ),
    IFERROR(
      INDEX('Daily Sales'!$C:$AG,
        $A302,
        MATCH(TEXT($B302,"0"),TEXT('Daily Sales'!$C$2:$AG$2,"0"),0)
      ),
    ""),
  "")
)</f>
        <v/>
      </c>
      <c r="I302" s="138">
        <f t="array" ref="I302">IF($A302="","",
  IF(
    OR(
      AND($A302&gt;=4,$A302&lt;=8),
      AND($A302&gt;=12,$A302&lt;=19),
      AND($A302&gt;=28,$A302&lt;=29)
    ),
    IFERROR(
      INDEX('Daily Sales'!$C:$AG,
        $A302,
        MATCH(TEXT($B302,"0"),TEXT('Daily Sales'!$C$2:$AG$2,"0"),0)
      ),
    ""),
  "")
)</f>
        <v>0</v>
      </c>
      <c r="J302" s="79" t="e">
        <f t="shared" si="4"/>
        <v>#VALUE!</v>
      </c>
      <c r="K302" s="141"/>
      <c r="L302" s="81"/>
      <c r="M302" s="141"/>
      <c r="N302" s="133"/>
      <c r="O302" s="4"/>
      <c r="P302" s="4"/>
      <c r="Q302" s="4"/>
      <c r="R302" s="109"/>
      <c r="S302" s="109"/>
      <c r="T302" s="108"/>
      <c r="U302" s="110"/>
      <c r="V302" s="110"/>
      <c r="W302" s="110"/>
      <c r="X302" s="110"/>
    </row>
    <row r="303" spans="1:24" ht="13.5" customHeight="1">
      <c r="A303" s="110">
        <f>IF(E303="","",MATCH(E303,'Daily Sales'!B$4:B$51,0)+3)</f>
        <v>17</v>
      </c>
      <c r="B303" s="135">
        <v>46183</v>
      </c>
      <c r="C303" s="136" t="s">
        <v>100</v>
      </c>
      <c r="D303" s="137" t="str">
        <f t="array" ref="D303">IF($A303="","",INDEX('Daily Sales'!A:A,$A303))</f>
        <v>4-2601</v>
      </c>
      <c r="E303" s="138" t="s">
        <v>23</v>
      </c>
      <c r="F303" s="139" t="str">
        <f t="shared" si="3"/>
        <v xml:space="preserve">Misc </v>
      </c>
      <c r="G303" s="140"/>
      <c r="H303" s="138" t="str">
        <f t="array" ref="H303">IF($A303="","",
  IF(
    OR(
      $A303=23,
      AND($A303&gt;=32,$A303&lt;=50)
    ),
    IFERROR(
      INDEX('Daily Sales'!$C:$AG,
        $A303,
        MATCH(TEXT($B303,"0"),TEXT('Daily Sales'!$C$2:$AG$2,"0"),0)
      ),
    ""),
  "")
)</f>
        <v/>
      </c>
      <c r="I303" s="138">
        <f t="array" ref="I303">IF($A303="","",
  IF(
    OR(
      AND($A303&gt;=4,$A303&lt;=8),
      AND($A303&gt;=12,$A303&lt;=19),
      AND($A303&gt;=28,$A303&lt;=29)
    ),
    IFERROR(
      INDEX('Daily Sales'!$C:$AG,
        $A303,
        MATCH(TEXT($B303,"0"),TEXT('Daily Sales'!$C$2:$AG$2,"0"),0)
      ),
    ""),
  "")
)</f>
        <v>0</v>
      </c>
      <c r="J303" s="79" t="e">
        <f t="shared" si="4"/>
        <v>#VALUE!</v>
      </c>
      <c r="K303" s="141"/>
      <c r="L303" s="81"/>
      <c r="M303" s="141"/>
      <c r="N303" s="133"/>
      <c r="O303" s="4"/>
      <c r="P303" s="4"/>
      <c r="Q303" s="4"/>
      <c r="R303" s="109"/>
      <c r="S303" s="109"/>
      <c r="T303" s="108"/>
      <c r="U303" s="110"/>
      <c r="V303" s="110"/>
      <c r="W303" s="110"/>
      <c r="X303" s="110"/>
    </row>
    <row r="304" spans="1:24" ht="13.5" customHeight="1">
      <c r="A304" s="110">
        <f>IF(E304="","",MATCH(E304,'Daily Sales'!B$4:B$51,0)+3)</f>
        <v>19</v>
      </c>
      <c r="B304" s="135">
        <v>46183</v>
      </c>
      <c r="C304" s="136" t="s">
        <v>100</v>
      </c>
      <c r="D304" s="137" t="str">
        <f t="array" ref="D304">IF($A304="","",INDEX('Daily Sales'!A:A,$A304))</f>
        <v>4-2500</v>
      </c>
      <c r="E304" s="138" t="s">
        <v>26</v>
      </c>
      <c r="F304" s="139" t="str">
        <f t="shared" si="3"/>
        <v>Sales Ticket</v>
      </c>
      <c r="G304" s="140"/>
      <c r="H304" s="138" t="str">
        <f t="array" ref="H304">IF($A304="","",
  IF(
    OR(
      $A304=23,
      AND($A304&gt;=32,$A304&lt;=50)
    ),
    IFERROR(
      INDEX('Daily Sales'!$C:$AG,
        $A304,
        MATCH(TEXT($B304,"0"),TEXT('Daily Sales'!$C$2:$AG$2,"0"),0)
      ),
    ""),
  "")
)</f>
        <v/>
      </c>
      <c r="I304" s="138">
        <f t="array" ref="I304">IF($A304="","",
  IF(
    OR(
      AND($A304&gt;=4,$A304&lt;=8),
      AND($A304&gt;=12,$A304&lt;=19),
      AND($A304&gt;=28,$A304&lt;=29)
    ),
    IFERROR(
      INDEX('Daily Sales'!$C:$AG,
        $A304,
        MATCH(TEXT($B304,"0"),TEXT('Daily Sales'!$C$2:$AG$2,"0"),0)
      ),
    ""),
  "")
)</f>
        <v>10195440</v>
      </c>
      <c r="J304" s="79" t="e">
        <f t="shared" si="4"/>
        <v>#VALUE!</v>
      </c>
      <c r="K304" s="141"/>
      <c r="L304" s="81"/>
      <c r="M304" s="141"/>
      <c r="N304" s="133"/>
      <c r="O304" s="4"/>
      <c r="P304" s="4"/>
      <c r="Q304" s="4"/>
      <c r="R304" s="109"/>
      <c r="S304" s="109"/>
      <c r="T304" s="108"/>
      <c r="U304" s="110"/>
      <c r="V304" s="110"/>
      <c r="W304" s="110"/>
      <c r="X304" s="110"/>
    </row>
    <row r="305" spans="1:24" ht="13.5" customHeight="1">
      <c r="A305" s="110">
        <f>IF(E305="","",MATCH(E305,'Daily Sales'!B$4:B$51,0)+3)</f>
        <v>28</v>
      </c>
      <c r="B305" s="135">
        <v>46183</v>
      </c>
      <c r="C305" s="136" t="s">
        <v>100</v>
      </c>
      <c r="D305" s="137" t="str">
        <f t="array" ref="D305">IF($A305="","",INDEX('Daily Sales'!A:A,$A305))</f>
        <v>2-2106</v>
      </c>
      <c r="E305" s="138" t="s">
        <v>35</v>
      </c>
      <c r="F305" s="139" t="str">
        <f t="shared" si="3"/>
        <v>Service Charges 7%</v>
      </c>
      <c r="G305" s="140"/>
      <c r="H305" s="138" t="str">
        <f t="array" ref="H305">IF($A305="","",
  IF(
    OR(
      $A305=23,
      AND($A305&gt;=32,$A305&lt;=50)
    ),
    IFERROR(
      INDEX('Daily Sales'!$C:$AG,
        $A305,
        MATCH(TEXT($B305,"0"),TEXT('Daily Sales'!$C$2:$AG$2,"0"),0)
      ),
    ""),
  "")
)</f>
        <v/>
      </c>
      <c r="I305" s="138">
        <f t="array" ref="I305">IF($A305="","",
  IF(
    OR(
      AND($A305&gt;=4,$A305&lt;=8),
      AND($A305&gt;=12,$A305&lt;=19),
      AND($A305&gt;=28,$A305&lt;=29)
    ),
    IFERROR(
      INDEX('Daily Sales'!$C:$AG,
        $A305,
        MATCH(TEXT($B305,"0"),TEXT('Daily Sales'!$C$2:$AG$2,"0"),0)
      ),
    ""),
  "")
)</f>
        <v>3825460.8000000003</v>
      </c>
      <c r="J305" s="79" t="e">
        <f t="shared" si="4"/>
        <v>#VALUE!</v>
      </c>
      <c r="K305" s="141"/>
      <c r="L305" s="81"/>
      <c r="M305" s="141"/>
      <c r="N305" s="133"/>
      <c r="O305" s="4"/>
      <c r="P305" s="4"/>
      <c r="Q305" s="4"/>
      <c r="R305" s="109"/>
      <c r="S305" s="109"/>
      <c r="T305" s="108"/>
      <c r="U305" s="110"/>
      <c r="V305" s="110"/>
      <c r="W305" s="110"/>
      <c r="X305" s="110"/>
    </row>
    <row r="306" spans="1:24" ht="13.5" customHeight="1">
      <c r="A306" s="110">
        <f>IF(E306="","",MATCH(E306,'Daily Sales'!B$4:B$51,0)+3)</f>
        <v>29</v>
      </c>
      <c r="B306" s="135">
        <v>46183</v>
      </c>
      <c r="C306" s="136" t="s">
        <v>100</v>
      </c>
      <c r="D306" s="137" t="str">
        <f t="array" ref="D306">IF($A306="","",INDEX('Daily Sales'!A:A,$A306))</f>
        <v>2-3101</v>
      </c>
      <c r="E306" s="138" t="s">
        <v>37</v>
      </c>
      <c r="F306" s="139" t="str">
        <f t="shared" si="3"/>
        <v>Tax PB1 10%</v>
      </c>
      <c r="G306" s="140"/>
      <c r="H306" s="138" t="str">
        <f t="array" ref="H306">IF($A306="","",
  IF(
    OR(
      $A306=23,
      AND($A306&gt;=32,$A306&lt;=50)
    ),
    IFERROR(
      INDEX('Daily Sales'!$C:$AG,
        $A306,
        MATCH(TEXT($B306,"0"),TEXT('Daily Sales'!$C$2:$AG$2,"0"),0)
      ),
    ""),
  "")
)</f>
        <v/>
      </c>
      <c r="I306" s="138">
        <f t="array" ref="I306">IF($A306="","",
  IF(
    OR(
      AND($A306&gt;=4,$A306&lt;=8),
      AND($A306&gt;=12,$A306&lt;=19),
      AND($A306&gt;=28,$A306&lt;=29)
    ),
    IFERROR(
      INDEX('Daily Sales'!$C:$AG,
        $A306,
        MATCH(TEXT($B306,"0"),TEXT('Daily Sales'!$C$2:$AG$2,"0"),0)
      ),
    ""),
  "")
)</f>
        <v>5847490.0800000001</v>
      </c>
      <c r="J306" s="79" t="e">
        <f t="shared" si="4"/>
        <v>#VALUE!</v>
      </c>
      <c r="K306" s="141"/>
      <c r="L306" s="81"/>
      <c r="M306" s="141"/>
      <c r="N306" s="133"/>
      <c r="O306" s="4"/>
      <c r="P306" s="4"/>
      <c r="Q306" s="4"/>
      <c r="R306" s="109"/>
      <c r="S306" s="109"/>
      <c r="T306" s="108"/>
      <c r="U306" s="110"/>
      <c r="V306" s="110"/>
      <c r="W306" s="110"/>
      <c r="X306" s="110"/>
    </row>
    <row r="307" spans="1:24" ht="13.5" customHeight="1">
      <c r="A307" s="110">
        <f>IF(E307="","",MATCH(E307,'Daily Sales'!B$4:B$51,0)+3)</f>
        <v>23</v>
      </c>
      <c r="B307" s="135">
        <v>46183</v>
      </c>
      <c r="C307" s="136" t="s">
        <v>100</v>
      </c>
      <c r="D307" s="137" t="str">
        <f t="array" ref="D307">IF($A307="","",INDEX('Daily Sales'!A:A,$A307))</f>
        <v>4-5110</v>
      </c>
      <c r="E307" s="138" t="s">
        <v>30</v>
      </c>
      <c r="F307" s="139" t="str">
        <f t="shared" si="3"/>
        <v>Discount</v>
      </c>
      <c r="G307" s="140"/>
      <c r="H307" s="138">
        <f t="array" ref="H307">IF($A307="","",
  IF(
    OR(
      $A307=23,
      AND($A307&gt;=32,$A307&lt;=50)
    ),
    IFERROR(
      INDEX('Daily Sales'!$C:$AG,
        $A307,
        MATCH(TEXT($B307,"0"),TEXT('Daily Sales'!$C$2:$AG$2,"0"),0)
      ),
    ""),
  "")
)</f>
        <v>160000</v>
      </c>
      <c r="I307" s="138" t="str">
        <f t="array" ref="I307">IF($A307="","",
  IF(
    OR(
      AND($A307&gt;=4,$A307&lt;=8),
      AND($A307&gt;=12,$A307&lt;=19),
      AND($A307&gt;=28,$A307&lt;=29)
    ),
    IFERROR(
      INDEX('Daily Sales'!$C:$AG,
        $A307,
        MATCH(TEXT($B307,"0"),TEXT('Daily Sales'!$C$2:$AG$2,"0"),0)
      ),
    ""),
  "")
)</f>
        <v/>
      </c>
      <c r="J307" s="79" t="e">
        <f t="shared" si="4"/>
        <v>#VALUE!</v>
      </c>
      <c r="K307" s="141"/>
      <c r="L307" s="81"/>
      <c r="M307" s="141"/>
      <c r="N307" s="133"/>
      <c r="O307" s="4"/>
      <c r="P307" s="4"/>
      <c r="Q307" s="4"/>
      <c r="R307" s="109"/>
      <c r="S307" s="109"/>
      <c r="T307" s="108"/>
      <c r="U307" s="110"/>
      <c r="V307" s="110"/>
      <c r="W307" s="110"/>
      <c r="X307" s="110"/>
    </row>
    <row r="308" spans="1:24" ht="13.5" customHeight="1">
      <c r="A308" s="110">
        <f>IF(E308="","",MATCH(E308,'Daily Sales'!B$4:B$51,0)+3)</f>
        <v>32</v>
      </c>
      <c r="B308" s="135">
        <v>46183</v>
      </c>
      <c r="C308" s="136" t="s">
        <v>100</v>
      </c>
      <c r="D308" s="137" t="str">
        <f t="array" ref="D308">IF($A308="","",INDEX('Daily Sales'!A:A,$A308))</f>
        <v>1-1119</v>
      </c>
      <c r="E308" s="138" t="s">
        <v>40</v>
      </c>
      <c r="F308" s="139" t="str">
        <f t="shared" si="3"/>
        <v>Cash IDR</v>
      </c>
      <c r="G308" s="140"/>
      <c r="H308" s="138">
        <f t="array" ref="H308">IF($A308="","",
  IF(
    OR(
      $A308=23,
      AND($A308&gt;=32,$A308&lt;=50)
    ),
    IFERROR(
      INDEX('Daily Sales'!$C:$AG,
        $A308,
        MATCH(TEXT($B308,"0"),TEXT('Daily Sales'!$C$2:$AG$2,"0"),0)
      ),
    ""),
  "")
)</f>
        <v>8519803</v>
      </c>
      <c r="I308" s="138" t="str">
        <f t="array" ref="I308">IF($A308="","",
  IF(
    OR(
      AND($A308&gt;=4,$A308&lt;=8),
      AND($A308&gt;=12,$A308&lt;=19),
      AND($A308&gt;=28,$A308&lt;=29)
    ),
    IFERROR(
      INDEX('Daily Sales'!$C:$AG,
        $A308,
        MATCH(TEXT($B308,"0"),TEXT('Daily Sales'!$C$2:$AG$2,"0"),0)
      ),
    ""),
  "")
)</f>
        <v/>
      </c>
      <c r="J308" s="79" t="e">
        <f t="shared" si="4"/>
        <v>#VALUE!</v>
      </c>
      <c r="K308" s="141"/>
      <c r="L308" s="81"/>
      <c r="M308" s="141"/>
      <c r="N308" s="133"/>
      <c r="O308" s="4"/>
      <c r="P308" s="4"/>
      <c r="Q308" s="4"/>
      <c r="R308" s="109"/>
      <c r="S308" s="109"/>
      <c r="T308" s="108"/>
      <c r="U308" s="110"/>
      <c r="V308" s="110"/>
      <c r="W308" s="110"/>
      <c r="X308" s="110"/>
    </row>
    <row r="309" spans="1:24" ht="13.5" customHeight="1">
      <c r="A309" s="110">
        <f>IF(E309="","",MATCH(E309,'Daily Sales'!B$4:B$51,0)+3)</f>
        <v>33</v>
      </c>
      <c r="B309" s="135">
        <v>46183</v>
      </c>
      <c r="C309" s="136" t="s">
        <v>100</v>
      </c>
      <c r="D309" s="137" t="str">
        <f t="array" ref="D309">IF($A309="","",INDEX('Daily Sales'!A:A,$A309))</f>
        <v>1-1217</v>
      </c>
      <c r="E309" s="138" t="s">
        <v>43</v>
      </c>
      <c r="F309" s="139" t="str">
        <f t="shared" si="3"/>
        <v>Bank transfer</v>
      </c>
      <c r="G309" s="140"/>
      <c r="H309" s="138">
        <f t="array" ref="H309">IF($A309="","",
  IF(
    OR(
      $A309=23,
      AND($A309&gt;=32,$A309&lt;=50)
    ),
    IFERROR(
      INDEX('Daily Sales'!$C:$AG,
        $A309,
        MATCH(TEXT($B309,"0"),TEXT('Daily Sales'!$C$2:$AG$2,"0"),0)
      ),
    ""),
  "")
)</f>
        <v>0</v>
      </c>
      <c r="I309" s="138" t="str">
        <f t="array" ref="I309">IF($A309="","",
  IF(
    OR(
      AND($A309&gt;=4,$A309&lt;=8),
      AND($A309&gt;=12,$A309&lt;=19),
      AND($A309&gt;=28,$A309&lt;=29)
    ),
    IFERROR(
      INDEX('Daily Sales'!$C:$AG,
        $A309,
        MATCH(TEXT($B309,"0"),TEXT('Daily Sales'!$C$2:$AG$2,"0"),0)
      ),
    ""),
  "")
)</f>
        <v/>
      </c>
      <c r="J309" s="79" t="e">
        <f t="shared" si="4"/>
        <v>#VALUE!</v>
      </c>
      <c r="K309" s="141"/>
      <c r="L309" s="81"/>
      <c r="M309" s="141"/>
      <c r="N309" s="133"/>
      <c r="O309" s="4"/>
      <c r="P309" s="4"/>
      <c r="Q309" s="4"/>
      <c r="R309" s="109"/>
      <c r="S309" s="109"/>
      <c r="T309" s="108"/>
      <c r="U309" s="110"/>
      <c r="V309" s="110"/>
      <c r="W309" s="110"/>
      <c r="X309" s="110"/>
    </row>
    <row r="310" spans="1:24" ht="13.5" customHeight="1">
      <c r="A310" s="110">
        <f>IF(E310="","",MATCH(E310,'Daily Sales'!B$4:B$51,0)+3)</f>
        <v>35</v>
      </c>
      <c r="B310" s="135">
        <v>46183</v>
      </c>
      <c r="C310" s="136" t="s">
        <v>100</v>
      </c>
      <c r="D310" s="137" t="str">
        <f t="array" ref="D310">IF($A310="","",INDEX('Daily Sales'!A:A,$A310))</f>
        <v>1-1216</v>
      </c>
      <c r="E310" s="138" t="s">
        <v>46</v>
      </c>
      <c r="F310" s="139" t="str">
        <f t="shared" si="3"/>
        <v>Cim Niaga TBB</v>
      </c>
      <c r="G310" s="140"/>
      <c r="H310" s="138">
        <f t="array" ref="H310">IF($A310="","",
  IF(
    OR(
      $A310=23,
      AND($A310&gt;=32,$A310&lt;=50)
    ),
    IFERROR(
      INDEX('Daily Sales'!$C:$AG,
        $A310,
        MATCH(TEXT($B310,"0"),TEXT('Daily Sales'!$C$2:$AG$2,"0"),0)
      ),
    ""),
  "")
)</f>
        <v>0</v>
      </c>
      <c r="I310" s="138" t="str">
        <f t="array" ref="I310">IF($A310="","",
  IF(
    OR(
      AND($A310&gt;=4,$A310&lt;=8),
      AND($A310&gt;=12,$A310&lt;=19),
      AND($A310&gt;=28,$A310&lt;=29)
    ),
    IFERROR(
      INDEX('Daily Sales'!$C:$AG,
        $A310,
        MATCH(TEXT($B310,"0"),TEXT('Daily Sales'!$C$2:$AG$2,"0"),0)
      ),
    ""),
  "")
)</f>
        <v/>
      </c>
      <c r="J310" s="79" t="e">
        <f t="shared" si="4"/>
        <v>#VALUE!</v>
      </c>
      <c r="K310" s="141"/>
      <c r="L310" s="81"/>
      <c r="M310" s="141"/>
      <c r="N310" s="133"/>
      <c r="O310" s="4"/>
      <c r="P310" s="4"/>
      <c r="Q310" s="4"/>
      <c r="R310" s="109"/>
      <c r="S310" s="109"/>
      <c r="T310" s="108"/>
      <c r="U310" s="110"/>
      <c r="V310" s="110"/>
      <c r="W310" s="110"/>
      <c r="X310" s="110"/>
    </row>
    <row r="311" spans="1:24" ht="13.5" customHeight="1">
      <c r="A311" s="110">
        <f>IF(E311="","",MATCH(E311,'Daily Sales'!B$4:B$51,0)+3)</f>
        <v>36</v>
      </c>
      <c r="B311" s="135">
        <v>46183</v>
      </c>
      <c r="C311" s="136" t="s">
        <v>100</v>
      </c>
      <c r="D311" s="137" t="str">
        <f t="array" ref="D311">IF($A311="","",INDEX('Daily Sales'!A:A,$A311))</f>
        <v>1-1213</v>
      </c>
      <c r="E311" s="138" t="s">
        <v>49</v>
      </c>
      <c r="F311" s="139" t="str">
        <f t="shared" si="3"/>
        <v>Mandiri Debet</v>
      </c>
      <c r="G311" s="140"/>
      <c r="H311" s="138">
        <f t="array" ref="H311">IF($A311="","",
  IF(
    OR(
      $A311=23,
      AND($A311&gt;=32,$A311&lt;=50)
    ),
    IFERROR(
      INDEX('Daily Sales'!$C:$AG,
        $A311,
        MATCH(TEXT($B311,"0"),TEXT('Daily Sales'!$C$2:$AG$2,"0"),0)
      ),
    ""),
  "")
)</f>
        <v>200000</v>
      </c>
      <c r="I311" s="138" t="str">
        <f t="array" ref="I311">IF($A311="","",
  IF(
    OR(
      AND($A311&gt;=4,$A311&lt;=8),
      AND($A311&gt;=12,$A311&lt;=19),
      AND($A311&gt;=28,$A311&lt;=29)
    ),
    IFERROR(
      INDEX('Daily Sales'!$C:$AG,
        $A311,
        MATCH(TEXT($B311,"0"),TEXT('Daily Sales'!$C$2:$AG$2,"0"),0)
      ),
    ""),
  "")
)</f>
        <v/>
      </c>
      <c r="J311" s="79" t="e">
        <f t="shared" si="4"/>
        <v>#VALUE!</v>
      </c>
      <c r="K311" s="141"/>
      <c r="L311" s="81"/>
      <c r="M311" s="141"/>
      <c r="N311" s="133"/>
      <c r="O311" s="4"/>
      <c r="P311" s="4"/>
      <c r="Q311" s="4"/>
      <c r="R311" s="109"/>
      <c r="S311" s="109"/>
      <c r="T311" s="108"/>
      <c r="U311" s="110"/>
      <c r="V311" s="110"/>
      <c r="W311" s="110"/>
      <c r="X311" s="110"/>
    </row>
    <row r="312" spans="1:24" ht="13.5" customHeight="1">
      <c r="A312" s="110">
        <f>IF(E312="","",MATCH(E312,'Daily Sales'!B$4:B$51,0)+3)</f>
        <v>37</v>
      </c>
      <c r="B312" s="135">
        <v>46183</v>
      </c>
      <c r="C312" s="136" t="s">
        <v>100</v>
      </c>
      <c r="D312" s="137" t="str">
        <f t="array" ref="D312">IF($A312="","",INDEX('Daily Sales'!A:A,$A312))</f>
        <v>1-1213</v>
      </c>
      <c r="E312" s="138" t="s">
        <v>50</v>
      </c>
      <c r="F312" s="139" t="str">
        <f t="shared" si="3"/>
        <v>Mandiri CC</v>
      </c>
      <c r="G312" s="140"/>
      <c r="H312" s="138">
        <f t="array" ref="H312">IF($A312="","",
  IF(
    OR(
      $A312=23,
      AND($A312&gt;=32,$A312&lt;=50)
    ),
    IFERROR(
      INDEX('Daily Sales'!$C:$AG,
        $A312,
        MATCH(TEXT($B312,"0"),TEXT('Daily Sales'!$C$2:$AG$2,"0"),0)
      ),
    ""),
  "")
)</f>
        <v>48217543</v>
      </c>
      <c r="I312" s="138" t="str">
        <f t="array" ref="I312">IF($A312="","",
  IF(
    OR(
      AND($A312&gt;=4,$A312&lt;=8),
      AND($A312&gt;=12,$A312&lt;=19),
      AND($A312&gt;=28,$A312&lt;=29)
    ),
    IFERROR(
      INDEX('Daily Sales'!$C:$AG,
        $A312,
        MATCH(TEXT($B312,"0"),TEXT('Daily Sales'!$C$2:$AG$2,"0"),0)
      ),
    ""),
  "")
)</f>
        <v/>
      </c>
      <c r="J312" s="79" t="e">
        <f t="shared" si="4"/>
        <v>#VALUE!</v>
      </c>
      <c r="K312" s="141"/>
      <c r="L312" s="81"/>
      <c r="M312" s="141"/>
      <c r="N312" s="133"/>
      <c r="O312" s="4"/>
      <c r="P312" s="4"/>
      <c r="Q312" s="4"/>
      <c r="R312" s="109"/>
      <c r="S312" s="109"/>
      <c r="T312" s="108"/>
      <c r="U312" s="110"/>
      <c r="V312" s="110"/>
      <c r="W312" s="110"/>
      <c r="X312" s="110"/>
    </row>
    <row r="313" spans="1:24" ht="13.5" customHeight="1">
      <c r="A313" s="110">
        <f>IF(E313="","",MATCH(E313,'Daily Sales'!B$4:B$51,0)+3)</f>
        <v>38</v>
      </c>
      <c r="B313" s="135">
        <v>46183</v>
      </c>
      <c r="C313" s="136" t="s">
        <v>100</v>
      </c>
      <c r="D313" s="137" t="str">
        <f t="array" ref="D313">IF($A313="","",INDEX('Daily Sales'!A:A,$A313))</f>
        <v>1-1213</v>
      </c>
      <c r="E313" s="138" t="s">
        <v>51</v>
      </c>
      <c r="F313" s="139" t="str">
        <f t="shared" si="3"/>
        <v>Mandiri NPG</v>
      </c>
      <c r="G313" s="140"/>
      <c r="H313" s="138">
        <f t="array" ref="H313">IF($A313="","",
  IF(
    OR(
      $A313=23,
      AND($A313&gt;=32,$A313&lt;=50)
    ),
    IFERROR(
      INDEX('Daily Sales'!$C:$AG,
        $A313,
        MATCH(TEXT($B313,"0"),TEXT('Daily Sales'!$C$2:$AG$2,"0"),0)
      ),
    ""),
  "")
)</f>
        <v>1547485</v>
      </c>
      <c r="I313" s="138" t="str">
        <f t="array" ref="I313">IF($A313="","",
  IF(
    OR(
      AND($A313&gt;=4,$A313&lt;=8),
      AND($A313&gt;=12,$A313&lt;=19),
      AND($A313&gt;=28,$A313&lt;=29)
    ),
    IFERROR(
      INDEX('Daily Sales'!$C:$AG,
        $A313,
        MATCH(TEXT($B313,"0"),TEXT('Daily Sales'!$C$2:$AG$2,"0"),0)
      ),
    ""),
  "")
)</f>
        <v/>
      </c>
      <c r="J313" s="79" t="e">
        <f t="shared" si="4"/>
        <v>#VALUE!</v>
      </c>
      <c r="K313" s="141"/>
      <c r="L313" s="81"/>
      <c r="M313" s="141"/>
      <c r="N313" s="133"/>
      <c r="O313" s="4"/>
      <c r="P313" s="4"/>
      <c r="Q313" s="4"/>
      <c r="R313" s="109"/>
      <c r="S313" s="109"/>
      <c r="T313" s="108"/>
      <c r="U313" s="110"/>
      <c r="V313" s="110"/>
      <c r="W313" s="110"/>
      <c r="X313" s="110"/>
    </row>
    <row r="314" spans="1:24" ht="13.5" customHeight="1">
      <c r="A314" s="110">
        <f>IF(E314="","",MATCH(E314,'Daily Sales'!B$4:B$51,0)+3)</f>
        <v>39</v>
      </c>
      <c r="B314" s="135">
        <v>46183</v>
      </c>
      <c r="C314" s="136" t="s">
        <v>100</v>
      </c>
      <c r="D314" s="137" t="str">
        <f t="array" ref="D314">IF($A314="","",INDEX('Daily Sales'!A:A,$A314))</f>
        <v>1-1213</v>
      </c>
      <c r="E314" s="138" t="s">
        <v>52</v>
      </c>
      <c r="F314" s="139" t="str">
        <f t="shared" si="3"/>
        <v>Mandiri QR</v>
      </c>
      <c r="G314" s="140"/>
      <c r="H314" s="138">
        <f t="array" ref="H314">IF($A314="","",
  IF(
    OR(
      $A314=23,
      AND($A314&gt;=32,$A314&lt;=50)
    ),
    IFERROR(
      INDEX('Daily Sales'!$C:$AG,
        $A314,
        MATCH(TEXT($B314,"0"),TEXT('Daily Sales'!$C$2:$AG$2,"0"),0)
      ),
    ""),
  "")
)</f>
        <v>3942590</v>
      </c>
      <c r="I314" s="138" t="str">
        <f t="array" ref="I314">IF($A314="","",
  IF(
    OR(
      AND($A314&gt;=4,$A314&lt;=8),
      AND($A314&gt;=12,$A314&lt;=19),
      AND($A314&gt;=28,$A314&lt;=29)
    ),
    IFERROR(
      INDEX('Daily Sales'!$C:$AG,
        $A314,
        MATCH(TEXT($B314,"0"),TEXT('Daily Sales'!$C$2:$AG$2,"0"),0)
      ),
    ""),
  "")
)</f>
        <v/>
      </c>
      <c r="J314" s="79" t="e">
        <f t="shared" si="4"/>
        <v>#VALUE!</v>
      </c>
      <c r="K314" s="141"/>
      <c r="L314" s="81"/>
      <c r="M314" s="141"/>
      <c r="N314" s="133"/>
      <c r="O314" s="4"/>
      <c r="P314" s="4"/>
      <c r="Q314" s="4"/>
      <c r="R314" s="109"/>
      <c r="S314" s="109"/>
      <c r="T314" s="108"/>
      <c r="U314" s="110"/>
      <c r="V314" s="110"/>
      <c r="W314" s="110"/>
      <c r="X314" s="110"/>
    </row>
    <row r="315" spans="1:24" ht="13.5" customHeight="1">
      <c r="A315" s="110">
        <f>IF(E315="","",MATCH(E315,'Daily Sales'!B$4:B$51,0)+3)</f>
        <v>40</v>
      </c>
      <c r="B315" s="135">
        <v>46183</v>
      </c>
      <c r="C315" s="136" t="s">
        <v>100</v>
      </c>
      <c r="D315" s="137" t="str">
        <f t="array" ref="D315">IF($A315="","",INDEX('Daily Sales'!A:A,$A315))</f>
        <v>1-1217</v>
      </c>
      <c r="E315" s="138" t="s">
        <v>54</v>
      </c>
      <c r="F315" s="139" t="str">
        <f t="shared" si="3"/>
        <v>BCA CC</v>
      </c>
      <c r="G315" s="140"/>
      <c r="H315" s="138">
        <f t="array" ref="H315">IF($A315="","",
  IF(
    OR(
      $A315=23,
      AND($A315&gt;=32,$A315&lt;=50)
    ),
    IFERROR(
      INDEX('Daily Sales'!$C:$AG,
        $A315,
        MATCH(TEXT($B315,"0"),TEXT('Daily Sales'!$C$2:$AG$2,"0"),0)
      ),
    ""),
  "")
)</f>
        <v>1218195</v>
      </c>
      <c r="I315" s="138" t="str">
        <f t="array" ref="I315">IF($A315="","",
  IF(
    OR(
      AND($A315&gt;=4,$A315&lt;=8),
      AND($A315&gt;=12,$A315&lt;=19),
      AND($A315&gt;=28,$A315&lt;=29)
    ),
    IFERROR(
      INDEX('Daily Sales'!$C:$AG,
        $A315,
        MATCH(TEXT($B315,"0"),TEXT('Daily Sales'!$C$2:$AG$2,"0"),0)
      ),
    ""),
  "")
)</f>
        <v/>
      </c>
      <c r="J315" s="79" t="e">
        <f t="shared" si="4"/>
        <v>#VALUE!</v>
      </c>
      <c r="K315" s="141"/>
      <c r="L315" s="81"/>
      <c r="M315" s="141"/>
      <c r="N315" s="133"/>
      <c r="O315" s="4"/>
      <c r="P315" s="4"/>
      <c r="Q315" s="4"/>
      <c r="R315" s="109"/>
      <c r="S315" s="109"/>
      <c r="T315" s="108"/>
      <c r="U315" s="110"/>
      <c r="V315" s="110"/>
      <c r="W315" s="110"/>
      <c r="X315" s="110"/>
    </row>
    <row r="316" spans="1:24" ht="13.5" customHeight="1">
      <c r="A316" s="110">
        <f>IF(E316="","",MATCH(E316,'Daily Sales'!B$4:B$51,0)+3)</f>
        <v>41</v>
      </c>
      <c r="B316" s="135">
        <v>46183</v>
      </c>
      <c r="C316" s="136" t="s">
        <v>100</v>
      </c>
      <c r="D316" s="137" t="str">
        <f t="array" ref="D316">IF($A316="","",INDEX('Daily Sales'!A:A,$A316))</f>
        <v>1-1217</v>
      </c>
      <c r="E316" s="138" t="s">
        <v>55</v>
      </c>
      <c r="F316" s="139" t="str">
        <f t="shared" si="3"/>
        <v>BCA debt</v>
      </c>
      <c r="G316" s="140"/>
      <c r="H316" s="138">
        <f t="array" ref="H316">IF($A316="","",
  IF(
    OR(
      $A316=23,
      AND($A316&gt;=32,$A316&lt;=50)
    ),
    IFERROR(
      INDEX('Daily Sales'!$C:$AG,
        $A316,
        MATCH(TEXT($B316,"0"),TEXT('Daily Sales'!$C$2:$AG$2,"0"),0)
      ),
    ""),
  "")
)</f>
        <v>0</v>
      </c>
      <c r="I316" s="138" t="str">
        <f t="array" ref="I316">IF($A316="","",
  IF(
    OR(
      AND($A316&gt;=4,$A316&lt;=8),
      AND($A316&gt;=12,$A316&lt;=19),
      AND($A316&gt;=28,$A316&lt;=29)
    ),
    IFERROR(
      INDEX('Daily Sales'!$C:$AG,
        $A316,
        MATCH(TEXT($B316,"0"),TEXT('Daily Sales'!$C$2:$AG$2,"0"),0)
      ),
    ""),
  "")
)</f>
        <v/>
      </c>
      <c r="J316" s="79" t="e">
        <f t="shared" si="4"/>
        <v>#VALUE!</v>
      </c>
      <c r="K316" s="141"/>
      <c r="L316" s="81"/>
      <c r="M316" s="141"/>
      <c r="N316" s="133"/>
      <c r="O316" s="4"/>
      <c r="P316" s="4"/>
      <c r="Q316" s="4"/>
      <c r="R316" s="109"/>
      <c r="S316" s="109"/>
      <c r="T316" s="108"/>
      <c r="U316" s="110"/>
      <c r="V316" s="110"/>
      <c r="W316" s="110"/>
      <c r="X316" s="110"/>
    </row>
    <row r="317" spans="1:24" ht="13.5" customHeight="1">
      <c r="A317" s="110">
        <f>IF(E317="","",MATCH(E317,'Daily Sales'!B$4:B$51,0)+3)</f>
        <v>42</v>
      </c>
      <c r="B317" s="135">
        <v>46183</v>
      </c>
      <c r="C317" s="136" t="s">
        <v>100</v>
      </c>
      <c r="D317" s="137" t="str">
        <f t="array" ref="D317">IF($A317="","",INDEX('Daily Sales'!A:A,$A317))</f>
        <v>1-1217</v>
      </c>
      <c r="E317" s="138" t="s">
        <v>56</v>
      </c>
      <c r="F317" s="139" t="str">
        <f t="shared" si="3"/>
        <v>BCA QR</v>
      </c>
      <c r="G317" s="140"/>
      <c r="H317" s="138">
        <f t="array" ref="H317">IF($A317="","",
  IF(
    OR(
      $A317=23,
      AND($A317&gt;=32,$A317&lt;=50)
    ),
    IFERROR(
      INDEX('Daily Sales'!$C:$AG,
        $A317,
        MATCH(TEXT($B317,"0"),TEXT('Daily Sales'!$C$2:$AG$2,"0"),0)
      ),
    ""),
  "")
)</f>
        <v>170665</v>
      </c>
      <c r="I317" s="138" t="str">
        <f t="array" ref="I317">IF($A317="","",
  IF(
    OR(
      AND($A317&gt;=4,$A317&lt;=8),
      AND($A317&gt;=12,$A317&lt;=19),
      AND($A317&gt;=28,$A317&lt;=29)
    ),
    IFERROR(
      INDEX('Daily Sales'!$C:$AG,
        $A317,
        MATCH(TEXT($B317,"0"),TEXT('Daily Sales'!$C$2:$AG$2,"0"),0)
      ),
    ""),
  "")
)</f>
        <v/>
      </c>
      <c r="J317" s="79" t="e">
        <f t="shared" si="4"/>
        <v>#VALUE!</v>
      </c>
      <c r="K317" s="141"/>
      <c r="L317" s="81"/>
      <c r="M317" s="141"/>
      <c r="N317" s="133"/>
      <c r="O317" s="4"/>
      <c r="P317" s="4"/>
      <c r="Q317" s="4"/>
      <c r="R317" s="109"/>
      <c r="S317" s="109"/>
      <c r="T317" s="108"/>
      <c r="U317" s="110"/>
      <c r="V317" s="110"/>
      <c r="W317" s="110"/>
      <c r="X317" s="110"/>
    </row>
    <row r="318" spans="1:24" ht="13.5" customHeight="1">
      <c r="A318" s="110">
        <f>IF(E318="","",MATCH(E318,'Daily Sales'!B$4:B$51,0)+3)</f>
        <v>43</v>
      </c>
      <c r="B318" s="135">
        <v>46183</v>
      </c>
      <c r="C318" s="136" t="s">
        <v>100</v>
      </c>
      <c r="D318" s="137" t="str">
        <f t="array" ref="D318">IF($A318="","",INDEX('Daily Sales'!A:A,$A318))</f>
        <v>1-1214</v>
      </c>
      <c r="E318" s="138" t="s">
        <v>59</v>
      </c>
      <c r="F318" s="139" t="str">
        <f t="shared" si="3"/>
        <v>Bank BRI DEBET</v>
      </c>
      <c r="G318" s="140"/>
      <c r="H318" s="138">
        <f t="array" ref="H318">IF($A318="","",
  IF(
    OR(
      $A318=23,
      AND($A318&gt;=32,$A318&lt;=50)
    ),
    IFERROR(
      INDEX('Daily Sales'!$C:$AG,
        $A318,
        MATCH(TEXT($B318,"0"),TEXT('Daily Sales'!$C$2:$AG$2,"0"),0)
      ),
    ""),
  "")
)</f>
        <v>0</v>
      </c>
      <c r="I318" s="138" t="str">
        <f t="array" ref="I318">IF($A318="","",
  IF(
    OR(
      AND($A318&gt;=4,$A318&lt;=8),
      AND($A318&gt;=12,$A318&lt;=19),
      AND($A318&gt;=28,$A318&lt;=29)
    ),
    IFERROR(
      INDEX('Daily Sales'!$C:$AG,
        $A318,
        MATCH(TEXT($B318,"0"),TEXT('Daily Sales'!$C$2:$AG$2,"0"),0)
      ),
    ""),
  "")
)</f>
        <v/>
      </c>
      <c r="J318" s="79" t="e">
        <f t="shared" si="4"/>
        <v>#VALUE!</v>
      </c>
      <c r="K318" s="141"/>
      <c r="L318" s="81"/>
      <c r="M318" s="141"/>
      <c r="N318" s="133"/>
      <c r="O318" s="4"/>
      <c r="P318" s="4"/>
      <c r="Q318" s="4"/>
      <c r="R318" s="109"/>
      <c r="S318" s="109"/>
      <c r="T318" s="108"/>
      <c r="U318" s="110"/>
      <c r="V318" s="110"/>
      <c r="W318" s="110"/>
      <c r="X318" s="110"/>
    </row>
    <row r="319" spans="1:24" ht="13.5" customHeight="1">
      <c r="A319" s="110">
        <f>IF(E319="","",MATCH(E319,'Daily Sales'!B$4:B$51,0)+3)</f>
        <v>44</v>
      </c>
      <c r="B319" s="135">
        <v>46183</v>
      </c>
      <c r="C319" s="136" t="s">
        <v>100</v>
      </c>
      <c r="D319" s="137" t="str">
        <f t="array" ref="D319">IF($A319="","",INDEX('Daily Sales'!A:A,$A319))</f>
        <v>1-1214</v>
      </c>
      <c r="E319" s="138" t="s">
        <v>60</v>
      </c>
      <c r="F319" s="139" t="str">
        <f t="shared" si="3"/>
        <v>Bank BRI CC</v>
      </c>
      <c r="G319" s="140"/>
      <c r="H319" s="138">
        <f t="array" ref="H319">IF($A319="","",
  IF(
    OR(
      $A319=23,
      AND($A319&gt;=32,$A319&lt;=50)
    ),
    IFERROR(
      INDEX('Daily Sales'!$C:$AG,
        $A319,
        MATCH(TEXT($B319,"0"),TEXT('Daily Sales'!$C$2:$AG$2,"0"),0)
      ),
    ""),
  "")
)</f>
        <v>317790</v>
      </c>
      <c r="I319" s="138" t="str">
        <f t="array" ref="I319">IF($A319="","",
  IF(
    OR(
      AND($A319&gt;=4,$A319&lt;=8),
      AND($A319&gt;=12,$A319&lt;=19),
      AND($A319&gt;=28,$A319&lt;=29)
    ),
    IFERROR(
      INDEX('Daily Sales'!$C:$AG,
        $A319,
        MATCH(TEXT($B319,"0"),TEXT('Daily Sales'!$C$2:$AG$2,"0"),0)
      ),
    ""),
  "")
)</f>
        <v/>
      </c>
      <c r="J319" s="79" t="e">
        <f t="shared" si="4"/>
        <v>#VALUE!</v>
      </c>
      <c r="K319" s="141"/>
      <c r="L319" s="81"/>
      <c r="M319" s="141"/>
      <c r="N319" s="133"/>
      <c r="O319" s="4"/>
      <c r="P319" s="4"/>
      <c r="Q319" s="4"/>
      <c r="R319" s="109"/>
      <c r="S319" s="109"/>
      <c r="T319" s="108"/>
      <c r="U319" s="110"/>
      <c r="V319" s="110"/>
      <c r="W319" s="110"/>
      <c r="X319" s="110"/>
    </row>
    <row r="320" spans="1:24" ht="13.5" customHeight="1">
      <c r="A320" s="110">
        <f>IF(E320="","",MATCH(E320,'Daily Sales'!B$4:B$51,0)+3)</f>
        <v>45</v>
      </c>
      <c r="B320" s="135">
        <v>46183</v>
      </c>
      <c r="C320" s="136" t="s">
        <v>100</v>
      </c>
      <c r="D320" s="137" t="str">
        <f t="array" ref="D320">IF($A320="","",INDEX('Daily Sales'!A:A,$A320))</f>
        <v>1-1214</v>
      </c>
      <c r="E320" s="138" t="s">
        <v>61</v>
      </c>
      <c r="F320" s="139" t="str">
        <f t="shared" si="3"/>
        <v>Bank BRI QR</v>
      </c>
      <c r="G320" s="140"/>
      <c r="H320" s="138">
        <f t="array" ref="H320">IF($A320="","",
  IF(
    OR(
      $A320=23,
      AND($A320&gt;=32,$A320&lt;=50)
    ),
    IFERROR(
      INDEX('Daily Sales'!$C:$AG,
        $A320,
        MATCH(TEXT($B320,"0"),TEXT('Daily Sales'!$C$2:$AG$2,"0"),0)
      ),
    ""),
  "")
)</f>
        <v>0</v>
      </c>
      <c r="I320" s="138" t="str">
        <f t="array" ref="I320">IF($A320="","",
  IF(
    OR(
      AND($A320&gt;=4,$A320&lt;=8),
      AND($A320&gt;=12,$A320&lt;=19),
      AND($A320&gt;=28,$A320&lt;=29)
    ),
    IFERROR(
      INDEX('Daily Sales'!$C:$AG,
        $A320,
        MATCH(TEXT($B320,"0"),TEXT('Daily Sales'!$C$2:$AG$2,"0"),0)
      ),
    ""),
  "")
)</f>
        <v/>
      </c>
      <c r="J320" s="79" t="e">
        <f t="shared" si="4"/>
        <v>#VALUE!</v>
      </c>
      <c r="K320" s="141"/>
      <c r="L320" s="81"/>
      <c r="M320" s="141"/>
      <c r="N320" s="133"/>
      <c r="O320" s="4"/>
      <c r="P320" s="4"/>
      <c r="Q320" s="4"/>
      <c r="R320" s="109"/>
      <c r="S320" s="109"/>
      <c r="T320" s="108"/>
      <c r="U320" s="110"/>
      <c r="V320" s="110"/>
      <c r="W320" s="110"/>
      <c r="X320" s="110"/>
    </row>
    <row r="321" spans="1:24" ht="13.5" customHeight="1">
      <c r="A321" s="110">
        <f>IF(E321="","",MATCH(E321,'Daily Sales'!B$4:B$51,0)+3)</f>
        <v>46</v>
      </c>
      <c r="B321" s="135">
        <v>46183</v>
      </c>
      <c r="C321" s="136" t="s">
        <v>100</v>
      </c>
      <c r="D321" s="137" t="str">
        <f t="array" ref="D321">IF($A321="","",INDEX('Daily Sales'!A:A,$A321))</f>
        <v>1-1202</v>
      </c>
      <c r="E321" s="138" t="s">
        <v>64</v>
      </c>
      <c r="F321" s="139" t="str">
        <f t="shared" si="3"/>
        <v>Ledger</v>
      </c>
      <c r="G321" s="140"/>
      <c r="H321" s="138">
        <f t="array" ref="H321">IF($A321="","",
  IF(
    OR(
      $A321=23,
      AND($A321&gt;=32,$A321&lt;=50)
    ),
    IFERROR(
      INDEX('Daily Sales'!$C:$AG,
        $A321,
        MATCH(TEXT($B321,"0"),TEXT('Daily Sales'!$C$2:$AG$2,"0"),0)
      ),
    ""),
  "")
)</f>
        <v>188320</v>
      </c>
      <c r="I321" s="138" t="str">
        <f t="array" ref="I321">IF($A321="","",
  IF(
    OR(
      AND($A321&gt;=4,$A321&lt;=8),
      AND($A321&gt;=12,$A321&lt;=19),
      AND($A321&gt;=28,$A321&lt;=29)
    ),
    IFERROR(
      INDEX('Daily Sales'!$C:$AG,
        $A321,
        MATCH(TEXT($B321,"0"),TEXT('Daily Sales'!$C$2:$AG$2,"0"),0)
      ),
    ""),
  "")
)</f>
        <v/>
      </c>
      <c r="J321" s="79" t="e">
        <f t="shared" si="4"/>
        <v>#VALUE!</v>
      </c>
      <c r="K321" s="141"/>
      <c r="L321" s="81"/>
      <c r="M321" s="141"/>
      <c r="N321" s="133"/>
      <c r="O321" s="4"/>
      <c r="P321" s="4"/>
      <c r="Q321" s="4"/>
      <c r="R321" s="109"/>
      <c r="S321" s="109"/>
      <c r="T321" s="108"/>
      <c r="U321" s="110"/>
      <c r="V321" s="110"/>
      <c r="W321" s="110"/>
      <c r="X321" s="110"/>
    </row>
    <row r="322" spans="1:24" ht="13.5" customHeight="1">
      <c r="A322" s="110">
        <f>IF(E322="","",MATCH(E322,'Daily Sales'!B$4:B$51,0)+3)</f>
        <v>47</v>
      </c>
      <c r="B322" s="135">
        <v>46183</v>
      </c>
      <c r="C322" s="136" t="s">
        <v>100</v>
      </c>
      <c r="D322" s="137" t="str">
        <f t="array" ref="D322">IF($A322="","",INDEX('Daily Sales'!A:A,$A322))</f>
        <v>1-1129</v>
      </c>
      <c r="E322" s="138" t="s">
        <v>66</v>
      </c>
      <c r="F322" s="139" t="str">
        <f t="shared" si="3"/>
        <v>Star Points</v>
      </c>
      <c r="G322" s="140"/>
      <c r="H322" s="138">
        <f t="array" ref="H322">IF($A322="","",
  IF(
    OR(
      $A322=23,
      AND($A322&gt;=32,$A322&lt;=50)
    ),
    IFERROR(
      INDEX('Daily Sales'!$C:$AG,
        $A322,
        MATCH(TEXT($B322,"0"),TEXT('Daily Sales'!$C$2:$AG$2,"0"),0)
      ),
    ""),
  "")
)</f>
        <v>0</v>
      </c>
      <c r="I322" s="138" t="str">
        <f t="array" ref="I322">IF($A322="","",
  IF(
    OR(
      AND($A322&gt;=4,$A322&lt;=8),
      AND($A322&gt;=12,$A322&lt;=19),
      AND($A322&gt;=28,$A322&lt;=29)
    ),
    IFERROR(
      INDEX('Daily Sales'!$C:$AG,
        $A322,
        MATCH(TEXT($B322,"0"),TEXT('Daily Sales'!$C$2:$AG$2,"0"),0)
      ),
    ""),
  "")
)</f>
        <v/>
      </c>
      <c r="J322" s="79" t="e">
        <f t="shared" si="4"/>
        <v>#VALUE!</v>
      </c>
      <c r="K322" s="141"/>
      <c r="L322" s="81"/>
      <c r="M322" s="141"/>
      <c r="N322" s="133"/>
      <c r="O322" s="4"/>
      <c r="P322" s="4"/>
      <c r="Q322" s="4"/>
      <c r="R322" s="109"/>
      <c r="S322" s="109"/>
      <c r="T322" s="108"/>
      <c r="U322" s="110"/>
      <c r="V322" s="110"/>
      <c r="W322" s="110"/>
      <c r="X322" s="110"/>
    </row>
    <row r="323" spans="1:24" ht="13.5" customHeight="1">
      <c r="A323" s="110">
        <f>IF(E323="","",MATCH(E323,'Daily Sales'!B$4:B$51,0)+3)</f>
        <v>48</v>
      </c>
      <c r="B323" s="135">
        <v>46183</v>
      </c>
      <c r="C323" s="136" t="s">
        <v>100</v>
      </c>
      <c r="D323" s="137" t="str">
        <f t="array" ref="D323">IF($A323="","",INDEX('Daily Sales'!A:A,$A323))</f>
        <v>1-1215</v>
      </c>
      <c r="E323" s="138" t="s">
        <v>68</v>
      </c>
      <c r="F323" s="139" t="str">
        <f t="shared" si="3"/>
        <v>Ovo</v>
      </c>
      <c r="G323" s="140"/>
      <c r="H323" s="138">
        <f t="array" ref="H323">IF($A323="","",
  IF(
    OR(
      $A323=23,
      AND($A323&gt;=32,$A323&lt;=50)
    ),
    IFERROR(
      INDEX('Daily Sales'!$C:$AG,
        $A323,
        MATCH(TEXT($B323,"0"),TEXT('Daily Sales'!$C$2:$AG$2,"0"),0)
      ),
    ""),
  "")
)</f>
        <v>0</v>
      </c>
      <c r="I323" s="138" t="str">
        <f t="array" ref="I323">IF($A323="","",
  IF(
    OR(
      AND($A323&gt;=4,$A323&lt;=8),
      AND($A323&gt;=12,$A323&lt;=19),
      AND($A323&gt;=28,$A323&lt;=29)
    ),
    IFERROR(
      INDEX('Daily Sales'!$C:$AG,
        $A323,
        MATCH(TEXT($B323,"0"),TEXT('Daily Sales'!$C$2:$AG$2,"0"),0)
      ),
    ""),
  "")
)</f>
        <v/>
      </c>
      <c r="J323" s="79" t="e">
        <f t="shared" si="4"/>
        <v>#VALUE!</v>
      </c>
      <c r="K323" s="141"/>
      <c r="L323" s="81"/>
      <c r="M323" s="141"/>
      <c r="N323" s="133"/>
      <c r="O323" s="4"/>
      <c r="P323" s="4"/>
      <c r="Q323" s="4"/>
      <c r="R323" s="109"/>
      <c r="S323" s="109"/>
      <c r="T323" s="108"/>
      <c r="U323" s="110"/>
      <c r="V323" s="110"/>
      <c r="W323" s="110"/>
      <c r="X323" s="110"/>
    </row>
    <row r="324" spans="1:24" ht="13.5" customHeight="1">
      <c r="A324" s="110">
        <f>IF(E324="","",MATCH(E324,'Daily Sales'!B$4:B$51,0)+3)</f>
        <v>49</v>
      </c>
      <c r="B324" s="135">
        <v>46183</v>
      </c>
      <c r="C324" s="136" t="s">
        <v>100</v>
      </c>
      <c r="D324" s="137" t="str">
        <f t="array" ref="D324">IF($A324="","",INDEX('Daily Sales'!A:A,$A324))</f>
        <v>1-1211</v>
      </c>
      <c r="E324" s="138" t="s">
        <v>70</v>
      </c>
      <c r="F324" s="139" t="str">
        <f t="shared" si="3"/>
        <v>Gopay</v>
      </c>
      <c r="G324" s="140"/>
      <c r="H324" s="138">
        <f t="array" ref="H324">IF($A324="","",
  IF(
    OR(
      $A324=23,
      AND($A324&gt;=32,$A324&lt;=50)
    ),
    IFERROR(
      INDEX('Daily Sales'!$C:$AG,
        $A324,
        MATCH(TEXT($B324,"0"),TEXT('Daily Sales'!$C$2:$AG$2,"0"),0)
      ),
    ""),
  "")
)</f>
        <v>0</v>
      </c>
      <c r="I324" s="138" t="str">
        <f t="array" ref="I324">IF($A324="","",
  IF(
    OR(
      AND($A324&gt;=4,$A324&lt;=8),
      AND($A324&gt;=12,$A324&lt;=19),
      AND($A324&gt;=28,$A324&lt;=29)
    ),
    IFERROR(
      INDEX('Daily Sales'!$C:$AG,
        $A324,
        MATCH(TEXT($B324,"0"),TEXT('Daily Sales'!$C$2:$AG$2,"0"),0)
      ),
    ""),
  "")
)</f>
        <v/>
      </c>
      <c r="J324" s="79" t="e">
        <f t="shared" si="4"/>
        <v>#VALUE!</v>
      </c>
      <c r="K324" s="141"/>
      <c r="L324" s="81"/>
      <c r="M324" s="141"/>
      <c r="N324" s="133"/>
      <c r="O324" s="4"/>
      <c r="P324" s="4"/>
      <c r="Q324" s="4"/>
      <c r="R324" s="109"/>
      <c r="S324" s="109"/>
      <c r="T324" s="108"/>
      <c r="U324" s="110"/>
      <c r="V324" s="110"/>
      <c r="W324" s="110"/>
      <c r="X324" s="110"/>
    </row>
    <row r="325" spans="1:24" ht="13.5" customHeight="1">
      <c r="A325" s="110">
        <f>IF(E325="","",MATCH(E325,'Daily Sales'!B$4:B$51,0)+3)</f>
        <v>50</v>
      </c>
      <c r="B325" s="135">
        <v>46183</v>
      </c>
      <c r="C325" s="136" t="s">
        <v>100</v>
      </c>
      <c r="D325" s="137" t="str">
        <f t="array" ref="D325">IF($A325="","",INDEX('Daily Sales'!A:A,$A325))</f>
        <v>2-2110</v>
      </c>
      <c r="E325" s="138" t="s">
        <v>72</v>
      </c>
      <c r="F325" s="139" t="str">
        <f t="shared" si="3"/>
        <v>Cash Short/Over</v>
      </c>
      <c r="G325" s="140"/>
      <c r="H325" s="138">
        <f t="array" ref="H325">IF($A325="","",
  IF(
    OR(
      $A325=23,
      AND($A325&gt;=32,$A325&lt;=50)
    ),
    IFERROR(
      INDEX('Daily Sales'!$C:$AG,
        $A325,
        MATCH(TEXT($B325,"0"),TEXT('Daily Sales'!$C$2:$AG$2,"0"),0)
      ),
    ""),
  "")
)</f>
        <v>-0.12</v>
      </c>
      <c r="I325" s="138" t="str">
        <f t="array" ref="I325">IF($A325="","",
  IF(
    OR(
      AND($A325&gt;=4,$A325&lt;=8),
      AND($A325&gt;=12,$A325&lt;=19),
      AND($A325&gt;=28,$A325&lt;=29)
    ),
    IFERROR(
      INDEX('Daily Sales'!$C:$AG,
        $A325,
        MATCH(TEXT($B325,"0"),TEXT('Daily Sales'!$C$2:$AG$2,"0"),0)
      ),
    ""),
  "")
)</f>
        <v/>
      </c>
      <c r="J325" s="79" t="e">
        <f t="shared" si="4"/>
        <v>#VALUE!</v>
      </c>
      <c r="K325" s="141"/>
      <c r="L325" s="81"/>
      <c r="M325" s="141"/>
      <c r="N325" s="133"/>
      <c r="O325" s="4"/>
      <c r="P325" s="4"/>
      <c r="Q325" s="4"/>
      <c r="R325" s="109"/>
      <c r="S325" s="109"/>
      <c r="T325" s="108"/>
      <c r="U325" s="110"/>
      <c r="V325" s="110"/>
      <c r="W325" s="110"/>
      <c r="X325" s="110"/>
    </row>
    <row r="326" spans="1:24" ht="13.5" customHeight="1">
      <c r="A326" s="110" t="str">
        <f>IF(E326="","",MATCH(E326,'Daily Sales'!B$4:B$51,0)+3)</f>
        <v/>
      </c>
      <c r="B326" s="135"/>
      <c r="C326" s="136"/>
      <c r="D326" s="137" t="str">
        <f t="array" ref="D326">IF($A326="","",INDEX('Daily Sales'!A:A,$A326))</f>
        <v/>
      </c>
      <c r="E326" s="138"/>
      <c r="F326" s="139">
        <f t="shared" si="3"/>
        <v>0</v>
      </c>
      <c r="G326" s="140"/>
      <c r="H326" s="138" t="str">
        <f t="array" ref="H326">IF($A326="","",
  IF(
    OR(
      $A326=23,
      AND($A326&gt;=32,$A326&lt;=50)
    ),
    IFERROR(
      INDEX('Daily Sales'!$C:$AG,
        $A326,
        MATCH(TEXT($B326,"0"),TEXT('Daily Sales'!$C$2:$AG$2,"0"),0)
      ),
    ""),
  "")
)</f>
        <v/>
      </c>
      <c r="I326" s="138" t="str">
        <f t="array" ref="I326">IF($A326="","",
  IF(
    OR(
      AND($A326&gt;=4,$A326&lt;=8),
      AND($A326&gt;=12,$A326&lt;=19),
      AND($A326&gt;=28,$A326&lt;=29)
    ),
    IFERROR(
      INDEX('Daily Sales'!$C:$AG,
        $A326,
        MATCH(TEXT($B326,"0"),TEXT('Daily Sales'!$C$2:$AG$2,"0"),0)
      ),
    ""),
  "")
)</f>
        <v/>
      </c>
      <c r="J326" s="79" t="e">
        <f t="shared" si="4"/>
        <v>#VALUE!</v>
      </c>
      <c r="K326" s="141"/>
      <c r="L326" s="81"/>
      <c r="M326" s="141"/>
      <c r="N326" s="133"/>
      <c r="O326" s="4"/>
      <c r="P326" s="4"/>
      <c r="Q326" s="4"/>
      <c r="R326" s="109"/>
      <c r="S326" s="109"/>
      <c r="T326" s="108"/>
      <c r="U326" s="110"/>
      <c r="V326" s="110"/>
      <c r="W326" s="110"/>
      <c r="X326" s="110"/>
    </row>
    <row r="327" spans="1:24" ht="13.5" customHeight="1">
      <c r="A327" s="110">
        <f>IF(E327="","",MATCH(E327,'Daily Sales'!B$4:B$51,0)+3)</f>
        <v>4</v>
      </c>
      <c r="B327" s="135">
        <v>46184</v>
      </c>
      <c r="C327" s="136" t="s">
        <v>101</v>
      </c>
      <c r="D327" s="137" t="str">
        <f t="array" ref="D327">IF($A327="","",INDEX('Daily Sales'!A:A,$A327))</f>
        <v>4-2100</v>
      </c>
      <c r="E327" s="138" t="s">
        <v>5</v>
      </c>
      <c r="F327" s="139" t="str">
        <f t="shared" si="3"/>
        <v>Sales Food TERRACE</v>
      </c>
      <c r="G327" s="140"/>
      <c r="H327" s="138" t="str">
        <f t="array" ref="H327">IF($A327="","",
  IF(
    OR(
      $A327=23,
      AND($A327&gt;=32,$A327&lt;=50)
    ),
    IFERROR(
      INDEX('Daily Sales'!$C:$AG,
        $A327,
        MATCH(TEXT($B327,"0"),TEXT('Daily Sales'!$C$2:$AG$2,"0"),0)
      ),
    ""),
  "")
)</f>
        <v/>
      </c>
      <c r="I327" s="138">
        <f t="array" ref="I327">IF($A327="","",
  IF(
    OR(
      AND($A327&gt;=4,$A327&lt;=8),
      AND($A327&gt;=12,$A327&lt;=19),
      AND($A327&gt;=28,$A327&lt;=29)
    ),
    IFERROR(
      INDEX('Daily Sales'!$C:$AG,
        $A327,
        MATCH(TEXT($B327,"0"),TEXT('Daily Sales'!$C$2:$AG$2,"0"),0)
      ),
    ""),
  "")
)</f>
        <v>5400000</v>
      </c>
      <c r="J327" s="79" t="e">
        <f t="shared" si="4"/>
        <v>#VALUE!</v>
      </c>
      <c r="K327" s="141"/>
      <c r="L327" s="81"/>
      <c r="M327" s="141"/>
      <c r="N327" s="133"/>
      <c r="O327" s="4"/>
      <c r="P327" s="4"/>
      <c r="Q327" s="4"/>
      <c r="R327" s="109"/>
      <c r="S327" s="109"/>
      <c r="T327" s="108"/>
      <c r="U327" s="110"/>
      <c r="V327" s="110"/>
      <c r="W327" s="110"/>
      <c r="X327" s="110"/>
    </row>
    <row r="328" spans="1:24" ht="13.5" customHeight="1">
      <c r="A328" s="110">
        <f>IF(E328="","",MATCH(E328,'Daily Sales'!B$4:B$51,0)+3)</f>
        <v>5</v>
      </c>
      <c r="B328" s="135">
        <v>46184</v>
      </c>
      <c r="C328" s="136" t="s">
        <v>101</v>
      </c>
      <c r="D328" s="137" t="str">
        <f t="array" ref="D328">IF($A328="","",INDEX('Daily Sales'!A:A,$A328))</f>
        <v>4-2200</v>
      </c>
      <c r="E328" s="138" t="s">
        <v>7</v>
      </c>
      <c r="F328" s="139" t="str">
        <f t="shared" si="3"/>
        <v>Sales Beverages TERRACE</v>
      </c>
      <c r="G328" s="140"/>
      <c r="H328" s="138" t="str">
        <f t="array" ref="H328">IF($A328="","",
  IF(
    OR(
      $A328=23,
      AND($A328&gt;=32,$A328&lt;=50)
    ),
    IFERROR(
      INDEX('Daily Sales'!$C:$AG,
        $A328,
        MATCH(TEXT($B328,"0"),TEXT('Daily Sales'!$C$2:$AG$2,"0"),0)
      ),
    ""),
  "")
)</f>
        <v/>
      </c>
      <c r="I328" s="138">
        <f t="array" ref="I328">IF($A328="","",
  IF(
    OR(
      AND($A328&gt;=4,$A328&lt;=8),
      AND($A328&gt;=12,$A328&lt;=19),
      AND($A328&gt;=28,$A328&lt;=29)
    ),
    IFERROR(
      INDEX('Daily Sales'!$C:$AG,
        $A328,
        MATCH(TEXT($B328,"0"),TEXT('Daily Sales'!$C$2:$AG$2,"0"),0)
      ),
    ""),
  "")
)</f>
        <v>5150000</v>
      </c>
      <c r="J328" s="79" t="e">
        <f t="shared" si="4"/>
        <v>#VALUE!</v>
      </c>
      <c r="K328" s="141"/>
      <c r="L328" s="81"/>
      <c r="M328" s="141"/>
      <c r="N328" s="133"/>
      <c r="O328" s="4"/>
      <c r="P328" s="4"/>
      <c r="Q328" s="4"/>
      <c r="R328" s="109"/>
      <c r="S328" s="109"/>
      <c r="T328" s="108"/>
      <c r="U328" s="110"/>
      <c r="V328" s="110"/>
      <c r="W328" s="110"/>
      <c r="X328" s="110"/>
    </row>
    <row r="329" spans="1:24" ht="13.5" customHeight="1">
      <c r="A329" s="110">
        <f>IF(E329="","",MATCH(E329,'Daily Sales'!B$4:B$51,0)+3)</f>
        <v>6</v>
      </c>
      <c r="B329" s="135">
        <v>46184</v>
      </c>
      <c r="C329" s="136" t="s">
        <v>101</v>
      </c>
      <c r="D329" s="137" t="str">
        <f t="array" ref="D329">IF($A329="","",INDEX('Daily Sales'!A:A,$A329))</f>
        <v>4-2400</v>
      </c>
      <c r="E329" s="138" t="s">
        <v>9</v>
      </c>
      <c r="F329" s="139" t="str">
        <f t="shared" si="3"/>
        <v>Sales Cigarette TERRACE</v>
      </c>
      <c r="G329" s="140"/>
      <c r="H329" s="138" t="str">
        <f t="array" ref="H329">IF($A329="","",
  IF(
    OR(
      $A329=23,
      AND($A329&gt;=32,$A329&lt;=50)
    ),
    IFERROR(
      INDEX('Daily Sales'!$C:$AG,
        $A329,
        MATCH(TEXT($B329,"0"),TEXT('Daily Sales'!$C$2:$AG$2,"0"),0)
      ),
    ""),
  "")
)</f>
        <v/>
      </c>
      <c r="I329" s="138">
        <f t="array" ref="I329">IF($A329="","",
  IF(
    OR(
      AND($A329&gt;=4,$A329&lt;=8),
      AND($A329&gt;=12,$A329&lt;=19),
      AND($A329&gt;=28,$A329&lt;=29)
    ),
    IFERROR(
      INDEX('Daily Sales'!$C:$AG,
        $A329,
        MATCH(TEXT($B329,"0"),TEXT('Daily Sales'!$C$2:$AG$2,"0"),0)
      ),
    ""),
  "")
)</f>
        <v>0</v>
      </c>
      <c r="J329" s="79" t="e">
        <f t="shared" si="4"/>
        <v>#VALUE!</v>
      </c>
      <c r="K329" s="141"/>
      <c r="L329" s="81"/>
      <c r="M329" s="141"/>
      <c r="N329" s="133"/>
      <c r="O329" s="4"/>
      <c r="P329" s="4"/>
      <c r="Q329" s="4"/>
      <c r="R329" s="109"/>
      <c r="S329" s="109"/>
      <c r="T329" s="108"/>
      <c r="U329" s="110"/>
      <c r="V329" s="110"/>
      <c r="W329" s="110"/>
      <c r="X329" s="110"/>
    </row>
    <row r="330" spans="1:24" ht="13.5" customHeight="1">
      <c r="A330" s="110">
        <f>IF(E330="","",MATCH(E330,'Daily Sales'!B$4:B$51,0)+3)</f>
        <v>7</v>
      </c>
      <c r="B330" s="135">
        <v>46184</v>
      </c>
      <c r="C330" s="136" t="s">
        <v>101</v>
      </c>
      <c r="D330" s="137" t="str">
        <f t="array" ref="D330">IF($A330="","",INDEX('Daily Sales'!A:A,$A330))</f>
        <v>4-2300</v>
      </c>
      <c r="E330" s="138" t="s">
        <v>11</v>
      </c>
      <c r="F330" s="139" t="str">
        <f t="shared" si="3"/>
        <v>Sales Shisa TERRACE</v>
      </c>
      <c r="G330" s="140"/>
      <c r="H330" s="138" t="str">
        <f t="array" ref="H330">IF($A330="","",
  IF(
    OR(
      $A330=23,
      AND($A330&gt;=32,$A330&lt;=50)
    ),
    IFERROR(
      INDEX('Daily Sales'!$C:$AG,
        $A330,
        MATCH(TEXT($B330,"0"),TEXT('Daily Sales'!$C$2:$AG$2,"0"),0)
      ),
    ""),
  "")
)</f>
        <v/>
      </c>
      <c r="I330" s="138">
        <f t="array" ref="I330">IF($A330="","",
  IF(
    OR(
      AND($A330&gt;=4,$A330&lt;=8),
      AND($A330&gt;=12,$A330&lt;=19),
      AND($A330&gt;=28,$A330&lt;=29)
    ),
    IFERROR(
      INDEX('Daily Sales'!$C:$AG,
        $A330,
        MATCH(TEXT($B330,"0"),TEXT('Daily Sales'!$C$2:$AG$2,"0"),0)
      ),
    ""),
  "")
)</f>
        <v>0</v>
      </c>
      <c r="J330" s="79" t="e">
        <f t="shared" si="4"/>
        <v>#VALUE!</v>
      </c>
      <c r="K330" s="141"/>
      <c r="L330" s="81"/>
      <c r="M330" s="141"/>
      <c r="N330" s="133"/>
      <c r="O330" s="4"/>
      <c r="P330" s="4"/>
      <c r="Q330" s="4"/>
      <c r="R330" s="109"/>
      <c r="S330" s="109"/>
      <c r="T330" s="108"/>
      <c r="U330" s="110"/>
      <c r="V330" s="110"/>
      <c r="W330" s="110"/>
      <c r="X330" s="110"/>
    </row>
    <row r="331" spans="1:24" ht="13.5" customHeight="1">
      <c r="A331" s="110">
        <f>IF(E331="","",MATCH(E331,'Daily Sales'!B$4:B$51,0)+3)</f>
        <v>12</v>
      </c>
      <c r="B331" s="135">
        <v>46184</v>
      </c>
      <c r="C331" s="136" t="s">
        <v>101</v>
      </c>
      <c r="D331" s="137" t="str">
        <f t="array" ref="D331">IF($A331="","",INDEX('Daily Sales'!A:A,$A331))</f>
        <v>4-2200</v>
      </c>
      <c r="E331" s="138" t="s">
        <v>17</v>
      </c>
      <c r="F331" s="139" t="str">
        <f t="shared" si="3"/>
        <v>Sales Beverages CLUB</v>
      </c>
      <c r="G331" s="140"/>
      <c r="H331" s="138" t="str">
        <f t="array" ref="H331">IF($A331="","",
  IF(
    OR(
      $A331=23,
      AND($A331&gt;=32,$A331&lt;=50)
    ),
    IFERROR(
      INDEX('Daily Sales'!$C:$AG,
        $A331,
        MATCH(TEXT($B331,"0"),TEXT('Daily Sales'!$C$2:$AG$2,"0"),0)
      ),
    ""),
  "")
)</f>
        <v/>
      </c>
      <c r="I331" s="138">
        <f t="array" ref="I331">IF($A331="","",
  IF(
    OR(
      AND($A331&gt;=4,$A331&lt;=8),
      AND($A331&gt;=12,$A331&lt;=19),
      AND($A331&gt;=28,$A331&lt;=29)
    ),
    IFERROR(
      INDEX('Daily Sales'!$C:$AG,
        $A331,
        MATCH(TEXT($B331,"0"),TEXT('Daily Sales'!$C$2:$AG$2,"0"),0)
      ),
    ""),
  "")
)</f>
        <v>23135000</v>
      </c>
      <c r="J331" s="79" t="e">
        <f t="shared" si="4"/>
        <v>#VALUE!</v>
      </c>
      <c r="K331" s="141"/>
      <c r="L331" s="81"/>
      <c r="M331" s="141"/>
      <c r="N331" s="133"/>
      <c r="O331" s="4"/>
      <c r="P331" s="4"/>
      <c r="Q331" s="4"/>
      <c r="R331" s="109"/>
      <c r="S331" s="109"/>
      <c r="T331" s="108"/>
      <c r="U331" s="110"/>
      <c r="V331" s="110"/>
      <c r="W331" s="110"/>
      <c r="X331" s="110"/>
    </row>
    <row r="332" spans="1:24" ht="13.5" customHeight="1">
      <c r="A332" s="110">
        <f>IF(E332="","",MATCH(E332,'Daily Sales'!B$4:B$51,0)+3)</f>
        <v>13</v>
      </c>
      <c r="B332" s="135">
        <v>46184</v>
      </c>
      <c r="C332" s="136" t="s">
        <v>101</v>
      </c>
      <c r="D332" s="137" t="str">
        <f t="array" ref="D332">IF($A332="","",INDEX('Daily Sales'!A:A,$A332))</f>
        <v>4-2400</v>
      </c>
      <c r="E332" s="138" t="s">
        <v>18</v>
      </c>
      <c r="F332" s="139" t="str">
        <f t="shared" si="3"/>
        <v>Sales Cigarette CLUB</v>
      </c>
      <c r="G332" s="140"/>
      <c r="H332" s="138" t="str">
        <f t="array" ref="H332">IF($A332="","",
  IF(
    OR(
      $A332=23,
      AND($A332&gt;=32,$A332&lt;=50)
    ),
    IFERROR(
      INDEX('Daily Sales'!$C:$AG,
        $A332,
        MATCH(TEXT($B332,"0"),TEXT('Daily Sales'!$C$2:$AG$2,"0"),0)
      ),
    ""),
  "")
)</f>
        <v/>
      </c>
      <c r="I332" s="138">
        <f t="array" ref="I332">IF($A332="","",
  IF(
    OR(
      AND($A332&gt;=4,$A332&lt;=8),
      AND($A332&gt;=12,$A332&lt;=19),
      AND($A332&gt;=28,$A332&lt;=29)
    ),
    IFERROR(
      INDEX('Daily Sales'!$C:$AG,
        $A332,
        MATCH(TEXT($B332,"0"),TEXT('Daily Sales'!$C$2:$AG$2,"0"),0)
      ),
    ""),
  "")
)</f>
        <v>560000</v>
      </c>
      <c r="J332" s="79" t="e">
        <f t="shared" si="4"/>
        <v>#VALUE!</v>
      </c>
      <c r="K332" s="141"/>
      <c r="L332" s="81"/>
      <c r="M332" s="141"/>
      <c r="N332" s="133"/>
      <c r="O332" s="4"/>
      <c r="P332" s="4"/>
      <c r="Q332" s="4"/>
      <c r="R332" s="109"/>
      <c r="S332" s="109"/>
      <c r="T332" s="108"/>
      <c r="U332" s="110"/>
      <c r="V332" s="110"/>
      <c r="W332" s="110"/>
      <c r="X332" s="110"/>
    </row>
    <row r="333" spans="1:24" ht="13.5" customHeight="1">
      <c r="A333" s="110">
        <f>IF(E333="","",MATCH(E333,'Daily Sales'!B$4:B$51,0)+3)</f>
        <v>14</v>
      </c>
      <c r="B333" s="135">
        <v>46184</v>
      </c>
      <c r="C333" s="136" t="s">
        <v>101</v>
      </c>
      <c r="D333" s="137" t="str">
        <f t="array" ref="D333">IF($A333="","",INDEX('Daily Sales'!A:A,$A333))</f>
        <v>4-2100</v>
      </c>
      <c r="E333" s="138" t="s">
        <v>19</v>
      </c>
      <c r="F333" s="139" t="str">
        <f t="shared" si="3"/>
        <v>Sales Food CLUB</v>
      </c>
      <c r="G333" s="140"/>
      <c r="H333" s="138" t="str">
        <f t="array" ref="H333">IF($A333="","",
  IF(
    OR(
      $A333=23,
      AND($A333&gt;=32,$A333&lt;=50)
    ),
    IFERROR(
      INDEX('Daily Sales'!$C:$AG,
        $A333,
        MATCH(TEXT($B333,"0"),TEXT('Daily Sales'!$C$2:$AG$2,"0"),0)
      ),
    ""),
  "")
)</f>
        <v/>
      </c>
      <c r="I333" s="138">
        <f t="array" ref="I333">IF($A333="","",
  IF(
    OR(
      AND($A333&gt;=4,$A333&lt;=8),
      AND($A333&gt;=12,$A333&lt;=19),
      AND($A333&gt;=28,$A333&lt;=29)
    ),
    IFERROR(
      INDEX('Daily Sales'!$C:$AG,
        $A333,
        MATCH(TEXT($B333,"0"),TEXT('Daily Sales'!$C$2:$AG$2,"0"),0)
      ),
    ""),
  "")
)</f>
        <v>300000</v>
      </c>
      <c r="J333" s="79" t="e">
        <f t="shared" si="4"/>
        <v>#VALUE!</v>
      </c>
      <c r="K333" s="141"/>
      <c r="L333" s="81"/>
      <c r="M333" s="141"/>
      <c r="N333" s="133"/>
      <c r="O333" s="4"/>
      <c r="P333" s="4"/>
      <c r="Q333" s="4"/>
      <c r="R333" s="109"/>
      <c r="S333" s="109"/>
      <c r="T333" s="108"/>
      <c r="U333" s="110"/>
      <c r="V333" s="110"/>
      <c r="W333" s="110"/>
      <c r="X333" s="110"/>
    </row>
    <row r="334" spans="1:24" ht="13.5" customHeight="1">
      <c r="A334" s="110">
        <f>IF(E334="","",MATCH(E334,'Daily Sales'!B$4:B$51,0)+3)</f>
        <v>15</v>
      </c>
      <c r="B334" s="135">
        <v>46184</v>
      </c>
      <c r="C334" s="136" t="s">
        <v>101</v>
      </c>
      <c r="D334" s="137" t="str">
        <f t="array" ref="D334">IF($A334="","",INDEX('Daily Sales'!A:A,$A334))</f>
        <v>4-2300</v>
      </c>
      <c r="E334" s="138" t="s">
        <v>20</v>
      </c>
      <c r="F334" s="139" t="str">
        <f t="shared" si="3"/>
        <v>Sales Shisa CLUB</v>
      </c>
      <c r="G334" s="140"/>
      <c r="H334" s="138" t="str">
        <f t="array" ref="H334">IF($A334="","",
  IF(
    OR(
      $A334=23,
      AND($A334&gt;=32,$A334&lt;=50)
    ),
    IFERROR(
      INDEX('Daily Sales'!$C:$AG,
        $A334,
        MATCH(TEXT($B334,"0"),TEXT('Daily Sales'!$C$2:$AG$2,"0"),0)
      ),
    ""),
  "")
)</f>
        <v/>
      </c>
      <c r="I334" s="138">
        <f t="array" ref="I334">IF($A334="","",
  IF(
    OR(
      AND($A334&gt;=4,$A334&lt;=8),
      AND($A334&gt;=12,$A334&lt;=19),
      AND($A334&gt;=28,$A334&lt;=29)
    ),
    IFERROR(
      INDEX('Daily Sales'!$C:$AG,
        $A334,
        MATCH(TEXT($B334,"0"),TEXT('Daily Sales'!$C$2:$AG$2,"0"),0)
      ),
    ""),
  "")
)</f>
        <v>0</v>
      </c>
      <c r="J334" s="79" t="e">
        <f t="shared" si="4"/>
        <v>#VALUE!</v>
      </c>
      <c r="K334" s="141"/>
      <c r="L334" s="81"/>
      <c r="M334" s="141"/>
      <c r="N334" s="133"/>
      <c r="O334" s="4"/>
      <c r="P334" s="4"/>
      <c r="Q334" s="4"/>
      <c r="R334" s="109"/>
      <c r="S334" s="109"/>
      <c r="T334" s="108"/>
      <c r="U334" s="110"/>
      <c r="V334" s="110"/>
      <c r="W334" s="110"/>
      <c r="X334" s="110"/>
    </row>
    <row r="335" spans="1:24" ht="13.5" customHeight="1">
      <c r="A335" s="110">
        <f>IF(E335="","",MATCH(E335,'Daily Sales'!B$4:B$51,0)+3)</f>
        <v>17</v>
      </c>
      <c r="B335" s="135">
        <v>46184</v>
      </c>
      <c r="C335" s="136" t="s">
        <v>101</v>
      </c>
      <c r="D335" s="137" t="str">
        <f t="array" ref="D335">IF($A335="","",INDEX('Daily Sales'!A:A,$A335))</f>
        <v>4-2601</v>
      </c>
      <c r="E335" s="138" t="s">
        <v>23</v>
      </c>
      <c r="F335" s="139" t="str">
        <f t="shared" si="3"/>
        <v xml:space="preserve">Misc </v>
      </c>
      <c r="G335" s="140"/>
      <c r="H335" s="138" t="str">
        <f t="array" ref="H335">IF($A335="","",
  IF(
    OR(
      $A335=23,
      AND($A335&gt;=32,$A335&lt;=50)
    ),
    IFERROR(
      INDEX('Daily Sales'!$C:$AG,
        $A335,
        MATCH(TEXT($B335,"0"),TEXT('Daily Sales'!$C$2:$AG$2,"0"),0)
      ),
    ""),
  "")
)</f>
        <v/>
      </c>
      <c r="I335" s="138">
        <f t="array" ref="I335">IF($A335="","",
  IF(
    OR(
      AND($A335&gt;=4,$A335&lt;=8),
      AND($A335&gt;=12,$A335&lt;=19),
      AND($A335&gt;=28,$A335&lt;=29)
    ),
    IFERROR(
      INDEX('Daily Sales'!$C:$AG,
        $A335,
        MATCH(TEXT($B335,"0"),TEXT('Daily Sales'!$C$2:$AG$2,"0"),0)
      ),
    ""),
  "")
)</f>
        <v>0</v>
      </c>
      <c r="J335" s="79" t="e">
        <f t="shared" si="4"/>
        <v>#VALUE!</v>
      </c>
      <c r="K335" s="141"/>
      <c r="L335" s="81"/>
      <c r="M335" s="141"/>
      <c r="N335" s="133"/>
      <c r="O335" s="4"/>
      <c r="P335" s="4"/>
      <c r="Q335" s="4"/>
      <c r="R335" s="109"/>
      <c r="S335" s="109"/>
      <c r="T335" s="108"/>
      <c r="U335" s="110"/>
      <c r="V335" s="110"/>
      <c r="W335" s="110"/>
      <c r="X335" s="110"/>
    </row>
    <row r="336" spans="1:24" ht="13.5" customHeight="1">
      <c r="A336" s="110">
        <f>IF(E336="","",MATCH(E336,'Daily Sales'!B$4:B$51,0)+3)</f>
        <v>19</v>
      </c>
      <c r="B336" s="135">
        <v>46184</v>
      </c>
      <c r="C336" s="136" t="s">
        <v>101</v>
      </c>
      <c r="D336" s="137" t="str">
        <f t="array" ref="D336">IF($A336="","",INDEX('Daily Sales'!A:A,$A336))</f>
        <v>4-2500</v>
      </c>
      <c r="E336" s="138" t="s">
        <v>26</v>
      </c>
      <c r="F336" s="139" t="str">
        <f t="shared" si="3"/>
        <v>Sales Ticket</v>
      </c>
      <c r="G336" s="140"/>
      <c r="H336" s="138" t="str">
        <f t="array" ref="H336">IF($A336="","",
  IF(
    OR(
      $A336=23,
      AND($A336&gt;=32,$A336&lt;=50)
    ),
    IFERROR(
      INDEX('Daily Sales'!$C:$AG,
        $A336,
        MATCH(TEXT($B336,"0"),TEXT('Daily Sales'!$C$2:$AG$2,"0"),0)
      ),
    ""),
  "")
)</f>
        <v/>
      </c>
      <c r="I336" s="138">
        <f t="array" ref="I336">IF($A336="","",
  IF(
    OR(
      AND($A336&gt;=4,$A336&lt;=8),
      AND($A336&gt;=12,$A336&lt;=19),
      AND($A336&gt;=28,$A336&lt;=29)
    ),
    IFERROR(
      INDEX('Daily Sales'!$C:$AG,
        $A336,
        MATCH(TEXT($B336,"0"),TEXT('Daily Sales'!$C$2:$AG$2,"0"),0)
      ),
    ""),
  "")
)</f>
        <v>13848806</v>
      </c>
      <c r="J336" s="79" t="e">
        <f t="shared" si="4"/>
        <v>#VALUE!</v>
      </c>
      <c r="K336" s="141"/>
      <c r="L336" s="81"/>
      <c r="M336" s="141"/>
      <c r="N336" s="133"/>
      <c r="O336" s="4"/>
      <c r="P336" s="4"/>
      <c r="Q336" s="4"/>
      <c r="R336" s="109"/>
      <c r="S336" s="109"/>
      <c r="T336" s="108"/>
      <c r="U336" s="110"/>
      <c r="V336" s="110"/>
      <c r="W336" s="110"/>
      <c r="X336" s="110"/>
    </row>
    <row r="337" spans="1:24" ht="13.5" customHeight="1">
      <c r="A337" s="110">
        <f>IF(E337="","",MATCH(E337,'Daily Sales'!B$4:B$51,0)+3)</f>
        <v>28</v>
      </c>
      <c r="B337" s="135">
        <v>46184</v>
      </c>
      <c r="C337" s="136" t="s">
        <v>101</v>
      </c>
      <c r="D337" s="137" t="str">
        <f t="array" ref="D337">IF($A337="","",INDEX('Daily Sales'!A:A,$A337))</f>
        <v>2-2106</v>
      </c>
      <c r="E337" s="138" t="s">
        <v>35</v>
      </c>
      <c r="F337" s="139" t="str">
        <f t="shared" si="3"/>
        <v>Service Charges 7%</v>
      </c>
      <c r="G337" s="140"/>
      <c r="H337" s="138" t="str">
        <f t="array" ref="H337">IF($A337="","",
  IF(
    OR(
      $A337=23,
      AND($A337&gt;=32,$A337&lt;=50)
    ),
    IFERROR(
      INDEX('Daily Sales'!$C:$AG,
        $A337,
        MATCH(TEXT($B337,"0"),TEXT('Daily Sales'!$C$2:$AG$2,"0"),0)
      ),
    ""),
  "")
)</f>
        <v/>
      </c>
      <c r="I337" s="138">
        <f t="array" ref="I337">IF($A337="","",
  IF(
    OR(
      AND($A337&gt;=4,$A337&lt;=8),
      AND($A337&gt;=12,$A337&lt;=19),
      AND($A337&gt;=28,$A337&lt;=29)
    ),
    IFERROR(
      INDEX('Daily Sales'!$C:$AG,
        $A337,
        MATCH(TEXT($B337,"0"),TEXT('Daily Sales'!$C$2:$AG$2,"0"),0)
      ),
    ""),
  "")
)</f>
        <v>3361001.4200000004</v>
      </c>
      <c r="J337" s="79" t="e">
        <f t="shared" si="4"/>
        <v>#VALUE!</v>
      </c>
      <c r="K337" s="141"/>
      <c r="L337" s="81"/>
      <c r="M337" s="141"/>
      <c r="N337" s="133"/>
      <c r="O337" s="4"/>
      <c r="P337" s="4"/>
      <c r="Q337" s="4"/>
      <c r="R337" s="109"/>
      <c r="S337" s="109"/>
      <c r="T337" s="108"/>
      <c r="U337" s="110"/>
      <c r="V337" s="110"/>
      <c r="W337" s="110"/>
      <c r="X337" s="110"/>
    </row>
    <row r="338" spans="1:24" ht="13.5" customHeight="1">
      <c r="A338" s="110">
        <f>IF(E338="","",MATCH(E338,'Daily Sales'!B$4:B$51,0)+3)</f>
        <v>29</v>
      </c>
      <c r="B338" s="135">
        <v>46184</v>
      </c>
      <c r="C338" s="136" t="s">
        <v>101</v>
      </c>
      <c r="D338" s="137" t="str">
        <f t="array" ref="D338">IF($A338="","",INDEX('Daily Sales'!A:A,$A338))</f>
        <v>2-3101</v>
      </c>
      <c r="E338" s="138" t="s">
        <v>37</v>
      </c>
      <c r="F338" s="139" t="str">
        <f t="shared" si="3"/>
        <v>Tax PB1 10%</v>
      </c>
      <c r="G338" s="140"/>
      <c r="H338" s="138" t="str">
        <f t="array" ref="H338">IF($A338="","",
  IF(
    OR(
      $A338=23,
      AND($A338&gt;=32,$A338&lt;=50)
    ),
    IFERROR(
      INDEX('Daily Sales'!$C:$AG,
        $A338,
        MATCH(TEXT($B338,"0"),TEXT('Daily Sales'!$C$2:$AG$2,"0"),0)
      ),
    ""),
  "")
)</f>
        <v/>
      </c>
      <c r="I338" s="138">
        <f t="array" ref="I338">IF($A338="","",
  IF(
    OR(
      AND($A338&gt;=4,$A338&lt;=8),
      AND($A338&gt;=12,$A338&lt;=19),
      AND($A338&gt;=28,$A338&lt;=29)
    ),
    IFERROR(
      INDEX('Daily Sales'!$C:$AG,
        $A338,
        MATCH(TEXT($B338,"0"),TEXT('Daily Sales'!$C$2:$AG$2,"0"),0)
      ),
    ""),
  "")
)</f>
        <v>5137530.7420000006</v>
      </c>
      <c r="J338" s="79" t="e">
        <f t="shared" si="4"/>
        <v>#VALUE!</v>
      </c>
      <c r="K338" s="141"/>
      <c r="L338" s="81"/>
      <c r="M338" s="141"/>
      <c r="N338" s="133"/>
      <c r="O338" s="4"/>
      <c r="P338" s="4"/>
      <c r="Q338" s="4"/>
      <c r="R338" s="109"/>
      <c r="S338" s="109"/>
      <c r="T338" s="108"/>
      <c r="U338" s="110"/>
      <c r="V338" s="110"/>
      <c r="W338" s="110"/>
      <c r="X338" s="110"/>
    </row>
    <row r="339" spans="1:24" ht="13.5" customHeight="1">
      <c r="A339" s="110">
        <f>IF(E339="","",MATCH(E339,'Daily Sales'!B$4:B$51,0)+3)</f>
        <v>23</v>
      </c>
      <c r="B339" s="135">
        <v>46184</v>
      </c>
      <c r="C339" s="136" t="s">
        <v>101</v>
      </c>
      <c r="D339" s="137" t="str">
        <f t="array" ref="D339">IF($A339="","",INDEX('Daily Sales'!A:A,$A339))</f>
        <v>4-5110</v>
      </c>
      <c r="E339" s="138" t="s">
        <v>30</v>
      </c>
      <c r="F339" s="139" t="str">
        <f t="shared" si="3"/>
        <v>Discount</v>
      </c>
      <c r="G339" s="140"/>
      <c r="H339" s="138">
        <f t="array" ref="H339">IF($A339="","",
  IF(
    OR(
      $A339=23,
      AND($A339&gt;=32,$A339&lt;=50)
    ),
    IFERROR(
      INDEX('Daily Sales'!$C:$AG,
        $A339,
        MATCH(TEXT($B339,"0"),TEXT('Daily Sales'!$C$2:$AG$2,"0"),0)
      ),
    ""),
  "")
)</f>
        <v>379500</v>
      </c>
      <c r="I339" s="138" t="str">
        <f t="array" ref="I339">IF($A339="","",
  IF(
    OR(
      AND($A339&gt;=4,$A339&lt;=8),
      AND($A339&gt;=12,$A339&lt;=19),
      AND($A339&gt;=28,$A339&lt;=29)
    ),
    IFERROR(
      INDEX('Daily Sales'!$C:$AG,
        $A339,
        MATCH(TEXT($B339,"0"),TEXT('Daily Sales'!$C$2:$AG$2,"0"),0)
      ),
    ""),
  "")
)</f>
        <v/>
      </c>
      <c r="J339" s="79" t="e">
        <f t="shared" si="4"/>
        <v>#VALUE!</v>
      </c>
      <c r="K339" s="141"/>
      <c r="L339" s="81"/>
      <c r="M339" s="141"/>
      <c r="N339" s="133"/>
      <c r="O339" s="4"/>
      <c r="P339" s="4"/>
      <c r="Q339" s="4"/>
      <c r="R339" s="109"/>
      <c r="S339" s="109"/>
      <c r="T339" s="108"/>
      <c r="U339" s="110"/>
      <c r="V339" s="110"/>
      <c r="W339" s="110"/>
      <c r="X339" s="110"/>
    </row>
    <row r="340" spans="1:24" ht="13.5" customHeight="1">
      <c r="A340" s="110">
        <f>IF(E340="","",MATCH(E340,'Daily Sales'!B$4:B$51,0)+3)</f>
        <v>32</v>
      </c>
      <c r="B340" s="135">
        <v>46184</v>
      </c>
      <c r="C340" s="136" t="s">
        <v>101</v>
      </c>
      <c r="D340" s="137" t="str">
        <f t="array" ref="D340">IF($A340="","",INDEX('Daily Sales'!A:A,$A340))</f>
        <v>1-1119</v>
      </c>
      <c r="E340" s="138" t="s">
        <v>40</v>
      </c>
      <c r="F340" s="139" t="str">
        <f t="shared" si="3"/>
        <v>Cash IDR</v>
      </c>
      <c r="G340" s="140"/>
      <c r="H340" s="138">
        <f t="array" ref="H340">IF($A340="","",
  IF(
    OR(
      $A340=23,
      AND($A340&gt;=32,$A340&lt;=50)
    ),
    IFERROR(
      INDEX('Daily Sales'!$C:$AG,
        $A340,
        MATCH(TEXT($B340,"0"),TEXT('Daily Sales'!$C$2:$AG$2,"0"),0)
      ),
    ""),
  "")
)</f>
        <v>7521790</v>
      </c>
      <c r="I340" s="138" t="str">
        <f t="array" ref="I340">IF($A340="","",
  IF(
    OR(
      AND($A340&gt;=4,$A340&lt;=8),
      AND($A340&gt;=12,$A340&lt;=19),
      AND($A340&gt;=28,$A340&lt;=29)
    ),
    IFERROR(
      INDEX('Daily Sales'!$C:$AG,
        $A340,
        MATCH(TEXT($B340,"0"),TEXT('Daily Sales'!$C$2:$AG$2,"0"),0)
      ),
    ""),
  "")
)</f>
        <v/>
      </c>
      <c r="J340" s="79" t="e">
        <f t="shared" si="4"/>
        <v>#VALUE!</v>
      </c>
      <c r="K340" s="141"/>
      <c r="L340" s="81"/>
      <c r="M340" s="141"/>
      <c r="N340" s="133"/>
      <c r="O340" s="4"/>
      <c r="P340" s="4"/>
      <c r="Q340" s="4"/>
      <c r="R340" s="109"/>
      <c r="S340" s="109"/>
      <c r="T340" s="108"/>
      <c r="U340" s="110"/>
      <c r="V340" s="110"/>
      <c r="W340" s="110"/>
      <c r="X340" s="110"/>
    </row>
    <row r="341" spans="1:24" ht="13.5" customHeight="1">
      <c r="A341" s="110">
        <f>IF(E341="","",MATCH(E341,'Daily Sales'!B$4:B$51,0)+3)</f>
        <v>33</v>
      </c>
      <c r="B341" s="135">
        <v>46184</v>
      </c>
      <c r="C341" s="136" t="s">
        <v>101</v>
      </c>
      <c r="D341" s="137" t="str">
        <f t="array" ref="D341">IF($A341="","",INDEX('Daily Sales'!A:A,$A341))</f>
        <v>1-1217</v>
      </c>
      <c r="E341" s="138" t="s">
        <v>43</v>
      </c>
      <c r="F341" s="139" t="str">
        <f t="shared" si="3"/>
        <v>Bank transfer</v>
      </c>
      <c r="G341" s="140"/>
      <c r="H341" s="138">
        <f t="array" ref="H341">IF($A341="","",
  IF(
    OR(
      $A341=23,
      AND($A341&gt;=32,$A341&lt;=50)
    ),
    IFERROR(
      INDEX('Daily Sales'!$C:$AG,
        $A341,
        MATCH(TEXT($B341,"0"),TEXT('Daily Sales'!$C$2:$AG$2,"0"),0)
      ),
    ""),
  "")
)</f>
        <v>0</v>
      </c>
      <c r="I341" s="138" t="str">
        <f t="array" ref="I341">IF($A341="","",
  IF(
    OR(
      AND($A341&gt;=4,$A341&lt;=8),
      AND($A341&gt;=12,$A341&lt;=19),
      AND($A341&gt;=28,$A341&lt;=29)
    ),
    IFERROR(
      INDEX('Daily Sales'!$C:$AG,
        $A341,
        MATCH(TEXT($B341,"0"),TEXT('Daily Sales'!$C$2:$AG$2,"0"),0)
      ),
    ""),
  "")
)</f>
        <v/>
      </c>
      <c r="J341" s="79" t="e">
        <f t="shared" si="4"/>
        <v>#VALUE!</v>
      </c>
      <c r="K341" s="141"/>
      <c r="L341" s="81"/>
      <c r="M341" s="141"/>
      <c r="N341" s="133"/>
      <c r="O341" s="4"/>
      <c r="P341" s="4"/>
      <c r="Q341" s="4"/>
      <c r="R341" s="109"/>
      <c r="S341" s="109"/>
      <c r="T341" s="108"/>
      <c r="U341" s="110"/>
      <c r="V341" s="110"/>
      <c r="W341" s="110"/>
      <c r="X341" s="110"/>
    </row>
    <row r="342" spans="1:24" ht="13.5" customHeight="1">
      <c r="A342" s="110">
        <f>IF(E342="","",MATCH(E342,'Daily Sales'!B$4:B$51,0)+3)</f>
        <v>35</v>
      </c>
      <c r="B342" s="135">
        <v>46184</v>
      </c>
      <c r="C342" s="136" t="s">
        <v>101</v>
      </c>
      <c r="D342" s="137" t="str">
        <f t="array" ref="D342">IF($A342="","",INDEX('Daily Sales'!A:A,$A342))</f>
        <v>1-1216</v>
      </c>
      <c r="E342" s="138" t="s">
        <v>46</v>
      </c>
      <c r="F342" s="139" t="str">
        <f t="shared" si="3"/>
        <v>Cim Niaga TBB</v>
      </c>
      <c r="G342" s="140"/>
      <c r="H342" s="138">
        <f t="array" ref="H342">IF($A342="","",
  IF(
    OR(
      $A342=23,
      AND($A342&gt;=32,$A342&lt;=50)
    ),
    IFERROR(
      INDEX('Daily Sales'!$C:$AG,
        $A342,
        MATCH(TEXT($B342,"0"),TEXT('Daily Sales'!$C$2:$AG$2,"0"),0)
      ),
    ""),
  "")
)</f>
        <v>0</v>
      </c>
      <c r="I342" s="138" t="str">
        <f t="array" ref="I342">IF($A342="","",
  IF(
    OR(
      AND($A342&gt;=4,$A342&lt;=8),
      AND($A342&gt;=12,$A342&lt;=19),
      AND($A342&gt;=28,$A342&lt;=29)
    ),
    IFERROR(
      INDEX('Daily Sales'!$C:$AG,
        $A342,
        MATCH(TEXT($B342,"0"),TEXT('Daily Sales'!$C$2:$AG$2,"0"),0)
      ),
    ""),
  "")
)</f>
        <v/>
      </c>
      <c r="J342" s="79" t="e">
        <f t="shared" si="4"/>
        <v>#VALUE!</v>
      </c>
      <c r="K342" s="141"/>
      <c r="L342" s="81"/>
      <c r="M342" s="141"/>
      <c r="N342" s="133"/>
      <c r="O342" s="4"/>
      <c r="P342" s="4"/>
      <c r="Q342" s="4"/>
      <c r="R342" s="109"/>
      <c r="S342" s="109"/>
      <c r="T342" s="108"/>
      <c r="U342" s="110"/>
      <c r="V342" s="110"/>
      <c r="W342" s="110"/>
      <c r="X342" s="110"/>
    </row>
    <row r="343" spans="1:24" ht="13.5" customHeight="1">
      <c r="A343" s="110">
        <f>IF(E343="","",MATCH(E343,'Daily Sales'!B$4:B$51,0)+3)</f>
        <v>36</v>
      </c>
      <c r="B343" s="135">
        <v>46184</v>
      </c>
      <c r="C343" s="136" t="s">
        <v>101</v>
      </c>
      <c r="D343" s="137" t="str">
        <f t="array" ref="D343">IF($A343="","",INDEX('Daily Sales'!A:A,$A343))</f>
        <v>1-1213</v>
      </c>
      <c r="E343" s="138" t="s">
        <v>49</v>
      </c>
      <c r="F343" s="139" t="str">
        <f t="shared" si="3"/>
        <v>Mandiri Debet</v>
      </c>
      <c r="G343" s="140"/>
      <c r="H343" s="138">
        <f t="array" ref="H343">IF($A343="","",
  IF(
    OR(
      $A343=23,
      AND($A343&gt;=32,$A343&lt;=50)
    ),
    IFERROR(
      INDEX('Daily Sales'!$C:$AG,
        $A343,
        MATCH(TEXT($B343,"0"),TEXT('Daily Sales'!$C$2:$AG$2,"0"),0)
      ),
    ""),
  "")
)</f>
        <v>3295600</v>
      </c>
      <c r="I343" s="138" t="str">
        <f t="array" ref="I343">IF($A343="","",
  IF(
    OR(
      AND($A343&gt;=4,$A343&lt;=8),
      AND($A343&gt;=12,$A343&lt;=19),
      AND($A343&gt;=28,$A343&lt;=29)
    ),
    IFERROR(
      INDEX('Daily Sales'!$C:$AG,
        $A343,
        MATCH(TEXT($B343,"0"),TEXT('Daily Sales'!$C$2:$AG$2,"0"),0)
      ),
    ""),
  "")
)</f>
        <v/>
      </c>
      <c r="J343" s="79" t="e">
        <f t="shared" si="4"/>
        <v>#VALUE!</v>
      </c>
      <c r="K343" s="141"/>
      <c r="L343" s="81"/>
      <c r="M343" s="141"/>
      <c r="N343" s="133"/>
      <c r="O343" s="4"/>
      <c r="P343" s="4"/>
      <c r="Q343" s="4"/>
      <c r="R343" s="109"/>
      <c r="S343" s="109"/>
      <c r="T343" s="108"/>
      <c r="U343" s="110"/>
      <c r="V343" s="110"/>
      <c r="W343" s="110"/>
      <c r="X343" s="110"/>
    </row>
    <row r="344" spans="1:24" ht="13.5" customHeight="1">
      <c r="A344" s="110">
        <f>IF(E344="","",MATCH(E344,'Daily Sales'!B$4:B$51,0)+3)</f>
        <v>37</v>
      </c>
      <c r="B344" s="135">
        <v>46184</v>
      </c>
      <c r="C344" s="136" t="s">
        <v>101</v>
      </c>
      <c r="D344" s="137" t="str">
        <f t="array" ref="D344">IF($A344="","",INDEX('Daily Sales'!A:A,$A344))</f>
        <v>1-1213</v>
      </c>
      <c r="E344" s="138" t="s">
        <v>50</v>
      </c>
      <c r="F344" s="139" t="str">
        <f t="shared" si="3"/>
        <v>Mandiri CC</v>
      </c>
      <c r="G344" s="140"/>
      <c r="H344" s="138">
        <f t="array" ref="H344">IF($A344="","",
  IF(
    OR(
      $A344=23,
      AND($A344&gt;=32,$A344&lt;=50)
    ),
    IFERROR(
      INDEX('Daily Sales'!$C:$AG,
        $A344,
        MATCH(TEXT($B344,"0"),TEXT('Daily Sales'!$C$2:$AG$2,"0"),0)
      ),
    ""),
  "")
)</f>
        <v>27850285</v>
      </c>
      <c r="I344" s="138" t="str">
        <f t="array" ref="I344">IF($A344="","",
  IF(
    OR(
      AND($A344&gt;=4,$A344&lt;=8),
      AND($A344&gt;=12,$A344&lt;=19),
      AND($A344&gt;=28,$A344&lt;=29)
    ),
    IFERROR(
      INDEX('Daily Sales'!$C:$AG,
        $A344,
        MATCH(TEXT($B344,"0"),TEXT('Daily Sales'!$C$2:$AG$2,"0"),0)
      ),
    ""),
  "")
)</f>
        <v/>
      </c>
      <c r="J344" s="79" t="e">
        <f t="shared" si="4"/>
        <v>#VALUE!</v>
      </c>
      <c r="K344" s="141"/>
      <c r="L344" s="81"/>
      <c r="M344" s="141"/>
      <c r="N344" s="133"/>
      <c r="O344" s="4"/>
      <c r="P344" s="4"/>
      <c r="Q344" s="4"/>
      <c r="R344" s="109"/>
      <c r="S344" s="109"/>
      <c r="T344" s="108"/>
      <c r="U344" s="110"/>
      <c r="V344" s="110"/>
      <c r="W344" s="110"/>
      <c r="X344" s="110"/>
    </row>
    <row r="345" spans="1:24" ht="13.5" customHeight="1">
      <c r="A345" s="110">
        <f>IF(E345="","",MATCH(E345,'Daily Sales'!B$4:B$51,0)+3)</f>
        <v>38</v>
      </c>
      <c r="B345" s="135">
        <v>46184</v>
      </c>
      <c r="C345" s="136" t="s">
        <v>101</v>
      </c>
      <c r="D345" s="137" t="str">
        <f t="array" ref="D345">IF($A345="","",INDEX('Daily Sales'!A:A,$A345))</f>
        <v>1-1213</v>
      </c>
      <c r="E345" s="138" t="s">
        <v>51</v>
      </c>
      <c r="F345" s="139" t="str">
        <f t="shared" si="3"/>
        <v>Mandiri NPG</v>
      </c>
      <c r="G345" s="140"/>
      <c r="H345" s="138">
        <f t="array" ref="H345">IF($A345="","",
  IF(
    OR(
      $A345=23,
      AND($A345&gt;=32,$A345&lt;=50)
    ),
    IFERROR(
      INDEX('Daily Sales'!$C:$AG,
        $A345,
        MATCH(TEXT($B345,"0"),TEXT('Daily Sales'!$C$2:$AG$2,"0"),0)
      ),
    ""),
  "")
)</f>
        <v>3544925</v>
      </c>
      <c r="I345" s="138" t="str">
        <f t="array" ref="I345">IF($A345="","",
  IF(
    OR(
      AND($A345&gt;=4,$A345&lt;=8),
      AND($A345&gt;=12,$A345&lt;=19),
      AND($A345&gt;=28,$A345&lt;=29)
    ),
    IFERROR(
      INDEX('Daily Sales'!$C:$AG,
        $A345,
        MATCH(TEXT($B345,"0"),TEXT('Daily Sales'!$C$2:$AG$2,"0"),0)
      ),
    ""),
  "")
)</f>
        <v/>
      </c>
      <c r="J345" s="79" t="e">
        <f t="shared" si="4"/>
        <v>#VALUE!</v>
      </c>
      <c r="K345" s="141"/>
      <c r="L345" s="81"/>
      <c r="M345" s="141"/>
      <c r="N345" s="133"/>
      <c r="O345" s="4"/>
      <c r="P345" s="4"/>
      <c r="Q345" s="4"/>
      <c r="R345" s="109"/>
      <c r="S345" s="109"/>
      <c r="T345" s="108"/>
      <c r="U345" s="110"/>
      <c r="V345" s="110"/>
      <c r="W345" s="110"/>
      <c r="X345" s="110"/>
    </row>
    <row r="346" spans="1:24" ht="13.5" customHeight="1">
      <c r="A346" s="110">
        <f>IF(E346="","",MATCH(E346,'Daily Sales'!B$4:B$51,0)+3)</f>
        <v>39</v>
      </c>
      <c r="B346" s="135">
        <v>46184</v>
      </c>
      <c r="C346" s="136" t="s">
        <v>101</v>
      </c>
      <c r="D346" s="137" t="str">
        <f t="array" ref="D346">IF($A346="","",INDEX('Daily Sales'!A:A,$A346))</f>
        <v>1-1213</v>
      </c>
      <c r="E346" s="138" t="s">
        <v>52</v>
      </c>
      <c r="F346" s="139" t="str">
        <f t="shared" si="3"/>
        <v>Mandiri QR</v>
      </c>
      <c r="G346" s="140"/>
      <c r="H346" s="138">
        <f t="array" ref="H346">IF($A346="","",
  IF(
    OR(
      $A346=23,
      AND($A346&gt;=32,$A346&lt;=50)
    ),
    IFERROR(
      INDEX('Daily Sales'!$C:$AG,
        $A346,
        MATCH(TEXT($B346,"0"),TEXT('Daily Sales'!$C$2:$AG$2,"0"),0)
      ),
    ""),
  "")
)</f>
        <v>10374944</v>
      </c>
      <c r="I346" s="138" t="str">
        <f t="array" ref="I346">IF($A346="","",
  IF(
    OR(
      AND($A346&gt;=4,$A346&lt;=8),
      AND($A346&gt;=12,$A346&lt;=19),
      AND($A346&gt;=28,$A346&lt;=29)
    ),
    IFERROR(
      INDEX('Daily Sales'!$C:$AG,
        $A346,
        MATCH(TEXT($B346,"0"),TEXT('Daily Sales'!$C$2:$AG$2,"0"),0)
      ),
    ""),
  "")
)</f>
        <v/>
      </c>
      <c r="J346" s="79" t="e">
        <f t="shared" si="4"/>
        <v>#VALUE!</v>
      </c>
      <c r="K346" s="141"/>
      <c r="L346" s="81"/>
      <c r="M346" s="141"/>
      <c r="N346" s="133"/>
      <c r="O346" s="4"/>
      <c r="P346" s="4"/>
      <c r="Q346" s="4"/>
      <c r="R346" s="109"/>
      <c r="S346" s="109"/>
      <c r="T346" s="108"/>
      <c r="U346" s="110"/>
      <c r="V346" s="110"/>
      <c r="W346" s="110"/>
      <c r="X346" s="110"/>
    </row>
    <row r="347" spans="1:24" ht="13.5" customHeight="1">
      <c r="A347" s="110">
        <f>IF(E347="","",MATCH(E347,'Daily Sales'!B$4:B$51,0)+3)</f>
        <v>40</v>
      </c>
      <c r="B347" s="135">
        <v>46184</v>
      </c>
      <c r="C347" s="136" t="s">
        <v>101</v>
      </c>
      <c r="D347" s="137" t="str">
        <f t="array" ref="D347">IF($A347="","",INDEX('Daily Sales'!A:A,$A347))</f>
        <v>1-1217</v>
      </c>
      <c r="E347" s="138" t="s">
        <v>54</v>
      </c>
      <c r="F347" s="139" t="str">
        <f t="shared" si="3"/>
        <v>BCA CC</v>
      </c>
      <c r="G347" s="140"/>
      <c r="H347" s="138">
        <f t="array" ref="H347">IF($A347="","",
  IF(
    OR(
      $A347=23,
      AND($A347&gt;=32,$A347&lt;=50)
    ),
    IFERROR(
      INDEX('Daily Sales'!$C:$AG,
        $A347,
        MATCH(TEXT($B347,"0"),TEXT('Daily Sales'!$C$2:$AG$2,"0"),0)
      ),
    ""),
  "")
)</f>
        <v>2061670</v>
      </c>
      <c r="I347" s="138" t="str">
        <f t="array" ref="I347">IF($A347="","",
  IF(
    OR(
      AND($A347&gt;=4,$A347&lt;=8),
      AND($A347&gt;=12,$A347&lt;=19),
      AND($A347&gt;=28,$A347&lt;=29)
    ),
    IFERROR(
      INDEX('Daily Sales'!$C:$AG,
        $A347,
        MATCH(TEXT($B347,"0"),TEXT('Daily Sales'!$C$2:$AG$2,"0"),0)
      ),
    ""),
  "")
)</f>
        <v/>
      </c>
      <c r="J347" s="79" t="e">
        <f t="shared" si="4"/>
        <v>#VALUE!</v>
      </c>
      <c r="K347" s="141"/>
      <c r="L347" s="81"/>
      <c r="M347" s="141"/>
      <c r="N347" s="133"/>
      <c r="O347" s="4"/>
      <c r="P347" s="4"/>
      <c r="Q347" s="4"/>
      <c r="R347" s="109"/>
      <c r="S347" s="109"/>
      <c r="T347" s="108"/>
      <c r="U347" s="110"/>
      <c r="V347" s="110"/>
      <c r="W347" s="110"/>
      <c r="X347" s="110"/>
    </row>
    <row r="348" spans="1:24" ht="13.5" customHeight="1">
      <c r="A348" s="110">
        <f>IF(E348="","",MATCH(E348,'Daily Sales'!B$4:B$51,0)+3)</f>
        <v>41</v>
      </c>
      <c r="B348" s="135">
        <v>46184</v>
      </c>
      <c r="C348" s="136" t="s">
        <v>101</v>
      </c>
      <c r="D348" s="137" t="str">
        <f t="array" ref="D348">IF($A348="","",INDEX('Daily Sales'!A:A,$A348))</f>
        <v>1-1217</v>
      </c>
      <c r="E348" s="138" t="s">
        <v>55</v>
      </c>
      <c r="F348" s="139" t="str">
        <f t="shared" si="3"/>
        <v>BCA debt</v>
      </c>
      <c r="G348" s="140"/>
      <c r="H348" s="138">
        <f t="array" ref="H348">IF($A348="","",
  IF(
    OR(
      $A348=23,
      AND($A348&gt;=32,$A348&lt;=50)
    ),
    IFERROR(
      INDEX('Daily Sales'!$C:$AG,
        $A348,
        MATCH(TEXT($B348,"0"),TEXT('Daily Sales'!$C$2:$AG$2,"0"),0)
      ),
    ""),
  "")
)</f>
        <v>1382975</v>
      </c>
      <c r="I348" s="138" t="str">
        <f t="array" ref="I348">IF($A348="","",
  IF(
    OR(
      AND($A348&gt;=4,$A348&lt;=8),
      AND($A348&gt;=12,$A348&lt;=19),
      AND($A348&gt;=28,$A348&lt;=29)
    ),
    IFERROR(
      INDEX('Daily Sales'!$C:$AG,
        $A348,
        MATCH(TEXT($B348,"0"),TEXT('Daily Sales'!$C$2:$AG$2,"0"),0)
      ),
    ""),
  "")
)</f>
        <v/>
      </c>
      <c r="J348" s="79" t="e">
        <f t="shared" si="4"/>
        <v>#VALUE!</v>
      </c>
      <c r="K348" s="141"/>
      <c r="L348" s="81"/>
      <c r="M348" s="141"/>
      <c r="N348" s="133"/>
      <c r="O348" s="4"/>
      <c r="P348" s="4"/>
      <c r="Q348" s="4"/>
      <c r="R348" s="109"/>
      <c r="S348" s="109"/>
      <c r="T348" s="108"/>
      <c r="U348" s="110"/>
      <c r="V348" s="110"/>
      <c r="W348" s="110"/>
      <c r="X348" s="110"/>
    </row>
    <row r="349" spans="1:24" ht="13.5" customHeight="1">
      <c r="A349" s="110">
        <f>IF(E349="","",MATCH(E349,'Daily Sales'!B$4:B$51,0)+3)</f>
        <v>42</v>
      </c>
      <c r="B349" s="135">
        <v>46184</v>
      </c>
      <c r="C349" s="136" t="s">
        <v>101</v>
      </c>
      <c r="D349" s="137" t="str">
        <f t="array" ref="D349">IF($A349="","",INDEX('Daily Sales'!A:A,$A349))</f>
        <v>1-1217</v>
      </c>
      <c r="E349" s="138" t="s">
        <v>56</v>
      </c>
      <c r="F349" s="139" t="str">
        <f t="shared" si="3"/>
        <v>BCA QR</v>
      </c>
      <c r="G349" s="140"/>
      <c r="H349" s="138">
        <f t="array" ref="H349">IF($A349="","",
  IF(
    OR(
      $A349=23,
      AND($A349&gt;=32,$A349&lt;=50)
    ),
    IFERROR(
      INDEX('Daily Sales'!$C:$AG,
        $A349,
        MATCH(TEXT($B349,"0"),TEXT('Daily Sales'!$C$2:$AG$2,"0"),0)
      ),
    ""),
  "")
)</f>
        <v>211860</v>
      </c>
      <c r="I349" s="138" t="str">
        <f t="array" ref="I349">IF($A349="","",
  IF(
    OR(
      AND($A349&gt;=4,$A349&lt;=8),
      AND($A349&gt;=12,$A349&lt;=19),
      AND($A349&gt;=28,$A349&lt;=29)
    ),
    IFERROR(
      INDEX('Daily Sales'!$C:$AG,
        $A349,
        MATCH(TEXT($B349,"0"),TEXT('Daily Sales'!$C$2:$AG$2,"0"),0)
      ),
    ""),
  "")
)</f>
        <v/>
      </c>
      <c r="J349" s="79" t="e">
        <f t="shared" si="4"/>
        <v>#VALUE!</v>
      </c>
      <c r="K349" s="141"/>
      <c r="L349" s="81"/>
      <c r="M349" s="141"/>
      <c r="N349" s="133"/>
      <c r="O349" s="4"/>
      <c r="P349" s="4"/>
      <c r="Q349" s="4"/>
      <c r="R349" s="109"/>
      <c r="S349" s="109"/>
      <c r="T349" s="108"/>
      <c r="U349" s="110"/>
      <c r="V349" s="110"/>
      <c r="W349" s="110"/>
      <c r="X349" s="110"/>
    </row>
    <row r="350" spans="1:24" ht="13.5" customHeight="1">
      <c r="A350" s="110">
        <f>IF(E350="","",MATCH(E350,'Daily Sales'!B$4:B$51,0)+3)</f>
        <v>43</v>
      </c>
      <c r="B350" s="135">
        <v>46184</v>
      </c>
      <c r="C350" s="136" t="s">
        <v>101</v>
      </c>
      <c r="D350" s="137" t="str">
        <f t="array" ref="D350">IF($A350="","",INDEX('Daily Sales'!A:A,$A350))</f>
        <v>1-1214</v>
      </c>
      <c r="E350" s="138" t="s">
        <v>59</v>
      </c>
      <c r="F350" s="139" t="str">
        <f t="shared" si="3"/>
        <v>Bank BRI DEBET</v>
      </c>
      <c r="G350" s="140"/>
      <c r="H350" s="138">
        <f t="array" ref="H350">IF($A350="","",
  IF(
    OR(
      $A350=23,
      AND($A350&gt;=32,$A350&lt;=50)
    ),
    IFERROR(
      INDEX('Daily Sales'!$C:$AG,
        $A350,
        MATCH(TEXT($B350,"0"),TEXT('Daily Sales'!$C$2:$AG$2,"0"),0)
      ),
    ""),
  "")
)</f>
        <v>0</v>
      </c>
      <c r="I350" s="138" t="str">
        <f t="array" ref="I350">IF($A350="","",
  IF(
    OR(
      AND($A350&gt;=4,$A350&lt;=8),
      AND($A350&gt;=12,$A350&lt;=19),
      AND($A350&gt;=28,$A350&lt;=29)
    ),
    IFERROR(
      INDEX('Daily Sales'!$C:$AG,
        $A350,
        MATCH(TEXT($B350,"0"),TEXT('Daily Sales'!$C$2:$AG$2,"0"),0)
      ),
    ""),
  "")
)</f>
        <v/>
      </c>
      <c r="J350" s="79" t="e">
        <f t="shared" si="4"/>
        <v>#VALUE!</v>
      </c>
      <c r="K350" s="141"/>
      <c r="L350" s="81"/>
      <c r="M350" s="141"/>
      <c r="N350" s="133"/>
      <c r="O350" s="4"/>
      <c r="P350" s="4"/>
      <c r="Q350" s="4"/>
      <c r="R350" s="109"/>
      <c r="S350" s="109"/>
      <c r="T350" s="108"/>
      <c r="U350" s="110"/>
      <c r="V350" s="110"/>
      <c r="W350" s="110"/>
      <c r="X350" s="110"/>
    </row>
    <row r="351" spans="1:24" ht="13.5" customHeight="1">
      <c r="A351" s="110">
        <f>IF(E351="","",MATCH(E351,'Daily Sales'!B$4:B$51,0)+3)</f>
        <v>44</v>
      </c>
      <c r="B351" s="135">
        <v>46184</v>
      </c>
      <c r="C351" s="136" t="s">
        <v>101</v>
      </c>
      <c r="D351" s="137" t="str">
        <f t="array" ref="D351">IF($A351="","",INDEX('Daily Sales'!A:A,$A351))</f>
        <v>1-1214</v>
      </c>
      <c r="E351" s="138" t="s">
        <v>60</v>
      </c>
      <c r="F351" s="139" t="str">
        <f t="shared" si="3"/>
        <v>Bank BRI CC</v>
      </c>
      <c r="G351" s="140"/>
      <c r="H351" s="138">
        <f t="array" ref="H351">IF($A351="","",
  IF(
    OR(
      $A351=23,
      AND($A351&gt;=32,$A351&lt;=50)
    ),
    IFERROR(
      INDEX('Daily Sales'!$C:$AG,
        $A351,
        MATCH(TEXT($B351,"0"),TEXT('Daily Sales'!$C$2:$AG$2,"0"),0)
      ),
    ""),
  "")
)</f>
        <v>141240</v>
      </c>
      <c r="I351" s="138" t="str">
        <f t="array" ref="I351">IF($A351="","",
  IF(
    OR(
      AND($A351&gt;=4,$A351&lt;=8),
      AND($A351&gt;=12,$A351&lt;=19),
      AND($A351&gt;=28,$A351&lt;=29)
    ),
    IFERROR(
      INDEX('Daily Sales'!$C:$AG,
        $A351,
        MATCH(TEXT($B351,"0"),TEXT('Daily Sales'!$C$2:$AG$2,"0"),0)
      ),
    ""),
  "")
)</f>
        <v/>
      </c>
      <c r="J351" s="79" t="e">
        <f t="shared" si="4"/>
        <v>#VALUE!</v>
      </c>
      <c r="K351" s="141"/>
      <c r="L351" s="81"/>
      <c r="M351" s="141"/>
      <c r="N351" s="133"/>
      <c r="O351" s="4"/>
      <c r="P351" s="4"/>
      <c r="Q351" s="4"/>
      <c r="R351" s="109"/>
      <c r="S351" s="109"/>
      <c r="T351" s="108"/>
      <c r="U351" s="110"/>
      <c r="V351" s="110"/>
      <c r="W351" s="110"/>
      <c r="X351" s="110"/>
    </row>
    <row r="352" spans="1:24" ht="13.5" customHeight="1">
      <c r="A352" s="110">
        <f>IF(E352="","",MATCH(E352,'Daily Sales'!B$4:B$51,0)+3)</f>
        <v>45</v>
      </c>
      <c r="B352" s="135">
        <v>46184</v>
      </c>
      <c r="C352" s="136" t="s">
        <v>101</v>
      </c>
      <c r="D352" s="137" t="str">
        <f t="array" ref="D352">IF($A352="","",INDEX('Daily Sales'!A:A,$A352))</f>
        <v>1-1214</v>
      </c>
      <c r="E352" s="138" t="s">
        <v>61</v>
      </c>
      <c r="F352" s="139" t="str">
        <f t="shared" si="3"/>
        <v>Bank BRI QR</v>
      </c>
      <c r="G352" s="140"/>
      <c r="H352" s="138">
        <f t="array" ref="H352">IF($A352="","",
  IF(
    OR(
      $A352=23,
      AND($A352&gt;=32,$A352&lt;=50)
    ),
    IFERROR(
      INDEX('Daily Sales'!$C:$AG,
        $A352,
        MATCH(TEXT($B352,"0"),TEXT('Daily Sales'!$C$2:$AG$2,"0"),0)
      ),
    ""),
  "")
)</f>
        <v>0</v>
      </c>
      <c r="I352" s="138" t="str">
        <f t="array" ref="I352">IF($A352="","",
  IF(
    OR(
      AND($A352&gt;=4,$A352&lt;=8),
      AND($A352&gt;=12,$A352&lt;=19),
      AND($A352&gt;=28,$A352&lt;=29)
    ),
    IFERROR(
      INDEX('Daily Sales'!$C:$AG,
        $A352,
        MATCH(TEXT($B352,"0"),TEXT('Daily Sales'!$C$2:$AG$2,"0"),0)
      ),
    ""),
  "")
)</f>
        <v/>
      </c>
      <c r="J352" s="79" t="e">
        <f t="shared" si="4"/>
        <v>#VALUE!</v>
      </c>
      <c r="K352" s="141"/>
      <c r="L352" s="81"/>
      <c r="M352" s="141"/>
      <c r="N352" s="133"/>
      <c r="O352" s="4"/>
      <c r="P352" s="4"/>
      <c r="Q352" s="4"/>
      <c r="R352" s="109"/>
      <c r="S352" s="109"/>
      <c r="T352" s="108"/>
      <c r="U352" s="110"/>
      <c r="V352" s="110"/>
      <c r="W352" s="110"/>
      <c r="X352" s="110"/>
    </row>
    <row r="353" spans="1:24" ht="13.5" customHeight="1">
      <c r="A353" s="110">
        <f>IF(E353="","",MATCH(E353,'Daily Sales'!B$4:B$51,0)+3)</f>
        <v>46</v>
      </c>
      <c r="B353" s="135">
        <v>46184</v>
      </c>
      <c r="C353" s="136" t="s">
        <v>101</v>
      </c>
      <c r="D353" s="137" t="str">
        <f t="array" ref="D353">IF($A353="","",INDEX('Daily Sales'!A:A,$A353))</f>
        <v>1-1202</v>
      </c>
      <c r="E353" s="138" t="s">
        <v>64</v>
      </c>
      <c r="F353" s="139" t="str">
        <f t="shared" si="3"/>
        <v>Ledger</v>
      </c>
      <c r="G353" s="140"/>
      <c r="H353" s="138">
        <f t="array" ref="H353">IF($A353="","",
  IF(
    OR(
      $A353=23,
      AND($A353&gt;=32,$A353&lt;=50)
    ),
    IFERROR(
      INDEX('Daily Sales'!$C:$AG,
        $A353,
        MATCH(TEXT($B353,"0"),TEXT('Daily Sales'!$C$2:$AG$2,"0"),0)
      ),
    ""),
  "")
)</f>
        <v>170665</v>
      </c>
      <c r="I353" s="138" t="str">
        <f t="array" ref="I353">IF($A353="","",
  IF(
    OR(
      AND($A353&gt;=4,$A353&lt;=8),
      AND($A353&gt;=12,$A353&lt;=19),
      AND($A353&gt;=28,$A353&lt;=29)
    ),
    IFERROR(
      INDEX('Daily Sales'!$C:$AG,
        $A353,
        MATCH(TEXT($B353,"0"),TEXT('Daily Sales'!$C$2:$AG$2,"0"),0)
      ),
    ""),
  "")
)</f>
        <v/>
      </c>
      <c r="J353" s="79" t="e">
        <f t="shared" si="4"/>
        <v>#VALUE!</v>
      </c>
      <c r="K353" s="141"/>
      <c r="L353" s="81"/>
      <c r="M353" s="141"/>
      <c r="N353" s="133"/>
      <c r="O353" s="4"/>
      <c r="P353" s="4"/>
      <c r="Q353" s="4"/>
      <c r="R353" s="109"/>
      <c r="S353" s="109"/>
      <c r="T353" s="108"/>
      <c r="U353" s="110"/>
      <c r="V353" s="110"/>
      <c r="W353" s="110"/>
      <c r="X353" s="110"/>
    </row>
    <row r="354" spans="1:24" ht="13.5" customHeight="1">
      <c r="A354" s="110">
        <f>IF(E354="","",MATCH(E354,'Daily Sales'!B$4:B$51,0)+3)</f>
        <v>47</v>
      </c>
      <c r="B354" s="135">
        <v>46184</v>
      </c>
      <c r="C354" s="136" t="s">
        <v>101</v>
      </c>
      <c r="D354" s="137" t="str">
        <f t="array" ref="D354">IF($A354="","",INDEX('Daily Sales'!A:A,$A354))</f>
        <v>1-1129</v>
      </c>
      <c r="E354" s="138" t="s">
        <v>66</v>
      </c>
      <c r="F354" s="139" t="str">
        <f t="shared" si="3"/>
        <v>Star Points</v>
      </c>
      <c r="G354" s="140"/>
      <c r="H354" s="138">
        <f t="array" ref="H354">IF($A354="","",
  IF(
    OR(
      $A354=23,
      AND($A354&gt;=32,$A354&lt;=50)
    ),
    IFERROR(
      INDEX('Daily Sales'!$C:$AG,
        $A354,
        MATCH(TEXT($B354,"0"),TEXT('Daily Sales'!$C$2:$AG$2,"0"),0)
      ),
    ""),
  "")
)</f>
        <v>0</v>
      </c>
      <c r="I354" s="138" t="str">
        <f t="array" ref="I354">IF($A354="","",
  IF(
    OR(
      AND($A354&gt;=4,$A354&lt;=8),
      AND($A354&gt;=12,$A354&lt;=19),
      AND($A354&gt;=28,$A354&lt;=29)
    ),
    IFERROR(
      INDEX('Daily Sales'!$C:$AG,
        $A354,
        MATCH(TEXT($B354,"0"),TEXT('Daily Sales'!$C$2:$AG$2,"0"),0)
      ),
    ""),
  "")
)</f>
        <v/>
      </c>
      <c r="J354" s="79" t="e">
        <f t="shared" si="4"/>
        <v>#VALUE!</v>
      </c>
      <c r="K354" s="141"/>
      <c r="L354" s="81"/>
      <c r="M354" s="141"/>
      <c r="N354" s="133"/>
      <c r="O354" s="4"/>
      <c r="P354" s="4"/>
      <c r="Q354" s="4"/>
      <c r="R354" s="109"/>
      <c r="S354" s="109"/>
      <c r="T354" s="108"/>
      <c r="U354" s="110"/>
      <c r="V354" s="110"/>
      <c r="W354" s="110"/>
      <c r="X354" s="110"/>
    </row>
    <row r="355" spans="1:24" ht="13.5" customHeight="1">
      <c r="A355" s="110">
        <f>IF(E355="","",MATCH(E355,'Daily Sales'!B$4:B$51,0)+3)</f>
        <v>48</v>
      </c>
      <c r="B355" s="135">
        <v>46184</v>
      </c>
      <c r="C355" s="136" t="s">
        <v>101</v>
      </c>
      <c r="D355" s="137" t="str">
        <f t="array" ref="D355">IF($A355="","",INDEX('Daily Sales'!A:A,$A355))</f>
        <v>1-1215</v>
      </c>
      <c r="E355" s="138" t="s">
        <v>68</v>
      </c>
      <c r="F355" s="139" t="str">
        <f t="shared" si="3"/>
        <v>Ovo</v>
      </c>
      <c r="G355" s="140"/>
      <c r="H355" s="138">
        <f t="array" ref="H355">IF($A355="","",
  IF(
    OR(
      $A355=23,
      AND($A355&gt;=32,$A355&lt;=50)
    ),
    IFERROR(
      INDEX('Daily Sales'!$C:$AG,
        $A355,
        MATCH(TEXT($B355,"0"),TEXT('Daily Sales'!$C$2:$AG$2,"0"),0)
      ),
    ""),
  "")
)</f>
        <v>0</v>
      </c>
      <c r="I355" s="138" t="str">
        <f t="array" ref="I355">IF($A355="","",
  IF(
    OR(
      AND($A355&gt;=4,$A355&lt;=8),
      AND($A355&gt;=12,$A355&lt;=19),
      AND($A355&gt;=28,$A355&lt;=29)
    ),
    IFERROR(
      INDEX('Daily Sales'!$C:$AG,
        $A355,
        MATCH(TEXT($B355,"0"),TEXT('Daily Sales'!$C$2:$AG$2,"0"),0)
      ),
    ""),
  "")
)</f>
        <v/>
      </c>
      <c r="J355" s="79" t="e">
        <f t="shared" si="4"/>
        <v>#VALUE!</v>
      </c>
      <c r="K355" s="141"/>
      <c r="L355" s="81"/>
      <c r="M355" s="141"/>
      <c r="N355" s="133"/>
      <c r="O355" s="4"/>
      <c r="P355" s="4"/>
      <c r="Q355" s="4"/>
      <c r="R355" s="109"/>
      <c r="S355" s="109"/>
      <c r="T355" s="108"/>
      <c r="U355" s="110"/>
      <c r="V355" s="110"/>
      <c r="W355" s="110"/>
      <c r="X355" s="110"/>
    </row>
    <row r="356" spans="1:24" ht="13.5" customHeight="1">
      <c r="A356" s="110">
        <f>IF(E356="","",MATCH(E356,'Daily Sales'!B$4:B$51,0)+3)</f>
        <v>49</v>
      </c>
      <c r="B356" s="135">
        <v>46184</v>
      </c>
      <c r="C356" s="136" t="s">
        <v>101</v>
      </c>
      <c r="D356" s="137" t="str">
        <f t="array" ref="D356">IF($A356="","",INDEX('Daily Sales'!A:A,$A356))</f>
        <v>1-1211</v>
      </c>
      <c r="E356" s="138" t="s">
        <v>70</v>
      </c>
      <c r="F356" s="139" t="str">
        <f t="shared" si="3"/>
        <v>Gopay</v>
      </c>
      <c r="G356" s="140"/>
      <c r="H356" s="138">
        <f t="array" ref="H356">IF($A356="","",
  IF(
    OR(
      $A356=23,
      AND($A356&gt;=32,$A356&lt;=50)
    ),
    IFERROR(
      INDEX('Daily Sales'!$C:$AG,
        $A356,
        MATCH(TEXT($B356,"0"),TEXT('Daily Sales'!$C$2:$AG$2,"0"),0)
      ),
    ""),
  "")
)</f>
        <v>0</v>
      </c>
      <c r="I356" s="138" t="str">
        <f t="array" ref="I356">IF($A356="","",
  IF(
    OR(
      AND($A356&gt;=4,$A356&lt;=8),
      AND($A356&gt;=12,$A356&lt;=19),
      AND($A356&gt;=28,$A356&lt;=29)
    ),
    IFERROR(
      INDEX('Daily Sales'!$C:$AG,
        $A356,
        MATCH(TEXT($B356,"0"),TEXT('Daily Sales'!$C$2:$AG$2,"0"),0)
      ),
    ""),
  "")
)</f>
        <v/>
      </c>
      <c r="J356" s="79" t="e">
        <f t="shared" si="4"/>
        <v>#VALUE!</v>
      </c>
      <c r="K356" s="141"/>
      <c r="L356" s="81"/>
      <c r="M356" s="141"/>
      <c r="N356" s="133"/>
      <c r="O356" s="4"/>
      <c r="P356" s="4"/>
      <c r="Q356" s="4"/>
      <c r="R356" s="109"/>
      <c r="S356" s="109"/>
      <c r="T356" s="108"/>
      <c r="U356" s="110"/>
      <c r="V356" s="110"/>
      <c r="W356" s="110"/>
      <c r="X356" s="110"/>
    </row>
    <row r="357" spans="1:24" ht="13.5" customHeight="1">
      <c r="A357" s="110">
        <f>IF(E357="","",MATCH(E357,'Daily Sales'!B$4:B$51,0)+3)</f>
        <v>50</v>
      </c>
      <c r="B357" s="135">
        <v>46184</v>
      </c>
      <c r="C357" s="136" t="s">
        <v>101</v>
      </c>
      <c r="D357" s="137" t="str">
        <f t="array" ref="D357">IF($A357="","",INDEX('Daily Sales'!A:A,$A357))</f>
        <v>2-2110</v>
      </c>
      <c r="E357" s="138" t="s">
        <v>72</v>
      </c>
      <c r="F357" s="139" t="str">
        <f t="shared" si="3"/>
        <v>Cash Short/Over</v>
      </c>
      <c r="G357" s="140"/>
      <c r="H357" s="138">
        <f t="array" ref="H357">IF($A357="","",
  IF(
    OR(
      $A357=23,
      AND($A357&gt;=32,$A357&lt;=50)
    ),
    IFERROR(
      INDEX('Daily Sales'!$C:$AG,
        $A357,
        MATCH(TEXT($B357,"0"),TEXT('Daily Sales'!$C$2:$AG$2,"0"),0)
      ),
    ""),
  "")
)</f>
        <v>-43115.839999999997</v>
      </c>
      <c r="I357" s="138" t="str">
        <f t="array" ref="I357">IF($A357="","",
  IF(
    OR(
      AND($A357&gt;=4,$A357&lt;=8),
      AND($A357&gt;=12,$A357&lt;=19),
      AND($A357&gt;=28,$A357&lt;=29)
    ),
    IFERROR(
      INDEX('Daily Sales'!$C:$AG,
        $A357,
        MATCH(TEXT($B357,"0"),TEXT('Daily Sales'!$C$2:$AG$2,"0"),0)
      ),
    ""),
  "")
)</f>
        <v/>
      </c>
      <c r="J357" s="79" t="e">
        <f t="shared" si="4"/>
        <v>#VALUE!</v>
      </c>
      <c r="K357" s="141"/>
      <c r="L357" s="81"/>
      <c r="M357" s="141"/>
      <c r="N357" s="133"/>
      <c r="O357" s="4"/>
      <c r="P357" s="4"/>
      <c r="Q357" s="4"/>
      <c r="R357" s="109"/>
      <c r="S357" s="109"/>
      <c r="T357" s="108"/>
      <c r="U357" s="110"/>
      <c r="V357" s="110"/>
      <c r="W357" s="110"/>
      <c r="X357" s="110"/>
    </row>
    <row r="358" spans="1:24" ht="13.5" customHeight="1">
      <c r="A358" s="110" t="str">
        <f>IF(E358="","",MATCH(E358,'Daily Sales'!B$4:B$51,0)+3)</f>
        <v/>
      </c>
      <c r="B358" s="135"/>
      <c r="C358" s="136"/>
      <c r="D358" s="137" t="str">
        <f t="array" ref="D358">IF($A358="","",INDEX('Daily Sales'!A:A,$A358))</f>
        <v/>
      </c>
      <c r="E358" s="138"/>
      <c r="F358" s="139">
        <f t="shared" si="3"/>
        <v>0</v>
      </c>
      <c r="G358" s="140"/>
      <c r="H358" s="138" t="str">
        <f t="array" ref="H358">IF($A358="","",
  IF(
    OR(
      $A358=23,
      AND($A358&gt;=32,$A358&lt;=50)
    ),
    IFERROR(
      INDEX('Daily Sales'!$C:$AG,
        $A358,
        MATCH(TEXT($B358,"0"),TEXT('Daily Sales'!$C$2:$AG$2,"0"),0)
      ),
    ""),
  "")
)</f>
        <v/>
      </c>
      <c r="I358" s="138" t="str">
        <f t="array" ref="I358">IF($A358="","",
  IF(
    OR(
      AND($A358&gt;=4,$A358&lt;=8),
      AND($A358&gt;=12,$A358&lt;=19),
      AND($A358&gt;=28,$A358&lt;=29)
    ),
    IFERROR(
      INDEX('Daily Sales'!$C:$AG,
        $A358,
        MATCH(TEXT($B358,"0"),TEXT('Daily Sales'!$C$2:$AG$2,"0"),0)
      ),
    ""),
  "")
)</f>
        <v/>
      </c>
      <c r="J358" s="79" t="e">
        <f t="shared" si="4"/>
        <v>#VALUE!</v>
      </c>
      <c r="K358" s="141"/>
      <c r="L358" s="81"/>
      <c r="M358" s="141"/>
      <c r="N358" s="133"/>
      <c r="O358" s="4"/>
      <c r="P358" s="4"/>
      <c r="Q358" s="4"/>
      <c r="R358" s="109"/>
      <c r="S358" s="109"/>
      <c r="T358" s="108"/>
      <c r="U358" s="110"/>
      <c r="V358" s="110"/>
      <c r="W358" s="110"/>
      <c r="X358" s="110"/>
    </row>
    <row r="359" spans="1:24" ht="13.5" customHeight="1">
      <c r="A359" s="110">
        <f>IF(E359="","",MATCH(E359,'Daily Sales'!B$4:B$51,0)+3)</f>
        <v>4</v>
      </c>
      <c r="B359" s="135">
        <v>46185</v>
      </c>
      <c r="C359" s="136" t="s">
        <v>102</v>
      </c>
      <c r="D359" s="137" t="str">
        <f t="array" ref="D359">IF($A359="","",INDEX('Daily Sales'!A:A,$A359))</f>
        <v>4-2100</v>
      </c>
      <c r="E359" s="138" t="s">
        <v>5</v>
      </c>
      <c r="F359" s="139" t="str">
        <f t="shared" si="3"/>
        <v>Sales Food TERRACE</v>
      </c>
      <c r="G359" s="140"/>
      <c r="H359" s="138" t="str">
        <f t="array" ref="H359">IF($A359="","",
  IF(
    OR(
      $A359=23,
      AND($A359&gt;=32,$A359&lt;=50)
    ),
    IFERROR(
      INDEX('Daily Sales'!$C:$AG,
        $A359,
        MATCH(TEXT($B359,"0"),TEXT('Daily Sales'!$C$2:$AG$2,"0"),0)
      ),
    ""),
  "")
)</f>
        <v/>
      </c>
      <c r="I359" s="138">
        <f t="array" ref="I359">IF($A359="","",
  IF(
    OR(
      AND($A359&gt;=4,$A359&lt;=8),
      AND($A359&gt;=12,$A359&lt;=19),
      AND($A359&gt;=28,$A359&lt;=29)
    ),
    IFERROR(
      INDEX('Daily Sales'!$C:$AG,
        $A359,
        MATCH(TEXT($B359,"0"),TEXT('Daily Sales'!$C$2:$AG$2,"0"),0)
      ),
    ""),
  "")
)</f>
        <v>9274000</v>
      </c>
      <c r="J359" s="79" t="e">
        <f t="shared" si="4"/>
        <v>#VALUE!</v>
      </c>
      <c r="K359" s="141"/>
      <c r="L359" s="81"/>
      <c r="M359" s="141"/>
      <c r="N359" s="133"/>
      <c r="O359" s="4"/>
      <c r="P359" s="4"/>
      <c r="Q359" s="4"/>
      <c r="R359" s="109"/>
      <c r="S359" s="109"/>
      <c r="T359" s="108"/>
      <c r="U359" s="110"/>
      <c r="V359" s="110"/>
      <c r="W359" s="110"/>
      <c r="X359" s="110"/>
    </row>
    <row r="360" spans="1:24" ht="13.5" customHeight="1">
      <c r="A360" s="110">
        <f>IF(E360="","",MATCH(E360,'Daily Sales'!B$4:B$51,0)+3)</f>
        <v>5</v>
      </c>
      <c r="B360" s="135">
        <v>46185</v>
      </c>
      <c r="C360" s="136" t="s">
        <v>102</v>
      </c>
      <c r="D360" s="137" t="str">
        <f t="array" ref="D360">IF($A360="","",INDEX('Daily Sales'!A:A,$A360))</f>
        <v>4-2200</v>
      </c>
      <c r="E360" s="138" t="s">
        <v>7</v>
      </c>
      <c r="F360" s="139" t="str">
        <f t="shared" si="3"/>
        <v>Sales Beverages TERRACE</v>
      </c>
      <c r="G360" s="140"/>
      <c r="H360" s="138" t="str">
        <f t="array" ref="H360">IF($A360="","",
  IF(
    OR(
      $A360=23,
      AND($A360&gt;=32,$A360&lt;=50)
    ),
    IFERROR(
      INDEX('Daily Sales'!$C:$AG,
        $A360,
        MATCH(TEXT($B360,"0"),TEXT('Daily Sales'!$C$2:$AG$2,"0"),0)
      ),
    ""),
  "")
)</f>
        <v/>
      </c>
      <c r="I360" s="138">
        <f t="array" ref="I360">IF($A360="","",
  IF(
    OR(
      AND($A360&gt;=4,$A360&lt;=8),
      AND($A360&gt;=12,$A360&lt;=19),
      AND($A360&gt;=28,$A360&lt;=29)
    ),
    IFERROR(
      INDEX('Daily Sales'!$C:$AG,
        $A360,
        MATCH(TEXT($B360,"0"),TEXT('Daily Sales'!$C$2:$AG$2,"0"),0)
      ),
    ""),
  "")
)</f>
        <v>13090000</v>
      </c>
      <c r="J360" s="79" t="e">
        <f t="shared" si="4"/>
        <v>#VALUE!</v>
      </c>
      <c r="K360" s="141"/>
      <c r="L360" s="81"/>
      <c r="M360" s="141"/>
      <c r="N360" s="133"/>
      <c r="O360" s="4"/>
      <c r="P360" s="4"/>
      <c r="Q360" s="4"/>
      <c r="R360" s="109"/>
      <c r="S360" s="109"/>
      <c r="T360" s="108"/>
      <c r="U360" s="110"/>
      <c r="V360" s="110"/>
      <c r="W360" s="110"/>
      <c r="X360" s="110"/>
    </row>
    <row r="361" spans="1:24" ht="13.5" customHeight="1">
      <c r="A361" s="110">
        <f>IF(E361="","",MATCH(E361,'Daily Sales'!B$4:B$51,0)+3)</f>
        <v>6</v>
      </c>
      <c r="B361" s="135">
        <v>46185</v>
      </c>
      <c r="C361" s="136" t="s">
        <v>102</v>
      </c>
      <c r="D361" s="137" t="str">
        <f t="array" ref="D361">IF($A361="","",INDEX('Daily Sales'!A:A,$A361))</f>
        <v>4-2400</v>
      </c>
      <c r="E361" s="138" t="s">
        <v>9</v>
      </c>
      <c r="F361" s="139" t="str">
        <f t="shared" si="3"/>
        <v>Sales Cigarette TERRACE</v>
      </c>
      <c r="G361" s="140"/>
      <c r="H361" s="138" t="str">
        <f t="array" ref="H361">IF($A361="","",
  IF(
    OR(
      $A361=23,
      AND($A361&gt;=32,$A361&lt;=50)
    ),
    IFERROR(
      INDEX('Daily Sales'!$C:$AG,
        $A361,
        MATCH(TEXT($B361,"0"),TEXT('Daily Sales'!$C$2:$AG$2,"0"),0)
      ),
    ""),
  "")
)</f>
        <v/>
      </c>
      <c r="I361" s="138">
        <f t="array" ref="I361">IF($A361="","",
  IF(
    OR(
      AND($A361&gt;=4,$A361&lt;=8),
      AND($A361&gt;=12,$A361&lt;=19),
      AND($A361&gt;=28,$A361&lt;=29)
    ),
    IFERROR(
      INDEX('Daily Sales'!$C:$AG,
        $A361,
        MATCH(TEXT($B361,"0"),TEXT('Daily Sales'!$C$2:$AG$2,"0"),0)
      ),
    ""),
  "")
)</f>
        <v>568000</v>
      </c>
      <c r="J361" s="79" t="e">
        <f t="shared" si="4"/>
        <v>#VALUE!</v>
      </c>
      <c r="K361" s="141"/>
      <c r="L361" s="81"/>
      <c r="M361" s="141"/>
      <c r="N361" s="133"/>
      <c r="O361" s="4"/>
      <c r="P361" s="4"/>
      <c r="Q361" s="4"/>
      <c r="R361" s="109"/>
      <c r="S361" s="109"/>
      <c r="T361" s="108"/>
      <c r="U361" s="110"/>
      <c r="V361" s="110"/>
      <c r="W361" s="110"/>
      <c r="X361" s="110"/>
    </row>
    <row r="362" spans="1:24" ht="13.5" customHeight="1">
      <c r="A362" s="110">
        <f>IF(E362="","",MATCH(E362,'Daily Sales'!B$4:B$51,0)+3)</f>
        <v>7</v>
      </c>
      <c r="B362" s="135">
        <v>46185</v>
      </c>
      <c r="C362" s="136" t="s">
        <v>102</v>
      </c>
      <c r="D362" s="137" t="str">
        <f t="array" ref="D362">IF($A362="","",INDEX('Daily Sales'!A:A,$A362))</f>
        <v>4-2300</v>
      </c>
      <c r="E362" s="138" t="s">
        <v>11</v>
      </c>
      <c r="F362" s="139" t="str">
        <f t="shared" si="3"/>
        <v>Sales Shisa TERRACE</v>
      </c>
      <c r="G362" s="140"/>
      <c r="H362" s="138" t="str">
        <f t="array" ref="H362">IF($A362="","",
  IF(
    OR(
      $A362=23,
      AND($A362&gt;=32,$A362&lt;=50)
    ),
    IFERROR(
      INDEX('Daily Sales'!$C:$AG,
        $A362,
        MATCH(TEXT($B362,"0"),TEXT('Daily Sales'!$C$2:$AG$2,"0"),0)
      ),
    ""),
  "")
)</f>
        <v/>
      </c>
      <c r="I362" s="138">
        <f t="array" ref="I362">IF($A362="","",
  IF(
    OR(
      AND($A362&gt;=4,$A362&lt;=8),
      AND($A362&gt;=12,$A362&lt;=19),
      AND($A362&gt;=28,$A362&lt;=29)
    ),
    IFERROR(
      INDEX('Daily Sales'!$C:$AG,
        $A362,
        MATCH(TEXT($B362,"0"),TEXT('Daily Sales'!$C$2:$AG$2,"0"),0)
      ),
    ""),
  "")
)</f>
        <v>0</v>
      </c>
      <c r="J362" s="79" t="e">
        <f t="shared" si="4"/>
        <v>#VALUE!</v>
      </c>
      <c r="K362" s="141"/>
      <c r="L362" s="81"/>
      <c r="M362" s="141"/>
      <c r="N362" s="133"/>
      <c r="O362" s="4"/>
      <c r="P362" s="4"/>
      <c r="Q362" s="4"/>
      <c r="R362" s="109"/>
      <c r="S362" s="109"/>
      <c r="T362" s="108"/>
      <c r="U362" s="110"/>
      <c r="V362" s="110"/>
      <c r="W362" s="110"/>
      <c r="X362" s="110"/>
    </row>
    <row r="363" spans="1:24" ht="13.5" customHeight="1">
      <c r="A363" s="110">
        <f>IF(E363="","",MATCH(E363,'Daily Sales'!B$4:B$51,0)+3)</f>
        <v>12</v>
      </c>
      <c r="B363" s="135">
        <v>46185</v>
      </c>
      <c r="C363" s="136" t="s">
        <v>102</v>
      </c>
      <c r="D363" s="137" t="str">
        <f t="array" ref="D363">IF($A363="","",INDEX('Daily Sales'!A:A,$A363))</f>
        <v>4-2200</v>
      </c>
      <c r="E363" s="138" t="s">
        <v>17</v>
      </c>
      <c r="F363" s="139" t="str">
        <f t="shared" si="3"/>
        <v>Sales Beverages CLUB</v>
      </c>
      <c r="G363" s="140"/>
      <c r="H363" s="138" t="str">
        <f t="array" ref="H363">IF($A363="","",
  IF(
    OR(
      $A363=23,
      AND($A363&gt;=32,$A363&lt;=50)
    ),
    IFERROR(
      INDEX('Daily Sales'!$C:$AG,
        $A363,
        MATCH(TEXT($B363,"0"),TEXT('Daily Sales'!$C$2:$AG$2,"0"),0)
      ),
    ""),
  "")
)</f>
        <v/>
      </c>
      <c r="I363" s="138">
        <f t="array" ref="I363">IF($A363="","",
  IF(
    OR(
      AND($A363&gt;=4,$A363&lt;=8),
      AND($A363&gt;=12,$A363&lt;=19),
      AND($A363&gt;=28,$A363&lt;=29)
    ),
    IFERROR(
      INDEX('Daily Sales'!$C:$AG,
        $A363,
        MATCH(TEXT($B363,"0"),TEXT('Daily Sales'!$C$2:$AG$2,"0"),0)
      ),
    ""),
  "")
)</f>
        <v>33240000</v>
      </c>
      <c r="J363" s="79" t="e">
        <f t="shared" si="4"/>
        <v>#VALUE!</v>
      </c>
      <c r="K363" s="141"/>
      <c r="L363" s="81"/>
      <c r="M363" s="141"/>
      <c r="N363" s="133"/>
      <c r="O363" s="4"/>
      <c r="P363" s="4"/>
      <c r="Q363" s="4"/>
      <c r="R363" s="109"/>
      <c r="S363" s="109"/>
      <c r="T363" s="108"/>
      <c r="U363" s="110"/>
      <c r="V363" s="110"/>
      <c r="W363" s="110"/>
      <c r="X363" s="110"/>
    </row>
    <row r="364" spans="1:24" ht="13.5" customHeight="1">
      <c r="A364" s="110">
        <f>IF(E364="","",MATCH(E364,'Daily Sales'!B$4:B$51,0)+3)</f>
        <v>13</v>
      </c>
      <c r="B364" s="135">
        <v>46185</v>
      </c>
      <c r="C364" s="136" t="s">
        <v>102</v>
      </c>
      <c r="D364" s="137" t="str">
        <f t="array" ref="D364">IF($A364="","",INDEX('Daily Sales'!A:A,$A364))</f>
        <v>4-2400</v>
      </c>
      <c r="E364" s="138" t="s">
        <v>18</v>
      </c>
      <c r="F364" s="139" t="str">
        <f t="shared" si="3"/>
        <v>Sales Cigarette CLUB</v>
      </c>
      <c r="G364" s="140"/>
      <c r="H364" s="138" t="str">
        <f t="array" ref="H364">IF($A364="","",
  IF(
    OR(
      $A364=23,
      AND($A364&gt;=32,$A364&lt;=50)
    ),
    IFERROR(
      INDEX('Daily Sales'!$C:$AG,
        $A364,
        MATCH(TEXT($B364,"0"),TEXT('Daily Sales'!$C$2:$AG$2,"0"),0)
      ),
    ""),
  "")
)</f>
        <v/>
      </c>
      <c r="I364" s="138">
        <f t="array" ref="I364">IF($A364="","",
  IF(
    OR(
      AND($A364&gt;=4,$A364&lt;=8),
      AND($A364&gt;=12,$A364&lt;=19),
      AND($A364&gt;=28,$A364&lt;=29)
    ),
    IFERROR(
      INDEX('Daily Sales'!$C:$AG,
        $A364,
        MATCH(TEXT($B364,"0"),TEXT('Daily Sales'!$C$2:$AG$2,"0"),0)
      ),
    ""),
  "")
)</f>
        <v>1050000</v>
      </c>
      <c r="J364" s="79" t="e">
        <f t="shared" si="4"/>
        <v>#VALUE!</v>
      </c>
      <c r="K364" s="141"/>
      <c r="L364" s="81"/>
      <c r="M364" s="141"/>
      <c r="N364" s="133"/>
      <c r="O364" s="4"/>
      <c r="P364" s="4"/>
      <c r="Q364" s="4"/>
      <c r="R364" s="109"/>
      <c r="S364" s="109"/>
      <c r="T364" s="108"/>
      <c r="U364" s="110"/>
      <c r="V364" s="110"/>
      <c r="W364" s="110"/>
      <c r="X364" s="110"/>
    </row>
    <row r="365" spans="1:24" ht="13.5" customHeight="1">
      <c r="A365" s="110">
        <f>IF(E365="","",MATCH(E365,'Daily Sales'!B$4:B$51,0)+3)</f>
        <v>14</v>
      </c>
      <c r="B365" s="135">
        <v>46185</v>
      </c>
      <c r="C365" s="136" t="s">
        <v>102</v>
      </c>
      <c r="D365" s="137" t="str">
        <f t="array" ref="D365">IF($A365="","",INDEX('Daily Sales'!A:A,$A365))</f>
        <v>4-2100</v>
      </c>
      <c r="E365" s="138" t="s">
        <v>19</v>
      </c>
      <c r="F365" s="139" t="str">
        <f t="shared" si="3"/>
        <v>Sales Food CLUB</v>
      </c>
      <c r="G365" s="140"/>
      <c r="H365" s="138" t="str">
        <f t="array" ref="H365">IF($A365="","",
  IF(
    OR(
      $A365=23,
      AND($A365&gt;=32,$A365&lt;=50)
    ),
    IFERROR(
      INDEX('Daily Sales'!$C:$AG,
        $A365,
        MATCH(TEXT($B365,"0"),TEXT('Daily Sales'!$C$2:$AG$2,"0"),0)
      ),
    ""),
  "")
)</f>
        <v/>
      </c>
      <c r="I365" s="138">
        <f t="array" ref="I365">IF($A365="","",
  IF(
    OR(
      AND($A365&gt;=4,$A365&lt;=8),
      AND($A365&gt;=12,$A365&lt;=19),
      AND($A365&gt;=28,$A365&lt;=29)
    ),
    IFERROR(
      INDEX('Daily Sales'!$C:$AG,
        $A365,
        MATCH(TEXT($B365,"0"),TEXT('Daily Sales'!$C$2:$AG$2,"0"),0)
      ),
    ""),
  "")
)</f>
        <v>1170000</v>
      </c>
      <c r="J365" s="79" t="e">
        <f t="shared" si="4"/>
        <v>#VALUE!</v>
      </c>
      <c r="K365" s="141"/>
      <c r="L365" s="81"/>
      <c r="M365" s="141"/>
      <c r="N365" s="133"/>
      <c r="O365" s="4"/>
      <c r="P365" s="4"/>
      <c r="Q365" s="4"/>
      <c r="R365" s="109"/>
      <c r="S365" s="109"/>
      <c r="T365" s="108"/>
      <c r="U365" s="110"/>
      <c r="V365" s="110"/>
      <c r="W365" s="110"/>
      <c r="X365" s="110"/>
    </row>
    <row r="366" spans="1:24" ht="13.5" customHeight="1">
      <c r="A366" s="110">
        <f>IF(E366="","",MATCH(E366,'Daily Sales'!B$4:B$51,0)+3)</f>
        <v>15</v>
      </c>
      <c r="B366" s="135">
        <v>46185</v>
      </c>
      <c r="C366" s="136" t="s">
        <v>102</v>
      </c>
      <c r="D366" s="137" t="str">
        <f t="array" ref="D366">IF($A366="","",INDEX('Daily Sales'!A:A,$A366))</f>
        <v>4-2300</v>
      </c>
      <c r="E366" s="138" t="s">
        <v>20</v>
      </c>
      <c r="F366" s="139" t="str">
        <f t="shared" si="3"/>
        <v>Sales Shisa CLUB</v>
      </c>
      <c r="G366" s="140"/>
      <c r="H366" s="138" t="str">
        <f t="array" ref="H366">IF($A366="","",
  IF(
    OR(
      $A366=23,
      AND($A366&gt;=32,$A366&lt;=50)
    ),
    IFERROR(
      INDEX('Daily Sales'!$C:$AG,
        $A366,
        MATCH(TEXT($B366,"0"),TEXT('Daily Sales'!$C$2:$AG$2,"0"),0)
      ),
    ""),
  "")
)</f>
        <v/>
      </c>
      <c r="I366" s="138">
        <f t="array" ref="I366">IF($A366="","",
  IF(
    OR(
      AND($A366&gt;=4,$A366&lt;=8),
      AND($A366&gt;=12,$A366&lt;=19),
      AND($A366&gt;=28,$A366&lt;=29)
    ),
    IFERROR(
      INDEX('Daily Sales'!$C:$AG,
        $A366,
        MATCH(TEXT($B366,"0"),TEXT('Daily Sales'!$C$2:$AG$2,"0"),0)
      ),
    ""),
  "")
)</f>
        <v>750000</v>
      </c>
      <c r="J366" s="79" t="e">
        <f t="shared" si="4"/>
        <v>#VALUE!</v>
      </c>
      <c r="K366" s="141"/>
      <c r="L366" s="81"/>
      <c r="M366" s="141"/>
      <c r="N366" s="133"/>
      <c r="O366" s="4"/>
      <c r="P366" s="4"/>
      <c r="Q366" s="4"/>
      <c r="R366" s="109"/>
      <c r="S366" s="109"/>
      <c r="T366" s="108"/>
      <c r="U366" s="110"/>
      <c r="V366" s="110"/>
      <c r="W366" s="110"/>
      <c r="X366" s="110"/>
    </row>
    <row r="367" spans="1:24" ht="13.5" customHeight="1">
      <c r="A367" s="110">
        <f>IF(E367="","",MATCH(E367,'Daily Sales'!B$4:B$51,0)+3)</f>
        <v>17</v>
      </c>
      <c r="B367" s="135">
        <v>46185</v>
      </c>
      <c r="C367" s="136" t="s">
        <v>102</v>
      </c>
      <c r="D367" s="137" t="str">
        <f t="array" ref="D367">IF($A367="","",INDEX('Daily Sales'!A:A,$A367))</f>
        <v>4-2601</v>
      </c>
      <c r="E367" s="138" t="s">
        <v>23</v>
      </c>
      <c r="F367" s="139" t="str">
        <f t="shared" si="3"/>
        <v xml:space="preserve">Misc </v>
      </c>
      <c r="G367" s="140"/>
      <c r="H367" s="138" t="str">
        <f t="array" ref="H367">IF($A367="","",
  IF(
    OR(
      $A367=23,
      AND($A367&gt;=32,$A367&lt;=50)
    ),
    IFERROR(
      INDEX('Daily Sales'!$C:$AG,
        $A367,
        MATCH(TEXT($B367,"0"),TEXT('Daily Sales'!$C$2:$AG$2,"0"),0)
      ),
    ""),
  "")
)</f>
        <v/>
      </c>
      <c r="I367" s="138">
        <f t="array" ref="I367">IF($A367="","",
  IF(
    OR(
      AND($A367&gt;=4,$A367&lt;=8),
      AND($A367&gt;=12,$A367&lt;=19),
      AND($A367&gt;=28,$A367&lt;=29)
    ),
    IFERROR(
      INDEX('Daily Sales'!$C:$AG,
        $A367,
        MATCH(TEXT($B367,"0"),TEXT('Daily Sales'!$C$2:$AG$2,"0"),0)
      ),
    ""),
  "")
)</f>
        <v>0</v>
      </c>
      <c r="J367" s="79" t="e">
        <f t="shared" si="4"/>
        <v>#VALUE!</v>
      </c>
      <c r="K367" s="141"/>
      <c r="L367" s="81"/>
      <c r="M367" s="141"/>
      <c r="N367" s="133"/>
      <c r="O367" s="4"/>
      <c r="P367" s="4"/>
      <c r="Q367" s="4"/>
      <c r="R367" s="109"/>
      <c r="S367" s="109"/>
      <c r="T367" s="108"/>
      <c r="U367" s="110"/>
      <c r="V367" s="110"/>
      <c r="W367" s="110"/>
      <c r="X367" s="110"/>
    </row>
    <row r="368" spans="1:24" ht="13.5" customHeight="1">
      <c r="A368" s="110">
        <f>IF(E368="","",MATCH(E368,'Daily Sales'!B$4:B$51,0)+3)</f>
        <v>19</v>
      </c>
      <c r="B368" s="135">
        <v>46185</v>
      </c>
      <c r="C368" s="136" t="s">
        <v>102</v>
      </c>
      <c r="D368" s="137" t="str">
        <f t="array" ref="D368">IF($A368="","",INDEX('Daily Sales'!A:A,$A368))</f>
        <v>4-2500</v>
      </c>
      <c r="E368" s="138" t="s">
        <v>26</v>
      </c>
      <c r="F368" s="139" t="str">
        <f t="shared" si="3"/>
        <v>Sales Ticket</v>
      </c>
      <c r="G368" s="140"/>
      <c r="H368" s="138" t="str">
        <f t="array" ref="H368">IF($A368="","",
  IF(
    OR(
      $A368=23,
      AND($A368&gt;=32,$A368&lt;=50)
    ),
    IFERROR(
      INDEX('Daily Sales'!$C:$AG,
        $A368,
        MATCH(TEXT($B368,"0"),TEXT('Daily Sales'!$C$2:$AG$2,"0"),0)
      ),
    ""),
  "")
)</f>
        <v/>
      </c>
      <c r="I368" s="138">
        <f t="array" ref="I368">IF($A368="","",
  IF(
    OR(
      AND($A368&gt;=4,$A368&lt;=8),
      AND($A368&gt;=12,$A368&lt;=19),
      AND($A368&gt;=28,$A368&lt;=29)
    ),
    IFERROR(
      INDEX('Daily Sales'!$C:$AG,
        $A368,
        MATCH(TEXT($B368,"0"),TEXT('Daily Sales'!$C$2:$AG$2,"0"),0)
      ),
    ""),
  "")
)</f>
        <v>17842020</v>
      </c>
      <c r="J368" s="79" t="e">
        <f t="shared" si="4"/>
        <v>#VALUE!</v>
      </c>
      <c r="K368" s="141"/>
      <c r="L368" s="81"/>
      <c r="M368" s="141"/>
      <c r="N368" s="133"/>
      <c r="O368" s="4"/>
      <c r="P368" s="4"/>
      <c r="Q368" s="4"/>
      <c r="R368" s="109"/>
      <c r="S368" s="109"/>
      <c r="T368" s="108"/>
      <c r="U368" s="110"/>
      <c r="V368" s="110"/>
      <c r="W368" s="110"/>
      <c r="X368" s="110"/>
    </row>
    <row r="369" spans="1:24" ht="13.5" customHeight="1">
      <c r="A369" s="110">
        <f>IF(E369="","",MATCH(E369,'Daily Sales'!B$4:B$51,0)+3)</f>
        <v>28</v>
      </c>
      <c r="B369" s="135">
        <v>46185</v>
      </c>
      <c r="C369" s="136" t="s">
        <v>102</v>
      </c>
      <c r="D369" s="137" t="str">
        <f t="array" ref="D369">IF($A369="","",INDEX('Daily Sales'!A:A,$A369))</f>
        <v>2-2106</v>
      </c>
      <c r="E369" s="138" t="s">
        <v>35</v>
      </c>
      <c r="F369" s="139" t="str">
        <f t="shared" si="3"/>
        <v>Service Charges 7%</v>
      </c>
      <c r="G369" s="140"/>
      <c r="H369" s="138" t="str">
        <f t="array" ref="H369">IF($A369="","",
  IF(
    OR(
      $A369=23,
      AND($A369&gt;=32,$A369&lt;=50)
    ),
    IFERROR(
      INDEX('Daily Sales'!$C:$AG,
        $A369,
        MATCH(TEXT($B369,"0"),TEXT('Daily Sales'!$C$2:$AG$2,"0"),0)
      ),
    ""),
  "")
)</f>
        <v/>
      </c>
      <c r="I369" s="138">
        <f t="array" ref="I369">IF($A369="","",
  IF(
    OR(
      AND($A369&gt;=4,$A369&lt;=8),
      AND($A369&gt;=12,$A369&lt;=19),
      AND($A369&gt;=28,$A369&lt;=29)
    ),
    IFERROR(
      INDEX('Daily Sales'!$C:$AG,
        $A369,
        MATCH(TEXT($B369,"0"),TEXT('Daily Sales'!$C$2:$AG$2,"0"),0)
      ),
    ""),
  "")
)</f>
        <v>5292561.4000000004</v>
      </c>
      <c r="J369" s="79" t="e">
        <f t="shared" si="4"/>
        <v>#VALUE!</v>
      </c>
      <c r="K369" s="141"/>
      <c r="L369" s="81"/>
      <c r="M369" s="141"/>
      <c r="N369" s="133"/>
      <c r="O369" s="4"/>
      <c r="P369" s="4"/>
      <c r="Q369" s="4"/>
      <c r="R369" s="109"/>
      <c r="S369" s="109"/>
      <c r="T369" s="108"/>
      <c r="U369" s="110"/>
      <c r="V369" s="110"/>
      <c r="W369" s="110"/>
      <c r="X369" s="110"/>
    </row>
    <row r="370" spans="1:24" ht="13.5" customHeight="1">
      <c r="A370" s="110">
        <f>IF(E370="","",MATCH(E370,'Daily Sales'!B$4:B$51,0)+3)</f>
        <v>29</v>
      </c>
      <c r="B370" s="135">
        <v>46185</v>
      </c>
      <c r="C370" s="136" t="s">
        <v>102</v>
      </c>
      <c r="D370" s="137" t="str">
        <f t="array" ref="D370">IF($A370="","",INDEX('Daily Sales'!A:A,$A370))</f>
        <v>2-3101</v>
      </c>
      <c r="E370" s="138" t="s">
        <v>37</v>
      </c>
      <c r="F370" s="139" t="str">
        <f t="shared" si="3"/>
        <v>Tax PB1 10%</v>
      </c>
      <c r="G370" s="140"/>
      <c r="H370" s="138" t="str">
        <f t="array" ref="H370">IF($A370="","",
  IF(
    OR(
      $A370=23,
      AND($A370&gt;=32,$A370&lt;=50)
    ),
    IFERROR(
      INDEX('Daily Sales'!$C:$AG,
        $A370,
        MATCH(TEXT($B370,"0"),TEXT('Daily Sales'!$C$2:$AG$2,"0"),0)
      ),
    ""),
  "")
)</f>
        <v/>
      </c>
      <c r="I370" s="138">
        <f t="array" ref="I370">IF($A370="","",
  IF(
    OR(
      AND($A370&gt;=4,$A370&lt;=8),
      AND($A370&gt;=12,$A370&lt;=19),
      AND($A370&gt;=28,$A370&lt;=29)
    ),
    IFERROR(
      INDEX('Daily Sales'!$C:$AG,
        $A370,
        MATCH(TEXT($B370,"0"),TEXT('Daily Sales'!$C$2:$AG$2,"0"),0)
      ),
    ""),
  "")
)</f>
        <v>8090058.1400000006</v>
      </c>
      <c r="J370" s="79" t="e">
        <f t="shared" si="4"/>
        <v>#VALUE!</v>
      </c>
      <c r="K370" s="141"/>
      <c r="L370" s="81"/>
      <c r="M370" s="141"/>
      <c r="N370" s="133"/>
      <c r="O370" s="4"/>
      <c r="P370" s="4"/>
      <c r="Q370" s="4"/>
      <c r="R370" s="109"/>
      <c r="S370" s="109"/>
      <c r="T370" s="108"/>
      <c r="U370" s="110"/>
      <c r="V370" s="110"/>
      <c r="W370" s="110"/>
      <c r="X370" s="110"/>
    </row>
    <row r="371" spans="1:24" ht="13.5" customHeight="1">
      <c r="A371" s="110">
        <f>IF(E371="","",MATCH(E371,'Daily Sales'!B$4:B$51,0)+3)</f>
        <v>23</v>
      </c>
      <c r="B371" s="135">
        <v>46185</v>
      </c>
      <c r="C371" s="136" t="s">
        <v>102</v>
      </c>
      <c r="D371" s="137" t="str">
        <f t="array" ref="D371">IF($A371="","",INDEX('Daily Sales'!A:A,$A371))</f>
        <v>4-5110</v>
      </c>
      <c r="E371" s="138" t="s">
        <v>30</v>
      </c>
      <c r="F371" s="139" t="str">
        <f t="shared" si="3"/>
        <v>Discount</v>
      </c>
      <c r="G371" s="140"/>
      <c r="H371" s="138">
        <f t="array" ref="H371">IF($A371="","",
  IF(
    OR(
      $A371=23,
      AND($A371&gt;=32,$A371&lt;=50)
    ),
    IFERROR(
      INDEX('Daily Sales'!$C:$AG,
        $A371,
        MATCH(TEXT($B371,"0"),TEXT('Daily Sales'!$C$2:$AG$2,"0"),0)
      ),
    ""),
  "")
)</f>
        <v>1376000</v>
      </c>
      <c r="I371" s="138" t="str">
        <f t="array" ref="I371">IF($A371="","",
  IF(
    OR(
      AND($A371&gt;=4,$A371&lt;=8),
      AND($A371&gt;=12,$A371&lt;=19),
      AND($A371&gt;=28,$A371&lt;=29)
    ),
    IFERROR(
      INDEX('Daily Sales'!$C:$AG,
        $A371,
        MATCH(TEXT($B371,"0"),TEXT('Daily Sales'!$C$2:$AG$2,"0"),0)
      ),
    ""),
  "")
)</f>
        <v/>
      </c>
      <c r="J371" s="79" t="e">
        <f t="shared" si="4"/>
        <v>#VALUE!</v>
      </c>
      <c r="K371" s="141"/>
      <c r="L371" s="81"/>
      <c r="M371" s="141"/>
      <c r="N371" s="133"/>
      <c r="O371" s="4"/>
      <c r="P371" s="4"/>
      <c r="Q371" s="4"/>
      <c r="R371" s="109"/>
      <c r="S371" s="109"/>
      <c r="T371" s="108"/>
      <c r="U371" s="110"/>
      <c r="V371" s="110"/>
      <c r="W371" s="110"/>
      <c r="X371" s="110"/>
    </row>
    <row r="372" spans="1:24" ht="13.5" customHeight="1">
      <c r="A372" s="110">
        <f>IF(E372="","",MATCH(E372,'Daily Sales'!B$4:B$51,0)+3)</f>
        <v>32</v>
      </c>
      <c r="B372" s="135">
        <v>46185</v>
      </c>
      <c r="C372" s="136" t="s">
        <v>102</v>
      </c>
      <c r="D372" s="137" t="str">
        <f t="array" ref="D372">IF($A372="","",INDEX('Daily Sales'!A:A,$A372))</f>
        <v>1-1119</v>
      </c>
      <c r="E372" s="138" t="s">
        <v>40</v>
      </c>
      <c r="F372" s="139" t="str">
        <f t="shared" si="3"/>
        <v>Cash IDR</v>
      </c>
      <c r="G372" s="140"/>
      <c r="H372" s="138">
        <f t="array" ref="H372">IF($A372="","",
  IF(
    OR(
      $A372=23,
      AND($A372&gt;=32,$A372&lt;=50)
    ),
    IFERROR(
      INDEX('Daily Sales'!$C:$AG,
        $A372,
        MATCH(TEXT($B372,"0"),TEXT('Daily Sales'!$C$2:$AG$2,"0"),0)
      ),
    ""),
  "")
)</f>
        <v>8827640</v>
      </c>
      <c r="I372" s="138" t="str">
        <f t="array" ref="I372">IF($A372="","",
  IF(
    OR(
      AND($A372&gt;=4,$A372&lt;=8),
      AND($A372&gt;=12,$A372&lt;=19),
      AND($A372&gt;=28,$A372&lt;=29)
    ),
    IFERROR(
      INDEX('Daily Sales'!$C:$AG,
        $A372,
        MATCH(TEXT($B372,"0"),TEXT('Daily Sales'!$C$2:$AG$2,"0"),0)
      ),
    ""),
  "")
)</f>
        <v/>
      </c>
      <c r="J372" s="79" t="e">
        <f t="shared" si="4"/>
        <v>#VALUE!</v>
      </c>
      <c r="K372" s="141"/>
      <c r="L372" s="81"/>
      <c r="M372" s="141"/>
      <c r="N372" s="133"/>
      <c r="O372" s="4"/>
      <c r="P372" s="4"/>
      <c r="Q372" s="4"/>
      <c r="R372" s="109"/>
      <c r="S372" s="109"/>
      <c r="T372" s="108"/>
      <c r="U372" s="110"/>
      <c r="V372" s="110"/>
      <c r="W372" s="110"/>
      <c r="X372" s="110"/>
    </row>
    <row r="373" spans="1:24" ht="13.5" customHeight="1">
      <c r="A373" s="110">
        <f>IF(E373="","",MATCH(E373,'Daily Sales'!B$4:B$51,0)+3)</f>
        <v>33</v>
      </c>
      <c r="B373" s="135">
        <v>46185</v>
      </c>
      <c r="C373" s="136" t="s">
        <v>102</v>
      </c>
      <c r="D373" s="137" t="str">
        <f t="array" ref="D373">IF($A373="","",INDEX('Daily Sales'!A:A,$A373))</f>
        <v>1-1217</v>
      </c>
      <c r="E373" s="138" t="s">
        <v>43</v>
      </c>
      <c r="F373" s="139" t="str">
        <f t="shared" si="3"/>
        <v>Bank transfer</v>
      </c>
      <c r="G373" s="140"/>
      <c r="H373" s="138">
        <f t="array" ref="H373">IF($A373="","",
  IF(
    OR(
      $A373=23,
      AND($A373&gt;=32,$A373&lt;=50)
    ),
    IFERROR(
      INDEX('Daily Sales'!$C:$AG,
        $A373,
        MATCH(TEXT($B373,"0"),TEXT('Daily Sales'!$C$2:$AG$2,"0"),0)
      ),
    ""),
  "")
)</f>
        <v>0</v>
      </c>
      <c r="I373" s="138" t="str">
        <f t="array" ref="I373">IF($A373="","",
  IF(
    OR(
      AND($A373&gt;=4,$A373&lt;=8),
      AND($A373&gt;=12,$A373&lt;=19),
      AND($A373&gt;=28,$A373&lt;=29)
    ),
    IFERROR(
      INDEX('Daily Sales'!$C:$AG,
        $A373,
        MATCH(TEXT($B373,"0"),TEXT('Daily Sales'!$C$2:$AG$2,"0"),0)
      ),
    ""),
  "")
)</f>
        <v/>
      </c>
      <c r="J373" s="79" t="e">
        <f t="shared" si="4"/>
        <v>#VALUE!</v>
      </c>
      <c r="K373" s="141"/>
      <c r="L373" s="81"/>
      <c r="M373" s="141"/>
      <c r="N373" s="133"/>
      <c r="O373" s="4"/>
      <c r="P373" s="4"/>
      <c r="Q373" s="4"/>
      <c r="R373" s="109"/>
      <c r="S373" s="109"/>
      <c r="T373" s="108"/>
      <c r="U373" s="110"/>
      <c r="V373" s="110"/>
      <c r="W373" s="110"/>
      <c r="X373" s="110"/>
    </row>
    <row r="374" spans="1:24" ht="13.5" customHeight="1">
      <c r="A374" s="110">
        <f>IF(E374="","",MATCH(E374,'Daily Sales'!B$4:B$51,0)+3)</f>
        <v>35</v>
      </c>
      <c r="B374" s="135">
        <v>46185</v>
      </c>
      <c r="C374" s="136" t="s">
        <v>102</v>
      </c>
      <c r="D374" s="137" t="str">
        <f t="array" ref="D374">IF($A374="","",INDEX('Daily Sales'!A:A,$A374))</f>
        <v>1-1216</v>
      </c>
      <c r="E374" s="138" t="s">
        <v>46</v>
      </c>
      <c r="F374" s="139" t="str">
        <f t="shared" si="3"/>
        <v>Cim Niaga TBB</v>
      </c>
      <c r="G374" s="140"/>
      <c r="H374" s="138">
        <f t="array" ref="H374">IF($A374="","",
  IF(
    OR(
      $A374=23,
      AND($A374&gt;=32,$A374&lt;=50)
    ),
    IFERROR(
      INDEX('Daily Sales'!$C:$AG,
        $A374,
        MATCH(TEXT($B374,"0"),TEXT('Daily Sales'!$C$2:$AG$2,"0"),0)
      ),
    ""),
  "")
)</f>
        <v>5117700</v>
      </c>
      <c r="I374" s="138" t="str">
        <f t="array" ref="I374">IF($A374="","",
  IF(
    OR(
      AND($A374&gt;=4,$A374&lt;=8),
      AND($A374&gt;=12,$A374&lt;=19),
      AND($A374&gt;=28,$A374&lt;=29)
    ),
    IFERROR(
      INDEX('Daily Sales'!$C:$AG,
        $A374,
        MATCH(TEXT($B374,"0"),TEXT('Daily Sales'!$C$2:$AG$2,"0"),0)
      ),
    ""),
  "")
)</f>
        <v/>
      </c>
      <c r="J374" s="79" t="e">
        <f t="shared" si="4"/>
        <v>#VALUE!</v>
      </c>
      <c r="K374" s="141"/>
      <c r="L374" s="81"/>
      <c r="M374" s="141"/>
      <c r="N374" s="133"/>
      <c r="O374" s="4"/>
      <c r="P374" s="4"/>
      <c r="Q374" s="4"/>
      <c r="R374" s="109"/>
      <c r="S374" s="109"/>
      <c r="T374" s="108"/>
      <c r="U374" s="110"/>
      <c r="V374" s="110"/>
      <c r="W374" s="110"/>
      <c r="X374" s="110"/>
    </row>
    <row r="375" spans="1:24" ht="13.5" customHeight="1">
      <c r="A375" s="110">
        <f>IF(E375="","",MATCH(E375,'Daily Sales'!B$4:B$51,0)+3)</f>
        <v>36</v>
      </c>
      <c r="B375" s="135">
        <v>46185</v>
      </c>
      <c r="C375" s="136" t="s">
        <v>102</v>
      </c>
      <c r="D375" s="137" t="str">
        <f t="array" ref="D375">IF($A375="","",INDEX('Daily Sales'!A:A,$A375))</f>
        <v>1-1213</v>
      </c>
      <c r="E375" s="138" t="s">
        <v>49</v>
      </c>
      <c r="F375" s="139" t="str">
        <f t="shared" si="3"/>
        <v>Mandiri Debet</v>
      </c>
      <c r="G375" s="140"/>
      <c r="H375" s="138">
        <f t="array" ref="H375">IF($A375="","",
  IF(
    OR(
      $A375=23,
      AND($A375&gt;=32,$A375&lt;=50)
    ),
    IFERROR(
      INDEX('Daily Sales'!$C:$AG,
        $A375,
        MATCH(TEXT($B375,"0"),TEXT('Daily Sales'!$C$2:$AG$2,"0"),0)
      ),
    ""),
  "")
)</f>
        <v>250000</v>
      </c>
      <c r="I375" s="138" t="str">
        <f t="array" ref="I375">IF($A375="","",
  IF(
    OR(
      AND($A375&gt;=4,$A375&lt;=8),
      AND($A375&gt;=12,$A375&lt;=19),
      AND($A375&gt;=28,$A375&lt;=29)
    ),
    IFERROR(
      INDEX('Daily Sales'!$C:$AG,
        $A375,
        MATCH(TEXT($B375,"0"),TEXT('Daily Sales'!$C$2:$AG$2,"0"),0)
      ),
    ""),
  "")
)</f>
        <v/>
      </c>
      <c r="J375" s="79" t="e">
        <f t="shared" si="4"/>
        <v>#VALUE!</v>
      </c>
      <c r="K375" s="141"/>
      <c r="L375" s="81"/>
      <c r="M375" s="141"/>
      <c r="N375" s="133"/>
      <c r="O375" s="4"/>
      <c r="P375" s="4"/>
      <c r="Q375" s="4"/>
      <c r="R375" s="109"/>
      <c r="S375" s="109"/>
      <c r="T375" s="108"/>
      <c r="U375" s="110"/>
      <c r="V375" s="110"/>
      <c r="W375" s="110"/>
      <c r="X375" s="110"/>
    </row>
    <row r="376" spans="1:24" ht="13.5" customHeight="1">
      <c r="A376" s="110">
        <f>IF(E376="","",MATCH(E376,'Daily Sales'!B$4:B$51,0)+3)</f>
        <v>37</v>
      </c>
      <c r="B376" s="135">
        <v>46185</v>
      </c>
      <c r="C376" s="136" t="s">
        <v>102</v>
      </c>
      <c r="D376" s="137" t="str">
        <f t="array" ref="D376">IF($A376="","",INDEX('Daily Sales'!A:A,$A376))</f>
        <v>1-1213</v>
      </c>
      <c r="E376" s="138" t="s">
        <v>50</v>
      </c>
      <c r="F376" s="139" t="str">
        <f t="shared" si="3"/>
        <v>Mandiri CC</v>
      </c>
      <c r="G376" s="140"/>
      <c r="H376" s="138">
        <f t="array" ref="H376">IF($A376="","",
  IF(
    OR(
      $A376=23,
      AND($A376&gt;=32,$A376&lt;=50)
    ),
    IFERROR(
      INDEX('Daily Sales'!$C:$AG,
        $A376,
        MATCH(TEXT($B376,"0"),TEXT('Daily Sales'!$C$2:$AG$2,"0"),0)
      ),
    ""),
  "")
)</f>
        <v>42195762</v>
      </c>
      <c r="I376" s="138" t="str">
        <f t="array" ref="I376">IF($A376="","",
  IF(
    OR(
      AND($A376&gt;=4,$A376&lt;=8),
      AND($A376&gt;=12,$A376&lt;=19),
      AND($A376&gt;=28,$A376&lt;=29)
    ),
    IFERROR(
      INDEX('Daily Sales'!$C:$AG,
        $A376,
        MATCH(TEXT($B376,"0"),TEXT('Daily Sales'!$C$2:$AG$2,"0"),0)
      ),
    ""),
  "")
)</f>
        <v/>
      </c>
      <c r="J376" s="79" t="e">
        <f t="shared" si="4"/>
        <v>#VALUE!</v>
      </c>
      <c r="K376" s="141"/>
      <c r="L376" s="81"/>
      <c r="M376" s="141"/>
      <c r="N376" s="133"/>
      <c r="O376" s="4"/>
      <c r="P376" s="4"/>
      <c r="Q376" s="4"/>
      <c r="R376" s="109"/>
      <c r="S376" s="109"/>
      <c r="T376" s="108"/>
      <c r="U376" s="110"/>
      <c r="V376" s="110"/>
      <c r="W376" s="110"/>
      <c r="X376" s="110"/>
    </row>
    <row r="377" spans="1:24" ht="13.5" customHeight="1">
      <c r="A377" s="110">
        <f>IF(E377="","",MATCH(E377,'Daily Sales'!B$4:B$51,0)+3)</f>
        <v>38</v>
      </c>
      <c r="B377" s="135">
        <v>46185</v>
      </c>
      <c r="C377" s="136" t="s">
        <v>102</v>
      </c>
      <c r="D377" s="137" t="str">
        <f t="array" ref="D377">IF($A377="","",INDEX('Daily Sales'!A:A,$A377))</f>
        <v>1-1213</v>
      </c>
      <c r="E377" s="138" t="s">
        <v>51</v>
      </c>
      <c r="F377" s="139" t="str">
        <f t="shared" si="3"/>
        <v>Mandiri NPG</v>
      </c>
      <c r="G377" s="140"/>
      <c r="H377" s="138">
        <f t="array" ref="H377">IF($A377="","",
  IF(
    OR(
      $A377=23,
      AND($A377&gt;=32,$A377&lt;=50)
    ),
    IFERROR(
      INDEX('Daily Sales'!$C:$AG,
        $A377,
        MATCH(TEXT($B377,"0"),TEXT('Daily Sales'!$C$2:$AG$2,"0"),0)
      ),
    ""),
  "")
)</f>
        <v>5301650</v>
      </c>
      <c r="I377" s="138" t="str">
        <f t="array" ref="I377">IF($A377="","",
  IF(
    OR(
      AND($A377&gt;=4,$A377&lt;=8),
      AND($A377&gt;=12,$A377&lt;=19),
      AND($A377&gt;=28,$A377&lt;=29)
    ),
    IFERROR(
      INDEX('Daily Sales'!$C:$AG,
        $A377,
        MATCH(TEXT($B377,"0"),TEXT('Daily Sales'!$C$2:$AG$2,"0"),0)
      ),
    ""),
  "")
)</f>
        <v/>
      </c>
      <c r="J377" s="79" t="e">
        <f t="shared" si="4"/>
        <v>#VALUE!</v>
      </c>
      <c r="K377" s="141"/>
      <c r="L377" s="81"/>
      <c r="M377" s="141"/>
      <c r="N377" s="133"/>
      <c r="O377" s="4"/>
      <c r="P377" s="4"/>
      <c r="Q377" s="4"/>
      <c r="R377" s="109"/>
      <c r="S377" s="109"/>
      <c r="T377" s="108"/>
      <c r="U377" s="110"/>
      <c r="V377" s="110"/>
      <c r="W377" s="110"/>
      <c r="X377" s="110"/>
    </row>
    <row r="378" spans="1:24" ht="13.5" customHeight="1">
      <c r="A378" s="110">
        <f>IF(E378="","",MATCH(E378,'Daily Sales'!B$4:B$51,0)+3)</f>
        <v>39</v>
      </c>
      <c r="B378" s="135">
        <v>46185</v>
      </c>
      <c r="C378" s="136" t="s">
        <v>102</v>
      </c>
      <c r="D378" s="137" t="str">
        <f t="array" ref="D378">IF($A378="","",INDEX('Daily Sales'!A:A,$A378))</f>
        <v>1-1213</v>
      </c>
      <c r="E378" s="138" t="s">
        <v>52</v>
      </c>
      <c r="F378" s="139" t="str">
        <f t="shared" si="3"/>
        <v>Mandiri QR</v>
      </c>
      <c r="G378" s="140"/>
      <c r="H378" s="138">
        <f t="array" ref="H378">IF($A378="","",
  IF(
    OR(
      $A378=23,
      AND($A378&gt;=32,$A378&lt;=50)
    ),
    IFERROR(
      INDEX('Daily Sales'!$C:$AG,
        $A378,
        MATCH(TEXT($B378,"0"),TEXT('Daily Sales'!$C$2:$AG$2,"0"),0)
      ),
    ""),
  "")
)</f>
        <v>8631698</v>
      </c>
      <c r="I378" s="138" t="str">
        <f t="array" ref="I378">IF($A378="","",
  IF(
    OR(
      AND($A378&gt;=4,$A378&lt;=8),
      AND($A378&gt;=12,$A378&lt;=19),
      AND($A378&gt;=28,$A378&lt;=29)
    ),
    IFERROR(
      INDEX('Daily Sales'!$C:$AG,
        $A378,
        MATCH(TEXT($B378,"0"),TEXT('Daily Sales'!$C$2:$AG$2,"0"),0)
      ),
    ""),
  "")
)</f>
        <v/>
      </c>
      <c r="J378" s="79" t="e">
        <f t="shared" si="4"/>
        <v>#VALUE!</v>
      </c>
      <c r="K378" s="141"/>
      <c r="L378" s="81"/>
      <c r="M378" s="141"/>
      <c r="N378" s="133"/>
      <c r="O378" s="4"/>
      <c r="P378" s="4"/>
      <c r="Q378" s="4"/>
      <c r="R378" s="109"/>
      <c r="S378" s="109"/>
      <c r="T378" s="108"/>
      <c r="U378" s="110"/>
      <c r="V378" s="110"/>
      <c r="W378" s="110"/>
      <c r="X378" s="110"/>
    </row>
    <row r="379" spans="1:24" ht="13.5" customHeight="1">
      <c r="A379" s="110">
        <f>IF(E379="","",MATCH(E379,'Daily Sales'!B$4:B$51,0)+3)</f>
        <v>40</v>
      </c>
      <c r="B379" s="135">
        <v>46185</v>
      </c>
      <c r="C379" s="136" t="s">
        <v>102</v>
      </c>
      <c r="D379" s="137" t="str">
        <f t="array" ref="D379">IF($A379="","",INDEX('Daily Sales'!A:A,$A379))</f>
        <v>1-1217</v>
      </c>
      <c r="E379" s="138" t="s">
        <v>54</v>
      </c>
      <c r="F379" s="139" t="str">
        <f t="shared" si="3"/>
        <v>BCA CC</v>
      </c>
      <c r="G379" s="140"/>
      <c r="H379" s="138">
        <f t="array" ref="H379">IF($A379="","",
  IF(
    OR(
      $A379=23,
      AND($A379&gt;=32,$A379&lt;=50)
    ),
    IFERROR(
      INDEX('Daily Sales'!$C:$AG,
        $A379,
        MATCH(TEXT($B379,"0"),TEXT('Daily Sales'!$C$2:$AG$2,"0"),0)
      ),
    ""),
  "")
)</f>
        <v>14708542</v>
      </c>
      <c r="I379" s="138" t="str">
        <f t="array" ref="I379">IF($A379="","",
  IF(
    OR(
      AND($A379&gt;=4,$A379&lt;=8),
      AND($A379&gt;=12,$A379&lt;=19),
      AND($A379&gt;=28,$A379&lt;=29)
    ),
    IFERROR(
      INDEX('Daily Sales'!$C:$AG,
        $A379,
        MATCH(TEXT($B379,"0"),TEXT('Daily Sales'!$C$2:$AG$2,"0"),0)
      ),
    ""),
  "")
)</f>
        <v/>
      </c>
      <c r="J379" s="79" t="e">
        <f t="shared" si="4"/>
        <v>#VALUE!</v>
      </c>
      <c r="K379" s="141"/>
      <c r="L379" s="81"/>
      <c r="M379" s="141"/>
      <c r="N379" s="133"/>
      <c r="O379" s="4"/>
      <c r="P379" s="4"/>
      <c r="Q379" s="4"/>
      <c r="R379" s="109"/>
      <c r="S379" s="109"/>
      <c r="T379" s="108"/>
      <c r="U379" s="110"/>
      <c r="V379" s="110"/>
      <c r="W379" s="110"/>
      <c r="X379" s="110"/>
    </row>
    <row r="380" spans="1:24" ht="13.5" customHeight="1">
      <c r="A380" s="110">
        <f>IF(E380="","",MATCH(E380,'Daily Sales'!B$4:B$51,0)+3)</f>
        <v>41</v>
      </c>
      <c r="B380" s="135">
        <v>46185</v>
      </c>
      <c r="C380" s="136" t="s">
        <v>102</v>
      </c>
      <c r="D380" s="137" t="str">
        <f t="array" ref="D380">IF($A380="","",INDEX('Daily Sales'!A:A,$A380))</f>
        <v>1-1217</v>
      </c>
      <c r="E380" s="138" t="s">
        <v>55</v>
      </c>
      <c r="F380" s="139" t="str">
        <f t="shared" si="3"/>
        <v>BCA debt</v>
      </c>
      <c r="G380" s="140"/>
      <c r="H380" s="138">
        <f t="array" ref="H380">IF($A380="","",
  IF(
    OR(
      $A380=23,
      AND($A380&gt;=32,$A380&lt;=50)
    ),
    IFERROR(
      INDEX('Daily Sales'!$C:$AG,
        $A380,
        MATCH(TEXT($B380,"0"),TEXT('Daily Sales'!$C$2:$AG$2,"0"),0)
      ),
    ""),
  "")
)</f>
        <v>3719320</v>
      </c>
      <c r="I380" s="138" t="str">
        <f t="array" ref="I380">IF($A380="","",
  IF(
    OR(
      AND($A380&gt;=4,$A380&lt;=8),
      AND($A380&gt;=12,$A380&lt;=19),
      AND($A380&gt;=28,$A380&lt;=29)
    ),
    IFERROR(
      INDEX('Daily Sales'!$C:$AG,
        $A380,
        MATCH(TEXT($B380,"0"),TEXT('Daily Sales'!$C$2:$AG$2,"0"),0)
      ),
    ""),
  "")
)</f>
        <v/>
      </c>
      <c r="J380" s="79" t="e">
        <f t="shared" si="4"/>
        <v>#VALUE!</v>
      </c>
      <c r="K380" s="141"/>
      <c r="L380" s="81"/>
      <c r="M380" s="141"/>
      <c r="N380" s="133"/>
      <c r="O380" s="4"/>
      <c r="P380" s="4"/>
      <c r="Q380" s="4"/>
      <c r="R380" s="109"/>
      <c r="S380" s="109"/>
      <c r="T380" s="108"/>
      <c r="U380" s="110"/>
      <c r="V380" s="110"/>
      <c r="W380" s="110"/>
      <c r="X380" s="110"/>
    </row>
    <row r="381" spans="1:24" ht="13.5" customHeight="1">
      <c r="A381" s="110">
        <f>IF(E381="","",MATCH(E381,'Daily Sales'!B$4:B$51,0)+3)</f>
        <v>42</v>
      </c>
      <c r="B381" s="135">
        <v>46185</v>
      </c>
      <c r="C381" s="136" t="s">
        <v>102</v>
      </c>
      <c r="D381" s="137" t="str">
        <f t="array" ref="D381">IF($A381="","",INDEX('Daily Sales'!A:A,$A381))</f>
        <v>1-1217</v>
      </c>
      <c r="E381" s="138" t="s">
        <v>56</v>
      </c>
      <c r="F381" s="139" t="str">
        <f t="shared" si="3"/>
        <v>BCA QR</v>
      </c>
      <c r="G381" s="140"/>
      <c r="H381" s="138">
        <f t="array" ref="H381">IF($A381="","",
  IF(
    OR(
      $A381=23,
      AND($A381&gt;=32,$A381&lt;=50)
    ),
    IFERROR(
      INDEX('Daily Sales'!$C:$AG,
        $A381,
        MATCH(TEXT($B381,"0"),TEXT('Daily Sales'!$C$2:$AG$2,"0"),0)
      ),
    ""),
  "")
)</f>
        <v>0</v>
      </c>
      <c r="I381" s="138" t="str">
        <f t="array" ref="I381">IF($A381="","",
  IF(
    OR(
      AND($A381&gt;=4,$A381&lt;=8),
      AND($A381&gt;=12,$A381&lt;=19),
      AND($A381&gt;=28,$A381&lt;=29)
    ),
    IFERROR(
      INDEX('Daily Sales'!$C:$AG,
        $A381,
        MATCH(TEXT($B381,"0"),TEXT('Daily Sales'!$C$2:$AG$2,"0"),0)
      ),
    ""),
  "")
)</f>
        <v/>
      </c>
      <c r="J381" s="79" t="e">
        <f t="shared" si="4"/>
        <v>#VALUE!</v>
      </c>
      <c r="K381" s="141"/>
      <c r="L381" s="81"/>
      <c r="M381" s="141"/>
      <c r="N381" s="133"/>
      <c r="O381" s="4"/>
      <c r="P381" s="4"/>
      <c r="Q381" s="4"/>
      <c r="R381" s="109"/>
      <c r="S381" s="109"/>
      <c r="T381" s="108"/>
      <c r="U381" s="110"/>
      <c r="V381" s="110"/>
      <c r="W381" s="110"/>
      <c r="X381" s="110"/>
    </row>
    <row r="382" spans="1:24" ht="13.5" customHeight="1">
      <c r="A382" s="110">
        <f>IF(E382="","",MATCH(E382,'Daily Sales'!B$4:B$51,0)+3)</f>
        <v>43</v>
      </c>
      <c r="B382" s="135">
        <v>46185</v>
      </c>
      <c r="C382" s="136" t="s">
        <v>102</v>
      </c>
      <c r="D382" s="137" t="str">
        <f t="array" ref="D382">IF($A382="","",INDEX('Daily Sales'!A:A,$A382))</f>
        <v>1-1214</v>
      </c>
      <c r="E382" s="138" t="s">
        <v>59</v>
      </c>
      <c r="F382" s="139" t="str">
        <f t="shared" si="3"/>
        <v>Bank BRI DEBET</v>
      </c>
      <c r="G382" s="140"/>
      <c r="H382" s="138">
        <f t="array" ref="H382">IF($A382="","",
  IF(
    OR(
      $A382=23,
      AND($A382&gt;=32,$A382&lt;=50)
    ),
    IFERROR(
      INDEX('Daily Sales'!$C:$AG,
        $A382,
        MATCH(TEXT($B382,"0"),TEXT('Daily Sales'!$C$2:$AG$2,"0"),0)
      ),
    ""),
  "")
)</f>
        <v>0</v>
      </c>
      <c r="I382" s="138" t="str">
        <f t="array" ref="I382">IF($A382="","",
  IF(
    OR(
      AND($A382&gt;=4,$A382&lt;=8),
      AND($A382&gt;=12,$A382&lt;=19),
      AND($A382&gt;=28,$A382&lt;=29)
    ),
    IFERROR(
      INDEX('Daily Sales'!$C:$AG,
        $A382,
        MATCH(TEXT($B382,"0"),TEXT('Daily Sales'!$C$2:$AG$2,"0"),0)
      ),
    ""),
  "")
)</f>
        <v/>
      </c>
      <c r="J382" s="79" t="e">
        <f t="shared" si="4"/>
        <v>#VALUE!</v>
      </c>
      <c r="K382" s="141"/>
      <c r="L382" s="81"/>
      <c r="M382" s="141"/>
      <c r="N382" s="133"/>
      <c r="O382" s="4"/>
      <c r="P382" s="4"/>
      <c r="Q382" s="4"/>
      <c r="R382" s="109"/>
      <c r="S382" s="109"/>
      <c r="T382" s="108"/>
      <c r="U382" s="110"/>
      <c r="V382" s="110"/>
      <c r="W382" s="110"/>
      <c r="X382" s="110"/>
    </row>
    <row r="383" spans="1:24" ht="13.5" customHeight="1">
      <c r="A383" s="110">
        <f>IF(E383="","",MATCH(E383,'Daily Sales'!B$4:B$51,0)+3)</f>
        <v>44</v>
      </c>
      <c r="B383" s="135">
        <v>46185</v>
      </c>
      <c r="C383" s="136" t="s">
        <v>102</v>
      </c>
      <c r="D383" s="137" t="str">
        <f t="array" ref="D383">IF($A383="","",INDEX('Daily Sales'!A:A,$A383))</f>
        <v>1-1214</v>
      </c>
      <c r="E383" s="138" t="s">
        <v>60</v>
      </c>
      <c r="F383" s="139" t="str">
        <f t="shared" si="3"/>
        <v>Bank BRI CC</v>
      </c>
      <c r="G383" s="140"/>
      <c r="H383" s="138">
        <f t="array" ref="H383">IF($A383="","",
  IF(
    OR(
      $A383=23,
      AND($A383&gt;=32,$A383&lt;=50)
    ),
    IFERROR(
      INDEX('Daily Sales'!$C:$AG,
        $A383,
        MATCH(TEXT($B383,"0"),TEXT('Daily Sales'!$C$2:$AG$2,"0"),0)
      ),
    ""),
  "")
)</f>
        <v>0</v>
      </c>
      <c r="I383" s="138" t="str">
        <f t="array" ref="I383">IF($A383="","",
  IF(
    OR(
      AND($A383&gt;=4,$A383&lt;=8),
      AND($A383&gt;=12,$A383&lt;=19),
      AND($A383&gt;=28,$A383&lt;=29)
    ),
    IFERROR(
      INDEX('Daily Sales'!$C:$AG,
        $A383,
        MATCH(TEXT($B383,"0"),TEXT('Daily Sales'!$C$2:$AG$2,"0"),0)
      ),
    ""),
  "")
)</f>
        <v/>
      </c>
      <c r="J383" s="79" t="e">
        <f t="shared" si="4"/>
        <v>#VALUE!</v>
      </c>
      <c r="K383" s="141"/>
      <c r="L383" s="81"/>
      <c r="M383" s="141"/>
      <c r="N383" s="133"/>
      <c r="O383" s="4"/>
      <c r="P383" s="4"/>
      <c r="Q383" s="4"/>
      <c r="R383" s="109"/>
      <c r="S383" s="109"/>
      <c r="T383" s="108"/>
      <c r="U383" s="110"/>
      <c r="V383" s="110"/>
      <c r="W383" s="110"/>
      <c r="X383" s="110"/>
    </row>
    <row r="384" spans="1:24" ht="13.5" customHeight="1">
      <c r="A384" s="110">
        <f>IF(E384="","",MATCH(E384,'Daily Sales'!B$4:B$51,0)+3)</f>
        <v>45</v>
      </c>
      <c r="B384" s="135">
        <v>46185</v>
      </c>
      <c r="C384" s="136" t="s">
        <v>102</v>
      </c>
      <c r="D384" s="137" t="str">
        <f t="array" ref="D384">IF($A384="","",INDEX('Daily Sales'!A:A,$A384))</f>
        <v>1-1214</v>
      </c>
      <c r="E384" s="138" t="s">
        <v>61</v>
      </c>
      <c r="F384" s="139" t="str">
        <f t="shared" si="3"/>
        <v>Bank BRI QR</v>
      </c>
      <c r="G384" s="140"/>
      <c r="H384" s="138">
        <f t="array" ref="H384">IF($A384="","",
  IF(
    OR(
      $A384=23,
      AND($A384&gt;=32,$A384&lt;=50)
    ),
    IFERROR(
      INDEX('Daily Sales'!$C:$AG,
        $A384,
        MATCH(TEXT($B384,"0"),TEXT('Daily Sales'!$C$2:$AG$2,"0"),0)
      ),
    ""),
  "")
)</f>
        <v>0</v>
      </c>
      <c r="I384" s="138" t="str">
        <f t="array" ref="I384">IF($A384="","",
  IF(
    OR(
      AND($A384&gt;=4,$A384&lt;=8),
      AND($A384&gt;=12,$A384&lt;=19),
      AND($A384&gt;=28,$A384&lt;=29)
    ),
    IFERROR(
      INDEX('Daily Sales'!$C:$AG,
        $A384,
        MATCH(TEXT($B384,"0"),TEXT('Daily Sales'!$C$2:$AG$2,"0"),0)
      ),
    ""),
  "")
)</f>
        <v/>
      </c>
      <c r="J384" s="79" t="e">
        <f t="shared" si="4"/>
        <v>#VALUE!</v>
      </c>
      <c r="K384" s="141"/>
      <c r="L384" s="81"/>
      <c r="M384" s="141"/>
      <c r="N384" s="133"/>
      <c r="O384" s="4"/>
      <c r="P384" s="4"/>
      <c r="Q384" s="4"/>
      <c r="R384" s="109"/>
      <c r="S384" s="109"/>
      <c r="T384" s="108"/>
      <c r="U384" s="110"/>
      <c r="V384" s="110"/>
      <c r="W384" s="110"/>
      <c r="X384" s="110"/>
    </row>
    <row r="385" spans="1:24" ht="13.5" customHeight="1">
      <c r="A385" s="110">
        <f>IF(E385="","",MATCH(E385,'Daily Sales'!B$4:B$51,0)+3)</f>
        <v>46</v>
      </c>
      <c r="B385" s="135">
        <v>46185</v>
      </c>
      <c r="C385" s="136" t="s">
        <v>102</v>
      </c>
      <c r="D385" s="137" t="str">
        <f t="array" ref="D385">IF($A385="","",INDEX('Daily Sales'!A:A,$A385))</f>
        <v>1-1202</v>
      </c>
      <c r="E385" s="138" t="s">
        <v>64</v>
      </c>
      <c r="F385" s="139" t="str">
        <f t="shared" si="3"/>
        <v>Ledger</v>
      </c>
      <c r="G385" s="140"/>
      <c r="H385" s="138">
        <f t="array" ref="H385">IF($A385="","",
  IF(
    OR(
      $A385=23,
      AND($A385&gt;=32,$A385&lt;=50)
    ),
    IFERROR(
      INDEX('Daily Sales'!$C:$AG,
        $A385,
        MATCH(TEXT($B385,"0"),TEXT('Daily Sales'!$C$2:$AG$2,"0"),0)
      ),
    ""),
  "")
)</f>
        <v>282481</v>
      </c>
      <c r="I385" s="138" t="str">
        <f t="array" ref="I385">IF($A385="","",
  IF(
    OR(
      AND($A385&gt;=4,$A385&lt;=8),
      AND($A385&gt;=12,$A385&lt;=19),
      AND($A385&gt;=28,$A385&lt;=29)
    ),
    IFERROR(
      INDEX('Daily Sales'!$C:$AG,
        $A385,
        MATCH(TEXT($B385,"0"),TEXT('Daily Sales'!$C$2:$AG$2,"0"),0)
      ),
    ""),
  "")
)</f>
        <v/>
      </c>
      <c r="J385" s="79" t="e">
        <f t="shared" si="4"/>
        <v>#VALUE!</v>
      </c>
      <c r="K385" s="141"/>
      <c r="L385" s="81"/>
      <c r="M385" s="141"/>
      <c r="N385" s="133"/>
      <c r="O385" s="4"/>
      <c r="P385" s="4"/>
      <c r="Q385" s="4"/>
      <c r="R385" s="109"/>
      <c r="S385" s="109"/>
      <c r="T385" s="108"/>
      <c r="U385" s="110"/>
      <c r="V385" s="110"/>
      <c r="W385" s="110"/>
      <c r="X385" s="110"/>
    </row>
    <row r="386" spans="1:24" ht="13.5" customHeight="1">
      <c r="A386" s="110">
        <f>IF(E386="","",MATCH(E386,'Daily Sales'!B$4:B$51,0)+3)</f>
        <v>47</v>
      </c>
      <c r="B386" s="135">
        <v>46185</v>
      </c>
      <c r="C386" s="136" t="s">
        <v>102</v>
      </c>
      <c r="D386" s="137" t="str">
        <f t="array" ref="D386">IF($A386="","",INDEX('Daily Sales'!A:A,$A386))</f>
        <v>1-1129</v>
      </c>
      <c r="E386" s="138" t="s">
        <v>66</v>
      </c>
      <c r="F386" s="139" t="str">
        <f t="shared" si="3"/>
        <v>Star Points</v>
      </c>
      <c r="G386" s="140"/>
      <c r="H386" s="138">
        <f t="array" ref="H386">IF($A386="","",
  IF(
    OR(
      $A386=23,
      AND($A386&gt;=32,$A386&lt;=50)
    ),
    IFERROR(
      INDEX('Daily Sales'!$C:$AG,
        $A386,
        MATCH(TEXT($B386,"0"),TEXT('Daily Sales'!$C$2:$AG$2,"0"),0)
      ),
    ""),
  "")
)</f>
        <v>0</v>
      </c>
      <c r="I386" s="138" t="str">
        <f t="array" ref="I386">IF($A386="","",
  IF(
    OR(
      AND($A386&gt;=4,$A386&lt;=8),
      AND($A386&gt;=12,$A386&lt;=19),
      AND($A386&gt;=28,$A386&lt;=29)
    ),
    IFERROR(
      INDEX('Daily Sales'!$C:$AG,
        $A386,
        MATCH(TEXT($B386,"0"),TEXT('Daily Sales'!$C$2:$AG$2,"0"),0)
      ),
    ""),
  "")
)</f>
        <v/>
      </c>
      <c r="J386" s="79" t="e">
        <f t="shared" si="4"/>
        <v>#VALUE!</v>
      </c>
      <c r="K386" s="141"/>
      <c r="L386" s="81"/>
      <c r="M386" s="141"/>
      <c r="N386" s="133"/>
      <c r="O386" s="4"/>
      <c r="P386" s="4"/>
      <c r="Q386" s="4"/>
      <c r="R386" s="109"/>
      <c r="S386" s="109"/>
      <c r="T386" s="108"/>
      <c r="U386" s="110"/>
      <c r="V386" s="110"/>
      <c r="W386" s="110"/>
      <c r="X386" s="110"/>
    </row>
    <row r="387" spans="1:24" ht="13.5" customHeight="1">
      <c r="A387" s="110">
        <f>IF(E387="","",MATCH(E387,'Daily Sales'!B$4:B$51,0)+3)</f>
        <v>48</v>
      </c>
      <c r="B387" s="135">
        <v>46185</v>
      </c>
      <c r="C387" s="136" t="s">
        <v>102</v>
      </c>
      <c r="D387" s="137" t="str">
        <f t="array" ref="D387">IF($A387="","",INDEX('Daily Sales'!A:A,$A387))</f>
        <v>1-1215</v>
      </c>
      <c r="E387" s="138" t="s">
        <v>68</v>
      </c>
      <c r="F387" s="139" t="str">
        <f t="shared" si="3"/>
        <v>Ovo</v>
      </c>
      <c r="G387" s="140"/>
      <c r="H387" s="138">
        <f t="array" ref="H387">IF($A387="","",
  IF(
    OR(
      $A387=23,
      AND($A387&gt;=32,$A387&lt;=50)
    ),
    IFERROR(
      INDEX('Daily Sales'!$C:$AG,
        $A387,
        MATCH(TEXT($B387,"0"),TEXT('Daily Sales'!$C$2:$AG$2,"0"),0)
      ),
    ""),
  "")
)</f>
        <v>0</v>
      </c>
      <c r="I387" s="138" t="str">
        <f t="array" ref="I387">IF($A387="","",
  IF(
    OR(
      AND($A387&gt;=4,$A387&lt;=8),
      AND($A387&gt;=12,$A387&lt;=19),
      AND($A387&gt;=28,$A387&lt;=29)
    ),
    IFERROR(
      INDEX('Daily Sales'!$C:$AG,
        $A387,
        MATCH(TEXT($B387,"0"),TEXT('Daily Sales'!$C$2:$AG$2,"0"),0)
      ),
    ""),
  "")
)</f>
        <v/>
      </c>
      <c r="J387" s="79" t="e">
        <f t="shared" si="4"/>
        <v>#VALUE!</v>
      </c>
      <c r="K387" s="141"/>
      <c r="L387" s="81"/>
      <c r="M387" s="141"/>
      <c r="N387" s="133"/>
      <c r="O387" s="4"/>
      <c r="P387" s="4"/>
      <c r="Q387" s="4"/>
      <c r="R387" s="109"/>
      <c r="S387" s="109"/>
      <c r="T387" s="108"/>
      <c r="U387" s="110"/>
      <c r="V387" s="110"/>
      <c r="W387" s="110"/>
      <c r="X387" s="110"/>
    </row>
    <row r="388" spans="1:24" ht="13.5" customHeight="1">
      <c r="A388" s="110">
        <f>IF(E388="","",MATCH(E388,'Daily Sales'!B$4:B$51,0)+3)</f>
        <v>49</v>
      </c>
      <c r="B388" s="135">
        <v>46185</v>
      </c>
      <c r="C388" s="136" t="s">
        <v>102</v>
      </c>
      <c r="D388" s="137" t="str">
        <f t="array" ref="D388">IF($A388="","",INDEX('Daily Sales'!A:A,$A388))</f>
        <v>1-1211</v>
      </c>
      <c r="E388" s="138" t="s">
        <v>70</v>
      </c>
      <c r="F388" s="139" t="str">
        <f t="shared" si="3"/>
        <v>Gopay</v>
      </c>
      <c r="G388" s="140"/>
      <c r="H388" s="138">
        <f t="array" ref="H388">IF($A388="","",
  IF(
    OR(
      $A388=23,
      AND($A388&gt;=32,$A388&lt;=50)
    ),
    IFERROR(
      INDEX('Daily Sales'!$C:$AG,
        $A388,
        MATCH(TEXT($B388,"0"),TEXT('Daily Sales'!$C$2:$AG$2,"0"),0)
      ),
    ""),
  "")
)</f>
        <v>0</v>
      </c>
      <c r="I388" s="138" t="str">
        <f t="array" ref="I388">IF($A388="","",
  IF(
    OR(
      AND($A388&gt;=4,$A388&lt;=8),
      AND($A388&gt;=12,$A388&lt;=19),
      AND($A388&gt;=28,$A388&lt;=29)
    ),
    IFERROR(
      INDEX('Daily Sales'!$C:$AG,
        $A388,
        MATCH(TEXT($B388,"0"),TEXT('Daily Sales'!$C$2:$AG$2,"0"),0)
      ),
    ""),
  "")
)</f>
        <v/>
      </c>
      <c r="J388" s="79" t="e">
        <f t="shared" si="4"/>
        <v>#VALUE!</v>
      </c>
      <c r="K388" s="141"/>
      <c r="L388" s="81"/>
      <c r="M388" s="141"/>
      <c r="N388" s="133"/>
      <c r="O388" s="4"/>
      <c r="P388" s="4"/>
      <c r="Q388" s="4"/>
      <c r="R388" s="109"/>
      <c r="S388" s="109"/>
      <c r="T388" s="108"/>
      <c r="U388" s="110"/>
      <c r="V388" s="110"/>
      <c r="W388" s="110"/>
      <c r="X388" s="110"/>
    </row>
    <row r="389" spans="1:24" ht="13.5" customHeight="1">
      <c r="A389" s="110">
        <f>IF(E389="","",MATCH(E389,'Daily Sales'!B$4:B$51,0)+3)</f>
        <v>50</v>
      </c>
      <c r="B389" s="135">
        <v>46185</v>
      </c>
      <c r="C389" s="136" t="s">
        <v>102</v>
      </c>
      <c r="D389" s="137" t="str">
        <f t="array" ref="D389">IF($A389="","",INDEX('Daily Sales'!A:A,$A389))</f>
        <v>2-2110</v>
      </c>
      <c r="E389" s="138" t="s">
        <v>72</v>
      </c>
      <c r="F389" s="139" t="str">
        <f t="shared" si="3"/>
        <v>Cash Short/Over</v>
      </c>
      <c r="G389" s="140"/>
      <c r="H389" s="138">
        <f t="array" ref="H389">IF($A389="","",
  IF(
    OR(
      $A389=23,
      AND($A389&gt;=32,$A389&lt;=50)
    ),
    IFERROR(
      INDEX('Daily Sales'!$C:$AG,
        $A389,
        MATCH(TEXT($B389,"0"),TEXT('Daily Sales'!$C$2:$AG$2,"0"),0)
      ),
    ""),
  "")
)</f>
        <v>-44153.46</v>
      </c>
      <c r="I389" s="138" t="str">
        <f t="array" ref="I389">IF($A389="","",
  IF(
    OR(
      AND($A389&gt;=4,$A389&lt;=8),
      AND($A389&gt;=12,$A389&lt;=19),
      AND($A389&gt;=28,$A389&lt;=29)
    ),
    IFERROR(
      INDEX('Daily Sales'!$C:$AG,
        $A389,
        MATCH(TEXT($B389,"0"),TEXT('Daily Sales'!$C$2:$AG$2,"0"),0)
      ),
    ""),
  "")
)</f>
        <v/>
      </c>
      <c r="J389" s="79" t="e">
        <f t="shared" si="4"/>
        <v>#VALUE!</v>
      </c>
      <c r="K389" s="141"/>
      <c r="L389" s="81"/>
      <c r="M389" s="141"/>
      <c r="N389" s="133"/>
      <c r="O389" s="4"/>
      <c r="P389" s="4"/>
      <c r="Q389" s="4"/>
      <c r="R389" s="109"/>
      <c r="S389" s="109"/>
      <c r="T389" s="108"/>
      <c r="U389" s="110"/>
      <c r="V389" s="110"/>
      <c r="W389" s="110"/>
      <c r="X389" s="110"/>
    </row>
    <row r="390" spans="1:24" ht="13.5" customHeight="1">
      <c r="A390" s="110" t="str">
        <f>IF(E390="","",MATCH(E390,'Daily Sales'!B$4:B$51,0)+3)</f>
        <v/>
      </c>
      <c r="B390" s="135"/>
      <c r="C390" s="136"/>
      <c r="D390" s="137" t="str">
        <f t="array" ref="D390">IF($A390="","",INDEX('Daily Sales'!A:A,$A390))</f>
        <v/>
      </c>
      <c r="E390" s="138"/>
      <c r="F390" s="139">
        <f t="shared" si="3"/>
        <v>0</v>
      </c>
      <c r="G390" s="140"/>
      <c r="H390" s="138" t="str">
        <f t="array" ref="H390">IF($A390="","",
  IF(
    OR(
      $A390=23,
      AND($A390&gt;=32,$A390&lt;=50)
    ),
    IFERROR(
      INDEX('Daily Sales'!$C:$AG,
        $A390,
        MATCH(TEXT($B390,"0"),TEXT('Daily Sales'!$C$2:$AG$2,"0"),0)
      ),
    ""),
  "")
)</f>
        <v/>
      </c>
      <c r="I390" s="138" t="str">
        <f t="array" ref="I390">IF($A390="","",
  IF(
    OR(
      AND($A390&gt;=4,$A390&lt;=8),
      AND($A390&gt;=12,$A390&lt;=19),
      AND($A390&gt;=28,$A390&lt;=29)
    ),
    IFERROR(
      INDEX('Daily Sales'!$C:$AG,
        $A390,
        MATCH(TEXT($B390,"0"),TEXT('Daily Sales'!$C$2:$AG$2,"0"),0)
      ),
    ""),
  "")
)</f>
        <v/>
      </c>
      <c r="J390" s="79" t="e">
        <f t="shared" si="4"/>
        <v>#VALUE!</v>
      </c>
      <c r="K390" s="141"/>
      <c r="L390" s="81"/>
      <c r="M390" s="141"/>
      <c r="N390" s="133"/>
      <c r="O390" s="4"/>
      <c r="P390" s="4"/>
      <c r="Q390" s="4"/>
      <c r="R390" s="109"/>
      <c r="S390" s="109"/>
      <c r="T390" s="108"/>
      <c r="U390" s="110"/>
      <c r="V390" s="110"/>
      <c r="W390" s="110"/>
      <c r="X390" s="110"/>
    </row>
    <row r="391" spans="1:24" ht="13.5" customHeight="1">
      <c r="A391" s="110">
        <f>IF(E391="","",MATCH(E391,'Daily Sales'!B$4:B$51,0)+3)</f>
        <v>4</v>
      </c>
      <c r="B391" s="135">
        <v>46186</v>
      </c>
      <c r="C391" s="136" t="s">
        <v>103</v>
      </c>
      <c r="D391" s="137" t="str">
        <f t="array" ref="D391">IF($A391="","",INDEX('Daily Sales'!A:A,$A391))</f>
        <v>4-2100</v>
      </c>
      <c r="E391" s="138" t="s">
        <v>5</v>
      </c>
      <c r="F391" s="139" t="str">
        <f t="shared" si="3"/>
        <v>Sales Food TERRACE</v>
      </c>
      <c r="G391" s="140"/>
      <c r="H391" s="138" t="str">
        <f t="array" ref="H391">IF($A391="","",
  IF(
    OR(
      $A391=23,
      AND($A391&gt;=32,$A391&lt;=50)
    ),
    IFERROR(
      INDEX('Daily Sales'!$C:$AG,
        $A391,
        MATCH(TEXT($B391,"0"),TEXT('Daily Sales'!$C$2:$AG$2,"0"),0)
      ),
    ""),
  "")
)</f>
        <v/>
      </c>
      <c r="I391" s="138">
        <f t="array" ref="I391">IF($A391="","",
  IF(
    OR(
      AND($A391&gt;=4,$A391&lt;=8),
      AND($A391&gt;=12,$A391&lt;=19),
      AND($A391&gt;=28,$A391&lt;=29)
    ),
    IFERROR(
      INDEX('Daily Sales'!$C:$AG,
        $A391,
        MATCH(TEXT($B391,"0"),TEXT('Daily Sales'!$C$2:$AG$2,"0"),0)
      ),
    ""),
  "")
)</f>
        <v>5485000</v>
      </c>
      <c r="J391" s="79" t="e">
        <f t="shared" si="4"/>
        <v>#VALUE!</v>
      </c>
      <c r="K391" s="141"/>
      <c r="L391" s="81"/>
      <c r="M391" s="141"/>
      <c r="N391" s="133"/>
      <c r="O391" s="4"/>
      <c r="P391" s="4"/>
      <c r="Q391" s="4"/>
      <c r="R391" s="109"/>
      <c r="S391" s="109"/>
      <c r="T391" s="108"/>
      <c r="U391" s="110"/>
      <c r="V391" s="110"/>
      <c r="W391" s="110"/>
      <c r="X391" s="110"/>
    </row>
    <row r="392" spans="1:24" ht="13.5" customHeight="1">
      <c r="A392" s="110">
        <f>IF(E392="","",MATCH(E392,'Daily Sales'!B$4:B$51,0)+3)</f>
        <v>5</v>
      </c>
      <c r="B392" s="135">
        <v>46186</v>
      </c>
      <c r="C392" s="136" t="s">
        <v>103</v>
      </c>
      <c r="D392" s="137" t="str">
        <f t="array" ref="D392">IF($A392="","",INDEX('Daily Sales'!A:A,$A392))</f>
        <v>4-2200</v>
      </c>
      <c r="E392" s="138" t="s">
        <v>7</v>
      </c>
      <c r="F392" s="139" t="str">
        <f t="shared" si="3"/>
        <v>Sales Beverages TERRACE</v>
      </c>
      <c r="G392" s="140"/>
      <c r="H392" s="138" t="str">
        <f t="array" ref="H392">IF($A392="","",
  IF(
    OR(
      $A392=23,
      AND($A392&gt;=32,$A392&lt;=50)
    ),
    IFERROR(
      INDEX('Daily Sales'!$C:$AG,
        $A392,
        MATCH(TEXT($B392,"0"),TEXT('Daily Sales'!$C$2:$AG$2,"0"),0)
      ),
    ""),
  "")
)</f>
        <v/>
      </c>
      <c r="I392" s="138">
        <f t="array" ref="I392">IF($A392="","",
  IF(
    OR(
      AND($A392&gt;=4,$A392&lt;=8),
      AND($A392&gt;=12,$A392&lt;=19),
      AND($A392&gt;=28,$A392&lt;=29)
    ),
    IFERROR(
      INDEX('Daily Sales'!$C:$AG,
        $A392,
        MATCH(TEXT($B392,"0"),TEXT('Daily Sales'!$C$2:$AG$2,"0"),0)
      ),
    ""),
  "")
)</f>
        <v>10725000</v>
      </c>
      <c r="J392" s="79" t="e">
        <f t="shared" si="4"/>
        <v>#VALUE!</v>
      </c>
      <c r="K392" s="141"/>
      <c r="L392" s="81"/>
      <c r="M392" s="141"/>
      <c r="N392" s="133"/>
      <c r="O392" s="4"/>
      <c r="P392" s="4"/>
      <c r="Q392" s="4"/>
      <c r="R392" s="109"/>
      <c r="S392" s="109"/>
      <c r="T392" s="108"/>
      <c r="U392" s="110"/>
      <c r="V392" s="110"/>
      <c r="W392" s="110"/>
      <c r="X392" s="110"/>
    </row>
    <row r="393" spans="1:24" ht="13.5" customHeight="1">
      <c r="A393" s="110">
        <f>IF(E393="","",MATCH(E393,'Daily Sales'!B$4:B$51,0)+3)</f>
        <v>6</v>
      </c>
      <c r="B393" s="135">
        <v>46186</v>
      </c>
      <c r="C393" s="136" t="s">
        <v>103</v>
      </c>
      <c r="D393" s="137" t="str">
        <f t="array" ref="D393">IF($A393="","",INDEX('Daily Sales'!A:A,$A393))</f>
        <v>4-2400</v>
      </c>
      <c r="E393" s="138" t="s">
        <v>9</v>
      </c>
      <c r="F393" s="139" t="str">
        <f t="shared" si="3"/>
        <v>Sales Cigarette TERRACE</v>
      </c>
      <c r="G393" s="140"/>
      <c r="H393" s="138" t="str">
        <f t="array" ref="H393">IF($A393="","",
  IF(
    OR(
      $A393=23,
      AND($A393&gt;=32,$A393&lt;=50)
    ),
    IFERROR(
      INDEX('Daily Sales'!$C:$AG,
        $A393,
        MATCH(TEXT($B393,"0"),TEXT('Daily Sales'!$C$2:$AG$2,"0"),0)
      ),
    ""),
  "")
)</f>
        <v/>
      </c>
      <c r="I393" s="138">
        <f t="array" ref="I393">IF($A393="","",
  IF(
    OR(
      AND($A393&gt;=4,$A393&lt;=8),
      AND($A393&gt;=12,$A393&lt;=19),
      AND($A393&gt;=28,$A393&lt;=29)
    ),
    IFERROR(
      INDEX('Daily Sales'!$C:$AG,
        $A393,
        MATCH(TEXT($B393,"0"),TEXT('Daily Sales'!$C$2:$AG$2,"0"),0)
      ),
    ""),
  "")
)</f>
        <v>210000</v>
      </c>
      <c r="J393" s="79" t="e">
        <f t="shared" si="4"/>
        <v>#VALUE!</v>
      </c>
      <c r="K393" s="141"/>
      <c r="L393" s="81"/>
      <c r="M393" s="141"/>
      <c r="N393" s="133"/>
      <c r="O393" s="4"/>
      <c r="P393" s="4"/>
      <c r="Q393" s="4"/>
      <c r="R393" s="109"/>
      <c r="S393" s="109"/>
      <c r="T393" s="108"/>
      <c r="U393" s="110"/>
      <c r="V393" s="110"/>
      <c r="W393" s="110"/>
      <c r="X393" s="110"/>
    </row>
    <row r="394" spans="1:24" ht="13.5" customHeight="1">
      <c r="A394" s="110">
        <f>IF(E394="","",MATCH(E394,'Daily Sales'!B$4:B$51,0)+3)</f>
        <v>7</v>
      </c>
      <c r="B394" s="135">
        <v>46186</v>
      </c>
      <c r="C394" s="136" t="s">
        <v>103</v>
      </c>
      <c r="D394" s="137" t="str">
        <f t="array" ref="D394">IF($A394="","",INDEX('Daily Sales'!A:A,$A394))</f>
        <v>4-2300</v>
      </c>
      <c r="E394" s="138" t="s">
        <v>11</v>
      </c>
      <c r="F394" s="139" t="str">
        <f t="shared" si="3"/>
        <v>Sales Shisa TERRACE</v>
      </c>
      <c r="G394" s="140"/>
      <c r="H394" s="138" t="str">
        <f t="array" ref="H394">IF($A394="","",
  IF(
    OR(
      $A394=23,
      AND($A394&gt;=32,$A394&lt;=50)
    ),
    IFERROR(
      INDEX('Daily Sales'!$C:$AG,
        $A394,
        MATCH(TEXT($B394,"0"),TEXT('Daily Sales'!$C$2:$AG$2,"0"),0)
      ),
    ""),
  "")
)</f>
        <v/>
      </c>
      <c r="I394" s="138">
        <f t="array" ref="I394">IF($A394="","",
  IF(
    OR(
      AND($A394&gt;=4,$A394&lt;=8),
      AND($A394&gt;=12,$A394&lt;=19),
      AND($A394&gt;=28,$A394&lt;=29)
    ),
    IFERROR(
      INDEX('Daily Sales'!$C:$AG,
        $A394,
        MATCH(TEXT($B394,"0"),TEXT('Daily Sales'!$C$2:$AG$2,"0"),0)
      ),
    ""),
  "")
)</f>
        <v>250000</v>
      </c>
      <c r="J394" s="79" t="e">
        <f t="shared" si="4"/>
        <v>#VALUE!</v>
      </c>
      <c r="K394" s="141"/>
      <c r="L394" s="81"/>
      <c r="M394" s="141"/>
      <c r="N394" s="133"/>
      <c r="O394" s="4"/>
      <c r="P394" s="4"/>
      <c r="Q394" s="4"/>
      <c r="R394" s="109"/>
      <c r="S394" s="109"/>
      <c r="T394" s="108"/>
      <c r="U394" s="110"/>
      <c r="V394" s="110"/>
      <c r="W394" s="110"/>
      <c r="X394" s="110"/>
    </row>
    <row r="395" spans="1:24" ht="13.5" customHeight="1">
      <c r="A395" s="110">
        <f>IF(E395="","",MATCH(E395,'Daily Sales'!B$4:B$51,0)+3)</f>
        <v>12</v>
      </c>
      <c r="B395" s="135">
        <v>46186</v>
      </c>
      <c r="C395" s="136" t="s">
        <v>103</v>
      </c>
      <c r="D395" s="137" t="str">
        <f t="array" ref="D395">IF($A395="","",INDEX('Daily Sales'!A:A,$A395))</f>
        <v>4-2200</v>
      </c>
      <c r="E395" s="138" t="s">
        <v>17</v>
      </c>
      <c r="F395" s="139" t="str">
        <f t="shared" si="3"/>
        <v>Sales Beverages CLUB</v>
      </c>
      <c r="G395" s="140"/>
      <c r="H395" s="138" t="str">
        <f t="array" ref="H395">IF($A395="","",
  IF(
    OR(
      $A395=23,
      AND($A395&gt;=32,$A395&lt;=50)
    ),
    IFERROR(
      INDEX('Daily Sales'!$C:$AG,
        $A395,
        MATCH(TEXT($B395,"0"),TEXT('Daily Sales'!$C$2:$AG$2,"0"),0)
      ),
    ""),
  "")
)</f>
        <v/>
      </c>
      <c r="I395" s="138">
        <f t="array" ref="I395">IF($A395="","",
  IF(
    OR(
      AND($A395&gt;=4,$A395&lt;=8),
      AND($A395&gt;=12,$A395&lt;=19),
      AND($A395&gt;=28,$A395&lt;=29)
    ),
    IFERROR(
      INDEX('Daily Sales'!$C:$AG,
        $A395,
        MATCH(TEXT($B395,"0"),TEXT('Daily Sales'!$C$2:$AG$2,"0"),0)
      ),
    ""),
  "")
)</f>
        <v>71225000</v>
      </c>
      <c r="J395" s="79" t="e">
        <f t="shared" si="4"/>
        <v>#VALUE!</v>
      </c>
      <c r="K395" s="141"/>
      <c r="L395" s="81"/>
      <c r="M395" s="141"/>
      <c r="N395" s="133"/>
      <c r="O395" s="4"/>
      <c r="P395" s="4"/>
      <c r="Q395" s="4"/>
      <c r="R395" s="109"/>
      <c r="S395" s="109"/>
      <c r="T395" s="108"/>
      <c r="U395" s="110"/>
      <c r="V395" s="110"/>
      <c r="W395" s="110"/>
      <c r="X395" s="110"/>
    </row>
    <row r="396" spans="1:24" ht="13.5" customHeight="1">
      <c r="A396" s="110">
        <f>IF(E396="","",MATCH(E396,'Daily Sales'!B$4:B$51,0)+3)</f>
        <v>13</v>
      </c>
      <c r="B396" s="135">
        <v>46186</v>
      </c>
      <c r="C396" s="136" t="s">
        <v>103</v>
      </c>
      <c r="D396" s="137" t="str">
        <f t="array" ref="D396">IF($A396="","",INDEX('Daily Sales'!A:A,$A396))</f>
        <v>4-2400</v>
      </c>
      <c r="E396" s="138" t="s">
        <v>18</v>
      </c>
      <c r="F396" s="139" t="str">
        <f t="shared" si="3"/>
        <v>Sales Cigarette CLUB</v>
      </c>
      <c r="G396" s="140"/>
      <c r="H396" s="138" t="str">
        <f t="array" ref="H396">IF($A396="","",
  IF(
    OR(
      $A396=23,
      AND($A396&gt;=32,$A396&lt;=50)
    ),
    IFERROR(
      INDEX('Daily Sales'!$C:$AG,
        $A396,
        MATCH(TEXT($B396,"0"),TEXT('Daily Sales'!$C$2:$AG$2,"0"),0)
      ),
    ""),
  "")
)</f>
        <v/>
      </c>
      <c r="I396" s="138">
        <f t="array" ref="I396">IF($A396="","",
  IF(
    OR(
      AND($A396&gt;=4,$A396&lt;=8),
      AND($A396&gt;=12,$A396&lt;=19),
      AND($A396&gt;=28,$A396&lt;=29)
    ),
    IFERROR(
      INDEX('Daily Sales'!$C:$AG,
        $A396,
        MATCH(TEXT($B396,"0"),TEXT('Daily Sales'!$C$2:$AG$2,"0"),0)
      ),
    ""),
  "")
)</f>
        <v>1680000</v>
      </c>
      <c r="J396" s="79" t="e">
        <f t="shared" si="4"/>
        <v>#VALUE!</v>
      </c>
      <c r="K396" s="141"/>
      <c r="L396" s="81"/>
      <c r="M396" s="141"/>
      <c r="N396" s="133"/>
      <c r="O396" s="4"/>
      <c r="P396" s="4"/>
      <c r="Q396" s="4"/>
      <c r="R396" s="109"/>
      <c r="S396" s="109"/>
      <c r="T396" s="108"/>
      <c r="U396" s="110"/>
      <c r="V396" s="110"/>
      <c r="W396" s="110"/>
      <c r="X396" s="110"/>
    </row>
    <row r="397" spans="1:24" ht="13.5" customHeight="1">
      <c r="A397" s="110">
        <f>IF(E397="","",MATCH(E397,'Daily Sales'!B$4:B$51,0)+3)</f>
        <v>14</v>
      </c>
      <c r="B397" s="135">
        <v>46186</v>
      </c>
      <c r="C397" s="136" t="s">
        <v>103</v>
      </c>
      <c r="D397" s="137" t="str">
        <f t="array" ref="D397">IF($A397="","",INDEX('Daily Sales'!A:A,$A397))</f>
        <v>4-2100</v>
      </c>
      <c r="E397" s="138" t="s">
        <v>19</v>
      </c>
      <c r="F397" s="139" t="str">
        <f t="shared" si="3"/>
        <v>Sales Food CLUB</v>
      </c>
      <c r="G397" s="140"/>
      <c r="H397" s="138" t="str">
        <f t="array" ref="H397">IF($A397="","",
  IF(
    OR(
      $A397=23,
      AND($A397&gt;=32,$A397&lt;=50)
    ),
    IFERROR(
      INDEX('Daily Sales'!$C:$AG,
        $A397,
        MATCH(TEXT($B397,"0"),TEXT('Daily Sales'!$C$2:$AG$2,"0"),0)
      ),
    ""),
  "")
)</f>
        <v/>
      </c>
      <c r="I397" s="138">
        <f t="array" ref="I397">IF($A397="","",
  IF(
    OR(
      AND($A397&gt;=4,$A397&lt;=8),
      AND($A397&gt;=12,$A397&lt;=19),
      AND($A397&gt;=28,$A397&lt;=29)
    ),
    IFERROR(
      INDEX('Daily Sales'!$C:$AG,
        $A397,
        MATCH(TEXT($B397,"0"),TEXT('Daily Sales'!$C$2:$AG$2,"0"),0)
      ),
    ""),
  "")
)</f>
        <v>1240000</v>
      </c>
      <c r="J397" s="79" t="e">
        <f t="shared" si="4"/>
        <v>#VALUE!</v>
      </c>
      <c r="K397" s="141"/>
      <c r="L397" s="81"/>
      <c r="M397" s="141"/>
      <c r="N397" s="133"/>
      <c r="O397" s="4"/>
      <c r="P397" s="4"/>
      <c r="Q397" s="4"/>
      <c r="R397" s="109"/>
      <c r="S397" s="109"/>
      <c r="T397" s="108"/>
      <c r="U397" s="110"/>
      <c r="V397" s="110"/>
      <c r="W397" s="110"/>
      <c r="X397" s="110"/>
    </row>
    <row r="398" spans="1:24" ht="13.5" customHeight="1">
      <c r="A398" s="110">
        <f>IF(E398="","",MATCH(E398,'Daily Sales'!B$4:B$51,0)+3)</f>
        <v>15</v>
      </c>
      <c r="B398" s="135">
        <v>46186</v>
      </c>
      <c r="C398" s="136" t="s">
        <v>103</v>
      </c>
      <c r="D398" s="137" t="str">
        <f t="array" ref="D398">IF($A398="","",INDEX('Daily Sales'!A:A,$A398))</f>
        <v>4-2300</v>
      </c>
      <c r="E398" s="138" t="s">
        <v>20</v>
      </c>
      <c r="F398" s="139" t="str">
        <f t="shared" si="3"/>
        <v>Sales Shisa CLUB</v>
      </c>
      <c r="G398" s="140"/>
      <c r="H398" s="138" t="str">
        <f t="array" ref="H398">IF($A398="","",
  IF(
    OR(
      $A398=23,
      AND($A398&gt;=32,$A398&lt;=50)
    ),
    IFERROR(
      INDEX('Daily Sales'!$C:$AG,
        $A398,
        MATCH(TEXT($B398,"0"),TEXT('Daily Sales'!$C$2:$AG$2,"0"),0)
      ),
    ""),
  "")
)</f>
        <v/>
      </c>
      <c r="I398" s="138">
        <f t="array" ref="I398">IF($A398="","",
  IF(
    OR(
      AND($A398&gt;=4,$A398&lt;=8),
      AND($A398&gt;=12,$A398&lt;=19),
      AND($A398&gt;=28,$A398&lt;=29)
    ),
    IFERROR(
      INDEX('Daily Sales'!$C:$AG,
        $A398,
        MATCH(TEXT($B398,"0"),TEXT('Daily Sales'!$C$2:$AG$2,"0"),0)
      ),
    ""),
  "")
)</f>
        <v>500000</v>
      </c>
      <c r="J398" s="79" t="e">
        <f t="shared" si="4"/>
        <v>#VALUE!</v>
      </c>
      <c r="K398" s="141"/>
      <c r="L398" s="81"/>
      <c r="M398" s="141"/>
      <c r="N398" s="133"/>
      <c r="O398" s="4"/>
      <c r="P398" s="4"/>
      <c r="Q398" s="4"/>
      <c r="R398" s="109"/>
      <c r="S398" s="109"/>
      <c r="T398" s="108"/>
      <c r="U398" s="110"/>
      <c r="V398" s="110"/>
      <c r="W398" s="110"/>
      <c r="X398" s="110"/>
    </row>
    <row r="399" spans="1:24" ht="13.5" customHeight="1">
      <c r="A399" s="110">
        <f>IF(E399="","",MATCH(E399,'Daily Sales'!B$4:B$51,0)+3)</f>
        <v>17</v>
      </c>
      <c r="B399" s="135">
        <v>46186</v>
      </c>
      <c r="C399" s="136" t="s">
        <v>103</v>
      </c>
      <c r="D399" s="137" t="str">
        <f t="array" ref="D399">IF($A399="","",INDEX('Daily Sales'!A:A,$A399))</f>
        <v>4-2601</v>
      </c>
      <c r="E399" s="138" t="s">
        <v>23</v>
      </c>
      <c r="F399" s="139" t="str">
        <f t="shared" si="3"/>
        <v xml:space="preserve">Misc </v>
      </c>
      <c r="G399" s="140"/>
      <c r="H399" s="138" t="str">
        <f t="array" ref="H399">IF($A399="","",
  IF(
    OR(
      $A399=23,
      AND($A399&gt;=32,$A399&lt;=50)
    ),
    IFERROR(
      INDEX('Daily Sales'!$C:$AG,
        $A399,
        MATCH(TEXT($B399,"0"),TEXT('Daily Sales'!$C$2:$AG$2,"0"),0)
      ),
    ""),
  "")
)</f>
        <v/>
      </c>
      <c r="I399" s="138">
        <f t="array" ref="I399">IF($A399="","",
  IF(
    OR(
      AND($A399&gt;=4,$A399&lt;=8),
      AND($A399&gt;=12,$A399&lt;=19),
      AND($A399&gt;=28,$A399&lt;=29)
    ),
    IFERROR(
      INDEX('Daily Sales'!$C:$AG,
        $A399,
        MATCH(TEXT($B399,"0"),TEXT('Daily Sales'!$C$2:$AG$2,"0"),0)
      ),
    ""),
  "")
)</f>
        <v>0</v>
      </c>
      <c r="J399" s="79" t="e">
        <f t="shared" si="4"/>
        <v>#VALUE!</v>
      </c>
      <c r="K399" s="141"/>
      <c r="L399" s="81"/>
      <c r="M399" s="141"/>
      <c r="N399" s="133"/>
      <c r="O399" s="4"/>
      <c r="P399" s="4"/>
      <c r="Q399" s="4"/>
      <c r="R399" s="109"/>
      <c r="S399" s="109"/>
      <c r="T399" s="108"/>
      <c r="U399" s="110"/>
      <c r="V399" s="110"/>
      <c r="W399" s="110"/>
      <c r="X399" s="110"/>
    </row>
    <row r="400" spans="1:24" ht="13.5" customHeight="1">
      <c r="A400" s="110">
        <f>IF(E400="","",MATCH(E400,'Daily Sales'!B$4:B$51,0)+3)</f>
        <v>19</v>
      </c>
      <c r="B400" s="135">
        <v>46186</v>
      </c>
      <c r="C400" s="136" t="s">
        <v>103</v>
      </c>
      <c r="D400" s="137" t="str">
        <f t="array" ref="D400">IF($A400="","",INDEX('Daily Sales'!A:A,$A400))</f>
        <v>4-2500</v>
      </c>
      <c r="E400" s="138" t="s">
        <v>26</v>
      </c>
      <c r="F400" s="139" t="str">
        <f t="shared" si="3"/>
        <v>Sales Ticket</v>
      </c>
      <c r="G400" s="140"/>
      <c r="H400" s="138" t="str">
        <f t="array" ref="H400">IF($A400="","",
  IF(
    OR(
      $A400=23,
      AND($A400&gt;=32,$A400&lt;=50)
    ),
    IFERROR(
      INDEX('Daily Sales'!$C:$AG,
        $A400,
        MATCH(TEXT($B400,"0"),TEXT('Daily Sales'!$C$2:$AG$2,"0"),0)
      ),
    ""),
  "")
)</f>
        <v/>
      </c>
      <c r="I400" s="138">
        <f t="array" ref="I400">IF($A400="","",
  IF(
    OR(
      AND($A400&gt;=4,$A400&lt;=8),
      AND($A400&gt;=12,$A400&lt;=19),
      AND($A400&gt;=28,$A400&lt;=29)
    ),
    IFERROR(
      INDEX('Daily Sales'!$C:$AG,
        $A400,
        MATCH(TEXT($B400,"0"),TEXT('Daily Sales'!$C$2:$AG$2,"0"),0)
      ),
    ""),
  "")
)</f>
        <v>31520902</v>
      </c>
      <c r="J400" s="79" t="e">
        <f t="shared" si="4"/>
        <v>#VALUE!</v>
      </c>
      <c r="K400" s="141"/>
      <c r="L400" s="81"/>
      <c r="M400" s="141"/>
      <c r="N400" s="133"/>
      <c r="O400" s="4"/>
      <c r="P400" s="4"/>
      <c r="Q400" s="4"/>
      <c r="R400" s="109"/>
      <c r="S400" s="109"/>
      <c r="T400" s="108"/>
      <c r="U400" s="110"/>
      <c r="V400" s="110"/>
      <c r="W400" s="110"/>
      <c r="X400" s="110"/>
    </row>
    <row r="401" spans="1:24" ht="13.5" customHeight="1">
      <c r="A401" s="110">
        <f>IF(E401="","",MATCH(E401,'Daily Sales'!B$4:B$51,0)+3)</f>
        <v>28</v>
      </c>
      <c r="B401" s="135">
        <v>46186</v>
      </c>
      <c r="C401" s="136" t="s">
        <v>103</v>
      </c>
      <c r="D401" s="137" t="str">
        <f t="array" ref="D401">IF($A401="","",INDEX('Daily Sales'!A:A,$A401))</f>
        <v>2-2106</v>
      </c>
      <c r="E401" s="138" t="s">
        <v>35</v>
      </c>
      <c r="F401" s="139" t="str">
        <f t="shared" si="3"/>
        <v>Service Charges 7%</v>
      </c>
      <c r="G401" s="140"/>
      <c r="H401" s="138" t="str">
        <f t="array" ref="H401">IF($A401="","",
  IF(
    OR(
      $A401=23,
      AND($A401&gt;=32,$A401&lt;=50)
    ),
    IFERROR(
      INDEX('Daily Sales'!$C:$AG,
        $A401,
        MATCH(TEXT($B401,"0"),TEXT('Daily Sales'!$C$2:$AG$2,"0"),0)
      ),
    ""),
  "")
)</f>
        <v/>
      </c>
      <c r="I401" s="138">
        <f t="array" ref="I401">IF($A401="","",
  IF(
    OR(
      AND($A401&gt;=4,$A401&lt;=8),
      AND($A401&gt;=12,$A401&lt;=19),
      AND($A401&gt;=28,$A401&lt;=29)
    ),
    IFERROR(
      INDEX('Daily Sales'!$C:$AG,
        $A401,
        MATCH(TEXT($B401,"0"),TEXT('Daily Sales'!$C$2:$AG$2,"0"),0)
      ),
    ""),
  "")
)</f>
        <v>8420538.1400000006</v>
      </c>
      <c r="J401" s="79" t="e">
        <f t="shared" si="4"/>
        <v>#VALUE!</v>
      </c>
      <c r="K401" s="141"/>
      <c r="L401" s="81"/>
      <c r="M401" s="141"/>
      <c r="N401" s="133"/>
      <c r="O401" s="4"/>
      <c r="P401" s="4"/>
      <c r="Q401" s="4"/>
      <c r="R401" s="109"/>
      <c r="S401" s="109"/>
      <c r="T401" s="108"/>
      <c r="U401" s="110"/>
      <c r="V401" s="110"/>
      <c r="W401" s="110"/>
      <c r="X401" s="110"/>
    </row>
    <row r="402" spans="1:24" ht="13.5" customHeight="1">
      <c r="A402" s="110">
        <f>IF(E402="","",MATCH(E402,'Daily Sales'!B$4:B$51,0)+3)</f>
        <v>29</v>
      </c>
      <c r="B402" s="135">
        <v>46186</v>
      </c>
      <c r="C402" s="136" t="s">
        <v>103</v>
      </c>
      <c r="D402" s="137" t="str">
        <f t="array" ref="D402">IF($A402="","",INDEX('Daily Sales'!A:A,$A402))</f>
        <v>2-3101</v>
      </c>
      <c r="E402" s="138" t="s">
        <v>37</v>
      </c>
      <c r="F402" s="139" t="str">
        <f t="shared" si="3"/>
        <v>Tax PB1 10%</v>
      </c>
      <c r="G402" s="140"/>
      <c r="H402" s="138" t="str">
        <f t="array" ref="H402">IF($A402="","",
  IF(
    OR(
      $A402=23,
      AND($A402&gt;=32,$A402&lt;=50)
    ),
    IFERROR(
      INDEX('Daily Sales'!$C:$AG,
        $A402,
        MATCH(TEXT($B402,"0"),TEXT('Daily Sales'!$C$2:$AG$2,"0"),0)
      ),
    ""),
  "")
)</f>
        <v/>
      </c>
      <c r="I402" s="138">
        <f t="array" ref="I402">IF($A402="","",
  IF(
    OR(
      AND($A402&gt;=4,$A402&lt;=8),
      AND($A402&gt;=12,$A402&lt;=19),
      AND($A402&gt;=28,$A402&lt;=29)
    ),
    IFERROR(
      INDEX('Daily Sales'!$C:$AG,
        $A402,
        MATCH(TEXT($B402,"0"),TEXT('Daily Sales'!$C$2:$AG$2,"0"),0)
      ),
    ""),
  "")
)</f>
        <v>12871394.014</v>
      </c>
      <c r="J402" s="79" t="e">
        <f t="shared" si="4"/>
        <v>#VALUE!</v>
      </c>
      <c r="K402" s="141"/>
      <c r="L402" s="81"/>
      <c r="M402" s="141"/>
      <c r="N402" s="133"/>
      <c r="O402" s="4"/>
      <c r="P402" s="4"/>
      <c r="Q402" s="4"/>
      <c r="R402" s="109"/>
      <c r="S402" s="109"/>
      <c r="T402" s="108"/>
      <c r="U402" s="110"/>
      <c r="V402" s="110"/>
      <c r="W402" s="110"/>
      <c r="X402" s="110"/>
    </row>
    <row r="403" spans="1:24" ht="13.5" customHeight="1">
      <c r="A403" s="110">
        <f>IF(E403="","",MATCH(E403,'Daily Sales'!B$4:B$51,0)+3)</f>
        <v>23</v>
      </c>
      <c r="B403" s="135">
        <v>46186</v>
      </c>
      <c r="C403" s="136" t="s">
        <v>103</v>
      </c>
      <c r="D403" s="137" t="str">
        <f t="array" ref="D403">IF($A403="","",INDEX('Daily Sales'!A:A,$A403))</f>
        <v>4-5110</v>
      </c>
      <c r="E403" s="138" t="s">
        <v>30</v>
      </c>
      <c r="F403" s="139" t="str">
        <f t="shared" si="3"/>
        <v>Discount</v>
      </c>
      <c r="G403" s="140"/>
      <c r="H403" s="138">
        <f t="array" ref="H403">IF($A403="","",
  IF(
    OR(
      $A403=23,
      AND($A403&gt;=32,$A403&lt;=50)
    ),
    IFERROR(
      INDEX('Daily Sales'!$C:$AG,
        $A403,
        MATCH(TEXT($B403,"0"),TEXT('Daily Sales'!$C$2:$AG$2,"0"),0)
      ),
    ""),
  "")
)</f>
        <v>2542500</v>
      </c>
      <c r="I403" s="138" t="str">
        <f t="array" ref="I403">IF($A403="","",
  IF(
    OR(
      AND($A403&gt;=4,$A403&lt;=8),
      AND($A403&gt;=12,$A403&lt;=19),
      AND($A403&gt;=28,$A403&lt;=29)
    ),
    IFERROR(
      INDEX('Daily Sales'!$C:$AG,
        $A403,
        MATCH(TEXT($B403,"0"),TEXT('Daily Sales'!$C$2:$AG$2,"0"),0)
      ),
    ""),
  "")
)</f>
        <v/>
      </c>
      <c r="J403" s="79" t="e">
        <f t="shared" si="4"/>
        <v>#VALUE!</v>
      </c>
      <c r="K403" s="141"/>
      <c r="L403" s="81"/>
      <c r="M403" s="141"/>
      <c r="N403" s="133"/>
      <c r="O403" s="4"/>
      <c r="P403" s="4"/>
      <c r="Q403" s="4"/>
      <c r="R403" s="109"/>
      <c r="S403" s="109"/>
      <c r="T403" s="108"/>
      <c r="U403" s="110"/>
      <c r="V403" s="110"/>
      <c r="W403" s="110"/>
      <c r="X403" s="110"/>
    </row>
    <row r="404" spans="1:24" ht="13.5" customHeight="1">
      <c r="A404" s="110">
        <f>IF(E404="","",MATCH(E404,'Daily Sales'!B$4:B$51,0)+3)</f>
        <v>32</v>
      </c>
      <c r="B404" s="135">
        <v>46186</v>
      </c>
      <c r="C404" s="136" t="s">
        <v>103</v>
      </c>
      <c r="D404" s="137" t="str">
        <f t="array" ref="D404">IF($A404="","",INDEX('Daily Sales'!A:A,$A404))</f>
        <v>1-1119</v>
      </c>
      <c r="E404" s="138" t="s">
        <v>40</v>
      </c>
      <c r="F404" s="139" t="str">
        <f t="shared" si="3"/>
        <v>Cash IDR</v>
      </c>
      <c r="G404" s="140"/>
      <c r="H404" s="138">
        <f t="array" ref="H404">IF($A404="","",
  IF(
    OR(
      $A404=23,
      AND($A404&gt;=32,$A404&lt;=50)
    ),
    IFERROR(
      INDEX('Daily Sales'!$C:$AG,
        $A404,
        MATCH(TEXT($B404,"0"),TEXT('Daily Sales'!$C$2:$AG$2,"0"),0)
      ),
    ""),
  "")
)</f>
        <v>21047416</v>
      </c>
      <c r="I404" s="138" t="str">
        <f t="array" ref="I404">IF($A404="","",
  IF(
    OR(
      AND($A404&gt;=4,$A404&lt;=8),
      AND($A404&gt;=12,$A404&lt;=19),
      AND($A404&gt;=28,$A404&lt;=29)
    ),
    IFERROR(
      INDEX('Daily Sales'!$C:$AG,
        $A404,
        MATCH(TEXT($B404,"0"),TEXT('Daily Sales'!$C$2:$AG$2,"0"),0)
      ),
    ""),
  "")
)</f>
        <v/>
      </c>
      <c r="J404" s="79" t="e">
        <f t="shared" si="4"/>
        <v>#VALUE!</v>
      </c>
      <c r="K404" s="141"/>
      <c r="L404" s="81"/>
      <c r="M404" s="141"/>
      <c r="N404" s="133"/>
      <c r="O404" s="4"/>
      <c r="P404" s="4"/>
      <c r="Q404" s="4"/>
      <c r="R404" s="109"/>
      <c r="S404" s="109"/>
      <c r="T404" s="108"/>
      <c r="U404" s="110"/>
      <c r="V404" s="110"/>
      <c r="W404" s="110"/>
      <c r="X404" s="110"/>
    </row>
    <row r="405" spans="1:24" ht="13.5" customHeight="1">
      <c r="A405" s="110">
        <f>IF(E405="","",MATCH(E405,'Daily Sales'!B$4:B$51,0)+3)</f>
        <v>33</v>
      </c>
      <c r="B405" s="135">
        <v>46186</v>
      </c>
      <c r="C405" s="136" t="s">
        <v>103</v>
      </c>
      <c r="D405" s="137" t="str">
        <f t="array" ref="D405">IF($A405="","",INDEX('Daily Sales'!A:A,$A405))</f>
        <v>1-1217</v>
      </c>
      <c r="E405" s="138" t="s">
        <v>43</v>
      </c>
      <c r="F405" s="139" t="str">
        <f t="shared" si="3"/>
        <v>Bank transfer</v>
      </c>
      <c r="G405" s="140"/>
      <c r="H405" s="138">
        <f t="array" ref="H405">IF($A405="","",
  IF(
    OR(
      $A405=23,
      AND($A405&gt;=32,$A405&lt;=50)
    ),
    IFERROR(
      INDEX('Daily Sales'!$C:$AG,
        $A405,
        MATCH(TEXT($B405,"0"),TEXT('Daily Sales'!$C$2:$AG$2,"0"),0)
      ),
    ""),
  "")
)</f>
        <v>6997490</v>
      </c>
      <c r="I405" s="138" t="str">
        <f t="array" ref="I405">IF($A405="","",
  IF(
    OR(
      AND($A405&gt;=4,$A405&lt;=8),
      AND($A405&gt;=12,$A405&lt;=19),
      AND($A405&gt;=28,$A405&lt;=29)
    ),
    IFERROR(
      INDEX('Daily Sales'!$C:$AG,
        $A405,
        MATCH(TEXT($B405,"0"),TEXT('Daily Sales'!$C$2:$AG$2,"0"),0)
      ),
    ""),
  "")
)</f>
        <v/>
      </c>
      <c r="J405" s="79" t="e">
        <f t="shared" si="4"/>
        <v>#VALUE!</v>
      </c>
      <c r="K405" s="141"/>
      <c r="L405" s="81"/>
      <c r="M405" s="141"/>
      <c r="N405" s="133"/>
      <c r="O405" s="4"/>
      <c r="P405" s="4"/>
      <c r="Q405" s="4"/>
      <c r="R405" s="109"/>
      <c r="S405" s="109"/>
      <c r="T405" s="108"/>
      <c r="U405" s="110"/>
      <c r="V405" s="110"/>
      <c r="W405" s="110"/>
      <c r="X405" s="110"/>
    </row>
    <row r="406" spans="1:24" ht="13.5" customHeight="1">
      <c r="A406" s="110">
        <f>IF(E406="","",MATCH(E406,'Daily Sales'!B$4:B$51,0)+3)</f>
        <v>35</v>
      </c>
      <c r="B406" s="135">
        <v>46186</v>
      </c>
      <c r="C406" s="136" t="s">
        <v>103</v>
      </c>
      <c r="D406" s="137" t="str">
        <f t="array" ref="D406">IF($A406="","",INDEX('Daily Sales'!A:A,$A406))</f>
        <v>1-1216</v>
      </c>
      <c r="E406" s="138" t="s">
        <v>46</v>
      </c>
      <c r="F406" s="139" t="str">
        <f t="shared" si="3"/>
        <v>Cim Niaga TBB</v>
      </c>
      <c r="G406" s="140"/>
      <c r="H406" s="138">
        <f t="array" ref="H406">IF($A406="","",
  IF(
    OR(
      $A406=23,
      AND($A406&gt;=32,$A406&lt;=50)
    ),
    IFERROR(
      INDEX('Daily Sales'!$C:$AG,
        $A406,
        MATCH(TEXT($B406,"0"),TEXT('Daily Sales'!$C$2:$AG$2,"0"),0)
      ),
    ""),
  "")
)</f>
        <v>7431474</v>
      </c>
      <c r="I406" s="138" t="str">
        <f t="array" ref="I406">IF($A406="","",
  IF(
    OR(
      AND($A406&gt;=4,$A406&lt;=8),
      AND($A406&gt;=12,$A406&lt;=19),
      AND($A406&gt;=28,$A406&lt;=29)
    ),
    IFERROR(
      INDEX('Daily Sales'!$C:$AG,
        $A406,
        MATCH(TEXT($B406,"0"),TEXT('Daily Sales'!$C$2:$AG$2,"0"),0)
      ),
    ""),
  "")
)</f>
        <v/>
      </c>
      <c r="J406" s="79" t="e">
        <f t="shared" si="4"/>
        <v>#VALUE!</v>
      </c>
      <c r="K406" s="141"/>
      <c r="L406" s="81"/>
      <c r="M406" s="141"/>
      <c r="N406" s="133"/>
      <c r="O406" s="4"/>
      <c r="P406" s="4"/>
      <c r="Q406" s="4"/>
      <c r="R406" s="109"/>
      <c r="S406" s="109"/>
      <c r="T406" s="108"/>
      <c r="U406" s="110"/>
      <c r="V406" s="110"/>
      <c r="W406" s="110"/>
      <c r="X406" s="110"/>
    </row>
    <row r="407" spans="1:24" ht="13.5" customHeight="1">
      <c r="A407" s="110">
        <f>IF(E407="","",MATCH(E407,'Daily Sales'!B$4:B$51,0)+3)</f>
        <v>36</v>
      </c>
      <c r="B407" s="135">
        <v>46186</v>
      </c>
      <c r="C407" s="136" t="s">
        <v>103</v>
      </c>
      <c r="D407" s="137" t="str">
        <f t="array" ref="D407">IF($A407="","",INDEX('Daily Sales'!A:A,$A407))</f>
        <v>1-1213</v>
      </c>
      <c r="E407" s="138" t="s">
        <v>49</v>
      </c>
      <c r="F407" s="139" t="str">
        <f t="shared" si="3"/>
        <v>Mandiri Debet</v>
      </c>
      <c r="G407" s="140"/>
      <c r="H407" s="138">
        <f t="array" ref="H407">IF($A407="","",
  IF(
    OR(
      $A407=23,
      AND($A407&gt;=32,$A407&lt;=50)
    ),
    IFERROR(
      INDEX('Daily Sales'!$C:$AG,
        $A407,
        MATCH(TEXT($B407,"0"),TEXT('Daily Sales'!$C$2:$AG$2,"0"),0)
      ),
    ""),
  "")
)</f>
        <v>947260</v>
      </c>
      <c r="I407" s="138" t="str">
        <f t="array" ref="I407">IF($A407="","",
  IF(
    OR(
      AND($A407&gt;=4,$A407&lt;=8),
      AND($A407&gt;=12,$A407&lt;=19),
      AND($A407&gt;=28,$A407&lt;=29)
    ),
    IFERROR(
      INDEX('Daily Sales'!$C:$AG,
        $A407,
        MATCH(TEXT($B407,"0"),TEXT('Daily Sales'!$C$2:$AG$2,"0"),0)
      ),
    ""),
  "")
)</f>
        <v/>
      </c>
      <c r="J407" s="79" t="e">
        <f t="shared" si="4"/>
        <v>#VALUE!</v>
      </c>
      <c r="K407" s="141"/>
      <c r="L407" s="81"/>
      <c r="M407" s="141"/>
      <c r="N407" s="133"/>
      <c r="O407" s="4"/>
      <c r="P407" s="4"/>
      <c r="Q407" s="4"/>
      <c r="R407" s="109"/>
      <c r="S407" s="109"/>
      <c r="T407" s="108"/>
      <c r="U407" s="110"/>
      <c r="V407" s="110"/>
      <c r="W407" s="110"/>
      <c r="X407" s="110"/>
    </row>
    <row r="408" spans="1:24" ht="13.5" customHeight="1">
      <c r="A408" s="110">
        <f>IF(E408="","",MATCH(E408,'Daily Sales'!B$4:B$51,0)+3)</f>
        <v>37</v>
      </c>
      <c r="B408" s="135">
        <v>46186</v>
      </c>
      <c r="C408" s="136" t="s">
        <v>103</v>
      </c>
      <c r="D408" s="137" t="str">
        <f t="array" ref="D408">IF($A408="","",INDEX('Daily Sales'!A:A,$A408))</f>
        <v>1-1213</v>
      </c>
      <c r="E408" s="138" t="s">
        <v>50</v>
      </c>
      <c r="F408" s="139" t="str">
        <f t="shared" si="3"/>
        <v>Mandiri CC</v>
      </c>
      <c r="G408" s="140"/>
      <c r="H408" s="138">
        <f t="array" ref="H408">IF($A408="","",
  IF(
    OR(
      $A408=23,
      AND($A408&gt;=32,$A408&lt;=50)
    ),
    IFERROR(
      INDEX('Daily Sales'!$C:$AG,
        $A408,
        MATCH(TEXT($B408,"0"),TEXT('Daily Sales'!$C$2:$AG$2,"0"),0)
      ),
    ""),
  "")
)</f>
        <v>47519425</v>
      </c>
      <c r="I408" s="138" t="str">
        <f t="array" ref="I408">IF($A408="","",
  IF(
    OR(
      AND($A408&gt;=4,$A408&lt;=8),
      AND($A408&gt;=12,$A408&lt;=19),
      AND($A408&gt;=28,$A408&lt;=29)
    ),
    IFERROR(
      INDEX('Daily Sales'!$C:$AG,
        $A408,
        MATCH(TEXT($B408,"0"),TEXT('Daily Sales'!$C$2:$AG$2,"0"),0)
      ),
    ""),
  "")
)</f>
        <v/>
      </c>
      <c r="J408" s="79" t="e">
        <f t="shared" si="4"/>
        <v>#VALUE!</v>
      </c>
      <c r="K408" s="141"/>
      <c r="L408" s="81"/>
      <c r="M408" s="141"/>
      <c r="N408" s="133"/>
      <c r="O408" s="4"/>
      <c r="P408" s="4"/>
      <c r="Q408" s="4"/>
      <c r="R408" s="109"/>
      <c r="S408" s="109"/>
      <c r="T408" s="108"/>
      <c r="U408" s="110"/>
      <c r="V408" s="110"/>
      <c r="W408" s="110"/>
      <c r="X408" s="110"/>
    </row>
    <row r="409" spans="1:24" ht="13.5" customHeight="1">
      <c r="A409" s="110">
        <f>IF(E409="","",MATCH(E409,'Daily Sales'!B$4:B$51,0)+3)</f>
        <v>38</v>
      </c>
      <c r="B409" s="135">
        <v>46186</v>
      </c>
      <c r="C409" s="136" t="s">
        <v>103</v>
      </c>
      <c r="D409" s="137" t="str">
        <f t="array" ref="D409">IF($A409="","",INDEX('Daily Sales'!A:A,$A409))</f>
        <v>1-1213</v>
      </c>
      <c r="E409" s="138" t="s">
        <v>51</v>
      </c>
      <c r="F409" s="139" t="str">
        <f t="shared" si="3"/>
        <v>Mandiri NPG</v>
      </c>
      <c r="G409" s="140"/>
      <c r="H409" s="138">
        <f t="array" ref="H409">IF($A409="","",
  IF(
    OR(
      $A409=23,
      AND($A409&gt;=32,$A409&lt;=50)
    ),
    IFERROR(
      INDEX('Daily Sales'!$C:$AG,
        $A409,
        MATCH(TEXT($B409,"0"),TEXT('Daily Sales'!$C$2:$AG$2,"0"),0)
      ),
    ""),
  "")
)</f>
        <v>17629570</v>
      </c>
      <c r="I409" s="138" t="str">
        <f t="array" ref="I409">IF($A409="","",
  IF(
    OR(
      AND($A409&gt;=4,$A409&lt;=8),
      AND($A409&gt;=12,$A409&lt;=19),
      AND($A409&gt;=28,$A409&lt;=29)
    ),
    IFERROR(
      INDEX('Daily Sales'!$C:$AG,
        $A409,
        MATCH(TEXT($B409,"0"),TEXT('Daily Sales'!$C$2:$AG$2,"0"),0)
      ),
    ""),
  "")
)</f>
        <v/>
      </c>
      <c r="J409" s="79" t="e">
        <f t="shared" si="4"/>
        <v>#VALUE!</v>
      </c>
      <c r="K409" s="141"/>
      <c r="L409" s="81"/>
      <c r="M409" s="141"/>
      <c r="N409" s="133"/>
      <c r="O409" s="4"/>
      <c r="P409" s="4"/>
      <c r="Q409" s="4"/>
      <c r="R409" s="109"/>
      <c r="S409" s="109"/>
      <c r="T409" s="108"/>
      <c r="U409" s="110"/>
      <c r="V409" s="110"/>
      <c r="W409" s="110"/>
      <c r="X409" s="110"/>
    </row>
    <row r="410" spans="1:24" ht="13.5" customHeight="1">
      <c r="A410" s="110">
        <f>IF(E410="","",MATCH(E410,'Daily Sales'!B$4:B$51,0)+3)</f>
        <v>39</v>
      </c>
      <c r="B410" s="135">
        <v>46186</v>
      </c>
      <c r="C410" s="136" t="s">
        <v>103</v>
      </c>
      <c r="D410" s="137" t="str">
        <f t="array" ref="D410">IF($A410="","",INDEX('Daily Sales'!A:A,$A410))</f>
        <v>1-1213</v>
      </c>
      <c r="E410" s="138" t="s">
        <v>52</v>
      </c>
      <c r="F410" s="139" t="str">
        <f t="shared" si="3"/>
        <v>Mandiri QR</v>
      </c>
      <c r="G410" s="140"/>
      <c r="H410" s="138">
        <f t="array" ref="H410">IF($A410="","",
  IF(
    OR(
      $A410=23,
      AND($A410&gt;=32,$A410&lt;=50)
    ),
    IFERROR(
      INDEX('Daily Sales'!$C:$AG,
        $A410,
        MATCH(TEXT($B410,"0"),TEXT('Daily Sales'!$C$2:$AG$2,"0"),0)
      ),
    ""),
  "")
)</f>
        <v>20905847</v>
      </c>
      <c r="I410" s="138" t="str">
        <f t="array" ref="I410">IF($A410="","",
  IF(
    OR(
      AND($A410&gt;=4,$A410&lt;=8),
      AND($A410&gt;=12,$A410&lt;=19),
      AND($A410&gt;=28,$A410&lt;=29)
    ),
    IFERROR(
      INDEX('Daily Sales'!$C:$AG,
        $A410,
        MATCH(TEXT($B410,"0"),TEXT('Daily Sales'!$C$2:$AG$2,"0"),0)
      ),
    ""),
  "")
)</f>
        <v/>
      </c>
      <c r="J410" s="79" t="e">
        <f t="shared" si="4"/>
        <v>#VALUE!</v>
      </c>
      <c r="K410" s="141"/>
      <c r="L410" s="81"/>
      <c r="M410" s="141"/>
      <c r="N410" s="133"/>
      <c r="O410" s="4"/>
      <c r="P410" s="4"/>
      <c r="Q410" s="4"/>
      <c r="R410" s="109"/>
      <c r="S410" s="109"/>
      <c r="T410" s="108"/>
      <c r="U410" s="110"/>
      <c r="V410" s="110"/>
      <c r="W410" s="110"/>
      <c r="X410" s="110"/>
    </row>
    <row r="411" spans="1:24" ht="13.5" customHeight="1">
      <c r="A411" s="110">
        <f>IF(E411="","",MATCH(E411,'Daily Sales'!B$4:B$51,0)+3)</f>
        <v>40</v>
      </c>
      <c r="B411" s="135">
        <v>46186</v>
      </c>
      <c r="C411" s="136" t="s">
        <v>103</v>
      </c>
      <c r="D411" s="137" t="str">
        <f t="array" ref="D411">IF($A411="","",INDEX('Daily Sales'!A:A,$A411))</f>
        <v>1-1217</v>
      </c>
      <c r="E411" s="138" t="s">
        <v>54</v>
      </c>
      <c r="F411" s="139" t="str">
        <f t="shared" si="3"/>
        <v>BCA CC</v>
      </c>
      <c r="G411" s="140"/>
      <c r="H411" s="138">
        <f t="array" ref="H411">IF($A411="","",
  IF(
    OR(
      $A411=23,
      AND($A411&gt;=32,$A411&lt;=50)
    ),
    IFERROR(
      INDEX('Daily Sales'!$C:$AG,
        $A411,
        MATCH(TEXT($B411,"0"),TEXT('Daily Sales'!$C$2:$AG$2,"0"),0)
      ),
    ""),
  "")
)</f>
        <v>11698030</v>
      </c>
      <c r="I411" s="138" t="str">
        <f t="array" ref="I411">IF($A411="","",
  IF(
    OR(
      AND($A411&gt;=4,$A411&lt;=8),
      AND($A411&gt;=12,$A411&lt;=19),
      AND($A411&gt;=28,$A411&lt;=29)
    ),
    IFERROR(
      INDEX('Daily Sales'!$C:$AG,
        $A411,
        MATCH(TEXT($B411,"0"),TEXT('Daily Sales'!$C$2:$AG$2,"0"),0)
      ),
    ""),
  "")
)</f>
        <v/>
      </c>
      <c r="J411" s="79" t="e">
        <f t="shared" si="4"/>
        <v>#VALUE!</v>
      </c>
      <c r="K411" s="141"/>
      <c r="L411" s="81"/>
      <c r="M411" s="141"/>
      <c r="N411" s="133"/>
      <c r="O411" s="4"/>
      <c r="P411" s="4"/>
      <c r="Q411" s="4"/>
      <c r="R411" s="109"/>
      <c r="S411" s="109"/>
      <c r="T411" s="108"/>
      <c r="U411" s="110"/>
      <c r="V411" s="110"/>
      <c r="W411" s="110"/>
      <c r="X411" s="110"/>
    </row>
    <row r="412" spans="1:24" ht="13.5" customHeight="1">
      <c r="A412" s="110">
        <f>IF(E412="","",MATCH(E412,'Daily Sales'!B$4:B$51,0)+3)</f>
        <v>41</v>
      </c>
      <c r="B412" s="135">
        <v>46186</v>
      </c>
      <c r="C412" s="136" t="s">
        <v>103</v>
      </c>
      <c r="D412" s="137" t="str">
        <f t="array" ref="D412">IF($A412="","",INDEX('Daily Sales'!A:A,$A412))</f>
        <v>1-1217</v>
      </c>
      <c r="E412" s="138" t="s">
        <v>55</v>
      </c>
      <c r="F412" s="139" t="str">
        <f t="shared" si="3"/>
        <v>BCA debt</v>
      </c>
      <c r="G412" s="140"/>
      <c r="H412" s="138">
        <f t="array" ref="H412">IF($A412="","",
  IF(
    OR(
      $A412=23,
      AND($A412&gt;=32,$A412&lt;=50)
    ),
    IFERROR(
      INDEX('Daily Sales'!$C:$AG,
        $A412,
        MATCH(TEXT($B412,"0"),TEXT('Daily Sales'!$C$2:$AG$2,"0"),0)
      ),
    ""),
  "")
)</f>
        <v>682660</v>
      </c>
      <c r="I412" s="138" t="str">
        <f t="array" ref="I412">IF($A412="","",
  IF(
    OR(
      AND($A412&gt;=4,$A412&lt;=8),
      AND($A412&gt;=12,$A412&lt;=19),
      AND($A412&gt;=28,$A412&lt;=29)
    ),
    IFERROR(
      INDEX('Daily Sales'!$C:$AG,
        $A412,
        MATCH(TEXT($B412,"0"),TEXT('Daily Sales'!$C$2:$AG$2,"0"),0)
      ),
    ""),
  "")
)</f>
        <v/>
      </c>
      <c r="J412" s="79" t="e">
        <f t="shared" si="4"/>
        <v>#VALUE!</v>
      </c>
      <c r="K412" s="141"/>
      <c r="L412" s="81"/>
      <c r="M412" s="141"/>
      <c r="N412" s="133"/>
      <c r="O412" s="4"/>
      <c r="P412" s="4"/>
      <c r="Q412" s="4"/>
      <c r="R412" s="109"/>
      <c r="S412" s="109"/>
      <c r="T412" s="108"/>
      <c r="U412" s="110"/>
      <c r="V412" s="110"/>
      <c r="W412" s="110"/>
      <c r="X412" s="110"/>
    </row>
    <row r="413" spans="1:24" ht="13.5" customHeight="1">
      <c r="A413" s="110">
        <f>IF(E413="","",MATCH(E413,'Daily Sales'!B$4:B$51,0)+3)</f>
        <v>42</v>
      </c>
      <c r="B413" s="135">
        <v>46186</v>
      </c>
      <c r="C413" s="136" t="s">
        <v>103</v>
      </c>
      <c r="D413" s="137" t="str">
        <f t="array" ref="D413">IF($A413="","",INDEX('Daily Sales'!A:A,$A413))</f>
        <v>1-1217</v>
      </c>
      <c r="E413" s="138" t="s">
        <v>56</v>
      </c>
      <c r="F413" s="139" t="str">
        <f t="shared" si="3"/>
        <v>BCA QR</v>
      </c>
      <c r="G413" s="140"/>
      <c r="H413" s="138">
        <f t="array" ref="H413">IF($A413="","",
  IF(
    OR(
      $A413=23,
      AND($A413&gt;=32,$A413&lt;=50)
    ),
    IFERROR(
      INDEX('Daily Sales'!$C:$AG,
        $A413,
        MATCH(TEXT($B413,"0"),TEXT('Daily Sales'!$C$2:$AG$2,"0"),0)
      ),
    ""),
  "")
)</f>
        <v>4810295</v>
      </c>
      <c r="I413" s="138" t="str">
        <f t="array" ref="I413">IF($A413="","",
  IF(
    OR(
      AND($A413&gt;=4,$A413&lt;=8),
      AND($A413&gt;=12,$A413&lt;=19),
      AND($A413&gt;=28,$A413&lt;=29)
    ),
    IFERROR(
      INDEX('Daily Sales'!$C:$AG,
        $A413,
        MATCH(TEXT($B413,"0"),TEXT('Daily Sales'!$C$2:$AG$2,"0"),0)
      ),
    ""),
  "")
)</f>
        <v/>
      </c>
      <c r="J413" s="79" t="e">
        <f t="shared" si="4"/>
        <v>#VALUE!</v>
      </c>
      <c r="K413" s="141"/>
      <c r="L413" s="81"/>
      <c r="M413" s="141"/>
      <c r="N413" s="133"/>
      <c r="O413" s="4"/>
      <c r="P413" s="4"/>
      <c r="Q413" s="4"/>
      <c r="R413" s="109"/>
      <c r="S413" s="109"/>
      <c r="T413" s="108"/>
      <c r="U413" s="110"/>
      <c r="V413" s="110"/>
      <c r="W413" s="110"/>
      <c r="X413" s="110"/>
    </row>
    <row r="414" spans="1:24" ht="13.5" customHeight="1">
      <c r="A414" s="110">
        <f>IF(E414="","",MATCH(E414,'Daily Sales'!B$4:B$51,0)+3)</f>
        <v>43</v>
      </c>
      <c r="B414" s="135">
        <v>46186</v>
      </c>
      <c r="C414" s="136" t="s">
        <v>103</v>
      </c>
      <c r="D414" s="137" t="str">
        <f t="array" ref="D414">IF($A414="","",INDEX('Daily Sales'!A:A,$A414))</f>
        <v>1-1214</v>
      </c>
      <c r="E414" s="138" t="s">
        <v>59</v>
      </c>
      <c r="F414" s="139" t="str">
        <f t="shared" si="3"/>
        <v>Bank BRI DEBET</v>
      </c>
      <c r="G414" s="140"/>
      <c r="H414" s="138">
        <f t="array" ref="H414">IF($A414="","",
  IF(
    OR(
      $A414=23,
      AND($A414&gt;=32,$A414&lt;=50)
    ),
    IFERROR(
      INDEX('Daily Sales'!$C:$AG,
        $A414,
        MATCH(TEXT($B414,"0"),TEXT('Daily Sales'!$C$2:$AG$2,"0"),0)
      ),
    ""),
  "")
)</f>
        <v>0</v>
      </c>
      <c r="I414" s="138" t="str">
        <f t="array" ref="I414">IF($A414="","",
  IF(
    OR(
      AND($A414&gt;=4,$A414&lt;=8),
      AND($A414&gt;=12,$A414&lt;=19),
      AND($A414&gt;=28,$A414&lt;=29)
    ),
    IFERROR(
      INDEX('Daily Sales'!$C:$AG,
        $A414,
        MATCH(TEXT($B414,"0"),TEXT('Daily Sales'!$C$2:$AG$2,"0"),0)
      ),
    ""),
  "")
)</f>
        <v/>
      </c>
      <c r="J414" s="79" t="e">
        <f t="shared" si="4"/>
        <v>#VALUE!</v>
      </c>
      <c r="K414" s="141"/>
      <c r="L414" s="81"/>
      <c r="M414" s="141"/>
      <c r="N414" s="133"/>
      <c r="O414" s="4"/>
      <c r="P414" s="4"/>
      <c r="Q414" s="4"/>
      <c r="R414" s="109"/>
      <c r="S414" s="109"/>
      <c r="T414" s="108"/>
      <c r="U414" s="110"/>
      <c r="V414" s="110"/>
      <c r="W414" s="110"/>
      <c r="X414" s="110"/>
    </row>
    <row r="415" spans="1:24" ht="13.5" customHeight="1">
      <c r="A415" s="110">
        <f>IF(E415="","",MATCH(E415,'Daily Sales'!B$4:B$51,0)+3)</f>
        <v>44</v>
      </c>
      <c r="B415" s="135">
        <v>46186</v>
      </c>
      <c r="C415" s="136" t="s">
        <v>103</v>
      </c>
      <c r="D415" s="137" t="str">
        <f t="array" ref="D415">IF($A415="","",INDEX('Daily Sales'!A:A,$A415))</f>
        <v>1-1214</v>
      </c>
      <c r="E415" s="138" t="s">
        <v>60</v>
      </c>
      <c r="F415" s="139" t="str">
        <f t="shared" si="3"/>
        <v>Bank BRI CC</v>
      </c>
      <c r="G415" s="140"/>
      <c r="H415" s="138">
        <f t="array" ref="H415">IF($A415="","",
  IF(
    OR(
      $A415=23,
      AND($A415&gt;=32,$A415&lt;=50)
    ),
    IFERROR(
      INDEX('Daily Sales'!$C:$AG,
        $A415,
        MATCH(TEXT($B415,"0"),TEXT('Daily Sales'!$C$2:$AG$2,"0"),0)
      ),
    ""),
  "")
)</f>
        <v>1012220</v>
      </c>
      <c r="I415" s="138" t="str">
        <f t="array" ref="I415">IF($A415="","",
  IF(
    OR(
      AND($A415&gt;=4,$A415&lt;=8),
      AND($A415&gt;=12,$A415&lt;=19),
      AND($A415&gt;=28,$A415&lt;=29)
    ),
    IFERROR(
      INDEX('Daily Sales'!$C:$AG,
        $A415,
        MATCH(TEXT($B415,"0"),TEXT('Daily Sales'!$C$2:$AG$2,"0"),0)
      ),
    ""),
  "")
)</f>
        <v/>
      </c>
      <c r="J415" s="79" t="e">
        <f t="shared" si="4"/>
        <v>#VALUE!</v>
      </c>
      <c r="K415" s="141"/>
      <c r="L415" s="81"/>
      <c r="M415" s="141"/>
      <c r="N415" s="133"/>
      <c r="O415" s="4"/>
      <c r="P415" s="4"/>
      <c r="Q415" s="4"/>
      <c r="R415" s="109"/>
      <c r="S415" s="109"/>
      <c r="T415" s="108"/>
      <c r="U415" s="110"/>
      <c r="V415" s="110"/>
      <c r="W415" s="110"/>
      <c r="X415" s="110"/>
    </row>
    <row r="416" spans="1:24" ht="13.5" customHeight="1">
      <c r="A416" s="110">
        <f>IF(E416="","",MATCH(E416,'Daily Sales'!B$4:B$51,0)+3)</f>
        <v>45</v>
      </c>
      <c r="B416" s="135">
        <v>46186</v>
      </c>
      <c r="C416" s="136" t="s">
        <v>103</v>
      </c>
      <c r="D416" s="137" t="str">
        <f t="array" ref="D416">IF($A416="","",INDEX('Daily Sales'!A:A,$A416))</f>
        <v>1-1214</v>
      </c>
      <c r="E416" s="138" t="s">
        <v>61</v>
      </c>
      <c r="F416" s="139" t="str">
        <f t="shared" si="3"/>
        <v>Bank BRI QR</v>
      </c>
      <c r="G416" s="140"/>
      <c r="H416" s="138">
        <f t="array" ref="H416">IF($A416="","",
  IF(
    OR(
      $A416=23,
      AND($A416&gt;=32,$A416&lt;=50)
    ),
    IFERROR(
      INDEX('Daily Sales'!$C:$AG,
        $A416,
        MATCH(TEXT($B416,"0"),TEXT('Daily Sales'!$C$2:$AG$2,"0"),0)
      ),
    ""),
  "")
)</f>
        <v>0</v>
      </c>
      <c r="I416" s="138" t="str">
        <f t="array" ref="I416">IF($A416="","",
  IF(
    OR(
      AND($A416&gt;=4,$A416&lt;=8),
      AND($A416&gt;=12,$A416&lt;=19),
      AND($A416&gt;=28,$A416&lt;=29)
    ),
    IFERROR(
      INDEX('Daily Sales'!$C:$AG,
        $A416,
        MATCH(TEXT($B416,"0"),TEXT('Daily Sales'!$C$2:$AG$2,"0"),0)
      ),
    ""),
  "")
)</f>
        <v/>
      </c>
      <c r="J416" s="79" t="e">
        <f t="shared" si="4"/>
        <v>#VALUE!</v>
      </c>
      <c r="K416" s="141"/>
      <c r="L416" s="141"/>
      <c r="M416" s="141"/>
      <c r="N416" s="133"/>
      <c r="O416" s="4"/>
      <c r="P416" s="4"/>
      <c r="Q416" s="4"/>
      <c r="R416" s="109"/>
      <c r="S416" s="109"/>
      <c r="T416" s="108"/>
      <c r="U416" s="110"/>
      <c r="V416" s="110"/>
      <c r="W416" s="110"/>
      <c r="X416" s="110"/>
    </row>
    <row r="417" spans="1:24" ht="13.5" customHeight="1">
      <c r="A417" s="110">
        <f>IF(E417="","",MATCH(E417,'Daily Sales'!B$4:B$51,0)+3)</f>
        <v>46</v>
      </c>
      <c r="B417" s="135">
        <v>46186</v>
      </c>
      <c r="C417" s="136" t="s">
        <v>103</v>
      </c>
      <c r="D417" s="137" t="str">
        <f t="array" ref="D417">IF($A417="","",INDEX('Daily Sales'!A:A,$A417))</f>
        <v>1-1202</v>
      </c>
      <c r="E417" s="138" t="s">
        <v>64</v>
      </c>
      <c r="F417" s="139" t="str">
        <f t="shared" si="3"/>
        <v>Ledger</v>
      </c>
      <c r="G417" s="140"/>
      <c r="H417" s="138">
        <f t="array" ref="H417">IF($A417="","",
  IF(
    OR(
      $A417=23,
      AND($A417&gt;=32,$A417&lt;=50)
    ),
    IFERROR(
      INDEX('Daily Sales'!$C:$AG,
        $A417,
        MATCH(TEXT($B417,"0"),TEXT('Daily Sales'!$C$2:$AG$2,"0"),0)
      ),
    ""),
  "")
)</f>
        <v>995154</v>
      </c>
      <c r="I417" s="138" t="str">
        <f t="array" ref="I417">IF($A417="","",
  IF(
    OR(
      AND($A417&gt;=4,$A417&lt;=8),
      AND($A417&gt;=12,$A417&lt;=19),
      AND($A417&gt;=28,$A417&lt;=29)
    ),
    IFERROR(
      INDEX('Daily Sales'!$C:$AG,
        $A417,
        MATCH(TEXT($B417,"0"),TEXT('Daily Sales'!$C$2:$AG$2,"0"),0)
      ),
    ""),
  "")
)</f>
        <v/>
      </c>
      <c r="J417" s="79" t="e">
        <f t="shared" si="4"/>
        <v>#VALUE!</v>
      </c>
      <c r="K417" s="141"/>
      <c r="L417" s="141"/>
      <c r="M417" s="141"/>
      <c r="N417" s="133"/>
      <c r="O417" s="4"/>
      <c r="P417" s="4"/>
      <c r="Q417" s="4"/>
      <c r="R417" s="109"/>
      <c r="S417" s="109"/>
      <c r="T417" s="108"/>
      <c r="U417" s="110"/>
      <c r="V417" s="110"/>
      <c r="W417" s="110"/>
      <c r="X417" s="110"/>
    </row>
    <row r="418" spans="1:24" ht="13.5" customHeight="1">
      <c r="A418" s="110">
        <f>IF(E418="","",MATCH(E418,'Daily Sales'!B$4:B$51,0)+3)</f>
        <v>47</v>
      </c>
      <c r="B418" s="135">
        <v>46186</v>
      </c>
      <c r="C418" s="136" t="s">
        <v>103</v>
      </c>
      <c r="D418" s="137" t="str">
        <f t="array" ref="D418">IF($A418="","",INDEX('Daily Sales'!A:A,$A418))</f>
        <v>1-1129</v>
      </c>
      <c r="E418" s="138" t="s">
        <v>66</v>
      </c>
      <c r="F418" s="139" t="str">
        <f t="shared" si="3"/>
        <v>Star Points</v>
      </c>
      <c r="G418" s="140"/>
      <c r="H418" s="138">
        <f t="array" ref="H418">IF($A418="","",
  IF(
    OR(
      $A418=23,
      AND($A418&gt;=32,$A418&lt;=50)
    ),
    IFERROR(
      INDEX('Daily Sales'!$C:$AG,
        $A418,
        MATCH(TEXT($B418,"0"),TEXT('Daily Sales'!$C$2:$AG$2,"0"),0)
      ),
    ""),
  "")
)</f>
        <v>0</v>
      </c>
      <c r="I418" s="138" t="str">
        <f t="array" ref="I418">IF($A418="","",
  IF(
    OR(
      AND($A418&gt;=4,$A418&lt;=8),
      AND($A418&gt;=12,$A418&lt;=19),
      AND($A418&gt;=28,$A418&lt;=29)
    ),
    IFERROR(
      INDEX('Daily Sales'!$C:$AG,
        $A418,
        MATCH(TEXT($B418,"0"),TEXT('Daily Sales'!$C$2:$AG$2,"0"),0)
      ),
    ""),
  "")
)</f>
        <v/>
      </c>
      <c r="J418" s="79" t="e">
        <f t="shared" si="4"/>
        <v>#VALUE!</v>
      </c>
      <c r="K418" s="141"/>
      <c r="L418" s="141"/>
      <c r="M418" s="141"/>
      <c r="N418" s="133"/>
      <c r="O418" s="4"/>
      <c r="P418" s="4"/>
      <c r="Q418" s="4"/>
      <c r="R418" s="109"/>
      <c r="S418" s="109"/>
      <c r="T418" s="108"/>
      <c r="U418" s="110"/>
      <c r="V418" s="110"/>
      <c r="W418" s="110"/>
      <c r="X418" s="110"/>
    </row>
    <row r="419" spans="1:24" ht="13.5" customHeight="1">
      <c r="A419" s="110">
        <f>IF(E419="","",MATCH(E419,'Daily Sales'!B$4:B$51,0)+3)</f>
        <v>48</v>
      </c>
      <c r="B419" s="135">
        <v>46186</v>
      </c>
      <c r="C419" s="136" t="s">
        <v>103</v>
      </c>
      <c r="D419" s="137" t="str">
        <f t="array" ref="D419">IF($A419="","",INDEX('Daily Sales'!A:A,$A419))</f>
        <v>1-1215</v>
      </c>
      <c r="E419" s="138" t="s">
        <v>68</v>
      </c>
      <c r="F419" s="139" t="str">
        <f t="shared" si="3"/>
        <v>Ovo</v>
      </c>
      <c r="G419" s="140"/>
      <c r="H419" s="138">
        <f t="array" ref="H419">IF($A419="","",
  IF(
    OR(
      $A419=23,
      AND($A419&gt;=32,$A419&lt;=50)
    ),
    IFERROR(
      INDEX('Daily Sales'!$C:$AG,
        $A419,
        MATCH(TEXT($B419,"0"),TEXT('Daily Sales'!$C$2:$AG$2,"0"),0)
      ),
    ""),
  "")
)</f>
        <v>0</v>
      </c>
      <c r="I419" s="138" t="str">
        <f t="array" ref="I419">IF($A419="","",
  IF(
    OR(
      AND($A419&gt;=4,$A419&lt;=8),
      AND($A419&gt;=12,$A419&lt;=19),
      AND($A419&gt;=28,$A419&lt;=29)
    ),
    IFERROR(
      INDEX('Daily Sales'!$C:$AG,
        $A419,
        MATCH(TEXT($B419,"0"),TEXT('Daily Sales'!$C$2:$AG$2,"0"),0)
      ),
    ""),
  "")
)</f>
        <v/>
      </c>
      <c r="J419" s="79" t="e">
        <f t="shared" si="4"/>
        <v>#VALUE!</v>
      </c>
      <c r="K419" s="141"/>
      <c r="L419" s="141"/>
      <c r="M419" s="141"/>
      <c r="N419" s="133"/>
      <c r="O419" s="4"/>
      <c r="P419" s="4"/>
      <c r="Q419" s="4"/>
      <c r="R419" s="109"/>
      <c r="S419" s="109"/>
      <c r="T419" s="108"/>
      <c r="U419" s="110"/>
      <c r="V419" s="110"/>
      <c r="W419" s="110"/>
      <c r="X419" s="110"/>
    </row>
    <row r="420" spans="1:24" ht="13.5" customHeight="1">
      <c r="A420" s="110">
        <f>IF(E420="","",MATCH(E420,'Daily Sales'!B$4:B$51,0)+3)</f>
        <v>49</v>
      </c>
      <c r="B420" s="135">
        <v>46186</v>
      </c>
      <c r="C420" s="136" t="s">
        <v>103</v>
      </c>
      <c r="D420" s="137" t="str">
        <f t="array" ref="D420">IF($A420="","",INDEX('Daily Sales'!A:A,$A420))</f>
        <v>1-1211</v>
      </c>
      <c r="E420" s="138" t="s">
        <v>70</v>
      </c>
      <c r="F420" s="139" t="str">
        <f t="shared" si="3"/>
        <v>Gopay</v>
      </c>
      <c r="G420" s="140"/>
      <c r="H420" s="138">
        <f t="array" ref="H420">IF($A420="","",
  IF(
    OR(
      $A420=23,
      AND($A420&gt;=32,$A420&lt;=50)
    ),
    IFERROR(
      INDEX('Daily Sales'!$C:$AG,
        $A420,
        MATCH(TEXT($B420,"0"),TEXT('Daily Sales'!$C$2:$AG$2,"0"),0)
      ),
    ""),
  "")
)</f>
        <v>0</v>
      </c>
      <c r="I420" s="138" t="str">
        <f t="array" ref="I420">IF($A420="","",
  IF(
    OR(
      AND($A420&gt;=4,$A420&lt;=8),
      AND($A420&gt;=12,$A420&lt;=19),
      AND($A420&gt;=28,$A420&lt;=29)
    ),
    IFERROR(
      INDEX('Daily Sales'!$C:$AG,
        $A420,
        MATCH(TEXT($B420,"0"),TEXT('Daily Sales'!$C$2:$AG$2,"0"),0)
      ),
    ""),
  "")
)</f>
        <v/>
      </c>
      <c r="J420" s="79" t="e">
        <f t="shared" si="4"/>
        <v>#VALUE!</v>
      </c>
      <c r="K420" s="141"/>
      <c r="L420" s="141"/>
      <c r="M420" s="141"/>
      <c r="N420" s="133"/>
      <c r="O420" s="4"/>
      <c r="P420" s="4"/>
      <c r="Q420" s="4"/>
      <c r="R420" s="109"/>
      <c r="S420" s="109"/>
      <c r="T420" s="108"/>
      <c r="U420" s="110"/>
      <c r="V420" s="110"/>
      <c r="W420" s="110"/>
      <c r="X420" s="110"/>
    </row>
    <row r="421" spans="1:24" ht="13.5" customHeight="1">
      <c r="A421" s="110">
        <f>IF(E421="","",MATCH(E421,'Daily Sales'!B$4:B$51,0)+3)</f>
        <v>50</v>
      </c>
      <c r="B421" s="135">
        <v>46186</v>
      </c>
      <c r="C421" s="136" t="s">
        <v>103</v>
      </c>
      <c r="D421" s="137" t="str">
        <f t="array" ref="D421">IF($A421="","",INDEX('Daily Sales'!A:A,$A421))</f>
        <v>2-2110</v>
      </c>
      <c r="E421" s="138" t="s">
        <v>72</v>
      </c>
      <c r="F421" s="139" t="str">
        <f t="shared" si="3"/>
        <v>Cash Short/Over</v>
      </c>
      <c r="G421" s="140"/>
      <c r="H421" s="138">
        <f t="array" ref="H421">IF($A421="","",
  IF(
    OR(
      $A421=23,
      AND($A421&gt;=32,$A421&lt;=50)
    ),
    IFERROR(
      INDEX('Daily Sales'!$C:$AG,
        $A421,
        MATCH(TEXT($B421,"0"),TEXT('Daily Sales'!$C$2:$AG$2,"0"),0)
      ),
    ""),
  "")
)</f>
        <v>-91506.85</v>
      </c>
      <c r="I421" s="138" t="str">
        <f t="array" ref="I421">IF($A421="","",
  IF(
    OR(
      AND($A421&gt;=4,$A421&lt;=8),
      AND($A421&gt;=12,$A421&lt;=19),
      AND($A421&gt;=28,$A421&lt;=29)
    ),
    IFERROR(
      INDEX('Daily Sales'!$C:$AG,
        $A421,
        MATCH(TEXT($B421,"0"),TEXT('Daily Sales'!$C$2:$AG$2,"0"),0)
      ),
    ""),
  "")
)</f>
        <v/>
      </c>
      <c r="J421" s="79" t="e">
        <f t="shared" si="4"/>
        <v>#VALUE!</v>
      </c>
      <c r="K421" s="141"/>
      <c r="L421" s="141"/>
      <c r="M421" s="141"/>
      <c r="N421" s="133"/>
      <c r="O421" s="4"/>
      <c r="P421" s="4"/>
      <c r="Q421" s="4"/>
      <c r="R421" s="109"/>
      <c r="S421" s="109"/>
      <c r="T421" s="108"/>
      <c r="U421" s="110"/>
      <c r="V421" s="110"/>
      <c r="W421" s="110"/>
      <c r="X421" s="110"/>
    </row>
    <row r="422" spans="1:24" ht="13.5" customHeight="1">
      <c r="A422" s="110" t="str">
        <f>IF(E422="","",MATCH(E422,'Daily Sales'!B$4:B$51,0)+3)</f>
        <v/>
      </c>
      <c r="B422" s="135"/>
      <c r="C422" s="136"/>
      <c r="D422" s="137" t="str">
        <f t="array" ref="D422">IF($A422="","",INDEX('Daily Sales'!A:A,$A422))</f>
        <v/>
      </c>
      <c r="E422" s="138"/>
      <c r="F422" s="139">
        <f t="shared" si="3"/>
        <v>0</v>
      </c>
      <c r="G422" s="140"/>
      <c r="H422" s="138" t="str">
        <f t="array" ref="H422">IF($A422="","",
  IF(
    OR(
      $A422=23,
      AND($A422&gt;=32,$A422&lt;=50)
    ),
    IFERROR(
      INDEX('Daily Sales'!$C:$AG,
        $A422,
        MATCH(TEXT($B422,"0"),TEXT('Daily Sales'!$C$2:$AG$2,"0"),0)
      ),
    ""),
  "")
)</f>
        <v/>
      </c>
      <c r="I422" s="138" t="str">
        <f t="array" ref="I422">IF($A422="","",
  IF(
    OR(
      AND($A422&gt;=4,$A422&lt;=8),
      AND($A422&gt;=12,$A422&lt;=19),
      AND($A422&gt;=28,$A422&lt;=29)
    ),
    IFERROR(
      INDEX('Daily Sales'!$C:$AG,
        $A422,
        MATCH(TEXT($B422,"0"),TEXT('Daily Sales'!$C$2:$AG$2,"0"),0)
      ),
    ""),
  "")
)</f>
        <v/>
      </c>
      <c r="J422" s="79" t="e">
        <f t="shared" si="4"/>
        <v>#VALUE!</v>
      </c>
      <c r="K422" s="141"/>
      <c r="L422" s="141"/>
      <c r="M422" s="141"/>
      <c r="N422" s="133"/>
      <c r="O422" s="4"/>
      <c r="P422" s="4"/>
      <c r="Q422" s="4"/>
      <c r="R422" s="109"/>
      <c r="S422" s="109"/>
      <c r="T422" s="108"/>
      <c r="U422" s="110"/>
      <c r="V422" s="110"/>
      <c r="W422" s="110"/>
      <c r="X422" s="110"/>
    </row>
    <row r="423" spans="1:24" ht="13.5" customHeight="1">
      <c r="A423" s="110">
        <f>IF(E423="","",MATCH(E423,'Daily Sales'!B$4:B$51,0)+3)</f>
        <v>4</v>
      </c>
      <c r="B423" s="135">
        <v>46187</v>
      </c>
      <c r="C423" s="136" t="s">
        <v>104</v>
      </c>
      <c r="D423" s="137" t="str">
        <f t="array" ref="D423">IF($A423="","",INDEX('Daily Sales'!A:A,$A423))</f>
        <v>4-2100</v>
      </c>
      <c r="E423" s="138" t="s">
        <v>5</v>
      </c>
      <c r="F423" s="139" t="str">
        <f t="shared" si="3"/>
        <v>Sales Food TERRACE</v>
      </c>
      <c r="G423" s="140"/>
      <c r="H423" s="138" t="str">
        <f t="array" ref="H423">IF($A423="","",
  IF(
    OR(
      $A423=23,
      AND($A423&gt;=32,$A423&lt;=50)
    ),
    IFERROR(
      INDEX('Daily Sales'!$C:$AG,
        $A423,
        MATCH(TEXT($B423,"0"),TEXT('Daily Sales'!$C$2:$AG$2,"0"),0)
      ),
    ""),
  "")
)</f>
        <v/>
      </c>
      <c r="I423" s="138">
        <f t="array" ref="I423">IF($A423="","",
  IF(
    OR(
      AND($A423&gt;=4,$A423&lt;=8),
      AND($A423&gt;=12,$A423&lt;=19),
      AND($A423&gt;=28,$A423&lt;=29)
    ),
    IFERROR(
      INDEX('Daily Sales'!$C:$AG,
        $A423,
        MATCH(TEXT($B423,"0"),TEXT('Daily Sales'!$C$2:$AG$2,"0"),0)
      ),
    ""),
  "")
)</f>
        <v>5760000</v>
      </c>
      <c r="J423" s="79" t="e">
        <f t="shared" si="4"/>
        <v>#VALUE!</v>
      </c>
      <c r="K423" s="141"/>
      <c r="L423" s="141"/>
      <c r="M423" s="141"/>
      <c r="N423" s="133"/>
      <c r="O423" s="4"/>
      <c r="P423" s="4"/>
      <c r="Q423" s="4"/>
      <c r="R423" s="109"/>
      <c r="S423" s="109"/>
      <c r="T423" s="108"/>
      <c r="U423" s="110"/>
      <c r="V423" s="110"/>
      <c r="W423" s="110"/>
      <c r="X423" s="110"/>
    </row>
    <row r="424" spans="1:24" ht="13.5" customHeight="1">
      <c r="A424" s="110">
        <f>IF(E424="","",MATCH(E424,'Daily Sales'!B$4:B$51,0)+3)</f>
        <v>5</v>
      </c>
      <c r="B424" s="135">
        <v>46187</v>
      </c>
      <c r="C424" s="136" t="s">
        <v>104</v>
      </c>
      <c r="D424" s="137" t="str">
        <f t="array" ref="D424">IF($A424="","",INDEX('Daily Sales'!A:A,$A424))</f>
        <v>4-2200</v>
      </c>
      <c r="E424" s="138" t="s">
        <v>7</v>
      </c>
      <c r="F424" s="139" t="str">
        <f t="shared" si="3"/>
        <v>Sales Beverages TERRACE</v>
      </c>
      <c r="G424" s="140"/>
      <c r="H424" s="138" t="str">
        <f t="array" ref="H424">IF($A424="","",
  IF(
    OR(
      $A424=23,
      AND($A424&gt;=32,$A424&lt;=50)
    ),
    IFERROR(
      INDEX('Daily Sales'!$C:$AG,
        $A424,
        MATCH(TEXT($B424,"0"),TEXT('Daily Sales'!$C$2:$AG$2,"0"),0)
      ),
    ""),
  "")
)</f>
        <v/>
      </c>
      <c r="I424" s="138">
        <f t="array" ref="I424">IF($A424="","",
  IF(
    OR(
      AND($A424&gt;=4,$A424&lt;=8),
      AND($A424&gt;=12,$A424&lt;=19),
      AND($A424&gt;=28,$A424&lt;=29)
    ),
    IFERROR(
      INDEX('Daily Sales'!$C:$AG,
        $A424,
        MATCH(TEXT($B424,"0"),TEXT('Daily Sales'!$C$2:$AG$2,"0"),0)
      ),
    ""),
  "")
)</f>
        <v>11125000</v>
      </c>
      <c r="J424" s="79" t="e">
        <f t="shared" si="4"/>
        <v>#VALUE!</v>
      </c>
      <c r="K424" s="141"/>
      <c r="L424" s="141"/>
      <c r="M424" s="141"/>
      <c r="N424" s="133"/>
      <c r="O424" s="4"/>
      <c r="P424" s="4"/>
      <c r="Q424" s="4"/>
      <c r="R424" s="109"/>
      <c r="S424" s="109"/>
      <c r="T424" s="108"/>
      <c r="U424" s="110"/>
      <c r="V424" s="110"/>
      <c r="W424" s="110"/>
      <c r="X424" s="110"/>
    </row>
    <row r="425" spans="1:24" ht="13.5" customHeight="1">
      <c r="A425" s="110">
        <f>IF(E425="","",MATCH(E425,'Daily Sales'!B$4:B$51,0)+3)</f>
        <v>6</v>
      </c>
      <c r="B425" s="135">
        <v>46187</v>
      </c>
      <c r="C425" s="136" t="s">
        <v>104</v>
      </c>
      <c r="D425" s="137" t="str">
        <f t="array" ref="D425">IF($A425="","",INDEX('Daily Sales'!A:A,$A425))</f>
        <v>4-2400</v>
      </c>
      <c r="E425" s="138" t="s">
        <v>9</v>
      </c>
      <c r="F425" s="139" t="str">
        <f t="shared" si="3"/>
        <v>Sales Cigarette TERRACE</v>
      </c>
      <c r="G425" s="140"/>
      <c r="H425" s="138" t="str">
        <f t="array" ref="H425">IF($A425="","",
  IF(
    OR(
      $A425=23,
      AND($A425&gt;=32,$A425&lt;=50)
    ),
    IFERROR(
      INDEX('Daily Sales'!$C:$AG,
        $A425,
        MATCH(TEXT($B425,"0"),TEXT('Daily Sales'!$C$2:$AG$2,"0"),0)
      ),
    ""),
  "")
)</f>
        <v/>
      </c>
      <c r="I425" s="138">
        <f t="array" ref="I425">IF($A425="","",
  IF(
    OR(
      AND($A425&gt;=4,$A425&lt;=8),
      AND($A425&gt;=12,$A425&lt;=19),
      AND($A425&gt;=28,$A425&lt;=29)
    ),
    IFERROR(
      INDEX('Daily Sales'!$C:$AG,
        $A425,
        MATCH(TEXT($B425,"0"),TEXT('Daily Sales'!$C$2:$AG$2,"0"),0)
      ),
    ""),
  "")
)</f>
        <v>420000</v>
      </c>
      <c r="J425" s="79" t="e">
        <f t="shared" si="4"/>
        <v>#VALUE!</v>
      </c>
      <c r="K425" s="141"/>
      <c r="L425" s="141"/>
      <c r="M425" s="141"/>
      <c r="N425" s="133"/>
      <c r="O425" s="4"/>
      <c r="P425" s="4"/>
      <c r="Q425" s="4"/>
      <c r="R425" s="109"/>
      <c r="S425" s="109"/>
      <c r="T425" s="108"/>
      <c r="U425" s="110"/>
      <c r="V425" s="110"/>
      <c r="W425" s="110"/>
      <c r="X425" s="110"/>
    </row>
    <row r="426" spans="1:24" ht="13.5" customHeight="1">
      <c r="A426" s="110">
        <f>IF(E426="","",MATCH(E426,'Daily Sales'!B$4:B$51,0)+3)</f>
        <v>7</v>
      </c>
      <c r="B426" s="135">
        <v>46187</v>
      </c>
      <c r="C426" s="136" t="s">
        <v>104</v>
      </c>
      <c r="D426" s="137" t="str">
        <f t="array" ref="D426">IF($A426="","",INDEX('Daily Sales'!A:A,$A426))</f>
        <v>4-2300</v>
      </c>
      <c r="E426" s="138" t="s">
        <v>11</v>
      </c>
      <c r="F426" s="139" t="str">
        <f t="shared" si="3"/>
        <v>Sales Shisa TERRACE</v>
      </c>
      <c r="G426" s="140"/>
      <c r="H426" s="138" t="str">
        <f t="array" ref="H426">IF($A426="","",
  IF(
    OR(
      $A426=23,
      AND($A426&gt;=32,$A426&lt;=50)
    ),
    IFERROR(
      INDEX('Daily Sales'!$C:$AG,
        $A426,
        MATCH(TEXT($B426,"0"),TEXT('Daily Sales'!$C$2:$AG$2,"0"),0)
      ),
    ""),
  "")
)</f>
        <v/>
      </c>
      <c r="I426" s="138">
        <f t="array" ref="I426">IF($A426="","",
  IF(
    OR(
      AND($A426&gt;=4,$A426&lt;=8),
      AND($A426&gt;=12,$A426&lt;=19),
      AND($A426&gt;=28,$A426&lt;=29)
    ),
    IFERROR(
      INDEX('Daily Sales'!$C:$AG,
        $A426,
        MATCH(TEXT($B426,"0"),TEXT('Daily Sales'!$C$2:$AG$2,"0"),0)
      ),
    ""),
  "")
)</f>
        <v>0</v>
      </c>
      <c r="J426" s="79" t="e">
        <f t="shared" si="4"/>
        <v>#VALUE!</v>
      </c>
      <c r="K426" s="141"/>
      <c r="L426" s="141"/>
      <c r="M426" s="141"/>
      <c r="N426" s="133"/>
      <c r="O426" s="4"/>
      <c r="P426" s="4"/>
      <c r="Q426" s="4"/>
      <c r="R426" s="109"/>
      <c r="S426" s="109"/>
      <c r="T426" s="108"/>
      <c r="U426" s="110"/>
      <c r="V426" s="110"/>
      <c r="W426" s="110"/>
      <c r="X426" s="110"/>
    </row>
    <row r="427" spans="1:24" ht="13.5" customHeight="1">
      <c r="A427" s="110">
        <f>IF(E427="","",MATCH(E427,'Daily Sales'!B$4:B$51,0)+3)</f>
        <v>12</v>
      </c>
      <c r="B427" s="135">
        <v>46187</v>
      </c>
      <c r="C427" s="136" t="s">
        <v>104</v>
      </c>
      <c r="D427" s="137" t="str">
        <f t="array" ref="D427">IF($A427="","",INDEX('Daily Sales'!A:A,$A427))</f>
        <v>4-2200</v>
      </c>
      <c r="E427" s="138" t="s">
        <v>17</v>
      </c>
      <c r="F427" s="139" t="str">
        <f t="shared" si="3"/>
        <v>Sales Beverages CLUB</v>
      </c>
      <c r="G427" s="140"/>
      <c r="H427" s="138" t="str">
        <f t="array" ref="H427">IF($A427="","",
  IF(
    OR(
      $A427=23,
      AND($A427&gt;=32,$A427&lt;=50)
    ),
    IFERROR(
      INDEX('Daily Sales'!$C:$AG,
        $A427,
        MATCH(TEXT($B427,"0"),TEXT('Daily Sales'!$C$2:$AG$2,"0"),0)
      ),
    ""),
  "")
)</f>
        <v/>
      </c>
      <c r="I427" s="138">
        <f t="array" ref="I427">IF($A427="","",
  IF(
    OR(
      AND($A427&gt;=4,$A427&lt;=8),
      AND($A427&gt;=12,$A427&lt;=19),
      AND($A427&gt;=28,$A427&lt;=29)
    ),
    IFERROR(
      INDEX('Daily Sales'!$C:$AG,
        $A427,
        MATCH(TEXT($B427,"0"),TEXT('Daily Sales'!$C$2:$AG$2,"0"),0)
      ),
    ""),
  "")
)</f>
        <v>9185000</v>
      </c>
      <c r="J427" s="79" t="e">
        <f t="shared" si="4"/>
        <v>#VALUE!</v>
      </c>
      <c r="K427" s="141"/>
      <c r="L427" s="141"/>
      <c r="M427" s="141"/>
      <c r="N427" s="133"/>
      <c r="O427" s="4"/>
      <c r="P427" s="4"/>
      <c r="Q427" s="4"/>
      <c r="R427" s="109"/>
      <c r="S427" s="109"/>
      <c r="T427" s="108"/>
      <c r="U427" s="110"/>
      <c r="V427" s="110"/>
      <c r="W427" s="110"/>
      <c r="X427" s="110"/>
    </row>
    <row r="428" spans="1:24" ht="13.5" customHeight="1">
      <c r="A428" s="110">
        <f>IF(E428="","",MATCH(E428,'Daily Sales'!B$4:B$51,0)+3)</f>
        <v>13</v>
      </c>
      <c r="B428" s="135">
        <v>46187</v>
      </c>
      <c r="C428" s="136" t="s">
        <v>104</v>
      </c>
      <c r="D428" s="137" t="str">
        <f t="array" ref="D428">IF($A428="","",INDEX('Daily Sales'!A:A,$A428))</f>
        <v>4-2400</v>
      </c>
      <c r="E428" s="138" t="s">
        <v>18</v>
      </c>
      <c r="F428" s="139" t="str">
        <f t="shared" si="3"/>
        <v>Sales Cigarette CLUB</v>
      </c>
      <c r="G428" s="140"/>
      <c r="H428" s="138" t="str">
        <f t="array" ref="H428">IF($A428="","",
  IF(
    OR(
      $A428=23,
      AND($A428&gt;=32,$A428&lt;=50)
    ),
    IFERROR(
      INDEX('Daily Sales'!$C:$AG,
        $A428,
        MATCH(TEXT($B428,"0"),TEXT('Daily Sales'!$C$2:$AG$2,"0"),0)
      ),
    ""),
  "")
)</f>
        <v/>
      </c>
      <c r="I428" s="138">
        <f t="array" ref="I428">IF($A428="","",
  IF(
    OR(
      AND($A428&gt;=4,$A428&lt;=8),
      AND($A428&gt;=12,$A428&lt;=19),
      AND($A428&gt;=28,$A428&lt;=29)
    ),
    IFERROR(
      INDEX('Daily Sales'!$C:$AG,
        $A428,
        MATCH(TEXT($B428,"0"),TEXT('Daily Sales'!$C$2:$AG$2,"0"),0)
      ),
    ""),
  "")
)</f>
        <v>140000</v>
      </c>
      <c r="J428" s="79" t="e">
        <f t="shared" si="4"/>
        <v>#VALUE!</v>
      </c>
      <c r="K428" s="141"/>
      <c r="L428" s="141"/>
      <c r="M428" s="141"/>
      <c r="N428" s="133"/>
      <c r="O428" s="4"/>
      <c r="P428" s="4"/>
      <c r="Q428" s="4"/>
      <c r="R428" s="109"/>
      <c r="S428" s="109"/>
      <c r="T428" s="108"/>
      <c r="U428" s="110"/>
      <c r="V428" s="110"/>
      <c r="W428" s="110"/>
      <c r="X428" s="110"/>
    </row>
    <row r="429" spans="1:24" ht="13.5" customHeight="1">
      <c r="A429" s="110">
        <f>IF(E429="","",MATCH(E429,'Daily Sales'!B$4:B$51,0)+3)</f>
        <v>14</v>
      </c>
      <c r="B429" s="135">
        <v>46187</v>
      </c>
      <c r="C429" s="136" t="s">
        <v>104</v>
      </c>
      <c r="D429" s="137" t="str">
        <f t="array" ref="D429">IF($A429="","",INDEX('Daily Sales'!A:A,$A429))</f>
        <v>4-2100</v>
      </c>
      <c r="E429" s="138" t="s">
        <v>19</v>
      </c>
      <c r="F429" s="139" t="str">
        <f t="shared" si="3"/>
        <v>Sales Food CLUB</v>
      </c>
      <c r="G429" s="140"/>
      <c r="H429" s="138" t="str">
        <f t="array" ref="H429">IF($A429="","",
  IF(
    OR(
      $A429=23,
      AND($A429&gt;=32,$A429&lt;=50)
    ),
    IFERROR(
      INDEX('Daily Sales'!$C:$AG,
        $A429,
        MATCH(TEXT($B429,"0"),TEXT('Daily Sales'!$C$2:$AG$2,"0"),0)
      ),
    ""),
  "")
)</f>
        <v/>
      </c>
      <c r="I429" s="138">
        <f t="array" ref="I429">IF($A429="","",
  IF(
    OR(
      AND($A429&gt;=4,$A429&lt;=8),
      AND($A429&gt;=12,$A429&lt;=19),
      AND($A429&gt;=28,$A429&lt;=29)
    ),
    IFERROR(
      INDEX('Daily Sales'!$C:$AG,
        $A429,
        MATCH(TEXT($B429,"0"),TEXT('Daily Sales'!$C$2:$AG$2,"0"),0)
      ),
    ""),
  "")
)</f>
        <v>100000</v>
      </c>
      <c r="J429" s="79" t="e">
        <f t="shared" si="4"/>
        <v>#VALUE!</v>
      </c>
      <c r="K429" s="141"/>
      <c r="L429" s="141"/>
      <c r="M429" s="141"/>
      <c r="N429" s="133"/>
      <c r="O429" s="4"/>
      <c r="P429" s="4"/>
      <c r="Q429" s="4"/>
      <c r="R429" s="109"/>
      <c r="S429" s="109"/>
      <c r="T429" s="108"/>
      <c r="U429" s="110"/>
      <c r="V429" s="110"/>
      <c r="W429" s="110"/>
      <c r="X429" s="110"/>
    </row>
    <row r="430" spans="1:24" ht="13.5" customHeight="1">
      <c r="A430" s="110">
        <f>IF(E430="","",MATCH(E430,'Daily Sales'!B$4:B$51,0)+3)</f>
        <v>15</v>
      </c>
      <c r="B430" s="135">
        <v>46187</v>
      </c>
      <c r="C430" s="136" t="s">
        <v>104</v>
      </c>
      <c r="D430" s="137" t="str">
        <f t="array" ref="D430">IF($A430="","",INDEX('Daily Sales'!A:A,$A430))</f>
        <v>4-2300</v>
      </c>
      <c r="E430" s="138" t="s">
        <v>20</v>
      </c>
      <c r="F430" s="139" t="str">
        <f t="shared" si="3"/>
        <v>Sales Shisa CLUB</v>
      </c>
      <c r="G430" s="140"/>
      <c r="H430" s="138" t="str">
        <f t="array" ref="H430">IF($A430="","",
  IF(
    OR(
      $A430=23,
      AND($A430&gt;=32,$A430&lt;=50)
    ),
    IFERROR(
      INDEX('Daily Sales'!$C:$AG,
        $A430,
        MATCH(TEXT($B430,"0"),TEXT('Daily Sales'!$C$2:$AG$2,"0"),0)
      ),
    ""),
  "")
)</f>
        <v/>
      </c>
      <c r="I430" s="138">
        <f t="array" ref="I430">IF($A430="","",
  IF(
    OR(
      AND($A430&gt;=4,$A430&lt;=8),
      AND($A430&gt;=12,$A430&lt;=19),
      AND($A430&gt;=28,$A430&lt;=29)
    ),
    IFERROR(
      INDEX('Daily Sales'!$C:$AG,
        $A430,
        MATCH(TEXT($B430,"0"),TEXT('Daily Sales'!$C$2:$AG$2,"0"),0)
      ),
    ""),
  "")
)</f>
        <v>250000</v>
      </c>
      <c r="J430" s="79" t="e">
        <f t="shared" si="4"/>
        <v>#VALUE!</v>
      </c>
      <c r="K430" s="141"/>
      <c r="L430" s="141"/>
      <c r="M430" s="141"/>
      <c r="N430" s="133"/>
      <c r="O430" s="4"/>
      <c r="P430" s="4"/>
      <c r="Q430" s="4"/>
      <c r="R430" s="109"/>
      <c r="S430" s="109"/>
      <c r="T430" s="108"/>
      <c r="U430" s="110"/>
      <c r="V430" s="110"/>
      <c r="W430" s="110"/>
      <c r="X430" s="110"/>
    </row>
    <row r="431" spans="1:24" ht="13.5" customHeight="1">
      <c r="A431" s="110">
        <f>IF(E431="","",MATCH(E431,'Daily Sales'!B$4:B$51,0)+3)</f>
        <v>17</v>
      </c>
      <c r="B431" s="135">
        <v>46187</v>
      </c>
      <c r="C431" s="136" t="s">
        <v>104</v>
      </c>
      <c r="D431" s="137" t="str">
        <f t="array" ref="D431">IF($A431="","",INDEX('Daily Sales'!A:A,$A431))</f>
        <v>4-2601</v>
      </c>
      <c r="E431" s="138" t="s">
        <v>23</v>
      </c>
      <c r="F431" s="139" t="str">
        <f t="shared" si="3"/>
        <v xml:space="preserve">Misc </v>
      </c>
      <c r="G431" s="140"/>
      <c r="H431" s="138" t="str">
        <f t="array" ref="H431">IF($A431="","",
  IF(
    OR(
      $A431=23,
      AND($A431&gt;=32,$A431&lt;=50)
    ),
    IFERROR(
      INDEX('Daily Sales'!$C:$AG,
        $A431,
        MATCH(TEXT($B431,"0"),TEXT('Daily Sales'!$C$2:$AG$2,"0"),0)
      ),
    ""),
  "")
)</f>
        <v/>
      </c>
      <c r="I431" s="138">
        <f t="array" ref="I431">IF($A431="","",
  IF(
    OR(
      AND($A431&gt;=4,$A431&lt;=8),
      AND($A431&gt;=12,$A431&lt;=19),
      AND($A431&gt;=28,$A431&lt;=29)
    ),
    IFERROR(
      INDEX('Daily Sales'!$C:$AG,
        $A431,
        MATCH(TEXT($B431,"0"),TEXT('Daily Sales'!$C$2:$AG$2,"0"),0)
      ),
    ""),
  "")
)</f>
        <v>0</v>
      </c>
      <c r="J431" s="79" t="e">
        <f t="shared" si="4"/>
        <v>#VALUE!</v>
      </c>
      <c r="K431" s="141"/>
      <c r="L431" s="141"/>
      <c r="M431" s="141"/>
      <c r="N431" s="133"/>
      <c r="O431" s="4"/>
      <c r="P431" s="4"/>
      <c r="Q431" s="4"/>
      <c r="R431" s="109"/>
      <c r="S431" s="109"/>
      <c r="T431" s="108"/>
      <c r="U431" s="110"/>
      <c r="V431" s="110"/>
      <c r="W431" s="110"/>
      <c r="X431" s="110"/>
    </row>
    <row r="432" spans="1:24" ht="13.5" customHeight="1">
      <c r="A432" s="110">
        <f>IF(E432="","",MATCH(E432,'Daily Sales'!B$4:B$51,0)+3)</f>
        <v>19</v>
      </c>
      <c r="B432" s="135">
        <v>46187</v>
      </c>
      <c r="C432" s="136" t="s">
        <v>104</v>
      </c>
      <c r="D432" s="137" t="str">
        <f t="array" ref="D432">IF($A432="","",INDEX('Daily Sales'!A:A,$A432))</f>
        <v>4-2500</v>
      </c>
      <c r="E432" s="138" t="s">
        <v>26</v>
      </c>
      <c r="F432" s="139" t="str">
        <f t="shared" si="3"/>
        <v>Sales Ticket</v>
      </c>
      <c r="G432" s="140"/>
      <c r="H432" s="138" t="str">
        <f t="array" ref="H432">IF($A432="","",
  IF(
    OR(
      $A432=23,
      AND($A432&gt;=32,$A432&lt;=50)
    ),
    IFERROR(
      INDEX('Daily Sales'!$C:$AG,
        $A432,
        MATCH(TEXT($B432,"0"),TEXT('Daily Sales'!$C$2:$AG$2,"0"),0)
      ),
    ""),
  "")
)</f>
        <v/>
      </c>
      <c r="I432" s="138">
        <f t="array" ref="I432">IF($A432="","",
  IF(
    OR(
      AND($A432&gt;=4,$A432&lt;=8),
      AND($A432&gt;=12,$A432&lt;=19),
      AND($A432&gt;=28,$A432&lt;=29)
    ),
    IFERROR(
      INDEX('Daily Sales'!$C:$AG,
        $A432,
        MATCH(TEXT($B432,"0"),TEXT('Daily Sales'!$C$2:$AG$2,"0"),0)
      ),
    ""),
  "")
)</f>
        <v>9855592</v>
      </c>
      <c r="J432" s="79" t="e">
        <f t="shared" si="4"/>
        <v>#VALUE!</v>
      </c>
      <c r="K432" s="141"/>
      <c r="L432" s="141"/>
      <c r="M432" s="141"/>
      <c r="N432" s="133"/>
      <c r="O432" s="4"/>
      <c r="P432" s="4"/>
      <c r="Q432" s="4"/>
      <c r="R432" s="109"/>
      <c r="S432" s="109"/>
      <c r="T432" s="108"/>
      <c r="U432" s="110"/>
      <c r="V432" s="110"/>
      <c r="W432" s="110"/>
      <c r="X432" s="110"/>
    </row>
    <row r="433" spans="1:24" ht="13.5" customHeight="1">
      <c r="A433" s="110">
        <f>IF(E433="","",MATCH(E433,'Daily Sales'!B$4:B$51,0)+3)</f>
        <v>28</v>
      </c>
      <c r="B433" s="135">
        <v>46187</v>
      </c>
      <c r="C433" s="136" t="s">
        <v>104</v>
      </c>
      <c r="D433" s="137" t="str">
        <f t="array" ref="D433">IF($A433="","",INDEX('Daily Sales'!A:A,$A433))</f>
        <v>2-2106</v>
      </c>
      <c r="E433" s="138" t="s">
        <v>35</v>
      </c>
      <c r="F433" s="139" t="str">
        <f t="shared" si="3"/>
        <v>Service Charges 7%</v>
      </c>
      <c r="G433" s="140"/>
      <c r="H433" s="138" t="str">
        <f t="array" ref="H433">IF($A433="","",
  IF(
    OR(
      $A433=23,
      AND($A433&gt;=32,$A433&lt;=50)
    ),
    IFERROR(
      INDEX('Daily Sales'!$C:$AG,
        $A433,
        MATCH(TEXT($B433,"0"),TEXT('Daily Sales'!$C$2:$AG$2,"0"),0)
      ),
    ""),
  "")
)</f>
        <v/>
      </c>
      <c r="I433" s="138">
        <f t="array" ref="I433">IF($A433="","",
  IF(
    OR(
      AND($A433&gt;=4,$A433&lt;=8),
      AND($A433&gt;=12,$A433&lt;=19),
      AND($A433&gt;=28,$A433&lt;=29)
    ),
    IFERROR(
      INDEX('Daily Sales'!$C:$AG,
        $A433,
        MATCH(TEXT($B433,"0"),TEXT('Daily Sales'!$C$2:$AG$2,"0"),0)
      ),
    ""),
  "")
)</f>
        <v>2565506.4400000004</v>
      </c>
      <c r="J433" s="79" t="e">
        <f t="shared" si="4"/>
        <v>#VALUE!</v>
      </c>
      <c r="K433" s="141"/>
      <c r="L433" s="141"/>
      <c r="M433" s="141"/>
      <c r="N433" s="133"/>
      <c r="O433" s="4"/>
      <c r="P433" s="4"/>
      <c r="Q433" s="4"/>
      <c r="R433" s="109"/>
      <c r="S433" s="109"/>
      <c r="T433" s="108"/>
      <c r="U433" s="110"/>
      <c r="V433" s="110"/>
      <c r="W433" s="110"/>
      <c r="X433" s="110"/>
    </row>
    <row r="434" spans="1:24" ht="13.5" customHeight="1">
      <c r="A434" s="110">
        <f>IF(E434="","",MATCH(E434,'Daily Sales'!B$4:B$51,0)+3)</f>
        <v>29</v>
      </c>
      <c r="B434" s="135">
        <v>46187</v>
      </c>
      <c r="C434" s="136" t="s">
        <v>104</v>
      </c>
      <c r="D434" s="137" t="str">
        <f t="array" ref="D434">IF($A434="","",INDEX('Daily Sales'!A:A,$A434))</f>
        <v>2-3101</v>
      </c>
      <c r="E434" s="138" t="s">
        <v>37</v>
      </c>
      <c r="F434" s="139" t="str">
        <f t="shared" si="3"/>
        <v>Tax PB1 10%</v>
      </c>
      <c r="G434" s="140"/>
      <c r="H434" s="138" t="str">
        <f t="array" ref="H434">IF($A434="","",
  IF(
    OR(
      $A434=23,
      AND($A434&gt;=32,$A434&lt;=50)
    ),
    IFERROR(
      INDEX('Daily Sales'!$C:$AG,
        $A434,
        MATCH(TEXT($B434,"0"),TEXT('Daily Sales'!$C$2:$AG$2,"0"),0)
      ),
    ""),
  "")
)</f>
        <v/>
      </c>
      <c r="I434" s="138">
        <f t="array" ref="I434">IF($A434="","",
  IF(
    OR(
      AND($A434&gt;=4,$A434&lt;=8),
      AND($A434&gt;=12,$A434&lt;=19),
      AND($A434&gt;=28,$A434&lt;=29)
    ),
    IFERROR(
      INDEX('Daily Sales'!$C:$AG,
        $A434,
        MATCH(TEXT($B434,"0"),TEXT('Daily Sales'!$C$2:$AG$2,"0"),0)
      ),
    ""),
  "")
)</f>
        <v>3921559.844</v>
      </c>
      <c r="J434" s="79" t="e">
        <f t="shared" si="4"/>
        <v>#VALUE!</v>
      </c>
      <c r="K434" s="141"/>
      <c r="L434" s="141"/>
      <c r="M434" s="141"/>
      <c r="N434" s="133"/>
      <c r="O434" s="4"/>
      <c r="P434" s="4"/>
      <c r="Q434" s="4"/>
      <c r="R434" s="109"/>
      <c r="S434" s="109"/>
      <c r="T434" s="108"/>
      <c r="U434" s="110"/>
      <c r="V434" s="110"/>
      <c r="W434" s="110"/>
      <c r="X434" s="110"/>
    </row>
    <row r="435" spans="1:24" ht="13.5" customHeight="1">
      <c r="A435" s="110">
        <f>IF(E435="","",MATCH(E435,'Daily Sales'!B$4:B$51,0)+3)</f>
        <v>23</v>
      </c>
      <c r="B435" s="135">
        <v>46187</v>
      </c>
      <c r="C435" s="136" t="s">
        <v>104</v>
      </c>
      <c r="D435" s="137" t="str">
        <f t="array" ref="D435">IF($A435="","",INDEX('Daily Sales'!A:A,$A435))</f>
        <v>4-5110</v>
      </c>
      <c r="E435" s="138" t="s">
        <v>30</v>
      </c>
      <c r="F435" s="139" t="str">
        <f t="shared" si="3"/>
        <v>Discount</v>
      </c>
      <c r="G435" s="140"/>
      <c r="H435" s="138">
        <f t="array" ref="H435">IF($A435="","",
  IF(
    OR(
      $A435=23,
      AND($A435&gt;=32,$A435&lt;=50)
    ),
    IFERROR(
      INDEX('Daily Sales'!$C:$AG,
        $A435,
        MATCH(TEXT($B435,"0"),TEXT('Daily Sales'!$C$2:$AG$2,"0"),0)
      ),
    ""),
  "")
)</f>
        <v>185500</v>
      </c>
      <c r="I435" s="138" t="str">
        <f t="array" ref="I435">IF($A435="","",
  IF(
    OR(
      AND($A435&gt;=4,$A435&lt;=8),
      AND($A435&gt;=12,$A435&lt;=19),
      AND($A435&gt;=28,$A435&lt;=29)
    ),
    IFERROR(
      INDEX('Daily Sales'!$C:$AG,
        $A435,
        MATCH(TEXT($B435,"0"),TEXT('Daily Sales'!$C$2:$AG$2,"0"),0)
      ),
    ""),
  "")
)</f>
        <v/>
      </c>
      <c r="J435" s="79" t="e">
        <f t="shared" si="4"/>
        <v>#VALUE!</v>
      </c>
      <c r="K435" s="141"/>
      <c r="L435" s="141"/>
      <c r="M435" s="141"/>
      <c r="N435" s="133"/>
      <c r="O435" s="4"/>
      <c r="P435" s="4"/>
      <c r="Q435" s="4"/>
      <c r="R435" s="109"/>
      <c r="S435" s="109"/>
      <c r="T435" s="108"/>
      <c r="U435" s="110"/>
      <c r="V435" s="110"/>
      <c r="W435" s="110"/>
      <c r="X435" s="110"/>
    </row>
    <row r="436" spans="1:24" ht="13.5" customHeight="1">
      <c r="A436" s="110">
        <f>IF(E436="","",MATCH(E436,'Daily Sales'!B$4:B$51,0)+3)</f>
        <v>32</v>
      </c>
      <c r="B436" s="135">
        <v>46187</v>
      </c>
      <c r="C436" s="136" t="s">
        <v>104</v>
      </c>
      <c r="D436" s="137" t="str">
        <f t="array" ref="D436">IF($A436="","",INDEX('Daily Sales'!A:A,$A436))</f>
        <v>1-1119</v>
      </c>
      <c r="E436" s="138" t="s">
        <v>40</v>
      </c>
      <c r="F436" s="139" t="str">
        <f t="shared" si="3"/>
        <v>Cash IDR</v>
      </c>
      <c r="G436" s="140"/>
      <c r="H436" s="138">
        <f t="array" ref="H436">IF($A436="","",
  IF(
    OR(
      $A436=23,
      AND($A436&gt;=32,$A436&lt;=50)
    ),
    IFERROR(
      INDEX('Daily Sales'!$C:$AG,
        $A436,
        MATCH(TEXT($B436,"0"),TEXT('Daily Sales'!$C$2:$AG$2,"0"),0)
      ),
    ""),
  "")
)</f>
        <v>8031568</v>
      </c>
      <c r="I436" s="138" t="str">
        <f t="array" ref="I436">IF($A436="","",
  IF(
    OR(
      AND($A436&gt;=4,$A436&lt;=8),
      AND($A436&gt;=12,$A436&lt;=19),
      AND($A436&gt;=28,$A436&lt;=29)
    ),
    IFERROR(
      INDEX('Daily Sales'!$C:$AG,
        $A436,
        MATCH(TEXT($B436,"0"),TEXT('Daily Sales'!$C$2:$AG$2,"0"),0)
      ),
    ""),
  "")
)</f>
        <v/>
      </c>
      <c r="J436" s="79" t="e">
        <f t="shared" si="4"/>
        <v>#VALUE!</v>
      </c>
      <c r="K436" s="141"/>
      <c r="L436" s="141"/>
      <c r="M436" s="141"/>
      <c r="N436" s="133"/>
      <c r="O436" s="4"/>
      <c r="P436" s="4"/>
      <c r="Q436" s="4"/>
      <c r="R436" s="109"/>
      <c r="S436" s="109"/>
      <c r="T436" s="108"/>
      <c r="U436" s="110"/>
      <c r="V436" s="110"/>
      <c r="W436" s="110"/>
      <c r="X436" s="110"/>
    </row>
    <row r="437" spans="1:24" ht="13.5" customHeight="1">
      <c r="A437" s="110">
        <f>IF(E437="","",MATCH(E437,'Daily Sales'!B$4:B$51,0)+3)</f>
        <v>33</v>
      </c>
      <c r="B437" s="135">
        <v>46187</v>
      </c>
      <c r="C437" s="136" t="s">
        <v>104</v>
      </c>
      <c r="D437" s="137" t="str">
        <f t="array" ref="D437">IF($A437="","",INDEX('Daily Sales'!A:A,$A437))</f>
        <v>1-1217</v>
      </c>
      <c r="E437" s="138" t="s">
        <v>43</v>
      </c>
      <c r="F437" s="139" t="str">
        <f t="shared" si="3"/>
        <v>Bank transfer</v>
      </c>
      <c r="G437" s="140"/>
      <c r="H437" s="138">
        <f t="array" ref="H437">IF($A437="","",
  IF(
    OR(
      $A437=23,
      AND($A437&gt;=32,$A437&lt;=50)
    ),
    IFERROR(
      INDEX('Daily Sales'!$C:$AG,
        $A437,
        MATCH(TEXT($B437,"0"),TEXT('Daily Sales'!$C$2:$AG$2,"0"),0)
      ),
    ""),
  "")
)</f>
        <v>0</v>
      </c>
      <c r="I437" s="138" t="str">
        <f t="array" ref="I437">IF($A437="","",
  IF(
    OR(
      AND($A437&gt;=4,$A437&lt;=8),
      AND($A437&gt;=12,$A437&lt;=19),
      AND($A437&gt;=28,$A437&lt;=29)
    ),
    IFERROR(
      INDEX('Daily Sales'!$C:$AG,
        $A437,
        MATCH(TEXT($B437,"0"),TEXT('Daily Sales'!$C$2:$AG$2,"0"),0)
      ),
    ""),
  "")
)</f>
        <v/>
      </c>
      <c r="J437" s="79" t="e">
        <f t="shared" si="4"/>
        <v>#VALUE!</v>
      </c>
      <c r="K437" s="141"/>
      <c r="L437" s="141"/>
      <c r="M437" s="141"/>
      <c r="N437" s="133"/>
      <c r="O437" s="4"/>
      <c r="P437" s="4"/>
      <c r="Q437" s="4"/>
      <c r="R437" s="109"/>
      <c r="S437" s="109"/>
      <c r="T437" s="108"/>
      <c r="U437" s="110"/>
      <c r="V437" s="110"/>
      <c r="W437" s="110"/>
      <c r="X437" s="110"/>
    </row>
    <row r="438" spans="1:24" ht="13.5" customHeight="1">
      <c r="A438" s="110">
        <f>IF(E438="","",MATCH(E438,'Daily Sales'!B$4:B$51,0)+3)</f>
        <v>35</v>
      </c>
      <c r="B438" s="135">
        <v>46187</v>
      </c>
      <c r="C438" s="136" t="s">
        <v>104</v>
      </c>
      <c r="D438" s="137" t="str">
        <f t="array" ref="D438">IF($A438="","",INDEX('Daily Sales'!A:A,$A438))</f>
        <v>1-1216</v>
      </c>
      <c r="E438" s="138" t="s">
        <v>46</v>
      </c>
      <c r="F438" s="139" t="str">
        <f t="shared" si="3"/>
        <v>Cim Niaga TBB</v>
      </c>
      <c r="G438" s="140"/>
      <c r="H438" s="138">
        <f t="array" ref="H438">IF($A438="","",
  IF(
    OR(
      $A438=23,
      AND($A438&gt;=32,$A438&lt;=50)
    ),
    IFERROR(
      INDEX('Daily Sales'!$C:$AG,
        $A438,
        MATCH(TEXT($B438,"0"),TEXT('Daily Sales'!$C$2:$AG$2,"0"),0)
      ),
    ""),
  "")
)</f>
        <v>5296500</v>
      </c>
      <c r="I438" s="138" t="str">
        <f t="array" ref="I438">IF($A438="","",
  IF(
    OR(
      AND($A438&gt;=4,$A438&lt;=8),
      AND($A438&gt;=12,$A438&lt;=19),
      AND($A438&gt;=28,$A438&lt;=29)
    ),
    IFERROR(
      INDEX('Daily Sales'!$C:$AG,
        $A438,
        MATCH(TEXT($B438,"0"),TEXT('Daily Sales'!$C$2:$AG$2,"0"),0)
      ),
    ""),
  "")
)</f>
        <v/>
      </c>
      <c r="J438" s="79" t="e">
        <f t="shared" si="4"/>
        <v>#VALUE!</v>
      </c>
      <c r="K438" s="141"/>
      <c r="L438" s="141"/>
      <c r="M438" s="141"/>
      <c r="N438" s="133"/>
      <c r="O438" s="4"/>
      <c r="P438" s="4"/>
      <c r="Q438" s="4"/>
      <c r="R438" s="109"/>
      <c r="S438" s="109"/>
      <c r="T438" s="108"/>
      <c r="U438" s="110"/>
      <c r="V438" s="110"/>
      <c r="W438" s="110"/>
      <c r="X438" s="110"/>
    </row>
    <row r="439" spans="1:24" ht="13.5" customHeight="1">
      <c r="A439" s="110">
        <f>IF(E439="","",MATCH(E439,'Daily Sales'!B$4:B$51,0)+3)</f>
        <v>36</v>
      </c>
      <c r="B439" s="135">
        <v>46187</v>
      </c>
      <c r="C439" s="136" t="s">
        <v>104</v>
      </c>
      <c r="D439" s="137" t="str">
        <f t="array" ref="D439">IF($A439="","",INDEX('Daily Sales'!A:A,$A439))</f>
        <v>1-1213</v>
      </c>
      <c r="E439" s="138" t="s">
        <v>49</v>
      </c>
      <c r="F439" s="139" t="str">
        <f t="shared" si="3"/>
        <v>Mandiri Debet</v>
      </c>
      <c r="G439" s="140"/>
      <c r="H439" s="138">
        <f t="array" ref="H439">IF($A439="","",
  IF(
    OR(
      $A439=23,
      AND($A439&gt;=32,$A439&lt;=50)
    ),
    IFERROR(
      INDEX('Daily Sales'!$C:$AG,
        $A439,
        MATCH(TEXT($B439,"0"),TEXT('Daily Sales'!$C$2:$AG$2,"0"),0)
      ),
    ""),
  "")
)</f>
        <v>658850</v>
      </c>
      <c r="I439" s="138" t="str">
        <f t="array" ref="I439">IF($A439="","",
  IF(
    OR(
      AND($A439&gt;=4,$A439&lt;=8),
      AND($A439&gt;=12,$A439&lt;=19),
      AND($A439&gt;=28,$A439&lt;=29)
    ),
    IFERROR(
      INDEX('Daily Sales'!$C:$AG,
        $A439,
        MATCH(TEXT($B439,"0"),TEXT('Daily Sales'!$C$2:$AG$2,"0"),0)
      ),
    ""),
  "")
)</f>
        <v/>
      </c>
      <c r="J439" s="79" t="e">
        <f t="shared" si="4"/>
        <v>#VALUE!</v>
      </c>
      <c r="K439" s="141"/>
      <c r="L439" s="141"/>
      <c r="M439" s="141"/>
      <c r="N439" s="133"/>
      <c r="O439" s="4"/>
      <c r="P439" s="4"/>
      <c r="Q439" s="4"/>
      <c r="R439" s="109"/>
      <c r="S439" s="109"/>
      <c r="T439" s="108"/>
      <c r="U439" s="110"/>
      <c r="V439" s="110"/>
      <c r="W439" s="110"/>
      <c r="X439" s="110"/>
    </row>
    <row r="440" spans="1:24" ht="13.5" customHeight="1">
      <c r="A440" s="110">
        <f>IF(E440="","",MATCH(E440,'Daily Sales'!B$4:B$51,0)+3)</f>
        <v>37</v>
      </c>
      <c r="B440" s="135">
        <v>46187</v>
      </c>
      <c r="C440" s="136" t="s">
        <v>104</v>
      </c>
      <c r="D440" s="137" t="str">
        <f t="array" ref="D440">IF($A440="","",INDEX('Daily Sales'!A:A,$A440))</f>
        <v>1-1213</v>
      </c>
      <c r="E440" s="138" t="s">
        <v>50</v>
      </c>
      <c r="F440" s="139" t="str">
        <f t="shared" si="3"/>
        <v>Mandiri CC</v>
      </c>
      <c r="G440" s="140"/>
      <c r="H440" s="138">
        <f t="array" ref="H440">IF($A440="","",
  IF(
    OR(
      $A440=23,
      AND($A440&gt;=32,$A440&lt;=50)
    ),
    IFERROR(
      INDEX('Daily Sales'!$C:$AG,
        $A440,
        MATCH(TEXT($B440,"0"),TEXT('Daily Sales'!$C$2:$AG$2,"0"),0)
      ),
    ""),
  "")
)</f>
        <v>21388735</v>
      </c>
      <c r="I440" s="138" t="str">
        <f t="array" ref="I440">IF($A440="","",
  IF(
    OR(
      AND($A440&gt;=4,$A440&lt;=8),
      AND($A440&gt;=12,$A440&lt;=19),
      AND($A440&gt;=28,$A440&lt;=29)
    ),
    IFERROR(
      INDEX('Daily Sales'!$C:$AG,
        $A440,
        MATCH(TEXT($B440,"0"),TEXT('Daily Sales'!$C$2:$AG$2,"0"),0)
      ),
    ""),
  "")
)</f>
        <v/>
      </c>
      <c r="J440" s="79" t="e">
        <f t="shared" si="4"/>
        <v>#VALUE!</v>
      </c>
      <c r="K440" s="141"/>
      <c r="L440" s="141"/>
      <c r="M440" s="141"/>
      <c r="N440" s="133"/>
      <c r="O440" s="4"/>
      <c r="P440" s="4"/>
      <c r="Q440" s="4"/>
      <c r="R440" s="109"/>
      <c r="S440" s="109"/>
      <c r="T440" s="108"/>
      <c r="U440" s="110"/>
      <c r="V440" s="110"/>
      <c r="W440" s="110"/>
      <c r="X440" s="110"/>
    </row>
    <row r="441" spans="1:24" ht="13.5" customHeight="1">
      <c r="A441" s="110">
        <f>IF(E441="","",MATCH(E441,'Daily Sales'!B$4:B$51,0)+3)</f>
        <v>38</v>
      </c>
      <c r="B441" s="135">
        <v>46187</v>
      </c>
      <c r="C441" s="136" t="s">
        <v>104</v>
      </c>
      <c r="D441" s="137" t="str">
        <f t="array" ref="D441">IF($A441="","",INDEX('Daily Sales'!A:A,$A441))</f>
        <v>1-1213</v>
      </c>
      <c r="E441" s="138" t="s">
        <v>51</v>
      </c>
      <c r="F441" s="139" t="str">
        <f t="shared" si="3"/>
        <v>Mandiri NPG</v>
      </c>
      <c r="G441" s="140"/>
      <c r="H441" s="138">
        <f t="array" ref="H441">IF($A441="","",
  IF(
    OR(
      $A441=23,
      AND($A441&gt;=32,$A441&lt;=50)
    ),
    IFERROR(
      INDEX('Daily Sales'!$C:$AG,
        $A441,
        MATCH(TEXT($B441,"0"),TEXT('Daily Sales'!$C$2:$AG$2,"0"),0)
      ),
    ""),
  "")
)</f>
        <v>2025900</v>
      </c>
      <c r="I441" s="138" t="str">
        <f t="array" ref="I441">IF($A441="","",
  IF(
    OR(
      AND($A441&gt;=4,$A441&lt;=8),
      AND($A441&gt;=12,$A441&lt;=19),
      AND($A441&gt;=28,$A441&lt;=29)
    ),
    IFERROR(
      INDEX('Daily Sales'!$C:$AG,
        $A441,
        MATCH(TEXT($B441,"0"),TEXT('Daily Sales'!$C$2:$AG$2,"0"),0)
      ),
    ""),
  "")
)</f>
        <v/>
      </c>
      <c r="J441" s="79" t="e">
        <f t="shared" si="4"/>
        <v>#VALUE!</v>
      </c>
      <c r="K441" s="141"/>
      <c r="L441" s="141"/>
      <c r="M441" s="141"/>
      <c r="N441" s="133"/>
      <c r="O441" s="4"/>
      <c r="P441" s="4"/>
      <c r="Q441" s="4"/>
      <c r="R441" s="109"/>
      <c r="S441" s="109"/>
      <c r="T441" s="108"/>
      <c r="U441" s="110"/>
      <c r="V441" s="110"/>
      <c r="W441" s="110"/>
      <c r="X441" s="110"/>
    </row>
    <row r="442" spans="1:24" ht="13.5" customHeight="1">
      <c r="A442" s="110">
        <f>IF(E442="","",MATCH(E442,'Daily Sales'!B$4:B$51,0)+3)</f>
        <v>39</v>
      </c>
      <c r="B442" s="135">
        <v>46187</v>
      </c>
      <c r="C442" s="136" t="s">
        <v>104</v>
      </c>
      <c r="D442" s="137" t="str">
        <f t="array" ref="D442">IF($A442="","",INDEX('Daily Sales'!A:A,$A442))</f>
        <v>1-1213</v>
      </c>
      <c r="E442" s="138" t="s">
        <v>52</v>
      </c>
      <c r="F442" s="139" t="str">
        <f t="shared" si="3"/>
        <v>Mandiri QR</v>
      </c>
      <c r="G442" s="140"/>
      <c r="H442" s="138">
        <f t="array" ref="H442">IF($A442="","",
  IF(
    OR(
      $A442=23,
      AND($A442&gt;=32,$A442&lt;=50)
    ),
    IFERROR(
      INDEX('Daily Sales'!$C:$AG,
        $A442,
        MATCH(TEXT($B442,"0"),TEXT('Daily Sales'!$C$2:$AG$2,"0"),0)
      ),
    ""),
  "")
)</f>
        <v>1435670</v>
      </c>
      <c r="I442" s="138" t="str">
        <f t="array" ref="I442">IF($A442="","",
  IF(
    OR(
      AND($A442&gt;=4,$A442&lt;=8),
      AND($A442&gt;=12,$A442&lt;=19),
      AND($A442&gt;=28,$A442&lt;=29)
    ),
    IFERROR(
      INDEX('Daily Sales'!$C:$AG,
        $A442,
        MATCH(TEXT($B442,"0"),TEXT('Daily Sales'!$C$2:$AG$2,"0"),0)
      ),
    ""),
  "")
)</f>
        <v/>
      </c>
      <c r="J442" s="79" t="e">
        <f t="shared" si="4"/>
        <v>#VALUE!</v>
      </c>
      <c r="K442" s="141"/>
      <c r="L442" s="141"/>
      <c r="M442" s="141"/>
      <c r="N442" s="133"/>
      <c r="O442" s="4"/>
      <c r="P442" s="4"/>
      <c r="Q442" s="4"/>
      <c r="R442" s="109"/>
      <c r="S442" s="109"/>
      <c r="T442" s="108"/>
      <c r="U442" s="110"/>
      <c r="V442" s="110"/>
      <c r="W442" s="110"/>
      <c r="X442" s="110"/>
    </row>
    <row r="443" spans="1:24" ht="13.5" customHeight="1">
      <c r="A443" s="110">
        <f>IF(E443="","",MATCH(E443,'Daily Sales'!B$4:B$51,0)+3)</f>
        <v>40</v>
      </c>
      <c r="B443" s="135">
        <v>46187</v>
      </c>
      <c r="C443" s="136" t="s">
        <v>104</v>
      </c>
      <c r="D443" s="137" t="str">
        <f t="array" ref="D443">IF($A443="","",INDEX('Daily Sales'!A:A,$A443))</f>
        <v>1-1217</v>
      </c>
      <c r="E443" s="138" t="s">
        <v>54</v>
      </c>
      <c r="F443" s="139" t="str">
        <f t="shared" si="3"/>
        <v>BCA CC</v>
      </c>
      <c r="G443" s="140"/>
      <c r="H443" s="138">
        <f t="array" ref="H443">IF($A443="","",
  IF(
    OR(
      $A443=23,
      AND($A443&gt;=32,$A443&lt;=50)
    ),
    IFERROR(
      INDEX('Daily Sales'!$C:$AG,
        $A443,
        MATCH(TEXT($B443,"0"),TEXT('Daily Sales'!$C$2:$AG$2,"0"),0)
      ),
    ""),
  "")
)</f>
        <v>2100945</v>
      </c>
      <c r="I443" s="138" t="str">
        <f t="array" ref="I443">IF($A443="","",
  IF(
    OR(
      AND($A443&gt;=4,$A443&lt;=8),
      AND($A443&gt;=12,$A443&lt;=19),
      AND($A443&gt;=28,$A443&lt;=29)
    ),
    IFERROR(
      INDEX('Daily Sales'!$C:$AG,
        $A443,
        MATCH(TEXT($B443,"0"),TEXT('Daily Sales'!$C$2:$AG$2,"0"),0)
      ),
    ""),
  "")
)</f>
        <v/>
      </c>
      <c r="J443" s="79" t="e">
        <f t="shared" si="4"/>
        <v>#VALUE!</v>
      </c>
      <c r="K443" s="141"/>
      <c r="L443" s="141"/>
      <c r="M443" s="141"/>
      <c r="N443" s="133"/>
      <c r="O443" s="4"/>
      <c r="P443" s="4"/>
      <c r="Q443" s="4"/>
      <c r="R443" s="109"/>
      <c r="S443" s="109"/>
      <c r="T443" s="108"/>
      <c r="U443" s="110"/>
      <c r="V443" s="110"/>
      <c r="W443" s="110"/>
      <c r="X443" s="110"/>
    </row>
    <row r="444" spans="1:24" ht="13.5" customHeight="1">
      <c r="A444" s="110">
        <f>IF(E444="","",MATCH(E444,'Daily Sales'!B$4:B$51,0)+3)</f>
        <v>41</v>
      </c>
      <c r="B444" s="135">
        <v>46187</v>
      </c>
      <c r="C444" s="136" t="s">
        <v>104</v>
      </c>
      <c r="D444" s="137" t="str">
        <f t="array" ref="D444">IF($A444="","",INDEX('Daily Sales'!A:A,$A444))</f>
        <v>1-1217</v>
      </c>
      <c r="E444" s="138" t="s">
        <v>55</v>
      </c>
      <c r="F444" s="139" t="str">
        <f t="shared" si="3"/>
        <v>BCA debt</v>
      </c>
      <c r="G444" s="140"/>
      <c r="H444" s="138">
        <f t="array" ref="H444">IF($A444="","",
  IF(
    OR(
      $A444=23,
      AND($A444&gt;=32,$A444&lt;=50)
    ),
    IFERROR(
      INDEX('Daily Sales'!$C:$AG,
        $A444,
        MATCH(TEXT($B444,"0"),TEXT('Daily Sales'!$C$2:$AG$2,"0"),0)
      ),
    ""),
  "")
)</f>
        <v>0</v>
      </c>
      <c r="I444" s="138" t="str">
        <f t="array" ref="I444">IF($A444="","",
  IF(
    OR(
      AND($A444&gt;=4,$A444&lt;=8),
      AND($A444&gt;=12,$A444&lt;=19),
      AND($A444&gt;=28,$A444&lt;=29)
    ),
    IFERROR(
      INDEX('Daily Sales'!$C:$AG,
        $A444,
        MATCH(TEXT($B444,"0"),TEXT('Daily Sales'!$C$2:$AG$2,"0"),0)
      ),
    ""),
  "")
)</f>
        <v/>
      </c>
      <c r="J444" s="79" t="e">
        <f t="shared" si="4"/>
        <v>#VALUE!</v>
      </c>
      <c r="K444" s="141"/>
      <c r="L444" s="141"/>
      <c r="M444" s="141"/>
      <c r="N444" s="133"/>
      <c r="O444" s="4"/>
      <c r="P444" s="4"/>
      <c r="Q444" s="4"/>
      <c r="R444" s="109"/>
      <c r="S444" s="109"/>
      <c r="T444" s="108"/>
      <c r="U444" s="110"/>
      <c r="V444" s="110"/>
      <c r="W444" s="110"/>
      <c r="X444" s="110"/>
    </row>
    <row r="445" spans="1:24" ht="13.5" customHeight="1">
      <c r="A445" s="110">
        <f>IF(E445="","",MATCH(E445,'Daily Sales'!B$4:B$51,0)+3)</f>
        <v>42</v>
      </c>
      <c r="B445" s="135">
        <v>46187</v>
      </c>
      <c r="C445" s="136" t="s">
        <v>104</v>
      </c>
      <c r="D445" s="137" t="str">
        <f t="array" ref="D445">IF($A445="","",INDEX('Daily Sales'!A:A,$A445))</f>
        <v>1-1217</v>
      </c>
      <c r="E445" s="138" t="s">
        <v>56</v>
      </c>
      <c r="F445" s="139" t="str">
        <f t="shared" si="3"/>
        <v>BCA QR</v>
      </c>
      <c r="G445" s="140"/>
      <c r="H445" s="138">
        <f t="array" ref="H445">IF($A445="","",
  IF(
    OR(
      $A445=23,
      AND($A445&gt;=32,$A445&lt;=50)
    ),
    IFERROR(
      INDEX('Daily Sales'!$C:$AG,
        $A445,
        MATCH(TEXT($B445,"0"),TEXT('Daily Sales'!$C$2:$AG$2,"0"),0)
      ),
    ""),
  "")
)</f>
        <v>0</v>
      </c>
      <c r="I445" s="138" t="str">
        <f t="array" ref="I445">IF($A445="","",
  IF(
    OR(
      AND($A445&gt;=4,$A445&lt;=8),
      AND($A445&gt;=12,$A445&lt;=19),
      AND($A445&gt;=28,$A445&lt;=29)
    ),
    IFERROR(
      INDEX('Daily Sales'!$C:$AG,
        $A445,
        MATCH(TEXT($B445,"0"),TEXT('Daily Sales'!$C$2:$AG$2,"0"),0)
      ),
    ""),
  "")
)</f>
        <v/>
      </c>
      <c r="J445" s="79" t="e">
        <f t="shared" si="4"/>
        <v>#VALUE!</v>
      </c>
      <c r="K445" s="141"/>
      <c r="L445" s="141"/>
      <c r="M445" s="141"/>
      <c r="N445" s="133"/>
      <c r="O445" s="4"/>
      <c r="P445" s="4"/>
      <c r="Q445" s="4"/>
      <c r="R445" s="109"/>
      <c r="S445" s="109"/>
      <c r="T445" s="108"/>
      <c r="U445" s="110"/>
      <c r="V445" s="110"/>
      <c r="W445" s="110"/>
      <c r="X445" s="110"/>
    </row>
    <row r="446" spans="1:24" ht="13.5" customHeight="1">
      <c r="A446" s="110">
        <f>IF(E446="","",MATCH(E446,'Daily Sales'!B$4:B$51,0)+3)</f>
        <v>43</v>
      </c>
      <c r="B446" s="135">
        <v>46187</v>
      </c>
      <c r="C446" s="136" t="s">
        <v>104</v>
      </c>
      <c r="D446" s="137" t="str">
        <f t="array" ref="D446">IF($A446="","",INDEX('Daily Sales'!A:A,$A446))</f>
        <v>1-1214</v>
      </c>
      <c r="E446" s="138" t="s">
        <v>59</v>
      </c>
      <c r="F446" s="139" t="str">
        <f t="shared" si="3"/>
        <v>Bank BRI DEBET</v>
      </c>
      <c r="G446" s="140"/>
      <c r="H446" s="138">
        <f t="array" ref="H446">IF($A446="","",
  IF(
    OR(
      $A446=23,
      AND($A446&gt;=32,$A446&lt;=50)
    ),
    IFERROR(
      INDEX('Daily Sales'!$C:$AG,
        $A446,
        MATCH(TEXT($B446,"0"),TEXT('Daily Sales'!$C$2:$AG$2,"0"),0)
      ),
    ""),
  "")
)</f>
        <v>0</v>
      </c>
      <c r="I446" s="138" t="str">
        <f t="array" ref="I446">IF($A446="","",
  IF(
    OR(
      AND($A446&gt;=4,$A446&lt;=8),
      AND($A446&gt;=12,$A446&lt;=19),
      AND($A446&gt;=28,$A446&lt;=29)
    ),
    IFERROR(
      INDEX('Daily Sales'!$C:$AG,
        $A446,
        MATCH(TEXT($B446,"0"),TEXT('Daily Sales'!$C$2:$AG$2,"0"),0)
      ),
    ""),
  "")
)</f>
        <v/>
      </c>
      <c r="J446" s="79" t="e">
        <f t="shared" si="4"/>
        <v>#VALUE!</v>
      </c>
      <c r="K446" s="141"/>
      <c r="L446" s="141"/>
      <c r="M446" s="141"/>
      <c r="N446" s="133"/>
      <c r="O446" s="4"/>
      <c r="P446" s="4"/>
      <c r="Q446" s="4"/>
      <c r="R446" s="109"/>
      <c r="S446" s="109"/>
      <c r="T446" s="108"/>
      <c r="U446" s="110"/>
      <c r="V446" s="110"/>
      <c r="W446" s="110"/>
      <c r="X446" s="110"/>
    </row>
    <row r="447" spans="1:24" ht="13.5" customHeight="1">
      <c r="A447" s="110">
        <f>IF(E447="","",MATCH(E447,'Daily Sales'!B$4:B$51,0)+3)</f>
        <v>44</v>
      </c>
      <c r="B447" s="135">
        <v>46187</v>
      </c>
      <c r="C447" s="136" t="s">
        <v>104</v>
      </c>
      <c r="D447" s="137" t="str">
        <f t="array" ref="D447">IF($A447="","",INDEX('Daily Sales'!A:A,$A447))</f>
        <v>1-1214</v>
      </c>
      <c r="E447" s="138" t="s">
        <v>60</v>
      </c>
      <c r="F447" s="139" t="str">
        <f t="shared" si="3"/>
        <v>Bank BRI CC</v>
      </c>
      <c r="G447" s="140"/>
      <c r="H447" s="138">
        <f t="array" ref="H447">IF($A447="","",
  IF(
    OR(
      $A447=23,
      AND($A447&gt;=32,$A447&lt;=50)
    ),
    IFERROR(
      INDEX('Daily Sales'!$C:$AG,
        $A447,
        MATCH(TEXT($B447,"0"),TEXT('Daily Sales'!$C$2:$AG$2,"0"),0)
      ),
    ""),
  "")
)</f>
        <v>1783166</v>
      </c>
      <c r="I447" s="138" t="str">
        <f t="array" ref="I447">IF($A447="","",
  IF(
    OR(
      AND($A447&gt;=4,$A447&lt;=8),
      AND($A447&gt;=12,$A447&lt;=19),
      AND($A447&gt;=28,$A447&lt;=29)
    ),
    IFERROR(
      INDEX('Daily Sales'!$C:$AG,
        $A447,
        MATCH(TEXT($B447,"0"),TEXT('Daily Sales'!$C$2:$AG$2,"0"),0)
      ),
    ""),
  "")
)</f>
        <v/>
      </c>
      <c r="J447" s="79" t="e">
        <f t="shared" si="4"/>
        <v>#VALUE!</v>
      </c>
      <c r="K447" s="141"/>
      <c r="L447" s="141"/>
      <c r="M447" s="141"/>
      <c r="N447" s="133"/>
      <c r="O447" s="4"/>
      <c r="P447" s="4"/>
      <c r="Q447" s="4"/>
      <c r="R447" s="109"/>
      <c r="S447" s="109"/>
      <c r="T447" s="108"/>
      <c r="U447" s="110"/>
      <c r="V447" s="110"/>
      <c r="W447" s="110"/>
      <c r="X447" s="110"/>
    </row>
    <row r="448" spans="1:24" ht="13.5" customHeight="1">
      <c r="A448" s="110">
        <f>IF(E448="","",MATCH(E448,'Daily Sales'!B$4:B$51,0)+3)</f>
        <v>45</v>
      </c>
      <c r="B448" s="135">
        <v>46187</v>
      </c>
      <c r="C448" s="136" t="s">
        <v>104</v>
      </c>
      <c r="D448" s="137" t="str">
        <f t="array" ref="D448">IF($A448="","",INDEX('Daily Sales'!A:A,$A448))</f>
        <v>1-1214</v>
      </c>
      <c r="E448" s="138" t="s">
        <v>61</v>
      </c>
      <c r="F448" s="139" t="str">
        <f t="shared" si="3"/>
        <v>Bank BRI QR</v>
      </c>
      <c r="G448" s="140"/>
      <c r="H448" s="138">
        <f t="array" ref="H448">IF($A448="","",
  IF(
    OR(
      $A448=23,
      AND($A448&gt;=32,$A448&lt;=50)
    ),
    IFERROR(
      INDEX('Daily Sales'!$C:$AG,
        $A448,
        MATCH(TEXT($B448,"0"),TEXT('Daily Sales'!$C$2:$AG$2,"0"),0)
      ),
    ""),
  "")
)</f>
        <v>0</v>
      </c>
      <c r="I448" s="138" t="str">
        <f t="array" ref="I448">IF($A448="","",
  IF(
    OR(
      AND($A448&gt;=4,$A448&lt;=8),
      AND($A448&gt;=12,$A448&lt;=19),
      AND($A448&gt;=28,$A448&lt;=29)
    ),
    IFERROR(
      INDEX('Daily Sales'!$C:$AG,
        $A448,
        MATCH(TEXT($B448,"0"),TEXT('Daily Sales'!$C$2:$AG$2,"0"),0)
      ),
    ""),
  "")
)</f>
        <v/>
      </c>
      <c r="J448" s="79" t="e">
        <f t="shared" si="4"/>
        <v>#VALUE!</v>
      </c>
      <c r="K448" s="141"/>
      <c r="L448" s="141"/>
      <c r="M448" s="141"/>
      <c r="N448" s="133"/>
      <c r="O448" s="4"/>
      <c r="P448" s="4"/>
      <c r="Q448" s="4"/>
      <c r="R448" s="109"/>
      <c r="S448" s="109"/>
      <c r="T448" s="108"/>
      <c r="U448" s="110"/>
      <c r="V448" s="110"/>
      <c r="W448" s="110"/>
      <c r="X448" s="110"/>
    </row>
    <row r="449" spans="1:24" ht="13.5" customHeight="1">
      <c r="A449" s="110">
        <f>IF(E449="","",MATCH(E449,'Daily Sales'!B$4:B$51,0)+3)</f>
        <v>46</v>
      </c>
      <c r="B449" s="135">
        <v>46187</v>
      </c>
      <c r="C449" s="136" t="s">
        <v>104</v>
      </c>
      <c r="D449" s="137" t="str">
        <f t="array" ref="D449">IF($A449="","",INDEX('Daily Sales'!A:A,$A449))</f>
        <v>1-1202</v>
      </c>
      <c r="E449" s="138" t="s">
        <v>64</v>
      </c>
      <c r="F449" s="139" t="str">
        <f t="shared" si="3"/>
        <v>Ledger</v>
      </c>
      <c r="G449" s="140"/>
      <c r="H449" s="138">
        <f t="array" ref="H449">IF($A449="","",
  IF(
    OR(
      $A449=23,
      AND($A449&gt;=32,$A449&lt;=50)
    ),
    IFERROR(
      INDEX('Daily Sales'!$C:$AG,
        $A449,
        MATCH(TEXT($B449,"0"),TEXT('Daily Sales'!$C$2:$AG$2,"0"),0)
      ),
    ""),
  "")
)</f>
        <v>35310</v>
      </c>
      <c r="I449" s="138" t="str">
        <f t="array" ref="I449">IF($A449="","",
  IF(
    OR(
      AND($A449&gt;=4,$A449&lt;=8),
      AND($A449&gt;=12,$A449&lt;=19),
      AND($A449&gt;=28,$A449&lt;=29)
    ),
    IFERROR(
      INDEX('Daily Sales'!$C:$AG,
        $A449,
        MATCH(TEXT($B449,"0"),TEXT('Daily Sales'!$C$2:$AG$2,"0"),0)
      ),
    ""),
  "")
)</f>
        <v/>
      </c>
      <c r="J449" s="79" t="e">
        <f t="shared" si="4"/>
        <v>#VALUE!</v>
      </c>
      <c r="K449" s="141"/>
      <c r="L449" s="141"/>
      <c r="M449" s="141"/>
      <c r="N449" s="133"/>
      <c r="O449" s="4"/>
      <c r="P449" s="4"/>
      <c r="Q449" s="4"/>
      <c r="R449" s="109"/>
      <c r="S449" s="109"/>
      <c r="T449" s="108"/>
      <c r="U449" s="110"/>
      <c r="V449" s="110"/>
      <c r="W449" s="110"/>
      <c r="X449" s="110"/>
    </row>
    <row r="450" spans="1:24" ht="13.5" customHeight="1">
      <c r="A450" s="110">
        <f>IF(E450="","",MATCH(E450,'Daily Sales'!B$4:B$51,0)+3)</f>
        <v>47</v>
      </c>
      <c r="B450" s="135">
        <v>46187</v>
      </c>
      <c r="C450" s="136" t="s">
        <v>104</v>
      </c>
      <c r="D450" s="137" t="str">
        <f t="array" ref="D450">IF($A450="","",INDEX('Daily Sales'!A:A,$A450))</f>
        <v>1-1129</v>
      </c>
      <c r="E450" s="138" t="s">
        <v>66</v>
      </c>
      <c r="F450" s="139" t="str">
        <f t="shared" si="3"/>
        <v>Star Points</v>
      </c>
      <c r="G450" s="140"/>
      <c r="H450" s="138">
        <f t="array" ref="H450">IF($A450="","",
  IF(
    OR(
      $A450=23,
      AND($A450&gt;=32,$A450&lt;=50)
    ),
    IFERROR(
      INDEX('Daily Sales'!$C:$AG,
        $A450,
        MATCH(TEXT($B450,"0"),TEXT('Daily Sales'!$C$2:$AG$2,"0"),0)
      ),
    ""),
  "")
)</f>
        <v>382525</v>
      </c>
      <c r="I450" s="138" t="str">
        <f t="array" ref="I450">IF($A450="","",
  IF(
    OR(
      AND($A450&gt;=4,$A450&lt;=8),
      AND($A450&gt;=12,$A450&lt;=19),
      AND($A450&gt;=28,$A450&lt;=29)
    ),
    IFERROR(
      INDEX('Daily Sales'!$C:$AG,
        $A450,
        MATCH(TEXT($B450,"0"),TEXT('Daily Sales'!$C$2:$AG$2,"0"),0)
      ),
    ""),
  "")
)</f>
        <v/>
      </c>
      <c r="J450" s="79" t="e">
        <f t="shared" si="4"/>
        <v>#VALUE!</v>
      </c>
      <c r="K450" s="141"/>
      <c r="L450" s="141"/>
      <c r="M450" s="141"/>
      <c r="N450" s="133"/>
      <c r="O450" s="4"/>
      <c r="P450" s="4"/>
      <c r="Q450" s="4"/>
      <c r="R450" s="109"/>
      <c r="S450" s="109"/>
      <c r="T450" s="108"/>
      <c r="U450" s="110"/>
      <c r="V450" s="110"/>
      <c r="W450" s="110"/>
      <c r="X450" s="110"/>
    </row>
    <row r="451" spans="1:24" ht="13.5" customHeight="1">
      <c r="A451" s="110">
        <f>IF(E451="","",MATCH(E451,'Daily Sales'!B$4:B$51,0)+3)</f>
        <v>48</v>
      </c>
      <c r="B451" s="135">
        <v>46187</v>
      </c>
      <c r="C451" s="136" t="s">
        <v>104</v>
      </c>
      <c r="D451" s="137" t="str">
        <f t="array" ref="D451">IF($A451="","",INDEX('Daily Sales'!A:A,$A451))</f>
        <v>1-1215</v>
      </c>
      <c r="E451" s="138" t="s">
        <v>68</v>
      </c>
      <c r="F451" s="139" t="str">
        <f t="shared" si="3"/>
        <v>Ovo</v>
      </c>
      <c r="G451" s="140"/>
      <c r="H451" s="138">
        <f t="array" ref="H451">IF($A451="","",
  IF(
    OR(
      $A451=23,
      AND($A451&gt;=32,$A451&lt;=50)
    ),
    IFERROR(
      INDEX('Daily Sales'!$C:$AG,
        $A451,
        MATCH(TEXT($B451,"0"),TEXT('Daily Sales'!$C$2:$AG$2,"0"),0)
      ),
    ""),
  "")
)</f>
        <v>0</v>
      </c>
      <c r="I451" s="138" t="str">
        <f t="array" ref="I451">IF($A451="","",
  IF(
    OR(
      AND($A451&gt;=4,$A451&lt;=8),
      AND($A451&gt;=12,$A451&lt;=19),
      AND($A451&gt;=28,$A451&lt;=29)
    ),
    IFERROR(
      INDEX('Daily Sales'!$C:$AG,
        $A451,
        MATCH(TEXT($B451,"0"),TEXT('Daily Sales'!$C$2:$AG$2,"0"),0)
      ),
    ""),
  "")
)</f>
        <v/>
      </c>
      <c r="J451" s="79" t="e">
        <f t="shared" si="4"/>
        <v>#VALUE!</v>
      </c>
      <c r="K451" s="141"/>
      <c r="L451" s="141"/>
      <c r="M451" s="141"/>
      <c r="N451" s="133"/>
      <c r="O451" s="4"/>
      <c r="P451" s="4"/>
      <c r="Q451" s="4"/>
      <c r="R451" s="109"/>
      <c r="S451" s="109"/>
      <c r="T451" s="108"/>
      <c r="U451" s="110"/>
      <c r="V451" s="110"/>
      <c r="W451" s="110"/>
      <c r="X451" s="110"/>
    </row>
    <row r="452" spans="1:24" ht="13.5" customHeight="1">
      <c r="A452" s="110">
        <f>IF(E452="","",MATCH(E452,'Daily Sales'!B$4:B$51,0)+3)</f>
        <v>49</v>
      </c>
      <c r="B452" s="135">
        <v>46187</v>
      </c>
      <c r="C452" s="136" t="s">
        <v>104</v>
      </c>
      <c r="D452" s="137" t="str">
        <f t="array" ref="D452">IF($A452="","",INDEX('Daily Sales'!A:A,$A452))</f>
        <v>1-1211</v>
      </c>
      <c r="E452" s="138" t="s">
        <v>70</v>
      </c>
      <c r="F452" s="139" t="str">
        <f t="shared" si="3"/>
        <v>Gopay</v>
      </c>
      <c r="G452" s="140"/>
      <c r="H452" s="138">
        <f t="array" ref="H452">IF($A452="","",
  IF(
    OR(
      $A452=23,
      AND($A452&gt;=32,$A452&lt;=50)
    ),
    IFERROR(
      INDEX('Daily Sales'!$C:$AG,
        $A452,
        MATCH(TEXT($B452,"0"),TEXT('Daily Sales'!$C$2:$AG$2,"0"),0)
      ),
    ""),
  "")
)</f>
        <v>0</v>
      </c>
      <c r="I452" s="138" t="str">
        <f t="array" ref="I452">IF($A452="","",
  IF(
    OR(
      AND($A452&gt;=4,$A452&lt;=8),
      AND($A452&gt;=12,$A452&lt;=19),
      AND($A452&gt;=28,$A452&lt;=29)
    ),
    IFERROR(
      INDEX('Daily Sales'!$C:$AG,
        $A452,
        MATCH(TEXT($B452,"0"),TEXT('Daily Sales'!$C$2:$AG$2,"0"),0)
      ),
    ""),
  "")
)</f>
        <v/>
      </c>
      <c r="J452" s="79" t="e">
        <f t="shared" si="4"/>
        <v>#VALUE!</v>
      </c>
      <c r="K452" s="141"/>
      <c r="L452" s="141"/>
      <c r="M452" s="141"/>
      <c r="N452" s="133"/>
      <c r="O452" s="4"/>
      <c r="P452" s="4"/>
      <c r="Q452" s="4"/>
      <c r="R452" s="109"/>
      <c r="S452" s="109"/>
      <c r="T452" s="108"/>
      <c r="U452" s="110"/>
      <c r="V452" s="110"/>
      <c r="W452" s="110"/>
      <c r="X452" s="110"/>
    </row>
    <row r="453" spans="1:24" ht="13.5" customHeight="1">
      <c r="A453" s="110">
        <f>IF(E453="","",MATCH(E453,'Daily Sales'!B$4:B$51,0)+3)</f>
        <v>50</v>
      </c>
      <c r="B453" s="135">
        <v>46187</v>
      </c>
      <c r="C453" s="136" t="s">
        <v>104</v>
      </c>
      <c r="D453" s="137" t="str">
        <f t="array" ref="D453">IF($A453="","",INDEX('Daily Sales'!A:A,$A453))</f>
        <v>2-2110</v>
      </c>
      <c r="E453" s="138" t="s">
        <v>72</v>
      </c>
      <c r="F453" s="139" t="str">
        <f t="shared" si="3"/>
        <v>Cash Short/Over</v>
      </c>
      <c r="G453" s="140"/>
      <c r="H453" s="138">
        <f t="array" ref="H453">IF($A453="","",
  IF(
    OR(
      $A453=23,
      AND($A453&gt;=32,$A453&lt;=50)
    ),
    IFERROR(
      INDEX('Daily Sales'!$C:$AG,
        $A453,
        MATCH(TEXT($B453,"0"),TEXT('Daily Sales'!$C$2:$AG$2,"0"),0)
      ),
    ""),
  "")
)</f>
        <v>-2010.72</v>
      </c>
      <c r="I453" s="138" t="str">
        <f t="array" ref="I453">IF($A453="","",
  IF(
    OR(
      AND($A453&gt;=4,$A453&lt;=8),
      AND($A453&gt;=12,$A453&lt;=19),
      AND($A453&gt;=28,$A453&lt;=29)
    ),
    IFERROR(
      INDEX('Daily Sales'!$C:$AG,
        $A453,
        MATCH(TEXT($B453,"0"),TEXT('Daily Sales'!$C$2:$AG$2,"0"),0)
      ),
    ""),
  "")
)</f>
        <v/>
      </c>
      <c r="J453" s="79" t="e">
        <f t="shared" si="4"/>
        <v>#VALUE!</v>
      </c>
      <c r="K453" s="141"/>
      <c r="L453" s="141"/>
      <c r="M453" s="141"/>
      <c r="N453" s="133"/>
      <c r="O453" s="4"/>
      <c r="P453" s="4"/>
      <c r="Q453" s="4"/>
      <c r="R453" s="109"/>
      <c r="S453" s="109"/>
      <c r="T453" s="108"/>
      <c r="U453" s="110"/>
      <c r="V453" s="110"/>
      <c r="W453" s="110"/>
      <c r="X453" s="110"/>
    </row>
    <row r="454" spans="1:24" ht="13.5" customHeight="1">
      <c r="A454" s="110" t="str">
        <f>IF(E454="","",MATCH(E454,'Daily Sales'!B$4:B$51,0)+3)</f>
        <v/>
      </c>
      <c r="B454" s="135"/>
      <c r="C454" s="136"/>
      <c r="D454" s="137" t="str">
        <f t="array" ref="D454">IF($A454="","",INDEX('Daily Sales'!A:A,$A454))</f>
        <v/>
      </c>
      <c r="E454" s="138"/>
      <c r="F454" s="139">
        <f t="shared" si="3"/>
        <v>0</v>
      </c>
      <c r="G454" s="140"/>
      <c r="H454" s="138" t="str">
        <f t="array" ref="H454">IF($A454="","",
  IF(
    OR(
      $A454=23,
      AND($A454&gt;=32,$A454&lt;=50)
    ),
    IFERROR(
      INDEX('Daily Sales'!$C:$AG,
        $A454,
        MATCH(TEXT($B454,"0"),TEXT('Daily Sales'!$C$2:$AG$2,"0"),0)
      ),
    ""),
  "")
)</f>
        <v/>
      </c>
      <c r="I454" s="138" t="str">
        <f t="array" ref="I454">IF($A454="","",
  IF(
    OR(
      AND($A454&gt;=4,$A454&lt;=8),
      AND($A454&gt;=12,$A454&lt;=19),
      AND($A454&gt;=28,$A454&lt;=29)
    ),
    IFERROR(
      INDEX('Daily Sales'!$C:$AG,
        $A454,
        MATCH(TEXT($B454,"0"),TEXT('Daily Sales'!$C$2:$AG$2,"0"),0)
      ),
    ""),
  "")
)</f>
        <v/>
      </c>
      <c r="J454" s="79" t="e">
        <f t="shared" si="4"/>
        <v>#VALUE!</v>
      </c>
      <c r="K454" s="141"/>
      <c r="L454" s="141"/>
      <c r="M454" s="141"/>
      <c r="N454" s="133"/>
      <c r="O454" s="4"/>
      <c r="P454" s="4"/>
      <c r="Q454" s="4"/>
      <c r="R454" s="109"/>
      <c r="S454" s="109"/>
      <c r="T454" s="108"/>
      <c r="U454" s="110"/>
      <c r="V454" s="110"/>
      <c r="W454" s="110"/>
      <c r="X454" s="110"/>
    </row>
    <row r="455" spans="1:24" ht="13.5" customHeight="1">
      <c r="A455" s="110">
        <f>IF(E455="","",MATCH(E455,'Daily Sales'!B$4:B$51,0)+3)</f>
        <v>4</v>
      </c>
      <c r="B455" s="135">
        <v>46188</v>
      </c>
      <c r="C455" s="136" t="s">
        <v>105</v>
      </c>
      <c r="D455" s="137" t="str">
        <f t="array" ref="D455">IF($A455="","",INDEX('Daily Sales'!A:A,$A455))</f>
        <v>4-2100</v>
      </c>
      <c r="E455" s="138" t="s">
        <v>5</v>
      </c>
      <c r="F455" s="139" t="str">
        <f t="shared" si="3"/>
        <v>Sales Food TERRACE</v>
      </c>
      <c r="G455" s="140"/>
      <c r="H455" s="138" t="str">
        <f t="array" ref="H455">IF($A455="","",
  IF(
    OR(
      $A455=23,
      AND($A455&gt;=32,$A455&lt;=50)
    ),
    IFERROR(
      INDEX('Daily Sales'!$C:$AG,
        $A455,
        MATCH(TEXT($B455,"0"),TEXT('Daily Sales'!$C$2:$AG$2,"0"),0)
      ),
    ""),
  "")
)</f>
        <v/>
      </c>
      <c r="I455" s="138">
        <f t="array" ref="I455">IF($A455="","",
  IF(
    OR(
      AND($A455&gt;=4,$A455&lt;=8),
      AND($A455&gt;=12,$A455&lt;=19),
      AND($A455&gt;=28,$A455&lt;=29)
    ),
    IFERROR(
      INDEX('Daily Sales'!$C:$AG,
        $A455,
        MATCH(TEXT($B455,"0"),TEXT('Daily Sales'!$C$2:$AG$2,"0"),0)
      ),
    ""),
  "")
)</f>
        <v>4420000</v>
      </c>
      <c r="J455" s="79" t="e">
        <f t="shared" si="4"/>
        <v>#VALUE!</v>
      </c>
      <c r="K455" s="141"/>
      <c r="L455" s="141"/>
      <c r="M455" s="141"/>
      <c r="N455" s="133"/>
      <c r="O455" s="4"/>
      <c r="P455" s="4"/>
      <c r="Q455" s="4"/>
      <c r="R455" s="109"/>
      <c r="S455" s="109"/>
      <c r="T455" s="108"/>
      <c r="U455" s="110"/>
      <c r="V455" s="110"/>
      <c r="W455" s="110"/>
      <c r="X455" s="110"/>
    </row>
    <row r="456" spans="1:24" ht="13.5" customHeight="1">
      <c r="A456" s="110">
        <f>IF(E456="","",MATCH(E456,'Daily Sales'!B$4:B$51,0)+3)</f>
        <v>5</v>
      </c>
      <c r="B456" s="135">
        <v>46188</v>
      </c>
      <c r="C456" s="136" t="s">
        <v>105</v>
      </c>
      <c r="D456" s="137" t="str">
        <f t="array" ref="D456">IF($A456="","",INDEX('Daily Sales'!A:A,$A456))</f>
        <v>4-2200</v>
      </c>
      <c r="E456" s="138" t="s">
        <v>7</v>
      </c>
      <c r="F456" s="139" t="str">
        <f t="shared" si="3"/>
        <v>Sales Beverages TERRACE</v>
      </c>
      <c r="G456" s="140"/>
      <c r="H456" s="138" t="str">
        <f t="array" ref="H456">IF($A456="","",
  IF(
    OR(
      $A456=23,
      AND($A456&gt;=32,$A456&lt;=50)
    ),
    IFERROR(
      INDEX('Daily Sales'!$C:$AG,
        $A456,
        MATCH(TEXT($B456,"0"),TEXT('Daily Sales'!$C$2:$AG$2,"0"),0)
      ),
    ""),
  "")
)</f>
        <v/>
      </c>
      <c r="I456" s="138">
        <f t="array" ref="I456">IF($A456="","",
  IF(
    OR(
      AND($A456&gt;=4,$A456&lt;=8),
      AND($A456&gt;=12,$A456&lt;=19),
      AND($A456&gt;=28,$A456&lt;=29)
    ),
    IFERROR(
      INDEX('Daily Sales'!$C:$AG,
        $A456,
        MATCH(TEXT($B456,"0"),TEXT('Daily Sales'!$C$2:$AG$2,"0"),0)
      ),
    ""),
  "")
)</f>
        <v>6690000</v>
      </c>
      <c r="J456" s="79" t="e">
        <f t="shared" si="4"/>
        <v>#VALUE!</v>
      </c>
      <c r="K456" s="141"/>
      <c r="L456" s="141"/>
      <c r="M456" s="141"/>
      <c r="N456" s="133"/>
      <c r="O456" s="4"/>
      <c r="P456" s="4"/>
      <c r="Q456" s="4"/>
      <c r="R456" s="109"/>
      <c r="S456" s="109"/>
      <c r="T456" s="108"/>
      <c r="U456" s="110"/>
      <c r="V456" s="110"/>
      <c r="W456" s="110"/>
      <c r="X456" s="110"/>
    </row>
    <row r="457" spans="1:24" ht="13.5" customHeight="1">
      <c r="A457" s="110">
        <f>IF(E457="","",MATCH(E457,'Daily Sales'!B$4:B$51,0)+3)</f>
        <v>6</v>
      </c>
      <c r="B457" s="135">
        <v>46188</v>
      </c>
      <c r="C457" s="136" t="s">
        <v>105</v>
      </c>
      <c r="D457" s="137" t="str">
        <f t="array" ref="D457">IF($A457="","",INDEX('Daily Sales'!A:A,$A457))</f>
        <v>4-2400</v>
      </c>
      <c r="E457" s="138" t="s">
        <v>9</v>
      </c>
      <c r="F457" s="139" t="str">
        <f t="shared" si="3"/>
        <v>Sales Cigarette TERRACE</v>
      </c>
      <c r="G457" s="140"/>
      <c r="H457" s="138" t="str">
        <f t="array" ref="H457">IF($A457="","",
  IF(
    OR(
      $A457=23,
      AND($A457&gt;=32,$A457&lt;=50)
    ),
    IFERROR(
      INDEX('Daily Sales'!$C:$AG,
        $A457,
        MATCH(TEXT($B457,"0"),TEXT('Daily Sales'!$C$2:$AG$2,"0"),0)
      ),
    ""),
  "")
)</f>
        <v/>
      </c>
      <c r="I457" s="138">
        <f t="array" ref="I457">IF($A457="","",
  IF(
    OR(
      AND($A457&gt;=4,$A457&lt;=8),
      AND($A457&gt;=12,$A457&lt;=19),
      AND($A457&gt;=28,$A457&lt;=29)
    ),
    IFERROR(
      INDEX('Daily Sales'!$C:$AG,
        $A457,
        MATCH(TEXT($B457,"0"),TEXT('Daily Sales'!$C$2:$AG$2,"0"),0)
      ),
    ""),
  "")
)</f>
        <v>0</v>
      </c>
      <c r="J457" s="79" t="e">
        <f t="shared" si="4"/>
        <v>#VALUE!</v>
      </c>
      <c r="K457" s="141"/>
      <c r="L457" s="141"/>
      <c r="M457" s="141"/>
      <c r="N457" s="133"/>
      <c r="O457" s="4"/>
      <c r="P457" s="4"/>
      <c r="Q457" s="4"/>
      <c r="R457" s="109"/>
      <c r="S457" s="109"/>
      <c r="T457" s="108"/>
      <c r="U457" s="110"/>
      <c r="V457" s="110"/>
      <c r="W457" s="110"/>
      <c r="X457" s="110"/>
    </row>
    <row r="458" spans="1:24" ht="13.5" customHeight="1">
      <c r="A458" s="110">
        <f>IF(E458="","",MATCH(E458,'Daily Sales'!B$4:B$51,0)+3)</f>
        <v>7</v>
      </c>
      <c r="B458" s="135">
        <v>46188</v>
      </c>
      <c r="C458" s="136" t="s">
        <v>105</v>
      </c>
      <c r="D458" s="137" t="str">
        <f t="array" ref="D458">IF($A458="","",INDEX('Daily Sales'!A:A,$A458))</f>
        <v>4-2300</v>
      </c>
      <c r="E458" s="138" t="s">
        <v>11</v>
      </c>
      <c r="F458" s="139" t="str">
        <f t="shared" si="3"/>
        <v>Sales Shisa TERRACE</v>
      </c>
      <c r="G458" s="140"/>
      <c r="H458" s="138" t="str">
        <f t="array" ref="H458">IF($A458="","",
  IF(
    OR(
      $A458=23,
      AND($A458&gt;=32,$A458&lt;=50)
    ),
    IFERROR(
      INDEX('Daily Sales'!$C:$AG,
        $A458,
        MATCH(TEXT($B458,"0"),TEXT('Daily Sales'!$C$2:$AG$2,"0"),0)
      ),
    ""),
  "")
)</f>
        <v/>
      </c>
      <c r="I458" s="138">
        <f t="array" ref="I458">IF($A458="","",
  IF(
    OR(
      AND($A458&gt;=4,$A458&lt;=8),
      AND($A458&gt;=12,$A458&lt;=19),
      AND($A458&gt;=28,$A458&lt;=29)
    ),
    IFERROR(
      INDEX('Daily Sales'!$C:$AG,
        $A458,
        MATCH(TEXT($B458,"0"),TEXT('Daily Sales'!$C$2:$AG$2,"0"),0)
      ),
    ""),
  "")
)</f>
        <v>0</v>
      </c>
      <c r="J458" s="79" t="e">
        <f t="shared" si="4"/>
        <v>#VALUE!</v>
      </c>
      <c r="K458" s="141"/>
      <c r="L458" s="141"/>
      <c r="M458" s="141"/>
      <c r="N458" s="133"/>
      <c r="O458" s="4"/>
      <c r="P458" s="4"/>
      <c r="Q458" s="4"/>
      <c r="R458" s="109"/>
      <c r="S458" s="109"/>
      <c r="T458" s="108"/>
      <c r="U458" s="110"/>
      <c r="V458" s="110"/>
      <c r="W458" s="110"/>
      <c r="X458" s="110"/>
    </row>
    <row r="459" spans="1:24" ht="13.5" customHeight="1">
      <c r="A459" s="110">
        <f>IF(E459="","",MATCH(E459,'Daily Sales'!B$4:B$51,0)+3)</f>
        <v>12</v>
      </c>
      <c r="B459" s="135">
        <v>46188</v>
      </c>
      <c r="C459" s="136" t="s">
        <v>105</v>
      </c>
      <c r="D459" s="137" t="str">
        <f t="array" ref="D459">IF($A459="","",INDEX('Daily Sales'!A:A,$A459))</f>
        <v>4-2200</v>
      </c>
      <c r="E459" s="138" t="s">
        <v>17</v>
      </c>
      <c r="F459" s="139" t="str">
        <f t="shared" si="3"/>
        <v>Sales Beverages CLUB</v>
      </c>
      <c r="G459" s="140"/>
      <c r="H459" s="138" t="str">
        <f t="array" ref="H459">IF($A459="","",
  IF(
    OR(
      $A459=23,
      AND($A459&gt;=32,$A459&lt;=50)
    ),
    IFERROR(
      INDEX('Daily Sales'!$C:$AG,
        $A459,
        MATCH(TEXT($B459,"0"),TEXT('Daily Sales'!$C$2:$AG$2,"0"),0)
      ),
    ""),
  "")
)</f>
        <v/>
      </c>
      <c r="I459" s="138">
        <f t="array" ref="I459">IF($A459="","",
  IF(
    OR(
      AND($A459&gt;=4,$A459&lt;=8),
      AND($A459&gt;=12,$A459&lt;=19),
      AND($A459&gt;=28,$A459&lt;=29)
    ),
    IFERROR(
      INDEX('Daily Sales'!$C:$AG,
        $A459,
        MATCH(TEXT($B459,"0"),TEXT('Daily Sales'!$C$2:$AG$2,"0"),0)
      ),
    ""),
  "")
)</f>
        <v>13455000</v>
      </c>
      <c r="J459" s="79" t="e">
        <f t="shared" si="4"/>
        <v>#VALUE!</v>
      </c>
      <c r="K459" s="141"/>
      <c r="L459" s="141"/>
      <c r="M459" s="141"/>
      <c r="N459" s="133"/>
      <c r="O459" s="4"/>
      <c r="P459" s="4"/>
      <c r="Q459" s="4"/>
      <c r="R459" s="109"/>
      <c r="S459" s="109"/>
      <c r="T459" s="108"/>
      <c r="U459" s="110"/>
      <c r="V459" s="110"/>
      <c r="W459" s="110"/>
      <c r="X459" s="110"/>
    </row>
    <row r="460" spans="1:24" ht="13.5" customHeight="1">
      <c r="A460" s="110">
        <f>IF(E460="","",MATCH(E460,'Daily Sales'!B$4:B$51,0)+3)</f>
        <v>13</v>
      </c>
      <c r="B460" s="135">
        <v>46188</v>
      </c>
      <c r="C460" s="136" t="s">
        <v>105</v>
      </c>
      <c r="D460" s="137" t="str">
        <f t="array" ref="D460">IF($A460="","",INDEX('Daily Sales'!A:A,$A460))</f>
        <v>4-2400</v>
      </c>
      <c r="E460" s="138" t="s">
        <v>18</v>
      </c>
      <c r="F460" s="139" t="str">
        <f t="shared" si="3"/>
        <v>Sales Cigarette CLUB</v>
      </c>
      <c r="G460" s="140"/>
      <c r="H460" s="138" t="str">
        <f t="array" ref="H460">IF($A460="","",
  IF(
    OR(
      $A460=23,
      AND($A460&gt;=32,$A460&lt;=50)
    ),
    IFERROR(
      INDEX('Daily Sales'!$C:$AG,
        $A460,
        MATCH(TEXT($B460,"0"),TEXT('Daily Sales'!$C$2:$AG$2,"0"),0)
      ),
    ""),
  "")
)</f>
        <v/>
      </c>
      <c r="I460" s="138">
        <f t="array" ref="I460">IF($A460="","",
  IF(
    OR(
      AND($A460&gt;=4,$A460&lt;=8),
      AND($A460&gt;=12,$A460&lt;=19),
      AND($A460&gt;=28,$A460&lt;=29)
    ),
    IFERROR(
      INDEX('Daily Sales'!$C:$AG,
        $A460,
        MATCH(TEXT($B460,"0"),TEXT('Daily Sales'!$C$2:$AG$2,"0"),0)
      ),
    ""),
  "")
)</f>
        <v>70000</v>
      </c>
      <c r="J460" s="79" t="e">
        <f t="shared" si="4"/>
        <v>#VALUE!</v>
      </c>
      <c r="K460" s="141"/>
      <c r="L460" s="141"/>
      <c r="M460" s="141"/>
      <c r="N460" s="133"/>
      <c r="O460" s="4"/>
      <c r="P460" s="4"/>
      <c r="Q460" s="4"/>
      <c r="R460" s="109"/>
      <c r="S460" s="109"/>
      <c r="T460" s="108"/>
      <c r="U460" s="110"/>
      <c r="V460" s="110"/>
      <c r="W460" s="110"/>
      <c r="X460" s="110"/>
    </row>
    <row r="461" spans="1:24" ht="13.5" customHeight="1">
      <c r="A461" s="110">
        <f>IF(E461="","",MATCH(E461,'Daily Sales'!B$4:B$51,0)+3)</f>
        <v>14</v>
      </c>
      <c r="B461" s="135">
        <v>46188</v>
      </c>
      <c r="C461" s="136" t="s">
        <v>105</v>
      </c>
      <c r="D461" s="137" t="str">
        <f t="array" ref="D461">IF($A461="","",INDEX('Daily Sales'!A:A,$A461))</f>
        <v>4-2100</v>
      </c>
      <c r="E461" s="138" t="s">
        <v>19</v>
      </c>
      <c r="F461" s="139" t="str">
        <f t="shared" si="3"/>
        <v>Sales Food CLUB</v>
      </c>
      <c r="G461" s="140"/>
      <c r="H461" s="138" t="str">
        <f t="array" ref="H461">IF($A461="","",
  IF(
    OR(
      $A461=23,
      AND($A461&gt;=32,$A461&lt;=50)
    ),
    IFERROR(
      INDEX('Daily Sales'!$C:$AG,
        $A461,
        MATCH(TEXT($B461,"0"),TEXT('Daily Sales'!$C$2:$AG$2,"0"),0)
      ),
    ""),
  "")
)</f>
        <v/>
      </c>
      <c r="I461" s="138">
        <f t="array" ref="I461">IF($A461="","",
  IF(
    OR(
      AND($A461&gt;=4,$A461&lt;=8),
      AND($A461&gt;=12,$A461&lt;=19),
      AND($A461&gt;=28,$A461&lt;=29)
    ),
    IFERROR(
      INDEX('Daily Sales'!$C:$AG,
        $A461,
        MATCH(TEXT($B461,"0"),TEXT('Daily Sales'!$C$2:$AG$2,"0"),0)
      ),
    ""),
  "")
)</f>
        <v>100000</v>
      </c>
      <c r="J461" s="79" t="e">
        <f t="shared" si="4"/>
        <v>#VALUE!</v>
      </c>
      <c r="K461" s="141"/>
      <c r="L461" s="141"/>
      <c r="M461" s="141"/>
      <c r="N461" s="133"/>
      <c r="O461" s="4"/>
      <c r="P461" s="4"/>
      <c r="Q461" s="4"/>
      <c r="R461" s="109"/>
      <c r="S461" s="109"/>
      <c r="T461" s="108"/>
      <c r="U461" s="110"/>
      <c r="V461" s="110"/>
      <c r="W461" s="110"/>
      <c r="X461" s="110"/>
    </row>
    <row r="462" spans="1:24" ht="13.5" customHeight="1">
      <c r="A462" s="110">
        <f>IF(E462="","",MATCH(E462,'Daily Sales'!B$4:B$51,0)+3)</f>
        <v>15</v>
      </c>
      <c r="B462" s="135">
        <v>46188</v>
      </c>
      <c r="C462" s="136" t="s">
        <v>105</v>
      </c>
      <c r="D462" s="137" t="str">
        <f t="array" ref="D462">IF($A462="","",INDEX('Daily Sales'!A:A,$A462))</f>
        <v>4-2300</v>
      </c>
      <c r="E462" s="138" t="s">
        <v>20</v>
      </c>
      <c r="F462" s="139" t="str">
        <f t="shared" si="3"/>
        <v>Sales Shisa CLUB</v>
      </c>
      <c r="G462" s="140"/>
      <c r="H462" s="138" t="str">
        <f t="array" ref="H462">IF($A462="","",
  IF(
    OR(
      $A462=23,
      AND($A462&gt;=32,$A462&lt;=50)
    ),
    IFERROR(
      INDEX('Daily Sales'!$C:$AG,
        $A462,
        MATCH(TEXT($B462,"0"),TEXT('Daily Sales'!$C$2:$AG$2,"0"),0)
      ),
    ""),
  "")
)</f>
        <v/>
      </c>
      <c r="I462" s="138">
        <f t="array" ref="I462">IF($A462="","",
  IF(
    OR(
      AND($A462&gt;=4,$A462&lt;=8),
      AND($A462&gt;=12,$A462&lt;=19),
      AND($A462&gt;=28,$A462&lt;=29)
    ),
    IFERROR(
      INDEX('Daily Sales'!$C:$AG,
        $A462,
        MATCH(TEXT($B462,"0"),TEXT('Daily Sales'!$C$2:$AG$2,"0"),0)
      ),
    ""),
  "")
)</f>
        <v>120000</v>
      </c>
      <c r="J462" s="79" t="e">
        <f t="shared" si="4"/>
        <v>#VALUE!</v>
      </c>
      <c r="K462" s="141"/>
      <c r="L462" s="141"/>
      <c r="M462" s="141"/>
      <c r="N462" s="133"/>
      <c r="O462" s="4"/>
      <c r="P462" s="4"/>
      <c r="Q462" s="4"/>
      <c r="R462" s="109"/>
      <c r="S462" s="109"/>
      <c r="T462" s="108"/>
      <c r="U462" s="110"/>
      <c r="V462" s="110"/>
      <c r="W462" s="110"/>
      <c r="X462" s="110"/>
    </row>
    <row r="463" spans="1:24" ht="13.5" customHeight="1">
      <c r="A463" s="110">
        <f>IF(E463="","",MATCH(E463,'Daily Sales'!B$4:B$51,0)+3)</f>
        <v>17</v>
      </c>
      <c r="B463" s="135">
        <v>46188</v>
      </c>
      <c r="C463" s="136" t="s">
        <v>105</v>
      </c>
      <c r="D463" s="137" t="str">
        <f t="array" ref="D463">IF($A463="","",INDEX('Daily Sales'!A:A,$A463))</f>
        <v>4-2601</v>
      </c>
      <c r="E463" s="138" t="s">
        <v>23</v>
      </c>
      <c r="F463" s="139" t="str">
        <f t="shared" si="3"/>
        <v xml:space="preserve">Misc </v>
      </c>
      <c r="G463" s="140"/>
      <c r="H463" s="138" t="str">
        <f t="array" ref="H463">IF($A463="","",
  IF(
    OR(
      $A463=23,
      AND($A463&gt;=32,$A463&lt;=50)
    ),
    IFERROR(
      INDEX('Daily Sales'!$C:$AG,
        $A463,
        MATCH(TEXT($B463,"0"),TEXT('Daily Sales'!$C$2:$AG$2,"0"),0)
      ),
    ""),
  "")
)</f>
        <v/>
      </c>
      <c r="I463" s="138">
        <f t="array" ref="I463">IF($A463="","",
  IF(
    OR(
      AND($A463&gt;=4,$A463&lt;=8),
      AND($A463&gt;=12,$A463&lt;=19),
      AND($A463&gt;=28,$A463&lt;=29)
    ),
    IFERROR(
      INDEX('Daily Sales'!$C:$AG,
        $A463,
        MATCH(TEXT($B463,"0"),TEXT('Daily Sales'!$C$2:$AG$2,"0"),0)
      ),
    ""),
  "")
)</f>
        <v>0</v>
      </c>
      <c r="J463" s="79" t="e">
        <f t="shared" si="4"/>
        <v>#VALUE!</v>
      </c>
      <c r="K463" s="141"/>
      <c r="L463" s="141"/>
      <c r="M463" s="141"/>
      <c r="N463" s="133"/>
      <c r="O463" s="4"/>
      <c r="P463" s="4"/>
      <c r="Q463" s="4"/>
      <c r="R463" s="109"/>
      <c r="S463" s="109"/>
      <c r="T463" s="108"/>
      <c r="U463" s="110"/>
      <c r="V463" s="110"/>
      <c r="W463" s="110"/>
      <c r="X463" s="110"/>
    </row>
    <row r="464" spans="1:24" ht="13.5" customHeight="1">
      <c r="A464" s="110">
        <f>IF(E464="","",MATCH(E464,'Daily Sales'!B$4:B$51,0)+3)</f>
        <v>19</v>
      </c>
      <c r="B464" s="135">
        <v>46188</v>
      </c>
      <c r="C464" s="136" t="s">
        <v>105</v>
      </c>
      <c r="D464" s="137" t="str">
        <f t="array" ref="D464">IF($A464="","",INDEX('Daily Sales'!A:A,$A464))</f>
        <v>4-2500</v>
      </c>
      <c r="E464" s="138" t="s">
        <v>26</v>
      </c>
      <c r="F464" s="139" t="str">
        <f t="shared" si="3"/>
        <v>Sales Ticket</v>
      </c>
      <c r="G464" s="140"/>
      <c r="H464" s="138" t="str">
        <f t="array" ref="H464">IF($A464="","",
  IF(
    OR(
      $A464=23,
      AND($A464&gt;=32,$A464&lt;=50)
    ),
    IFERROR(
      INDEX('Daily Sales'!$C:$AG,
        $A464,
        MATCH(TEXT($B464,"0"),TEXT('Daily Sales'!$C$2:$AG$2,"0"),0)
      ),
    ""),
  "")
)</f>
        <v/>
      </c>
      <c r="I464" s="138">
        <f t="array" ref="I464">IF($A464="","",
  IF(
    OR(
      AND($A464&gt;=4,$A464&lt;=8),
      AND($A464&gt;=12,$A464&lt;=19),
      AND($A464&gt;=28,$A464&lt;=29)
    ),
    IFERROR(
      INDEX('Daily Sales'!$C:$AG,
        $A464,
        MATCH(TEXT($B464,"0"),TEXT('Daily Sales'!$C$2:$AG$2,"0"),0)
      ),
    ""),
  "")
)</f>
        <v>11045060</v>
      </c>
      <c r="J464" s="79" t="e">
        <f t="shared" si="4"/>
        <v>#VALUE!</v>
      </c>
      <c r="K464" s="141"/>
      <c r="L464" s="141"/>
      <c r="M464" s="141"/>
      <c r="N464" s="133"/>
      <c r="O464" s="4"/>
      <c r="P464" s="4"/>
      <c r="Q464" s="4"/>
      <c r="R464" s="109"/>
      <c r="S464" s="109"/>
      <c r="T464" s="108"/>
      <c r="U464" s="110"/>
      <c r="V464" s="110"/>
      <c r="W464" s="110"/>
      <c r="X464" s="110"/>
    </row>
    <row r="465" spans="1:24" ht="13.5" customHeight="1">
      <c r="A465" s="110">
        <f>IF(E465="","",MATCH(E465,'Daily Sales'!B$4:B$51,0)+3)</f>
        <v>28</v>
      </c>
      <c r="B465" s="135">
        <v>46188</v>
      </c>
      <c r="C465" s="136" t="s">
        <v>105</v>
      </c>
      <c r="D465" s="137" t="str">
        <f t="array" ref="D465">IF($A465="","",INDEX('Daily Sales'!A:A,$A465))</f>
        <v>2-2106</v>
      </c>
      <c r="E465" s="138" t="s">
        <v>35</v>
      </c>
      <c r="F465" s="139" t="str">
        <f t="shared" si="3"/>
        <v>Service Charges 7%</v>
      </c>
      <c r="G465" s="140"/>
      <c r="H465" s="138" t="str">
        <f t="array" ref="H465">IF($A465="","",
  IF(
    OR(
      $A465=23,
      AND($A465&gt;=32,$A465&lt;=50)
    ),
    IFERROR(
      INDEX('Daily Sales'!$C:$AG,
        $A465,
        MATCH(TEXT($B465,"0"),TEXT('Daily Sales'!$C$2:$AG$2,"0"),0)
      ),
    ""),
  "")
)</f>
        <v/>
      </c>
      <c r="I465" s="138">
        <f t="array" ref="I465">IF($A465="","",
  IF(
    OR(
      AND($A465&gt;=4,$A465&lt;=8),
      AND($A465&gt;=12,$A465&lt;=19),
      AND($A465&gt;=28,$A465&lt;=29)
    ),
    IFERROR(
      INDEX('Daily Sales'!$C:$AG,
        $A465,
        MATCH(TEXT($B465,"0"),TEXT('Daily Sales'!$C$2:$AG$2,"0"),0)
      ),
    ""),
  "")
)</f>
        <v>2485949.2000000002</v>
      </c>
      <c r="J465" s="79" t="e">
        <f t="shared" si="4"/>
        <v>#VALUE!</v>
      </c>
      <c r="K465" s="141"/>
      <c r="L465" s="141"/>
      <c r="M465" s="141"/>
      <c r="N465" s="133"/>
      <c r="O465" s="4"/>
      <c r="P465" s="4"/>
      <c r="Q465" s="4"/>
      <c r="R465" s="109"/>
      <c r="S465" s="109"/>
      <c r="T465" s="108"/>
      <c r="U465" s="110"/>
      <c r="V465" s="110"/>
      <c r="W465" s="110"/>
      <c r="X465" s="110"/>
    </row>
    <row r="466" spans="1:24" ht="13.5" customHeight="1">
      <c r="A466" s="110">
        <f>IF(E466="","",MATCH(E466,'Daily Sales'!B$4:B$51,0)+3)</f>
        <v>29</v>
      </c>
      <c r="B466" s="135">
        <v>46188</v>
      </c>
      <c r="C466" s="136" t="s">
        <v>105</v>
      </c>
      <c r="D466" s="137" t="str">
        <f t="array" ref="D466">IF($A466="","",INDEX('Daily Sales'!A:A,$A466))</f>
        <v>2-3101</v>
      </c>
      <c r="E466" s="138" t="s">
        <v>37</v>
      </c>
      <c r="F466" s="139" t="str">
        <f t="shared" si="3"/>
        <v>Tax PB1 10%</v>
      </c>
      <c r="G466" s="140"/>
      <c r="H466" s="138" t="str">
        <f t="array" ref="H466">IF($A466="","",
  IF(
    OR(
      $A466=23,
      AND($A466&gt;=32,$A466&lt;=50)
    ),
    IFERROR(
      INDEX('Daily Sales'!$C:$AG,
        $A466,
        MATCH(TEXT($B466,"0"),TEXT('Daily Sales'!$C$2:$AG$2,"0"),0)
      ),
    ""),
  "")
)</f>
        <v/>
      </c>
      <c r="I466" s="138">
        <f t="array" ref="I466">IF($A466="","",
  IF(
    OR(
      AND($A466&gt;=4,$A466&lt;=8),
      AND($A466&gt;=12,$A466&lt;=19),
      AND($A466&gt;=28,$A466&lt;=29)
    ),
    IFERROR(
      INDEX('Daily Sales'!$C:$AG,
        $A466,
        MATCH(TEXT($B466,"0"),TEXT('Daily Sales'!$C$2:$AG$2,"0"),0)
      ),
    ""),
  "")
)</f>
        <v>3799950.9200000004</v>
      </c>
      <c r="J466" s="79" t="e">
        <f t="shared" si="4"/>
        <v>#VALUE!</v>
      </c>
      <c r="K466" s="141"/>
      <c r="L466" s="141"/>
      <c r="M466" s="141"/>
      <c r="N466" s="133"/>
      <c r="O466" s="4"/>
      <c r="P466" s="4"/>
      <c r="Q466" s="4"/>
      <c r="R466" s="109"/>
      <c r="S466" s="109"/>
      <c r="T466" s="108"/>
      <c r="U466" s="110"/>
      <c r="V466" s="110"/>
      <c r="W466" s="110"/>
      <c r="X466" s="110"/>
    </row>
    <row r="467" spans="1:24" ht="13.5" customHeight="1">
      <c r="A467" s="110">
        <f>IF(E467="","",MATCH(E467,'Daily Sales'!B$4:B$51,0)+3)</f>
        <v>23</v>
      </c>
      <c r="B467" s="135">
        <v>46188</v>
      </c>
      <c r="C467" s="136" t="s">
        <v>105</v>
      </c>
      <c r="D467" s="137" t="str">
        <f t="array" ref="D467">IF($A467="","",INDEX('Daily Sales'!A:A,$A467))</f>
        <v>4-5110</v>
      </c>
      <c r="E467" s="138" t="s">
        <v>30</v>
      </c>
      <c r="F467" s="139" t="str">
        <f t="shared" si="3"/>
        <v>Discount</v>
      </c>
      <c r="G467" s="140"/>
      <c r="H467" s="138">
        <f t="array" ref="H467">IF($A467="","",
  IF(
    OR(
      $A467=23,
      AND($A467&gt;=32,$A467&lt;=50)
    ),
    IFERROR(
      INDEX('Daily Sales'!$C:$AG,
        $A467,
        MATCH(TEXT($B467,"0"),TEXT('Daily Sales'!$C$2:$AG$2,"0"),0)
      ),
    ""),
  "")
)</f>
        <v>386500</v>
      </c>
      <c r="I467" s="138" t="str">
        <f t="array" ref="I467">IF($A467="","",
  IF(
    OR(
      AND($A467&gt;=4,$A467&lt;=8),
      AND($A467&gt;=12,$A467&lt;=19),
      AND($A467&gt;=28,$A467&lt;=29)
    ),
    IFERROR(
      INDEX('Daily Sales'!$C:$AG,
        $A467,
        MATCH(TEXT($B467,"0"),TEXT('Daily Sales'!$C$2:$AG$2,"0"),0)
      ),
    ""),
  "")
)</f>
        <v/>
      </c>
      <c r="J467" s="79" t="e">
        <f t="shared" si="4"/>
        <v>#VALUE!</v>
      </c>
      <c r="K467" s="141"/>
      <c r="L467" s="141"/>
      <c r="M467" s="141"/>
      <c r="N467" s="133"/>
      <c r="O467" s="4"/>
      <c r="P467" s="4"/>
      <c r="Q467" s="4"/>
      <c r="R467" s="109"/>
      <c r="S467" s="109"/>
      <c r="T467" s="108"/>
      <c r="U467" s="110"/>
      <c r="V467" s="110"/>
      <c r="W467" s="110"/>
      <c r="X467" s="110"/>
    </row>
    <row r="468" spans="1:24" ht="13.5" customHeight="1">
      <c r="A468" s="110">
        <f>IF(E468="","",MATCH(E468,'Daily Sales'!B$4:B$51,0)+3)</f>
        <v>32</v>
      </c>
      <c r="B468" s="135">
        <v>46188</v>
      </c>
      <c r="C468" s="136" t="s">
        <v>105</v>
      </c>
      <c r="D468" s="137" t="str">
        <f t="array" ref="D468">IF($A468="","",INDEX('Daily Sales'!A:A,$A468))</f>
        <v>1-1119</v>
      </c>
      <c r="E468" s="138" t="s">
        <v>40</v>
      </c>
      <c r="F468" s="139" t="str">
        <f t="shared" si="3"/>
        <v>Cash IDR</v>
      </c>
      <c r="G468" s="140"/>
      <c r="H468" s="138">
        <f t="array" ref="H468">IF($A468="","",
  IF(
    OR(
      $A468=23,
      AND($A468&gt;=32,$A468&lt;=50)
    ),
    IFERROR(
      INDEX('Daily Sales'!$C:$AG,
        $A468,
        MATCH(TEXT($B468,"0"),TEXT('Daily Sales'!$C$2:$AG$2,"0"),0)
      ),
    ""),
  "")
)</f>
        <v>7496471</v>
      </c>
      <c r="I468" s="138" t="str">
        <f t="array" ref="I468">IF($A468="","",
  IF(
    OR(
      AND($A468&gt;=4,$A468&lt;=8),
      AND($A468&gt;=12,$A468&lt;=19),
      AND($A468&gt;=28,$A468&lt;=29)
    ),
    IFERROR(
      INDEX('Daily Sales'!$C:$AG,
        $A468,
        MATCH(TEXT($B468,"0"),TEXT('Daily Sales'!$C$2:$AG$2,"0"),0)
      ),
    ""),
  "")
)</f>
        <v/>
      </c>
      <c r="J468" s="79" t="e">
        <f t="shared" si="4"/>
        <v>#VALUE!</v>
      </c>
      <c r="K468" s="141"/>
      <c r="L468" s="141"/>
      <c r="M468" s="141"/>
      <c r="N468" s="133"/>
      <c r="O468" s="4"/>
      <c r="P468" s="4"/>
      <c r="Q468" s="4"/>
      <c r="R468" s="109"/>
      <c r="S468" s="109"/>
      <c r="T468" s="108"/>
      <c r="U468" s="110"/>
      <c r="V468" s="110"/>
      <c r="W468" s="110"/>
      <c r="X468" s="110"/>
    </row>
    <row r="469" spans="1:24" ht="13.5" customHeight="1">
      <c r="A469" s="110">
        <f>IF(E469="","",MATCH(E469,'Daily Sales'!B$4:B$51,0)+3)</f>
        <v>33</v>
      </c>
      <c r="B469" s="135">
        <v>46188</v>
      </c>
      <c r="C469" s="136" t="s">
        <v>105</v>
      </c>
      <c r="D469" s="137" t="str">
        <f t="array" ref="D469">IF($A469="","",INDEX('Daily Sales'!A:A,$A469))</f>
        <v>1-1217</v>
      </c>
      <c r="E469" s="138" t="s">
        <v>43</v>
      </c>
      <c r="F469" s="139" t="str">
        <f t="shared" si="3"/>
        <v>Bank transfer</v>
      </c>
      <c r="G469" s="140"/>
      <c r="H469" s="138">
        <f t="array" ref="H469">IF($A469="","",
  IF(
    OR(
      $A469=23,
      AND($A469&gt;=32,$A469&lt;=50)
    ),
    IFERROR(
      INDEX('Daily Sales'!$C:$AG,
        $A469,
        MATCH(TEXT($B469,"0"),TEXT('Daily Sales'!$C$2:$AG$2,"0"),0)
      ),
    ""),
  "")
)</f>
        <v>0</v>
      </c>
      <c r="I469" s="138" t="str">
        <f t="array" ref="I469">IF($A469="","",
  IF(
    OR(
      AND($A469&gt;=4,$A469&lt;=8),
      AND($A469&gt;=12,$A469&lt;=19),
      AND($A469&gt;=28,$A469&lt;=29)
    ),
    IFERROR(
      INDEX('Daily Sales'!$C:$AG,
        $A469,
        MATCH(TEXT($B469,"0"),TEXT('Daily Sales'!$C$2:$AG$2,"0"),0)
      ),
    ""),
  "")
)</f>
        <v/>
      </c>
      <c r="J469" s="79" t="e">
        <f t="shared" si="4"/>
        <v>#VALUE!</v>
      </c>
      <c r="K469" s="141"/>
      <c r="L469" s="141"/>
      <c r="M469" s="141"/>
      <c r="N469" s="133"/>
      <c r="O469" s="4"/>
      <c r="P469" s="4"/>
      <c r="Q469" s="4"/>
      <c r="R469" s="109"/>
      <c r="S469" s="109"/>
      <c r="T469" s="108"/>
      <c r="U469" s="110"/>
      <c r="V469" s="110"/>
      <c r="W469" s="110"/>
      <c r="X469" s="110"/>
    </row>
    <row r="470" spans="1:24" ht="13.5" customHeight="1">
      <c r="A470" s="110">
        <f>IF(E470="","",MATCH(E470,'Daily Sales'!B$4:B$51,0)+3)</f>
        <v>35</v>
      </c>
      <c r="B470" s="135">
        <v>46188</v>
      </c>
      <c r="C470" s="136" t="s">
        <v>105</v>
      </c>
      <c r="D470" s="137" t="str">
        <f t="array" ref="D470">IF($A470="","",INDEX('Daily Sales'!A:A,$A470))</f>
        <v>1-1216</v>
      </c>
      <c r="E470" s="138" t="s">
        <v>46</v>
      </c>
      <c r="F470" s="139" t="str">
        <f t="shared" si="3"/>
        <v>Cim Niaga TBB</v>
      </c>
      <c r="G470" s="140"/>
      <c r="H470" s="138">
        <f t="array" ref="H470">IF($A470="","",
  IF(
    OR(
      $A470=23,
      AND($A470&gt;=32,$A470&lt;=50)
    ),
    IFERROR(
      INDEX('Daily Sales'!$C:$AG,
        $A470,
        MATCH(TEXT($B470,"0"),TEXT('Daily Sales'!$C$2:$AG$2,"0"),0)
      ),
    ""),
  "")
)</f>
        <v>117700</v>
      </c>
      <c r="I470" s="138" t="str">
        <f t="array" ref="I470">IF($A470="","",
  IF(
    OR(
      AND($A470&gt;=4,$A470&lt;=8),
      AND($A470&gt;=12,$A470&lt;=19),
      AND($A470&gt;=28,$A470&lt;=29)
    ),
    IFERROR(
      INDEX('Daily Sales'!$C:$AG,
        $A470,
        MATCH(TEXT($B470,"0"),TEXT('Daily Sales'!$C$2:$AG$2,"0"),0)
      ),
    ""),
  "")
)</f>
        <v/>
      </c>
      <c r="J470" s="79" t="e">
        <f t="shared" si="4"/>
        <v>#VALUE!</v>
      </c>
      <c r="K470" s="141"/>
      <c r="L470" s="141"/>
      <c r="M470" s="141"/>
      <c r="N470" s="133"/>
      <c r="O470" s="4"/>
      <c r="P470" s="4"/>
      <c r="Q470" s="4"/>
      <c r="R470" s="109"/>
      <c r="S470" s="109"/>
      <c r="T470" s="108"/>
      <c r="U470" s="110"/>
      <c r="V470" s="110"/>
      <c r="W470" s="110"/>
      <c r="X470" s="110"/>
    </row>
    <row r="471" spans="1:24" ht="13.5" customHeight="1">
      <c r="A471" s="110">
        <f>IF(E471="","",MATCH(E471,'Daily Sales'!B$4:B$51,0)+3)</f>
        <v>36</v>
      </c>
      <c r="B471" s="135">
        <v>46188</v>
      </c>
      <c r="C471" s="136" t="s">
        <v>105</v>
      </c>
      <c r="D471" s="137" t="str">
        <f t="array" ref="D471">IF($A471="","",INDEX('Daily Sales'!A:A,$A471))</f>
        <v>1-1213</v>
      </c>
      <c r="E471" s="138" t="s">
        <v>49</v>
      </c>
      <c r="F471" s="139" t="str">
        <f t="shared" si="3"/>
        <v>Mandiri Debet</v>
      </c>
      <c r="G471" s="140"/>
      <c r="H471" s="138">
        <f t="array" ref="H471">IF($A471="","",
  IF(
    OR(
      $A471=23,
      AND($A471&gt;=32,$A471&lt;=50)
    ),
    IFERROR(
      INDEX('Daily Sales'!$C:$AG,
        $A471,
        MATCH(TEXT($B471,"0"),TEXT('Daily Sales'!$C$2:$AG$2,"0"),0)
      ),
    ""),
  "")
)</f>
        <v>0</v>
      </c>
      <c r="I471" s="138" t="str">
        <f t="array" ref="I471">IF($A471="","",
  IF(
    OR(
      AND($A471&gt;=4,$A471&lt;=8),
      AND($A471&gt;=12,$A471&lt;=19),
      AND($A471&gt;=28,$A471&lt;=29)
    ),
    IFERROR(
      INDEX('Daily Sales'!$C:$AG,
        $A471,
        MATCH(TEXT($B471,"0"),TEXT('Daily Sales'!$C$2:$AG$2,"0"),0)
      ),
    ""),
  "")
)</f>
        <v/>
      </c>
      <c r="J471" s="79" t="e">
        <f t="shared" si="4"/>
        <v>#VALUE!</v>
      </c>
      <c r="K471" s="141"/>
      <c r="L471" s="141"/>
      <c r="M471" s="141"/>
      <c r="N471" s="133"/>
      <c r="O471" s="4"/>
      <c r="P471" s="4"/>
      <c r="Q471" s="4"/>
      <c r="R471" s="109"/>
      <c r="S471" s="109"/>
      <c r="T471" s="108"/>
      <c r="U471" s="110"/>
      <c r="V471" s="110"/>
      <c r="W471" s="110"/>
      <c r="X471" s="110"/>
    </row>
    <row r="472" spans="1:24" ht="13.5" customHeight="1">
      <c r="A472" s="110">
        <f>IF(E472="","",MATCH(E472,'Daily Sales'!B$4:B$51,0)+3)</f>
        <v>37</v>
      </c>
      <c r="B472" s="135">
        <v>46188</v>
      </c>
      <c r="C472" s="136" t="s">
        <v>105</v>
      </c>
      <c r="D472" s="137" t="str">
        <f t="array" ref="D472">IF($A472="","",INDEX('Daily Sales'!A:A,$A472))</f>
        <v>1-1213</v>
      </c>
      <c r="E472" s="138" t="s">
        <v>50</v>
      </c>
      <c r="F472" s="139" t="str">
        <f t="shared" si="3"/>
        <v>Mandiri CC</v>
      </c>
      <c r="G472" s="140"/>
      <c r="H472" s="138">
        <f t="array" ref="H472">IF($A472="","",
  IF(
    OR(
      $A472=23,
      AND($A472&gt;=32,$A472&lt;=50)
    ),
    IFERROR(
      INDEX('Daily Sales'!$C:$AG,
        $A472,
        MATCH(TEXT($B472,"0"),TEXT('Daily Sales'!$C$2:$AG$2,"0"),0)
      ),
    ""),
  "")
)</f>
        <v>26950969</v>
      </c>
      <c r="I472" s="138" t="str">
        <f t="array" ref="I472">IF($A472="","",
  IF(
    OR(
      AND($A472&gt;=4,$A472&lt;=8),
      AND($A472&gt;=12,$A472&lt;=19),
      AND($A472&gt;=28,$A472&lt;=29)
    ),
    IFERROR(
      INDEX('Daily Sales'!$C:$AG,
        $A472,
        MATCH(TEXT($B472,"0"),TEXT('Daily Sales'!$C$2:$AG$2,"0"),0)
      ),
    ""),
  "")
)</f>
        <v/>
      </c>
      <c r="J472" s="79" t="e">
        <f t="shared" si="4"/>
        <v>#VALUE!</v>
      </c>
      <c r="K472" s="141"/>
      <c r="L472" s="141"/>
      <c r="M472" s="141"/>
      <c r="N472" s="133"/>
      <c r="O472" s="4"/>
      <c r="P472" s="4"/>
      <c r="Q472" s="4"/>
      <c r="R472" s="109"/>
      <c r="S472" s="109"/>
      <c r="T472" s="108"/>
      <c r="U472" s="110"/>
      <c r="V472" s="110"/>
      <c r="W472" s="110"/>
      <c r="X472" s="110"/>
    </row>
    <row r="473" spans="1:24" ht="13.5" customHeight="1">
      <c r="A473" s="110">
        <f>IF(E473="","",MATCH(E473,'Daily Sales'!B$4:B$51,0)+3)</f>
        <v>38</v>
      </c>
      <c r="B473" s="135">
        <v>46188</v>
      </c>
      <c r="C473" s="136" t="s">
        <v>105</v>
      </c>
      <c r="D473" s="137" t="str">
        <f t="array" ref="D473">IF($A473="","",INDEX('Daily Sales'!A:A,$A473))</f>
        <v>1-1213</v>
      </c>
      <c r="E473" s="138" t="s">
        <v>51</v>
      </c>
      <c r="F473" s="139" t="str">
        <f t="shared" si="3"/>
        <v>Mandiri NPG</v>
      </c>
      <c r="G473" s="140"/>
      <c r="H473" s="138">
        <f t="array" ref="H473">IF($A473="","",
  IF(
    OR(
      $A473=23,
      AND($A473&gt;=32,$A473&lt;=50)
    ),
    IFERROR(
      INDEX('Daily Sales'!$C:$AG,
        $A473,
        MATCH(TEXT($B473,"0"),TEXT('Daily Sales'!$C$2:$AG$2,"0"),0)
      ),
    ""),
  "")
)</f>
        <v>1029515</v>
      </c>
      <c r="I473" s="138" t="str">
        <f t="array" ref="I473">IF($A473="","",
  IF(
    OR(
      AND($A473&gt;=4,$A473&lt;=8),
      AND($A473&gt;=12,$A473&lt;=19),
      AND($A473&gt;=28,$A473&lt;=29)
    ),
    IFERROR(
      INDEX('Daily Sales'!$C:$AG,
        $A473,
        MATCH(TEXT($B473,"0"),TEXT('Daily Sales'!$C$2:$AG$2,"0"),0)
      ),
    ""),
  "")
)</f>
        <v/>
      </c>
      <c r="J473" s="79" t="e">
        <f t="shared" si="4"/>
        <v>#VALUE!</v>
      </c>
      <c r="K473" s="141"/>
      <c r="L473" s="141"/>
      <c r="M473" s="141"/>
      <c r="N473" s="133"/>
      <c r="O473" s="4"/>
      <c r="P473" s="4"/>
      <c r="Q473" s="4"/>
      <c r="R473" s="109"/>
      <c r="S473" s="109"/>
      <c r="T473" s="108"/>
      <c r="U473" s="110"/>
      <c r="V473" s="110"/>
      <c r="W473" s="110"/>
      <c r="X473" s="110"/>
    </row>
    <row r="474" spans="1:24" ht="13.5" customHeight="1">
      <c r="A474" s="110">
        <f>IF(E474="","",MATCH(E474,'Daily Sales'!B$4:B$51,0)+3)</f>
        <v>39</v>
      </c>
      <c r="B474" s="135">
        <v>46188</v>
      </c>
      <c r="C474" s="136" t="s">
        <v>105</v>
      </c>
      <c r="D474" s="137" t="str">
        <f t="array" ref="D474">IF($A474="","",INDEX('Daily Sales'!A:A,$A474))</f>
        <v>1-1213</v>
      </c>
      <c r="E474" s="138" t="s">
        <v>52</v>
      </c>
      <c r="F474" s="139" t="str">
        <f t="shared" si="3"/>
        <v>Mandiri QR</v>
      </c>
      <c r="G474" s="140"/>
      <c r="H474" s="138">
        <f t="array" ref="H474">IF($A474="","",
  IF(
    OR(
      $A474=23,
      AND($A474&gt;=32,$A474&lt;=50)
    ),
    IFERROR(
      INDEX('Daily Sales'!$C:$AG,
        $A474,
        MATCH(TEXT($B474,"0"),TEXT('Daily Sales'!$C$2:$AG$2,"0"),0)
      ),
    ""),
  "")
)</f>
        <v>4383335</v>
      </c>
      <c r="I474" s="138" t="str">
        <f t="array" ref="I474">IF($A474="","",
  IF(
    OR(
      AND($A474&gt;=4,$A474&lt;=8),
      AND($A474&gt;=12,$A474&lt;=19),
      AND($A474&gt;=28,$A474&lt;=29)
    ),
    IFERROR(
      INDEX('Daily Sales'!$C:$AG,
        $A474,
        MATCH(TEXT($B474,"0"),TEXT('Daily Sales'!$C$2:$AG$2,"0"),0)
      ),
    ""),
  "")
)</f>
        <v/>
      </c>
      <c r="J474" s="79" t="e">
        <f t="shared" si="4"/>
        <v>#VALUE!</v>
      </c>
      <c r="K474" s="141"/>
      <c r="L474" s="141"/>
      <c r="M474" s="141"/>
      <c r="N474" s="133"/>
      <c r="O474" s="4"/>
      <c r="P474" s="4"/>
      <c r="Q474" s="4"/>
      <c r="R474" s="109"/>
      <c r="S474" s="109"/>
      <c r="T474" s="108"/>
      <c r="U474" s="110"/>
      <c r="V474" s="110"/>
      <c r="W474" s="110"/>
      <c r="X474" s="110"/>
    </row>
    <row r="475" spans="1:24" ht="13.5" customHeight="1">
      <c r="A475" s="110">
        <f>IF(E475="","",MATCH(E475,'Daily Sales'!B$4:B$51,0)+3)</f>
        <v>40</v>
      </c>
      <c r="B475" s="135">
        <v>46188</v>
      </c>
      <c r="C475" s="136" t="s">
        <v>105</v>
      </c>
      <c r="D475" s="137" t="str">
        <f t="array" ref="D475">IF($A475="","",INDEX('Daily Sales'!A:A,$A475))</f>
        <v>1-1217</v>
      </c>
      <c r="E475" s="138" t="s">
        <v>54</v>
      </c>
      <c r="F475" s="139" t="str">
        <f t="shared" si="3"/>
        <v>BCA CC</v>
      </c>
      <c r="G475" s="140"/>
      <c r="H475" s="138">
        <f t="array" ref="H475">IF($A475="","",
  IF(
    OR(
      $A475=23,
      AND($A475&gt;=32,$A475&lt;=50)
    ),
    IFERROR(
      INDEX('Daily Sales'!$C:$AG,
        $A475,
        MATCH(TEXT($B475,"0"),TEXT('Daily Sales'!$C$2:$AG$2,"0"),0)
      ),
    ""),
  "")
)</f>
        <v>759165</v>
      </c>
      <c r="I475" s="138" t="str">
        <f t="array" ref="I475">IF($A475="","",
  IF(
    OR(
      AND($A475&gt;=4,$A475&lt;=8),
      AND($A475&gt;=12,$A475&lt;=19),
      AND($A475&gt;=28,$A475&lt;=29)
    ),
    IFERROR(
      INDEX('Daily Sales'!$C:$AG,
        $A475,
        MATCH(TEXT($B475,"0"),TEXT('Daily Sales'!$C$2:$AG$2,"0"),0)
      ),
    ""),
  "")
)</f>
        <v/>
      </c>
      <c r="J475" s="79" t="e">
        <f t="shared" si="4"/>
        <v>#VALUE!</v>
      </c>
      <c r="K475" s="141"/>
      <c r="L475" s="141"/>
      <c r="M475" s="141"/>
      <c r="N475" s="133"/>
      <c r="O475" s="4"/>
      <c r="P475" s="4"/>
      <c r="Q475" s="4"/>
      <c r="R475" s="109"/>
      <c r="S475" s="109"/>
      <c r="T475" s="108"/>
      <c r="U475" s="110"/>
      <c r="V475" s="110"/>
      <c r="W475" s="110"/>
      <c r="X475" s="110"/>
    </row>
    <row r="476" spans="1:24" ht="13.5" customHeight="1">
      <c r="A476" s="110">
        <f>IF(E476="","",MATCH(E476,'Daily Sales'!B$4:B$51,0)+3)</f>
        <v>41</v>
      </c>
      <c r="B476" s="135">
        <v>46188</v>
      </c>
      <c r="C476" s="136" t="s">
        <v>105</v>
      </c>
      <c r="D476" s="137" t="str">
        <f t="array" ref="D476">IF($A476="","",INDEX('Daily Sales'!A:A,$A476))</f>
        <v>1-1217</v>
      </c>
      <c r="E476" s="138" t="s">
        <v>55</v>
      </c>
      <c r="F476" s="139" t="str">
        <f t="shared" si="3"/>
        <v>BCA debt</v>
      </c>
      <c r="G476" s="140"/>
      <c r="H476" s="138">
        <f t="array" ref="H476">IF($A476="","",
  IF(
    OR(
      $A476=23,
      AND($A476&gt;=32,$A476&lt;=50)
    ),
    IFERROR(
      INDEX('Daily Sales'!$C:$AG,
        $A476,
        MATCH(TEXT($B476,"0"),TEXT('Daily Sales'!$C$2:$AG$2,"0"),0)
      ),
    ""),
  "")
)</f>
        <v>0</v>
      </c>
      <c r="I476" s="138" t="str">
        <f t="array" ref="I476">IF($A476="","",
  IF(
    OR(
      AND($A476&gt;=4,$A476&lt;=8),
      AND($A476&gt;=12,$A476&lt;=19),
      AND($A476&gt;=28,$A476&lt;=29)
    ),
    IFERROR(
      INDEX('Daily Sales'!$C:$AG,
        $A476,
        MATCH(TEXT($B476,"0"),TEXT('Daily Sales'!$C$2:$AG$2,"0"),0)
      ),
    ""),
  "")
)</f>
        <v/>
      </c>
      <c r="J476" s="79" t="e">
        <f t="shared" si="4"/>
        <v>#VALUE!</v>
      </c>
      <c r="K476" s="141"/>
      <c r="L476" s="141"/>
      <c r="M476" s="141"/>
      <c r="N476" s="133"/>
      <c r="O476" s="4"/>
      <c r="P476" s="4"/>
      <c r="Q476" s="4"/>
      <c r="R476" s="109"/>
      <c r="S476" s="109"/>
      <c r="T476" s="108"/>
      <c r="U476" s="110"/>
      <c r="V476" s="110"/>
      <c r="W476" s="110"/>
      <c r="X476" s="110"/>
    </row>
    <row r="477" spans="1:24" ht="13.5" customHeight="1">
      <c r="A477" s="110">
        <f>IF(E477="","",MATCH(E477,'Daily Sales'!B$4:B$51,0)+3)</f>
        <v>42</v>
      </c>
      <c r="B477" s="135">
        <v>46188</v>
      </c>
      <c r="C477" s="136" t="s">
        <v>105</v>
      </c>
      <c r="D477" s="137" t="str">
        <f t="array" ref="D477">IF($A477="","",INDEX('Daily Sales'!A:A,$A477))</f>
        <v>1-1217</v>
      </c>
      <c r="E477" s="138" t="s">
        <v>56</v>
      </c>
      <c r="F477" s="139" t="str">
        <f t="shared" si="3"/>
        <v>BCA QR</v>
      </c>
      <c r="G477" s="140"/>
      <c r="H477" s="138">
        <f t="array" ref="H477">IF($A477="","",
  IF(
    OR(
      $A477=23,
      AND($A477&gt;=32,$A477&lt;=50)
    ),
    IFERROR(
      INDEX('Daily Sales'!$C:$AG,
        $A477,
        MATCH(TEXT($B477,"0"),TEXT('Daily Sales'!$C$2:$AG$2,"0"),0)
      ),
    ""),
  "")
)</f>
        <v>729470</v>
      </c>
      <c r="I477" s="138" t="str">
        <f t="array" ref="I477">IF($A477="","",
  IF(
    OR(
      AND($A477&gt;=4,$A477&lt;=8),
      AND($A477&gt;=12,$A477&lt;=19),
      AND($A477&gt;=28,$A477&lt;=29)
    ),
    IFERROR(
      INDEX('Daily Sales'!$C:$AG,
        $A477,
        MATCH(TEXT($B477,"0"),TEXT('Daily Sales'!$C$2:$AG$2,"0"),0)
      ),
    ""),
  "")
)</f>
        <v/>
      </c>
      <c r="J477" s="79" t="e">
        <f t="shared" si="4"/>
        <v>#VALUE!</v>
      </c>
      <c r="K477" s="141"/>
      <c r="L477" s="141"/>
      <c r="M477" s="141"/>
      <c r="N477" s="133"/>
      <c r="O477" s="4"/>
      <c r="P477" s="4"/>
      <c r="Q477" s="4"/>
      <c r="R477" s="109"/>
      <c r="S477" s="109"/>
      <c r="T477" s="108"/>
      <c r="U477" s="110"/>
      <c r="V477" s="110"/>
      <c r="W477" s="110"/>
      <c r="X477" s="110"/>
    </row>
    <row r="478" spans="1:24" ht="13.5" customHeight="1">
      <c r="A478" s="110">
        <f>IF(E478="","",MATCH(E478,'Daily Sales'!B$4:B$51,0)+3)</f>
        <v>43</v>
      </c>
      <c r="B478" s="135">
        <v>46188</v>
      </c>
      <c r="C478" s="136" t="s">
        <v>105</v>
      </c>
      <c r="D478" s="137" t="str">
        <f t="array" ref="D478">IF($A478="","",INDEX('Daily Sales'!A:A,$A478))</f>
        <v>1-1214</v>
      </c>
      <c r="E478" s="138" t="s">
        <v>59</v>
      </c>
      <c r="F478" s="139" t="str">
        <f t="shared" si="3"/>
        <v>Bank BRI DEBET</v>
      </c>
      <c r="G478" s="140"/>
      <c r="H478" s="138">
        <f t="array" ref="H478">IF($A478="","",
  IF(
    OR(
      $A478=23,
      AND($A478&gt;=32,$A478&lt;=50)
    ),
    IFERROR(
      INDEX('Daily Sales'!$C:$AG,
        $A478,
        MATCH(TEXT($B478,"0"),TEXT('Daily Sales'!$C$2:$AG$2,"0"),0)
      ),
    ""),
  "")
)</f>
        <v>282480</v>
      </c>
      <c r="I478" s="138" t="str">
        <f t="array" ref="I478">IF($A478="","",
  IF(
    OR(
      AND($A478&gt;=4,$A478&lt;=8),
      AND($A478&gt;=12,$A478&lt;=19),
      AND($A478&gt;=28,$A478&lt;=29)
    ),
    IFERROR(
      INDEX('Daily Sales'!$C:$AG,
        $A478,
        MATCH(TEXT($B478,"0"),TEXT('Daily Sales'!$C$2:$AG$2,"0"),0)
      ),
    ""),
  "")
)</f>
        <v/>
      </c>
      <c r="J478" s="79" t="e">
        <f t="shared" si="4"/>
        <v>#VALUE!</v>
      </c>
      <c r="K478" s="141"/>
      <c r="L478" s="141"/>
      <c r="M478" s="141"/>
      <c r="N478" s="133"/>
      <c r="O478" s="4"/>
      <c r="P478" s="4"/>
      <c r="Q478" s="4"/>
      <c r="R478" s="109"/>
      <c r="S478" s="109"/>
      <c r="T478" s="108"/>
      <c r="U478" s="110"/>
      <c r="V478" s="110"/>
      <c r="W478" s="110"/>
      <c r="X478" s="110"/>
    </row>
    <row r="479" spans="1:24" ht="13.5" customHeight="1">
      <c r="A479" s="110">
        <f>IF(E479="","",MATCH(E479,'Daily Sales'!B$4:B$51,0)+3)</f>
        <v>44</v>
      </c>
      <c r="B479" s="135">
        <v>46188</v>
      </c>
      <c r="C479" s="136" t="s">
        <v>105</v>
      </c>
      <c r="D479" s="137" t="str">
        <f t="array" ref="D479">IF($A479="","",INDEX('Daily Sales'!A:A,$A479))</f>
        <v>1-1214</v>
      </c>
      <c r="E479" s="138" t="s">
        <v>60</v>
      </c>
      <c r="F479" s="139" t="str">
        <f t="shared" si="3"/>
        <v>Bank BRI CC</v>
      </c>
      <c r="G479" s="140"/>
      <c r="H479" s="138">
        <f t="array" ref="H479">IF($A479="","",
  IF(
    OR(
      $A479=23,
      AND($A479&gt;=32,$A479&lt;=50)
    ),
    IFERROR(
      INDEX('Daily Sales'!$C:$AG,
        $A479,
        MATCH(TEXT($B479,"0"),TEXT('Daily Sales'!$C$2:$AG$2,"0"),0)
      ),
    ""),
  "")
)</f>
        <v>0</v>
      </c>
      <c r="I479" s="138" t="str">
        <f t="array" ref="I479">IF($A479="","",
  IF(
    OR(
      AND($A479&gt;=4,$A479&lt;=8),
      AND($A479&gt;=12,$A479&lt;=19),
      AND($A479&gt;=28,$A479&lt;=29)
    ),
    IFERROR(
      INDEX('Daily Sales'!$C:$AG,
        $A479,
        MATCH(TEXT($B479,"0"),TEXT('Daily Sales'!$C$2:$AG$2,"0"),0)
      ),
    ""),
  "")
)</f>
        <v/>
      </c>
      <c r="J479" s="79" t="e">
        <f t="shared" si="4"/>
        <v>#VALUE!</v>
      </c>
      <c r="K479" s="141"/>
      <c r="L479" s="141"/>
      <c r="M479" s="141"/>
      <c r="N479" s="133"/>
      <c r="O479" s="4"/>
      <c r="P479" s="4"/>
      <c r="Q479" s="4"/>
      <c r="R479" s="109"/>
      <c r="S479" s="109"/>
      <c r="T479" s="108"/>
      <c r="U479" s="110"/>
      <c r="V479" s="110"/>
      <c r="W479" s="110"/>
      <c r="X479" s="110"/>
    </row>
    <row r="480" spans="1:24" ht="13.5" customHeight="1">
      <c r="A480" s="110">
        <f>IF(E480="","",MATCH(E480,'Daily Sales'!B$4:B$51,0)+3)</f>
        <v>45</v>
      </c>
      <c r="B480" s="135">
        <v>46188</v>
      </c>
      <c r="C480" s="136" t="s">
        <v>105</v>
      </c>
      <c r="D480" s="137" t="str">
        <f t="array" ref="D480">IF($A480="","",INDEX('Daily Sales'!A:A,$A480))</f>
        <v>1-1214</v>
      </c>
      <c r="E480" s="138" t="s">
        <v>61</v>
      </c>
      <c r="F480" s="139" t="str">
        <f t="shared" si="3"/>
        <v>Bank BRI QR</v>
      </c>
      <c r="G480" s="140"/>
      <c r="H480" s="138">
        <f t="array" ref="H480">IF($A480="","",
  IF(
    OR(
      $A480=23,
      AND($A480&gt;=32,$A480&lt;=50)
    ),
    IFERROR(
      INDEX('Daily Sales'!$C:$AG,
        $A480,
        MATCH(TEXT($B480,"0"),TEXT('Daily Sales'!$C$2:$AG$2,"0"),0)
      ),
    ""),
  "")
)</f>
        <v>0</v>
      </c>
      <c r="I480" s="138" t="str">
        <f t="array" ref="I480">IF($A480="","",
  IF(
    OR(
      AND($A480&gt;=4,$A480&lt;=8),
      AND($A480&gt;=12,$A480&lt;=19),
      AND($A480&gt;=28,$A480&lt;=29)
    ),
    IFERROR(
      INDEX('Daily Sales'!$C:$AG,
        $A480,
        MATCH(TEXT($B480,"0"),TEXT('Daily Sales'!$C$2:$AG$2,"0"),0)
      ),
    ""),
  "")
)</f>
        <v/>
      </c>
      <c r="J480" s="79" t="e">
        <f t="shared" si="4"/>
        <v>#VALUE!</v>
      </c>
      <c r="K480" s="141"/>
      <c r="L480" s="141"/>
      <c r="M480" s="141"/>
      <c r="N480" s="133"/>
      <c r="O480" s="4"/>
      <c r="P480" s="4"/>
      <c r="Q480" s="4"/>
      <c r="R480" s="109"/>
      <c r="S480" s="109"/>
      <c r="T480" s="108"/>
      <c r="U480" s="110"/>
      <c r="V480" s="110"/>
      <c r="W480" s="110"/>
      <c r="X480" s="110"/>
    </row>
    <row r="481" spans="1:24" ht="13.5" customHeight="1">
      <c r="A481" s="110">
        <f>IF(E481="","",MATCH(E481,'Daily Sales'!B$4:B$51,0)+3)</f>
        <v>46</v>
      </c>
      <c r="B481" s="135">
        <v>46188</v>
      </c>
      <c r="C481" s="136" t="s">
        <v>105</v>
      </c>
      <c r="D481" s="137" t="str">
        <f t="array" ref="D481">IF($A481="","",INDEX('Daily Sales'!A:A,$A481))</f>
        <v>1-1202</v>
      </c>
      <c r="E481" s="138" t="s">
        <v>64</v>
      </c>
      <c r="F481" s="139" t="str">
        <f t="shared" si="3"/>
        <v>Ledger</v>
      </c>
      <c r="G481" s="140"/>
      <c r="H481" s="138">
        <f t="array" ref="H481">IF($A481="","",
  IF(
    OR(
      $A481=23,
      AND($A481&gt;=32,$A481&lt;=50)
    ),
    IFERROR(
      INDEX('Daily Sales'!$C:$AG,
        $A481,
        MATCH(TEXT($B481,"0"),TEXT('Daily Sales'!$C$2:$AG$2,"0"),0)
      ),
    ""),
  "")
)</f>
        <v>73563</v>
      </c>
      <c r="I481" s="138" t="str">
        <f t="array" ref="I481">IF($A481="","",
  IF(
    OR(
      AND($A481&gt;=4,$A481&lt;=8),
      AND($A481&gt;=12,$A481&lt;=19),
      AND($A481&gt;=28,$A481&lt;=29)
    ),
    IFERROR(
      INDEX('Daily Sales'!$C:$AG,
        $A481,
        MATCH(TEXT($B481,"0"),TEXT('Daily Sales'!$C$2:$AG$2,"0"),0)
      ),
    ""),
  "")
)</f>
        <v/>
      </c>
      <c r="J481" s="79" t="e">
        <f t="shared" si="4"/>
        <v>#VALUE!</v>
      </c>
      <c r="K481" s="141"/>
      <c r="L481" s="141"/>
      <c r="M481" s="141"/>
      <c r="N481" s="133"/>
      <c r="O481" s="4"/>
      <c r="P481" s="4"/>
      <c r="Q481" s="4"/>
      <c r="R481" s="109"/>
      <c r="S481" s="109"/>
      <c r="T481" s="108"/>
      <c r="U481" s="110"/>
      <c r="V481" s="110"/>
      <c r="W481" s="110"/>
      <c r="X481" s="110"/>
    </row>
    <row r="482" spans="1:24" ht="13.5" customHeight="1">
      <c r="A482" s="110">
        <f>IF(E482="","",MATCH(E482,'Daily Sales'!B$4:B$51,0)+3)</f>
        <v>47</v>
      </c>
      <c r="B482" s="135">
        <v>46188</v>
      </c>
      <c r="C482" s="136" t="s">
        <v>105</v>
      </c>
      <c r="D482" s="137" t="str">
        <f t="array" ref="D482">IF($A482="","",INDEX('Daily Sales'!A:A,$A482))</f>
        <v>1-1129</v>
      </c>
      <c r="E482" s="138" t="s">
        <v>66</v>
      </c>
      <c r="F482" s="139" t="str">
        <f t="shared" si="3"/>
        <v>Star Points</v>
      </c>
      <c r="G482" s="140"/>
      <c r="H482" s="138">
        <f t="array" ref="H482">IF($A482="","",
  IF(
    OR(
      $A482=23,
      AND($A482&gt;=32,$A482&lt;=50)
    ),
    IFERROR(
      INDEX('Daily Sales'!$C:$AG,
        $A482,
        MATCH(TEXT($B482,"0"),TEXT('Daily Sales'!$C$2:$AG$2,"0"),0)
      ),
    ""),
  "")
)</f>
        <v>0</v>
      </c>
      <c r="I482" s="138" t="str">
        <f t="array" ref="I482">IF($A482="","",
  IF(
    OR(
      AND($A482&gt;=4,$A482&lt;=8),
      AND($A482&gt;=12,$A482&lt;=19),
      AND($A482&gt;=28,$A482&lt;=29)
    ),
    IFERROR(
      INDEX('Daily Sales'!$C:$AG,
        $A482,
        MATCH(TEXT($B482,"0"),TEXT('Daily Sales'!$C$2:$AG$2,"0"),0)
      ),
    ""),
  "")
)</f>
        <v/>
      </c>
      <c r="J482" s="79" t="e">
        <f t="shared" si="4"/>
        <v>#VALUE!</v>
      </c>
      <c r="K482" s="141"/>
      <c r="L482" s="141"/>
      <c r="M482" s="141"/>
      <c r="N482" s="133"/>
      <c r="O482" s="4"/>
      <c r="P482" s="4"/>
      <c r="Q482" s="4"/>
      <c r="R482" s="109"/>
      <c r="S482" s="109"/>
      <c r="T482" s="108"/>
      <c r="U482" s="110"/>
      <c r="V482" s="110"/>
      <c r="W482" s="110"/>
      <c r="X482" s="110"/>
    </row>
    <row r="483" spans="1:24" ht="13.5" customHeight="1">
      <c r="A483" s="110">
        <f>IF(E483="","",MATCH(E483,'Daily Sales'!B$4:B$51,0)+3)</f>
        <v>48</v>
      </c>
      <c r="B483" s="135">
        <v>46188</v>
      </c>
      <c r="C483" s="136" t="s">
        <v>105</v>
      </c>
      <c r="D483" s="137" t="str">
        <f t="array" ref="D483">IF($A483="","",INDEX('Daily Sales'!A:A,$A483))</f>
        <v>1-1215</v>
      </c>
      <c r="E483" s="138" t="s">
        <v>68</v>
      </c>
      <c r="F483" s="139" t="str">
        <f t="shared" si="3"/>
        <v>Ovo</v>
      </c>
      <c r="G483" s="140"/>
      <c r="H483" s="138">
        <f t="array" ref="H483">IF($A483="","",
  IF(
    OR(
      $A483=23,
      AND($A483&gt;=32,$A483&lt;=50)
    ),
    IFERROR(
      INDEX('Daily Sales'!$C:$AG,
        $A483,
        MATCH(TEXT($B483,"0"),TEXT('Daily Sales'!$C$2:$AG$2,"0"),0)
      ),
    ""),
  "")
)</f>
        <v>0</v>
      </c>
      <c r="I483" s="138" t="str">
        <f t="array" ref="I483">IF($A483="","",
  IF(
    OR(
      AND($A483&gt;=4,$A483&lt;=8),
      AND($A483&gt;=12,$A483&lt;=19),
      AND($A483&gt;=28,$A483&lt;=29)
    ),
    IFERROR(
      INDEX('Daily Sales'!$C:$AG,
        $A483,
        MATCH(TEXT($B483,"0"),TEXT('Daily Sales'!$C$2:$AG$2,"0"),0)
      ),
    ""),
  "")
)</f>
        <v/>
      </c>
      <c r="J483" s="79" t="e">
        <f t="shared" si="4"/>
        <v>#VALUE!</v>
      </c>
      <c r="K483" s="141"/>
      <c r="L483" s="141"/>
      <c r="M483" s="141"/>
      <c r="N483" s="133"/>
      <c r="O483" s="4"/>
      <c r="P483" s="4"/>
      <c r="Q483" s="4"/>
      <c r="R483" s="109"/>
      <c r="S483" s="109"/>
      <c r="T483" s="108"/>
      <c r="U483" s="110"/>
      <c r="V483" s="110"/>
      <c r="W483" s="110"/>
      <c r="X483" s="110"/>
    </row>
    <row r="484" spans="1:24" ht="13.5" customHeight="1">
      <c r="A484" s="110">
        <f>IF(E484="","",MATCH(E484,'Daily Sales'!B$4:B$51,0)+3)</f>
        <v>49</v>
      </c>
      <c r="B484" s="135">
        <v>46188</v>
      </c>
      <c r="C484" s="136" t="s">
        <v>105</v>
      </c>
      <c r="D484" s="137" t="str">
        <f t="array" ref="D484">IF($A484="","",INDEX('Daily Sales'!A:A,$A484))</f>
        <v>1-1211</v>
      </c>
      <c r="E484" s="138" t="s">
        <v>70</v>
      </c>
      <c r="F484" s="139" t="str">
        <f t="shared" si="3"/>
        <v>Gopay</v>
      </c>
      <c r="G484" s="140"/>
      <c r="H484" s="138">
        <f t="array" ref="H484">IF($A484="","",
  IF(
    OR(
      $A484=23,
      AND($A484&gt;=32,$A484&lt;=50)
    ),
    IFERROR(
      INDEX('Daily Sales'!$C:$AG,
        $A484,
        MATCH(TEXT($B484,"0"),TEXT('Daily Sales'!$C$2:$AG$2,"0"),0)
      ),
    ""),
  "")
)</f>
        <v>0</v>
      </c>
      <c r="I484" s="138" t="str">
        <f t="array" ref="I484">IF($A484="","",
  IF(
    OR(
      AND($A484&gt;=4,$A484&lt;=8),
      AND($A484&gt;=12,$A484&lt;=19),
      AND($A484&gt;=28,$A484&lt;=29)
    ),
    IFERROR(
      INDEX('Daily Sales'!$C:$AG,
        $A484,
        MATCH(TEXT($B484,"0"),TEXT('Daily Sales'!$C$2:$AG$2,"0"),0)
      ),
    ""),
  "")
)</f>
        <v/>
      </c>
      <c r="J484" s="79" t="e">
        <f t="shared" si="4"/>
        <v>#VALUE!</v>
      </c>
      <c r="K484" s="141"/>
      <c r="L484" s="141"/>
      <c r="M484" s="141"/>
      <c r="N484" s="133"/>
      <c r="O484" s="4"/>
      <c r="P484" s="4"/>
      <c r="Q484" s="4"/>
      <c r="R484" s="109"/>
      <c r="S484" s="109"/>
      <c r="T484" s="108"/>
      <c r="U484" s="110"/>
      <c r="V484" s="110"/>
      <c r="W484" s="110"/>
      <c r="X484" s="110"/>
    </row>
    <row r="485" spans="1:24" ht="13.5" customHeight="1">
      <c r="A485" s="110">
        <f>IF(E485="","",MATCH(E485,'Daily Sales'!B$4:B$51,0)+3)</f>
        <v>50</v>
      </c>
      <c r="B485" s="135">
        <v>46188</v>
      </c>
      <c r="C485" s="136" t="s">
        <v>105</v>
      </c>
      <c r="D485" s="137" t="str">
        <f t="array" ref="D485">IF($A485="","",INDEX('Daily Sales'!A:A,$A485))</f>
        <v>2-2110</v>
      </c>
      <c r="E485" s="138" t="s">
        <v>72</v>
      </c>
      <c r="F485" s="139" t="str">
        <f t="shared" si="3"/>
        <v>Cash Short/Over</v>
      </c>
      <c r="G485" s="140"/>
      <c r="H485" s="138">
        <f t="array" ref="H485">IF($A485="","",
  IF(
    OR(
      $A485=23,
      AND($A485&gt;=32,$A485&lt;=50)
    ),
    IFERROR(
      INDEX('Daily Sales'!$C:$AG,
        $A485,
        MATCH(TEXT($B485,"0"),TEXT('Daily Sales'!$C$2:$AG$2,"0"),0)
      ),
    ""),
  "")
)</f>
        <v>-23207.88</v>
      </c>
      <c r="I485" s="138" t="str">
        <f t="array" ref="I485">IF($A485="","",
  IF(
    OR(
      AND($A485&gt;=4,$A485&lt;=8),
      AND($A485&gt;=12,$A485&lt;=19),
      AND($A485&gt;=28,$A485&lt;=29)
    ),
    IFERROR(
      INDEX('Daily Sales'!$C:$AG,
        $A485,
        MATCH(TEXT($B485,"0"),TEXT('Daily Sales'!$C$2:$AG$2,"0"),0)
      ),
    ""),
  "")
)</f>
        <v/>
      </c>
      <c r="J485" s="79" t="e">
        <f t="shared" si="4"/>
        <v>#VALUE!</v>
      </c>
      <c r="K485" s="141"/>
      <c r="L485" s="141"/>
      <c r="M485" s="141"/>
      <c r="N485" s="133"/>
      <c r="O485" s="4"/>
      <c r="P485" s="4"/>
      <c r="Q485" s="4"/>
      <c r="R485" s="109"/>
      <c r="S485" s="109"/>
      <c r="T485" s="108"/>
      <c r="U485" s="110"/>
      <c r="V485" s="110"/>
      <c r="W485" s="110"/>
      <c r="X485" s="110"/>
    </row>
    <row r="486" spans="1:24" ht="14.25" customHeight="1">
      <c r="A486" s="110"/>
      <c r="B486" s="125"/>
      <c r="C486" s="126"/>
      <c r="D486" s="15"/>
      <c r="E486" s="10" t="e">
        <f>TRIM(VLOOKUP(D486,TB!$B$9:$C$1500,2,FALSE))</f>
        <v>#N/A</v>
      </c>
      <c r="F486" s="142"/>
      <c r="G486" s="130"/>
      <c r="H486" s="10"/>
      <c r="I486" s="10"/>
      <c r="J486" s="79" t="e">
        <f t="shared" si="4"/>
        <v>#VALUE!</v>
      </c>
      <c r="K486" s="107"/>
      <c r="L486" s="141"/>
      <c r="M486" s="141"/>
      <c r="N486" s="133"/>
      <c r="O486" s="4"/>
      <c r="P486" s="4"/>
      <c r="Q486" s="4"/>
      <c r="R486" s="134"/>
      <c r="S486" s="109"/>
      <c r="T486" s="108"/>
      <c r="U486" s="110"/>
      <c r="V486" s="110"/>
      <c r="W486" s="110"/>
      <c r="X486" s="110"/>
    </row>
    <row r="487" spans="1:24" ht="13.5" customHeight="1">
      <c r="A487" s="110">
        <f>IF(E487="","",MATCH(E487,'Daily Sales'!B$4:B$51,0)+3)</f>
        <v>4</v>
      </c>
      <c r="B487" s="135">
        <v>46189</v>
      </c>
      <c r="C487" s="136" t="s">
        <v>106</v>
      </c>
      <c r="D487" s="137" t="str">
        <f t="array" ref="D487">IF($A487="","",INDEX('Daily Sales'!A:A,$A487))</f>
        <v>4-2100</v>
      </c>
      <c r="E487" s="138" t="s">
        <v>5</v>
      </c>
      <c r="F487" s="139" t="str">
        <f t="shared" ref="F487:F517" si="5">E487</f>
        <v>Sales Food TERRACE</v>
      </c>
      <c r="G487" s="140"/>
      <c r="H487" s="138" t="str">
        <f t="array" ref="H487">IF($A487="","",
  IF(
    OR(
      $A487=23,
      AND($A487&gt;=32,$A487&lt;=50)
    ),
    IFERROR(
      INDEX('Daily Sales'!$C:$AG,
        $A487,
        MATCH(TEXT($B487,"0"),TEXT('Daily Sales'!$C$2:$AG$2,"0"),0)
      ),
    ""),
  "")
)</f>
        <v/>
      </c>
      <c r="I487" s="138">
        <f t="array" ref="I487">IF($A487="","",
  IF(
    OR(
      AND($A487&gt;=4,$A487&lt;=8),
      AND($A487&gt;=12,$A487&lt;=19),
      AND($A487&gt;=28,$A487&lt;=29)
    ),
    IFERROR(
      INDEX('Daily Sales'!$C:$AG,
        $A487,
        MATCH(TEXT($B487,"0"),TEXT('Daily Sales'!$C$2:$AG$2,"0"),0)
      ),
    ""),
  "")
)</f>
        <v>7796750</v>
      </c>
      <c r="J487" s="79" t="e">
        <f t="shared" si="4"/>
        <v>#VALUE!</v>
      </c>
      <c r="K487" s="141"/>
      <c r="L487" s="141"/>
      <c r="M487" s="141"/>
      <c r="N487" s="133"/>
      <c r="O487" s="4"/>
      <c r="P487" s="4"/>
      <c r="Q487" s="4"/>
      <c r="R487" s="109"/>
      <c r="S487" s="109"/>
      <c r="T487" s="108"/>
      <c r="U487" s="110"/>
      <c r="V487" s="110"/>
      <c r="W487" s="110"/>
      <c r="X487" s="110"/>
    </row>
    <row r="488" spans="1:24" ht="13.5" customHeight="1">
      <c r="A488" s="110">
        <f>IF(E488="","",MATCH(E488,'Daily Sales'!B$4:B$51,0)+3)</f>
        <v>5</v>
      </c>
      <c r="B488" s="135">
        <v>46189</v>
      </c>
      <c r="C488" s="136" t="s">
        <v>106</v>
      </c>
      <c r="D488" s="137" t="str">
        <f t="array" ref="D488">IF($A488="","",INDEX('Daily Sales'!A:A,$A488))</f>
        <v>4-2200</v>
      </c>
      <c r="E488" s="138" t="s">
        <v>7</v>
      </c>
      <c r="F488" s="139" t="str">
        <f t="shared" si="5"/>
        <v>Sales Beverages TERRACE</v>
      </c>
      <c r="G488" s="140"/>
      <c r="H488" s="138" t="str">
        <f t="array" ref="H488">IF($A488="","",
  IF(
    OR(
      $A488=23,
      AND($A488&gt;=32,$A488&lt;=50)
    ),
    IFERROR(
      INDEX('Daily Sales'!$C:$AG,
        $A488,
        MATCH(TEXT($B488,"0"),TEXT('Daily Sales'!$C$2:$AG$2,"0"),0)
      ),
    ""),
  "")
)</f>
        <v/>
      </c>
      <c r="I488" s="138">
        <f t="array" ref="I488">IF($A488="","",
  IF(
    OR(
      AND($A488&gt;=4,$A488&lt;=8),
      AND($A488&gt;=12,$A488&lt;=19),
      AND($A488&gt;=28,$A488&lt;=29)
    ),
    IFERROR(
      INDEX('Daily Sales'!$C:$AG,
        $A488,
        MATCH(TEXT($B488,"0"),TEXT('Daily Sales'!$C$2:$AG$2,"0"),0)
      ),
    ""),
  "")
)</f>
        <v>8883000</v>
      </c>
      <c r="J488" s="79" t="e">
        <f t="shared" si="4"/>
        <v>#VALUE!</v>
      </c>
      <c r="K488" s="141"/>
      <c r="L488" s="141"/>
      <c r="M488" s="141"/>
      <c r="N488" s="133"/>
      <c r="O488" s="4"/>
      <c r="P488" s="4"/>
      <c r="Q488" s="4"/>
      <c r="R488" s="109"/>
      <c r="S488" s="109"/>
      <c r="T488" s="108"/>
      <c r="U488" s="110"/>
      <c r="V488" s="110"/>
      <c r="W488" s="110"/>
      <c r="X488" s="110"/>
    </row>
    <row r="489" spans="1:24" ht="13.5" customHeight="1">
      <c r="A489" s="110">
        <f>IF(E489="","",MATCH(E489,'Daily Sales'!B$4:B$51,0)+3)</f>
        <v>6</v>
      </c>
      <c r="B489" s="135">
        <v>46189</v>
      </c>
      <c r="C489" s="136" t="s">
        <v>106</v>
      </c>
      <c r="D489" s="137" t="str">
        <f t="array" ref="D489">IF($A489="","",INDEX('Daily Sales'!A:A,$A489))</f>
        <v>4-2400</v>
      </c>
      <c r="E489" s="138" t="s">
        <v>9</v>
      </c>
      <c r="F489" s="139" t="str">
        <f t="shared" si="5"/>
        <v>Sales Cigarette TERRACE</v>
      </c>
      <c r="G489" s="140"/>
      <c r="H489" s="138" t="str">
        <f t="array" ref="H489">IF($A489="","",
  IF(
    OR(
      $A489=23,
      AND($A489&gt;=32,$A489&lt;=50)
    ),
    IFERROR(
      INDEX('Daily Sales'!$C:$AG,
        $A489,
        MATCH(TEXT($B489,"0"),TEXT('Daily Sales'!$C$2:$AG$2,"0"),0)
      ),
    ""),
  "")
)</f>
        <v/>
      </c>
      <c r="I489" s="138">
        <f t="array" ref="I489">IF($A489="","",
  IF(
    OR(
      AND($A489&gt;=4,$A489&lt;=8),
      AND($A489&gt;=12,$A489&lt;=19),
      AND($A489&gt;=28,$A489&lt;=29)
    ),
    IFERROR(
      INDEX('Daily Sales'!$C:$AG,
        $A489,
        MATCH(TEXT($B489,"0"),TEXT('Daily Sales'!$C$2:$AG$2,"0"),0)
      ),
    ""),
  "")
)</f>
        <v>140000</v>
      </c>
      <c r="J489" s="79" t="e">
        <f t="shared" si="4"/>
        <v>#VALUE!</v>
      </c>
      <c r="K489" s="141"/>
      <c r="L489" s="141"/>
      <c r="M489" s="141"/>
      <c r="N489" s="133"/>
      <c r="O489" s="4"/>
      <c r="P489" s="4"/>
      <c r="Q489" s="4"/>
      <c r="R489" s="109"/>
      <c r="S489" s="109"/>
      <c r="T489" s="108"/>
      <c r="U489" s="110"/>
      <c r="V489" s="110"/>
      <c r="W489" s="110"/>
      <c r="X489" s="110"/>
    </row>
    <row r="490" spans="1:24" ht="13.5" customHeight="1">
      <c r="A490" s="110">
        <f>IF(E490="","",MATCH(E490,'Daily Sales'!B$4:B$51,0)+3)</f>
        <v>7</v>
      </c>
      <c r="B490" s="135">
        <v>46189</v>
      </c>
      <c r="C490" s="136" t="s">
        <v>106</v>
      </c>
      <c r="D490" s="137" t="str">
        <f t="array" ref="D490">IF($A490="","",INDEX('Daily Sales'!A:A,$A490))</f>
        <v>4-2300</v>
      </c>
      <c r="E490" s="138" t="s">
        <v>11</v>
      </c>
      <c r="F490" s="139" t="str">
        <f t="shared" si="5"/>
        <v>Sales Shisa TERRACE</v>
      </c>
      <c r="G490" s="140"/>
      <c r="H490" s="138" t="str">
        <f t="array" ref="H490">IF($A490="","",
  IF(
    OR(
      $A490=23,
      AND($A490&gt;=32,$A490&lt;=50)
    ),
    IFERROR(
      INDEX('Daily Sales'!$C:$AG,
        $A490,
        MATCH(TEXT($B490,"0"),TEXT('Daily Sales'!$C$2:$AG$2,"0"),0)
      ),
    ""),
  "")
)</f>
        <v/>
      </c>
      <c r="I490" s="138">
        <f t="array" ref="I490">IF($A490="","",
  IF(
    OR(
      AND($A490&gt;=4,$A490&lt;=8),
      AND($A490&gt;=12,$A490&lt;=19),
      AND($A490&gt;=28,$A490&lt;=29)
    ),
    IFERROR(
      INDEX('Daily Sales'!$C:$AG,
        $A490,
        MATCH(TEXT($B490,"0"),TEXT('Daily Sales'!$C$2:$AG$2,"0"),0)
      ),
    ""),
  "")
)</f>
        <v>250000</v>
      </c>
      <c r="J490" s="79" t="e">
        <f t="shared" si="4"/>
        <v>#VALUE!</v>
      </c>
      <c r="K490" s="141"/>
      <c r="L490" s="141"/>
      <c r="M490" s="141"/>
      <c r="N490" s="133"/>
      <c r="O490" s="4"/>
      <c r="P490" s="4"/>
      <c r="Q490" s="4"/>
      <c r="R490" s="109"/>
      <c r="S490" s="109"/>
      <c r="T490" s="108"/>
      <c r="U490" s="110"/>
      <c r="V490" s="110"/>
      <c r="W490" s="110"/>
      <c r="X490" s="110"/>
    </row>
    <row r="491" spans="1:24" ht="13.5" customHeight="1">
      <c r="A491" s="110">
        <f>IF(E491="","",MATCH(E491,'Daily Sales'!B$4:B$51,0)+3)</f>
        <v>12</v>
      </c>
      <c r="B491" s="135">
        <v>46189</v>
      </c>
      <c r="C491" s="136" t="s">
        <v>106</v>
      </c>
      <c r="D491" s="137" t="str">
        <f t="array" ref="D491">IF($A491="","",INDEX('Daily Sales'!A:A,$A491))</f>
        <v>4-2200</v>
      </c>
      <c r="E491" s="138" t="s">
        <v>17</v>
      </c>
      <c r="F491" s="139" t="str">
        <f t="shared" si="5"/>
        <v>Sales Beverages CLUB</v>
      </c>
      <c r="G491" s="140"/>
      <c r="H491" s="138" t="str">
        <f t="array" ref="H491">IF($A491="","",
  IF(
    OR(
      $A491=23,
      AND($A491&gt;=32,$A491&lt;=50)
    ),
    IFERROR(
      INDEX('Daily Sales'!$C:$AG,
        $A491,
        MATCH(TEXT($B491,"0"),TEXT('Daily Sales'!$C$2:$AG$2,"0"),0)
      ),
    ""),
  "")
)</f>
        <v/>
      </c>
      <c r="I491" s="138">
        <f t="array" ref="I491">IF($A491="","",
  IF(
    OR(
      AND($A491&gt;=4,$A491&lt;=8),
      AND($A491&gt;=12,$A491&lt;=19),
      AND($A491&gt;=28,$A491&lt;=29)
    ),
    IFERROR(
      INDEX('Daily Sales'!$C:$AG,
        $A491,
        MATCH(TEXT($B491,"0"),TEXT('Daily Sales'!$C$2:$AG$2,"0"),0)
      ),
    ""),
  "")
)</f>
        <v>35500000</v>
      </c>
      <c r="J491" s="79" t="e">
        <f t="shared" si="4"/>
        <v>#VALUE!</v>
      </c>
      <c r="K491" s="141"/>
      <c r="L491" s="141"/>
      <c r="M491" s="141"/>
      <c r="N491" s="133"/>
      <c r="O491" s="4"/>
      <c r="P491" s="4"/>
      <c r="Q491" s="4"/>
      <c r="R491" s="109"/>
      <c r="S491" s="109"/>
      <c r="T491" s="108"/>
      <c r="U491" s="110"/>
      <c r="V491" s="110"/>
      <c r="W491" s="110"/>
      <c r="X491" s="110"/>
    </row>
    <row r="492" spans="1:24" ht="13.5" customHeight="1">
      <c r="A492" s="110">
        <f>IF(E492="","",MATCH(E492,'Daily Sales'!B$4:B$51,0)+3)</f>
        <v>13</v>
      </c>
      <c r="B492" s="135">
        <v>46189</v>
      </c>
      <c r="C492" s="136" t="s">
        <v>106</v>
      </c>
      <c r="D492" s="137" t="str">
        <f t="array" ref="D492">IF($A492="","",INDEX('Daily Sales'!A:A,$A492))</f>
        <v>4-2400</v>
      </c>
      <c r="E492" s="138" t="s">
        <v>18</v>
      </c>
      <c r="F492" s="139" t="str">
        <f t="shared" si="5"/>
        <v>Sales Cigarette CLUB</v>
      </c>
      <c r="G492" s="140"/>
      <c r="H492" s="138" t="str">
        <f t="array" ref="H492">IF($A492="","",
  IF(
    OR(
      $A492=23,
      AND($A492&gt;=32,$A492&lt;=50)
    ),
    IFERROR(
      INDEX('Daily Sales'!$C:$AG,
        $A492,
        MATCH(TEXT($B492,"0"),TEXT('Daily Sales'!$C$2:$AG$2,"0"),0)
      ),
    ""),
  "")
)</f>
        <v/>
      </c>
      <c r="I492" s="138">
        <f t="array" ref="I492">IF($A492="","",
  IF(
    OR(
      AND($A492&gt;=4,$A492&lt;=8),
      AND($A492&gt;=12,$A492&lt;=19),
      AND($A492&gt;=28,$A492&lt;=29)
    ),
    IFERROR(
      INDEX('Daily Sales'!$C:$AG,
        $A492,
        MATCH(TEXT($B492,"0"),TEXT('Daily Sales'!$C$2:$AG$2,"0"),0)
      ),
    ""),
  "")
)</f>
        <v>560000</v>
      </c>
      <c r="J492" s="79" t="e">
        <f t="shared" si="4"/>
        <v>#VALUE!</v>
      </c>
      <c r="K492" s="141"/>
      <c r="L492" s="141"/>
      <c r="M492" s="141"/>
      <c r="N492" s="133"/>
      <c r="O492" s="4"/>
      <c r="P492" s="4"/>
      <c r="Q492" s="4"/>
      <c r="R492" s="109"/>
      <c r="S492" s="109"/>
      <c r="T492" s="108"/>
      <c r="U492" s="110"/>
      <c r="V492" s="110"/>
      <c r="W492" s="110"/>
      <c r="X492" s="110"/>
    </row>
    <row r="493" spans="1:24" ht="13.5" customHeight="1">
      <c r="A493" s="110">
        <f>IF(E493="","",MATCH(E493,'Daily Sales'!B$4:B$51,0)+3)</f>
        <v>14</v>
      </c>
      <c r="B493" s="135">
        <v>46189</v>
      </c>
      <c r="C493" s="136" t="s">
        <v>106</v>
      </c>
      <c r="D493" s="137" t="str">
        <f t="array" ref="D493">IF($A493="","",INDEX('Daily Sales'!A:A,$A493))</f>
        <v>4-2100</v>
      </c>
      <c r="E493" s="138" t="s">
        <v>19</v>
      </c>
      <c r="F493" s="139" t="str">
        <f t="shared" si="5"/>
        <v>Sales Food CLUB</v>
      </c>
      <c r="G493" s="140"/>
      <c r="H493" s="138" t="str">
        <f t="array" ref="H493">IF($A493="","",
  IF(
    OR(
      $A493=23,
      AND($A493&gt;=32,$A493&lt;=50)
    ),
    IFERROR(
      INDEX('Daily Sales'!$C:$AG,
        $A493,
        MATCH(TEXT($B493,"0"),TEXT('Daily Sales'!$C$2:$AG$2,"0"),0)
      ),
    ""),
  "")
)</f>
        <v/>
      </c>
      <c r="I493" s="138">
        <f t="array" ref="I493">IF($A493="","",
  IF(
    OR(
      AND($A493&gt;=4,$A493&lt;=8),
      AND($A493&gt;=12,$A493&lt;=19),
      AND($A493&gt;=28,$A493&lt;=29)
    ),
    IFERROR(
      INDEX('Daily Sales'!$C:$AG,
        $A493,
        MATCH(TEXT($B493,"0"),TEXT('Daily Sales'!$C$2:$AG$2,"0"),0)
      ),
    ""),
  "")
)</f>
        <v>390000</v>
      </c>
      <c r="J493" s="79" t="e">
        <f t="shared" si="4"/>
        <v>#VALUE!</v>
      </c>
      <c r="K493" s="141"/>
      <c r="L493" s="141"/>
      <c r="M493" s="141"/>
      <c r="N493" s="133"/>
      <c r="O493" s="4"/>
      <c r="P493" s="4"/>
      <c r="Q493" s="4"/>
      <c r="R493" s="109"/>
      <c r="S493" s="109"/>
      <c r="T493" s="108"/>
      <c r="U493" s="110"/>
      <c r="V493" s="110"/>
      <c r="W493" s="110"/>
      <c r="X493" s="110"/>
    </row>
    <row r="494" spans="1:24" ht="13.5" customHeight="1">
      <c r="A494" s="110">
        <f>IF(E494="","",MATCH(E494,'Daily Sales'!B$4:B$51,0)+3)</f>
        <v>15</v>
      </c>
      <c r="B494" s="135">
        <v>46189</v>
      </c>
      <c r="C494" s="136" t="s">
        <v>106</v>
      </c>
      <c r="D494" s="137" t="str">
        <f t="array" ref="D494">IF($A494="","",INDEX('Daily Sales'!A:A,$A494))</f>
        <v>4-2300</v>
      </c>
      <c r="E494" s="138" t="s">
        <v>20</v>
      </c>
      <c r="F494" s="139" t="str">
        <f t="shared" si="5"/>
        <v>Sales Shisa CLUB</v>
      </c>
      <c r="G494" s="140"/>
      <c r="H494" s="138" t="str">
        <f t="array" ref="H494">IF($A494="","",
  IF(
    OR(
      $A494=23,
      AND($A494&gt;=32,$A494&lt;=50)
    ),
    IFERROR(
      INDEX('Daily Sales'!$C:$AG,
        $A494,
        MATCH(TEXT($B494,"0"),TEXT('Daily Sales'!$C$2:$AG$2,"0"),0)
      ),
    ""),
  "")
)</f>
        <v/>
      </c>
      <c r="I494" s="138">
        <f t="array" ref="I494">IF($A494="","",
  IF(
    OR(
      AND($A494&gt;=4,$A494&lt;=8),
      AND($A494&gt;=12,$A494&lt;=19),
      AND($A494&gt;=28,$A494&lt;=29)
    ),
    IFERROR(
      INDEX('Daily Sales'!$C:$AG,
        $A494,
        MATCH(TEXT($B494,"0"),TEXT('Daily Sales'!$C$2:$AG$2,"0"),0)
      ),
    ""),
  "")
)</f>
        <v>250000</v>
      </c>
      <c r="J494" s="79" t="e">
        <f t="shared" si="4"/>
        <v>#VALUE!</v>
      </c>
      <c r="K494" s="141"/>
      <c r="L494" s="141"/>
      <c r="M494" s="141"/>
      <c r="N494" s="133"/>
      <c r="O494" s="4"/>
      <c r="P494" s="4"/>
      <c r="Q494" s="4"/>
      <c r="R494" s="109"/>
      <c r="S494" s="109"/>
      <c r="T494" s="108"/>
      <c r="U494" s="110"/>
      <c r="V494" s="110"/>
      <c r="W494" s="110"/>
      <c r="X494" s="110"/>
    </row>
    <row r="495" spans="1:24" ht="13.5" customHeight="1">
      <c r="A495" s="110">
        <f>IF(E495="","",MATCH(E495,'Daily Sales'!B$4:B$51,0)+3)</f>
        <v>17</v>
      </c>
      <c r="B495" s="135">
        <v>46189</v>
      </c>
      <c r="C495" s="136" t="s">
        <v>106</v>
      </c>
      <c r="D495" s="137" t="str">
        <f t="array" ref="D495">IF($A495="","",INDEX('Daily Sales'!A:A,$A495))</f>
        <v>4-2601</v>
      </c>
      <c r="E495" s="138" t="s">
        <v>23</v>
      </c>
      <c r="F495" s="139" t="str">
        <f t="shared" si="5"/>
        <v xml:space="preserve">Misc </v>
      </c>
      <c r="G495" s="140"/>
      <c r="H495" s="138" t="str">
        <f t="array" ref="H495">IF($A495="","",
  IF(
    OR(
      $A495=23,
      AND($A495&gt;=32,$A495&lt;=50)
    ),
    IFERROR(
      INDEX('Daily Sales'!$C:$AG,
        $A495,
        MATCH(TEXT($B495,"0"),TEXT('Daily Sales'!$C$2:$AG$2,"0"),0)
      ),
    ""),
  "")
)</f>
        <v/>
      </c>
      <c r="I495" s="138">
        <f t="array" ref="I495">IF($A495="","",
  IF(
    OR(
      AND($A495&gt;=4,$A495&lt;=8),
      AND($A495&gt;=12,$A495&lt;=19),
      AND($A495&gt;=28,$A495&lt;=29)
    ),
    IFERROR(
      INDEX('Daily Sales'!$C:$AG,
        $A495,
        MATCH(TEXT($B495,"0"),TEXT('Daily Sales'!$C$2:$AG$2,"0"),0)
      ),
    ""),
  "")
)</f>
        <v>0</v>
      </c>
      <c r="J495" s="79" t="e">
        <f t="shared" si="4"/>
        <v>#VALUE!</v>
      </c>
      <c r="K495" s="141"/>
      <c r="L495" s="141"/>
      <c r="M495" s="141"/>
      <c r="N495" s="133"/>
      <c r="O495" s="4"/>
      <c r="P495" s="4"/>
      <c r="Q495" s="4"/>
      <c r="R495" s="109"/>
      <c r="S495" s="109"/>
      <c r="T495" s="108"/>
      <c r="U495" s="110"/>
      <c r="V495" s="110"/>
      <c r="W495" s="110"/>
      <c r="X495" s="110"/>
    </row>
    <row r="496" spans="1:24" ht="13.5" customHeight="1">
      <c r="A496" s="110">
        <f>IF(E496="","",MATCH(E496,'Daily Sales'!B$4:B$51,0)+3)</f>
        <v>19</v>
      </c>
      <c r="B496" s="135">
        <v>46189</v>
      </c>
      <c r="C496" s="136" t="s">
        <v>106</v>
      </c>
      <c r="D496" s="137" t="str">
        <f t="array" ref="D496">IF($A496="","",INDEX('Daily Sales'!A:A,$A496))</f>
        <v>4-2500</v>
      </c>
      <c r="E496" s="138" t="s">
        <v>26</v>
      </c>
      <c r="F496" s="139" t="str">
        <f t="shared" si="5"/>
        <v>Sales Ticket</v>
      </c>
      <c r="G496" s="140"/>
      <c r="H496" s="138" t="str">
        <f t="array" ref="H496">IF($A496="","",
  IF(
    OR(
      $A496=23,
      AND($A496&gt;=32,$A496&lt;=50)
    ),
    IFERROR(
      INDEX('Daily Sales'!$C:$AG,
        $A496,
        MATCH(TEXT($B496,"0"),TEXT('Daily Sales'!$C$2:$AG$2,"0"),0)
      ),
    ""),
  "")
)</f>
        <v/>
      </c>
      <c r="I496" s="138">
        <f t="array" ref="I496">IF($A496="","",
  IF(
    OR(
      AND($A496&gt;=4,$A496&lt;=8),
      AND($A496&gt;=12,$A496&lt;=19),
      AND($A496&gt;=28,$A496&lt;=29)
    ),
    IFERROR(
      INDEX('Daily Sales'!$C:$AG,
        $A496,
        MATCH(TEXT($B496,"0"),TEXT('Daily Sales'!$C$2:$AG$2,"0"),0)
      ),
    ""),
  "")
)</f>
        <v>11384908</v>
      </c>
      <c r="J496" s="79" t="e">
        <f t="shared" si="4"/>
        <v>#VALUE!</v>
      </c>
      <c r="K496" s="141"/>
      <c r="L496" s="141"/>
      <c r="M496" s="141"/>
      <c r="N496" s="133"/>
      <c r="O496" s="4"/>
      <c r="P496" s="4"/>
      <c r="Q496" s="4"/>
      <c r="R496" s="109"/>
      <c r="S496" s="109"/>
      <c r="T496" s="108"/>
      <c r="U496" s="110"/>
      <c r="V496" s="110"/>
      <c r="W496" s="110"/>
      <c r="X496" s="110"/>
    </row>
    <row r="497" spans="1:24" ht="13.5" customHeight="1">
      <c r="A497" s="110">
        <f>IF(E497="","",MATCH(E497,'Daily Sales'!B$4:B$51,0)+3)</f>
        <v>28</v>
      </c>
      <c r="B497" s="135">
        <v>46189</v>
      </c>
      <c r="C497" s="136" t="s">
        <v>106</v>
      </c>
      <c r="D497" s="137" t="str">
        <f t="array" ref="D497">IF($A497="","",INDEX('Daily Sales'!A:A,$A497))</f>
        <v>2-2106</v>
      </c>
      <c r="E497" s="138" t="s">
        <v>35</v>
      </c>
      <c r="F497" s="139" t="str">
        <f t="shared" si="5"/>
        <v>Service Charges 7%</v>
      </c>
      <c r="G497" s="140"/>
      <c r="H497" s="138" t="str">
        <f t="array" ref="H497">IF($A497="","",
  IF(
    OR(
      $A497=23,
      AND($A497&gt;=32,$A497&lt;=50)
    ),
    IFERROR(
      INDEX('Daily Sales'!$C:$AG,
        $A497,
        MATCH(TEXT($B497,"0"),TEXT('Daily Sales'!$C$2:$AG$2,"0"),0)
      ),
    ""),
  "")
)</f>
        <v/>
      </c>
      <c r="I497" s="138">
        <f t="array" ref="I497">IF($A497="","",
  IF(
    OR(
      AND($A497&gt;=4,$A497&lt;=8),
      AND($A497&gt;=12,$A497&lt;=19),
      AND($A497&gt;=28,$A497&lt;=29)
    ),
    IFERROR(
      INDEX('Daily Sales'!$C:$AG,
        $A497,
        MATCH(TEXT($B497,"0"),TEXT('Daily Sales'!$C$2:$AG$2,"0"),0)
      ),
    ""),
  "")
)</f>
        <v>4360364</v>
      </c>
      <c r="J497" s="79" t="e">
        <f t="shared" si="4"/>
        <v>#VALUE!</v>
      </c>
      <c r="K497" s="141"/>
      <c r="L497" s="141"/>
      <c r="M497" s="141"/>
      <c r="N497" s="133"/>
      <c r="O497" s="4"/>
      <c r="P497" s="4"/>
      <c r="Q497" s="4"/>
      <c r="R497" s="109"/>
      <c r="S497" s="109"/>
      <c r="T497" s="108"/>
      <c r="U497" s="110"/>
      <c r="V497" s="110"/>
      <c r="W497" s="110"/>
      <c r="X497" s="110"/>
    </row>
    <row r="498" spans="1:24" ht="13.5" customHeight="1">
      <c r="A498" s="110">
        <f>IF(E498="","",MATCH(E498,'Daily Sales'!B$4:B$51,0)+3)</f>
        <v>29</v>
      </c>
      <c r="B498" s="135">
        <v>46189</v>
      </c>
      <c r="C498" s="136" t="s">
        <v>106</v>
      </c>
      <c r="D498" s="137" t="str">
        <f t="array" ref="D498">IF($A498="","",INDEX('Daily Sales'!A:A,$A498))</f>
        <v>2-3101</v>
      </c>
      <c r="E498" s="138" t="s">
        <v>37</v>
      </c>
      <c r="F498" s="139" t="str">
        <f t="shared" si="5"/>
        <v>Tax PB1 10%</v>
      </c>
      <c r="G498" s="140"/>
      <c r="H498" s="138" t="str">
        <f t="array" ref="H498">IF($A498="","",
  IF(
    OR(
      $A498=23,
      AND($A498&gt;=32,$A498&lt;=50)
    ),
    IFERROR(
      INDEX('Daily Sales'!$C:$AG,
        $A498,
        MATCH(TEXT($B498,"0"),TEXT('Daily Sales'!$C$2:$AG$2,"0"),0)
      ),
    ""),
  "")
)</f>
        <v/>
      </c>
      <c r="I498" s="138">
        <f t="array" ref="I498">IF($A498="","",
  IF(
    OR(
      AND($A498&gt;=4,$A498&lt;=8),
      AND($A498&gt;=12,$A498&lt;=19),
      AND($A498&gt;=28,$A498&lt;=29)
    ),
    IFERROR(
      INDEX('Daily Sales'!$C:$AG,
        $A498,
        MATCH(TEXT($B498,"0"),TEXT('Daily Sales'!$C$2:$AG$2,"0"),0)
      ),
    ""),
  "")
)</f>
        <v>6665127</v>
      </c>
      <c r="J498" s="79" t="e">
        <f t="shared" si="4"/>
        <v>#VALUE!</v>
      </c>
      <c r="K498" s="141"/>
      <c r="L498" s="141"/>
      <c r="M498" s="141"/>
      <c r="N498" s="133"/>
      <c r="O498" s="4"/>
      <c r="P498" s="4"/>
      <c r="Q498" s="4"/>
      <c r="R498" s="109"/>
      <c r="S498" s="109"/>
      <c r="T498" s="108"/>
      <c r="U498" s="110"/>
      <c r="V498" s="110"/>
      <c r="W498" s="110"/>
      <c r="X498" s="110"/>
    </row>
    <row r="499" spans="1:24" ht="13.5" customHeight="1">
      <c r="A499" s="110">
        <f>IF(E499="","",MATCH(E499,'Daily Sales'!B$4:B$51,0)+3)</f>
        <v>23</v>
      </c>
      <c r="B499" s="135">
        <v>46189</v>
      </c>
      <c r="C499" s="136" t="s">
        <v>106</v>
      </c>
      <c r="D499" s="137" t="str">
        <f t="array" ref="D499">IF($A499="","",INDEX('Daily Sales'!A:A,$A499))</f>
        <v>4-5110</v>
      </c>
      <c r="E499" s="138" t="s">
        <v>30</v>
      </c>
      <c r="F499" s="139" t="str">
        <f t="shared" si="5"/>
        <v>Discount</v>
      </c>
      <c r="G499" s="140"/>
      <c r="H499" s="138">
        <f t="array" ref="H499">IF($A499="","",
  IF(
    OR(
      $A499=23,
      AND($A499&gt;=32,$A499&lt;=50)
    ),
    IFERROR(
      INDEX('Daily Sales'!$C:$AG,
        $A499,
        MATCH(TEXT($B499,"0"),TEXT('Daily Sales'!$C$2:$AG$2,"0"),0)
      ),
    ""),
  "")
)</f>
        <v>2254000</v>
      </c>
      <c r="I499" s="138" t="str">
        <f t="array" ref="I499">IF($A499="","",
  IF(
    OR(
      AND($A499&gt;=4,$A499&lt;=8),
      AND($A499&gt;=12,$A499&lt;=19),
      AND($A499&gt;=28,$A499&lt;=29)
    ),
    IFERROR(
      INDEX('Daily Sales'!$C:$AG,
        $A499,
        MATCH(TEXT($B499,"0"),TEXT('Daily Sales'!$C$2:$AG$2,"0"),0)
      ),
    ""),
  "")
)</f>
        <v/>
      </c>
      <c r="J499" s="79" t="e">
        <f t="shared" si="4"/>
        <v>#VALUE!</v>
      </c>
      <c r="K499" s="141"/>
      <c r="L499" s="141"/>
      <c r="M499" s="141"/>
      <c r="N499" s="133"/>
      <c r="O499" s="4"/>
      <c r="P499" s="4"/>
      <c r="Q499" s="4"/>
      <c r="R499" s="109"/>
      <c r="S499" s="109"/>
      <c r="T499" s="108"/>
      <c r="U499" s="110"/>
      <c r="V499" s="110"/>
      <c r="W499" s="110"/>
      <c r="X499" s="110"/>
    </row>
    <row r="500" spans="1:24" ht="13.5" customHeight="1">
      <c r="A500" s="110">
        <f>IF(E500="","",MATCH(E500,'Daily Sales'!B$4:B$51,0)+3)</f>
        <v>32</v>
      </c>
      <c r="B500" s="135">
        <v>46189</v>
      </c>
      <c r="C500" s="136" t="s">
        <v>106</v>
      </c>
      <c r="D500" s="137" t="str">
        <f t="array" ref="D500">IF($A500="","",INDEX('Daily Sales'!A:A,$A500))</f>
        <v>1-1119</v>
      </c>
      <c r="E500" s="138" t="s">
        <v>40</v>
      </c>
      <c r="F500" s="139" t="str">
        <f t="shared" si="5"/>
        <v>Cash IDR</v>
      </c>
      <c r="G500" s="140"/>
      <c r="H500" s="138">
        <f t="array" ref="H500">IF($A500="","",
  IF(
    OR(
      $A500=23,
      AND($A500&gt;=32,$A500&lt;=50)
    ),
    IFERROR(
      INDEX('Daily Sales'!$C:$AG,
        $A500,
        MATCH(TEXT($B500,"0"),TEXT('Daily Sales'!$C$2:$AG$2,"0"),0)
      ),
    ""),
  "")
)</f>
        <v>10422862</v>
      </c>
      <c r="I500" s="138" t="str">
        <f t="array" ref="I500">IF($A500="","",
  IF(
    OR(
      AND($A500&gt;=4,$A500&lt;=8),
      AND($A500&gt;=12,$A500&lt;=19),
      AND($A500&gt;=28,$A500&lt;=29)
    ),
    IFERROR(
      INDEX('Daily Sales'!$C:$AG,
        $A500,
        MATCH(TEXT($B500,"0"),TEXT('Daily Sales'!$C$2:$AG$2,"0"),0)
      ),
    ""),
  "")
)</f>
        <v/>
      </c>
      <c r="J500" s="79" t="e">
        <f t="shared" si="4"/>
        <v>#VALUE!</v>
      </c>
      <c r="K500" s="141"/>
      <c r="L500" s="141"/>
      <c r="M500" s="141"/>
      <c r="N500" s="133"/>
      <c r="O500" s="4"/>
      <c r="P500" s="4"/>
      <c r="Q500" s="4"/>
      <c r="R500" s="109"/>
      <c r="S500" s="109"/>
      <c r="T500" s="108"/>
      <c r="U500" s="110"/>
      <c r="V500" s="110"/>
      <c r="W500" s="110"/>
      <c r="X500" s="110"/>
    </row>
    <row r="501" spans="1:24" ht="13.5" customHeight="1">
      <c r="A501" s="110">
        <f>IF(E501="","",MATCH(E501,'Daily Sales'!B$4:B$51,0)+3)</f>
        <v>33</v>
      </c>
      <c r="B501" s="135">
        <v>46189</v>
      </c>
      <c r="C501" s="136" t="s">
        <v>106</v>
      </c>
      <c r="D501" s="137" t="str">
        <f t="array" ref="D501">IF($A501="","",INDEX('Daily Sales'!A:A,$A501))</f>
        <v>1-1217</v>
      </c>
      <c r="E501" s="138" t="s">
        <v>43</v>
      </c>
      <c r="F501" s="139" t="str">
        <f t="shared" si="5"/>
        <v>Bank transfer</v>
      </c>
      <c r="G501" s="140"/>
      <c r="H501" s="138">
        <f t="array" ref="H501">IF($A501="","",
  IF(
    OR(
      $A501=23,
      AND($A501&gt;=32,$A501&lt;=50)
    ),
    IFERROR(
      INDEX('Daily Sales'!$C:$AG,
        $A501,
        MATCH(TEXT($B501,"0"),TEXT('Daily Sales'!$C$2:$AG$2,"0"),0)
      ),
    ""),
  "")
)</f>
        <v>0</v>
      </c>
      <c r="I501" s="138" t="str">
        <f t="array" ref="I501">IF($A501="","",
  IF(
    OR(
      AND($A501&gt;=4,$A501&lt;=8),
      AND($A501&gt;=12,$A501&lt;=19),
      AND($A501&gt;=28,$A501&lt;=29)
    ),
    IFERROR(
      INDEX('Daily Sales'!$C:$AG,
        $A501,
        MATCH(TEXT($B501,"0"),TEXT('Daily Sales'!$C$2:$AG$2,"0"),0)
      ),
    ""),
  "")
)</f>
        <v/>
      </c>
      <c r="J501" s="79" t="e">
        <f t="shared" si="4"/>
        <v>#VALUE!</v>
      </c>
      <c r="K501" s="141"/>
      <c r="L501" s="141"/>
      <c r="M501" s="141"/>
      <c r="N501" s="133"/>
      <c r="O501" s="4"/>
      <c r="P501" s="4"/>
      <c r="Q501" s="4"/>
      <c r="R501" s="109"/>
      <c r="S501" s="109"/>
      <c r="T501" s="108"/>
      <c r="U501" s="110"/>
      <c r="V501" s="110"/>
      <c r="W501" s="110"/>
      <c r="X501" s="110"/>
    </row>
    <row r="502" spans="1:24" ht="13.5" customHeight="1">
      <c r="A502" s="110">
        <f>IF(E502="","",MATCH(E502,'Daily Sales'!B$4:B$51,0)+3)</f>
        <v>35</v>
      </c>
      <c r="B502" s="135">
        <v>46189</v>
      </c>
      <c r="C502" s="136" t="s">
        <v>106</v>
      </c>
      <c r="D502" s="137" t="str">
        <f t="array" ref="D502">IF($A502="","",INDEX('Daily Sales'!A:A,$A502))</f>
        <v>1-1216</v>
      </c>
      <c r="E502" s="138" t="s">
        <v>46</v>
      </c>
      <c r="F502" s="139" t="str">
        <f t="shared" si="5"/>
        <v>Cim Niaga TBB</v>
      </c>
      <c r="G502" s="140"/>
      <c r="H502" s="138">
        <f t="array" ref="H502">IF($A502="","",
  IF(
    OR(
      $A502=23,
      AND($A502&gt;=32,$A502&lt;=50)
    ),
    IFERROR(
      INDEX('Daily Sales'!$C:$AG,
        $A502,
        MATCH(TEXT($B502,"0"),TEXT('Daily Sales'!$C$2:$AG$2,"0"),0)
      ),
    ""),
  "")
)</f>
        <v>0</v>
      </c>
      <c r="I502" s="138" t="str">
        <f t="array" ref="I502">IF($A502="","",
  IF(
    OR(
      AND($A502&gt;=4,$A502&lt;=8),
      AND($A502&gt;=12,$A502&lt;=19),
      AND($A502&gt;=28,$A502&lt;=29)
    ),
    IFERROR(
      INDEX('Daily Sales'!$C:$AG,
        $A502,
        MATCH(TEXT($B502,"0"),TEXT('Daily Sales'!$C$2:$AG$2,"0"),0)
      ),
    ""),
  "")
)</f>
        <v/>
      </c>
      <c r="J502" s="79" t="e">
        <f t="shared" si="4"/>
        <v>#VALUE!</v>
      </c>
      <c r="K502" s="141"/>
      <c r="L502" s="141"/>
      <c r="M502" s="141"/>
      <c r="N502" s="133"/>
      <c r="O502" s="4"/>
      <c r="P502" s="4"/>
      <c r="Q502" s="4"/>
      <c r="R502" s="109"/>
      <c r="S502" s="109"/>
      <c r="T502" s="108"/>
      <c r="U502" s="110"/>
      <c r="V502" s="110"/>
      <c r="W502" s="110"/>
      <c r="X502" s="110"/>
    </row>
    <row r="503" spans="1:24" ht="13.5" customHeight="1">
      <c r="A503" s="110">
        <f>IF(E503="","",MATCH(E503,'Daily Sales'!B$4:B$51,0)+3)</f>
        <v>36</v>
      </c>
      <c r="B503" s="135">
        <v>46189</v>
      </c>
      <c r="C503" s="136" t="s">
        <v>106</v>
      </c>
      <c r="D503" s="137" t="str">
        <f t="array" ref="D503">IF($A503="","",INDEX('Daily Sales'!A:A,$A503))</f>
        <v>1-1213</v>
      </c>
      <c r="E503" s="138" t="s">
        <v>49</v>
      </c>
      <c r="F503" s="139" t="str">
        <f t="shared" si="5"/>
        <v>Mandiri Debet</v>
      </c>
      <c r="G503" s="140"/>
      <c r="H503" s="138">
        <f t="array" ref="H503">IF($A503="","",
  IF(
    OR(
      $A503=23,
      AND($A503&gt;=32,$A503&lt;=50)
    ),
    IFERROR(
      INDEX('Daily Sales'!$C:$AG,
        $A503,
        MATCH(TEXT($B503,"0"),TEXT('Daily Sales'!$C$2:$AG$2,"0"),0)
      ),
    ""),
  "")
)</f>
        <v>41195</v>
      </c>
      <c r="I503" s="138" t="str">
        <f t="array" ref="I503">IF($A503="","",
  IF(
    OR(
      AND($A503&gt;=4,$A503&lt;=8),
      AND($A503&gt;=12,$A503&lt;=19),
      AND($A503&gt;=28,$A503&lt;=29)
    ),
    IFERROR(
      INDEX('Daily Sales'!$C:$AG,
        $A503,
        MATCH(TEXT($B503,"0"),TEXT('Daily Sales'!$C$2:$AG$2,"0"),0)
      ),
    ""),
  "")
)</f>
        <v/>
      </c>
      <c r="J503" s="79" t="e">
        <f t="shared" si="4"/>
        <v>#VALUE!</v>
      </c>
      <c r="K503" s="141"/>
      <c r="L503" s="141"/>
      <c r="M503" s="141"/>
      <c r="N503" s="133"/>
      <c r="O503" s="4"/>
      <c r="P503" s="4"/>
      <c r="Q503" s="4"/>
      <c r="R503" s="109"/>
      <c r="S503" s="109"/>
      <c r="T503" s="108"/>
      <c r="U503" s="110"/>
      <c r="V503" s="110"/>
      <c r="W503" s="110"/>
      <c r="X503" s="110"/>
    </row>
    <row r="504" spans="1:24" ht="13.5" customHeight="1">
      <c r="A504" s="110">
        <f>IF(E504="","",MATCH(E504,'Daily Sales'!B$4:B$51,0)+3)</f>
        <v>37</v>
      </c>
      <c r="B504" s="135">
        <v>46189</v>
      </c>
      <c r="C504" s="136" t="s">
        <v>106</v>
      </c>
      <c r="D504" s="137" t="str">
        <f t="array" ref="D504">IF($A504="","",INDEX('Daily Sales'!A:A,$A504))</f>
        <v>1-1213</v>
      </c>
      <c r="E504" s="138" t="s">
        <v>50</v>
      </c>
      <c r="F504" s="139" t="str">
        <f t="shared" si="5"/>
        <v>Mandiri CC</v>
      </c>
      <c r="G504" s="140"/>
      <c r="H504" s="138">
        <f t="array" ref="H504">IF($A504="","",
  IF(
    OR(
      $A504=23,
      AND($A504&gt;=32,$A504&lt;=50)
    ),
    IFERROR(
      INDEX('Daily Sales'!$C:$AG,
        $A504,
        MATCH(TEXT($B504,"0"),TEXT('Daily Sales'!$C$2:$AG$2,"0"),0)
      ),
    ""),
  "")
)</f>
        <v>31067502</v>
      </c>
      <c r="I504" s="138" t="str">
        <f t="array" ref="I504">IF($A504="","",
  IF(
    OR(
      AND($A504&gt;=4,$A504&lt;=8),
      AND($A504&gt;=12,$A504&lt;=19),
      AND($A504&gt;=28,$A504&lt;=29)
    ),
    IFERROR(
      INDEX('Daily Sales'!$C:$AG,
        $A504,
        MATCH(TEXT($B504,"0"),TEXT('Daily Sales'!$C$2:$AG$2,"0"),0)
      ),
    ""),
  "")
)</f>
        <v/>
      </c>
      <c r="J504" s="79" t="e">
        <f t="shared" si="4"/>
        <v>#VALUE!</v>
      </c>
      <c r="K504" s="141"/>
      <c r="L504" s="141"/>
      <c r="M504" s="141"/>
      <c r="N504" s="133"/>
      <c r="O504" s="4"/>
      <c r="P504" s="4"/>
      <c r="Q504" s="4"/>
      <c r="R504" s="109"/>
      <c r="S504" s="109"/>
      <c r="T504" s="108"/>
      <c r="U504" s="110"/>
      <c r="V504" s="110"/>
      <c r="W504" s="110"/>
      <c r="X504" s="110"/>
    </row>
    <row r="505" spans="1:24" ht="13.5" customHeight="1">
      <c r="A505" s="110">
        <f>IF(E505="","",MATCH(E505,'Daily Sales'!B$4:B$51,0)+3)</f>
        <v>38</v>
      </c>
      <c r="B505" s="135">
        <v>46189</v>
      </c>
      <c r="C505" s="136" t="s">
        <v>106</v>
      </c>
      <c r="D505" s="137" t="str">
        <f t="array" ref="D505">IF($A505="","",INDEX('Daily Sales'!A:A,$A505))</f>
        <v>1-1213</v>
      </c>
      <c r="E505" s="138" t="s">
        <v>51</v>
      </c>
      <c r="F505" s="139" t="str">
        <f t="shared" si="5"/>
        <v>Mandiri NPG</v>
      </c>
      <c r="G505" s="140"/>
      <c r="H505" s="138">
        <f t="array" ref="H505">IF($A505="","",
  IF(
    OR(
      $A505=23,
      AND($A505&gt;=32,$A505&lt;=50)
    ),
    IFERROR(
      INDEX('Daily Sales'!$C:$AG,
        $A505,
        MATCH(TEXT($B505,"0"),TEXT('Daily Sales'!$C$2:$AG$2,"0"),0)
      ),
    ""),
  "")
)</f>
        <v>4496185</v>
      </c>
      <c r="I505" s="138" t="str">
        <f t="array" ref="I505">IF($A505="","",
  IF(
    OR(
      AND($A505&gt;=4,$A505&lt;=8),
      AND($A505&gt;=12,$A505&lt;=19),
      AND($A505&gt;=28,$A505&lt;=29)
    ),
    IFERROR(
      INDEX('Daily Sales'!$C:$AG,
        $A505,
        MATCH(TEXT($B505,"0"),TEXT('Daily Sales'!$C$2:$AG$2,"0"),0)
      ),
    ""),
  "")
)</f>
        <v/>
      </c>
      <c r="J505" s="79" t="e">
        <f t="shared" si="4"/>
        <v>#VALUE!</v>
      </c>
      <c r="K505" s="141"/>
      <c r="L505" s="141"/>
      <c r="M505" s="141"/>
      <c r="N505" s="133"/>
      <c r="O505" s="4"/>
      <c r="P505" s="4"/>
      <c r="Q505" s="4"/>
      <c r="R505" s="109"/>
      <c r="S505" s="109"/>
      <c r="T505" s="108"/>
      <c r="U505" s="110"/>
      <c r="V505" s="110"/>
      <c r="W505" s="110"/>
      <c r="X505" s="110"/>
    </row>
    <row r="506" spans="1:24" ht="13.5" customHeight="1">
      <c r="A506" s="110">
        <f>IF(E506="","",MATCH(E506,'Daily Sales'!B$4:B$51,0)+3)</f>
        <v>39</v>
      </c>
      <c r="B506" s="135">
        <v>46189</v>
      </c>
      <c r="C506" s="136" t="s">
        <v>106</v>
      </c>
      <c r="D506" s="137" t="str">
        <f t="array" ref="D506">IF($A506="","",INDEX('Daily Sales'!A:A,$A506))</f>
        <v>1-1213</v>
      </c>
      <c r="E506" s="138" t="s">
        <v>52</v>
      </c>
      <c r="F506" s="139" t="str">
        <f t="shared" si="5"/>
        <v>Mandiri QR</v>
      </c>
      <c r="G506" s="140"/>
      <c r="H506" s="138">
        <f t="array" ref="H506">IF($A506="","",
  IF(
    OR(
      $A506=23,
      AND($A506&gt;=32,$A506&lt;=50)
    ),
    IFERROR(
      INDEX('Daily Sales'!$C:$AG,
        $A506,
        MATCH(TEXT($B506,"0"),TEXT('Daily Sales'!$C$2:$AG$2,"0"),0)
      ),
    ""),
  "")
)</f>
        <v>1665365</v>
      </c>
      <c r="I506" s="138" t="str">
        <f t="array" ref="I506">IF($A506="","",
  IF(
    OR(
      AND($A506&gt;=4,$A506&lt;=8),
      AND($A506&gt;=12,$A506&lt;=19),
      AND($A506&gt;=28,$A506&lt;=29)
    ),
    IFERROR(
      INDEX('Daily Sales'!$C:$AG,
        $A506,
        MATCH(TEXT($B506,"0"),TEXT('Daily Sales'!$C$2:$AG$2,"0"),0)
      ),
    ""),
  "")
)</f>
        <v/>
      </c>
      <c r="J506" s="79" t="e">
        <f t="shared" si="4"/>
        <v>#VALUE!</v>
      </c>
      <c r="K506" s="141"/>
      <c r="L506" s="141"/>
      <c r="M506" s="141"/>
      <c r="N506" s="133"/>
      <c r="O506" s="4"/>
      <c r="P506" s="4"/>
      <c r="Q506" s="4"/>
      <c r="R506" s="109"/>
      <c r="S506" s="109"/>
      <c r="T506" s="108"/>
      <c r="U506" s="110"/>
      <c r="V506" s="110"/>
      <c r="W506" s="110"/>
      <c r="X506" s="110"/>
    </row>
    <row r="507" spans="1:24" ht="13.5" customHeight="1">
      <c r="A507" s="110">
        <f>IF(E507="","",MATCH(E507,'Daily Sales'!B$4:B$51,0)+3)</f>
        <v>40</v>
      </c>
      <c r="B507" s="135">
        <v>46189</v>
      </c>
      <c r="C507" s="136" t="s">
        <v>106</v>
      </c>
      <c r="D507" s="137" t="str">
        <f t="array" ref="D507">IF($A507="","",INDEX('Daily Sales'!A:A,$A507))</f>
        <v>1-1217</v>
      </c>
      <c r="E507" s="138" t="s">
        <v>54</v>
      </c>
      <c r="F507" s="139" t="str">
        <f t="shared" si="5"/>
        <v>BCA CC</v>
      </c>
      <c r="G507" s="140"/>
      <c r="H507" s="138">
        <f t="array" ref="H507">IF($A507="","",
  IF(
    OR(
      $A507=23,
      AND($A507&gt;=32,$A507&lt;=50)
    ),
    IFERROR(
      INDEX('Daily Sales'!$C:$AG,
        $A507,
        MATCH(TEXT($B507,"0"),TEXT('Daily Sales'!$C$2:$AG$2,"0"),0)
      ),
    ""),
  "")
)</f>
        <v>2410865</v>
      </c>
      <c r="I507" s="138" t="str">
        <f t="array" ref="I507">IF($A507="","",
  IF(
    OR(
      AND($A507&gt;=4,$A507&lt;=8),
      AND($A507&gt;=12,$A507&lt;=19),
      AND($A507&gt;=28,$A507&lt;=29)
    ),
    IFERROR(
      INDEX('Daily Sales'!$C:$AG,
        $A507,
        MATCH(TEXT($B507,"0"),TEXT('Daily Sales'!$C$2:$AG$2,"0"),0)
      ),
    ""),
  "")
)</f>
        <v/>
      </c>
      <c r="J507" s="79" t="e">
        <f t="shared" si="4"/>
        <v>#VALUE!</v>
      </c>
      <c r="K507" s="141"/>
      <c r="L507" s="141"/>
      <c r="M507" s="141"/>
      <c r="N507" s="133"/>
      <c r="O507" s="4"/>
      <c r="P507" s="4"/>
      <c r="Q507" s="4"/>
      <c r="R507" s="109"/>
      <c r="S507" s="109"/>
      <c r="T507" s="108"/>
      <c r="U507" s="110"/>
      <c r="V507" s="110"/>
      <c r="W507" s="110"/>
      <c r="X507" s="110"/>
    </row>
    <row r="508" spans="1:24" ht="13.5" customHeight="1">
      <c r="A508" s="110">
        <f>IF(E508="","",MATCH(E508,'Daily Sales'!B$4:B$51,0)+3)</f>
        <v>41</v>
      </c>
      <c r="B508" s="135">
        <v>46189</v>
      </c>
      <c r="C508" s="136" t="s">
        <v>106</v>
      </c>
      <c r="D508" s="137" t="str">
        <f t="array" ref="D508">IF($A508="","",INDEX('Daily Sales'!A:A,$A508))</f>
        <v>1-1217</v>
      </c>
      <c r="E508" s="138" t="s">
        <v>55</v>
      </c>
      <c r="F508" s="139" t="str">
        <f t="shared" si="5"/>
        <v>BCA debt</v>
      </c>
      <c r="G508" s="140"/>
      <c r="H508" s="138">
        <f t="array" ref="H508">IF($A508="","",
  IF(
    OR(
      $A508=23,
      AND($A508&gt;=32,$A508&lt;=50)
    ),
    IFERROR(
      INDEX('Daily Sales'!$C:$AG,
        $A508,
        MATCH(TEXT($B508,"0"),TEXT('Daily Sales'!$C$2:$AG$2,"0"),0)
      ),
    ""),
  "")
)</f>
        <v>20491570</v>
      </c>
      <c r="I508" s="138" t="str">
        <f t="array" ref="I508">IF($A508="","",
  IF(
    OR(
      AND($A508&gt;=4,$A508&lt;=8),
      AND($A508&gt;=12,$A508&lt;=19),
      AND($A508&gt;=28,$A508&lt;=29)
    ),
    IFERROR(
      INDEX('Daily Sales'!$C:$AG,
        $A508,
        MATCH(TEXT($B508,"0"),TEXT('Daily Sales'!$C$2:$AG$2,"0"),0)
      ),
    ""),
  "")
)</f>
        <v/>
      </c>
      <c r="J508" s="79" t="e">
        <f t="shared" si="4"/>
        <v>#VALUE!</v>
      </c>
      <c r="K508" s="141"/>
      <c r="L508" s="141"/>
      <c r="M508" s="141"/>
      <c r="N508" s="133"/>
      <c r="O508" s="4"/>
      <c r="P508" s="4"/>
      <c r="Q508" s="4"/>
      <c r="R508" s="109"/>
      <c r="S508" s="109"/>
      <c r="T508" s="108"/>
      <c r="U508" s="110"/>
      <c r="V508" s="110"/>
      <c r="W508" s="110"/>
      <c r="X508" s="110"/>
    </row>
    <row r="509" spans="1:24" ht="13.5" customHeight="1">
      <c r="A509" s="110">
        <f>IF(E509="","",MATCH(E509,'Daily Sales'!B$4:B$51,0)+3)</f>
        <v>42</v>
      </c>
      <c r="B509" s="135">
        <v>46189</v>
      </c>
      <c r="C509" s="136" t="s">
        <v>106</v>
      </c>
      <c r="D509" s="137" t="str">
        <f t="array" ref="D509">IF($A509="","",INDEX('Daily Sales'!A:A,$A509))</f>
        <v>1-1217</v>
      </c>
      <c r="E509" s="138" t="s">
        <v>56</v>
      </c>
      <c r="F509" s="139" t="str">
        <f t="shared" si="5"/>
        <v>BCA QR</v>
      </c>
      <c r="G509" s="140"/>
      <c r="H509" s="138">
        <f t="array" ref="H509">IF($A509="","",
  IF(
    OR(
      $A509=23,
      AND($A509&gt;=32,$A509&lt;=50)
    ),
    IFERROR(
      INDEX('Daily Sales'!$C:$AG,
        $A509,
        MATCH(TEXT($B509,"0"),TEXT('Daily Sales'!$C$2:$AG$2,"0"),0)
      ),
    ""),
  "")
)</f>
        <v>2014655</v>
      </c>
      <c r="I509" s="138" t="str">
        <f t="array" ref="I509">IF($A509="","",
  IF(
    OR(
      AND($A509&gt;=4,$A509&lt;=8),
      AND($A509&gt;=12,$A509&lt;=19),
      AND($A509&gt;=28,$A509&lt;=29)
    ),
    IFERROR(
      INDEX('Daily Sales'!$C:$AG,
        $A509,
        MATCH(TEXT($B509,"0"),TEXT('Daily Sales'!$C$2:$AG$2,"0"),0)
      ),
    ""),
  "")
)</f>
        <v/>
      </c>
      <c r="J509" s="79" t="e">
        <f t="shared" si="4"/>
        <v>#VALUE!</v>
      </c>
      <c r="K509" s="141"/>
      <c r="L509" s="141"/>
      <c r="M509" s="141"/>
      <c r="N509" s="133"/>
      <c r="O509" s="4"/>
      <c r="P509" s="4"/>
      <c r="Q509" s="4"/>
      <c r="R509" s="109"/>
      <c r="S509" s="109"/>
      <c r="T509" s="108"/>
      <c r="U509" s="110"/>
      <c r="V509" s="110"/>
      <c r="W509" s="110"/>
      <c r="X509" s="110"/>
    </row>
    <row r="510" spans="1:24" ht="13.5" customHeight="1">
      <c r="A510" s="110">
        <f>IF(E510="","",MATCH(E510,'Daily Sales'!B$4:B$51,0)+3)</f>
        <v>43</v>
      </c>
      <c r="B510" s="135">
        <v>46189</v>
      </c>
      <c r="C510" s="136" t="s">
        <v>106</v>
      </c>
      <c r="D510" s="137" t="str">
        <f t="array" ref="D510">IF($A510="","",INDEX('Daily Sales'!A:A,$A510))</f>
        <v>1-1214</v>
      </c>
      <c r="E510" s="138" t="s">
        <v>59</v>
      </c>
      <c r="F510" s="139" t="str">
        <f t="shared" si="5"/>
        <v>Bank BRI DEBET</v>
      </c>
      <c r="G510" s="140"/>
      <c r="H510" s="138">
        <f t="array" ref="H510">IF($A510="","",
  IF(
    OR(
      $A510=23,
      AND($A510&gt;=32,$A510&lt;=50)
    ),
    IFERROR(
      INDEX('Daily Sales'!$C:$AG,
        $A510,
        MATCH(TEXT($B510,"0"),TEXT('Daily Sales'!$C$2:$AG$2,"0"),0)
      ),
    ""),
  "")
)</f>
        <v>0</v>
      </c>
      <c r="I510" s="138" t="str">
        <f t="array" ref="I510">IF($A510="","",
  IF(
    OR(
      AND($A510&gt;=4,$A510&lt;=8),
      AND($A510&gt;=12,$A510&lt;=19),
      AND($A510&gt;=28,$A510&lt;=29)
    ),
    IFERROR(
      INDEX('Daily Sales'!$C:$AG,
        $A510,
        MATCH(TEXT($B510,"0"),TEXT('Daily Sales'!$C$2:$AG$2,"0"),0)
      ),
    ""),
  "")
)</f>
        <v/>
      </c>
      <c r="J510" s="79" t="e">
        <f t="shared" si="4"/>
        <v>#VALUE!</v>
      </c>
      <c r="K510" s="141"/>
      <c r="L510" s="141"/>
      <c r="M510" s="141"/>
      <c r="N510" s="133"/>
      <c r="O510" s="4"/>
      <c r="P510" s="4"/>
      <c r="Q510" s="4"/>
      <c r="R510" s="109"/>
      <c r="S510" s="109"/>
      <c r="T510" s="108"/>
      <c r="U510" s="110"/>
      <c r="V510" s="110"/>
      <c r="W510" s="110"/>
      <c r="X510" s="110"/>
    </row>
    <row r="511" spans="1:24" ht="13.5" customHeight="1">
      <c r="A511" s="110">
        <f>IF(E511="","",MATCH(E511,'Daily Sales'!B$4:B$51,0)+3)</f>
        <v>44</v>
      </c>
      <c r="B511" s="135">
        <v>46189</v>
      </c>
      <c r="C511" s="136" t="s">
        <v>106</v>
      </c>
      <c r="D511" s="137" t="str">
        <f t="array" ref="D511">IF($A511="","",INDEX('Daily Sales'!A:A,$A511))</f>
        <v>1-1214</v>
      </c>
      <c r="E511" s="138" t="s">
        <v>60</v>
      </c>
      <c r="F511" s="139" t="str">
        <f t="shared" si="5"/>
        <v>Bank BRI CC</v>
      </c>
      <c r="G511" s="140"/>
      <c r="H511" s="138">
        <f t="array" ref="H511">IF($A511="","",
  IF(
    OR(
      $A511=23,
      AND($A511&gt;=32,$A511&lt;=50)
    ),
    IFERROR(
      INDEX('Daily Sales'!$C:$AG,
        $A511,
        MATCH(TEXT($B511,"0"),TEXT('Daily Sales'!$C$2:$AG$2,"0"),0)
      ),
    ""),
  "")
)</f>
        <v>70620</v>
      </c>
      <c r="I511" s="138" t="str">
        <f t="array" ref="I511">IF($A511="","",
  IF(
    OR(
      AND($A511&gt;=4,$A511&lt;=8),
      AND($A511&gt;=12,$A511&lt;=19),
      AND($A511&gt;=28,$A511&lt;=29)
    ),
    IFERROR(
      INDEX('Daily Sales'!$C:$AG,
        $A511,
        MATCH(TEXT($B511,"0"),TEXT('Daily Sales'!$C$2:$AG$2,"0"),0)
      ),
    ""),
  "")
)</f>
        <v/>
      </c>
      <c r="J511" s="79" t="e">
        <f t="shared" si="4"/>
        <v>#VALUE!</v>
      </c>
      <c r="K511" s="141"/>
      <c r="L511" s="141"/>
      <c r="M511" s="141"/>
      <c r="N511" s="133"/>
      <c r="O511" s="4"/>
      <c r="P511" s="4"/>
      <c r="Q511" s="4"/>
      <c r="R511" s="109"/>
      <c r="S511" s="109"/>
      <c r="T511" s="108"/>
      <c r="U511" s="110"/>
      <c r="V511" s="110"/>
      <c r="W511" s="110"/>
      <c r="X511" s="110"/>
    </row>
    <row r="512" spans="1:24" ht="13.5" customHeight="1">
      <c r="A512" s="110">
        <f>IF(E512="","",MATCH(E512,'Daily Sales'!B$4:B$51,0)+3)</f>
        <v>45</v>
      </c>
      <c r="B512" s="135">
        <v>46189</v>
      </c>
      <c r="C512" s="136" t="s">
        <v>106</v>
      </c>
      <c r="D512" s="137" t="str">
        <f t="array" ref="D512">IF($A512="","",INDEX('Daily Sales'!A:A,$A512))</f>
        <v>1-1214</v>
      </c>
      <c r="E512" s="138" t="s">
        <v>61</v>
      </c>
      <c r="F512" s="139" t="str">
        <f t="shared" si="5"/>
        <v>Bank BRI QR</v>
      </c>
      <c r="G512" s="140"/>
      <c r="H512" s="138">
        <f t="array" ref="H512">IF($A512="","",
  IF(
    OR(
      $A512=23,
      AND($A512&gt;=32,$A512&lt;=50)
    ),
    IFERROR(
      INDEX('Daily Sales'!$C:$AG,
        $A512,
        MATCH(TEXT($B512,"0"),TEXT('Daily Sales'!$C$2:$AG$2,"0"),0)
      ),
    ""),
  "")
)</f>
        <v>0</v>
      </c>
      <c r="I512" s="138" t="str">
        <f t="array" ref="I512">IF($A512="","",
  IF(
    OR(
      AND($A512&gt;=4,$A512&lt;=8),
      AND($A512&gt;=12,$A512&lt;=19),
      AND($A512&gt;=28,$A512&lt;=29)
    ),
    IFERROR(
      INDEX('Daily Sales'!$C:$AG,
        $A512,
        MATCH(TEXT($B512,"0"),TEXT('Daily Sales'!$C$2:$AG$2,"0"),0)
      ),
    ""),
  "")
)</f>
        <v/>
      </c>
      <c r="J512" s="79" t="e">
        <f t="shared" si="4"/>
        <v>#VALUE!</v>
      </c>
      <c r="K512" s="141"/>
      <c r="L512" s="141"/>
      <c r="M512" s="141"/>
      <c r="N512" s="133"/>
      <c r="O512" s="4"/>
      <c r="P512" s="4"/>
      <c r="Q512" s="4"/>
      <c r="R512" s="109"/>
      <c r="S512" s="109"/>
      <c r="T512" s="108"/>
      <c r="U512" s="110"/>
      <c r="V512" s="110"/>
      <c r="W512" s="110"/>
      <c r="X512" s="110"/>
    </row>
    <row r="513" spans="1:24" ht="13.5" customHeight="1">
      <c r="A513" s="110">
        <f>IF(E513="","",MATCH(E513,'Daily Sales'!B$4:B$51,0)+3)</f>
        <v>46</v>
      </c>
      <c r="B513" s="135">
        <v>46189</v>
      </c>
      <c r="C513" s="136" t="s">
        <v>106</v>
      </c>
      <c r="D513" s="137" t="str">
        <f t="array" ref="D513">IF($A513="","",INDEX('Daily Sales'!A:A,$A513))</f>
        <v>1-1202</v>
      </c>
      <c r="E513" s="138" t="s">
        <v>64</v>
      </c>
      <c r="F513" s="139" t="str">
        <f t="shared" si="5"/>
        <v>Ledger</v>
      </c>
      <c r="G513" s="140"/>
      <c r="H513" s="138">
        <f t="array" ref="H513">IF($A513="","",
  IF(
    OR(
      $A513=23,
      AND($A513&gt;=32,$A513&lt;=50)
    ),
    IFERROR(
      INDEX('Daily Sales'!$C:$AG,
        $A513,
        MATCH(TEXT($B513,"0"),TEXT('Daily Sales'!$C$2:$AG$2,"0"),0)
      ),
    ""),
  "")
)</f>
        <v>635580</v>
      </c>
      <c r="I513" s="138" t="str">
        <f t="array" ref="I513">IF($A513="","",
  IF(
    OR(
      AND($A513&gt;=4,$A513&lt;=8),
      AND($A513&gt;=12,$A513&lt;=19),
      AND($A513&gt;=28,$A513&lt;=29)
    ),
    IFERROR(
      INDEX('Daily Sales'!$C:$AG,
        $A513,
        MATCH(TEXT($B513,"0"),TEXT('Daily Sales'!$C$2:$AG$2,"0"),0)
      ),
    ""),
  "")
)</f>
        <v/>
      </c>
      <c r="J513" s="79" t="e">
        <f t="shared" si="4"/>
        <v>#VALUE!</v>
      </c>
      <c r="K513" s="141"/>
      <c r="L513" s="141"/>
      <c r="M513" s="141"/>
      <c r="N513" s="133"/>
      <c r="O513" s="4"/>
      <c r="P513" s="4"/>
      <c r="Q513" s="4"/>
      <c r="R513" s="109"/>
      <c r="S513" s="109"/>
      <c r="T513" s="108"/>
      <c r="U513" s="110"/>
      <c r="V513" s="110"/>
      <c r="W513" s="110"/>
      <c r="X513" s="110"/>
    </row>
    <row r="514" spans="1:24" ht="13.5" customHeight="1">
      <c r="A514" s="110">
        <f>IF(E514="","",MATCH(E514,'Daily Sales'!B$4:B$51,0)+3)</f>
        <v>47</v>
      </c>
      <c r="B514" s="135">
        <v>46189</v>
      </c>
      <c r="C514" s="136" t="s">
        <v>106</v>
      </c>
      <c r="D514" s="137" t="str">
        <f t="array" ref="D514">IF($A514="","",INDEX('Daily Sales'!A:A,$A514))</f>
        <v>1-1129</v>
      </c>
      <c r="E514" s="138" t="s">
        <v>66</v>
      </c>
      <c r="F514" s="139" t="str">
        <f t="shared" si="5"/>
        <v>Star Points</v>
      </c>
      <c r="G514" s="140"/>
      <c r="H514" s="138">
        <f t="array" ref="H514">IF($A514="","",
  IF(
    OR(
      $A514=23,
      AND($A514&gt;=32,$A514&lt;=50)
    ),
    IFERROR(
      INDEX('Daily Sales'!$C:$AG,
        $A514,
        MATCH(TEXT($B514,"0"),TEXT('Daily Sales'!$C$2:$AG$2,"0"),0)
      ),
    ""),
  "")
)</f>
        <v>0</v>
      </c>
      <c r="I514" s="138" t="str">
        <f t="array" ref="I514">IF($A514="","",
  IF(
    OR(
      AND($A514&gt;=4,$A514&lt;=8),
      AND($A514&gt;=12,$A514&lt;=19),
      AND($A514&gt;=28,$A514&lt;=29)
    ),
    IFERROR(
      INDEX('Daily Sales'!$C:$AG,
        $A514,
        MATCH(TEXT($B514,"0"),TEXT('Daily Sales'!$C$2:$AG$2,"0"),0)
      ),
    ""),
  "")
)</f>
        <v/>
      </c>
      <c r="J514" s="79" t="e">
        <f t="shared" si="4"/>
        <v>#VALUE!</v>
      </c>
      <c r="K514" s="141"/>
      <c r="L514" s="141"/>
      <c r="M514" s="141"/>
      <c r="N514" s="133"/>
      <c r="O514" s="4"/>
      <c r="P514" s="4"/>
      <c r="Q514" s="4"/>
      <c r="R514" s="109"/>
      <c r="S514" s="109"/>
      <c r="T514" s="108"/>
      <c r="U514" s="110"/>
      <c r="V514" s="110"/>
      <c r="W514" s="110"/>
      <c r="X514" s="110"/>
    </row>
    <row r="515" spans="1:24" ht="13.5" customHeight="1">
      <c r="A515" s="110">
        <f>IF(E515="","",MATCH(E515,'Daily Sales'!B$4:B$51,0)+3)</f>
        <v>48</v>
      </c>
      <c r="B515" s="135">
        <v>46189</v>
      </c>
      <c r="C515" s="136" t="s">
        <v>106</v>
      </c>
      <c r="D515" s="137" t="str">
        <f t="array" ref="D515">IF($A515="","",INDEX('Daily Sales'!A:A,$A515))</f>
        <v>1-1215</v>
      </c>
      <c r="E515" s="138" t="s">
        <v>68</v>
      </c>
      <c r="F515" s="139" t="str">
        <f t="shared" si="5"/>
        <v>Ovo</v>
      </c>
      <c r="G515" s="140"/>
      <c r="H515" s="138">
        <f t="array" ref="H515">IF($A515="","",
  IF(
    OR(
      $A515=23,
      AND($A515&gt;=32,$A515&lt;=50)
    ),
    IFERROR(
      INDEX('Daily Sales'!$C:$AG,
        $A515,
        MATCH(TEXT($B515,"0"),TEXT('Daily Sales'!$C$2:$AG$2,"0"),0)
      ),
    ""),
  "")
)</f>
        <v>609750</v>
      </c>
      <c r="I515" s="138" t="str">
        <f t="array" ref="I515">IF($A515="","",
  IF(
    OR(
      AND($A515&gt;=4,$A515&lt;=8),
      AND($A515&gt;=12,$A515&lt;=19),
      AND($A515&gt;=28,$A515&lt;=29)
    ),
    IFERROR(
      INDEX('Daily Sales'!$C:$AG,
        $A515,
        MATCH(TEXT($B515,"0"),TEXT('Daily Sales'!$C$2:$AG$2,"0"),0)
      ),
    ""),
  "")
)</f>
        <v/>
      </c>
      <c r="J515" s="79" t="e">
        <f t="shared" si="4"/>
        <v>#VALUE!</v>
      </c>
      <c r="K515" s="141"/>
      <c r="L515" s="141"/>
      <c r="M515" s="141"/>
      <c r="N515" s="133"/>
      <c r="O515" s="4"/>
      <c r="P515" s="4"/>
      <c r="Q515" s="4"/>
      <c r="R515" s="109"/>
      <c r="S515" s="109"/>
      <c r="T515" s="108"/>
      <c r="U515" s="110"/>
      <c r="V515" s="110"/>
      <c r="W515" s="110"/>
      <c r="X515" s="110"/>
    </row>
    <row r="516" spans="1:24" ht="13.5" customHeight="1">
      <c r="A516" s="110">
        <f>IF(E516="","",MATCH(E516,'Daily Sales'!B$4:B$51,0)+3)</f>
        <v>49</v>
      </c>
      <c r="B516" s="135">
        <v>46189</v>
      </c>
      <c r="C516" s="136" t="s">
        <v>106</v>
      </c>
      <c r="D516" s="137" t="str">
        <f t="array" ref="D516">IF($A516="","",INDEX('Daily Sales'!A:A,$A516))</f>
        <v>1-1211</v>
      </c>
      <c r="E516" s="138" t="s">
        <v>70</v>
      </c>
      <c r="F516" s="139" t="str">
        <f t="shared" si="5"/>
        <v>Gopay</v>
      </c>
      <c r="G516" s="140"/>
      <c r="H516" s="138">
        <f t="array" ref="H516">IF($A516="","",
  IF(
    OR(
      $A516=23,
      AND($A516&gt;=32,$A516&lt;=50)
    ),
    IFERROR(
      INDEX('Daily Sales'!$C:$AG,
        $A516,
        MATCH(TEXT($B516,"0"),TEXT('Daily Sales'!$C$2:$AG$2,"0"),0)
      ),
    ""),
  "")
)</f>
        <v>0</v>
      </c>
      <c r="I516" s="138" t="str">
        <f t="array" ref="I516">IF($A516="","",
  IF(
    OR(
      AND($A516&gt;=4,$A516&lt;=8),
      AND($A516&gt;=12,$A516&lt;=19),
      AND($A516&gt;=28,$A516&lt;=29)
    ),
    IFERROR(
      INDEX('Daily Sales'!$C:$AG,
        $A516,
        MATCH(TEXT($B516,"0"),TEXT('Daily Sales'!$C$2:$AG$2,"0"),0)
      ),
    ""),
  "")
)</f>
        <v/>
      </c>
      <c r="J516" s="79" t="e">
        <f t="shared" si="4"/>
        <v>#VALUE!</v>
      </c>
      <c r="K516" s="141"/>
      <c r="L516" s="141"/>
      <c r="M516" s="141"/>
      <c r="N516" s="133"/>
      <c r="O516" s="4"/>
      <c r="P516" s="4"/>
      <c r="Q516" s="4"/>
      <c r="R516" s="109"/>
      <c r="S516" s="109"/>
      <c r="T516" s="108"/>
      <c r="U516" s="110"/>
      <c r="V516" s="110"/>
      <c r="W516" s="110"/>
      <c r="X516" s="110"/>
    </row>
    <row r="517" spans="1:24" ht="13.5" customHeight="1">
      <c r="A517" s="110">
        <f>IF(E517="","",MATCH(E517,'Daily Sales'!B$4:B$51,0)+3)</f>
        <v>50</v>
      </c>
      <c r="B517" s="135">
        <v>46189</v>
      </c>
      <c r="C517" s="136" t="s">
        <v>106</v>
      </c>
      <c r="D517" s="137" t="str">
        <f t="array" ref="D517">IF($A517="","",INDEX('Daily Sales'!A:A,$A517))</f>
        <v>2-2110</v>
      </c>
      <c r="E517" s="138" t="s">
        <v>72</v>
      </c>
      <c r="F517" s="139" t="str">
        <f t="shared" si="5"/>
        <v>Cash Short/Over</v>
      </c>
      <c r="G517" s="140"/>
      <c r="H517" s="138">
        <f t="array" ref="H517">IF($A517="","",
  IF(
    OR(
      $A517=23,
      AND($A517&gt;=32,$A517&lt;=50)
    ),
    IFERROR(
      INDEX('Daily Sales'!$C:$AG,
        $A517,
        MATCH(TEXT($B517,"0"),TEXT('Daily Sales'!$C$2:$AG$2,"0"),0)
      ),
    ""),
  "")
)</f>
        <v>0</v>
      </c>
      <c r="I517" s="138" t="str">
        <f t="array" ref="I517">IF($A517="","",
  IF(
    OR(
      AND($A517&gt;=4,$A517&lt;=8),
      AND($A517&gt;=12,$A517&lt;=19),
      AND($A517&gt;=28,$A517&lt;=29)
    ),
    IFERROR(
      INDEX('Daily Sales'!$C:$AG,
        $A517,
        MATCH(TEXT($B517,"0"),TEXT('Daily Sales'!$C$2:$AG$2,"0"),0)
      ),
    ""),
  "")
)</f>
        <v/>
      </c>
      <c r="J517" s="79" t="e">
        <f t="shared" ref="J517:J771" si="6">J516+H517-I517</f>
        <v>#VALUE!</v>
      </c>
      <c r="K517" s="141"/>
      <c r="L517" s="141"/>
      <c r="M517" s="141"/>
      <c r="N517" s="133"/>
      <c r="O517" s="4"/>
      <c r="P517" s="4"/>
      <c r="Q517" s="4"/>
      <c r="R517" s="109"/>
      <c r="S517" s="109"/>
      <c r="T517" s="108"/>
      <c r="U517" s="110"/>
      <c r="V517" s="110"/>
      <c r="W517" s="110"/>
      <c r="X517" s="110"/>
    </row>
    <row r="518" spans="1:24" ht="14.25" customHeight="1">
      <c r="A518" s="110"/>
      <c r="B518" s="125"/>
      <c r="C518" s="126"/>
      <c r="D518" s="15"/>
      <c r="E518" s="10" t="e">
        <f>TRIM(VLOOKUP(D518,TB!$B$9:$C$1500,2,FALSE))</f>
        <v>#N/A</v>
      </c>
      <c r="F518" s="142"/>
      <c r="G518" s="130"/>
      <c r="H518" s="10"/>
      <c r="I518" s="10"/>
      <c r="J518" s="79" t="e">
        <f t="shared" si="6"/>
        <v>#VALUE!</v>
      </c>
      <c r="K518" s="107"/>
      <c r="L518" s="141"/>
      <c r="M518" s="141"/>
      <c r="N518" s="133"/>
      <c r="O518" s="4"/>
      <c r="P518" s="4"/>
      <c r="Q518" s="4"/>
      <c r="R518" s="134"/>
      <c r="S518" s="109"/>
      <c r="T518" s="108"/>
      <c r="U518" s="110"/>
      <c r="V518" s="110"/>
      <c r="W518" s="110"/>
      <c r="X518" s="110"/>
    </row>
    <row r="519" spans="1:24" ht="13.5" customHeight="1">
      <c r="A519" s="110">
        <f>IF(E519="","",MATCH(E519,'Daily Sales'!B$4:B$51,0)+3)</f>
        <v>4</v>
      </c>
      <c r="B519" s="135">
        <v>46190</v>
      </c>
      <c r="C519" s="136" t="s">
        <v>107</v>
      </c>
      <c r="D519" s="137" t="str">
        <f t="array" ref="D519">IF($A519="","",INDEX('Daily Sales'!A:A,$A519))</f>
        <v>4-2100</v>
      </c>
      <c r="E519" s="138" t="s">
        <v>5</v>
      </c>
      <c r="F519" s="139" t="str">
        <f t="shared" ref="F519:F549" si="7">E519</f>
        <v>Sales Food TERRACE</v>
      </c>
      <c r="G519" s="140"/>
      <c r="H519" s="138" t="str">
        <f t="array" ref="H519">IF($A519="","",
  IF(
    OR(
      $A519=23,
      AND($A519&gt;=32,$A519&lt;=50)
    ),
    IFERROR(
      INDEX('Daily Sales'!$C:$AG,
        $A519,
        MATCH(TEXT($B519,"0"),TEXT('Daily Sales'!$C$2:$AG$2,"0"),0)
      ),
    ""),
  "")
)</f>
        <v/>
      </c>
      <c r="I519" s="138">
        <f t="array" ref="I519">IF($A519="","",
  IF(
    OR(
      AND($A519&gt;=4,$A519&lt;=8),
      AND($A519&gt;=12,$A519&lt;=19),
      AND($A519&gt;=28,$A519&lt;=29)
    ),
    IFERROR(
      INDEX('Daily Sales'!$C:$AG,
        $A519,
        MATCH(TEXT($B519,"0"),TEXT('Daily Sales'!$C$2:$AG$2,"0"),0)
      ),
    ""),
  "")
)</f>
        <v>5875875</v>
      </c>
      <c r="J519" s="79" t="e">
        <f t="shared" si="6"/>
        <v>#VALUE!</v>
      </c>
      <c r="K519" s="141"/>
      <c r="L519" s="141"/>
      <c r="M519" s="141"/>
      <c r="N519" s="133"/>
      <c r="O519" s="4"/>
      <c r="P519" s="4"/>
      <c r="Q519" s="4"/>
      <c r="R519" s="109"/>
      <c r="S519" s="109"/>
      <c r="T519" s="108"/>
      <c r="U519" s="110"/>
      <c r="V519" s="110"/>
      <c r="W519" s="110"/>
      <c r="X519" s="110"/>
    </row>
    <row r="520" spans="1:24" ht="13.5" customHeight="1">
      <c r="A520" s="110">
        <f>IF(E520="","",MATCH(E520,'Daily Sales'!B$4:B$51,0)+3)</f>
        <v>5</v>
      </c>
      <c r="B520" s="135">
        <v>46190</v>
      </c>
      <c r="C520" s="136" t="s">
        <v>107</v>
      </c>
      <c r="D520" s="137" t="str">
        <f t="array" ref="D520">IF($A520="","",INDEX('Daily Sales'!A:A,$A520))</f>
        <v>4-2200</v>
      </c>
      <c r="E520" s="138" t="s">
        <v>7</v>
      </c>
      <c r="F520" s="139" t="str">
        <f t="shared" si="7"/>
        <v>Sales Beverages TERRACE</v>
      </c>
      <c r="G520" s="140"/>
      <c r="H520" s="138" t="str">
        <f t="array" ref="H520">IF($A520="","",
  IF(
    OR(
      $A520=23,
      AND($A520&gt;=32,$A520&lt;=50)
    ),
    IFERROR(
      INDEX('Daily Sales'!$C:$AG,
        $A520,
        MATCH(TEXT($B520,"0"),TEXT('Daily Sales'!$C$2:$AG$2,"0"),0)
      ),
    ""),
  "")
)</f>
        <v/>
      </c>
      <c r="I520" s="138">
        <f t="array" ref="I520">IF($A520="","",
  IF(
    OR(
      AND($A520&gt;=4,$A520&lt;=8),
      AND($A520&gt;=12,$A520&lt;=19),
      AND($A520&gt;=28,$A520&lt;=29)
    ),
    IFERROR(
      INDEX('Daily Sales'!$C:$AG,
        $A520,
        MATCH(TEXT($B520,"0"),TEXT('Daily Sales'!$C$2:$AG$2,"0"),0)
      ),
    ""),
  "")
)</f>
        <v>11605000</v>
      </c>
      <c r="J520" s="79" t="e">
        <f t="shared" si="6"/>
        <v>#VALUE!</v>
      </c>
      <c r="K520" s="141"/>
      <c r="L520" s="141"/>
      <c r="M520" s="141"/>
      <c r="N520" s="133"/>
      <c r="O520" s="4"/>
      <c r="P520" s="4"/>
      <c r="Q520" s="4"/>
      <c r="R520" s="109"/>
      <c r="S520" s="109"/>
      <c r="T520" s="108"/>
      <c r="U520" s="110"/>
      <c r="V520" s="110"/>
      <c r="W520" s="110"/>
      <c r="X520" s="110"/>
    </row>
    <row r="521" spans="1:24" ht="13.5" customHeight="1">
      <c r="A521" s="110">
        <f>IF(E521="","",MATCH(E521,'Daily Sales'!B$4:B$51,0)+3)</f>
        <v>6</v>
      </c>
      <c r="B521" s="135">
        <v>46190</v>
      </c>
      <c r="C521" s="136" t="s">
        <v>107</v>
      </c>
      <c r="D521" s="137" t="str">
        <f t="array" ref="D521">IF($A521="","",INDEX('Daily Sales'!A:A,$A521))</f>
        <v>4-2400</v>
      </c>
      <c r="E521" s="138" t="s">
        <v>9</v>
      </c>
      <c r="F521" s="139" t="str">
        <f t="shared" si="7"/>
        <v>Sales Cigarette TERRACE</v>
      </c>
      <c r="G521" s="140"/>
      <c r="H521" s="138" t="str">
        <f t="array" ref="H521">IF($A521="","",
  IF(
    OR(
      $A521=23,
      AND($A521&gt;=32,$A521&lt;=50)
    ),
    IFERROR(
      INDEX('Daily Sales'!$C:$AG,
        $A521,
        MATCH(TEXT($B521,"0"),TEXT('Daily Sales'!$C$2:$AG$2,"0"),0)
      ),
    ""),
  "")
)</f>
        <v/>
      </c>
      <c r="I521" s="138">
        <f t="array" ref="I521">IF($A521="","",
  IF(
    OR(
      AND($A521&gt;=4,$A521&lt;=8),
      AND($A521&gt;=12,$A521&lt;=19),
      AND($A521&gt;=28,$A521&lt;=29)
    ),
    IFERROR(
      INDEX('Daily Sales'!$C:$AG,
        $A521,
        MATCH(TEXT($B521,"0"),TEXT('Daily Sales'!$C$2:$AG$2,"0"),0)
      ),
    ""),
  "")
)</f>
        <v>70000</v>
      </c>
      <c r="J521" s="79" t="e">
        <f t="shared" si="6"/>
        <v>#VALUE!</v>
      </c>
      <c r="K521" s="141"/>
      <c r="L521" s="141"/>
      <c r="M521" s="141"/>
      <c r="N521" s="133"/>
      <c r="O521" s="4"/>
      <c r="P521" s="4"/>
      <c r="Q521" s="4"/>
      <c r="R521" s="109"/>
      <c r="S521" s="109"/>
      <c r="T521" s="108"/>
      <c r="U521" s="110"/>
      <c r="V521" s="110"/>
      <c r="W521" s="110"/>
      <c r="X521" s="110"/>
    </row>
    <row r="522" spans="1:24" ht="13.5" customHeight="1">
      <c r="A522" s="110">
        <f>IF(E522="","",MATCH(E522,'Daily Sales'!B$4:B$51,0)+3)</f>
        <v>7</v>
      </c>
      <c r="B522" s="135">
        <v>46190</v>
      </c>
      <c r="C522" s="136" t="s">
        <v>107</v>
      </c>
      <c r="D522" s="137" t="str">
        <f t="array" ref="D522">IF($A522="","",INDEX('Daily Sales'!A:A,$A522))</f>
        <v>4-2300</v>
      </c>
      <c r="E522" s="138" t="s">
        <v>11</v>
      </c>
      <c r="F522" s="139" t="str">
        <f t="shared" si="7"/>
        <v>Sales Shisa TERRACE</v>
      </c>
      <c r="G522" s="140"/>
      <c r="H522" s="138" t="str">
        <f t="array" ref="H522">IF($A522="","",
  IF(
    OR(
      $A522=23,
      AND($A522&gt;=32,$A522&lt;=50)
    ),
    IFERROR(
      INDEX('Daily Sales'!$C:$AG,
        $A522,
        MATCH(TEXT($B522,"0"),TEXT('Daily Sales'!$C$2:$AG$2,"0"),0)
      ),
    ""),
  "")
)</f>
        <v/>
      </c>
      <c r="I522" s="138">
        <f t="array" ref="I522">IF($A522="","",
  IF(
    OR(
      AND($A522&gt;=4,$A522&lt;=8),
      AND($A522&gt;=12,$A522&lt;=19),
      AND($A522&gt;=28,$A522&lt;=29)
    ),
    IFERROR(
      INDEX('Daily Sales'!$C:$AG,
        $A522,
        MATCH(TEXT($B522,"0"),TEXT('Daily Sales'!$C$2:$AG$2,"0"),0)
      ),
    ""),
  "")
)</f>
        <v>0</v>
      </c>
      <c r="J522" s="79" t="e">
        <f t="shared" si="6"/>
        <v>#VALUE!</v>
      </c>
      <c r="K522" s="141"/>
      <c r="L522" s="141"/>
      <c r="M522" s="141"/>
      <c r="N522" s="133"/>
      <c r="O522" s="4"/>
      <c r="P522" s="4"/>
      <c r="Q522" s="4"/>
      <c r="R522" s="109"/>
      <c r="S522" s="109"/>
      <c r="T522" s="108"/>
      <c r="U522" s="110"/>
      <c r="V522" s="110"/>
      <c r="W522" s="110"/>
      <c r="X522" s="110"/>
    </row>
    <row r="523" spans="1:24" ht="13.5" customHeight="1">
      <c r="A523" s="110">
        <f>IF(E523="","",MATCH(E523,'Daily Sales'!B$4:B$51,0)+3)</f>
        <v>12</v>
      </c>
      <c r="B523" s="135">
        <v>46190</v>
      </c>
      <c r="C523" s="136" t="s">
        <v>107</v>
      </c>
      <c r="D523" s="137" t="str">
        <f t="array" ref="D523">IF($A523="","",INDEX('Daily Sales'!A:A,$A523))</f>
        <v>4-2200</v>
      </c>
      <c r="E523" s="138" t="s">
        <v>17</v>
      </c>
      <c r="F523" s="139" t="str">
        <f t="shared" si="7"/>
        <v>Sales Beverages CLUB</v>
      </c>
      <c r="G523" s="140"/>
      <c r="H523" s="138" t="str">
        <f t="array" ref="H523">IF($A523="","",
  IF(
    OR(
      $A523=23,
      AND($A523&gt;=32,$A523&lt;=50)
    ),
    IFERROR(
      INDEX('Daily Sales'!$C:$AG,
        $A523,
        MATCH(TEXT($B523,"0"),TEXT('Daily Sales'!$C$2:$AG$2,"0"),0)
      ),
    ""),
  "")
)</f>
        <v/>
      </c>
      <c r="I523" s="138">
        <f t="array" ref="I523">IF($A523="","",
  IF(
    OR(
      AND($A523&gt;=4,$A523&lt;=8),
      AND($A523&gt;=12,$A523&lt;=19),
      AND($A523&gt;=28,$A523&lt;=29)
    ),
    IFERROR(
      INDEX('Daily Sales'!$C:$AG,
        $A523,
        MATCH(TEXT($B523,"0"),TEXT('Daily Sales'!$C$2:$AG$2,"0"),0)
      ),
    ""),
  "")
)</f>
        <v>27260000</v>
      </c>
      <c r="J523" s="79" t="e">
        <f t="shared" si="6"/>
        <v>#VALUE!</v>
      </c>
      <c r="K523" s="141"/>
      <c r="L523" s="141"/>
      <c r="M523" s="141"/>
      <c r="N523" s="133"/>
      <c r="O523" s="4"/>
      <c r="P523" s="4"/>
      <c r="Q523" s="4"/>
      <c r="R523" s="109"/>
      <c r="S523" s="109"/>
      <c r="T523" s="108"/>
      <c r="U523" s="110"/>
      <c r="V523" s="110"/>
      <c r="W523" s="110"/>
      <c r="X523" s="110"/>
    </row>
    <row r="524" spans="1:24" ht="13.5" customHeight="1">
      <c r="A524" s="110">
        <f>IF(E524="","",MATCH(E524,'Daily Sales'!B$4:B$51,0)+3)</f>
        <v>13</v>
      </c>
      <c r="B524" s="135">
        <v>46190</v>
      </c>
      <c r="C524" s="136" t="s">
        <v>107</v>
      </c>
      <c r="D524" s="137" t="str">
        <f t="array" ref="D524">IF($A524="","",INDEX('Daily Sales'!A:A,$A524))</f>
        <v>4-2400</v>
      </c>
      <c r="E524" s="138" t="s">
        <v>18</v>
      </c>
      <c r="F524" s="139" t="str">
        <f t="shared" si="7"/>
        <v>Sales Cigarette CLUB</v>
      </c>
      <c r="G524" s="140"/>
      <c r="H524" s="138" t="str">
        <f t="array" ref="H524">IF($A524="","",
  IF(
    OR(
      $A524=23,
      AND($A524&gt;=32,$A524&lt;=50)
    ),
    IFERROR(
      INDEX('Daily Sales'!$C:$AG,
        $A524,
        MATCH(TEXT($B524,"0"),TEXT('Daily Sales'!$C$2:$AG$2,"0"),0)
      ),
    ""),
  "")
)</f>
        <v/>
      </c>
      <c r="I524" s="138">
        <f t="array" ref="I524">IF($A524="","",
  IF(
    OR(
      AND($A524&gt;=4,$A524&lt;=8),
      AND($A524&gt;=12,$A524&lt;=19),
      AND($A524&gt;=28,$A524&lt;=29)
    ),
    IFERROR(
      INDEX('Daily Sales'!$C:$AG,
        $A524,
        MATCH(TEXT($B524,"0"),TEXT('Daily Sales'!$C$2:$AG$2,"0"),0)
      ),
    ""),
  "")
)</f>
        <v>700000</v>
      </c>
      <c r="J524" s="79" t="e">
        <f t="shared" si="6"/>
        <v>#VALUE!</v>
      </c>
      <c r="K524" s="141"/>
      <c r="L524" s="141"/>
      <c r="M524" s="141"/>
      <c r="N524" s="133"/>
      <c r="O524" s="4"/>
      <c r="P524" s="4"/>
      <c r="Q524" s="4"/>
      <c r="R524" s="109"/>
      <c r="S524" s="109"/>
      <c r="T524" s="108"/>
      <c r="U524" s="110"/>
      <c r="V524" s="110"/>
      <c r="W524" s="110"/>
      <c r="X524" s="110"/>
    </row>
    <row r="525" spans="1:24" ht="13.5" customHeight="1">
      <c r="A525" s="110">
        <f>IF(E525="","",MATCH(E525,'Daily Sales'!B$4:B$51,0)+3)</f>
        <v>14</v>
      </c>
      <c r="B525" s="135">
        <v>46190</v>
      </c>
      <c r="C525" s="136" t="s">
        <v>107</v>
      </c>
      <c r="D525" s="137" t="str">
        <f t="array" ref="D525">IF($A525="","",INDEX('Daily Sales'!A:A,$A525))</f>
        <v>4-2100</v>
      </c>
      <c r="E525" s="138" t="s">
        <v>19</v>
      </c>
      <c r="F525" s="139" t="str">
        <f t="shared" si="7"/>
        <v>Sales Food CLUB</v>
      </c>
      <c r="G525" s="140"/>
      <c r="H525" s="138" t="str">
        <f t="array" ref="H525">IF($A525="","",
  IF(
    OR(
      $A525=23,
      AND($A525&gt;=32,$A525&lt;=50)
    ),
    IFERROR(
      INDEX('Daily Sales'!$C:$AG,
        $A525,
        MATCH(TEXT($B525,"0"),TEXT('Daily Sales'!$C$2:$AG$2,"0"),0)
      ),
    ""),
  "")
)</f>
        <v/>
      </c>
      <c r="I525" s="138">
        <f t="array" ref="I525">IF($A525="","",
  IF(
    OR(
      AND($A525&gt;=4,$A525&lt;=8),
      AND($A525&gt;=12,$A525&lt;=19),
      AND($A525&gt;=28,$A525&lt;=29)
    ),
    IFERROR(
      INDEX('Daily Sales'!$C:$AG,
        $A525,
        MATCH(TEXT($B525,"0"),TEXT('Daily Sales'!$C$2:$AG$2,"0"),0)
      ),
    ""),
  "")
)</f>
        <v>100000</v>
      </c>
      <c r="J525" s="79" t="e">
        <f t="shared" si="6"/>
        <v>#VALUE!</v>
      </c>
      <c r="K525" s="141"/>
      <c r="L525" s="141"/>
      <c r="M525" s="141"/>
      <c r="N525" s="133"/>
      <c r="O525" s="4"/>
      <c r="P525" s="4"/>
      <c r="Q525" s="4"/>
      <c r="R525" s="109"/>
      <c r="S525" s="109"/>
      <c r="T525" s="108"/>
      <c r="U525" s="110"/>
      <c r="V525" s="110"/>
      <c r="W525" s="110"/>
      <c r="X525" s="110"/>
    </row>
    <row r="526" spans="1:24" ht="13.5" customHeight="1">
      <c r="A526" s="110">
        <f>IF(E526="","",MATCH(E526,'Daily Sales'!B$4:B$51,0)+3)</f>
        <v>15</v>
      </c>
      <c r="B526" s="135">
        <v>46190</v>
      </c>
      <c r="C526" s="136" t="s">
        <v>107</v>
      </c>
      <c r="D526" s="137" t="str">
        <f t="array" ref="D526">IF($A526="","",INDEX('Daily Sales'!A:A,$A526))</f>
        <v>4-2300</v>
      </c>
      <c r="E526" s="138" t="s">
        <v>20</v>
      </c>
      <c r="F526" s="139" t="str">
        <f t="shared" si="7"/>
        <v>Sales Shisa CLUB</v>
      </c>
      <c r="G526" s="140"/>
      <c r="H526" s="138" t="str">
        <f t="array" ref="H526">IF($A526="","",
  IF(
    OR(
      $A526=23,
      AND($A526&gt;=32,$A526&lt;=50)
    ),
    IFERROR(
      INDEX('Daily Sales'!$C:$AG,
        $A526,
        MATCH(TEXT($B526,"0"),TEXT('Daily Sales'!$C$2:$AG$2,"0"),0)
      ),
    ""),
  "")
)</f>
        <v/>
      </c>
      <c r="I526" s="138">
        <f t="array" ref="I526">IF($A526="","",
  IF(
    OR(
      AND($A526&gt;=4,$A526&lt;=8),
      AND($A526&gt;=12,$A526&lt;=19),
      AND($A526&gt;=28,$A526&lt;=29)
    ),
    IFERROR(
      INDEX('Daily Sales'!$C:$AG,
        $A526,
        MATCH(TEXT($B526,"0"),TEXT('Daily Sales'!$C$2:$AG$2,"0"),0)
      ),
    ""),
  "")
)</f>
        <v>0</v>
      </c>
      <c r="J526" s="79" t="e">
        <f t="shared" si="6"/>
        <v>#VALUE!</v>
      </c>
      <c r="K526" s="141"/>
      <c r="L526" s="141"/>
      <c r="M526" s="141"/>
      <c r="N526" s="133"/>
      <c r="O526" s="4"/>
      <c r="P526" s="4"/>
      <c r="Q526" s="4"/>
      <c r="R526" s="109"/>
      <c r="S526" s="109"/>
      <c r="T526" s="108"/>
      <c r="U526" s="110"/>
      <c r="V526" s="110"/>
      <c r="W526" s="110"/>
      <c r="X526" s="110"/>
    </row>
    <row r="527" spans="1:24" ht="13.5" customHeight="1">
      <c r="A527" s="110">
        <f>IF(E527="","",MATCH(E527,'Daily Sales'!B$4:B$51,0)+3)</f>
        <v>17</v>
      </c>
      <c r="B527" s="135">
        <v>46190</v>
      </c>
      <c r="C527" s="136" t="s">
        <v>107</v>
      </c>
      <c r="D527" s="137" t="str">
        <f t="array" ref="D527">IF($A527="","",INDEX('Daily Sales'!A:A,$A527))</f>
        <v>4-2601</v>
      </c>
      <c r="E527" s="138" t="s">
        <v>23</v>
      </c>
      <c r="F527" s="139" t="str">
        <f t="shared" si="7"/>
        <v xml:space="preserve">Misc </v>
      </c>
      <c r="G527" s="140"/>
      <c r="H527" s="138" t="str">
        <f t="array" ref="H527">IF($A527="","",
  IF(
    OR(
      $A527=23,
      AND($A527&gt;=32,$A527&lt;=50)
    ),
    IFERROR(
      INDEX('Daily Sales'!$C:$AG,
        $A527,
        MATCH(TEXT($B527,"0"),TEXT('Daily Sales'!$C$2:$AG$2,"0"),0)
      ),
    ""),
  "")
)</f>
        <v/>
      </c>
      <c r="I527" s="138">
        <f t="array" ref="I527">IF($A527="","",
  IF(
    OR(
      AND($A527&gt;=4,$A527&lt;=8),
      AND($A527&gt;=12,$A527&lt;=19),
      AND($A527&gt;=28,$A527&lt;=29)
    ),
    IFERROR(
      INDEX('Daily Sales'!$C:$AG,
        $A527,
        MATCH(TEXT($B527,"0"),TEXT('Daily Sales'!$C$2:$AG$2,"0"),0)
      ),
    ""),
  "")
)</f>
        <v>0</v>
      </c>
      <c r="J527" s="79" t="e">
        <f t="shared" si="6"/>
        <v>#VALUE!</v>
      </c>
      <c r="K527" s="141"/>
      <c r="L527" s="141"/>
      <c r="M527" s="141"/>
      <c r="N527" s="133"/>
      <c r="O527" s="4"/>
      <c r="P527" s="4"/>
      <c r="Q527" s="4"/>
      <c r="R527" s="109"/>
      <c r="S527" s="109"/>
      <c r="T527" s="108"/>
      <c r="U527" s="110"/>
      <c r="V527" s="110"/>
      <c r="W527" s="110"/>
      <c r="X527" s="110"/>
    </row>
    <row r="528" spans="1:24" ht="13.5" customHeight="1">
      <c r="A528" s="110">
        <f>IF(E528="","",MATCH(E528,'Daily Sales'!B$4:B$51,0)+3)</f>
        <v>19</v>
      </c>
      <c r="B528" s="135">
        <v>46190</v>
      </c>
      <c r="C528" s="136" t="s">
        <v>107</v>
      </c>
      <c r="D528" s="137" t="str">
        <f t="array" ref="D528">IF($A528="","",INDEX('Daily Sales'!A:A,$A528))</f>
        <v>4-2500</v>
      </c>
      <c r="E528" s="138" t="s">
        <v>26</v>
      </c>
      <c r="F528" s="139" t="str">
        <f t="shared" si="7"/>
        <v>Sales Ticket</v>
      </c>
      <c r="G528" s="140"/>
      <c r="H528" s="138" t="str">
        <f t="array" ref="H528">IF($A528="","",
  IF(
    OR(
      $A528=23,
      AND($A528&gt;=32,$A528&lt;=50)
    ),
    IFERROR(
      INDEX('Daily Sales'!$C:$AG,
        $A528,
        MATCH(TEXT($B528,"0"),TEXT('Daily Sales'!$C$2:$AG$2,"0"),0)
      ),
    ""),
  "")
)</f>
        <v/>
      </c>
      <c r="I528" s="138">
        <f t="array" ref="I528">IF($A528="","",
  IF(
    OR(
      AND($A528&gt;=4,$A528&lt;=8),
      AND($A528&gt;=12,$A528&lt;=19),
      AND($A528&gt;=28,$A528&lt;=29)
    ),
    IFERROR(
      INDEX('Daily Sales'!$C:$AG,
        $A528,
        MATCH(TEXT($B528,"0"),TEXT('Daily Sales'!$C$2:$AG$2,"0"),0)
      ),
    ""),
  "")
)</f>
        <v>10905212</v>
      </c>
      <c r="J528" s="79" t="e">
        <f t="shared" si="6"/>
        <v>#VALUE!</v>
      </c>
      <c r="K528" s="141"/>
      <c r="L528" s="141"/>
      <c r="M528" s="141"/>
      <c r="N528" s="133"/>
      <c r="O528" s="4"/>
      <c r="P528" s="4"/>
      <c r="Q528" s="4"/>
      <c r="R528" s="109"/>
      <c r="S528" s="109"/>
      <c r="T528" s="108"/>
      <c r="U528" s="110"/>
      <c r="V528" s="110"/>
      <c r="W528" s="110"/>
      <c r="X528" s="110"/>
    </row>
    <row r="529" spans="1:24" ht="13.5" customHeight="1">
      <c r="A529" s="110">
        <f>IF(E529="","",MATCH(E529,'Daily Sales'!B$4:B$51,0)+3)</f>
        <v>28</v>
      </c>
      <c r="B529" s="135">
        <v>46190</v>
      </c>
      <c r="C529" s="136" t="s">
        <v>107</v>
      </c>
      <c r="D529" s="137" t="str">
        <f t="array" ref="D529">IF($A529="","",INDEX('Daily Sales'!A:A,$A529))</f>
        <v>2-2106</v>
      </c>
      <c r="E529" s="138" t="s">
        <v>35</v>
      </c>
      <c r="F529" s="139" t="str">
        <f t="shared" si="7"/>
        <v>Service Charges 7%</v>
      </c>
      <c r="G529" s="140"/>
      <c r="H529" s="138" t="str">
        <f t="array" ref="H529">IF($A529="","",
  IF(
    OR(
      $A529=23,
      AND($A529&gt;=32,$A529&lt;=50)
    ),
    IFERROR(
      INDEX('Daily Sales'!$C:$AG,
        $A529,
        MATCH(TEXT($B529,"0"),TEXT('Daily Sales'!$C$2:$AG$2,"0"),0)
      ),
    ""),
  "")
)</f>
        <v/>
      </c>
      <c r="I529" s="138">
        <f t="array" ref="I529">IF($A529="","",
  IF(
    OR(
      AND($A529&gt;=4,$A529&lt;=8),
      AND($A529&gt;=12,$A529&lt;=19),
      AND($A529&gt;=28,$A529&lt;=29)
    ),
    IFERROR(
      INDEX('Daily Sales'!$C:$AG,
        $A529,
        MATCH(TEXT($B529,"0"),TEXT('Daily Sales'!$C$2:$AG$2,"0"),0)
      ),
    ""),
  "")
)</f>
        <v>3818095</v>
      </c>
      <c r="J529" s="79" t="e">
        <f t="shared" si="6"/>
        <v>#VALUE!</v>
      </c>
      <c r="K529" s="141"/>
      <c r="L529" s="141"/>
      <c r="M529" s="141"/>
      <c r="N529" s="133"/>
      <c r="O529" s="4"/>
      <c r="P529" s="4"/>
      <c r="Q529" s="4"/>
      <c r="R529" s="109"/>
      <c r="S529" s="109"/>
      <c r="T529" s="108"/>
      <c r="U529" s="110"/>
      <c r="V529" s="110"/>
      <c r="W529" s="110"/>
      <c r="X529" s="110"/>
    </row>
    <row r="530" spans="1:24" ht="13.5" customHeight="1">
      <c r="A530" s="110">
        <f>IF(E530="","",MATCH(E530,'Daily Sales'!B$4:B$51,0)+3)</f>
        <v>29</v>
      </c>
      <c r="B530" s="135">
        <v>46190</v>
      </c>
      <c r="C530" s="136" t="s">
        <v>107</v>
      </c>
      <c r="D530" s="137" t="str">
        <f t="array" ref="D530">IF($A530="","",INDEX('Daily Sales'!A:A,$A530))</f>
        <v>2-3101</v>
      </c>
      <c r="E530" s="138" t="s">
        <v>37</v>
      </c>
      <c r="F530" s="139" t="str">
        <f t="shared" si="7"/>
        <v>Tax PB1 10%</v>
      </c>
      <c r="G530" s="140"/>
      <c r="H530" s="138" t="str">
        <f t="array" ref="H530">IF($A530="","",
  IF(
    OR(
      $A530=23,
      AND($A530&gt;=32,$A530&lt;=50)
    ),
    IFERROR(
      INDEX('Daily Sales'!$C:$AG,
        $A530,
        MATCH(TEXT($B530,"0"),TEXT('Daily Sales'!$C$2:$AG$2,"0"),0)
      ),
    ""),
  "")
)</f>
        <v/>
      </c>
      <c r="I530" s="138">
        <f t="array" ref="I530">IF($A530="","",
  IF(
    OR(
      AND($A530&gt;=4,$A530&lt;=8),
      AND($A530&gt;=12,$A530&lt;=19),
      AND($A530&gt;=28,$A530&lt;=29)
    ),
    IFERROR(
      INDEX('Daily Sales'!$C:$AG,
        $A530,
        MATCH(TEXT($B530,"0"),TEXT('Daily Sales'!$C$2:$AG$2,"0"),0)
      ),
    ""),
  "")
)</f>
        <v>5836232</v>
      </c>
      <c r="J530" s="79" t="e">
        <f t="shared" si="6"/>
        <v>#VALUE!</v>
      </c>
      <c r="K530" s="141"/>
      <c r="L530" s="141"/>
      <c r="M530" s="141"/>
      <c r="N530" s="133"/>
      <c r="O530" s="4"/>
      <c r="P530" s="4"/>
      <c r="Q530" s="4"/>
      <c r="R530" s="109"/>
      <c r="S530" s="109"/>
      <c r="T530" s="108"/>
      <c r="U530" s="110"/>
      <c r="V530" s="110"/>
      <c r="W530" s="110"/>
      <c r="X530" s="110"/>
    </row>
    <row r="531" spans="1:24" ht="13.5" customHeight="1">
      <c r="A531" s="110">
        <f>IF(E531="","",MATCH(E531,'Daily Sales'!B$4:B$51,0)+3)</f>
        <v>23</v>
      </c>
      <c r="B531" s="135">
        <v>46190</v>
      </c>
      <c r="C531" s="136" t="s">
        <v>107</v>
      </c>
      <c r="D531" s="137" t="str">
        <f t="array" ref="D531">IF($A531="","",INDEX('Daily Sales'!A:A,$A531))</f>
        <v>4-5110</v>
      </c>
      <c r="E531" s="138" t="s">
        <v>30</v>
      </c>
      <c r="F531" s="139" t="str">
        <f t="shared" si="7"/>
        <v>Discount</v>
      </c>
      <c r="G531" s="140"/>
      <c r="H531" s="138">
        <f t="array" ref="H531">IF($A531="","",
  IF(
    OR(
      $A531=23,
      AND($A531&gt;=32,$A531&lt;=50)
    ),
    IFERROR(
      INDEX('Daily Sales'!$C:$AG,
        $A531,
        MATCH(TEXT($B531,"0"),TEXT('Daily Sales'!$C$2:$AG$2,"0"),0)
      ),
    ""),
  "")
)</f>
        <v>401000</v>
      </c>
      <c r="I531" s="138" t="str">
        <f t="array" ref="I531">IF($A531="","",
  IF(
    OR(
      AND($A531&gt;=4,$A531&lt;=8),
      AND($A531&gt;=12,$A531&lt;=19),
      AND($A531&gt;=28,$A531&lt;=29)
    ),
    IFERROR(
      INDEX('Daily Sales'!$C:$AG,
        $A531,
        MATCH(TEXT($B531,"0"),TEXT('Daily Sales'!$C$2:$AG$2,"0"),0)
      ),
    ""),
  "")
)</f>
        <v/>
      </c>
      <c r="J531" s="79" t="e">
        <f t="shared" si="6"/>
        <v>#VALUE!</v>
      </c>
      <c r="K531" s="141"/>
      <c r="L531" s="141"/>
      <c r="M531" s="141"/>
      <c r="N531" s="133"/>
      <c r="O531" s="4"/>
      <c r="P531" s="4"/>
      <c r="Q531" s="4"/>
      <c r="R531" s="109"/>
      <c r="S531" s="109"/>
      <c r="T531" s="108"/>
      <c r="U531" s="110"/>
      <c r="V531" s="110"/>
      <c r="W531" s="110"/>
      <c r="X531" s="110"/>
    </row>
    <row r="532" spans="1:24" ht="13.5" customHeight="1">
      <c r="A532" s="110">
        <f>IF(E532="","",MATCH(E532,'Daily Sales'!B$4:B$51,0)+3)</f>
        <v>32</v>
      </c>
      <c r="B532" s="135">
        <v>46190</v>
      </c>
      <c r="C532" s="136" t="s">
        <v>107</v>
      </c>
      <c r="D532" s="137" t="str">
        <f t="array" ref="D532">IF($A532="","",INDEX('Daily Sales'!A:A,$A532))</f>
        <v>1-1119</v>
      </c>
      <c r="E532" s="138" t="s">
        <v>40</v>
      </c>
      <c r="F532" s="139" t="str">
        <f t="shared" si="7"/>
        <v>Cash IDR</v>
      </c>
      <c r="G532" s="140"/>
      <c r="H532" s="138">
        <f t="array" ref="H532">IF($A532="","",
  IF(
    OR(
      $A532=23,
      AND($A532&gt;=32,$A532&lt;=50)
    ),
    IFERROR(
      INDEX('Daily Sales'!$C:$AG,
        $A532,
        MATCH(TEXT($B532,"0"),TEXT('Daily Sales'!$C$2:$AG$2,"0"),0)
      ),
    ""),
  "")
)</f>
        <v>9231710</v>
      </c>
      <c r="I532" s="138" t="str">
        <f t="array" ref="I532">IF($A532="","",
  IF(
    OR(
      AND($A532&gt;=4,$A532&lt;=8),
      AND($A532&gt;=12,$A532&lt;=19),
      AND($A532&gt;=28,$A532&lt;=29)
    ),
    IFERROR(
      INDEX('Daily Sales'!$C:$AG,
        $A532,
        MATCH(TEXT($B532,"0"),TEXT('Daily Sales'!$C$2:$AG$2,"0"),0)
      ),
    ""),
  "")
)</f>
        <v/>
      </c>
      <c r="J532" s="79" t="e">
        <f t="shared" si="6"/>
        <v>#VALUE!</v>
      </c>
      <c r="K532" s="141"/>
      <c r="L532" s="141"/>
      <c r="M532" s="141"/>
      <c r="N532" s="133"/>
      <c r="O532" s="4"/>
      <c r="P532" s="4"/>
      <c r="Q532" s="4"/>
      <c r="R532" s="109"/>
      <c r="S532" s="109"/>
      <c r="T532" s="108"/>
      <c r="U532" s="110"/>
      <c r="V532" s="110"/>
      <c r="W532" s="110"/>
      <c r="X532" s="110"/>
    </row>
    <row r="533" spans="1:24" ht="13.5" customHeight="1">
      <c r="A533" s="110">
        <f>IF(E533="","",MATCH(E533,'Daily Sales'!B$4:B$51,0)+3)</f>
        <v>33</v>
      </c>
      <c r="B533" s="135">
        <v>46190</v>
      </c>
      <c r="C533" s="136" t="s">
        <v>107</v>
      </c>
      <c r="D533" s="137" t="str">
        <f t="array" ref="D533">IF($A533="","",INDEX('Daily Sales'!A:A,$A533))</f>
        <v>1-1217</v>
      </c>
      <c r="E533" s="138" t="s">
        <v>43</v>
      </c>
      <c r="F533" s="139" t="str">
        <f t="shared" si="7"/>
        <v>Bank transfer</v>
      </c>
      <c r="G533" s="140"/>
      <c r="H533" s="138">
        <f t="array" ref="H533">IF($A533="","",
  IF(
    OR(
      $A533=23,
      AND($A533&gt;=32,$A533&lt;=50)
    ),
    IFERROR(
      INDEX('Daily Sales'!$C:$AG,
        $A533,
        MATCH(TEXT($B533,"0"),TEXT('Daily Sales'!$C$2:$AG$2,"0"),0)
      ),
    ""),
  "")
)</f>
        <v>0</v>
      </c>
      <c r="I533" s="138" t="str">
        <f t="array" ref="I533">IF($A533="","",
  IF(
    OR(
      AND($A533&gt;=4,$A533&lt;=8),
      AND($A533&gt;=12,$A533&lt;=19),
      AND($A533&gt;=28,$A533&lt;=29)
    ),
    IFERROR(
      INDEX('Daily Sales'!$C:$AG,
        $A533,
        MATCH(TEXT($B533,"0"),TEXT('Daily Sales'!$C$2:$AG$2,"0"),0)
      ),
    ""),
  "")
)</f>
        <v/>
      </c>
      <c r="J533" s="79" t="e">
        <f t="shared" si="6"/>
        <v>#VALUE!</v>
      </c>
      <c r="K533" s="141"/>
      <c r="L533" s="141"/>
      <c r="M533" s="141"/>
      <c r="N533" s="133"/>
      <c r="O533" s="4"/>
      <c r="P533" s="4"/>
      <c r="Q533" s="4"/>
      <c r="R533" s="109"/>
      <c r="S533" s="109"/>
      <c r="T533" s="108"/>
      <c r="U533" s="110"/>
      <c r="V533" s="110"/>
      <c r="W533" s="110"/>
      <c r="X533" s="110"/>
    </row>
    <row r="534" spans="1:24" ht="13.5" customHeight="1">
      <c r="A534" s="110">
        <f>IF(E534="","",MATCH(E534,'Daily Sales'!B$4:B$51,0)+3)</f>
        <v>35</v>
      </c>
      <c r="B534" s="135">
        <v>46190</v>
      </c>
      <c r="C534" s="136" t="s">
        <v>107</v>
      </c>
      <c r="D534" s="137" t="str">
        <f t="array" ref="D534">IF($A534="","",INDEX('Daily Sales'!A:A,$A534))</f>
        <v>1-1216</v>
      </c>
      <c r="E534" s="138" t="s">
        <v>46</v>
      </c>
      <c r="F534" s="139" t="str">
        <f t="shared" si="7"/>
        <v>Cim Niaga TBB</v>
      </c>
      <c r="G534" s="140"/>
      <c r="H534" s="138">
        <f t="array" ref="H534">IF($A534="","",
  IF(
    OR(
      $A534=23,
      AND($A534&gt;=32,$A534&lt;=50)
    ),
    IFERROR(
      INDEX('Daily Sales'!$C:$AG,
        $A534,
        MATCH(TEXT($B534,"0"),TEXT('Daily Sales'!$C$2:$AG$2,"0"),0)
      ),
    ""),
  "")
)</f>
        <v>0</v>
      </c>
      <c r="I534" s="138" t="str">
        <f t="array" ref="I534">IF($A534="","",
  IF(
    OR(
      AND($A534&gt;=4,$A534&lt;=8),
      AND($A534&gt;=12,$A534&lt;=19),
      AND($A534&gt;=28,$A534&lt;=29)
    ),
    IFERROR(
      INDEX('Daily Sales'!$C:$AG,
        $A534,
        MATCH(TEXT($B534,"0"),TEXT('Daily Sales'!$C$2:$AG$2,"0"),0)
      ),
    ""),
  "")
)</f>
        <v/>
      </c>
      <c r="J534" s="79" t="e">
        <f t="shared" si="6"/>
        <v>#VALUE!</v>
      </c>
      <c r="K534" s="141"/>
      <c r="L534" s="141"/>
      <c r="M534" s="141"/>
      <c r="N534" s="133"/>
      <c r="O534" s="4"/>
      <c r="P534" s="4"/>
      <c r="Q534" s="4"/>
      <c r="R534" s="109"/>
      <c r="S534" s="109"/>
      <c r="T534" s="108"/>
      <c r="U534" s="110"/>
      <c r="V534" s="110"/>
      <c r="W534" s="110"/>
      <c r="X534" s="110"/>
    </row>
    <row r="535" spans="1:24" ht="13.5" customHeight="1">
      <c r="A535" s="110">
        <f>IF(E535="","",MATCH(E535,'Daily Sales'!B$4:B$51,0)+3)</f>
        <v>36</v>
      </c>
      <c r="B535" s="135">
        <v>46190</v>
      </c>
      <c r="C535" s="136" t="s">
        <v>107</v>
      </c>
      <c r="D535" s="137" t="str">
        <f t="array" ref="D535">IF($A535="","",INDEX('Daily Sales'!A:A,$A535))</f>
        <v>1-1213</v>
      </c>
      <c r="E535" s="138" t="s">
        <v>49</v>
      </c>
      <c r="F535" s="139" t="str">
        <f t="shared" si="7"/>
        <v>Mandiri Debet</v>
      </c>
      <c r="G535" s="140"/>
      <c r="H535" s="138">
        <f t="array" ref="H535">IF($A535="","",
  IF(
    OR(
      $A535=23,
      AND($A535&gt;=32,$A535&lt;=50)
    ),
    IFERROR(
      INDEX('Daily Sales'!$C:$AG,
        $A535,
        MATCH(TEXT($B535,"0"),TEXT('Daily Sales'!$C$2:$AG$2,"0"),0)
      ),
    ""),
  "")
)</f>
        <v>200000</v>
      </c>
      <c r="I535" s="138" t="str">
        <f t="array" ref="I535">IF($A535="","",
  IF(
    OR(
      AND($A535&gt;=4,$A535&lt;=8),
      AND($A535&gt;=12,$A535&lt;=19),
      AND($A535&gt;=28,$A535&lt;=29)
    ),
    IFERROR(
      INDEX('Daily Sales'!$C:$AG,
        $A535,
        MATCH(TEXT($B535,"0"),TEXT('Daily Sales'!$C$2:$AG$2,"0"),0)
      ),
    ""),
  "")
)</f>
        <v/>
      </c>
      <c r="J535" s="79" t="e">
        <f t="shared" si="6"/>
        <v>#VALUE!</v>
      </c>
      <c r="K535" s="141"/>
      <c r="L535" s="141"/>
      <c r="M535" s="141"/>
      <c r="N535" s="133"/>
      <c r="O535" s="4"/>
      <c r="P535" s="4"/>
      <c r="Q535" s="4"/>
      <c r="R535" s="109"/>
      <c r="S535" s="109"/>
      <c r="T535" s="108"/>
      <c r="U535" s="110"/>
      <c r="V535" s="110"/>
      <c r="W535" s="110"/>
      <c r="X535" s="110"/>
    </row>
    <row r="536" spans="1:24" ht="13.5" customHeight="1">
      <c r="A536" s="110">
        <f>IF(E536="","",MATCH(E536,'Daily Sales'!B$4:B$51,0)+3)</f>
        <v>37</v>
      </c>
      <c r="B536" s="135">
        <v>46190</v>
      </c>
      <c r="C536" s="136" t="s">
        <v>107</v>
      </c>
      <c r="D536" s="137" t="str">
        <f t="array" ref="D536">IF($A536="","",INDEX('Daily Sales'!A:A,$A536))</f>
        <v>1-1213</v>
      </c>
      <c r="E536" s="138" t="s">
        <v>50</v>
      </c>
      <c r="F536" s="139" t="str">
        <f t="shared" si="7"/>
        <v>Mandiri CC</v>
      </c>
      <c r="G536" s="140"/>
      <c r="H536" s="138">
        <f t="array" ref="H536">IF($A536="","",
  IF(
    OR(
      $A536=23,
      AND($A536&gt;=32,$A536&lt;=50)
    ),
    IFERROR(
      INDEX('Daily Sales'!$C:$AG,
        $A536,
        MATCH(TEXT($B536,"0"),TEXT('Daily Sales'!$C$2:$AG$2,"0"),0)
      ),
    ""),
  "")
)</f>
        <v>43515705</v>
      </c>
      <c r="I536" s="138" t="str">
        <f t="array" ref="I536">IF($A536="","",
  IF(
    OR(
      AND($A536&gt;=4,$A536&lt;=8),
      AND($A536&gt;=12,$A536&lt;=19),
      AND($A536&gt;=28,$A536&lt;=29)
    ),
    IFERROR(
      INDEX('Daily Sales'!$C:$AG,
        $A536,
        MATCH(TEXT($B536,"0"),TEXT('Daily Sales'!$C$2:$AG$2,"0"),0)
      ),
    ""),
  "")
)</f>
        <v/>
      </c>
      <c r="J536" s="79" t="e">
        <f t="shared" si="6"/>
        <v>#VALUE!</v>
      </c>
      <c r="K536" s="141"/>
      <c r="L536" s="141"/>
      <c r="M536" s="141"/>
      <c r="N536" s="133"/>
      <c r="O536" s="4"/>
      <c r="P536" s="4"/>
      <c r="Q536" s="4"/>
      <c r="R536" s="109"/>
      <c r="S536" s="109"/>
      <c r="T536" s="108"/>
      <c r="U536" s="110"/>
      <c r="V536" s="110"/>
      <c r="W536" s="110"/>
      <c r="X536" s="110"/>
    </row>
    <row r="537" spans="1:24" ht="13.5" customHeight="1">
      <c r="A537" s="110">
        <f>IF(E537="","",MATCH(E537,'Daily Sales'!B$4:B$51,0)+3)</f>
        <v>38</v>
      </c>
      <c r="B537" s="135">
        <v>46190</v>
      </c>
      <c r="C537" s="136" t="s">
        <v>107</v>
      </c>
      <c r="D537" s="137" t="str">
        <f t="array" ref="D537">IF($A537="","",INDEX('Daily Sales'!A:A,$A537))</f>
        <v>1-1213</v>
      </c>
      <c r="E537" s="138" t="s">
        <v>51</v>
      </c>
      <c r="F537" s="139" t="str">
        <f t="shared" si="7"/>
        <v>Mandiri NPG</v>
      </c>
      <c r="G537" s="140"/>
      <c r="H537" s="138">
        <f t="array" ref="H537">IF($A537="","",
  IF(
    OR(
      $A537=23,
      AND($A537&gt;=32,$A537&lt;=50)
    ),
    IFERROR(
      INDEX('Daily Sales'!$C:$AG,
        $A537,
        MATCH(TEXT($B537,"0"),TEXT('Daily Sales'!$C$2:$AG$2,"0"),0)
      ),
    ""),
  "")
)</f>
        <v>4231675</v>
      </c>
      <c r="I537" s="138" t="str">
        <f t="array" ref="I537">IF($A537="","",
  IF(
    OR(
      AND($A537&gt;=4,$A537&lt;=8),
      AND($A537&gt;=12,$A537&lt;=19),
      AND($A537&gt;=28,$A537&lt;=29)
    ),
    IFERROR(
      INDEX('Daily Sales'!$C:$AG,
        $A537,
        MATCH(TEXT($B537,"0"),TEXT('Daily Sales'!$C$2:$AG$2,"0"),0)
      ),
    ""),
  "")
)</f>
        <v/>
      </c>
      <c r="J537" s="79" t="e">
        <f t="shared" si="6"/>
        <v>#VALUE!</v>
      </c>
      <c r="K537" s="141"/>
      <c r="L537" s="141"/>
      <c r="M537" s="141"/>
      <c r="N537" s="133"/>
      <c r="O537" s="4"/>
      <c r="P537" s="4"/>
      <c r="Q537" s="4"/>
      <c r="R537" s="109"/>
      <c r="S537" s="109"/>
      <c r="T537" s="108"/>
      <c r="U537" s="110"/>
      <c r="V537" s="110"/>
      <c r="W537" s="110"/>
      <c r="X537" s="110"/>
    </row>
    <row r="538" spans="1:24" ht="13.5" customHeight="1">
      <c r="A538" s="110">
        <f>IF(E538="","",MATCH(E538,'Daily Sales'!B$4:B$51,0)+3)</f>
        <v>39</v>
      </c>
      <c r="B538" s="135">
        <v>46190</v>
      </c>
      <c r="C538" s="136" t="s">
        <v>107</v>
      </c>
      <c r="D538" s="137" t="str">
        <f t="array" ref="D538">IF($A538="","",INDEX('Daily Sales'!A:A,$A538))</f>
        <v>1-1213</v>
      </c>
      <c r="E538" s="138" t="s">
        <v>52</v>
      </c>
      <c r="F538" s="139" t="str">
        <f t="shared" si="7"/>
        <v>Mandiri QR</v>
      </c>
      <c r="G538" s="140"/>
      <c r="H538" s="138">
        <f t="array" ref="H538">IF($A538="","",
  IF(
    OR(
      $A538=23,
      AND($A538&gt;=32,$A538&lt;=50)
    ),
    IFERROR(
      INDEX('Daily Sales'!$C:$AG,
        $A538,
        MATCH(TEXT($B538,"0"),TEXT('Daily Sales'!$C$2:$AG$2,"0"),0)
      ),
    ""),
  "")
)</f>
        <v>5494056</v>
      </c>
      <c r="I538" s="138" t="str">
        <f t="array" ref="I538">IF($A538="","",
  IF(
    OR(
      AND($A538&gt;=4,$A538&lt;=8),
      AND($A538&gt;=12,$A538&lt;=19),
      AND($A538&gt;=28,$A538&lt;=29)
    ),
    IFERROR(
      INDEX('Daily Sales'!$C:$AG,
        $A538,
        MATCH(TEXT($B538,"0"),TEXT('Daily Sales'!$C$2:$AG$2,"0"),0)
      ),
    ""),
  "")
)</f>
        <v/>
      </c>
      <c r="J538" s="79" t="e">
        <f t="shared" si="6"/>
        <v>#VALUE!</v>
      </c>
      <c r="K538" s="141"/>
      <c r="L538" s="141"/>
      <c r="M538" s="141"/>
      <c r="N538" s="133"/>
      <c r="O538" s="4"/>
      <c r="P538" s="4"/>
      <c r="Q538" s="4"/>
      <c r="R538" s="109"/>
      <c r="S538" s="109"/>
      <c r="T538" s="108"/>
      <c r="U538" s="110"/>
      <c r="V538" s="110"/>
      <c r="W538" s="110"/>
      <c r="X538" s="110"/>
    </row>
    <row r="539" spans="1:24" ht="13.5" customHeight="1">
      <c r="A539" s="110">
        <f>IF(E539="","",MATCH(E539,'Daily Sales'!B$4:B$51,0)+3)</f>
        <v>40</v>
      </c>
      <c r="B539" s="135">
        <v>46190</v>
      </c>
      <c r="C539" s="136" t="s">
        <v>107</v>
      </c>
      <c r="D539" s="137" t="str">
        <f t="array" ref="D539">IF($A539="","",INDEX('Daily Sales'!A:A,$A539))</f>
        <v>1-1217</v>
      </c>
      <c r="E539" s="138" t="s">
        <v>54</v>
      </c>
      <c r="F539" s="139" t="str">
        <f t="shared" si="7"/>
        <v>BCA CC</v>
      </c>
      <c r="G539" s="140"/>
      <c r="H539" s="138">
        <f t="array" ref="H539">IF($A539="","",
  IF(
    OR(
      $A539=23,
      AND($A539&gt;=32,$A539&lt;=50)
    ),
    IFERROR(
      INDEX('Daily Sales'!$C:$AG,
        $A539,
        MATCH(TEXT($B539,"0"),TEXT('Daily Sales'!$C$2:$AG$2,"0"),0)
      ),
    ""),
  "")
)</f>
        <v>1094610</v>
      </c>
      <c r="I539" s="138" t="str">
        <f t="array" ref="I539">IF($A539="","",
  IF(
    OR(
      AND($A539&gt;=4,$A539&lt;=8),
      AND($A539&gt;=12,$A539&lt;=19),
      AND($A539&gt;=28,$A539&lt;=29)
    ),
    IFERROR(
      INDEX('Daily Sales'!$C:$AG,
        $A539,
        MATCH(TEXT($B539,"0"),TEXT('Daily Sales'!$C$2:$AG$2,"0"),0)
      ),
    ""),
  "")
)</f>
        <v/>
      </c>
      <c r="J539" s="79" t="e">
        <f t="shared" si="6"/>
        <v>#VALUE!</v>
      </c>
      <c r="K539" s="141"/>
      <c r="L539" s="141"/>
      <c r="M539" s="141"/>
      <c r="N539" s="133"/>
      <c r="O539" s="4"/>
      <c r="P539" s="4"/>
      <c r="Q539" s="4"/>
      <c r="R539" s="109"/>
      <c r="S539" s="109"/>
      <c r="T539" s="108"/>
      <c r="U539" s="110"/>
      <c r="V539" s="110"/>
      <c r="W539" s="110"/>
      <c r="X539" s="110"/>
    </row>
    <row r="540" spans="1:24" ht="13.5" customHeight="1">
      <c r="A540" s="110">
        <f>IF(E540="","",MATCH(E540,'Daily Sales'!B$4:B$51,0)+3)</f>
        <v>41</v>
      </c>
      <c r="B540" s="135">
        <v>46190</v>
      </c>
      <c r="C540" s="136" t="s">
        <v>107</v>
      </c>
      <c r="D540" s="137" t="str">
        <f t="array" ref="D540">IF($A540="","",INDEX('Daily Sales'!A:A,$A540))</f>
        <v>1-1217</v>
      </c>
      <c r="E540" s="138" t="s">
        <v>55</v>
      </c>
      <c r="F540" s="139" t="str">
        <f t="shared" si="7"/>
        <v>BCA debt</v>
      </c>
      <c r="G540" s="140"/>
      <c r="H540" s="138">
        <f t="array" ref="H540">IF($A540="","",
  IF(
    OR(
      $A540=23,
      AND($A540&gt;=32,$A540&lt;=50)
    ),
    IFERROR(
      INDEX('Daily Sales'!$C:$AG,
        $A540,
        MATCH(TEXT($B540,"0"),TEXT('Daily Sales'!$C$2:$AG$2,"0"),0)
      ),
    ""),
  "")
)</f>
        <v>0</v>
      </c>
      <c r="I540" s="138" t="str">
        <f t="array" ref="I540">IF($A540="","",
  IF(
    OR(
      AND($A540&gt;=4,$A540&lt;=8),
      AND($A540&gt;=12,$A540&lt;=19),
      AND($A540&gt;=28,$A540&lt;=29)
    ),
    IFERROR(
      INDEX('Daily Sales'!$C:$AG,
        $A540,
        MATCH(TEXT($B540,"0"),TEXT('Daily Sales'!$C$2:$AG$2,"0"),0)
      ),
    ""),
  "")
)</f>
        <v/>
      </c>
      <c r="J540" s="79" t="e">
        <f t="shared" si="6"/>
        <v>#VALUE!</v>
      </c>
      <c r="K540" s="141"/>
      <c r="L540" s="141"/>
      <c r="M540" s="141"/>
      <c r="N540" s="133"/>
      <c r="O540" s="4"/>
      <c r="P540" s="4"/>
      <c r="Q540" s="4"/>
      <c r="R540" s="109"/>
      <c r="S540" s="109"/>
      <c r="T540" s="108"/>
      <c r="U540" s="110"/>
      <c r="V540" s="110"/>
      <c r="W540" s="110"/>
      <c r="X540" s="110"/>
    </row>
    <row r="541" spans="1:24" ht="13.5" customHeight="1">
      <c r="A541" s="110">
        <f>IF(E541="","",MATCH(E541,'Daily Sales'!B$4:B$51,0)+3)</f>
        <v>42</v>
      </c>
      <c r="B541" s="135">
        <v>46190</v>
      </c>
      <c r="C541" s="136" t="s">
        <v>107</v>
      </c>
      <c r="D541" s="137" t="str">
        <f t="array" ref="D541">IF($A541="","",INDEX('Daily Sales'!A:A,$A541))</f>
        <v>1-1217</v>
      </c>
      <c r="E541" s="138" t="s">
        <v>56</v>
      </c>
      <c r="F541" s="139" t="str">
        <f t="shared" si="7"/>
        <v>BCA QR</v>
      </c>
      <c r="G541" s="140"/>
      <c r="H541" s="138">
        <f t="array" ref="H541">IF($A541="","",
  IF(
    OR(
      $A541=23,
      AND($A541&gt;=32,$A541&lt;=50)
    ),
    IFERROR(
      INDEX('Daily Sales'!$C:$AG,
        $A541,
        MATCH(TEXT($B541,"0"),TEXT('Daily Sales'!$C$2:$AG$2,"0"),0)
      ),
    ""),
  "")
)</f>
        <v>0</v>
      </c>
      <c r="I541" s="138" t="str">
        <f t="array" ref="I541">IF($A541="","",
  IF(
    OR(
      AND($A541&gt;=4,$A541&lt;=8),
      AND($A541&gt;=12,$A541&lt;=19),
      AND($A541&gt;=28,$A541&lt;=29)
    ),
    IFERROR(
      INDEX('Daily Sales'!$C:$AG,
        $A541,
        MATCH(TEXT($B541,"0"),TEXT('Daily Sales'!$C$2:$AG$2,"0"),0)
      ),
    ""),
  "")
)</f>
        <v/>
      </c>
      <c r="J541" s="79" t="e">
        <f t="shared" si="6"/>
        <v>#VALUE!</v>
      </c>
      <c r="K541" s="141"/>
      <c r="L541" s="141"/>
      <c r="M541" s="141"/>
      <c r="N541" s="133"/>
      <c r="O541" s="4"/>
      <c r="P541" s="4"/>
      <c r="Q541" s="4"/>
      <c r="R541" s="109"/>
      <c r="S541" s="109"/>
      <c r="T541" s="108"/>
      <c r="U541" s="110"/>
      <c r="V541" s="110"/>
      <c r="W541" s="110"/>
      <c r="X541" s="110"/>
    </row>
    <row r="542" spans="1:24" ht="13.5" customHeight="1">
      <c r="A542" s="110">
        <f>IF(E542="","",MATCH(E542,'Daily Sales'!B$4:B$51,0)+3)</f>
        <v>43</v>
      </c>
      <c r="B542" s="135">
        <v>46190</v>
      </c>
      <c r="C542" s="136" t="s">
        <v>107</v>
      </c>
      <c r="D542" s="137" t="str">
        <f t="array" ref="D542">IF($A542="","",INDEX('Daily Sales'!A:A,$A542))</f>
        <v>1-1214</v>
      </c>
      <c r="E542" s="138" t="s">
        <v>59</v>
      </c>
      <c r="F542" s="139" t="str">
        <f t="shared" si="7"/>
        <v>Bank BRI DEBET</v>
      </c>
      <c r="G542" s="140"/>
      <c r="H542" s="138">
        <f t="array" ref="H542">IF($A542="","",
  IF(
    OR(
      $A542=23,
      AND($A542&gt;=32,$A542&lt;=50)
    ),
    IFERROR(
      INDEX('Daily Sales'!$C:$AG,
        $A542,
        MATCH(TEXT($B542,"0"),TEXT('Daily Sales'!$C$2:$AG$2,"0"),0)
      ),
    ""),
  "")
)</f>
        <v>0</v>
      </c>
      <c r="I542" s="138" t="str">
        <f t="array" ref="I542">IF($A542="","",
  IF(
    OR(
      AND($A542&gt;=4,$A542&lt;=8),
      AND($A542&gt;=12,$A542&lt;=19),
      AND($A542&gt;=28,$A542&lt;=29)
    ),
    IFERROR(
      INDEX('Daily Sales'!$C:$AG,
        $A542,
        MATCH(TEXT($B542,"0"),TEXT('Daily Sales'!$C$2:$AG$2,"0"),0)
      ),
    ""),
  "")
)</f>
        <v/>
      </c>
      <c r="J542" s="79" t="e">
        <f t="shared" si="6"/>
        <v>#VALUE!</v>
      </c>
      <c r="K542" s="141"/>
      <c r="L542" s="141"/>
      <c r="M542" s="141"/>
      <c r="N542" s="133"/>
      <c r="O542" s="4"/>
      <c r="P542" s="4"/>
      <c r="Q542" s="4"/>
      <c r="R542" s="109"/>
      <c r="S542" s="109"/>
      <c r="T542" s="108"/>
      <c r="U542" s="110"/>
      <c r="V542" s="110"/>
      <c r="W542" s="110"/>
      <c r="X542" s="110"/>
    </row>
    <row r="543" spans="1:24" ht="13.5" customHeight="1">
      <c r="A543" s="110">
        <f>IF(E543="","",MATCH(E543,'Daily Sales'!B$4:B$51,0)+3)</f>
        <v>44</v>
      </c>
      <c r="B543" s="135">
        <v>46190</v>
      </c>
      <c r="C543" s="136" t="s">
        <v>107</v>
      </c>
      <c r="D543" s="137" t="str">
        <f t="array" ref="D543">IF($A543="","",INDEX('Daily Sales'!A:A,$A543))</f>
        <v>1-1214</v>
      </c>
      <c r="E543" s="138" t="s">
        <v>60</v>
      </c>
      <c r="F543" s="139" t="str">
        <f t="shared" si="7"/>
        <v>Bank BRI CC</v>
      </c>
      <c r="G543" s="140"/>
      <c r="H543" s="138">
        <f t="array" ref="H543">IF($A543="","",
  IF(
    OR(
      $A543=23,
      AND($A543&gt;=32,$A543&lt;=50)
    ),
    IFERROR(
      INDEX('Daily Sales'!$C:$AG,
        $A543,
        MATCH(TEXT($B543,"0"),TEXT('Daily Sales'!$C$2:$AG$2,"0"),0)
      ),
    ""),
  "")
)</f>
        <v>136532</v>
      </c>
      <c r="I543" s="138" t="str">
        <f t="array" ref="I543">IF($A543="","",
  IF(
    OR(
      AND($A543&gt;=4,$A543&lt;=8),
      AND($A543&gt;=12,$A543&lt;=19),
      AND($A543&gt;=28,$A543&lt;=29)
    ),
    IFERROR(
      INDEX('Daily Sales'!$C:$AG,
        $A543,
        MATCH(TEXT($B543,"0"),TEXT('Daily Sales'!$C$2:$AG$2,"0"),0)
      ),
    ""),
  "")
)</f>
        <v/>
      </c>
      <c r="J543" s="79" t="e">
        <f t="shared" si="6"/>
        <v>#VALUE!</v>
      </c>
      <c r="K543" s="141"/>
      <c r="L543" s="141"/>
      <c r="M543" s="141"/>
      <c r="N543" s="133"/>
      <c r="O543" s="4"/>
      <c r="P543" s="4"/>
      <c r="Q543" s="4"/>
      <c r="R543" s="109"/>
      <c r="S543" s="109"/>
      <c r="T543" s="108"/>
      <c r="U543" s="110"/>
      <c r="V543" s="110"/>
      <c r="W543" s="110"/>
      <c r="X543" s="110"/>
    </row>
    <row r="544" spans="1:24" ht="13.5" customHeight="1">
      <c r="A544" s="110">
        <f>IF(E544="","",MATCH(E544,'Daily Sales'!B$4:B$51,0)+3)</f>
        <v>45</v>
      </c>
      <c r="B544" s="135">
        <v>46190</v>
      </c>
      <c r="C544" s="136" t="s">
        <v>107</v>
      </c>
      <c r="D544" s="137" t="str">
        <f t="array" ref="D544">IF($A544="","",INDEX('Daily Sales'!A:A,$A544))</f>
        <v>1-1214</v>
      </c>
      <c r="E544" s="138" t="s">
        <v>61</v>
      </c>
      <c r="F544" s="139" t="str">
        <f t="shared" si="7"/>
        <v>Bank BRI QR</v>
      </c>
      <c r="G544" s="140"/>
      <c r="H544" s="138">
        <f t="array" ref="H544">IF($A544="","",
  IF(
    OR(
      $A544=23,
      AND($A544&gt;=32,$A544&lt;=50)
    ),
    IFERROR(
      INDEX('Daily Sales'!$C:$AG,
        $A544,
        MATCH(TEXT($B544,"0"),TEXT('Daily Sales'!$C$2:$AG$2,"0"),0)
      ),
    ""),
  "")
)</f>
        <v>0</v>
      </c>
      <c r="I544" s="138" t="str">
        <f t="array" ref="I544">IF($A544="","",
  IF(
    OR(
      AND($A544&gt;=4,$A544&lt;=8),
      AND($A544&gt;=12,$A544&lt;=19),
      AND($A544&gt;=28,$A544&lt;=29)
    ),
    IFERROR(
      INDEX('Daily Sales'!$C:$AG,
        $A544,
        MATCH(TEXT($B544,"0"),TEXT('Daily Sales'!$C$2:$AG$2,"0"),0)
      ),
    ""),
  "")
)</f>
        <v/>
      </c>
      <c r="J544" s="79" t="e">
        <f t="shared" si="6"/>
        <v>#VALUE!</v>
      </c>
      <c r="K544" s="141"/>
      <c r="L544" s="141"/>
      <c r="M544" s="141"/>
      <c r="N544" s="133"/>
      <c r="O544" s="4"/>
      <c r="P544" s="4"/>
      <c r="Q544" s="4"/>
      <c r="R544" s="109"/>
      <c r="S544" s="109"/>
      <c r="T544" s="108"/>
      <c r="U544" s="110"/>
      <c r="V544" s="110"/>
      <c r="W544" s="110"/>
      <c r="X544" s="110"/>
    </row>
    <row r="545" spans="1:24" ht="13.5" customHeight="1">
      <c r="A545" s="110">
        <f>IF(E545="","",MATCH(E545,'Daily Sales'!B$4:B$51,0)+3)</f>
        <v>46</v>
      </c>
      <c r="B545" s="135">
        <v>46190</v>
      </c>
      <c r="C545" s="136" t="s">
        <v>107</v>
      </c>
      <c r="D545" s="137" t="str">
        <f t="array" ref="D545">IF($A545="","",INDEX('Daily Sales'!A:A,$A545))</f>
        <v>1-1202</v>
      </c>
      <c r="E545" s="138" t="s">
        <v>64</v>
      </c>
      <c r="F545" s="139" t="str">
        <f t="shared" si="7"/>
        <v>Ledger</v>
      </c>
      <c r="G545" s="140"/>
      <c r="H545" s="138">
        <f t="array" ref="H545">IF($A545="","",
  IF(
    OR(
      $A545=23,
      AND($A545&gt;=32,$A545&lt;=50)
    ),
    IFERROR(
      INDEX('Daily Sales'!$C:$AG,
        $A545,
        MATCH(TEXT($B545,"0"),TEXT('Daily Sales'!$C$2:$AG$2,"0"),0)
      ),
    ""),
  "")
)</f>
        <v>494251</v>
      </c>
      <c r="I545" s="138" t="str">
        <f t="array" ref="I545">IF($A545="","",
  IF(
    OR(
      AND($A545&gt;=4,$A545&lt;=8),
      AND($A545&gt;=12,$A545&lt;=19),
      AND($A545&gt;=28,$A545&lt;=29)
    ),
    IFERROR(
      INDEX('Daily Sales'!$C:$AG,
        $A545,
        MATCH(TEXT($B545,"0"),TEXT('Daily Sales'!$C$2:$AG$2,"0"),0)
      ),
    ""),
  "")
)</f>
        <v/>
      </c>
      <c r="J545" s="79" t="e">
        <f t="shared" si="6"/>
        <v>#VALUE!</v>
      </c>
      <c r="K545" s="141"/>
      <c r="L545" s="141"/>
      <c r="M545" s="141"/>
      <c r="N545" s="133"/>
      <c r="O545" s="4"/>
      <c r="P545" s="4"/>
      <c r="Q545" s="4"/>
      <c r="R545" s="109"/>
      <c r="S545" s="109"/>
      <c r="T545" s="108"/>
      <c r="U545" s="110"/>
      <c r="V545" s="110"/>
      <c r="W545" s="110"/>
      <c r="X545" s="110"/>
    </row>
    <row r="546" spans="1:24" ht="13.5" customHeight="1">
      <c r="A546" s="110">
        <f>IF(E546="","",MATCH(E546,'Daily Sales'!B$4:B$51,0)+3)</f>
        <v>47</v>
      </c>
      <c r="B546" s="135">
        <v>46190</v>
      </c>
      <c r="C546" s="136" t="s">
        <v>107</v>
      </c>
      <c r="D546" s="137" t="str">
        <f t="array" ref="D546">IF($A546="","",INDEX('Daily Sales'!A:A,$A546))</f>
        <v>1-1129</v>
      </c>
      <c r="E546" s="138" t="s">
        <v>66</v>
      </c>
      <c r="F546" s="139" t="str">
        <f t="shared" si="7"/>
        <v>Star Points</v>
      </c>
      <c r="G546" s="140"/>
      <c r="H546" s="138">
        <f t="array" ref="H546">IF($A546="","",
  IF(
    OR(
      $A546=23,
      AND($A546&gt;=32,$A546&lt;=50)
    ),
    IFERROR(
      INDEX('Daily Sales'!$C:$AG,
        $A546,
        MATCH(TEXT($B546,"0"),TEXT('Daily Sales'!$C$2:$AG$2,"0"),0)
      ),
    ""),
  "")
)</f>
        <v>0</v>
      </c>
      <c r="I546" s="138" t="str">
        <f t="array" ref="I546">IF($A546="","",
  IF(
    OR(
      AND($A546&gt;=4,$A546&lt;=8),
      AND($A546&gt;=12,$A546&lt;=19),
      AND($A546&gt;=28,$A546&lt;=29)
    ),
    IFERROR(
      INDEX('Daily Sales'!$C:$AG,
        $A546,
        MATCH(TEXT($B546,"0"),TEXT('Daily Sales'!$C$2:$AG$2,"0"),0)
      ),
    ""),
  "")
)</f>
        <v/>
      </c>
      <c r="J546" s="79" t="e">
        <f t="shared" si="6"/>
        <v>#VALUE!</v>
      </c>
      <c r="K546" s="141"/>
      <c r="L546" s="141"/>
      <c r="M546" s="141"/>
      <c r="N546" s="133"/>
      <c r="O546" s="4"/>
      <c r="P546" s="4"/>
      <c r="Q546" s="4"/>
      <c r="R546" s="109"/>
      <c r="S546" s="109"/>
      <c r="T546" s="108"/>
      <c r="U546" s="110"/>
      <c r="V546" s="110"/>
      <c r="W546" s="110"/>
      <c r="X546" s="110"/>
    </row>
    <row r="547" spans="1:24" ht="13.5" customHeight="1">
      <c r="A547" s="110">
        <f>IF(E547="","",MATCH(E547,'Daily Sales'!B$4:B$51,0)+3)</f>
        <v>48</v>
      </c>
      <c r="B547" s="135">
        <v>46190</v>
      </c>
      <c r="C547" s="136" t="s">
        <v>107</v>
      </c>
      <c r="D547" s="137" t="str">
        <f t="array" ref="D547">IF($A547="","",INDEX('Daily Sales'!A:A,$A547))</f>
        <v>1-1215</v>
      </c>
      <c r="E547" s="138" t="s">
        <v>68</v>
      </c>
      <c r="F547" s="139" t="str">
        <f t="shared" si="7"/>
        <v>Ovo</v>
      </c>
      <c r="G547" s="140"/>
      <c r="H547" s="138">
        <f t="array" ref="H547">IF($A547="","",
  IF(
    OR(
      $A547=23,
      AND($A547&gt;=32,$A547&lt;=50)
    ),
    IFERROR(
      INDEX('Daily Sales'!$C:$AG,
        $A547,
        MATCH(TEXT($B547,"0"),TEXT('Daily Sales'!$C$2:$AG$2,"0"),0)
      ),
    ""),
  "")
)</f>
        <v>1370875</v>
      </c>
      <c r="I547" s="138" t="str">
        <f t="array" ref="I547">IF($A547="","",
  IF(
    OR(
      AND($A547&gt;=4,$A547&lt;=8),
      AND($A547&gt;=12,$A547&lt;=19),
      AND($A547&gt;=28,$A547&lt;=29)
    ),
    IFERROR(
      INDEX('Daily Sales'!$C:$AG,
        $A547,
        MATCH(TEXT($B547,"0"),TEXT('Daily Sales'!$C$2:$AG$2,"0"),0)
      ),
    ""),
  "")
)</f>
        <v/>
      </c>
      <c r="J547" s="79" t="e">
        <f t="shared" si="6"/>
        <v>#VALUE!</v>
      </c>
      <c r="K547" s="141"/>
      <c r="L547" s="141"/>
      <c r="M547" s="141"/>
      <c r="N547" s="133"/>
      <c r="O547" s="4"/>
      <c r="P547" s="4"/>
      <c r="Q547" s="4"/>
      <c r="R547" s="109"/>
      <c r="S547" s="109"/>
      <c r="T547" s="108"/>
      <c r="U547" s="110"/>
      <c r="V547" s="110"/>
      <c r="W547" s="110"/>
      <c r="X547" s="110"/>
    </row>
    <row r="548" spans="1:24" ht="13.5" customHeight="1">
      <c r="A548" s="110">
        <f>IF(E548="","",MATCH(E548,'Daily Sales'!B$4:B$51,0)+3)</f>
        <v>49</v>
      </c>
      <c r="B548" s="135">
        <v>46190</v>
      </c>
      <c r="C548" s="136" t="s">
        <v>107</v>
      </c>
      <c r="D548" s="137" t="str">
        <f t="array" ref="D548">IF($A548="","",INDEX('Daily Sales'!A:A,$A548))</f>
        <v>1-1211</v>
      </c>
      <c r="E548" s="138" t="s">
        <v>70</v>
      </c>
      <c r="F548" s="139" t="str">
        <f t="shared" si="7"/>
        <v>Gopay</v>
      </c>
      <c r="G548" s="140"/>
      <c r="H548" s="138">
        <f t="array" ref="H548">IF($A548="","",
  IF(
    OR(
      $A548=23,
      AND($A548&gt;=32,$A548&lt;=50)
    ),
    IFERROR(
      INDEX('Daily Sales'!$C:$AG,
        $A548,
        MATCH(TEXT($B548,"0"),TEXT('Daily Sales'!$C$2:$AG$2,"0"),0)
      ),
    ""),
  "")
)</f>
        <v>0</v>
      </c>
      <c r="I548" s="138" t="str">
        <f t="array" ref="I548">IF($A548="","",
  IF(
    OR(
      AND($A548&gt;=4,$A548&lt;=8),
      AND($A548&gt;=12,$A548&lt;=19),
      AND($A548&gt;=28,$A548&lt;=29)
    ),
    IFERROR(
      INDEX('Daily Sales'!$C:$AG,
        $A548,
        MATCH(TEXT($B548,"0"),TEXT('Daily Sales'!$C$2:$AG$2,"0"),0)
      ),
    ""),
  "")
)</f>
        <v/>
      </c>
      <c r="J548" s="79" t="e">
        <f t="shared" si="6"/>
        <v>#VALUE!</v>
      </c>
      <c r="K548" s="141"/>
      <c r="L548" s="141"/>
      <c r="M548" s="141"/>
      <c r="N548" s="133"/>
      <c r="O548" s="4"/>
      <c r="P548" s="4"/>
      <c r="Q548" s="4"/>
      <c r="R548" s="109"/>
      <c r="S548" s="109"/>
      <c r="T548" s="108"/>
      <c r="U548" s="110"/>
      <c r="V548" s="110"/>
      <c r="W548" s="110"/>
      <c r="X548" s="110"/>
    </row>
    <row r="549" spans="1:24" ht="13.5" customHeight="1">
      <c r="A549" s="110">
        <f>IF(E549="","",MATCH(E549,'Daily Sales'!B$4:B$51,0)+3)</f>
        <v>50</v>
      </c>
      <c r="B549" s="135">
        <v>46190</v>
      </c>
      <c r="C549" s="136" t="s">
        <v>107</v>
      </c>
      <c r="D549" s="137" t="str">
        <f t="array" ref="D549">IF($A549="","",INDEX('Daily Sales'!A:A,$A549))</f>
        <v>2-2110</v>
      </c>
      <c r="E549" s="138" t="s">
        <v>72</v>
      </c>
      <c r="F549" s="139" t="str">
        <f t="shared" si="7"/>
        <v>Cash Short/Over</v>
      </c>
      <c r="G549" s="140"/>
      <c r="H549" s="138">
        <f t="array" ref="H549">IF($A549="","",
  IF(
    OR(
      $A549=23,
      AND($A549&gt;=32,$A549&lt;=50)
    ),
    IFERROR(
      INDEX('Daily Sales'!$C:$AG,
        $A549,
        MATCH(TEXT($B549,"0"),TEXT('Daily Sales'!$C$2:$AG$2,"0"),0)
      ),
    ""),
  "")
)</f>
        <v>0</v>
      </c>
      <c r="I549" s="138" t="str">
        <f t="array" ref="I549">IF($A549="","",
  IF(
    OR(
      AND($A549&gt;=4,$A549&lt;=8),
      AND($A549&gt;=12,$A549&lt;=19),
      AND($A549&gt;=28,$A549&lt;=29)
    ),
    IFERROR(
      INDEX('Daily Sales'!$C:$AG,
        $A549,
        MATCH(TEXT($B549,"0"),TEXT('Daily Sales'!$C$2:$AG$2,"0"),0)
      ),
    ""),
  "")
)</f>
        <v/>
      </c>
      <c r="J549" s="79" t="e">
        <f t="shared" si="6"/>
        <v>#VALUE!</v>
      </c>
      <c r="K549" s="141"/>
      <c r="L549" s="141"/>
      <c r="M549" s="141"/>
      <c r="N549" s="133"/>
      <c r="O549" s="4"/>
      <c r="P549" s="4"/>
      <c r="Q549" s="4"/>
      <c r="R549" s="109"/>
      <c r="S549" s="109"/>
      <c r="T549" s="108"/>
      <c r="U549" s="110"/>
      <c r="V549" s="110"/>
      <c r="W549" s="110"/>
      <c r="X549" s="110"/>
    </row>
    <row r="550" spans="1:24" ht="14.25" customHeight="1">
      <c r="A550" s="110"/>
      <c r="B550" s="125"/>
      <c r="C550" s="126"/>
      <c r="D550" s="15"/>
      <c r="E550" s="10" t="e">
        <f>TRIM(VLOOKUP(D550,TB!$B$9:$C$1500,2,FALSE))</f>
        <v>#N/A</v>
      </c>
      <c r="F550" s="142"/>
      <c r="G550" s="130"/>
      <c r="H550" s="10"/>
      <c r="I550" s="10"/>
      <c r="J550" s="79" t="e">
        <f t="shared" si="6"/>
        <v>#VALUE!</v>
      </c>
      <c r="K550" s="141"/>
      <c r="L550" s="141"/>
      <c r="M550" s="141"/>
      <c r="N550" s="133"/>
      <c r="O550" s="4"/>
      <c r="P550" s="4"/>
      <c r="Q550" s="4"/>
      <c r="R550" s="134"/>
      <c r="S550" s="109"/>
      <c r="T550" s="108"/>
      <c r="U550" s="110"/>
      <c r="V550" s="110"/>
      <c r="W550" s="110"/>
      <c r="X550" s="110"/>
    </row>
    <row r="551" spans="1:24" ht="13.5" customHeight="1">
      <c r="A551" s="110">
        <f>IF(E551="","",MATCH(E551,'Daily Sales'!B$4:B$51,0)+3)</f>
        <v>4</v>
      </c>
      <c r="B551" s="135">
        <v>46191</v>
      </c>
      <c r="C551" s="136" t="s">
        <v>108</v>
      </c>
      <c r="D551" s="137" t="str">
        <f t="array" ref="D551">IF($A551="","",INDEX('Daily Sales'!A:A,$A551))</f>
        <v>4-2100</v>
      </c>
      <c r="E551" s="138" t="s">
        <v>5</v>
      </c>
      <c r="F551" s="139" t="str">
        <f t="shared" ref="F551:F581" si="8">E551</f>
        <v>Sales Food TERRACE</v>
      </c>
      <c r="G551" s="140"/>
      <c r="H551" s="138" t="str">
        <f t="array" ref="H551">IF($A551="","",
  IF(
    OR(
      $A551=23,
      AND($A551&gt;=32,$A551&lt;=50)
    ),
    IFERROR(
      INDEX('Daily Sales'!$C:$AG,
        $A551,
        MATCH(TEXT($B551,"0"),TEXT('Daily Sales'!$C$2:$AG$2,"0"),0)
      ),
    ""),
  "")
)</f>
        <v/>
      </c>
      <c r="I551" s="138">
        <f t="array" ref="I551">IF($A551="","",
  IF(
    OR(
      AND($A551&gt;=4,$A551&lt;=8),
      AND($A551&gt;=12,$A551&lt;=19),
      AND($A551&gt;=28,$A551&lt;=29)
    ),
    IFERROR(
      INDEX('Daily Sales'!$C:$AG,
        $A551,
        MATCH(TEXT($B551,"0"),TEXT('Daily Sales'!$C$2:$AG$2,"0"),0)
      ),
    ""),
  "")
)</f>
        <v>6480000</v>
      </c>
      <c r="J551" s="79" t="e">
        <f t="shared" si="6"/>
        <v>#VALUE!</v>
      </c>
      <c r="K551" s="141"/>
      <c r="L551" s="141"/>
      <c r="M551" s="141"/>
      <c r="N551" s="133"/>
      <c r="O551" s="4"/>
      <c r="P551" s="4"/>
      <c r="Q551" s="4"/>
      <c r="R551" s="109"/>
      <c r="S551" s="109"/>
      <c r="T551" s="108"/>
      <c r="U551" s="110"/>
      <c r="V551" s="110"/>
      <c r="W551" s="110"/>
      <c r="X551" s="110"/>
    </row>
    <row r="552" spans="1:24" ht="13.5" customHeight="1">
      <c r="A552" s="110">
        <f>IF(E552="","",MATCH(E552,'Daily Sales'!B$4:B$51,0)+3)</f>
        <v>5</v>
      </c>
      <c r="B552" s="135">
        <v>46191</v>
      </c>
      <c r="C552" s="136" t="s">
        <v>108</v>
      </c>
      <c r="D552" s="137" t="str">
        <f t="array" ref="D552">IF($A552="","",INDEX('Daily Sales'!A:A,$A552))</f>
        <v>4-2200</v>
      </c>
      <c r="E552" s="138" t="s">
        <v>7</v>
      </c>
      <c r="F552" s="139" t="str">
        <f t="shared" si="8"/>
        <v>Sales Beverages TERRACE</v>
      </c>
      <c r="G552" s="140"/>
      <c r="H552" s="138" t="str">
        <f t="array" ref="H552">IF($A552="","",
  IF(
    OR(
      $A552=23,
      AND($A552&gt;=32,$A552&lt;=50)
    ),
    IFERROR(
      INDEX('Daily Sales'!$C:$AG,
        $A552,
        MATCH(TEXT($B552,"0"),TEXT('Daily Sales'!$C$2:$AG$2,"0"),0)
      ),
    ""),
  "")
)</f>
        <v/>
      </c>
      <c r="I552" s="138">
        <f t="array" ref="I552">IF($A552="","",
  IF(
    OR(
      AND($A552&gt;=4,$A552&lt;=8),
      AND($A552&gt;=12,$A552&lt;=19),
      AND($A552&gt;=28,$A552&lt;=29)
    ),
    IFERROR(
      INDEX('Daily Sales'!$C:$AG,
        $A552,
        MATCH(TEXT($B552,"0"),TEXT('Daily Sales'!$C$2:$AG$2,"0"),0)
      ),
    ""),
  "")
)</f>
        <v>10075000</v>
      </c>
      <c r="J552" s="79" t="e">
        <f t="shared" si="6"/>
        <v>#VALUE!</v>
      </c>
      <c r="K552" s="141"/>
      <c r="L552" s="141"/>
      <c r="M552" s="141"/>
      <c r="N552" s="133"/>
      <c r="O552" s="4"/>
      <c r="P552" s="4"/>
      <c r="Q552" s="4"/>
      <c r="R552" s="109"/>
      <c r="S552" s="109"/>
      <c r="T552" s="108"/>
      <c r="U552" s="110"/>
      <c r="V552" s="110"/>
      <c r="W552" s="110"/>
      <c r="X552" s="110"/>
    </row>
    <row r="553" spans="1:24" ht="13.5" customHeight="1">
      <c r="A553" s="110">
        <f>IF(E553="","",MATCH(E553,'Daily Sales'!B$4:B$51,0)+3)</f>
        <v>6</v>
      </c>
      <c r="B553" s="135">
        <v>46191</v>
      </c>
      <c r="C553" s="136" t="s">
        <v>108</v>
      </c>
      <c r="D553" s="137" t="str">
        <f t="array" ref="D553">IF($A553="","",INDEX('Daily Sales'!A:A,$A553))</f>
        <v>4-2400</v>
      </c>
      <c r="E553" s="138" t="s">
        <v>9</v>
      </c>
      <c r="F553" s="139" t="str">
        <f t="shared" si="8"/>
        <v>Sales Cigarette TERRACE</v>
      </c>
      <c r="G553" s="140"/>
      <c r="H553" s="138" t="str">
        <f t="array" ref="H553">IF($A553="","",
  IF(
    OR(
      $A553=23,
      AND($A553&gt;=32,$A553&lt;=50)
    ),
    IFERROR(
      INDEX('Daily Sales'!$C:$AG,
        $A553,
        MATCH(TEXT($B553,"0"),TEXT('Daily Sales'!$C$2:$AG$2,"0"),0)
      ),
    ""),
  "")
)</f>
        <v/>
      </c>
      <c r="I553" s="138">
        <f t="array" ref="I553">IF($A553="","",
  IF(
    OR(
      AND($A553&gt;=4,$A553&lt;=8),
      AND($A553&gt;=12,$A553&lt;=19),
      AND($A553&gt;=28,$A553&lt;=29)
    ),
    IFERROR(
      INDEX('Daily Sales'!$C:$AG,
        $A553,
        MATCH(TEXT($B553,"0"),TEXT('Daily Sales'!$C$2:$AG$2,"0"),0)
      ),
    ""),
  "")
)</f>
        <v>498000</v>
      </c>
      <c r="J553" s="79" t="e">
        <f t="shared" si="6"/>
        <v>#VALUE!</v>
      </c>
      <c r="K553" s="141"/>
      <c r="L553" s="141"/>
      <c r="M553" s="141"/>
      <c r="N553" s="133"/>
      <c r="O553" s="4"/>
      <c r="P553" s="4"/>
      <c r="Q553" s="4"/>
      <c r="R553" s="109"/>
      <c r="S553" s="109"/>
      <c r="T553" s="108"/>
      <c r="U553" s="110"/>
      <c r="V553" s="110"/>
      <c r="W553" s="110"/>
      <c r="X553" s="110"/>
    </row>
    <row r="554" spans="1:24" ht="13.5" customHeight="1">
      <c r="A554" s="110">
        <f>IF(E554="","",MATCH(E554,'Daily Sales'!B$4:B$51,0)+3)</f>
        <v>7</v>
      </c>
      <c r="B554" s="135">
        <v>46191</v>
      </c>
      <c r="C554" s="136" t="s">
        <v>108</v>
      </c>
      <c r="D554" s="137" t="str">
        <f t="array" ref="D554">IF($A554="","",INDEX('Daily Sales'!A:A,$A554))</f>
        <v>4-2300</v>
      </c>
      <c r="E554" s="138" t="s">
        <v>11</v>
      </c>
      <c r="F554" s="139" t="str">
        <f t="shared" si="8"/>
        <v>Sales Shisa TERRACE</v>
      </c>
      <c r="G554" s="140"/>
      <c r="H554" s="138" t="str">
        <f t="array" ref="H554">IF($A554="","",
  IF(
    OR(
      $A554=23,
      AND($A554&gt;=32,$A554&lt;=50)
    ),
    IFERROR(
      INDEX('Daily Sales'!$C:$AG,
        $A554,
        MATCH(TEXT($B554,"0"),TEXT('Daily Sales'!$C$2:$AG$2,"0"),0)
      ),
    ""),
  "")
)</f>
        <v/>
      </c>
      <c r="I554" s="138">
        <f t="array" ref="I554">IF($A554="","",
  IF(
    OR(
      AND($A554&gt;=4,$A554&lt;=8),
      AND($A554&gt;=12,$A554&lt;=19),
      AND($A554&gt;=28,$A554&lt;=29)
    ),
    IFERROR(
      INDEX('Daily Sales'!$C:$AG,
        $A554,
        MATCH(TEXT($B554,"0"),TEXT('Daily Sales'!$C$2:$AG$2,"0"),0)
      ),
    ""),
  "")
)</f>
        <v>0</v>
      </c>
      <c r="J554" s="79" t="e">
        <f t="shared" si="6"/>
        <v>#VALUE!</v>
      </c>
      <c r="K554" s="141"/>
      <c r="L554" s="141"/>
      <c r="M554" s="141"/>
      <c r="N554" s="133"/>
      <c r="O554" s="4"/>
      <c r="P554" s="4"/>
      <c r="Q554" s="4"/>
      <c r="R554" s="109"/>
      <c r="S554" s="109"/>
      <c r="T554" s="108"/>
      <c r="U554" s="110"/>
      <c r="V554" s="110"/>
      <c r="W554" s="110"/>
      <c r="X554" s="110"/>
    </row>
    <row r="555" spans="1:24" ht="13.5" customHeight="1">
      <c r="A555" s="110">
        <f>IF(E555="","",MATCH(E555,'Daily Sales'!B$4:B$51,0)+3)</f>
        <v>12</v>
      </c>
      <c r="B555" s="135">
        <v>46191</v>
      </c>
      <c r="C555" s="136" t="s">
        <v>108</v>
      </c>
      <c r="D555" s="137" t="str">
        <f t="array" ref="D555">IF($A555="","",INDEX('Daily Sales'!A:A,$A555))</f>
        <v>4-2200</v>
      </c>
      <c r="E555" s="138" t="s">
        <v>17</v>
      </c>
      <c r="F555" s="139" t="str">
        <f t="shared" si="8"/>
        <v>Sales Beverages CLUB</v>
      </c>
      <c r="G555" s="140"/>
      <c r="H555" s="138" t="str">
        <f t="array" ref="H555">IF($A555="","",
  IF(
    OR(
      $A555=23,
      AND($A555&gt;=32,$A555&lt;=50)
    ),
    IFERROR(
      INDEX('Daily Sales'!$C:$AG,
        $A555,
        MATCH(TEXT($B555,"0"),TEXT('Daily Sales'!$C$2:$AG$2,"0"),0)
      ),
    ""),
  "")
)</f>
        <v/>
      </c>
      <c r="I555" s="138">
        <f t="array" ref="I555">IF($A555="","",
  IF(
    OR(
      AND($A555&gt;=4,$A555&lt;=8),
      AND($A555&gt;=12,$A555&lt;=19),
      AND($A555&gt;=28,$A555&lt;=29)
    ),
    IFERROR(
      INDEX('Daily Sales'!$C:$AG,
        $A555,
        MATCH(TEXT($B555,"0"),TEXT('Daily Sales'!$C$2:$AG$2,"0"),0)
      ),
    ""),
  "")
)</f>
        <v>15885000</v>
      </c>
      <c r="J555" s="79" t="e">
        <f t="shared" si="6"/>
        <v>#VALUE!</v>
      </c>
      <c r="K555" s="141"/>
      <c r="L555" s="141"/>
      <c r="M555" s="141"/>
      <c r="N555" s="133"/>
      <c r="O555" s="4"/>
      <c r="P555" s="4"/>
      <c r="Q555" s="4"/>
      <c r="R555" s="109"/>
      <c r="S555" s="109"/>
      <c r="T555" s="108"/>
      <c r="U555" s="110"/>
      <c r="V555" s="110"/>
      <c r="W555" s="110"/>
      <c r="X555" s="110"/>
    </row>
    <row r="556" spans="1:24" ht="13.5" customHeight="1">
      <c r="A556" s="110">
        <f>IF(E556="","",MATCH(E556,'Daily Sales'!B$4:B$51,0)+3)</f>
        <v>13</v>
      </c>
      <c r="B556" s="135">
        <v>46191</v>
      </c>
      <c r="C556" s="136" t="s">
        <v>108</v>
      </c>
      <c r="D556" s="137" t="str">
        <f t="array" ref="D556">IF($A556="","",INDEX('Daily Sales'!A:A,$A556))</f>
        <v>4-2400</v>
      </c>
      <c r="E556" s="138" t="s">
        <v>18</v>
      </c>
      <c r="F556" s="139" t="str">
        <f t="shared" si="8"/>
        <v>Sales Cigarette CLUB</v>
      </c>
      <c r="G556" s="140"/>
      <c r="H556" s="138" t="str">
        <f t="array" ref="H556">IF($A556="","",
  IF(
    OR(
      $A556=23,
      AND($A556&gt;=32,$A556&lt;=50)
    ),
    IFERROR(
      INDEX('Daily Sales'!$C:$AG,
        $A556,
        MATCH(TEXT($B556,"0"),TEXT('Daily Sales'!$C$2:$AG$2,"0"),0)
      ),
    ""),
  "")
)</f>
        <v/>
      </c>
      <c r="I556" s="138">
        <f t="array" ref="I556">IF($A556="","",
  IF(
    OR(
      AND($A556&gt;=4,$A556&lt;=8),
      AND($A556&gt;=12,$A556&lt;=19),
      AND($A556&gt;=28,$A556&lt;=29)
    ),
    IFERROR(
      INDEX('Daily Sales'!$C:$AG,
        $A556,
        MATCH(TEXT($B556,"0"),TEXT('Daily Sales'!$C$2:$AG$2,"0"),0)
      ),
    ""),
  "")
)</f>
        <v>560000</v>
      </c>
      <c r="J556" s="79" t="e">
        <f t="shared" si="6"/>
        <v>#VALUE!</v>
      </c>
      <c r="K556" s="141"/>
      <c r="L556" s="141"/>
      <c r="M556" s="141"/>
      <c r="N556" s="133"/>
      <c r="O556" s="4"/>
      <c r="P556" s="4"/>
      <c r="Q556" s="4"/>
      <c r="R556" s="109"/>
      <c r="S556" s="109"/>
      <c r="T556" s="108"/>
      <c r="U556" s="110"/>
      <c r="V556" s="110"/>
      <c r="W556" s="110"/>
      <c r="X556" s="110"/>
    </row>
    <row r="557" spans="1:24" ht="13.5" customHeight="1">
      <c r="A557" s="110">
        <f>IF(E557="","",MATCH(E557,'Daily Sales'!B$4:B$51,0)+3)</f>
        <v>14</v>
      </c>
      <c r="B557" s="135">
        <v>46191</v>
      </c>
      <c r="C557" s="136" t="s">
        <v>108</v>
      </c>
      <c r="D557" s="137" t="str">
        <f t="array" ref="D557">IF($A557="","",INDEX('Daily Sales'!A:A,$A557))</f>
        <v>4-2100</v>
      </c>
      <c r="E557" s="138" t="s">
        <v>19</v>
      </c>
      <c r="F557" s="139" t="str">
        <f t="shared" si="8"/>
        <v>Sales Food CLUB</v>
      </c>
      <c r="G557" s="140"/>
      <c r="H557" s="138" t="str">
        <f t="array" ref="H557">IF($A557="","",
  IF(
    OR(
      $A557=23,
      AND($A557&gt;=32,$A557&lt;=50)
    ),
    IFERROR(
      INDEX('Daily Sales'!$C:$AG,
        $A557,
        MATCH(TEXT($B557,"0"),TEXT('Daily Sales'!$C$2:$AG$2,"0"),0)
      ),
    ""),
  "")
)</f>
        <v/>
      </c>
      <c r="I557" s="138">
        <f t="array" ref="I557">IF($A557="","",
  IF(
    OR(
      AND($A557&gt;=4,$A557&lt;=8),
      AND($A557&gt;=12,$A557&lt;=19),
      AND($A557&gt;=28,$A557&lt;=29)
    ),
    IFERROR(
      INDEX('Daily Sales'!$C:$AG,
        $A557,
        MATCH(TEXT($B557,"0"),TEXT('Daily Sales'!$C$2:$AG$2,"0"),0)
      ),
    ""),
  "")
)</f>
        <v>1140000</v>
      </c>
      <c r="J557" s="79" t="e">
        <f t="shared" si="6"/>
        <v>#VALUE!</v>
      </c>
      <c r="K557" s="141"/>
      <c r="L557" s="141"/>
      <c r="M557" s="141"/>
      <c r="N557" s="133"/>
      <c r="O557" s="4"/>
      <c r="P557" s="4"/>
      <c r="Q557" s="4"/>
      <c r="R557" s="109"/>
      <c r="S557" s="109"/>
      <c r="T557" s="108"/>
      <c r="U557" s="110"/>
      <c r="V557" s="110"/>
      <c r="W557" s="110"/>
      <c r="X557" s="110"/>
    </row>
    <row r="558" spans="1:24" ht="13.5" customHeight="1">
      <c r="A558" s="110">
        <f>IF(E558="","",MATCH(E558,'Daily Sales'!B$4:B$51,0)+3)</f>
        <v>15</v>
      </c>
      <c r="B558" s="135">
        <v>46191</v>
      </c>
      <c r="C558" s="136" t="s">
        <v>108</v>
      </c>
      <c r="D558" s="137" t="str">
        <f t="array" ref="D558">IF($A558="","",INDEX('Daily Sales'!A:A,$A558))</f>
        <v>4-2300</v>
      </c>
      <c r="E558" s="138" t="s">
        <v>20</v>
      </c>
      <c r="F558" s="139" t="str">
        <f t="shared" si="8"/>
        <v>Sales Shisa CLUB</v>
      </c>
      <c r="G558" s="140"/>
      <c r="H558" s="138" t="str">
        <f t="array" ref="H558">IF($A558="","",
  IF(
    OR(
      $A558=23,
      AND($A558&gt;=32,$A558&lt;=50)
    ),
    IFERROR(
      INDEX('Daily Sales'!$C:$AG,
        $A558,
        MATCH(TEXT($B558,"0"),TEXT('Daily Sales'!$C$2:$AG$2,"0"),0)
      ),
    ""),
  "")
)</f>
        <v/>
      </c>
      <c r="I558" s="138">
        <f t="array" ref="I558">IF($A558="","",
  IF(
    OR(
      AND($A558&gt;=4,$A558&lt;=8),
      AND($A558&gt;=12,$A558&lt;=19),
      AND($A558&gt;=28,$A558&lt;=29)
    ),
    IFERROR(
      INDEX('Daily Sales'!$C:$AG,
        $A558,
        MATCH(TEXT($B558,"0"),TEXT('Daily Sales'!$C$2:$AG$2,"0"),0)
      ),
    ""),
  "")
)</f>
        <v>250000</v>
      </c>
      <c r="J558" s="79" t="e">
        <f t="shared" si="6"/>
        <v>#VALUE!</v>
      </c>
      <c r="K558" s="141"/>
      <c r="L558" s="141"/>
      <c r="M558" s="141"/>
      <c r="N558" s="133"/>
      <c r="O558" s="4"/>
      <c r="P558" s="4"/>
      <c r="Q558" s="4"/>
      <c r="R558" s="109"/>
      <c r="S558" s="109"/>
      <c r="T558" s="108"/>
      <c r="U558" s="110"/>
      <c r="V558" s="110"/>
      <c r="W558" s="110"/>
      <c r="X558" s="110"/>
    </row>
    <row r="559" spans="1:24" ht="13.5" customHeight="1">
      <c r="A559" s="110">
        <f>IF(E559="","",MATCH(E559,'Daily Sales'!B$4:B$51,0)+3)</f>
        <v>17</v>
      </c>
      <c r="B559" s="135">
        <v>46191</v>
      </c>
      <c r="C559" s="136" t="s">
        <v>108</v>
      </c>
      <c r="D559" s="137" t="str">
        <f t="array" ref="D559">IF($A559="","",INDEX('Daily Sales'!A:A,$A559))</f>
        <v>4-2601</v>
      </c>
      <c r="E559" s="138" t="s">
        <v>23</v>
      </c>
      <c r="F559" s="139" t="str">
        <f t="shared" si="8"/>
        <v xml:space="preserve">Misc </v>
      </c>
      <c r="G559" s="140"/>
      <c r="H559" s="138" t="str">
        <f t="array" ref="H559">IF($A559="","",
  IF(
    OR(
      $A559=23,
      AND($A559&gt;=32,$A559&lt;=50)
    ),
    IFERROR(
      INDEX('Daily Sales'!$C:$AG,
        $A559,
        MATCH(TEXT($B559,"0"),TEXT('Daily Sales'!$C$2:$AG$2,"0"),0)
      ),
    ""),
  "")
)</f>
        <v/>
      </c>
      <c r="I559" s="138">
        <f t="array" ref="I559">IF($A559="","",
  IF(
    OR(
      AND($A559&gt;=4,$A559&lt;=8),
      AND($A559&gt;=12,$A559&lt;=19),
      AND($A559&gt;=28,$A559&lt;=29)
    ),
    IFERROR(
      INDEX('Daily Sales'!$C:$AG,
        $A559,
        MATCH(TEXT($B559,"0"),TEXT('Daily Sales'!$C$2:$AG$2,"0"),0)
      ),
    ""),
  "")
)</f>
        <v>0</v>
      </c>
      <c r="J559" s="79" t="e">
        <f t="shared" si="6"/>
        <v>#VALUE!</v>
      </c>
      <c r="K559" s="141"/>
      <c r="L559" s="141"/>
      <c r="M559" s="141"/>
      <c r="N559" s="133"/>
      <c r="O559" s="4"/>
      <c r="P559" s="4"/>
      <c r="Q559" s="4"/>
      <c r="R559" s="109"/>
      <c r="S559" s="109"/>
      <c r="T559" s="108"/>
      <c r="U559" s="110"/>
      <c r="V559" s="110"/>
      <c r="W559" s="110"/>
      <c r="X559" s="110"/>
    </row>
    <row r="560" spans="1:24" ht="13.5" customHeight="1">
      <c r="A560" s="110">
        <f>IF(E560="","",MATCH(E560,'Daily Sales'!B$4:B$51,0)+3)</f>
        <v>19</v>
      </c>
      <c r="B560" s="135">
        <v>46191</v>
      </c>
      <c r="C560" s="136" t="s">
        <v>108</v>
      </c>
      <c r="D560" s="137" t="str">
        <f t="array" ref="D560">IF($A560="","",INDEX('Daily Sales'!A:A,$A560))</f>
        <v>4-2500</v>
      </c>
      <c r="E560" s="138" t="s">
        <v>26</v>
      </c>
      <c r="F560" s="139" t="str">
        <f t="shared" si="8"/>
        <v>Sales Ticket</v>
      </c>
      <c r="G560" s="140"/>
      <c r="H560" s="138" t="str">
        <f t="array" ref="H560">IF($A560="","",
  IF(
    OR(
      $A560=23,
      AND($A560&gt;=32,$A560&lt;=50)
    ),
    IFERROR(
      INDEX('Daily Sales'!$C:$AG,
        $A560,
        MATCH(TEXT($B560,"0"),TEXT('Daily Sales'!$C$2:$AG$2,"0"),0)
      ),
    ""),
  "")
)</f>
        <v/>
      </c>
      <c r="I560" s="138">
        <f t="array" ref="I560">IF($A560="","",
  IF(
    OR(
      AND($A560&gt;=4,$A560&lt;=8),
      AND($A560&gt;=12,$A560&lt;=19),
      AND($A560&gt;=28,$A560&lt;=29)
    ),
    IFERROR(
      INDEX('Daily Sales'!$C:$AG,
        $A560,
        MATCH(TEXT($B560,"0"),TEXT('Daily Sales'!$C$2:$AG$2,"0"),0)
      ),
    ""),
  "")
)</f>
        <v>10790174</v>
      </c>
      <c r="J560" s="79" t="e">
        <f t="shared" si="6"/>
        <v>#VALUE!</v>
      </c>
      <c r="K560" s="141"/>
      <c r="L560" s="141"/>
      <c r="M560" s="141"/>
      <c r="N560" s="133"/>
      <c r="O560" s="4"/>
      <c r="P560" s="4"/>
      <c r="Q560" s="4"/>
      <c r="R560" s="109"/>
      <c r="S560" s="109"/>
      <c r="T560" s="108"/>
      <c r="U560" s="110"/>
      <c r="V560" s="110"/>
      <c r="W560" s="110"/>
      <c r="X560" s="110"/>
    </row>
    <row r="561" spans="1:24" ht="13.5" customHeight="1">
      <c r="A561" s="110">
        <f>IF(E561="","",MATCH(E561,'Daily Sales'!B$4:B$51,0)+3)</f>
        <v>28</v>
      </c>
      <c r="B561" s="135">
        <v>46191</v>
      </c>
      <c r="C561" s="136" t="s">
        <v>108</v>
      </c>
      <c r="D561" s="137" t="str">
        <f t="array" ref="D561">IF($A561="","",INDEX('Daily Sales'!A:A,$A561))</f>
        <v>2-2106</v>
      </c>
      <c r="E561" s="138" t="s">
        <v>35</v>
      </c>
      <c r="F561" s="139" t="str">
        <f t="shared" si="8"/>
        <v>Service Charges 7%</v>
      </c>
      <c r="G561" s="140"/>
      <c r="H561" s="138" t="str">
        <f t="array" ref="H561">IF($A561="","",
  IF(
    OR(
      $A561=23,
      AND($A561&gt;=32,$A561&lt;=50)
    ),
    IFERROR(
      INDEX('Daily Sales'!$C:$AG,
        $A561,
        MATCH(TEXT($B561,"0"),TEXT('Daily Sales'!$C$2:$AG$2,"0"),0)
      ),
    ""),
  "")
)</f>
        <v/>
      </c>
      <c r="I561" s="138">
        <f t="array" ref="I561">IF($A561="","",
  IF(
    OR(
      AND($A561&gt;=4,$A561&lt;=8),
      AND($A561&gt;=12,$A561&lt;=19),
      AND($A561&gt;=28,$A561&lt;=29)
    ),
    IFERROR(
      INDEX('Daily Sales'!$C:$AG,
        $A561,
        MATCH(TEXT($B561,"0"),TEXT('Daily Sales'!$C$2:$AG$2,"0"),0)
      ),
    ""),
  "")
)</f>
        <v>3166637.18</v>
      </c>
      <c r="J561" s="79" t="e">
        <f t="shared" si="6"/>
        <v>#VALUE!</v>
      </c>
      <c r="K561" s="141"/>
      <c r="L561" s="141"/>
      <c r="M561" s="141"/>
      <c r="N561" s="133"/>
      <c r="O561" s="4"/>
      <c r="P561" s="4"/>
      <c r="Q561" s="4"/>
      <c r="R561" s="109"/>
      <c r="S561" s="109"/>
      <c r="T561" s="108"/>
      <c r="U561" s="110"/>
      <c r="V561" s="110"/>
      <c r="W561" s="110"/>
      <c r="X561" s="110"/>
    </row>
    <row r="562" spans="1:24" ht="13.5" customHeight="1">
      <c r="A562" s="110">
        <f>IF(E562="","",MATCH(E562,'Daily Sales'!B$4:B$51,0)+3)</f>
        <v>29</v>
      </c>
      <c r="B562" s="135">
        <v>46191</v>
      </c>
      <c r="C562" s="136" t="s">
        <v>108</v>
      </c>
      <c r="D562" s="137" t="str">
        <f t="array" ref="D562">IF($A562="","",INDEX('Daily Sales'!A:A,$A562))</f>
        <v>2-3101</v>
      </c>
      <c r="E562" s="138" t="s">
        <v>37</v>
      </c>
      <c r="F562" s="139" t="str">
        <f t="shared" si="8"/>
        <v>Tax PB1 10%</v>
      </c>
      <c r="G562" s="140"/>
      <c r="H562" s="138" t="str">
        <f t="array" ref="H562">IF($A562="","",
  IF(
    OR(
      $A562=23,
      AND($A562&gt;=32,$A562&lt;=50)
    ),
    IFERROR(
      INDEX('Daily Sales'!$C:$AG,
        $A562,
        MATCH(TEXT($B562,"0"),TEXT('Daily Sales'!$C$2:$AG$2,"0"),0)
      ),
    ""),
  "")
)</f>
        <v/>
      </c>
      <c r="I562" s="138">
        <f t="array" ref="I562">IF($A562="","",
  IF(
    OR(
      AND($A562&gt;=4,$A562&lt;=8),
      AND($A562&gt;=12,$A562&lt;=19),
      AND($A562&gt;=28,$A562&lt;=29)
    ),
    IFERROR(
      INDEX('Daily Sales'!$C:$AG,
        $A562,
        MATCH(TEXT($B562,"0"),TEXT('Daily Sales'!$C$2:$AG$2,"0"),0)
      ),
    ""),
  "")
)</f>
        <v>4840431.1179999998</v>
      </c>
      <c r="J562" s="79" t="e">
        <f t="shared" si="6"/>
        <v>#VALUE!</v>
      </c>
      <c r="K562" s="141"/>
      <c r="L562" s="141"/>
      <c r="M562" s="141"/>
      <c r="N562" s="133"/>
      <c r="O562" s="4"/>
      <c r="P562" s="4"/>
      <c r="Q562" s="4"/>
      <c r="R562" s="109"/>
      <c r="S562" s="109"/>
      <c r="T562" s="108"/>
      <c r="U562" s="110"/>
      <c r="V562" s="110"/>
      <c r="W562" s="110"/>
      <c r="X562" s="110"/>
    </row>
    <row r="563" spans="1:24" ht="13.5" customHeight="1">
      <c r="A563" s="110">
        <f>IF(E563="","",MATCH(E563,'Daily Sales'!B$4:B$51,0)+3)</f>
        <v>23</v>
      </c>
      <c r="B563" s="135">
        <v>46191</v>
      </c>
      <c r="C563" s="136" t="s">
        <v>108</v>
      </c>
      <c r="D563" s="137" t="str">
        <f t="array" ref="D563">IF($A563="","",INDEX('Daily Sales'!A:A,$A563))</f>
        <v>4-5110</v>
      </c>
      <c r="E563" s="138" t="s">
        <v>30</v>
      </c>
      <c r="F563" s="139" t="str">
        <f t="shared" si="8"/>
        <v>Discount</v>
      </c>
      <c r="G563" s="140"/>
      <c r="H563" s="138">
        <f t="array" ref="H563">IF($A563="","",
  IF(
    OR(
      $A563=23,
      AND($A563&gt;=32,$A563&lt;=50)
    ),
    IFERROR(
      INDEX('Daily Sales'!$C:$AG,
        $A563,
        MATCH(TEXT($B563,"0"),TEXT('Daily Sales'!$C$2:$AG$2,"0"),0)
      ),
    ""),
  "")
)</f>
        <v>440500</v>
      </c>
      <c r="I563" s="138" t="str">
        <f t="array" ref="I563">IF($A563="","",
  IF(
    OR(
      AND($A563&gt;=4,$A563&lt;=8),
      AND($A563&gt;=12,$A563&lt;=19),
      AND($A563&gt;=28,$A563&lt;=29)
    ),
    IFERROR(
      INDEX('Daily Sales'!$C:$AG,
        $A563,
        MATCH(TEXT($B563,"0"),TEXT('Daily Sales'!$C$2:$AG$2,"0"),0)
      ),
    ""),
  "")
)</f>
        <v/>
      </c>
      <c r="J563" s="79" t="e">
        <f t="shared" si="6"/>
        <v>#VALUE!</v>
      </c>
      <c r="K563" s="141"/>
      <c r="L563" s="141"/>
      <c r="M563" s="141"/>
      <c r="N563" s="133"/>
      <c r="O563" s="4"/>
      <c r="P563" s="4"/>
      <c r="Q563" s="4"/>
      <c r="R563" s="109"/>
      <c r="S563" s="109"/>
      <c r="T563" s="108"/>
      <c r="U563" s="110"/>
      <c r="V563" s="110"/>
      <c r="W563" s="110"/>
      <c r="X563" s="110"/>
    </row>
    <row r="564" spans="1:24" ht="13.5" customHeight="1">
      <c r="A564" s="110">
        <f>IF(E564="","",MATCH(E564,'Daily Sales'!B$4:B$51,0)+3)</f>
        <v>32</v>
      </c>
      <c r="B564" s="135">
        <v>46191</v>
      </c>
      <c r="C564" s="136" t="s">
        <v>108</v>
      </c>
      <c r="D564" s="137" t="str">
        <f t="array" ref="D564">IF($A564="","",INDEX('Daily Sales'!A:A,$A564))</f>
        <v>1-1119</v>
      </c>
      <c r="E564" s="138" t="s">
        <v>40</v>
      </c>
      <c r="F564" s="139" t="str">
        <f t="shared" si="8"/>
        <v>Cash IDR</v>
      </c>
      <c r="G564" s="140"/>
      <c r="H564" s="138">
        <f t="array" ref="H564">IF($A564="","",
  IF(
    OR(
      $A564=23,
      AND($A564&gt;=32,$A564&lt;=50)
    ),
    IFERROR(
      INDEX('Daily Sales'!$C:$AG,
        $A564,
        MATCH(TEXT($B564,"0"),TEXT('Daily Sales'!$C$2:$AG$2,"0"),0)
      ),
    ""),
  "")
)</f>
        <v>12985755</v>
      </c>
      <c r="I564" s="138" t="str">
        <f t="array" ref="I564">IF($A564="","",
  IF(
    OR(
      AND($A564&gt;=4,$A564&lt;=8),
      AND($A564&gt;=12,$A564&lt;=19),
      AND($A564&gt;=28,$A564&lt;=29)
    ),
    IFERROR(
      INDEX('Daily Sales'!$C:$AG,
        $A564,
        MATCH(TEXT($B564,"0"),TEXT('Daily Sales'!$C$2:$AG$2,"0"),0)
      ),
    ""),
  "")
)</f>
        <v/>
      </c>
      <c r="J564" s="79" t="e">
        <f t="shared" si="6"/>
        <v>#VALUE!</v>
      </c>
      <c r="K564" s="141"/>
      <c r="L564" s="141"/>
      <c r="M564" s="141"/>
      <c r="N564" s="133"/>
      <c r="O564" s="4"/>
      <c r="P564" s="4"/>
      <c r="Q564" s="4"/>
      <c r="R564" s="109"/>
      <c r="S564" s="109"/>
      <c r="T564" s="108"/>
      <c r="U564" s="110"/>
      <c r="V564" s="110"/>
      <c r="W564" s="110"/>
      <c r="X564" s="110"/>
    </row>
    <row r="565" spans="1:24" ht="13.5" customHeight="1">
      <c r="A565" s="110">
        <f>IF(E565="","",MATCH(E565,'Daily Sales'!B$4:B$51,0)+3)</f>
        <v>33</v>
      </c>
      <c r="B565" s="135">
        <v>46191</v>
      </c>
      <c r="C565" s="136" t="s">
        <v>108</v>
      </c>
      <c r="D565" s="137" t="str">
        <f t="array" ref="D565">IF($A565="","",INDEX('Daily Sales'!A:A,$A565))</f>
        <v>1-1217</v>
      </c>
      <c r="E565" s="138" t="s">
        <v>43</v>
      </c>
      <c r="F565" s="139" t="str">
        <f t="shared" si="8"/>
        <v>Bank transfer</v>
      </c>
      <c r="G565" s="140"/>
      <c r="H565" s="138">
        <f t="array" ref="H565">IF($A565="","",
  IF(
    OR(
      $A565=23,
      AND($A565&gt;=32,$A565&lt;=50)
    ),
    IFERROR(
      INDEX('Daily Sales'!$C:$AG,
        $A565,
        MATCH(TEXT($B565,"0"),TEXT('Daily Sales'!$C$2:$AG$2,"0"),0)
      ),
    ""),
  "")
)</f>
        <v>0</v>
      </c>
      <c r="I565" s="138" t="str">
        <f t="array" ref="I565">IF($A565="","",
  IF(
    OR(
      AND($A565&gt;=4,$A565&lt;=8),
      AND($A565&gt;=12,$A565&lt;=19),
      AND($A565&gt;=28,$A565&lt;=29)
    ),
    IFERROR(
      INDEX('Daily Sales'!$C:$AG,
        $A565,
        MATCH(TEXT($B565,"0"),TEXT('Daily Sales'!$C$2:$AG$2,"0"),0)
      ),
    ""),
  "")
)</f>
        <v/>
      </c>
      <c r="J565" s="79" t="e">
        <f t="shared" si="6"/>
        <v>#VALUE!</v>
      </c>
      <c r="K565" s="141"/>
      <c r="L565" s="141"/>
      <c r="M565" s="141"/>
      <c r="N565" s="133"/>
      <c r="O565" s="4"/>
      <c r="P565" s="4"/>
      <c r="Q565" s="4"/>
      <c r="R565" s="109"/>
      <c r="S565" s="109"/>
      <c r="T565" s="108"/>
      <c r="U565" s="110"/>
      <c r="V565" s="110"/>
      <c r="W565" s="110"/>
      <c r="X565" s="110"/>
    </row>
    <row r="566" spans="1:24" ht="13.5" customHeight="1">
      <c r="A566" s="110">
        <f>IF(E566="","",MATCH(E566,'Daily Sales'!B$4:B$51,0)+3)</f>
        <v>35</v>
      </c>
      <c r="B566" s="135">
        <v>46191</v>
      </c>
      <c r="C566" s="136" t="s">
        <v>108</v>
      </c>
      <c r="D566" s="137" t="str">
        <f t="array" ref="D566">IF($A566="","",INDEX('Daily Sales'!A:A,$A566))</f>
        <v>1-1216</v>
      </c>
      <c r="E566" s="138" t="s">
        <v>46</v>
      </c>
      <c r="F566" s="139" t="str">
        <f t="shared" si="8"/>
        <v>Cim Niaga TBB</v>
      </c>
      <c r="G566" s="140"/>
      <c r="H566" s="138">
        <f t="array" ref="H566">IF($A566="","",
  IF(
    OR(
      $A566=23,
      AND($A566&gt;=32,$A566&lt;=50)
    ),
    IFERROR(
      INDEX('Daily Sales'!$C:$AG,
        $A566,
        MATCH(TEXT($B566,"0"),TEXT('Daily Sales'!$C$2:$AG$2,"0"),0)
      ),
    ""),
  "")
)</f>
        <v>0</v>
      </c>
      <c r="I566" s="138" t="str">
        <f t="array" ref="I566">IF($A566="","",
  IF(
    OR(
      AND($A566&gt;=4,$A566&lt;=8),
      AND($A566&gt;=12,$A566&lt;=19),
      AND($A566&gt;=28,$A566&lt;=29)
    ),
    IFERROR(
      INDEX('Daily Sales'!$C:$AG,
        $A566,
        MATCH(TEXT($B566,"0"),TEXT('Daily Sales'!$C$2:$AG$2,"0"),0)
      ),
    ""),
  "")
)</f>
        <v/>
      </c>
      <c r="J566" s="79" t="e">
        <f t="shared" si="6"/>
        <v>#VALUE!</v>
      </c>
      <c r="K566" s="141"/>
      <c r="L566" s="141"/>
      <c r="M566" s="141"/>
      <c r="N566" s="133"/>
      <c r="O566" s="4"/>
      <c r="P566" s="4"/>
      <c r="Q566" s="4"/>
      <c r="R566" s="109"/>
      <c r="S566" s="109"/>
      <c r="T566" s="108"/>
      <c r="U566" s="110"/>
      <c r="V566" s="110"/>
      <c r="W566" s="110"/>
      <c r="X566" s="110"/>
    </row>
    <row r="567" spans="1:24" ht="13.5" customHeight="1">
      <c r="A567" s="110">
        <f>IF(E567="","",MATCH(E567,'Daily Sales'!B$4:B$51,0)+3)</f>
        <v>36</v>
      </c>
      <c r="B567" s="135">
        <v>46191</v>
      </c>
      <c r="C567" s="136" t="s">
        <v>108</v>
      </c>
      <c r="D567" s="137" t="str">
        <f t="array" ref="D567">IF($A567="","",INDEX('Daily Sales'!A:A,$A567))</f>
        <v>1-1213</v>
      </c>
      <c r="E567" s="138" t="s">
        <v>49</v>
      </c>
      <c r="F567" s="139" t="str">
        <f t="shared" si="8"/>
        <v>Mandiri Debet</v>
      </c>
      <c r="G567" s="140"/>
      <c r="H567" s="138">
        <f t="array" ref="H567">IF($A567="","",
  IF(
    OR(
      $A567=23,
      AND($A567&gt;=32,$A567&lt;=50)
    ),
    IFERROR(
      INDEX('Daily Sales'!$C:$AG,
        $A567,
        MATCH(TEXT($B567,"0"),TEXT('Daily Sales'!$C$2:$AG$2,"0"),0)
      ),
    ""),
  "")
)</f>
        <v>600000</v>
      </c>
      <c r="I567" s="138" t="str">
        <f t="array" ref="I567">IF($A567="","",
  IF(
    OR(
      AND($A567&gt;=4,$A567&lt;=8),
      AND($A567&gt;=12,$A567&lt;=19),
      AND($A567&gt;=28,$A567&lt;=29)
    ),
    IFERROR(
      INDEX('Daily Sales'!$C:$AG,
        $A567,
        MATCH(TEXT($B567,"0"),TEXT('Daily Sales'!$C$2:$AG$2,"0"),0)
      ),
    ""),
  "")
)</f>
        <v/>
      </c>
      <c r="J567" s="79" t="e">
        <f t="shared" si="6"/>
        <v>#VALUE!</v>
      </c>
      <c r="K567" s="141"/>
      <c r="L567" s="141"/>
      <c r="M567" s="141"/>
      <c r="N567" s="133"/>
      <c r="O567" s="4"/>
      <c r="P567" s="4"/>
      <c r="Q567" s="4"/>
      <c r="R567" s="109"/>
      <c r="S567" s="109"/>
      <c r="T567" s="108"/>
      <c r="U567" s="110"/>
      <c r="V567" s="110"/>
      <c r="W567" s="110"/>
      <c r="X567" s="110"/>
    </row>
    <row r="568" spans="1:24" ht="13.5" customHeight="1">
      <c r="A568" s="110">
        <f>IF(E568="","",MATCH(E568,'Daily Sales'!B$4:B$51,0)+3)</f>
        <v>37</v>
      </c>
      <c r="B568" s="135">
        <v>46191</v>
      </c>
      <c r="C568" s="136" t="s">
        <v>108</v>
      </c>
      <c r="D568" s="137" t="str">
        <f t="array" ref="D568">IF($A568="","",INDEX('Daily Sales'!A:A,$A568))</f>
        <v>1-1213</v>
      </c>
      <c r="E568" s="138" t="s">
        <v>50</v>
      </c>
      <c r="F568" s="139" t="str">
        <f t="shared" si="8"/>
        <v>Mandiri CC</v>
      </c>
      <c r="G568" s="140"/>
      <c r="H568" s="138">
        <f t="array" ref="H568">IF($A568="","",
  IF(
    OR(
      $A568=23,
      AND($A568&gt;=32,$A568&lt;=50)
    ),
    IFERROR(
      INDEX('Daily Sales'!$C:$AG,
        $A568,
        MATCH(TEXT($B568,"0"),TEXT('Daily Sales'!$C$2:$AG$2,"0"),0)
      ),
    ""),
  "")
)</f>
        <v>33303956</v>
      </c>
      <c r="I568" s="138" t="str">
        <f t="array" ref="I568">IF($A568="","",
  IF(
    OR(
      AND($A568&gt;=4,$A568&lt;=8),
      AND($A568&gt;=12,$A568&lt;=19),
      AND($A568&gt;=28,$A568&lt;=29)
    ),
    IFERROR(
      INDEX('Daily Sales'!$C:$AG,
        $A568,
        MATCH(TEXT($B568,"0"),TEXT('Daily Sales'!$C$2:$AG$2,"0"),0)
      ),
    ""),
  "")
)</f>
        <v/>
      </c>
      <c r="J568" s="79" t="e">
        <f t="shared" si="6"/>
        <v>#VALUE!</v>
      </c>
      <c r="K568" s="141"/>
      <c r="L568" s="141"/>
      <c r="M568" s="141"/>
      <c r="N568" s="133"/>
      <c r="O568" s="4"/>
      <c r="P568" s="4"/>
      <c r="Q568" s="4"/>
      <c r="R568" s="109"/>
      <c r="S568" s="109"/>
      <c r="T568" s="108"/>
      <c r="U568" s="110"/>
      <c r="V568" s="110"/>
      <c r="W568" s="110"/>
      <c r="X568" s="110"/>
    </row>
    <row r="569" spans="1:24" ht="13.5" customHeight="1">
      <c r="A569" s="110">
        <f>IF(E569="","",MATCH(E569,'Daily Sales'!B$4:B$51,0)+3)</f>
        <v>38</v>
      </c>
      <c r="B569" s="135">
        <v>46191</v>
      </c>
      <c r="C569" s="136" t="s">
        <v>108</v>
      </c>
      <c r="D569" s="137" t="str">
        <f t="array" ref="D569">IF($A569="","",INDEX('Daily Sales'!A:A,$A569))</f>
        <v>1-1213</v>
      </c>
      <c r="E569" s="138" t="s">
        <v>51</v>
      </c>
      <c r="F569" s="139" t="str">
        <f t="shared" si="8"/>
        <v>Mandiri NPG</v>
      </c>
      <c r="G569" s="140"/>
      <c r="H569" s="138">
        <f t="array" ref="H569">IF($A569="","",
  IF(
    OR(
      $A569=23,
      AND($A569&gt;=32,$A569&lt;=50)
    ),
    IFERROR(
      INDEX('Daily Sales'!$C:$AG,
        $A569,
        MATCH(TEXT($B569,"0"),TEXT('Daily Sales'!$C$2:$AG$2,"0"),0)
      ),
    ""),
  "")
)</f>
        <v>1247620</v>
      </c>
      <c r="I569" s="138" t="str">
        <f t="array" ref="I569">IF($A569="","",
  IF(
    OR(
      AND($A569&gt;=4,$A569&lt;=8),
      AND($A569&gt;=12,$A569&lt;=19),
      AND($A569&gt;=28,$A569&lt;=29)
    ),
    IFERROR(
      INDEX('Daily Sales'!$C:$AG,
        $A569,
        MATCH(TEXT($B569,"0"),TEXT('Daily Sales'!$C$2:$AG$2,"0"),0)
      ),
    ""),
  "")
)</f>
        <v/>
      </c>
      <c r="J569" s="79" t="e">
        <f t="shared" si="6"/>
        <v>#VALUE!</v>
      </c>
      <c r="K569" s="141"/>
      <c r="L569" s="141"/>
      <c r="M569" s="141"/>
      <c r="N569" s="133"/>
      <c r="O569" s="4"/>
      <c r="P569" s="4"/>
      <c r="Q569" s="4"/>
      <c r="R569" s="109"/>
      <c r="S569" s="109"/>
      <c r="T569" s="108"/>
      <c r="U569" s="110"/>
      <c r="V569" s="110"/>
      <c r="W569" s="110"/>
      <c r="X569" s="110"/>
    </row>
    <row r="570" spans="1:24" ht="13.5" customHeight="1">
      <c r="A570" s="110">
        <f>IF(E570="","",MATCH(E570,'Daily Sales'!B$4:B$51,0)+3)</f>
        <v>39</v>
      </c>
      <c r="B570" s="135">
        <v>46191</v>
      </c>
      <c r="C570" s="136" t="s">
        <v>108</v>
      </c>
      <c r="D570" s="137" t="str">
        <f t="array" ref="D570">IF($A570="","",INDEX('Daily Sales'!A:A,$A570))</f>
        <v>1-1213</v>
      </c>
      <c r="E570" s="138" t="s">
        <v>52</v>
      </c>
      <c r="F570" s="139" t="str">
        <f t="shared" si="8"/>
        <v>Mandiri QR</v>
      </c>
      <c r="G570" s="140"/>
      <c r="H570" s="138">
        <f t="array" ref="H570">IF($A570="","",
  IF(
    OR(
      $A570=23,
      AND($A570&gt;=32,$A570&lt;=50)
    ),
    IFERROR(
      INDEX('Daily Sales'!$C:$AG,
        $A570,
        MATCH(TEXT($B570,"0"),TEXT('Daily Sales'!$C$2:$AG$2,"0"),0)
      ),
    ""),
  "")
)</f>
        <v>3470703</v>
      </c>
      <c r="I570" s="138" t="str">
        <f t="array" ref="I570">IF($A570="","",
  IF(
    OR(
      AND($A570&gt;=4,$A570&lt;=8),
      AND($A570&gt;=12,$A570&lt;=19),
      AND($A570&gt;=28,$A570&lt;=29)
    ),
    IFERROR(
      INDEX('Daily Sales'!$C:$AG,
        $A570,
        MATCH(TEXT($B570,"0"),TEXT('Daily Sales'!$C$2:$AG$2,"0"),0)
      ),
    ""),
  "")
)</f>
        <v/>
      </c>
      <c r="J570" s="79" t="e">
        <f t="shared" si="6"/>
        <v>#VALUE!</v>
      </c>
      <c r="K570" s="141"/>
      <c r="L570" s="141"/>
      <c r="M570" s="141"/>
      <c r="N570" s="133"/>
      <c r="O570" s="4"/>
      <c r="P570" s="4"/>
      <c r="Q570" s="4"/>
      <c r="R570" s="109"/>
      <c r="S570" s="109"/>
      <c r="T570" s="108"/>
      <c r="U570" s="110"/>
      <c r="V570" s="110"/>
      <c r="W570" s="110"/>
      <c r="X570" s="110"/>
    </row>
    <row r="571" spans="1:24" ht="13.5" customHeight="1">
      <c r="A571" s="110">
        <f>IF(E571="","",MATCH(E571,'Daily Sales'!B$4:B$51,0)+3)</f>
        <v>40</v>
      </c>
      <c r="B571" s="135">
        <v>46191</v>
      </c>
      <c r="C571" s="136" t="s">
        <v>108</v>
      </c>
      <c r="D571" s="137" t="str">
        <f t="array" ref="D571">IF($A571="","",INDEX('Daily Sales'!A:A,$A571))</f>
        <v>1-1217</v>
      </c>
      <c r="E571" s="138" t="s">
        <v>54</v>
      </c>
      <c r="F571" s="139" t="str">
        <f t="shared" si="8"/>
        <v>BCA CC</v>
      </c>
      <c r="G571" s="140"/>
      <c r="H571" s="138">
        <f t="array" ref="H571">IF($A571="","",
  IF(
    OR(
      $A571=23,
      AND($A571&gt;=32,$A571&lt;=50)
    ),
    IFERROR(
      INDEX('Daily Sales'!$C:$AG,
        $A571,
        MATCH(TEXT($B571,"0"),TEXT('Daily Sales'!$C$2:$AG$2,"0"),0)
      ),
    ""),
  "")
)</f>
        <v>1259390</v>
      </c>
      <c r="I571" s="138" t="str">
        <f t="array" ref="I571">IF($A571="","",
  IF(
    OR(
      AND($A571&gt;=4,$A571&lt;=8),
      AND($A571&gt;=12,$A571&lt;=19),
      AND($A571&gt;=28,$A571&lt;=29)
    ),
    IFERROR(
      INDEX('Daily Sales'!$C:$AG,
        $A571,
        MATCH(TEXT($B571,"0"),TEXT('Daily Sales'!$C$2:$AG$2,"0"),0)
      ),
    ""),
  "")
)</f>
        <v/>
      </c>
      <c r="J571" s="79" t="e">
        <f t="shared" si="6"/>
        <v>#VALUE!</v>
      </c>
      <c r="K571" s="141"/>
      <c r="L571" s="141"/>
      <c r="M571" s="141"/>
      <c r="N571" s="133"/>
      <c r="O571" s="4"/>
      <c r="P571" s="4"/>
      <c r="Q571" s="4"/>
      <c r="R571" s="109"/>
      <c r="S571" s="109"/>
      <c r="T571" s="108"/>
      <c r="U571" s="110"/>
      <c r="V571" s="110"/>
      <c r="W571" s="110"/>
      <c r="X571" s="110"/>
    </row>
    <row r="572" spans="1:24" ht="13.5" customHeight="1">
      <c r="A572" s="110">
        <f>IF(E572="","",MATCH(E572,'Daily Sales'!B$4:B$51,0)+3)</f>
        <v>41</v>
      </c>
      <c r="B572" s="135">
        <v>46191</v>
      </c>
      <c r="C572" s="136" t="s">
        <v>108</v>
      </c>
      <c r="D572" s="137" t="str">
        <f t="array" ref="D572">IF($A572="","",INDEX('Daily Sales'!A:A,$A572))</f>
        <v>1-1217</v>
      </c>
      <c r="E572" s="138" t="s">
        <v>55</v>
      </c>
      <c r="F572" s="139" t="str">
        <f t="shared" si="8"/>
        <v>BCA debt</v>
      </c>
      <c r="G572" s="140"/>
      <c r="H572" s="138">
        <f t="array" ref="H572">IF($A572="","",
  IF(
    OR(
      $A572=23,
      AND($A572&gt;=32,$A572&lt;=50)
    ),
    IFERROR(
      INDEX('Daily Sales'!$C:$AG,
        $A572,
        MATCH(TEXT($B572,"0"),TEXT('Daily Sales'!$C$2:$AG$2,"0"),0)
      ),
    ""),
  "")
)</f>
        <v>0</v>
      </c>
      <c r="I572" s="138" t="str">
        <f t="array" ref="I572">IF($A572="","",
  IF(
    OR(
      AND($A572&gt;=4,$A572&lt;=8),
      AND($A572&gt;=12,$A572&lt;=19),
      AND($A572&gt;=28,$A572&lt;=29)
    ),
    IFERROR(
      INDEX('Daily Sales'!$C:$AG,
        $A572,
        MATCH(TEXT($B572,"0"),TEXT('Daily Sales'!$C$2:$AG$2,"0"),0)
      ),
    ""),
  "")
)</f>
        <v/>
      </c>
      <c r="J572" s="79" t="e">
        <f t="shared" si="6"/>
        <v>#VALUE!</v>
      </c>
      <c r="K572" s="141"/>
      <c r="L572" s="141"/>
      <c r="M572" s="141"/>
      <c r="N572" s="133"/>
      <c r="O572" s="4"/>
      <c r="P572" s="4"/>
      <c r="Q572" s="4"/>
      <c r="R572" s="109"/>
      <c r="S572" s="109"/>
      <c r="T572" s="108"/>
      <c r="U572" s="110"/>
      <c r="V572" s="110"/>
      <c r="W572" s="110"/>
      <c r="X572" s="110"/>
    </row>
    <row r="573" spans="1:24" ht="13.5" customHeight="1">
      <c r="A573" s="110">
        <f>IF(E573="","",MATCH(E573,'Daily Sales'!B$4:B$51,0)+3)</f>
        <v>42</v>
      </c>
      <c r="B573" s="135">
        <v>46191</v>
      </c>
      <c r="C573" s="136" t="s">
        <v>108</v>
      </c>
      <c r="D573" s="137" t="str">
        <f t="array" ref="D573">IF($A573="","",INDEX('Daily Sales'!A:A,$A573))</f>
        <v>1-1217</v>
      </c>
      <c r="E573" s="138" t="s">
        <v>56</v>
      </c>
      <c r="F573" s="139" t="str">
        <f t="shared" si="8"/>
        <v>BCA QR</v>
      </c>
      <c r="G573" s="140"/>
      <c r="H573" s="138">
        <f t="array" ref="H573">IF($A573="","",
  IF(
    OR(
      $A573=23,
      AND($A573&gt;=32,$A573&lt;=50)
    ),
    IFERROR(
      INDEX('Daily Sales'!$C:$AG,
        $A573,
        MATCH(TEXT($B573,"0"),TEXT('Daily Sales'!$C$2:$AG$2,"0"),0)
      ),
    ""),
  "")
)</f>
        <v>138886</v>
      </c>
      <c r="I573" s="138" t="str">
        <f t="array" ref="I573">IF($A573="","",
  IF(
    OR(
      AND($A573&gt;=4,$A573&lt;=8),
      AND($A573&gt;=12,$A573&lt;=19),
      AND($A573&gt;=28,$A573&lt;=29)
    ),
    IFERROR(
      INDEX('Daily Sales'!$C:$AG,
        $A573,
        MATCH(TEXT($B573,"0"),TEXT('Daily Sales'!$C$2:$AG$2,"0"),0)
      ),
    ""),
  "")
)</f>
        <v/>
      </c>
      <c r="J573" s="79" t="e">
        <f t="shared" si="6"/>
        <v>#VALUE!</v>
      </c>
      <c r="K573" s="141"/>
      <c r="L573" s="141"/>
      <c r="M573" s="141"/>
      <c r="N573" s="133"/>
      <c r="O573" s="4"/>
      <c r="P573" s="4"/>
      <c r="Q573" s="4"/>
      <c r="R573" s="109"/>
      <c r="S573" s="109"/>
      <c r="T573" s="108"/>
      <c r="U573" s="110"/>
      <c r="V573" s="110"/>
      <c r="W573" s="110"/>
      <c r="X573" s="110"/>
    </row>
    <row r="574" spans="1:24" ht="13.5" customHeight="1">
      <c r="A574" s="110">
        <f>IF(E574="","",MATCH(E574,'Daily Sales'!B$4:B$51,0)+3)</f>
        <v>43</v>
      </c>
      <c r="B574" s="135">
        <v>46191</v>
      </c>
      <c r="C574" s="136" t="s">
        <v>108</v>
      </c>
      <c r="D574" s="137" t="str">
        <f t="array" ref="D574">IF($A574="","",INDEX('Daily Sales'!A:A,$A574))</f>
        <v>1-1214</v>
      </c>
      <c r="E574" s="138" t="s">
        <v>59</v>
      </c>
      <c r="F574" s="139" t="str">
        <f t="shared" si="8"/>
        <v>Bank BRI DEBET</v>
      </c>
      <c r="G574" s="140"/>
      <c r="H574" s="138">
        <f t="array" ref="H574">IF($A574="","",
  IF(
    OR(
      $A574=23,
      AND($A574&gt;=32,$A574&lt;=50)
    ),
    IFERROR(
      INDEX('Daily Sales'!$C:$AG,
        $A574,
        MATCH(TEXT($B574,"0"),TEXT('Daily Sales'!$C$2:$AG$2,"0"),0)
      ),
    ""),
  "")
)</f>
        <v>0</v>
      </c>
      <c r="I574" s="138" t="str">
        <f t="array" ref="I574">IF($A574="","",
  IF(
    OR(
      AND($A574&gt;=4,$A574&lt;=8),
      AND($A574&gt;=12,$A574&lt;=19),
      AND($A574&gt;=28,$A574&lt;=29)
    ),
    IFERROR(
      INDEX('Daily Sales'!$C:$AG,
        $A574,
        MATCH(TEXT($B574,"0"),TEXT('Daily Sales'!$C$2:$AG$2,"0"),0)
      ),
    ""),
  "")
)</f>
        <v/>
      </c>
      <c r="J574" s="79" t="e">
        <f t="shared" si="6"/>
        <v>#VALUE!</v>
      </c>
      <c r="K574" s="141"/>
      <c r="L574" s="141"/>
      <c r="M574" s="141"/>
      <c r="N574" s="133"/>
      <c r="O574" s="4"/>
      <c r="P574" s="4"/>
      <c r="Q574" s="4"/>
      <c r="R574" s="109"/>
      <c r="S574" s="109"/>
      <c r="T574" s="108"/>
      <c r="U574" s="110"/>
      <c r="V574" s="110"/>
      <c r="W574" s="110"/>
      <c r="X574" s="110"/>
    </row>
    <row r="575" spans="1:24" ht="13.5" customHeight="1">
      <c r="A575" s="110">
        <f>IF(E575="","",MATCH(E575,'Daily Sales'!B$4:B$51,0)+3)</f>
        <v>44</v>
      </c>
      <c r="B575" s="135">
        <v>46191</v>
      </c>
      <c r="C575" s="136" t="s">
        <v>108</v>
      </c>
      <c r="D575" s="137" t="str">
        <f t="array" ref="D575">IF($A575="","",INDEX('Daily Sales'!A:A,$A575))</f>
        <v>1-1214</v>
      </c>
      <c r="E575" s="138" t="s">
        <v>60</v>
      </c>
      <c r="F575" s="139" t="str">
        <f t="shared" si="8"/>
        <v>Bank BRI CC</v>
      </c>
      <c r="G575" s="140"/>
      <c r="H575" s="138">
        <f t="array" ref="H575">IF($A575="","",
  IF(
    OR(
      $A575=23,
      AND($A575&gt;=32,$A575&lt;=50)
    ),
    IFERROR(
      INDEX('Daily Sales'!$C:$AG,
        $A575,
        MATCH(TEXT($B575,"0"),TEXT('Daily Sales'!$C$2:$AG$2,"0"),0)
      ),
    ""),
  "")
)</f>
        <v>0</v>
      </c>
      <c r="I575" s="138" t="str">
        <f t="array" ref="I575">IF($A575="","",
  IF(
    OR(
      AND($A575&gt;=4,$A575&lt;=8),
      AND($A575&gt;=12,$A575&lt;=19),
      AND($A575&gt;=28,$A575&lt;=29)
    ),
    IFERROR(
      INDEX('Daily Sales'!$C:$AG,
        $A575,
        MATCH(TEXT($B575,"0"),TEXT('Daily Sales'!$C$2:$AG$2,"0"),0)
      ),
    ""),
  "")
)</f>
        <v/>
      </c>
      <c r="J575" s="79" t="e">
        <f t="shared" si="6"/>
        <v>#VALUE!</v>
      </c>
      <c r="K575" s="141"/>
      <c r="L575" s="141"/>
      <c r="M575" s="141"/>
      <c r="N575" s="133"/>
      <c r="O575" s="4"/>
      <c r="P575" s="4"/>
      <c r="Q575" s="4"/>
      <c r="R575" s="109"/>
      <c r="S575" s="109"/>
      <c r="T575" s="108"/>
      <c r="U575" s="110"/>
      <c r="V575" s="110"/>
      <c r="W575" s="110"/>
      <c r="X575" s="110"/>
    </row>
    <row r="576" spans="1:24" ht="13.5" customHeight="1">
      <c r="A576" s="110">
        <f>IF(E576="","",MATCH(E576,'Daily Sales'!B$4:B$51,0)+3)</f>
        <v>45</v>
      </c>
      <c r="B576" s="135">
        <v>46191</v>
      </c>
      <c r="C576" s="136" t="s">
        <v>108</v>
      </c>
      <c r="D576" s="137" t="str">
        <f t="array" ref="D576">IF($A576="","",INDEX('Daily Sales'!A:A,$A576))</f>
        <v>1-1214</v>
      </c>
      <c r="E576" s="138" t="s">
        <v>61</v>
      </c>
      <c r="F576" s="139" t="str">
        <f t="shared" si="8"/>
        <v>Bank BRI QR</v>
      </c>
      <c r="G576" s="140"/>
      <c r="H576" s="138">
        <f t="array" ref="H576">IF($A576="","",
  IF(
    OR(
      $A576=23,
      AND($A576&gt;=32,$A576&lt;=50)
    ),
    IFERROR(
      INDEX('Daily Sales'!$C:$AG,
        $A576,
        MATCH(TEXT($B576,"0"),TEXT('Daily Sales'!$C$2:$AG$2,"0"),0)
      ),
    ""),
  "")
)</f>
        <v>0</v>
      </c>
      <c r="I576" s="138" t="str">
        <f t="array" ref="I576">IF($A576="","",
  IF(
    OR(
      AND($A576&gt;=4,$A576&lt;=8),
      AND($A576&gt;=12,$A576&lt;=19),
      AND($A576&gt;=28,$A576&lt;=29)
    ),
    IFERROR(
      INDEX('Daily Sales'!$C:$AG,
        $A576,
        MATCH(TEXT($B576,"0"),TEXT('Daily Sales'!$C$2:$AG$2,"0"),0)
      ),
    ""),
  "")
)</f>
        <v/>
      </c>
      <c r="J576" s="79" t="e">
        <f t="shared" si="6"/>
        <v>#VALUE!</v>
      </c>
      <c r="K576" s="141"/>
      <c r="L576" s="141"/>
      <c r="M576" s="141"/>
      <c r="N576" s="133"/>
      <c r="O576" s="4"/>
      <c r="P576" s="4"/>
      <c r="Q576" s="4"/>
      <c r="R576" s="109"/>
      <c r="S576" s="109"/>
      <c r="T576" s="108"/>
      <c r="U576" s="110"/>
      <c r="V576" s="110"/>
      <c r="W576" s="110"/>
      <c r="X576" s="110"/>
    </row>
    <row r="577" spans="1:24" ht="13.5" customHeight="1">
      <c r="A577" s="110">
        <f>IF(E577="","",MATCH(E577,'Daily Sales'!B$4:B$51,0)+3)</f>
        <v>46</v>
      </c>
      <c r="B577" s="135">
        <v>46191</v>
      </c>
      <c r="C577" s="136" t="s">
        <v>108</v>
      </c>
      <c r="D577" s="137" t="str">
        <f t="array" ref="D577">IF($A577="","",INDEX('Daily Sales'!A:A,$A577))</f>
        <v>1-1202</v>
      </c>
      <c r="E577" s="138" t="s">
        <v>64</v>
      </c>
      <c r="F577" s="139" t="str">
        <f t="shared" si="8"/>
        <v>Ledger</v>
      </c>
      <c r="G577" s="140"/>
      <c r="H577" s="138">
        <f t="array" ref="H577">IF($A577="","",
  IF(
    OR(
      $A577=23,
      AND($A577&gt;=32,$A577&lt;=50)
    ),
    IFERROR(
      INDEX('Daily Sales'!$C:$AG,
        $A577,
        MATCH(TEXT($B577,"0"),TEXT('Daily Sales'!$C$2:$AG$2,"0"),0)
      ),
    ""),
  "")
)</f>
        <v>308963</v>
      </c>
      <c r="I577" s="138" t="str">
        <f t="array" ref="I577">IF($A577="","",
  IF(
    OR(
      AND($A577&gt;=4,$A577&lt;=8),
      AND($A577&gt;=12,$A577&lt;=19),
      AND($A577&gt;=28,$A577&lt;=29)
    ),
    IFERROR(
      INDEX('Daily Sales'!$C:$AG,
        $A577,
        MATCH(TEXT($B577,"0"),TEXT('Daily Sales'!$C$2:$AG$2,"0"),0)
      ),
    ""),
  "")
)</f>
        <v/>
      </c>
      <c r="J577" s="79" t="e">
        <f t="shared" si="6"/>
        <v>#VALUE!</v>
      </c>
      <c r="K577" s="141"/>
      <c r="L577" s="141"/>
      <c r="M577" s="141"/>
      <c r="N577" s="133"/>
      <c r="O577" s="4"/>
      <c r="P577" s="4"/>
      <c r="Q577" s="4"/>
      <c r="R577" s="109"/>
      <c r="S577" s="109"/>
      <c r="T577" s="108"/>
      <c r="U577" s="110"/>
      <c r="V577" s="110"/>
      <c r="W577" s="110"/>
      <c r="X577" s="110"/>
    </row>
    <row r="578" spans="1:24" ht="13.5" customHeight="1">
      <c r="A578" s="110">
        <f>IF(E578="","",MATCH(E578,'Daily Sales'!B$4:B$51,0)+3)</f>
        <v>47</v>
      </c>
      <c r="B578" s="135">
        <v>46191</v>
      </c>
      <c r="C578" s="136" t="s">
        <v>108</v>
      </c>
      <c r="D578" s="137" t="str">
        <f t="array" ref="D578">IF($A578="","",INDEX('Daily Sales'!A:A,$A578))</f>
        <v>1-1129</v>
      </c>
      <c r="E578" s="138" t="s">
        <v>66</v>
      </c>
      <c r="F578" s="139" t="str">
        <f t="shared" si="8"/>
        <v>Star Points</v>
      </c>
      <c r="G578" s="140"/>
      <c r="H578" s="138">
        <f t="array" ref="H578">IF($A578="","",
  IF(
    OR(
      $A578=23,
      AND($A578&gt;=32,$A578&lt;=50)
    ),
    IFERROR(
      INDEX('Daily Sales'!$C:$AG,
        $A578,
        MATCH(TEXT($B578,"0"),TEXT('Daily Sales'!$C$2:$AG$2,"0"),0)
      ),
    ""),
  "")
)</f>
        <v>0</v>
      </c>
      <c r="I578" s="138" t="str">
        <f t="array" ref="I578">IF($A578="","",
  IF(
    OR(
      AND($A578&gt;=4,$A578&lt;=8),
      AND($A578&gt;=12,$A578&lt;=19),
      AND($A578&gt;=28,$A578&lt;=29)
    ),
    IFERROR(
      INDEX('Daily Sales'!$C:$AG,
        $A578,
        MATCH(TEXT($B578,"0"),TEXT('Daily Sales'!$C$2:$AG$2,"0"),0)
      ),
    ""),
  "")
)</f>
        <v/>
      </c>
      <c r="J578" s="79" t="e">
        <f t="shared" si="6"/>
        <v>#VALUE!</v>
      </c>
      <c r="K578" s="141"/>
      <c r="L578" s="141"/>
      <c r="M578" s="141"/>
      <c r="N578" s="133"/>
      <c r="O578" s="4"/>
      <c r="P578" s="4"/>
      <c r="Q578" s="4"/>
      <c r="R578" s="109"/>
      <c r="S578" s="109"/>
      <c r="T578" s="108"/>
      <c r="U578" s="110"/>
      <c r="V578" s="110"/>
      <c r="W578" s="110"/>
      <c r="X578" s="110"/>
    </row>
    <row r="579" spans="1:24" ht="13.5" customHeight="1">
      <c r="A579" s="110">
        <f>IF(E579="","",MATCH(E579,'Daily Sales'!B$4:B$51,0)+3)</f>
        <v>48</v>
      </c>
      <c r="B579" s="135">
        <v>46191</v>
      </c>
      <c r="C579" s="136" t="s">
        <v>108</v>
      </c>
      <c r="D579" s="137" t="str">
        <f t="array" ref="D579">IF($A579="","",INDEX('Daily Sales'!A:A,$A579))</f>
        <v>1-1215</v>
      </c>
      <c r="E579" s="138" t="s">
        <v>68</v>
      </c>
      <c r="F579" s="139" t="str">
        <f t="shared" si="8"/>
        <v>Ovo</v>
      </c>
      <c r="G579" s="140"/>
      <c r="H579" s="138">
        <f t="array" ref="H579">IF($A579="","",
  IF(
    OR(
      $A579=23,
      AND($A579&gt;=32,$A579&lt;=50)
    ),
    IFERROR(
      INDEX('Daily Sales'!$C:$AG,
        $A579,
        MATCH(TEXT($B579,"0"),TEXT('Daily Sales'!$C$2:$AG$2,"0"),0)
      ),
    ""),
  "")
)</f>
        <v>0</v>
      </c>
      <c r="I579" s="138" t="str">
        <f t="array" ref="I579">IF($A579="","",
  IF(
    OR(
      AND($A579&gt;=4,$A579&lt;=8),
      AND($A579&gt;=12,$A579&lt;=19),
      AND($A579&gt;=28,$A579&lt;=29)
    ),
    IFERROR(
      INDEX('Daily Sales'!$C:$AG,
        $A579,
        MATCH(TEXT($B579,"0"),TEXT('Daily Sales'!$C$2:$AG$2,"0"),0)
      ),
    ""),
  "")
)</f>
        <v/>
      </c>
      <c r="J579" s="79" t="e">
        <f t="shared" si="6"/>
        <v>#VALUE!</v>
      </c>
      <c r="K579" s="141"/>
      <c r="L579" s="141"/>
      <c r="M579" s="141"/>
      <c r="N579" s="133"/>
      <c r="O579" s="4"/>
      <c r="P579" s="4"/>
      <c r="Q579" s="4"/>
      <c r="R579" s="109"/>
      <c r="S579" s="109"/>
      <c r="T579" s="108"/>
      <c r="U579" s="110"/>
      <c r="V579" s="110"/>
      <c r="W579" s="110"/>
      <c r="X579" s="110"/>
    </row>
    <row r="580" spans="1:24" ht="13.5" customHeight="1">
      <c r="A580" s="110">
        <f>IF(E580="","",MATCH(E580,'Daily Sales'!B$4:B$51,0)+3)</f>
        <v>49</v>
      </c>
      <c r="B580" s="135">
        <v>46191</v>
      </c>
      <c r="C580" s="136" t="s">
        <v>108</v>
      </c>
      <c r="D580" s="137" t="str">
        <f t="array" ref="D580">IF($A580="","",INDEX('Daily Sales'!A:A,$A580))</f>
        <v>1-1211</v>
      </c>
      <c r="E580" s="138" t="s">
        <v>70</v>
      </c>
      <c r="F580" s="139" t="str">
        <f t="shared" si="8"/>
        <v>Gopay</v>
      </c>
      <c r="G580" s="140"/>
      <c r="H580" s="138">
        <f t="array" ref="H580">IF($A580="","",
  IF(
    OR(
      $A580=23,
      AND($A580&gt;=32,$A580&lt;=50)
    ),
    IFERROR(
      INDEX('Daily Sales'!$C:$AG,
        $A580,
        MATCH(TEXT($B580,"0"),TEXT('Daily Sales'!$C$2:$AG$2,"0"),0)
      ),
    ""),
  "")
)</f>
        <v>0</v>
      </c>
      <c r="I580" s="138" t="str">
        <f t="array" ref="I580">IF($A580="","",
  IF(
    OR(
      AND($A580&gt;=4,$A580&lt;=8),
      AND($A580&gt;=12,$A580&lt;=19),
      AND($A580&gt;=28,$A580&lt;=29)
    ),
    IFERROR(
      INDEX('Daily Sales'!$C:$AG,
        $A580,
        MATCH(TEXT($B580,"0"),TEXT('Daily Sales'!$C$2:$AG$2,"0"),0)
      ),
    ""),
  "")
)</f>
        <v/>
      </c>
      <c r="J580" s="79" t="e">
        <f t="shared" si="6"/>
        <v>#VALUE!</v>
      </c>
      <c r="K580" s="141"/>
      <c r="L580" s="141"/>
      <c r="M580" s="141"/>
      <c r="N580" s="133"/>
      <c r="O580" s="4"/>
      <c r="P580" s="4"/>
      <c r="Q580" s="4"/>
      <c r="R580" s="109"/>
      <c r="S580" s="109"/>
      <c r="T580" s="108"/>
      <c r="U580" s="110"/>
      <c r="V580" s="110"/>
      <c r="W580" s="110"/>
      <c r="X580" s="110"/>
    </row>
    <row r="581" spans="1:24" ht="13.5" customHeight="1">
      <c r="A581" s="110">
        <f>IF(E581="","",MATCH(E581,'Daily Sales'!B$4:B$51,0)+3)</f>
        <v>50</v>
      </c>
      <c r="B581" s="135">
        <v>46191</v>
      </c>
      <c r="C581" s="136" t="s">
        <v>108</v>
      </c>
      <c r="D581" s="137" t="str">
        <f t="array" ref="D581">IF($A581="","",INDEX('Daily Sales'!A:A,$A581))</f>
        <v>2-2110</v>
      </c>
      <c r="E581" s="138" t="s">
        <v>72</v>
      </c>
      <c r="F581" s="139" t="str">
        <f t="shared" si="8"/>
        <v>Cash Short/Over</v>
      </c>
      <c r="G581" s="140"/>
      <c r="H581" s="138">
        <f t="array" ref="H581">IF($A581="","",
  IF(
    OR(
      $A581=23,
      AND($A581&gt;=32,$A581&lt;=50)
    ),
    IFERROR(
      INDEX('Daily Sales'!$C:$AG,
        $A581,
        MATCH(TEXT($B581,"0"),TEXT('Daily Sales'!$C$2:$AG$2,"0"),0)
      ),
    ""),
  "")
)</f>
        <v>-70530.7</v>
      </c>
      <c r="I581" s="138" t="str">
        <f t="array" ref="I581">IF($A581="","",
  IF(
    OR(
      AND($A581&gt;=4,$A581&lt;=8),
      AND($A581&gt;=12,$A581&lt;=19),
      AND($A581&gt;=28,$A581&lt;=29)
    ),
    IFERROR(
      INDEX('Daily Sales'!$C:$AG,
        $A581,
        MATCH(TEXT($B581,"0"),TEXT('Daily Sales'!$C$2:$AG$2,"0"),0)
      ),
    ""),
  "")
)</f>
        <v/>
      </c>
      <c r="J581" s="79" t="e">
        <f t="shared" si="6"/>
        <v>#VALUE!</v>
      </c>
      <c r="K581" s="141"/>
      <c r="L581" s="141"/>
      <c r="M581" s="141"/>
      <c r="N581" s="133"/>
      <c r="O581" s="4"/>
      <c r="P581" s="4"/>
      <c r="Q581" s="4"/>
      <c r="R581" s="109"/>
      <c r="S581" s="109"/>
      <c r="T581" s="108"/>
      <c r="U581" s="110"/>
      <c r="V581" s="110"/>
      <c r="W581" s="110"/>
      <c r="X581" s="110"/>
    </row>
    <row r="582" spans="1:24" ht="14.25" customHeight="1">
      <c r="A582" s="110"/>
      <c r="B582" s="125"/>
      <c r="C582" s="126"/>
      <c r="D582" s="15"/>
      <c r="E582" s="10" t="e">
        <f>TRIM(VLOOKUP(D582,TB!$B$9:$C$1500,2,FALSE))</f>
        <v>#N/A</v>
      </c>
      <c r="F582" s="142"/>
      <c r="G582" s="130"/>
      <c r="H582" s="10"/>
      <c r="I582" s="10"/>
      <c r="J582" s="79" t="e">
        <f t="shared" si="6"/>
        <v>#VALUE!</v>
      </c>
      <c r="K582" s="107"/>
      <c r="L582" s="141"/>
      <c r="M582" s="141"/>
      <c r="N582" s="133"/>
      <c r="O582" s="4"/>
      <c r="P582" s="4"/>
      <c r="Q582" s="4"/>
      <c r="R582" s="134"/>
      <c r="S582" s="109"/>
      <c r="T582" s="108"/>
      <c r="U582" s="110"/>
      <c r="V582" s="110"/>
      <c r="W582" s="110"/>
      <c r="X582" s="110"/>
    </row>
    <row r="583" spans="1:24" ht="13.5" customHeight="1">
      <c r="A583" s="110">
        <f>IF(E583="","",MATCH(E583,'Daily Sales'!B$4:B$51,0)+3)</f>
        <v>4</v>
      </c>
      <c r="B583" s="135">
        <v>46192</v>
      </c>
      <c r="C583" s="136" t="s">
        <v>109</v>
      </c>
      <c r="D583" s="137" t="str">
        <f t="array" ref="D583">IF($A583="","",INDEX('Daily Sales'!A:A,$A583))</f>
        <v>4-2100</v>
      </c>
      <c r="E583" s="138" t="s">
        <v>5</v>
      </c>
      <c r="F583" s="139" t="str">
        <f t="shared" ref="F583:F613" si="9">E583</f>
        <v>Sales Food TERRACE</v>
      </c>
      <c r="G583" s="140"/>
      <c r="H583" s="138" t="str">
        <f t="array" ref="H583">IF($A583="","",
  IF(
    OR(
      $A583=23,
      AND($A583&gt;=32,$A583&lt;=50)
    ),
    IFERROR(
      INDEX('Daily Sales'!$C:$AG,
        $A583,
        MATCH(TEXT($B583,"0"),TEXT('Daily Sales'!$C$2:$AG$2,"0"),0)
      ),
    ""),
  "")
)</f>
        <v/>
      </c>
      <c r="I583" s="138">
        <f t="array" ref="I583">IF($A583="","",
  IF(
    OR(
      AND($A583&gt;=4,$A583&lt;=8),
      AND($A583&gt;=12,$A583&lt;=19),
      AND($A583&gt;=28,$A583&lt;=29)
    ),
    IFERROR(
      INDEX('Daily Sales'!$C:$AG,
        $A583,
        MATCH(TEXT($B583,"0"),TEXT('Daily Sales'!$C$2:$AG$2,"0"),0)
      ),
    ""),
  "")
)</f>
        <v>5535000</v>
      </c>
      <c r="J583" s="79" t="e">
        <f t="shared" si="6"/>
        <v>#VALUE!</v>
      </c>
      <c r="K583" s="141"/>
      <c r="L583" s="141"/>
      <c r="M583" s="141"/>
      <c r="N583" s="133"/>
      <c r="O583" s="4"/>
      <c r="P583" s="4"/>
      <c r="Q583" s="4"/>
      <c r="R583" s="109"/>
      <c r="S583" s="109"/>
      <c r="T583" s="108"/>
      <c r="U583" s="110"/>
      <c r="V583" s="110"/>
      <c r="W583" s="110"/>
      <c r="X583" s="110"/>
    </row>
    <row r="584" spans="1:24" ht="13.5" customHeight="1">
      <c r="A584" s="110">
        <f>IF(E584="","",MATCH(E584,'Daily Sales'!B$4:B$51,0)+3)</f>
        <v>5</v>
      </c>
      <c r="B584" s="135">
        <v>46192</v>
      </c>
      <c r="C584" s="136" t="s">
        <v>109</v>
      </c>
      <c r="D584" s="137" t="str">
        <f t="array" ref="D584">IF($A584="","",INDEX('Daily Sales'!A:A,$A584))</f>
        <v>4-2200</v>
      </c>
      <c r="E584" s="138" t="s">
        <v>7</v>
      </c>
      <c r="F584" s="139" t="str">
        <f t="shared" si="9"/>
        <v>Sales Beverages TERRACE</v>
      </c>
      <c r="G584" s="140"/>
      <c r="H584" s="138" t="str">
        <f t="array" ref="H584">IF($A584="","",
  IF(
    OR(
      $A584=23,
      AND($A584&gt;=32,$A584&lt;=50)
    ),
    IFERROR(
      INDEX('Daily Sales'!$C:$AG,
        $A584,
        MATCH(TEXT($B584,"0"),TEXT('Daily Sales'!$C$2:$AG$2,"0"),0)
      ),
    ""),
  "")
)</f>
        <v/>
      </c>
      <c r="I584" s="138">
        <f t="array" ref="I584">IF($A584="","",
  IF(
    OR(
      AND($A584&gt;=4,$A584&lt;=8),
      AND($A584&gt;=12,$A584&lt;=19),
      AND($A584&gt;=28,$A584&lt;=29)
    ),
    IFERROR(
      INDEX('Daily Sales'!$C:$AG,
        $A584,
        MATCH(TEXT($B584,"0"),TEXT('Daily Sales'!$C$2:$AG$2,"0"),0)
      ),
    ""),
  "")
)</f>
        <v>11900000</v>
      </c>
      <c r="J584" s="79" t="e">
        <f t="shared" si="6"/>
        <v>#VALUE!</v>
      </c>
      <c r="K584" s="141"/>
      <c r="L584" s="141"/>
      <c r="M584" s="141"/>
      <c r="N584" s="133"/>
      <c r="O584" s="4"/>
      <c r="P584" s="4"/>
      <c r="Q584" s="4"/>
      <c r="R584" s="109"/>
      <c r="S584" s="109"/>
      <c r="T584" s="108"/>
      <c r="U584" s="110"/>
      <c r="V584" s="110"/>
      <c r="W584" s="110"/>
      <c r="X584" s="110"/>
    </row>
    <row r="585" spans="1:24" ht="13.5" customHeight="1">
      <c r="A585" s="110">
        <f>IF(E585="","",MATCH(E585,'Daily Sales'!B$4:B$51,0)+3)</f>
        <v>6</v>
      </c>
      <c r="B585" s="135">
        <v>46192</v>
      </c>
      <c r="C585" s="136" t="s">
        <v>109</v>
      </c>
      <c r="D585" s="137" t="str">
        <f t="array" ref="D585">IF($A585="","",INDEX('Daily Sales'!A:A,$A585))</f>
        <v>4-2400</v>
      </c>
      <c r="E585" s="138" t="s">
        <v>9</v>
      </c>
      <c r="F585" s="139" t="str">
        <f t="shared" si="9"/>
        <v>Sales Cigarette TERRACE</v>
      </c>
      <c r="G585" s="140"/>
      <c r="H585" s="138" t="str">
        <f t="array" ref="H585">IF($A585="","",
  IF(
    OR(
      $A585=23,
      AND($A585&gt;=32,$A585&lt;=50)
    ),
    IFERROR(
      INDEX('Daily Sales'!$C:$AG,
        $A585,
        MATCH(TEXT($B585,"0"),TEXT('Daily Sales'!$C$2:$AG$2,"0"),0)
      ),
    ""),
  "")
)</f>
        <v/>
      </c>
      <c r="I585" s="138">
        <f t="array" ref="I585">IF($A585="","",
  IF(
    OR(
      AND($A585&gt;=4,$A585&lt;=8),
      AND($A585&gt;=12,$A585&lt;=19),
      AND($A585&gt;=28,$A585&lt;=29)
    ),
    IFERROR(
      INDEX('Daily Sales'!$C:$AG,
        $A585,
        MATCH(TEXT($B585,"0"),TEXT('Daily Sales'!$C$2:$AG$2,"0"),0)
      ),
    ""),
  "")
)</f>
        <v>70000</v>
      </c>
      <c r="J585" s="79" t="e">
        <f t="shared" si="6"/>
        <v>#VALUE!</v>
      </c>
      <c r="K585" s="141"/>
      <c r="L585" s="141"/>
      <c r="M585" s="141"/>
      <c r="N585" s="133"/>
      <c r="O585" s="4"/>
      <c r="P585" s="4"/>
      <c r="Q585" s="4"/>
      <c r="R585" s="109"/>
      <c r="S585" s="109"/>
      <c r="T585" s="108"/>
      <c r="U585" s="110"/>
      <c r="V585" s="110"/>
      <c r="W585" s="110"/>
      <c r="X585" s="110"/>
    </row>
    <row r="586" spans="1:24" ht="13.5" customHeight="1">
      <c r="A586" s="110">
        <f>IF(E586="","",MATCH(E586,'Daily Sales'!B$4:B$51,0)+3)</f>
        <v>7</v>
      </c>
      <c r="B586" s="135">
        <v>46192</v>
      </c>
      <c r="C586" s="136" t="s">
        <v>109</v>
      </c>
      <c r="D586" s="137" t="str">
        <f t="array" ref="D586">IF($A586="","",INDEX('Daily Sales'!A:A,$A586))</f>
        <v>4-2300</v>
      </c>
      <c r="E586" s="138" t="s">
        <v>11</v>
      </c>
      <c r="F586" s="139" t="str">
        <f t="shared" si="9"/>
        <v>Sales Shisa TERRACE</v>
      </c>
      <c r="G586" s="140"/>
      <c r="H586" s="138" t="str">
        <f t="array" ref="H586">IF($A586="","",
  IF(
    OR(
      $A586=23,
      AND($A586&gt;=32,$A586&lt;=50)
    ),
    IFERROR(
      INDEX('Daily Sales'!$C:$AG,
        $A586,
        MATCH(TEXT($B586,"0"),TEXT('Daily Sales'!$C$2:$AG$2,"0"),0)
      ),
    ""),
  "")
)</f>
        <v/>
      </c>
      <c r="I586" s="138">
        <f t="array" ref="I586">IF($A586="","",
  IF(
    OR(
      AND($A586&gt;=4,$A586&lt;=8),
      AND($A586&gt;=12,$A586&lt;=19),
      AND($A586&gt;=28,$A586&lt;=29)
    ),
    IFERROR(
      INDEX('Daily Sales'!$C:$AG,
        $A586,
        MATCH(TEXT($B586,"0"),TEXT('Daily Sales'!$C$2:$AG$2,"0"),0)
      ),
    ""),
  "")
)</f>
        <v>0</v>
      </c>
      <c r="J586" s="79" t="e">
        <f t="shared" si="6"/>
        <v>#VALUE!</v>
      </c>
      <c r="K586" s="141"/>
      <c r="L586" s="141"/>
      <c r="M586" s="141"/>
      <c r="N586" s="133"/>
      <c r="O586" s="4"/>
      <c r="P586" s="4"/>
      <c r="Q586" s="4"/>
      <c r="R586" s="109"/>
      <c r="S586" s="109"/>
      <c r="T586" s="108"/>
      <c r="U586" s="110"/>
      <c r="V586" s="110"/>
      <c r="W586" s="110"/>
      <c r="X586" s="110"/>
    </row>
    <row r="587" spans="1:24" ht="13.5" customHeight="1">
      <c r="A587" s="110">
        <f>IF(E587="","",MATCH(E587,'Daily Sales'!B$4:B$51,0)+3)</f>
        <v>12</v>
      </c>
      <c r="B587" s="135">
        <v>46192</v>
      </c>
      <c r="C587" s="136" t="s">
        <v>109</v>
      </c>
      <c r="D587" s="137" t="str">
        <f t="array" ref="D587">IF($A587="","",INDEX('Daily Sales'!A:A,$A587))</f>
        <v>4-2200</v>
      </c>
      <c r="E587" s="138" t="s">
        <v>17</v>
      </c>
      <c r="F587" s="139" t="str">
        <f t="shared" si="9"/>
        <v>Sales Beverages CLUB</v>
      </c>
      <c r="G587" s="140"/>
      <c r="H587" s="138" t="str">
        <f t="array" ref="H587">IF($A587="","",
  IF(
    OR(
      $A587=23,
      AND($A587&gt;=32,$A587&lt;=50)
    ),
    IFERROR(
      INDEX('Daily Sales'!$C:$AG,
        $A587,
        MATCH(TEXT($B587,"0"),TEXT('Daily Sales'!$C$2:$AG$2,"0"),0)
      ),
    ""),
  "")
)</f>
        <v/>
      </c>
      <c r="I587" s="138">
        <f t="array" ref="I587">IF($A587="","",
  IF(
    OR(
      AND($A587&gt;=4,$A587&lt;=8),
      AND($A587&gt;=12,$A587&lt;=19),
      AND($A587&gt;=28,$A587&lt;=29)
    ),
    IFERROR(
      INDEX('Daily Sales'!$C:$AG,
        $A587,
        MATCH(TEXT($B587,"0"),TEXT('Daily Sales'!$C$2:$AG$2,"0"),0)
      ),
    ""),
  "")
)</f>
        <v>47900000</v>
      </c>
      <c r="J587" s="79" t="e">
        <f t="shared" si="6"/>
        <v>#VALUE!</v>
      </c>
      <c r="K587" s="141"/>
      <c r="L587" s="141"/>
      <c r="M587" s="141"/>
      <c r="N587" s="133"/>
      <c r="O587" s="4"/>
      <c r="P587" s="4"/>
      <c r="Q587" s="4"/>
      <c r="R587" s="109"/>
      <c r="S587" s="109"/>
      <c r="T587" s="108"/>
      <c r="U587" s="110"/>
      <c r="V587" s="110"/>
      <c r="W587" s="110"/>
      <c r="X587" s="110"/>
    </row>
    <row r="588" spans="1:24" ht="13.5" customHeight="1">
      <c r="A588" s="110">
        <f>IF(E588="","",MATCH(E588,'Daily Sales'!B$4:B$51,0)+3)</f>
        <v>13</v>
      </c>
      <c r="B588" s="135">
        <v>46192</v>
      </c>
      <c r="C588" s="136" t="s">
        <v>109</v>
      </c>
      <c r="D588" s="137" t="str">
        <f t="array" ref="D588">IF($A588="","",INDEX('Daily Sales'!A:A,$A588))</f>
        <v>4-2400</v>
      </c>
      <c r="E588" s="138" t="s">
        <v>18</v>
      </c>
      <c r="F588" s="139" t="str">
        <f t="shared" si="9"/>
        <v>Sales Cigarette CLUB</v>
      </c>
      <c r="G588" s="140"/>
      <c r="H588" s="138" t="str">
        <f t="array" ref="H588">IF($A588="","",
  IF(
    OR(
      $A588=23,
      AND($A588&gt;=32,$A588&lt;=50)
    ),
    IFERROR(
      INDEX('Daily Sales'!$C:$AG,
        $A588,
        MATCH(TEXT($B588,"0"),TEXT('Daily Sales'!$C$2:$AG$2,"0"),0)
      ),
    ""),
  "")
)</f>
        <v/>
      </c>
      <c r="I588" s="138">
        <f t="array" ref="I588">IF($A588="","",
  IF(
    OR(
      AND($A588&gt;=4,$A588&lt;=8),
      AND($A588&gt;=12,$A588&lt;=19),
      AND($A588&gt;=28,$A588&lt;=29)
    ),
    IFERROR(
      INDEX('Daily Sales'!$C:$AG,
        $A588,
        MATCH(TEXT($B588,"0"),TEXT('Daily Sales'!$C$2:$AG$2,"0"),0)
      ),
    ""),
  "")
)</f>
        <v>770000</v>
      </c>
      <c r="J588" s="79" t="e">
        <f t="shared" si="6"/>
        <v>#VALUE!</v>
      </c>
      <c r="K588" s="141"/>
      <c r="L588" s="141"/>
      <c r="M588" s="141"/>
      <c r="N588" s="133"/>
      <c r="O588" s="4"/>
      <c r="P588" s="4"/>
      <c r="Q588" s="4"/>
      <c r="R588" s="109"/>
      <c r="S588" s="109"/>
      <c r="T588" s="108"/>
      <c r="U588" s="110"/>
      <c r="V588" s="110"/>
      <c r="W588" s="110"/>
      <c r="X588" s="110"/>
    </row>
    <row r="589" spans="1:24" ht="13.5" customHeight="1">
      <c r="A589" s="110">
        <f>IF(E589="","",MATCH(E589,'Daily Sales'!B$4:B$51,0)+3)</f>
        <v>14</v>
      </c>
      <c r="B589" s="135">
        <v>46192</v>
      </c>
      <c r="C589" s="136" t="s">
        <v>109</v>
      </c>
      <c r="D589" s="137" t="str">
        <f t="array" ref="D589">IF($A589="","",INDEX('Daily Sales'!A:A,$A589))</f>
        <v>4-2100</v>
      </c>
      <c r="E589" s="138" t="s">
        <v>19</v>
      </c>
      <c r="F589" s="139" t="str">
        <f t="shared" si="9"/>
        <v>Sales Food CLUB</v>
      </c>
      <c r="G589" s="140"/>
      <c r="H589" s="138" t="str">
        <f t="array" ref="H589">IF($A589="","",
  IF(
    OR(
      $A589=23,
      AND($A589&gt;=32,$A589&lt;=50)
    ),
    IFERROR(
      INDEX('Daily Sales'!$C:$AG,
        $A589,
        MATCH(TEXT($B589,"0"),TEXT('Daily Sales'!$C$2:$AG$2,"0"),0)
      ),
    ""),
  "")
)</f>
        <v/>
      </c>
      <c r="I589" s="138">
        <f t="array" ref="I589">IF($A589="","",
  IF(
    OR(
      AND($A589&gt;=4,$A589&lt;=8),
      AND($A589&gt;=12,$A589&lt;=19),
      AND($A589&gt;=28,$A589&lt;=29)
    ),
    IFERROR(
      INDEX('Daily Sales'!$C:$AG,
        $A589,
        MATCH(TEXT($B589,"0"),TEXT('Daily Sales'!$C$2:$AG$2,"0"),0)
      ),
    ""),
  "")
)</f>
        <v>570000</v>
      </c>
      <c r="J589" s="79" t="e">
        <f t="shared" si="6"/>
        <v>#VALUE!</v>
      </c>
      <c r="K589" s="141"/>
      <c r="L589" s="141"/>
      <c r="M589" s="141"/>
      <c r="N589" s="133"/>
      <c r="O589" s="4"/>
      <c r="P589" s="4"/>
      <c r="Q589" s="4"/>
      <c r="R589" s="109"/>
      <c r="S589" s="109"/>
      <c r="T589" s="108"/>
      <c r="U589" s="110"/>
      <c r="V589" s="110"/>
      <c r="W589" s="110"/>
      <c r="X589" s="110"/>
    </row>
    <row r="590" spans="1:24" ht="13.5" customHeight="1">
      <c r="A590" s="110">
        <f>IF(E590="","",MATCH(E590,'Daily Sales'!B$4:B$51,0)+3)</f>
        <v>15</v>
      </c>
      <c r="B590" s="135">
        <v>46192</v>
      </c>
      <c r="C590" s="136" t="s">
        <v>109</v>
      </c>
      <c r="D590" s="137" t="str">
        <f t="array" ref="D590">IF($A590="","",INDEX('Daily Sales'!A:A,$A590))</f>
        <v>4-2300</v>
      </c>
      <c r="E590" s="138" t="s">
        <v>20</v>
      </c>
      <c r="F590" s="139" t="str">
        <f t="shared" si="9"/>
        <v>Sales Shisa CLUB</v>
      </c>
      <c r="G590" s="140"/>
      <c r="H590" s="138" t="str">
        <f t="array" ref="H590">IF($A590="","",
  IF(
    OR(
      $A590=23,
      AND($A590&gt;=32,$A590&lt;=50)
    ),
    IFERROR(
      INDEX('Daily Sales'!$C:$AG,
        $A590,
        MATCH(TEXT($B590,"0"),TEXT('Daily Sales'!$C$2:$AG$2,"0"),0)
      ),
    ""),
  "")
)</f>
        <v/>
      </c>
      <c r="I590" s="138">
        <f t="array" ref="I590">IF($A590="","",
  IF(
    OR(
      AND($A590&gt;=4,$A590&lt;=8),
      AND($A590&gt;=12,$A590&lt;=19),
      AND($A590&gt;=28,$A590&lt;=29)
    ),
    IFERROR(
      INDEX('Daily Sales'!$C:$AG,
        $A590,
        MATCH(TEXT($B590,"0"),TEXT('Daily Sales'!$C$2:$AG$2,"0"),0)
      ),
    ""),
  "")
)</f>
        <v>500000</v>
      </c>
      <c r="J590" s="79" t="e">
        <f t="shared" si="6"/>
        <v>#VALUE!</v>
      </c>
      <c r="K590" s="141"/>
      <c r="L590" s="141"/>
      <c r="M590" s="141"/>
      <c r="N590" s="133"/>
      <c r="O590" s="4"/>
      <c r="P590" s="4"/>
      <c r="Q590" s="4"/>
      <c r="R590" s="109"/>
      <c r="S590" s="109"/>
      <c r="T590" s="108"/>
      <c r="U590" s="110"/>
      <c r="V590" s="110"/>
      <c r="W590" s="110"/>
      <c r="X590" s="110"/>
    </row>
    <row r="591" spans="1:24" ht="13.5" customHeight="1">
      <c r="A591" s="110">
        <f>IF(E591="","",MATCH(E591,'Daily Sales'!B$4:B$51,0)+3)</f>
        <v>17</v>
      </c>
      <c r="B591" s="135">
        <v>46192</v>
      </c>
      <c r="C591" s="136" t="s">
        <v>109</v>
      </c>
      <c r="D591" s="137" t="str">
        <f t="array" ref="D591">IF($A591="","",INDEX('Daily Sales'!A:A,$A591))</f>
        <v>4-2601</v>
      </c>
      <c r="E591" s="138" t="s">
        <v>23</v>
      </c>
      <c r="F591" s="139" t="str">
        <f t="shared" si="9"/>
        <v xml:space="preserve">Misc </v>
      </c>
      <c r="G591" s="140"/>
      <c r="H591" s="138" t="str">
        <f t="array" ref="H591">IF($A591="","",
  IF(
    OR(
      $A591=23,
      AND($A591&gt;=32,$A591&lt;=50)
    ),
    IFERROR(
      INDEX('Daily Sales'!$C:$AG,
        $A591,
        MATCH(TEXT($B591,"0"),TEXT('Daily Sales'!$C$2:$AG$2,"0"),0)
      ),
    ""),
  "")
)</f>
        <v/>
      </c>
      <c r="I591" s="138">
        <f t="array" ref="I591">IF($A591="","",
  IF(
    OR(
      AND($A591&gt;=4,$A591&lt;=8),
      AND($A591&gt;=12,$A591&lt;=19),
      AND($A591&gt;=28,$A591&lt;=29)
    ),
    IFERROR(
      INDEX('Daily Sales'!$C:$AG,
        $A591,
        MATCH(TEXT($B591,"0"),TEXT('Daily Sales'!$C$2:$AG$2,"0"),0)
      ),
    ""),
  "")
)</f>
        <v>0</v>
      </c>
      <c r="J591" s="79" t="e">
        <f t="shared" si="6"/>
        <v>#VALUE!</v>
      </c>
      <c r="K591" s="141"/>
      <c r="L591" s="141"/>
      <c r="M591" s="141"/>
      <c r="N591" s="133"/>
      <c r="O591" s="4"/>
      <c r="P591" s="4"/>
      <c r="Q591" s="4"/>
      <c r="R591" s="109"/>
      <c r="S591" s="109"/>
      <c r="T591" s="108"/>
      <c r="U591" s="110"/>
      <c r="V591" s="110"/>
      <c r="W591" s="110"/>
      <c r="X591" s="110"/>
    </row>
    <row r="592" spans="1:24" ht="13.5" customHeight="1">
      <c r="A592" s="110">
        <f>IF(E592="","",MATCH(E592,'Daily Sales'!B$4:B$51,0)+3)</f>
        <v>19</v>
      </c>
      <c r="B592" s="135">
        <v>46192</v>
      </c>
      <c r="C592" s="136" t="s">
        <v>109</v>
      </c>
      <c r="D592" s="137" t="str">
        <f t="array" ref="D592">IF($A592="","",INDEX('Daily Sales'!A:A,$A592))</f>
        <v>4-2500</v>
      </c>
      <c r="E592" s="138" t="s">
        <v>26</v>
      </c>
      <c r="F592" s="139" t="str">
        <f t="shared" si="9"/>
        <v>Sales Ticket</v>
      </c>
      <c r="G592" s="140"/>
      <c r="H592" s="138" t="str">
        <f t="array" ref="H592">IF($A592="","",
  IF(
    OR(
      $A592=23,
      AND($A592&gt;=32,$A592&lt;=50)
    ),
    IFERROR(
      INDEX('Daily Sales'!$C:$AG,
        $A592,
        MATCH(TEXT($B592,"0"),TEXT('Daily Sales'!$C$2:$AG$2,"0"),0)
      ),
    ""),
  "")
)</f>
        <v/>
      </c>
      <c r="I592" s="138">
        <f t="array" ref="I592">IF($A592="","",
  IF(
    OR(
      AND($A592&gt;=4,$A592&lt;=8),
      AND($A592&gt;=12,$A592&lt;=19),
      AND($A592&gt;=28,$A592&lt;=29)
    ),
    IFERROR(
      INDEX('Daily Sales'!$C:$AG,
        $A592,
        MATCH(TEXT($B592,"0"),TEXT('Daily Sales'!$C$2:$AG$2,"0"),0)
      ),
    ""),
  "")
)</f>
        <v>22175082</v>
      </c>
      <c r="J592" s="79" t="e">
        <f t="shared" si="6"/>
        <v>#VALUE!</v>
      </c>
      <c r="K592" s="141"/>
      <c r="L592" s="141"/>
      <c r="M592" s="141"/>
      <c r="N592" s="133"/>
      <c r="O592" s="4"/>
      <c r="P592" s="4"/>
      <c r="Q592" s="4"/>
      <c r="R592" s="109"/>
      <c r="S592" s="109"/>
      <c r="T592" s="108"/>
      <c r="U592" s="110"/>
      <c r="V592" s="110"/>
      <c r="W592" s="110"/>
      <c r="X592" s="110"/>
    </row>
    <row r="593" spans="1:24" ht="13.5" customHeight="1">
      <c r="A593" s="110">
        <f>IF(E593="","",MATCH(E593,'Daily Sales'!B$4:B$51,0)+3)</f>
        <v>28</v>
      </c>
      <c r="B593" s="135">
        <v>46192</v>
      </c>
      <c r="C593" s="136" t="s">
        <v>109</v>
      </c>
      <c r="D593" s="137" t="str">
        <f t="array" ref="D593">IF($A593="","",INDEX('Daily Sales'!A:A,$A593))</f>
        <v>2-2106</v>
      </c>
      <c r="E593" s="138" t="s">
        <v>35</v>
      </c>
      <c r="F593" s="139" t="str">
        <f t="shared" si="9"/>
        <v>Service Charges 7%</v>
      </c>
      <c r="G593" s="140"/>
      <c r="H593" s="138" t="str">
        <f t="array" ref="H593">IF($A593="","",
  IF(
    OR(
      $A593=23,
      AND($A593&gt;=32,$A593&lt;=50)
    ),
    IFERROR(
      INDEX('Daily Sales'!$C:$AG,
        $A593,
        MATCH(TEXT($B593,"0"),TEXT('Daily Sales'!$C$2:$AG$2,"0"),0)
      ),
    ""),
  "")
)</f>
        <v/>
      </c>
      <c r="I593" s="138">
        <f t="array" ref="I593">IF($A593="","",
  IF(
    OR(
      AND($A593&gt;=4,$A593&lt;=8),
      AND($A593&gt;=12,$A593&lt;=19),
      AND($A593&gt;=28,$A593&lt;=29)
    ),
    IFERROR(
      INDEX('Daily Sales'!$C:$AG,
        $A593,
        MATCH(TEXT($B593,"0"),TEXT('Daily Sales'!$C$2:$AG$2,"0"),0)
      ),
    ""),
  "")
)</f>
        <v>6181740.7400000002</v>
      </c>
      <c r="J593" s="79" t="e">
        <f t="shared" si="6"/>
        <v>#VALUE!</v>
      </c>
      <c r="K593" s="141"/>
      <c r="L593" s="141"/>
      <c r="M593" s="141"/>
      <c r="N593" s="133"/>
      <c r="O593" s="4"/>
      <c r="P593" s="4"/>
      <c r="Q593" s="4"/>
      <c r="R593" s="109"/>
      <c r="S593" s="109"/>
      <c r="T593" s="108"/>
      <c r="U593" s="110"/>
      <c r="V593" s="110"/>
      <c r="W593" s="110"/>
      <c r="X593" s="110"/>
    </row>
    <row r="594" spans="1:24" ht="13.5" customHeight="1">
      <c r="A594" s="110">
        <f>IF(E594="","",MATCH(E594,'Daily Sales'!B$4:B$51,0)+3)</f>
        <v>29</v>
      </c>
      <c r="B594" s="135">
        <v>46192</v>
      </c>
      <c r="C594" s="136" t="s">
        <v>109</v>
      </c>
      <c r="D594" s="137" t="str">
        <f t="array" ref="D594">IF($A594="","",INDEX('Daily Sales'!A:A,$A594))</f>
        <v>2-3101</v>
      </c>
      <c r="E594" s="138" t="s">
        <v>37</v>
      </c>
      <c r="F594" s="139" t="str">
        <f t="shared" si="9"/>
        <v>Tax PB1 10%</v>
      </c>
      <c r="G594" s="140"/>
      <c r="H594" s="138" t="str">
        <f t="array" ref="H594">IF($A594="","",
  IF(
    OR(
      $A594=23,
      AND($A594&gt;=32,$A594&lt;=50)
    ),
    IFERROR(
      INDEX('Daily Sales'!$C:$AG,
        $A594,
        MATCH(TEXT($B594,"0"),TEXT('Daily Sales'!$C$2:$AG$2,"0"),0)
      ),
    ""),
  "")
)</f>
        <v/>
      </c>
      <c r="I594" s="138">
        <f t="array" ref="I594">IF($A594="","",
  IF(
    OR(
      AND($A594&gt;=4,$A594&lt;=8),
      AND($A594&gt;=12,$A594&lt;=19),
      AND($A594&gt;=28,$A594&lt;=29)
    ),
    IFERROR(
      INDEX('Daily Sales'!$C:$AG,
        $A594,
        MATCH(TEXT($B594,"0"),TEXT('Daily Sales'!$C$2:$AG$2,"0"),0)
      ),
    ""),
  "")
)</f>
        <v>9449232.2740000002</v>
      </c>
      <c r="J594" s="79" t="e">
        <f t="shared" si="6"/>
        <v>#VALUE!</v>
      </c>
      <c r="K594" s="141"/>
      <c r="L594" s="141"/>
      <c r="M594" s="141"/>
      <c r="N594" s="133"/>
      <c r="O594" s="4"/>
      <c r="P594" s="4"/>
      <c r="Q594" s="4"/>
      <c r="R594" s="109"/>
      <c r="S594" s="109"/>
      <c r="T594" s="108"/>
      <c r="U594" s="110"/>
      <c r="V594" s="110"/>
      <c r="W594" s="110"/>
      <c r="X594" s="110"/>
    </row>
    <row r="595" spans="1:24" ht="13.5" customHeight="1">
      <c r="A595" s="110">
        <f>IF(E595="","",MATCH(E595,'Daily Sales'!B$4:B$51,0)+3)</f>
        <v>23</v>
      </c>
      <c r="B595" s="135">
        <v>46192</v>
      </c>
      <c r="C595" s="136" t="s">
        <v>109</v>
      </c>
      <c r="D595" s="137" t="str">
        <f t="array" ref="D595">IF($A595="","",INDEX('Daily Sales'!A:A,$A595))</f>
        <v>4-5110</v>
      </c>
      <c r="E595" s="138" t="s">
        <v>30</v>
      </c>
      <c r="F595" s="139" t="str">
        <f t="shared" si="9"/>
        <v>Discount</v>
      </c>
      <c r="G595" s="140"/>
      <c r="H595" s="138">
        <f t="array" ref="H595">IF($A595="","",
  IF(
    OR(
      $A595=23,
      AND($A595&gt;=32,$A595&lt;=50)
    ),
    IFERROR(
      INDEX('Daily Sales'!$C:$AG,
        $A595,
        MATCH(TEXT($B595,"0"),TEXT('Daily Sales'!$C$2:$AG$2,"0"),0)
      ),
    ""),
  "")
)</f>
        <v>1109500</v>
      </c>
      <c r="I595" s="138" t="str">
        <f t="array" ref="I595">IF($A595="","",
  IF(
    OR(
      AND($A595&gt;=4,$A595&lt;=8),
      AND($A595&gt;=12,$A595&lt;=19),
      AND($A595&gt;=28,$A595&lt;=29)
    ),
    IFERROR(
      INDEX('Daily Sales'!$C:$AG,
        $A595,
        MATCH(TEXT($B595,"0"),TEXT('Daily Sales'!$C$2:$AG$2,"0"),0)
      ),
    ""),
  "")
)</f>
        <v/>
      </c>
      <c r="J595" s="79" t="e">
        <f t="shared" si="6"/>
        <v>#VALUE!</v>
      </c>
      <c r="K595" s="141"/>
      <c r="L595" s="141"/>
      <c r="M595" s="141"/>
      <c r="N595" s="133"/>
      <c r="O595" s="4"/>
      <c r="P595" s="4"/>
      <c r="Q595" s="4"/>
      <c r="R595" s="109"/>
      <c r="S595" s="109"/>
      <c r="T595" s="108"/>
      <c r="U595" s="110"/>
      <c r="V595" s="110"/>
      <c r="W595" s="110"/>
      <c r="X595" s="110"/>
    </row>
    <row r="596" spans="1:24" ht="13.5" customHeight="1">
      <c r="A596" s="110">
        <f>IF(E596="","",MATCH(E596,'Daily Sales'!B$4:B$51,0)+3)</f>
        <v>32</v>
      </c>
      <c r="B596" s="135">
        <v>46192</v>
      </c>
      <c r="C596" s="136" t="s">
        <v>109</v>
      </c>
      <c r="D596" s="137" t="str">
        <f t="array" ref="D596">IF($A596="","",INDEX('Daily Sales'!A:A,$A596))</f>
        <v>1-1119</v>
      </c>
      <c r="E596" s="138" t="s">
        <v>40</v>
      </c>
      <c r="F596" s="139" t="str">
        <f t="shared" si="9"/>
        <v>Cash IDR</v>
      </c>
      <c r="G596" s="140"/>
      <c r="H596" s="138">
        <f t="array" ref="H596">IF($A596="","",
  IF(
    OR(
      $A596=23,
      AND($A596&gt;=32,$A596&lt;=50)
    ),
    IFERROR(
      INDEX('Daily Sales'!$C:$AG,
        $A596,
        MATCH(TEXT($B596,"0"),TEXT('Daily Sales'!$C$2:$AG$2,"0"),0)
      ),
    ""),
  "")
)</f>
        <v>11711402</v>
      </c>
      <c r="I596" s="138" t="str">
        <f t="array" ref="I596">IF($A596="","",
  IF(
    OR(
      AND($A596&gt;=4,$A596&lt;=8),
      AND($A596&gt;=12,$A596&lt;=19),
      AND($A596&gt;=28,$A596&lt;=29)
    ),
    IFERROR(
      INDEX('Daily Sales'!$C:$AG,
        $A596,
        MATCH(TEXT($B596,"0"),TEXT('Daily Sales'!$C$2:$AG$2,"0"),0)
      ),
    ""),
  "")
)</f>
        <v/>
      </c>
      <c r="J596" s="79" t="e">
        <f t="shared" si="6"/>
        <v>#VALUE!</v>
      </c>
      <c r="K596" s="141"/>
      <c r="L596" s="141"/>
      <c r="M596" s="141"/>
      <c r="N596" s="133"/>
      <c r="O596" s="4"/>
      <c r="P596" s="4"/>
      <c r="Q596" s="4"/>
      <c r="R596" s="109"/>
      <c r="S596" s="109"/>
      <c r="T596" s="108"/>
      <c r="U596" s="110"/>
      <c r="V596" s="110"/>
      <c r="W596" s="110"/>
      <c r="X596" s="110"/>
    </row>
    <row r="597" spans="1:24" ht="13.5" customHeight="1">
      <c r="A597" s="110">
        <f>IF(E597="","",MATCH(E597,'Daily Sales'!B$4:B$51,0)+3)</f>
        <v>33</v>
      </c>
      <c r="B597" s="135">
        <v>46192</v>
      </c>
      <c r="C597" s="136" t="s">
        <v>109</v>
      </c>
      <c r="D597" s="137" t="str">
        <f t="array" ref="D597">IF($A597="","",INDEX('Daily Sales'!A:A,$A597))</f>
        <v>1-1217</v>
      </c>
      <c r="E597" s="138" t="s">
        <v>43</v>
      </c>
      <c r="F597" s="139" t="str">
        <f t="shared" si="9"/>
        <v>Bank transfer</v>
      </c>
      <c r="G597" s="140"/>
      <c r="H597" s="138">
        <f t="array" ref="H597">IF($A597="","",
  IF(
    OR(
      $A597=23,
      AND($A597&gt;=32,$A597&lt;=50)
    ),
    IFERROR(
      INDEX('Daily Sales'!$C:$AG,
        $A597,
        MATCH(TEXT($B597,"0"),TEXT('Daily Sales'!$C$2:$AG$2,"0"),0)
      ),
    ""),
  "")
)</f>
        <v>0</v>
      </c>
      <c r="I597" s="138" t="str">
        <f t="array" ref="I597">IF($A597="","",
  IF(
    OR(
      AND($A597&gt;=4,$A597&lt;=8),
      AND($A597&gt;=12,$A597&lt;=19),
      AND($A597&gt;=28,$A597&lt;=29)
    ),
    IFERROR(
      INDEX('Daily Sales'!$C:$AG,
        $A597,
        MATCH(TEXT($B597,"0"),TEXT('Daily Sales'!$C$2:$AG$2,"0"),0)
      ),
    ""),
  "")
)</f>
        <v/>
      </c>
      <c r="J597" s="79" t="e">
        <f t="shared" si="6"/>
        <v>#VALUE!</v>
      </c>
      <c r="K597" s="141"/>
      <c r="L597" s="141"/>
      <c r="M597" s="141"/>
      <c r="N597" s="133"/>
      <c r="O597" s="4"/>
      <c r="P597" s="4"/>
      <c r="Q597" s="4"/>
      <c r="R597" s="109"/>
      <c r="S597" s="109"/>
      <c r="T597" s="108"/>
      <c r="U597" s="110"/>
      <c r="V597" s="110"/>
      <c r="W597" s="110"/>
      <c r="X597" s="110"/>
    </row>
    <row r="598" spans="1:24" ht="13.5" customHeight="1">
      <c r="A598" s="110">
        <f>IF(E598="","",MATCH(E598,'Daily Sales'!B$4:B$51,0)+3)</f>
        <v>35</v>
      </c>
      <c r="B598" s="135">
        <v>46192</v>
      </c>
      <c r="C598" s="136" t="s">
        <v>109</v>
      </c>
      <c r="D598" s="137" t="str">
        <f t="array" ref="D598">IF($A598="","",INDEX('Daily Sales'!A:A,$A598))</f>
        <v>1-1216</v>
      </c>
      <c r="E598" s="138" t="s">
        <v>46</v>
      </c>
      <c r="F598" s="139" t="str">
        <f t="shared" si="9"/>
        <v>Cim Niaga TBB</v>
      </c>
      <c r="G598" s="140"/>
      <c r="H598" s="138">
        <f t="array" ref="H598">IF($A598="","",
  IF(
    OR(
      $A598=23,
      AND($A598&gt;=32,$A598&lt;=50)
    ),
    IFERROR(
      INDEX('Daily Sales'!$C:$AG,
        $A598,
        MATCH(TEXT($B598,"0"),TEXT('Daily Sales'!$C$2:$AG$2,"0"),0)
      ),
    ""),
  "")
)</f>
        <v>9273410</v>
      </c>
      <c r="I598" s="138" t="str">
        <f t="array" ref="I598">IF($A598="","",
  IF(
    OR(
      AND($A598&gt;=4,$A598&lt;=8),
      AND($A598&gt;=12,$A598&lt;=19),
      AND($A598&gt;=28,$A598&lt;=29)
    ),
    IFERROR(
      INDEX('Daily Sales'!$C:$AG,
        $A598,
        MATCH(TEXT($B598,"0"),TEXT('Daily Sales'!$C$2:$AG$2,"0"),0)
      ),
    ""),
  "")
)</f>
        <v/>
      </c>
      <c r="J598" s="79" t="e">
        <f t="shared" si="6"/>
        <v>#VALUE!</v>
      </c>
      <c r="K598" s="141"/>
      <c r="L598" s="141"/>
      <c r="M598" s="141"/>
      <c r="N598" s="133"/>
      <c r="O598" s="4"/>
      <c r="P598" s="4"/>
      <c r="Q598" s="4"/>
      <c r="R598" s="109"/>
      <c r="S598" s="109"/>
      <c r="T598" s="108"/>
      <c r="U598" s="110"/>
      <c r="V598" s="110"/>
      <c r="W598" s="110"/>
      <c r="X598" s="110"/>
    </row>
    <row r="599" spans="1:24" ht="13.5" customHeight="1">
      <c r="A599" s="110">
        <f>IF(E599="","",MATCH(E599,'Daily Sales'!B$4:B$51,0)+3)</f>
        <v>36</v>
      </c>
      <c r="B599" s="135">
        <v>46192</v>
      </c>
      <c r="C599" s="136" t="s">
        <v>109</v>
      </c>
      <c r="D599" s="137" t="str">
        <f t="array" ref="D599">IF($A599="","",INDEX('Daily Sales'!A:A,$A599))</f>
        <v>1-1213</v>
      </c>
      <c r="E599" s="138" t="s">
        <v>49</v>
      </c>
      <c r="F599" s="139" t="str">
        <f t="shared" si="9"/>
        <v>Mandiri Debet</v>
      </c>
      <c r="G599" s="140"/>
      <c r="H599" s="138">
        <f t="array" ref="H599">IF($A599="","",
  IF(
    OR(
      $A599=23,
      AND($A599&gt;=32,$A599&lt;=50)
    ),
    IFERROR(
      INDEX('Daily Sales'!$C:$AG,
        $A599,
        MATCH(TEXT($B599,"0"),TEXT('Daily Sales'!$C$2:$AG$2,"0"),0)
      ),
    ""),
  "")
)</f>
        <v>644933</v>
      </c>
      <c r="I599" s="138" t="str">
        <f t="array" ref="I599">IF($A599="","",
  IF(
    OR(
      AND($A599&gt;=4,$A599&lt;=8),
      AND($A599&gt;=12,$A599&lt;=19),
      AND($A599&gt;=28,$A599&lt;=29)
    ),
    IFERROR(
      INDEX('Daily Sales'!$C:$AG,
        $A599,
        MATCH(TEXT($B599,"0"),TEXT('Daily Sales'!$C$2:$AG$2,"0"),0)
      ),
    ""),
  "")
)</f>
        <v/>
      </c>
      <c r="J599" s="79" t="e">
        <f t="shared" si="6"/>
        <v>#VALUE!</v>
      </c>
      <c r="K599" s="141"/>
      <c r="L599" s="141"/>
      <c r="M599" s="141"/>
      <c r="N599" s="133"/>
      <c r="O599" s="4"/>
      <c r="P599" s="4"/>
      <c r="Q599" s="4"/>
      <c r="R599" s="109"/>
      <c r="S599" s="109"/>
      <c r="T599" s="108"/>
      <c r="U599" s="110"/>
      <c r="V599" s="110"/>
      <c r="W599" s="110"/>
      <c r="X599" s="110"/>
    </row>
    <row r="600" spans="1:24" ht="13.5" customHeight="1">
      <c r="A600" s="110">
        <f>IF(E600="","",MATCH(E600,'Daily Sales'!B$4:B$51,0)+3)</f>
        <v>37</v>
      </c>
      <c r="B600" s="135">
        <v>46192</v>
      </c>
      <c r="C600" s="136" t="s">
        <v>109</v>
      </c>
      <c r="D600" s="137" t="str">
        <f t="array" ref="D600">IF($A600="","",INDEX('Daily Sales'!A:A,$A600))</f>
        <v>1-1213</v>
      </c>
      <c r="E600" s="138" t="s">
        <v>50</v>
      </c>
      <c r="F600" s="139" t="str">
        <f t="shared" si="9"/>
        <v>Mandiri CC</v>
      </c>
      <c r="G600" s="140"/>
      <c r="H600" s="138">
        <f t="array" ref="H600">IF($A600="","",
  IF(
    OR(
      $A600=23,
      AND($A600&gt;=32,$A600&lt;=50)
    ),
    IFERROR(
      INDEX('Daily Sales'!$C:$AG,
        $A600,
        MATCH(TEXT($B600,"0"),TEXT('Daily Sales'!$C$2:$AG$2,"0"),0)
      ),
    ""),
  "")
)</f>
        <v>39179617</v>
      </c>
      <c r="I600" s="138" t="str">
        <f t="array" ref="I600">IF($A600="","",
  IF(
    OR(
      AND($A600&gt;=4,$A600&lt;=8),
      AND($A600&gt;=12,$A600&lt;=19),
      AND($A600&gt;=28,$A600&lt;=29)
    ),
    IFERROR(
      INDEX('Daily Sales'!$C:$AG,
        $A600,
        MATCH(TEXT($B600,"0"),TEXT('Daily Sales'!$C$2:$AG$2,"0"),0)
      ),
    ""),
  "")
)</f>
        <v/>
      </c>
      <c r="J600" s="79" t="e">
        <f t="shared" si="6"/>
        <v>#VALUE!</v>
      </c>
      <c r="K600" s="141"/>
      <c r="L600" s="141"/>
      <c r="M600" s="141"/>
      <c r="N600" s="133"/>
      <c r="O600" s="4"/>
      <c r="P600" s="4"/>
      <c r="Q600" s="4"/>
      <c r="R600" s="109"/>
      <c r="S600" s="109"/>
      <c r="T600" s="108"/>
      <c r="U600" s="110"/>
      <c r="V600" s="110"/>
      <c r="W600" s="110"/>
      <c r="X600" s="110"/>
    </row>
    <row r="601" spans="1:24" ht="13.5" customHeight="1">
      <c r="A601" s="110">
        <f>IF(E601="","",MATCH(E601,'Daily Sales'!B$4:B$51,0)+3)</f>
        <v>38</v>
      </c>
      <c r="B601" s="135">
        <v>46192</v>
      </c>
      <c r="C601" s="136" t="s">
        <v>109</v>
      </c>
      <c r="D601" s="137" t="str">
        <f t="array" ref="D601">IF($A601="","",INDEX('Daily Sales'!A:A,$A601))</f>
        <v>1-1213</v>
      </c>
      <c r="E601" s="138" t="s">
        <v>51</v>
      </c>
      <c r="F601" s="139" t="str">
        <f t="shared" si="9"/>
        <v>Mandiri NPG</v>
      </c>
      <c r="G601" s="140"/>
      <c r="H601" s="138">
        <f t="array" ref="H601">IF($A601="","",
  IF(
    OR(
      $A601=23,
      AND($A601&gt;=32,$A601&lt;=50)
    ),
    IFERROR(
      INDEX('Daily Sales'!$C:$AG,
        $A601,
        MATCH(TEXT($B601,"0"),TEXT('Daily Sales'!$C$2:$AG$2,"0"),0)
      ),
    ""),
  "")
)</f>
        <v>9220045</v>
      </c>
      <c r="I601" s="138" t="str">
        <f t="array" ref="I601">IF($A601="","",
  IF(
    OR(
      AND($A601&gt;=4,$A601&lt;=8),
      AND($A601&gt;=12,$A601&lt;=19),
      AND($A601&gt;=28,$A601&lt;=29)
    ),
    IFERROR(
      INDEX('Daily Sales'!$C:$AG,
        $A601,
        MATCH(TEXT($B601,"0"),TEXT('Daily Sales'!$C$2:$AG$2,"0"),0)
      ),
    ""),
  "")
)</f>
        <v/>
      </c>
      <c r="J601" s="79" t="e">
        <f t="shared" si="6"/>
        <v>#VALUE!</v>
      </c>
      <c r="K601" s="141"/>
      <c r="L601" s="141"/>
      <c r="M601" s="141"/>
      <c r="N601" s="133"/>
      <c r="O601" s="4"/>
      <c r="P601" s="4"/>
      <c r="Q601" s="4"/>
      <c r="R601" s="109"/>
      <c r="S601" s="109"/>
      <c r="T601" s="108"/>
      <c r="U601" s="110"/>
      <c r="V601" s="110"/>
      <c r="W601" s="110"/>
      <c r="X601" s="110"/>
    </row>
    <row r="602" spans="1:24" ht="13.5" customHeight="1">
      <c r="A602" s="110">
        <f>IF(E602="","",MATCH(E602,'Daily Sales'!B$4:B$51,0)+3)</f>
        <v>39</v>
      </c>
      <c r="B602" s="135">
        <v>46192</v>
      </c>
      <c r="C602" s="136" t="s">
        <v>109</v>
      </c>
      <c r="D602" s="137" t="str">
        <f t="array" ref="D602">IF($A602="","",INDEX('Daily Sales'!A:A,$A602))</f>
        <v>1-1213</v>
      </c>
      <c r="E602" s="138" t="s">
        <v>52</v>
      </c>
      <c r="F602" s="139" t="str">
        <f t="shared" si="9"/>
        <v>Mandiri QR</v>
      </c>
      <c r="G602" s="140"/>
      <c r="H602" s="138">
        <f t="array" ref="H602">IF($A602="","",
  IF(
    OR(
      $A602=23,
      AND($A602&gt;=32,$A602&lt;=50)
    ),
    IFERROR(
      INDEX('Daily Sales'!$C:$AG,
        $A602,
        MATCH(TEXT($B602,"0"),TEXT('Daily Sales'!$C$2:$AG$2,"0"),0)
      ),
    ""),
  "")
)</f>
        <v>19802615</v>
      </c>
      <c r="I602" s="138" t="str">
        <f t="array" ref="I602">IF($A602="","",
  IF(
    OR(
      AND($A602&gt;=4,$A602&lt;=8),
      AND($A602&gt;=12,$A602&lt;=19),
      AND($A602&gt;=28,$A602&lt;=29)
    ),
    IFERROR(
      INDEX('Daily Sales'!$C:$AG,
        $A602,
        MATCH(TEXT($B602,"0"),TEXT('Daily Sales'!$C$2:$AG$2,"0"),0)
      ),
    ""),
  "")
)</f>
        <v/>
      </c>
      <c r="J602" s="79" t="e">
        <f t="shared" si="6"/>
        <v>#VALUE!</v>
      </c>
      <c r="K602" s="141"/>
      <c r="L602" s="141"/>
      <c r="M602" s="141"/>
      <c r="N602" s="133"/>
      <c r="O602" s="4"/>
      <c r="P602" s="4"/>
      <c r="Q602" s="4"/>
      <c r="R602" s="109"/>
      <c r="S602" s="109"/>
      <c r="T602" s="108"/>
      <c r="U602" s="110"/>
      <c r="V602" s="110"/>
      <c r="W602" s="110"/>
      <c r="X602" s="110"/>
    </row>
    <row r="603" spans="1:24" ht="13.5" customHeight="1">
      <c r="A603" s="110">
        <f>IF(E603="","",MATCH(E603,'Daily Sales'!B$4:B$51,0)+3)</f>
        <v>40</v>
      </c>
      <c r="B603" s="135">
        <v>46192</v>
      </c>
      <c r="C603" s="136" t="s">
        <v>109</v>
      </c>
      <c r="D603" s="137" t="str">
        <f t="array" ref="D603">IF($A603="","",INDEX('Daily Sales'!A:A,$A603))</f>
        <v>1-1217</v>
      </c>
      <c r="E603" s="138" t="s">
        <v>54</v>
      </c>
      <c r="F603" s="139" t="str">
        <f t="shared" si="9"/>
        <v>BCA CC</v>
      </c>
      <c r="G603" s="140"/>
      <c r="H603" s="138">
        <f t="array" ref="H603">IF($A603="","",
  IF(
    OR(
      $A603=23,
      AND($A603&gt;=32,$A603&lt;=50)
    ),
    IFERROR(
      INDEX('Daily Sales'!$C:$AG,
        $A603,
        MATCH(TEXT($B603,"0"),TEXT('Daily Sales'!$C$2:$AG$2,"0"),0)
      ),
    ""),
  "")
)</f>
        <v>7438640</v>
      </c>
      <c r="I603" s="138" t="str">
        <f t="array" ref="I603">IF($A603="","",
  IF(
    OR(
      AND($A603&gt;=4,$A603&lt;=8),
      AND($A603&gt;=12,$A603&lt;=19),
      AND($A603&gt;=28,$A603&lt;=29)
    ),
    IFERROR(
      INDEX('Daily Sales'!$C:$AG,
        $A603,
        MATCH(TEXT($B603,"0"),TEXT('Daily Sales'!$C$2:$AG$2,"0"),0)
      ),
    ""),
  "")
)</f>
        <v/>
      </c>
      <c r="J603" s="79" t="e">
        <f t="shared" si="6"/>
        <v>#VALUE!</v>
      </c>
      <c r="K603" s="141"/>
      <c r="L603" s="141"/>
      <c r="M603" s="141"/>
      <c r="N603" s="133"/>
      <c r="O603" s="4"/>
      <c r="P603" s="4"/>
      <c r="Q603" s="4"/>
      <c r="R603" s="109"/>
      <c r="S603" s="109"/>
      <c r="T603" s="108"/>
      <c r="U603" s="110"/>
      <c r="V603" s="110"/>
      <c r="W603" s="110"/>
      <c r="X603" s="110"/>
    </row>
    <row r="604" spans="1:24" ht="13.5" customHeight="1">
      <c r="A604" s="110">
        <f>IF(E604="","",MATCH(E604,'Daily Sales'!B$4:B$51,0)+3)</f>
        <v>41</v>
      </c>
      <c r="B604" s="135">
        <v>46192</v>
      </c>
      <c r="C604" s="136" t="s">
        <v>109</v>
      </c>
      <c r="D604" s="137" t="str">
        <f t="array" ref="D604">IF($A604="","",INDEX('Daily Sales'!A:A,$A604))</f>
        <v>1-1217</v>
      </c>
      <c r="E604" s="138" t="s">
        <v>55</v>
      </c>
      <c r="F604" s="139" t="str">
        <f t="shared" si="9"/>
        <v>BCA debt</v>
      </c>
      <c r="G604" s="140"/>
      <c r="H604" s="138">
        <f t="array" ref="H604">IF($A604="","",
  IF(
    OR(
      $A604=23,
      AND($A604&gt;=32,$A604&lt;=50)
    ),
    IFERROR(
      INDEX('Daily Sales'!$C:$AG,
        $A604,
        MATCH(TEXT($B604,"0"),TEXT('Daily Sales'!$C$2:$AG$2,"0"),0)
      ),
    ""),
  "")
)</f>
        <v>812130</v>
      </c>
      <c r="I604" s="138" t="str">
        <f t="array" ref="I604">IF($A604="","",
  IF(
    OR(
      AND($A604&gt;=4,$A604&lt;=8),
      AND($A604&gt;=12,$A604&lt;=19),
      AND($A604&gt;=28,$A604&lt;=29)
    ),
    IFERROR(
      INDEX('Daily Sales'!$C:$AG,
        $A604,
        MATCH(TEXT($B604,"0"),TEXT('Daily Sales'!$C$2:$AG$2,"0"),0)
      ),
    ""),
  "")
)</f>
        <v/>
      </c>
      <c r="J604" s="79" t="e">
        <f t="shared" si="6"/>
        <v>#VALUE!</v>
      </c>
      <c r="K604" s="141"/>
      <c r="L604" s="141"/>
      <c r="M604" s="141"/>
      <c r="N604" s="133"/>
      <c r="O604" s="4"/>
      <c r="P604" s="4"/>
      <c r="Q604" s="4"/>
      <c r="R604" s="109"/>
      <c r="S604" s="109"/>
      <c r="T604" s="108"/>
      <c r="U604" s="110"/>
      <c r="V604" s="110"/>
      <c r="W604" s="110"/>
      <c r="X604" s="110"/>
    </row>
    <row r="605" spans="1:24" ht="13.5" customHeight="1">
      <c r="A605" s="110">
        <f>IF(E605="","",MATCH(E605,'Daily Sales'!B$4:B$51,0)+3)</f>
        <v>42</v>
      </c>
      <c r="B605" s="135">
        <v>46192</v>
      </c>
      <c r="C605" s="136" t="s">
        <v>109</v>
      </c>
      <c r="D605" s="137" t="str">
        <f t="array" ref="D605">IF($A605="","",INDEX('Daily Sales'!A:A,$A605))</f>
        <v>1-1217</v>
      </c>
      <c r="E605" s="138" t="s">
        <v>56</v>
      </c>
      <c r="F605" s="139" t="str">
        <f t="shared" si="9"/>
        <v>BCA QR</v>
      </c>
      <c r="G605" s="140"/>
      <c r="H605" s="138">
        <f t="array" ref="H605">IF($A605="","",
  IF(
    OR(
      $A605=23,
      AND($A605&gt;=32,$A605&lt;=50)
    ),
    IFERROR(
      INDEX('Daily Sales'!$C:$AG,
        $A605,
        MATCH(TEXT($B605,"0"),TEXT('Daily Sales'!$C$2:$AG$2,"0"),0)
      ),
    ""),
  "")
)</f>
        <v>6965590</v>
      </c>
      <c r="I605" s="138" t="str">
        <f t="array" ref="I605">IF($A605="","",
  IF(
    OR(
      AND($A605&gt;=4,$A605&lt;=8),
      AND($A605&gt;=12,$A605&lt;=19),
      AND($A605&gt;=28,$A605&lt;=29)
    ),
    IFERROR(
      INDEX('Daily Sales'!$C:$AG,
        $A605,
        MATCH(TEXT($B605,"0"),TEXT('Daily Sales'!$C$2:$AG$2,"0"),0)
      ),
    ""),
  "")
)</f>
        <v/>
      </c>
      <c r="J605" s="79" t="e">
        <f t="shared" si="6"/>
        <v>#VALUE!</v>
      </c>
      <c r="K605" s="141"/>
      <c r="L605" s="141"/>
      <c r="M605" s="141"/>
      <c r="N605" s="133"/>
      <c r="O605" s="4"/>
      <c r="P605" s="4"/>
      <c r="Q605" s="4"/>
      <c r="R605" s="109"/>
      <c r="S605" s="109"/>
      <c r="T605" s="108"/>
      <c r="U605" s="110"/>
      <c r="V605" s="110"/>
      <c r="W605" s="110"/>
      <c r="X605" s="110"/>
    </row>
    <row r="606" spans="1:24" ht="13.5" customHeight="1">
      <c r="A606" s="110">
        <f>IF(E606="","",MATCH(E606,'Daily Sales'!B$4:B$51,0)+3)</f>
        <v>43</v>
      </c>
      <c r="B606" s="135">
        <v>46192</v>
      </c>
      <c r="C606" s="136" t="s">
        <v>109</v>
      </c>
      <c r="D606" s="137" t="str">
        <f t="array" ref="D606">IF($A606="","",INDEX('Daily Sales'!A:A,$A606))</f>
        <v>1-1214</v>
      </c>
      <c r="E606" s="138" t="s">
        <v>59</v>
      </c>
      <c r="F606" s="139" t="str">
        <f t="shared" si="9"/>
        <v>Bank BRI DEBET</v>
      </c>
      <c r="G606" s="140"/>
      <c r="H606" s="138">
        <f t="array" ref="H606">IF($A606="","",
  IF(
    OR(
      $A606=23,
      AND($A606&gt;=32,$A606&lt;=50)
    ),
    IFERROR(
      INDEX('Daily Sales'!$C:$AG,
        $A606,
        MATCH(TEXT($B606,"0"),TEXT('Daily Sales'!$C$2:$AG$2,"0"),0)
      ),
    ""),
  "")
)</f>
        <v>276595</v>
      </c>
      <c r="I606" s="138" t="str">
        <f t="array" ref="I606">IF($A606="","",
  IF(
    OR(
      AND($A606&gt;=4,$A606&lt;=8),
      AND($A606&gt;=12,$A606&lt;=19),
      AND($A606&gt;=28,$A606&lt;=29)
    ),
    IFERROR(
      INDEX('Daily Sales'!$C:$AG,
        $A606,
        MATCH(TEXT($B606,"0"),TEXT('Daily Sales'!$C$2:$AG$2,"0"),0)
      ),
    ""),
  "")
)</f>
        <v/>
      </c>
      <c r="J606" s="79" t="e">
        <f t="shared" si="6"/>
        <v>#VALUE!</v>
      </c>
      <c r="K606" s="141"/>
      <c r="L606" s="141"/>
      <c r="M606" s="141"/>
      <c r="N606" s="133"/>
      <c r="O606" s="4"/>
      <c r="P606" s="4"/>
      <c r="Q606" s="4"/>
      <c r="R606" s="109"/>
      <c r="S606" s="109"/>
      <c r="T606" s="108"/>
      <c r="U606" s="110"/>
      <c r="V606" s="110"/>
      <c r="W606" s="110"/>
      <c r="X606" s="110"/>
    </row>
    <row r="607" spans="1:24" ht="13.5" customHeight="1">
      <c r="A607" s="110">
        <f>IF(E607="","",MATCH(E607,'Daily Sales'!B$4:B$51,0)+3)</f>
        <v>44</v>
      </c>
      <c r="B607" s="135">
        <v>46192</v>
      </c>
      <c r="C607" s="136" t="s">
        <v>109</v>
      </c>
      <c r="D607" s="137" t="str">
        <f t="array" ref="D607">IF($A607="","",INDEX('Daily Sales'!A:A,$A607))</f>
        <v>1-1214</v>
      </c>
      <c r="E607" s="138" t="s">
        <v>60</v>
      </c>
      <c r="F607" s="139" t="str">
        <f t="shared" si="9"/>
        <v>Bank BRI CC</v>
      </c>
      <c r="G607" s="140"/>
      <c r="H607" s="138">
        <f t="array" ref="H607">IF($A607="","",
  IF(
    OR(
      $A607=23,
      AND($A607&gt;=32,$A607&lt;=50)
    ),
    IFERROR(
      INDEX('Daily Sales'!$C:$AG,
        $A607,
        MATCH(TEXT($B607,"0"),TEXT('Daily Sales'!$C$2:$AG$2,"0"),0)
      ),
    ""),
  "")
)</f>
        <v>0</v>
      </c>
      <c r="I607" s="138" t="str">
        <f t="array" ref="I607">IF($A607="","",
  IF(
    OR(
      AND($A607&gt;=4,$A607&lt;=8),
      AND($A607&gt;=12,$A607&lt;=19),
      AND($A607&gt;=28,$A607&lt;=29)
    ),
    IFERROR(
      INDEX('Daily Sales'!$C:$AG,
        $A607,
        MATCH(TEXT($B607,"0"),TEXT('Daily Sales'!$C$2:$AG$2,"0"),0)
      ),
    ""),
  "")
)</f>
        <v/>
      </c>
      <c r="J607" s="79" t="e">
        <f t="shared" si="6"/>
        <v>#VALUE!</v>
      </c>
      <c r="K607" s="141"/>
      <c r="L607" s="141"/>
      <c r="M607" s="141"/>
      <c r="N607" s="133"/>
      <c r="O607" s="4"/>
      <c r="P607" s="4"/>
      <c r="Q607" s="4"/>
      <c r="R607" s="109"/>
      <c r="S607" s="109"/>
      <c r="T607" s="108"/>
      <c r="U607" s="110"/>
      <c r="V607" s="110"/>
      <c r="W607" s="110"/>
      <c r="X607" s="110"/>
    </row>
    <row r="608" spans="1:24" ht="13.5" customHeight="1">
      <c r="A608" s="110">
        <f>IF(E608="","",MATCH(E608,'Daily Sales'!B$4:B$51,0)+3)</f>
        <v>45</v>
      </c>
      <c r="B608" s="135">
        <v>46192</v>
      </c>
      <c r="C608" s="136" t="s">
        <v>109</v>
      </c>
      <c r="D608" s="137" t="str">
        <f t="array" ref="D608">IF($A608="","",INDEX('Daily Sales'!A:A,$A608))</f>
        <v>1-1214</v>
      </c>
      <c r="E608" s="138" t="s">
        <v>61</v>
      </c>
      <c r="F608" s="139" t="str">
        <f t="shared" si="9"/>
        <v>Bank BRI QR</v>
      </c>
      <c r="G608" s="140"/>
      <c r="H608" s="138">
        <f t="array" ref="H608">IF($A608="","",
  IF(
    OR(
      $A608=23,
      AND($A608&gt;=32,$A608&lt;=50)
    ),
    IFERROR(
      INDEX('Daily Sales'!$C:$AG,
        $A608,
        MATCH(TEXT($B608,"0"),TEXT('Daily Sales'!$C$2:$AG$2,"0"),0)
      ),
    ""),
  "")
)</f>
        <v>0</v>
      </c>
      <c r="I608" s="138" t="str">
        <f t="array" ref="I608">IF($A608="","",
  IF(
    OR(
      AND($A608&gt;=4,$A608&lt;=8),
      AND($A608&gt;=12,$A608&lt;=19),
      AND($A608&gt;=28,$A608&lt;=29)
    ),
    IFERROR(
      INDEX('Daily Sales'!$C:$AG,
        $A608,
        MATCH(TEXT($B608,"0"),TEXT('Daily Sales'!$C$2:$AG$2,"0"),0)
      ),
    ""),
  "")
)</f>
        <v/>
      </c>
      <c r="J608" s="79" t="e">
        <f t="shared" si="6"/>
        <v>#VALUE!</v>
      </c>
      <c r="K608" s="141"/>
      <c r="L608" s="141"/>
      <c r="M608" s="141"/>
      <c r="N608" s="133"/>
      <c r="O608" s="4"/>
      <c r="P608" s="4"/>
      <c r="Q608" s="4"/>
      <c r="R608" s="109"/>
      <c r="S608" s="109"/>
      <c r="T608" s="108"/>
      <c r="U608" s="110"/>
      <c r="V608" s="110"/>
      <c r="W608" s="110"/>
      <c r="X608" s="110"/>
    </row>
    <row r="609" spans="1:24" ht="13.5" customHeight="1">
      <c r="A609" s="110">
        <f>IF(E609="","",MATCH(E609,'Daily Sales'!B$4:B$51,0)+3)</f>
        <v>46</v>
      </c>
      <c r="B609" s="135">
        <v>46192</v>
      </c>
      <c r="C609" s="136" t="s">
        <v>109</v>
      </c>
      <c r="D609" s="137" t="str">
        <f t="array" ref="D609">IF($A609="","",INDEX('Daily Sales'!A:A,$A609))</f>
        <v>1-1202</v>
      </c>
      <c r="E609" s="138" t="s">
        <v>64</v>
      </c>
      <c r="F609" s="139" t="str">
        <f t="shared" si="9"/>
        <v>Ledger</v>
      </c>
      <c r="G609" s="140"/>
      <c r="H609" s="138">
        <f t="array" ref="H609">IF($A609="","",
  IF(
    OR(
      $A609=23,
      AND($A609&gt;=32,$A609&lt;=50)
    ),
    IFERROR(
      INDEX('Daily Sales'!$C:$AG,
        $A609,
        MATCH(TEXT($B609,"0"),TEXT('Daily Sales'!$C$2:$AG$2,"0"),0)
      ),
    ""),
  "")
)</f>
        <v>3288228</v>
      </c>
      <c r="I609" s="138" t="str">
        <f t="array" ref="I609">IF($A609="","",
  IF(
    OR(
      AND($A609&gt;=4,$A609&lt;=8),
      AND($A609&gt;=12,$A609&lt;=19),
      AND($A609&gt;=28,$A609&lt;=29)
    ),
    IFERROR(
      INDEX('Daily Sales'!$C:$AG,
        $A609,
        MATCH(TEXT($B609,"0"),TEXT('Daily Sales'!$C$2:$AG$2,"0"),0)
      ),
    ""),
  "")
)</f>
        <v/>
      </c>
      <c r="J609" s="79" t="e">
        <f t="shared" si="6"/>
        <v>#VALUE!</v>
      </c>
      <c r="K609" s="141"/>
      <c r="L609" s="141"/>
      <c r="M609" s="141"/>
      <c r="N609" s="133"/>
      <c r="O609" s="4"/>
      <c r="P609" s="4"/>
      <c r="Q609" s="4"/>
      <c r="R609" s="109"/>
      <c r="S609" s="109"/>
      <c r="T609" s="108"/>
      <c r="U609" s="110"/>
      <c r="V609" s="110"/>
      <c r="W609" s="110"/>
      <c r="X609" s="110"/>
    </row>
    <row r="610" spans="1:24" ht="13.5" customHeight="1">
      <c r="A610" s="110">
        <f>IF(E610="","",MATCH(E610,'Daily Sales'!B$4:B$51,0)+3)</f>
        <v>47</v>
      </c>
      <c r="B610" s="135">
        <v>46192</v>
      </c>
      <c r="C610" s="136" t="s">
        <v>109</v>
      </c>
      <c r="D610" s="137" t="str">
        <f t="array" ref="D610">IF($A610="","",INDEX('Daily Sales'!A:A,$A610))</f>
        <v>1-1129</v>
      </c>
      <c r="E610" s="138" t="s">
        <v>66</v>
      </c>
      <c r="F610" s="139" t="str">
        <f t="shared" si="9"/>
        <v>Star Points</v>
      </c>
      <c r="G610" s="140"/>
      <c r="H610" s="138">
        <f t="array" ref="H610">IF($A610="","",
  IF(
    OR(
      $A610=23,
      AND($A610&gt;=32,$A610&lt;=50)
    ),
    IFERROR(
      INDEX('Daily Sales'!$C:$AG,
        $A610,
        MATCH(TEXT($B610,"0"),TEXT('Daily Sales'!$C$2:$AG$2,"0"),0)
      ),
    ""),
  "")
)</f>
        <v>329560</v>
      </c>
      <c r="I610" s="138" t="str">
        <f t="array" ref="I610">IF($A610="","",
  IF(
    OR(
      AND($A610&gt;=4,$A610&lt;=8),
      AND($A610&gt;=12,$A610&lt;=19),
      AND($A610&gt;=28,$A610&lt;=29)
    ),
    IFERROR(
      INDEX('Daily Sales'!$C:$AG,
        $A610,
        MATCH(TEXT($B610,"0"),TEXT('Daily Sales'!$C$2:$AG$2,"0"),0)
      ),
    ""),
  "")
)</f>
        <v/>
      </c>
      <c r="J610" s="79" t="e">
        <f t="shared" si="6"/>
        <v>#VALUE!</v>
      </c>
      <c r="K610" s="141"/>
      <c r="L610" s="141"/>
      <c r="M610" s="141"/>
      <c r="N610" s="133"/>
      <c r="O610" s="4"/>
      <c r="P610" s="4"/>
      <c r="Q610" s="4"/>
      <c r="R610" s="109"/>
      <c r="S610" s="109"/>
      <c r="T610" s="108"/>
      <c r="U610" s="110"/>
      <c r="V610" s="110"/>
      <c r="W610" s="110"/>
      <c r="X610" s="110"/>
    </row>
    <row r="611" spans="1:24" ht="13.5" customHeight="1">
      <c r="A611" s="110">
        <f>IF(E611="","",MATCH(E611,'Daily Sales'!B$4:B$51,0)+3)</f>
        <v>48</v>
      </c>
      <c r="B611" s="135">
        <v>46192</v>
      </c>
      <c r="C611" s="136" t="s">
        <v>109</v>
      </c>
      <c r="D611" s="137" t="str">
        <f t="array" ref="D611">IF($A611="","",INDEX('Daily Sales'!A:A,$A611))</f>
        <v>1-1215</v>
      </c>
      <c r="E611" s="138" t="s">
        <v>68</v>
      </c>
      <c r="F611" s="139" t="str">
        <f t="shared" si="9"/>
        <v>Ovo</v>
      </c>
      <c r="G611" s="140"/>
      <c r="H611" s="138">
        <f t="array" ref="H611">IF($A611="","",
  IF(
    OR(
      $A611=23,
      AND($A611&gt;=32,$A611&lt;=50)
    ),
    IFERROR(
      INDEX('Daily Sales'!$C:$AG,
        $A611,
        MATCH(TEXT($B611,"0"),TEXT('Daily Sales'!$C$2:$AG$2,"0"),0)
      ),
    ""),
  "")
)</f>
        <v>0</v>
      </c>
      <c r="I611" s="138" t="str">
        <f t="array" ref="I611">IF($A611="","",
  IF(
    OR(
      AND($A611&gt;=4,$A611&lt;=8),
      AND($A611&gt;=12,$A611&lt;=19),
      AND($A611&gt;=28,$A611&lt;=29)
    ),
    IFERROR(
      INDEX('Daily Sales'!$C:$AG,
        $A611,
        MATCH(TEXT($B611,"0"),TEXT('Daily Sales'!$C$2:$AG$2,"0"),0)
      ),
    ""),
  "")
)</f>
        <v/>
      </c>
      <c r="J611" s="79" t="e">
        <f t="shared" si="6"/>
        <v>#VALUE!</v>
      </c>
      <c r="K611" s="141"/>
      <c r="L611" s="141"/>
      <c r="M611" s="141"/>
      <c r="N611" s="133"/>
      <c r="O611" s="4"/>
      <c r="P611" s="4"/>
      <c r="Q611" s="4"/>
      <c r="R611" s="109"/>
      <c r="S611" s="109"/>
      <c r="T611" s="108"/>
      <c r="U611" s="110"/>
      <c r="V611" s="110"/>
      <c r="W611" s="110"/>
      <c r="X611" s="110"/>
    </row>
    <row r="612" spans="1:24" ht="13.5" customHeight="1">
      <c r="A612" s="110">
        <f>IF(E612="","",MATCH(E612,'Daily Sales'!B$4:B$51,0)+3)</f>
        <v>49</v>
      </c>
      <c r="B612" s="135">
        <v>46192</v>
      </c>
      <c r="C612" s="136" t="s">
        <v>109</v>
      </c>
      <c r="D612" s="137" t="str">
        <f t="array" ref="D612">IF($A612="","",INDEX('Daily Sales'!A:A,$A612))</f>
        <v>1-1211</v>
      </c>
      <c r="E612" s="138" t="s">
        <v>70</v>
      </c>
      <c r="F612" s="139" t="str">
        <f t="shared" si="9"/>
        <v>Gopay</v>
      </c>
      <c r="G612" s="140"/>
      <c r="H612" s="138">
        <f t="array" ref="H612">IF($A612="","",
  IF(
    OR(
      $A612=23,
      AND($A612&gt;=32,$A612&lt;=50)
    ),
    IFERROR(
      INDEX('Daily Sales'!$C:$AG,
        $A612,
        MATCH(TEXT($B612,"0"),TEXT('Daily Sales'!$C$2:$AG$2,"0"),0)
      ),
    ""),
  "")
)</f>
        <v>0</v>
      </c>
      <c r="I612" s="138" t="str">
        <f t="array" ref="I612">IF($A612="","",
  IF(
    OR(
      AND($A612&gt;=4,$A612&lt;=8),
      AND($A612&gt;=12,$A612&lt;=19),
      AND($A612&gt;=28,$A612&lt;=29)
    ),
    IFERROR(
      INDEX('Daily Sales'!$C:$AG,
        $A612,
        MATCH(TEXT($B612,"0"),TEXT('Daily Sales'!$C$2:$AG$2,"0"),0)
      ),
    ""),
  "")
)</f>
        <v/>
      </c>
      <c r="J612" s="79" t="e">
        <f t="shared" si="6"/>
        <v>#VALUE!</v>
      </c>
      <c r="K612" s="141"/>
      <c r="L612" s="141"/>
      <c r="M612" s="141"/>
      <c r="N612" s="133"/>
      <c r="O612" s="4"/>
      <c r="P612" s="4"/>
      <c r="Q612" s="4"/>
      <c r="R612" s="109"/>
      <c r="S612" s="109"/>
      <c r="T612" s="108"/>
      <c r="U612" s="110"/>
      <c r="V612" s="110"/>
      <c r="W612" s="110"/>
      <c r="X612" s="110"/>
    </row>
    <row r="613" spans="1:24" ht="13.5" customHeight="1">
      <c r="A613" s="110">
        <f>IF(E613="","",MATCH(E613,'Daily Sales'!B$4:B$51,0)+3)</f>
        <v>50</v>
      </c>
      <c r="B613" s="135">
        <v>46192</v>
      </c>
      <c r="C613" s="136" t="s">
        <v>109</v>
      </c>
      <c r="D613" s="137" t="str">
        <f t="array" ref="D613">IF($A613="","",INDEX('Daily Sales'!A:A,$A613))</f>
        <v>2-2110</v>
      </c>
      <c r="E613" s="138" t="s">
        <v>72</v>
      </c>
      <c r="F613" s="139" t="str">
        <f t="shared" si="9"/>
        <v>Cash Short/Over</v>
      </c>
      <c r="G613" s="140"/>
      <c r="H613" s="138">
        <f t="array" ref="H613">IF($A613="","",
  IF(
    OR(
      $A613=23,
      AND($A613&gt;=32,$A613&lt;=50)
    ),
    IFERROR(
      INDEX('Daily Sales'!$C:$AG,
        $A613,
        MATCH(TEXT($B613,"0"),TEXT('Daily Sales'!$C$2:$AG$2,"0"),0)
      ),
    ""),
  "")
)</f>
        <v>-5001209.99</v>
      </c>
      <c r="I613" s="138" t="str">
        <f t="array" ref="I613">IF($A613="","",
  IF(
    OR(
      AND($A613&gt;=4,$A613&lt;=8),
      AND($A613&gt;=12,$A613&lt;=19),
      AND($A613&gt;=28,$A613&lt;=29)
    ),
    IFERROR(
      INDEX('Daily Sales'!$C:$AG,
        $A613,
        MATCH(TEXT($B613,"0"),TEXT('Daily Sales'!$C$2:$AG$2,"0"),0)
      ),
    ""),
  "")
)</f>
        <v/>
      </c>
      <c r="J613" s="79" t="e">
        <f t="shared" si="6"/>
        <v>#VALUE!</v>
      </c>
      <c r="K613" s="141"/>
      <c r="L613" s="141"/>
      <c r="M613" s="141"/>
      <c r="N613" s="133"/>
      <c r="O613" s="4"/>
      <c r="P613" s="4"/>
      <c r="Q613" s="4"/>
      <c r="R613" s="109"/>
      <c r="S613" s="109"/>
      <c r="T613" s="108"/>
      <c r="U613" s="110"/>
      <c r="V613" s="110"/>
      <c r="W613" s="110"/>
      <c r="X613" s="110"/>
    </row>
    <row r="614" spans="1:24" ht="14.25" customHeight="1">
      <c r="A614" s="110"/>
      <c r="B614" s="126"/>
      <c r="C614" s="126"/>
      <c r="D614" s="15"/>
      <c r="E614" s="10" t="e">
        <f>TRIM(VLOOKUP(D614,TB!$B$9:$C$1500,2,FALSE))</f>
        <v>#N/A</v>
      </c>
      <c r="F614" s="142"/>
      <c r="G614" s="130"/>
      <c r="H614" s="10"/>
      <c r="I614" s="10"/>
      <c r="J614" s="79" t="e">
        <f t="shared" si="6"/>
        <v>#VALUE!</v>
      </c>
      <c r="K614" s="141"/>
      <c r="L614" s="141"/>
      <c r="M614" s="141"/>
      <c r="N614" s="133"/>
      <c r="O614" s="4"/>
      <c r="P614" s="4"/>
      <c r="Q614" s="4"/>
      <c r="R614" s="134"/>
      <c r="S614" s="109"/>
      <c r="T614" s="108"/>
      <c r="U614" s="110"/>
      <c r="V614" s="110"/>
      <c r="W614" s="110"/>
      <c r="X614" s="110"/>
    </row>
    <row r="615" spans="1:24" ht="13.5" customHeight="1">
      <c r="A615" s="110">
        <f>IF(E615="","",MATCH(E615,'Daily Sales'!B$4:B$51,0)+3)</f>
        <v>4</v>
      </c>
      <c r="B615" s="135">
        <v>46193</v>
      </c>
      <c r="C615" s="136" t="s">
        <v>110</v>
      </c>
      <c r="D615" s="137" t="str">
        <f t="array" ref="D615">IF($A615="","",INDEX('Daily Sales'!A:A,$A615))</f>
        <v>4-2100</v>
      </c>
      <c r="E615" s="138" t="s">
        <v>5</v>
      </c>
      <c r="F615" s="139" t="str">
        <f t="shared" ref="F615:F645" si="10">E615</f>
        <v>Sales Food TERRACE</v>
      </c>
      <c r="G615" s="140"/>
      <c r="H615" s="138" t="str">
        <f t="array" ref="H615">IF($A615="","",
  IF(
    OR(
      $A615=23,
      AND($A615&gt;=32,$A615&lt;=50)
    ),
    IFERROR(
      INDEX('Daily Sales'!$C:$AG,
        $A615,
        MATCH(TEXT($B615,"0"),TEXT('Daily Sales'!$C$2:$AG$2,"0"),0)
      ),
    ""),
  "")
)</f>
        <v/>
      </c>
      <c r="I615" s="138">
        <f t="array" ref="I615">IF($A615="","",
  IF(
    OR(
      AND($A615&gt;=4,$A615&lt;=8),
      AND($A615&gt;=12,$A615&lt;=19),
      AND($A615&gt;=28,$A615&lt;=29)
    ),
    IFERROR(
      INDEX('Daily Sales'!$C:$AG,
        $A615,
        MATCH(TEXT($B615,"0"),TEXT('Daily Sales'!$C$2:$AG$2,"0"),0)
      ),
    ""),
  "")
)</f>
        <v>6158000</v>
      </c>
      <c r="J615" s="79" t="e">
        <f t="shared" si="6"/>
        <v>#VALUE!</v>
      </c>
      <c r="K615" s="141"/>
      <c r="L615" s="141"/>
      <c r="M615" s="141"/>
      <c r="N615" s="133"/>
      <c r="O615" s="4"/>
      <c r="P615" s="4"/>
      <c r="Q615" s="4"/>
      <c r="R615" s="109"/>
      <c r="S615" s="109"/>
      <c r="T615" s="108"/>
      <c r="U615" s="110"/>
      <c r="V615" s="110"/>
      <c r="W615" s="110"/>
      <c r="X615" s="110"/>
    </row>
    <row r="616" spans="1:24" ht="13.5" customHeight="1">
      <c r="A616" s="110">
        <f>IF(E616="","",MATCH(E616,'Daily Sales'!B$4:B$51,0)+3)</f>
        <v>5</v>
      </c>
      <c r="B616" s="135">
        <v>46193</v>
      </c>
      <c r="C616" s="136" t="s">
        <v>110</v>
      </c>
      <c r="D616" s="137" t="str">
        <f t="array" ref="D616">IF($A616="","",INDEX('Daily Sales'!A:A,$A616))</f>
        <v>4-2200</v>
      </c>
      <c r="E616" s="138" t="s">
        <v>7</v>
      </c>
      <c r="F616" s="139" t="str">
        <f t="shared" si="10"/>
        <v>Sales Beverages TERRACE</v>
      </c>
      <c r="G616" s="140"/>
      <c r="H616" s="138" t="str">
        <f t="array" ref="H616">IF($A616="","",
  IF(
    OR(
      $A616=23,
      AND($A616&gt;=32,$A616&lt;=50)
    ),
    IFERROR(
      INDEX('Daily Sales'!$C:$AG,
        $A616,
        MATCH(TEXT($B616,"0"),TEXT('Daily Sales'!$C$2:$AG$2,"0"),0)
      ),
    ""),
  "")
)</f>
        <v/>
      </c>
      <c r="I616" s="138">
        <f t="array" ref="I616">IF($A616="","",
  IF(
    OR(
      AND($A616&gt;=4,$A616&lt;=8),
      AND($A616&gt;=12,$A616&lt;=19),
      AND($A616&gt;=28,$A616&lt;=29)
    ),
    IFERROR(
      INDEX('Daily Sales'!$C:$AG,
        $A616,
        MATCH(TEXT($B616,"0"),TEXT('Daily Sales'!$C$2:$AG$2,"0"),0)
      ),
    ""),
  "")
)</f>
        <v>12055000</v>
      </c>
      <c r="J616" s="79" t="e">
        <f t="shared" si="6"/>
        <v>#VALUE!</v>
      </c>
      <c r="K616" s="141"/>
      <c r="L616" s="141"/>
      <c r="M616" s="141"/>
      <c r="N616" s="133"/>
      <c r="O616" s="4"/>
      <c r="P616" s="4"/>
      <c r="Q616" s="4"/>
      <c r="R616" s="109"/>
      <c r="S616" s="109"/>
      <c r="T616" s="108"/>
      <c r="U616" s="110"/>
      <c r="V616" s="110"/>
      <c r="W616" s="110"/>
      <c r="X616" s="110"/>
    </row>
    <row r="617" spans="1:24" ht="13.5" customHeight="1">
      <c r="A617" s="110">
        <f>IF(E617="","",MATCH(E617,'Daily Sales'!B$4:B$51,0)+3)</f>
        <v>6</v>
      </c>
      <c r="B617" s="135">
        <v>46193</v>
      </c>
      <c r="C617" s="136" t="s">
        <v>110</v>
      </c>
      <c r="D617" s="137" t="str">
        <f t="array" ref="D617">IF($A617="","",INDEX('Daily Sales'!A:A,$A617))</f>
        <v>4-2400</v>
      </c>
      <c r="E617" s="138" t="s">
        <v>9</v>
      </c>
      <c r="F617" s="139" t="str">
        <f t="shared" si="10"/>
        <v>Sales Cigarette TERRACE</v>
      </c>
      <c r="G617" s="140"/>
      <c r="H617" s="138" t="str">
        <f t="array" ref="H617">IF($A617="","",
  IF(
    OR(
      $A617=23,
      AND($A617&gt;=32,$A617&lt;=50)
    ),
    IFERROR(
      INDEX('Daily Sales'!$C:$AG,
        $A617,
        MATCH(TEXT($B617,"0"),TEXT('Daily Sales'!$C$2:$AG$2,"0"),0)
      ),
    ""),
  "")
)</f>
        <v/>
      </c>
      <c r="I617" s="138">
        <f t="array" ref="I617">IF($A617="","",
  IF(
    OR(
      AND($A617&gt;=4,$A617&lt;=8),
      AND($A617&gt;=12,$A617&lt;=19),
      AND($A617&gt;=28,$A617&lt;=29)
    ),
    IFERROR(
      INDEX('Daily Sales'!$C:$AG,
        $A617,
        MATCH(TEXT($B617,"0"),TEXT('Daily Sales'!$C$2:$AG$2,"0"),0)
      ),
    ""),
  "")
)</f>
        <v>210000</v>
      </c>
      <c r="J617" s="79" t="e">
        <f t="shared" si="6"/>
        <v>#VALUE!</v>
      </c>
      <c r="K617" s="141"/>
      <c r="L617" s="141"/>
      <c r="M617" s="141"/>
      <c r="N617" s="133"/>
      <c r="O617" s="4"/>
      <c r="P617" s="4"/>
      <c r="Q617" s="4"/>
      <c r="R617" s="109"/>
      <c r="S617" s="109"/>
      <c r="T617" s="108"/>
      <c r="U617" s="110"/>
      <c r="V617" s="110"/>
      <c r="W617" s="110"/>
      <c r="X617" s="110"/>
    </row>
    <row r="618" spans="1:24" ht="13.5" customHeight="1">
      <c r="A618" s="110">
        <f>IF(E618="","",MATCH(E618,'Daily Sales'!B$4:B$51,0)+3)</f>
        <v>7</v>
      </c>
      <c r="B618" s="135">
        <v>46193</v>
      </c>
      <c r="C618" s="136" t="s">
        <v>110</v>
      </c>
      <c r="D618" s="137" t="str">
        <f t="array" ref="D618">IF($A618="","",INDEX('Daily Sales'!A:A,$A618))</f>
        <v>4-2300</v>
      </c>
      <c r="E618" s="138" t="s">
        <v>11</v>
      </c>
      <c r="F618" s="139" t="str">
        <f t="shared" si="10"/>
        <v>Sales Shisa TERRACE</v>
      </c>
      <c r="G618" s="140"/>
      <c r="H618" s="138" t="str">
        <f t="array" ref="H618">IF($A618="","",
  IF(
    OR(
      $A618=23,
      AND($A618&gt;=32,$A618&lt;=50)
    ),
    IFERROR(
      INDEX('Daily Sales'!$C:$AG,
        $A618,
        MATCH(TEXT($B618,"0"),TEXT('Daily Sales'!$C$2:$AG$2,"0"),0)
      ),
    ""),
  "")
)</f>
        <v/>
      </c>
      <c r="I618" s="138">
        <f t="array" ref="I618">IF($A618="","",
  IF(
    OR(
      AND($A618&gt;=4,$A618&lt;=8),
      AND($A618&gt;=12,$A618&lt;=19),
      AND($A618&gt;=28,$A618&lt;=29)
    ),
    IFERROR(
      INDEX('Daily Sales'!$C:$AG,
        $A618,
        MATCH(TEXT($B618,"0"),TEXT('Daily Sales'!$C$2:$AG$2,"0"),0)
      ),
    ""),
  "")
)</f>
        <v>500000</v>
      </c>
      <c r="J618" s="79" t="e">
        <f t="shared" si="6"/>
        <v>#VALUE!</v>
      </c>
      <c r="K618" s="141"/>
      <c r="L618" s="141"/>
      <c r="M618" s="141"/>
      <c r="N618" s="133"/>
      <c r="O618" s="4"/>
      <c r="P618" s="4"/>
      <c r="Q618" s="4"/>
      <c r="R618" s="109"/>
      <c r="S618" s="109"/>
      <c r="T618" s="108"/>
      <c r="U618" s="110"/>
      <c r="V618" s="110"/>
      <c r="W618" s="110"/>
      <c r="X618" s="110"/>
    </row>
    <row r="619" spans="1:24" ht="13.5" customHeight="1">
      <c r="A619" s="110">
        <f>IF(E619="","",MATCH(E619,'Daily Sales'!B$4:B$51,0)+3)</f>
        <v>12</v>
      </c>
      <c r="B619" s="135">
        <v>46193</v>
      </c>
      <c r="C619" s="136" t="s">
        <v>110</v>
      </c>
      <c r="D619" s="137" t="str">
        <f t="array" ref="D619">IF($A619="","",INDEX('Daily Sales'!A:A,$A619))</f>
        <v>4-2200</v>
      </c>
      <c r="E619" s="138" t="s">
        <v>17</v>
      </c>
      <c r="F619" s="139" t="str">
        <f t="shared" si="10"/>
        <v>Sales Beverages CLUB</v>
      </c>
      <c r="G619" s="140"/>
      <c r="H619" s="138" t="str">
        <f t="array" ref="H619">IF($A619="","",
  IF(
    OR(
      $A619=23,
      AND($A619&gt;=32,$A619&lt;=50)
    ),
    IFERROR(
      INDEX('Daily Sales'!$C:$AG,
        $A619,
        MATCH(TEXT($B619,"0"),TEXT('Daily Sales'!$C$2:$AG$2,"0"),0)
      ),
    ""),
  "")
)</f>
        <v/>
      </c>
      <c r="I619" s="138">
        <f t="array" ref="I619">IF($A619="","",
  IF(
    OR(
      AND($A619&gt;=4,$A619&lt;=8),
      AND($A619&gt;=12,$A619&lt;=19),
      AND($A619&gt;=28,$A619&lt;=29)
    ),
    IFERROR(
      INDEX('Daily Sales'!$C:$AG,
        $A619,
        MATCH(TEXT($B619,"0"),TEXT('Daily Sales'!$C$2:$AG$2,"0"),0)
      ),
    ""),
  "")
)</f>
        <v>85330000</v>
      </c>
      <c r="J619" s="79" t="e">
        <f t="shared" si="6"/>
        <v>#VALUE!</v>
      </c>
      <c r="K619" s="141"/>
      <c r="L619" s="141"/>
      <c r="M619" s="141"/>
      <c r="N619" s="133"/>
      <c r="O619" s="4"/>
      <c r="P619" s="4"/>
      <c r="Q619" s="4"/>
      <c r="R619" s="109"/>
      <c r="S619" s="109"/>
      <c r="T619" s="108"/>
      <c r="U619" s="110"/>
      <c r="V619" s="110"/>
      <c r="W619" s="110"/>
      <c r="X619" s="110"/>
    </row>
    <row r="620" spans="1:24" ht="13.5" customHeight="1">
      <c r="A620" s="110">
        <f>IF(E620="","",MATCH(E620,'Daily Sales'!B$4:B$51,0)+3)</f>
        <v>13</v>
      </c>
      <c r="B620" s="135">
        <v>46193</v>
      </c>
      <c r="C620" s="136" t="s">
        <v>110</v>
      </c>
      <c r="D620" s="137" t="str">
        <f t="array" ref="D620">IF($A620="","",INDEX('Daily Sales'!A:A,$A620))</f>
        <v>4-2400</v>
      </c>
      <c r="E620" s="138" t="s">
        <v>18</v>
      </c>
      <c r="F620" s="139" t="str">
        <f t="shared" si="10"/>
        <v>Sales Cigarette CLUB</v>
      </c>
      <c r="G620" s="140"/>
      <c r="H620" s="138" t="str">
        <f t="array" ref="H620">IF($A620="","",
  IF(
    OR(
      $A620=23,
      AND($A620&gt;=32,$A620&lt;=50)
    ),
    IFERROR(
      INDEX('Daily Sales'!$C:$AG,
        $A620,
        MATCH(TEXT($B620,"0"),TEXT('Daily Sales'!$C$2:$AG$2,"0"),0)
      ),
    ""),
  "")
)</f>
        <v/>
      </c>
      <c r="I620" s="138">
        <f t="array" ref="I620">IF($A620="","",
  IF(
    OR(
      AND($A620&gt;=4,$A620&lt;=8),
      AND($A620&gt;=12,$A620&lt;=19),
      AND($A620&gt;=28,$A620&lt;=29)
    ),
    IFERROR(
      INDEX('Daily Sales'!$C:$AG,
        $A620,
        MATCH(TEXT($B620,"0"),TEXT('Daily Sales'!$C$2:$AG$2,"0"),0)
      ),
    ""),
  "")
)</f>
        <v>1190000</v>
      </c>
      <c r="J620" s="79" t="e">
        <f t="shared" si="6"/>
        <v>#VALUE!</v>
      </c>
      <c r="K620" s="141"/>
      <c r="L620" s="141"/>
      <c r="M620" s="141"/>
      <c r="N620" s="133"/>
      <c r="O620" s="4"/>
      <c r="P620" s="4"/>
      <c r="Q620" s="4"/>
      <c r="R620" s="109"/>
      <c r="S620" s="109"/>
      <c r="T620" s="108"/>
      <c r="U620" s="110"/>
      <c r="V620" s="110"/>
      <c r="W620" s="110"/>
      <c r="X620" s="110"/>
    </row>
    <row r="621" spans="1:24" ht="13.5" customHeight="1">
      <c r="A621" s="110">
        <f>IF(E621="","",MATCH(E621,'Daily Sales'!B$4:B$51,0)+3)</f>
        <v>14</v>
      </c>
      <c r="B621" s="135">
        <v>46193</v>
      </c>
      <c r="C621" s="136" t="s">
        <v>110</v>
      </c>
      <c r="D621" s="137" t="str">
        <f t="array" ref="D621">IF($A621="","",INDEX('Daily Sales'!A:A,$A621))</f>
        <v>4-2100</v>
      </c>
      <c r="E621" s="138" t="s">
        <v>19</v>
      </c>
      <c r="F621" s="139" t="str">
        <f t="shared" si="10"/>
        <v>Sales Food CLUB</v>
      </c>
      <c r="G621" s="140"/>
      <c r="H621" s="138" t="str">
        <f t="array" ref="H621">IF($A621="","",
  IF(
    OR(
      $A621=23,
      AND($A621&gt;=32,$A621&lt;=50)
    ),
    IFERROR(
      INDEX('Daily Sales'!$C:$AG,
        $A621,
        MATCH(TEXT($B621,"0"),TEXT('Daily Sales'!$C$2:$AG$2,"0"),0)
      ),
    ""),
  "")
)</f>
        <v/>
      </c>
      <c r="I621" s="138">
        <f t="array" ref="I621">IF($A621="","",
  IF(
    OR(
      AND($A621&gt;=4,$A621&lt;=8),
      AND($A621&gt;=12,$A621&lt;=19),
      AND($A621&gt;=28,$A621&lt;=29)
    ),
    IFERROR(
      INDEX('Daily Sales'!$C:$AG,
        $A621,
        MATCH(TEXT($B621,"0"),TEXT('Daily Sales'!$C$2:$AG$2,"0"),0)
      ),
    ""),
  "")
)</f>
        <v>1955000</v>
      </c>
      <c r="J621" s="79" t="e">
        <f t="shared" si="6"/>
        <v>#VALUE!</v>
      </c>
      <c r="K621" s="141"/>
      <c r="L621" s="141"/>
      <c r="M621" s="141"/>
      <c r="N621" s="133"/>
      <c r="O621" s="4"/>
      <c r="P621" s="4"/>
      <c r="Q621" s="4"/>
      <c r="R621" s="109"/>
      <c r="S621" s="109"/>
      <c r="T621" s="108"/>
      <c r="U621" s="110"/>
      <c r="V621" s="110"/>
      <c r="W621" s="110"/>
      <c r="X621" s="110"/>
    </row>
    <row r="622" spans="1:24" ht="13.5" customHeight="1">
      <c r="A622" s="110">
        <f>IF(E622="","",MATCH(E622,'Daily Sales'!B$4:B$51,0)+3)</f>
        <v>15</v>
      </c>
      <c r="B622" s="135">
        <v>46193</v>
      </c>
      <c r="C622" s="136" t="s">
        <v>110</v>
      </c>
      <c r="D622" s="137" t="str">
        <f t="array" ref="D622">IF($A622="","",INDEX('Daily Sales'!A:A,$A622))</f>
        <v>4-2300</v>
      </c>
      <c r="E622" s="138" t="s">
        <v>20</v>
      </c>
      <c r="F622" s="139" t="str">
        <f t="shared" si="10"/>
        <v>Sales Shisa CLUB</v>
      </c>
      <c r="G622" s="140"/>
      <c r="H622" s="138" t="str">
        <f t="array" ref="H622">IF($A622="","",
  IF(
    OR(
      $A622=23,
      AND($A622&gt;=32,$A622&lt;=50)
    ),
    IFERROR(
      INDEX('Daily Sales'!$C:$AG,
        $A622,
        MATCH(TEXT($B622,"0"),TEXT('Daily Sales'!$C$2:$AG$2,"0"),0)
      ),
    ""),
  "")
)</f>
        <v/>
      </c>
      <c r="I622" s="138">
        <f t="array" ref="I622">IF($A622="","",
  IF(
    OR(
      AND($A622&gt;=4,$A622&lt;=8),
      AND($A622&gt;=12,$A622&lt;=19),
      AND($A622&gt;=28,$A622&lt;=29)
    ),
    IFERROR(
      INDEX('Daily Sales'!$C:$AG,
        $A622,
        MATCH(TEXT($B622,"0"),TEXT('Daily Sales'!$C$2:$AG$2,"0"),0)
      ),
    ""),
  "")
)</f>
        <v>1200000</v>
      </c>
      <c r="J622" s="79" t="e">
        <f t="shared" si="6"/>
        <v>#VALUE!</v>
      </c>
      <c r="K622" s="141"/>
      <c r="L622" s="141"/>
      <c r="M622" s="141"/>
      <c r="N622" s="133"/>
      <c r="O622" s="4"/>
      <c r="P622" s="4"/>
      <c r="Q622" s="4"/>
      <c r="R622" s="109"/>
      <c r="S622" s="109"/>
      <c r="T622" s="108"/>
      <c r="U622" s="110"/>
      <c r="V622" s="110"/>
      <c r="W622" s="110"/>
      <c r="X622" s="110"/>
    </row>
    <row r="623" spans="1:24" ht="13.5" customHeight="1">
      <c r="A623" s="110">
        <f>IF(E623="","",MATCH(E623,'Daily Sales'!B$4:B$51,0)+3)</f>
        <v>17</v>
      </c>
      <c r="B623" s="135">
        <v>46193</v>
      </c>
      <c r="C623" s="136" t="s">
        <v>110</v>
      </c>
      <c r="D623" s="137" t="str">
        <f t="array" ref="D623">IF($A623="","",INDEX('Daily Sales'!A:A,$A623))</f>
        <v>4-2601</v>
      </c>
      <c r="E623" s="138" t="s">
        <v>23</v>
      </c>
      <c r="F623" s="139" t="str">
        <f t="shared" si="10"/>
        <v xml:space="preserve">Misc </v>
      </c>
      <c r="G623" s="140"/>
      <c r="H623" s="138" t="str">
        <f t="array" ref="H623">IF($A623="","",
  IF(
    OR(
      $A623=23,
      AND($A623&gt;=32,$A623&lt;=50)
    ),
    IFERROR(
      INDEX('Daily Sales'!$C:$AG,
        $A623,
        MATCH(TEXT($B623,"0"),TEXT('Daily Sales'!$C$2:$AG$2,"0"),0)
      ),
    ""),
  "")
)</f>
        <v/>
      </c>
      <c r="I623" s="138">
        <f t="array" ref="I623">IF($A623="","",
  IF(
    OR(
      AND($A623&gt;=4,$A623&lt;=8),
      AND($A623&gt;=12,$A623&lt;=19),
      AND($A623&gt;=28,$A623&lt;=29)
    ),
    IFERROR(
      INDEX('Daily Sales'!$C:$AG,
        $A623,
        MATCH(TEXT($B623,"0"),TEXT('Daily Sales'!$C$2:$AG$2,"0"),0)
      ),
    ""),
  "")
)</f>
        <v>0</v>
      </c>
      <c r="J623" s="79" t="e">
        <f t="shared" si="6"/>
        <v>#VALUE!</v>
      </c>
      <c r="K623" s="141"/>
      <c r="L623" s="141"/>
      <c r="M623" s="141"/>
      <c r="N623" s="133"/>
      <c r="O623" s="4"/>
      <c r="P623" s="4"/>
      <c r="Q623" s="4"/>
      <c r="R623" s="109"/>
      <c r="S623" s="109"/>
      <c r="T623" s="108"/>
      <c r="U623" s="110"/>
      <c r="V623" s="110"/>
      <c r="W623" s="110"/>
      <c r="X623" s="110"/>
    </row>
    <row r="624" spans="1:24" ht="13.5" customHeight="1">
      <c r="A624" s="110">
        <f>IF(E624="","",MATCH(E624,'Daily Sales'!B$4:B$51,0)+3)</f>
        <v>19</v>
      </c>
      <c r="B624" s="135">
        <v>46193</v>
      </c>
      <c r="C624" s="136" t="s">
        <v>110</v>
      </c>
      <c r="D624" s="137" t="str">
        <f t="array" ref="D624">IF($A624="","",INDEX('Daily Sales'!A:A,$A624))</f>
        <v>4-2500</v>
      </c>
      <c r="E624" s="138" t="s">
        <v>26</v>
      </c>
      <c r="F624" s="139" t="str">
        <f t="shared" si="10"/>
        <v>Sales Ticket</v>
      </c>
      <c r="G624" s="140"/>
      <c r="H624" s="138" t="str">
        <f t="array" ref="H624">IF($A624="","",
  IF(
    OR(
      $A624=23,
      AND($A624&gt;=32,$A624&lt;=50)
    ),
    IFERROR(
      INDEX('Daily Sales'!$C:$AG,
        $A624,
        MATCH(TEXT($B624,"0"),TEXT('Daily Sales'!$C$2:$AG$2,"0"),0)
      ),
    ""),
  "")
)</f>
        <v/>
      </c>
      <c r="I624" s="138">
        <f t="array" ref="I624">IF($A624="","",
  IF(
    OR(
      AND($A624&gt;=4,$A624&lt;=8),
      AND($A624&gt;=12,$A624&lt;=19),
      AND($A624&gt;=28,$A624&lt;=29)
    ),
    IFERROR(
      INDEX('Daily Sales'!$C:$AG,
        $A624,
        MATCH(TEXT($B624,"0"),TEXT('Daily Sales'!$C$2:$AG$2,"0"),0)
      ),
    ""),
  "")
)</f>
        <v>28674675</v>
      </c>
      <c r="J624" s="79" t="e">
        <f t="shared" si="6"/>
        <v>#VALUE!</v>
      </c>
      <c r="K624" s="141"/>
      <c r="L624" s="141"/>
      <c r="M624" s="141"/>
      <c r="N624" s="133"/>
      <c r="O624" s="4"/>
      <c r="P624" s="4"/>
      <c r="Q624" s="4"/>
      <c r="R624" s="109"/>
      <c r="S624" s="109"/>
      <c r="T624" s="108"/>
      <c r="U624" s="110"/>
      <c r="V624" s="110"/>
      <c r="W624" s="110"/>
      <c r="X624" s="110"/>
    </row>
    <row r="625" spans="1:24" ht="13.5" customHeight="1">
      <c r="A625" s="110">
        <f>IF(E625="","",MATCH(E625,'Daily Sales'!B$4:B$51,0)+3)</f>
        <v>28</v>
      </c>
      <c r="B625" s="135">
        <v>46193</v>
      </c>
      <c r="C625" s="136" t="s">
        <v>110</v>
      </c>
      <c r="D625" s="137" t="str">
        <f t="array" ref="D625">IF($A625="","",INDEX('Daily Sales'!A:A,$A625))</f>
        <v>2-2106</v>
      </c>
      <c r="E625" s="138" t="s">
        <v>35</v>
      </c>
      <c r="F625" s="139" t="str">
        <f t="shared" si="10"/>
        <v>Service Charges 7%</v>
      </c>
      <c r="G625" s="140"/>
      <c r="H625" s="138" t="str">
        <f t="array" ref="H625">IF($A625="","",
  IF(
    OR(
      $A625=23,
      AND($A625&gt;=32,$A625&lt;=50)
    ),
    IFERROR(
      INDEX('Daily Sales'!$C:$AG,
        $A625,
        MATCH(TEXT($B625,"0"),TEXT('Daily Sales'!$C$2:$AG$2,"0"),0)
      ),
    ""),
  "")
)</f>
        <v/>
      </c>
      <c r="I625" s="138">
        <f t="array" ref="I625">IF($A625="","",
  IF(
    OR(
      AND($A625&gt;=4,$A625&lt;=8),
      AND($A625&gt;=12,$A625&lt;=19),
      AND($A625&gt;=28,$A625&lt;=29)
    ),
    IFERROR(
      INDEX('Daily Sales'!$C:$AG,
        $A625,
        MATCH(TEXT($B625,"0"),TEXT('Daily Sales'!$C$2:$AG$2,"0"),0)
      ),
    ""),
  "")
)</f>
        <v>9443152.25</v>
      </c>
      <c r="J625" s="79" t="e">
        <f t="shared" si="6"/>
        <v>#VALUE!</v>
      </c>
      <c r="K625" s="141"/>
      <c r="L625" s="141"/>
      <c r="M625" s="141"/>
      <c r="N625" s="133"/>
      <c r="O625" s="4"/>
      <c r="P625" s="4"/>
      <c r="Q625" s="4"/>
      <c r="R625" s="109"/>
      <c r="S625" s="109"/>
      <c r="T625" s="108"/>
      <c r="U625" s="110"/>
      <c r="V625" s="110"/>
      <c r="W625" s="110"/>
      <c r="X625" s="110"/>
    </row>
    <row r="626" spans="1:24" ht="13.5" customHeight="1">
      <c r="A626" s="110">
        <f>IF(E626="","",MATCH(E626,'Daily Sales'!B$4:B$51,0)+3)</f>
        <v>29</v>
      </c>
      <c r="B626" s="135">
        <v>46193</v>
      </c>
      <c r="C626" s="136" t="s">
        <v>110</v>
      </c>
      <c r="D626" s="137" t="str">
        <f t="array" ref="D626">IF($A626="","",INDEX('Daily Sales'!A:A,$A626))</f>
        <v>2-3101</v>
      </c>
      <c r="E626" s="138" t="s">
        <v>37</v>
      </c>
      <c r="F626" s="139" t="str">
        <f t="shared" si="10"/>
        <v>Tax PB1 10%</v>
      </c>
      <c r="G626" s="140"/>
      <c r="H626" s="138" t="str">
        <f t="array" ref="H626">IF($A626="","",
  IF(
    OR(
      $A626=23,
      AND($A626&gt;=32,$A626&lt;=50)
    ),
    IFERROR(
      INDEX('Daily Sales'!$C:$AG,
        $A626,
        MATCH(TEXT($B626,"0"),TEXT('Daily Sales'!$C$2:$AG$2,"0"),0)
      ),
    ""),
  "")
)</f>
        <v/>
      </c>
      <c r="I626" s="138">
        <f t="array" ref="I626">IF($A626="","",
  IF(
    OR(
      AND($A626&gt;=4,$A626&lt;=8),
      AND($A626&gt;=12,$A626&lt;=19),
      AND($A626&gt;=28,$A626&lt;=29)
    ),
    IFERROR(
      INDEX('Daily Sales'!$C:$AG,
        $A626,
        MATCH(TEXT($B626,"0"),TEXT('Daily Sales'!$C$2:$AG$2,"0"),0)
      ),
    ""),
  "")
)</f>
        <v>14434532.725000001</v>
      </c>
      <c r="J626" s="79" t="e">
        <f t="shared" si="6"/>
        <v>#VALUE!</v>
      </c>
      <c r="K626" s="141"/>
      <c r="L626" s="141"/>
      <c r="M626" s="141"/>
      <c r="N626" s="133"/>
      <c r="O626" s="4"/>
      <c r="P626" s="4"/>
      <c r="Q626" s="4"/>
      <c r="R626" s="109"/>
      <c r="S626" s="109"/>
      <c r="T626" s="108"/>
      <c r="U626" s="110"/>
      <c r="V626" s="110"/>
      <c r="W626" s="110"/>
      <c r="X626" s="110"/>
    </row>
    <row r="627" spans="1:24" ht="13.5" customHeight="1">
      <c r="A627" s="110">
        <f>IF(E627="","",MATCH(E627,'Daily Sales'!B$4:B$51,0)+3)</f>
        <v>23</v>
      </c>
      <c r="B627" s="135">
        <v>46193</v>
      </c>
      <c r="C627" s="136" t="s">
        <v>110</v>
      </c>
      <c r="D627" s="137" t="str">
        <f t="array" ref="D627">IF($A627="","",INDEX('Daily Sales'!A:A,$A627))</f>
        <v>4-5110</v>
      </c>
      <c r="E627" s="138" t="s">
        <v>30</v>
      </c>
      <c r="F627" s="139" t="str">
        <f t="shared" si="10"/>
        <v>Discount</v>
      </c>
      <c r="G627" s="140"/>
      <c r="H627" s="138">
        <f t="array" ref="H627">IF($A627="","",
  IF(
    OR(
      $A627=23,
      AND($A627&gt;=32,$A627&lt;=50)
    ),
    IFERROR(
      INDEX('Daily Sales'!$C:$AG,
        $A627,
        MATCH(TEXT($B627,"0"),TEXT('Daily Sales'!$C$2:$AG$2,"0"),0)
      ),
    ""),
  "")
)</f>
        <v>2370500</v>
      </c>
      <c r="I627" s="138" t="str">
        <f t="array" ref="I627">IF($A627="","",
  IF(
    OR(
      AND($A627&gt;=4,$A627&lt;=8),
      AND($A627&gt;=12,$A627&lt;=19),
      AND($A627&gt;=28,$A627&lt;=29)
    ),
    IFERROR(
      INDEX('Daily Sales'!$C:$AG,
        $A627,
        MATCH(TEXT($B627,"0"),TEXT('Daily Sales'!$C$2:$AG$2,"0"),0)
      ),
    ""),
  "")
)</f>
        <v/>
      </c>
      <c r="J627" s="79" t="e">
        <f t="shared" si="6"/>
        <v>#VALUE!</v>
      </c>
      <c r="K627" s="141"/>
      <c r="L627" s="141"/>
      <c r="M627" s="141"/>
      <c r="N627" s="133"/>
      <c r="O627" s="4"/>
      <c r="P627" s="4"/>
      <c r="Q627" s="4"/>
      <c r="R627" s="109"/>
      <c r="S627" s="109"/>
      <c r="T627" s="108"/>
      <c r="U627" s="110"/>
      <c r="V627" s="110"/>
      <c r="W627" s="110"/>
      <c r="X627" s="110"/>
    </row>
    <row r="628" spans="1:24" ht="13.5" customHeight="1">
      <c r="A628" s="110">
        <f>IF(E628="","",MATCH(E628,'Daily Sales'!B$4:B$51,0)+3)</f>
        <v>32</v>
      </c>
      <c r="B628" s="135">
        <v>46193</v>
      </c>
      <c r="C628" s="136" t="s">
        <v>110</v>
      </c>
      <c r="D628" s="137" t="str">
        <f t="array" ref="D628">IF($A628="","",INDEX('Daily Sales'!A:A,$A628))</f>
        <v>1-1119</v>
      </c>
      <c r="E628" s="138" t="s">
        <v>40</v>
      </c>
      <c r="F628" s="139" t="str">
        <f t="shared" si="10"/>
        <v>Cash IDR</v>
      </c>
      <c r="G628" s="140"/>
      <c r="H628" s="138">
        <f t="array" ref="H628">IF($A628="","",
  IF(
    OR(
      $A628=23,
      AND($A628&gt;=32,$A628&lt;=50)
    ),
    IFERROR(
      INDEX('Daily Sales'!$C:$AG,
        $A628,
        MATCH(TEXT($B628,"0"),TEXT('Daily Sales'!$C$2:$AG$2,"0"),0)
      ),
    ""),
  "")
)</f>
        <v>16220407</v>
      </c>
      <c r="I628" s="138" t="str">
        <f t="array" ref="I628">IF($A628="","",
  IF(
    OR(
      AND($A628&gt;=4,$A628&lt;=8),
      AND($A628&gt;=12,$A628&lt;=19),
      AND($A628&gt;=28,$A628&lt;=29)
    ),
    IFERROR(
      INDEX('Daily Sales'!$C:$AG,
        $A628,
        MATCH(TEXT($B628,"0"),TEXT('Daily Sales'!$C$2:$AG$2,"0"),0)
      ),
    ""),
  "")
)</f>
        <v/>
      </c>
      <c r="J628" s="79" t="e">
        <f t="shared" si="6"/>
        <v>#VALUE!</v>
      </c>
      <c r="K628" s="141"/>
      <c r="L628" s="141"/>
      <c r="M628" s="141"/>
      <c r="N628" s="133"/>
      <c r="O628" s="4"/>
      <c r="P628" s="4"/>
      <c r="Q628" s="4"/>
      <c r="R628" s="109"/>
      <c r="S628" s="109"/>
      <c r="T628" s="108"/>
      <c r="U628" s="110"/>
      <c r="V628" s="110"/>
      <c r="W628" s="110"/>
      <c r="X628" s="110"/>
    </row>
    <row r="629" spans="1:24" ht="13.5" customHeight="1">
      <c r="A629" s="110">
        <f>IF(E629="","",MATCH(E629,'Daily Sales'!B$4:B$51,0)+3)</f>
        <v>33</v>
      </c>
      <c r="B629" s="135">
        <v>46193</v>
      </c>
      <c r="C629" s="136" t="s">
        <v>110</v>
      </c>
      <c r="D629" s="137" t="str">
        <f t="array" ref="D629">IF($A629="","",INDEX('Daily Sales'!A:A,$A629))</f>
        <v>1-1217</v>
      </c>
      <c r="E629" s="138" t="s">
        <v>43</v>
      </c>
      <c r="F629" s="139" t="str">
        <f t="shared" si="10"/>
        <v>Bank transfer</v>
      </c>
      <c r="G629" s="140"/>
      <c r="H629" s="138">
        <f t="array" ref="H629">IF($A629="","",
  IF(
    OR(
      $A629=23,
      AND($A629&gt;=32,$A629&lt;=50)
    ),
    IFERROR(
      INDEX('Daily Sales'!$C:$AG,
        $A629,
        MATCH(TEXT($B629,"0"),TEXT('Daily Sales'!$C$2:$AG$2,"0"),0)
      ),
    ""),
  "")
)</f>
        <v>3000000</v>
      </c>
      <c r="I629" s="138" t="str">
        <f t="array" ref="I629">IF($A629="","",
  IF(
    OR(
      AND($A629&gt;=4,$A629&lt;=8),
      AND($A629&gt;=12,$A629&lt;=19),
      AND($A629&gt;=28,$A629&lt;=29)
    ),
    IFERROR(
      INDEX('Daily Sales'!$C:$AG,
        $A629,
        MATCH(TEXT($B629,"0"),TEXT('Daily Sales'!$C$2:$AG$2,"0"),0)
      ),
    ""),
  "")
)</f>
        <v/>
      </c>
      <c r="J629" s="79" t="e">
        <f t="shared" si="6"/>
        <v>#VALUE!</v>
      </c>
      <c r="K629" s="141"/>
      <c r="L629" s="141"/>
      <c r="M629" s="141"/>
      <c r="N629" s="133"/>
      <c r="O629" s="4"/>
      <c r="P629" s="4"/>
      <c r="Q629" s="4"/>
      <c r="R629" s="109"/>
      <c r="S629" s="109"/>
      <c r="T629" s="108"/>
      <c r="U629" s="110"/>
      <c r="V629" s="110"/>
      <c r="W629" s="110"/>
      <c r="X629" s="110"/>
    </row>
    <row r="630" spans="1:24" ht="13.5" customHeight="1">
      <c r="A630" s="110">
        <f>IF(E630="","",MATCH(E630,'Daily Sales'!B$4:B$51,0)+3)</f>
        <v>35</v>
      </c>
      <c r="B630" s="135">
        <v>46193</v>
      </c>
      <c r="C630" s="136" t="s">
        <v>110</v>
      </c>
      <c r="D630" s="137" t="str">
        <f t="array" ref="D630">IF($A630="","",INDEX('Daily Sales'!A:A,$A630))</f>
        <v>1-1216</v>
      </c>
      <c r="E630" s="138" t="s">
        <v>46</v>
      </c>
      <c r="F630" s="139" t="str">
        <f t="shared" si="10"/>
        <v>Cim Niaga TBB</v>
      </c>
      <c r="G630" s="140"/>
      <c r="H630" s="138">
        <f t="array" ref="H630">IF($A630="","",
  IF(
    OR(
      $A630=23,
      AND($A630&gt;=32,$A630&lt;=50)
    ),
    IFERROR(
      INDEX('Daily Sales'!$C:$AG,
        $A630,
        MATCH(TEXT($B630,"0"),TEXT('Daily Sales'!$C$2:$AG$2,"0"),0)
      ),
    ""),
  "")
)</f>
        <v>14008585</v>
      </c>
      <c r="I630" s="138" t="str">
        <f t="array" ref="I630">IF($A630="","",
  IF(
    OR(
      AND($A630&gt;=4,$A630&lt;=8),
      AND($A630&gt;=12,$A630&lt;=19),
      AND($A630&gt;=28,$A630&lt;=29)
    ),
    IFERROR(
      INDEX('Daily Sales'!$C:$AG,
        $A630,
        MATCH(TEXT($B630,"0"),TEXT('Daily Sales'!$C$2:$AG$2,"0"),0)
      ),
    ""),
  "")
)</f>
        <v/>
      </c>
      <c r="J630" s="79" t="e">
        <f t="shared" si="6"/>
        <v>#VALUE!</v>
      </c>
      <c r="K630" s="141"/>
      <c r="L630" s="141"/>
      <c r="M630" s="141"/>
      <c r="N630" s="133"/>
      <c r="O630" s="4"/>
      <c r="P630" s="4"/>
      <c r="Q630" s="4"/>
      <c r="R630" s="109"/>
      <c r="S630" s="109"/>
      <c r="T630" s="108"/>
      <c r="U630" s="110"/>
      <c r="V630" s="110"/>
      <c r="W630" s="110"/>
      <c r="X630" s="110"/>
    </row>
    <row r="631" spans="1:24" ht="13.5" customHeight="1">
      <c r="A631" s="110">
        <f>IF(E631="","",MATCH(E631,'Daily Sales'!B$4:B$51,0)+3)</f>
        <v>36</v>
      </c>
      <c r="B631" s="135">
        <v>46193</v>
      </c>
      <c r="C631" s="136" t="s">
        <v>110</v>
      </c>
      <c r="D631" s="137" t="str">
        <f t="array" ref="D631">IF($A631="","",INDEX('Daily Sales'!A:A,$A631))</f>
        <v>1-1213</v>
      </c>
      <c r="E631" s="138" t="s">
        <v>49</v>
      </c>
      <c r="F631" s="139" t="str">
        <f t="shared" si="10"/>
        <v>Mandiri Debet</v>
      </c>
      <c r="G631" s="140"/>
      <c r="H631" s="138">
        <f t="array" ref="H631">IF($A631="","",
  IF(
    OR(
      $A631=23,
      AND($A631&gt;=32,$A631&lt;=50)
    ),
    IFERROR(
      INDEX('Daily Sales'!$C:$AG,
        $A631,
        MATCH(TEXT($B631,"0"),TEXT('Daily Sales'!$C$2:$AG$2,"0"),0)
      ),
    ""),
  "")
)</f>
        <v>0</v>
      </c>
      <c r="I631" s="138" t="str">
        <f t="array" ref="I631">IF($A631="","",
  IF(
    OR(
      AND($A631&gt;=4,$A631&lt;=8),
      AND($A631&gt;=12,$A631&lt;=19),
      AND($A631&gt;=28,$A631&lt;=29)
    ),
    IFERROR(
      INDEX('Daily Sales'!$C:$AG,
        $A631,
        MATCH(TEXT($B631,"0"),TEXT('Daily Sales'!$C$2:$AG$2,"0"),0)
      ),
    ""),
  "")
)</f>
        <v/>
      </c>
      <c r="J631" s="79" t="e">
        <f t="shared" si="6"/>
        <v>#VALUE!</v>
      </c>
      <c r="K631" s="141"/>
      <c r="L631" s="141"/>
      <c r="M631" s="141"/>
      <c r="N631" s="133"/>
      <c r="O631" s="4"/>
      <c r="P631" s="4"/>
      <c r="Q631" s="4"/>
      <c r="R631" s="109"/>
      <c r="S631" s="109"/>
      <c r="T631" s="108"/>
      <c r="U631" s="110"/>
      <c r="V631" s="110"/>
      <c r="W631" s="110"/>
      <c r="X631" s="110"/>
    </row>
    <row r="632" spans="1:24" ht="13.5" customHeight="1">
      <c r="A632" s="110">
        <f>IF(E632="","",MATCH(E632,'Daily Sales'!B$4:B$51,0)+3)</f>
        <v>37</v>
      </c>
      <c r="B632" s="135">
        <v>46193</v>
      </c>
      <c r="C632" s="136" t="s">
        <v>110</v>
      </c>
      <c r="D632" s="137" t="str">
        <f t="array" ref="D632">IF($A632="","",INDEX('Daily Sales'!A:A,$A632))</f>
        <v>1-1213</v>
      </c>
      <c r="E632" s="138" t="s">
        <v>50</v>
      </c>
      <c r="F632" s="139" t="str">
        <f t="shared" si="10"/>
        <v>Mandiri CC</v>
      </c>
      <c r="G632" s="140"/>
      <c r="H632" s="138">
        <f t="array" ref="H632">IF($A632="","",
  IF(
    OR(
      $A632=23,
      AND($A632&gt;=32,$A632&lt;=50)
    ),
    IFERROR(
      INDEX('Daily Sales'!$C:$AG,
        $A632,
        MATCH(TEXT($B632,"0"),TEXT('Daily Sales'!$C$2:$AG$2,"0"),0)
      ),
    ""),
  "")
)</f>
        <v>51650340</v>
      </c>
      <c r="I632" s="138" t="str">
        <f t="array" ref="I632">IF($A632="","",
  IF(
    OR(
      AND($A632&gt;=4,$A632&lt;=8),
      AND($A632&gt;=12,$A632&lt;=19),
      AND($A632&gt;=28,$A632&lt;=29)
    ),
    IFERROR(
      INDEX('Daily Sales'!$C:$AG,
        $A632,
        MATCH(TEXT($B632,"0"),TEXT('Daily Sales'!$C$2:$AG$2,"0"),0)
      ),
    ""),
  "")
)</f>
        <v/>
      </c>
      <c r="J632" s="79" t="e">
        <f t="shared" si="6"/>
        <v>#VALUE!</v>
      </c>
      <c r="K632" s="141"/>
      <c r="L632" s="141"/>
      <c r="M632" s="141"/>
      <c r="N632" s="133"/>
      <c r="O632" s="4"/>
      <c r="P632" s="4"/>
      <c r="Q632" s="4"/>
      <c r="R632" s="109"/>
      <c r="S632" s="109"/>
      <c r="T632" s="108"/>
      <c r="U632" s="110"/>
      <c r="V632" s="110"/>
      <c r="W632" s="110"/>
      <c r="X632" s="110"/>
    </row>
    <row r="633" spans="1:24" ht="13.5" customHeight="1">
      <c r="A633" s="110">
        <f>IF(E633="","",MATCH(E633,'Daily Sales'!B$4:B$51,0)+3)</f>
        <v>38</v>
      </c>
      <c r="B633" s="135">
        <v>46193</v>
      </c>
      <c r="C633" s="136" t="s">
        <v>110</v>
      </c>
      <c r="D633" s="137" t="str">
        <f t="array" ref="D633">IF($A633="","",INDEX('Daily Sales'!A:A,$A633))</f>
        <v>1-1213</v>
      </c>
      <c r="E633" s="138" t="s">
        <v>51</v>
      </c>
      <c r="F633" s="139" t="str">
        <f t="shared" si="10"/>
        <v>Mandiri NPG</v>
      </c>
      <c r="G633" s="140"/>
      <c r="H633" s="138">
        <f t="array" ref="H633">IF($A633="","",
  IF(
    OR(
      $A633=23,
      AND($A633&gt;=32,$A633&lt;=50)
    ),
    IFERROR(
      INDEX('Daily Sales'!$C:$AG,
        $A633,
        MATCH(TEXT($B633,"0"),TEXT('Daily Sales'!$C$2:$AG$2,"0"),0)
      ),
    ""),
  "")
)</f>
        <v>13661962</v>
      </c>
      <c r="I633" s="138" t="str">
        <f t="array" ref="I633">IF($A633="","",
  IF(
    OR(
      AND($A633&gt;=4,$A633&lt;=8),
      AND($A633&gt;=12,$A633&lt;=19),
      AND($A633&gt;=28,$A633&lt;=29)
    ),
    IFERROR(
      INDEX('Daily Sales'!$C:$AG,
        $A633,
        MATCH(TEXT($B633,"0"),TEXT('Daily Sales'!$C$2:$AG$2,"0"),0)
      ),
    ""),
  "")
)</f>
        <v/>
      </c>
      <c r="J633" s="79" t="e">
        <f t="shared" si="6"/>
        <v>#VALUE!</v>
      </c>
      <c r="K633" s="141"/>
      <c r="L633" s="141"/>
      <c r="M633" s="141"/>
      <c r="N633" s="133"/>
      <c r="O633" s="4"/>
      <c r="P633" s="4"/>
      <c r="Q633" s="4"/>
      <c r="R633" s="109"/>
      <c r="S633" s="109"/>
      <c r="T633" s="108"/>
      <c r="U633" s="110"/>
      <c r="V633" s="110"/>
      <c r="W633" s="110"/>
      <c r="X633" s="110"/>
    </row>
    <row r="634" spans="1:24" ht="13.5" customHeight="1">
      <c r="A634" s="110">
        <f>IF(E634="","",MATCH(E634,'Daily Sales'!B$4:B$51,0)+3)</f>
        <v>39</v>
      </c>
      <c r="B634" s="135">
        <v>46193</v>
      </c>
      <c r="C634" s="136" t="s">
        <v>110</v>
      </c>
      <c r="D634" s="137" t="str">
        <f t="array" ref="D634">IF($A634="","",INDEX('Daily Sales'!A:A,$A634))</f>
        <v>1-1213</v>
      </c>
      <c r="E634" s="138" t="s">
        <v>52</v>
      </c>
      <c r="F634" s="139" t="str">
        <f t="shared" si="10"/>
        <v>Mandiri QR</v>
      </c>
      <c r="G634" s="140"/>
      <c r="H634" s="138">
        <f t="array" ref="H634">IF($A634="","",
  IF(
    OR(
      $A634=23,
      AND($A634&gt;=32,$A634&lt;=50)
    ),
    IFERROR(
      INDEX('Daily Sales'!$C:$AG,
        $A634,
        MATCH(TEXT($B634,"0"),TEXT('Daily Sales'!$C$2:$AG$2,"0"),0)
      ),
    ""),
  "")
)</f>
        <v>28701598</v>
      </c>
      <c r="I634" s="138" t="str">
        <f t="array" ref="I634">IF($A634="","",
  IF(
    OR(
      AND($A634&gt;=4,$A634&lt;=8),
      AND($A634&gt;=12,$A634&lt;=19),
      AND($A634&gt;=28,$A634&lt;=29)
    ),
    IFERROR(
      INDEX('Daily Sales'!$C:$AG,
        $A634,
        MATCH(TEXT($B634,"0"),TEXT('Daily Sales'!$C$2:$AG$2,"0"),0)
      ),
    ""),
  "")
)</f>
        <v/>
      </c>
      <c r="J634" s="79" t="e">
        <f t="shared" si="6"/>
        <v>#VALUE!</v>
      </c>
      <c r="K634" s="141"/>
      <c r="L634" s="141"/>
      <c r="M634" s="141"/>
      <c r="N634" s="133"/>
      <c r="O634" s="4"/>
      <c r="P634" s="4"/>
      <c r="Q634" s="4"/>
      <c r="R634" s="109"/>
      <c r="S634" s="109"/>
      <c r="T634" s="108"/>
      <c r="U634" s="110"/>
      <c r="V634" s="110"/>
      <c r="W634" s="110"/>
      <c r="X634" s="110"/>
    </row>
    <row r="635" spans="1:24" ht="13.5" customHeight="1">
      <c r="A635" s="110">
        <f>IF(E635="","",MATCH(E635,'Daily Sales'!B$4:B$51,0)+3)</f>
        <v>40</v>
      </c>
      <c r="B635" s="135">
        <v>46193</v>
      </c>
      <c r="C635" s="136" t="s">
        <v>110</v>
      </c>
      <c r="D635" s="137" t="str">
        <f t="array" ref="D635">IF($A635="","",INDEX('Daily Sales'!A:A,$A635))</f>
        <v>1-1217</v>
      </c>
      <c r="E635" s="138" t="s">
        <v>54</v>
      </c>
      <c r="F635" s="139" t="str">
        <f t="shared" si="10"/>
        <v>BCA CC</v>
      </c>
      <c r="G635" s="140"/>
      <c r="H635" s="138">
        <f t="array" ref="H635">IF($A635="","",
  IF(
    OR(
      $A635=23,
      AND($A635&gt;=32,$A635&lt;=50)
    ),
    IFERROR(
      INDEX('Daily Sales'!$C:$AG,
        $A635,
        MATCH(TEXT($B635,"0"),TEXT('Daily Sales'!$C$2:$AG$2,"0"),0)
      ),
    ""),
  "")
)</f>
        <v>17273825</v>
      </c>
      <c r="I635" s="138" t="str">
        <f t="array" ref="I635">IF($A635="","",
  IF(
    OR(
      AND($A635&gt;=4,$A635&lt;=8),
      AND($A635&gt;=12,$A635&lt;=19),
      AND($A635&gt;=28,$A635&lt;=29)
    ),
    IFERROR(
      INDEX('Daily Sales'!$C:$AG,
        $A635,
        MATCH(TEXT($B635,"0"),TEXT('Daily Sales'!$C$2:$AG$2,"0"),0)
      ),
    ""),
  "")
)</f>
        <v/>
      </c>
      <c r="J635" s="79" t="e">
        <f t="shared" si="6"/>
        <v>#VALUE!</v>
      </c>
      <c r="K635" s="141"/>
      <c r="L635" s="141"/>
      <c r="M635" s="141"/>
      <c r="N635" s="133"/>
      <c r="O635" s="4"/>
      <c r="P635" s="4"/>
      <c r="Q635" s="4"/>
      <c r="R635" s="109"/>
      <c r="S635" s="109"/>
      <c r="T635" s="108"/>
      <c r="U635" s="110"/>
      <c r="V635" s="110"/>
      <c r="W635" s="110"/>
      <c r="X635" s="110"/>
    </row>
    <row r="636" spans="1:24" ht="13.5" customHeight="1">
      <c r="A636" s="110">
        <f>IF(E636="","",MATCH(E636,'Daily Sales'!B$4:B$51,0)+3)</f>
        <v>41</v>
      </c>
      <c r="B636" s="135">
        <v>46193</v>
      </c>
      <c r="C636" s="136" t="s">
        <v>110</v>
      </c>
      <c r="D636" s="137" t="str">
        <f t="array" ref="D636">IF($A636="","",INDEX('Daily Sales'!A:A,$A636))</f>
        <v>1-1217</v>
      </c>
      <c r="E636" s="138" t="s">
        <v>55</v>
      </c>
      <c r="F636" s="139" t="str">
        <f t="shared" si="10"/>
        <v>BCA debt</v>
      </c>
      <c r="G636" s="140"/>
      <c r="H636" s="138">
        <f t="array" ref="H636">IF($A636="","",
  IF(
    OR(
      $A636=23,
      AND($A636&gt;=32,$A636&lt;=50)
    ),
    IFERROR(
      INDEX('Daily Sales'!$C:$AG,
        $A636,
        MATCH(TEXT($B636,"0"),TEXT('Daily Sales'!$C$2:$AG$2,"0"),0)
      ),
    ""),
  "")
)</f>
        <v>3585315</v>
      </c>
      <c r="I636" s="138" t="str">
        <f t="array" ref="I636">IF($A636="","",
  IF(
    OR(
      AND($A636&gt;=4,$A636&lt;=8),
      AND($A636&gt;=12,$A636&lt;=19),
      AND($A636&gt;=28,$A636&lt;=29)
    ),
    IFERROR(
      INDEX('Daily Sales'!$C:$AG,
        $A636,
        MATCH(TEXT($B636,"0"),TEXT('Daily Sales'!$C$2:$AG$2,"0"),0)
      ),
    ""),
  "")
)</f>
        <v/>
      </c>
      <c r="J636" s="79" t="e">
        <f t="shared" si="6"/>
        <v>#VALUE!</v>
      </c>
      <c r="K636" s="141"/>
      <c r="L636" s="141"/>
      <c r="M636" s="141"/>
      <c r="N636" s="133"/>
      <c r="O636" s="4"/>
      <c r="P636" s="4"/>
      <c r="Q636" s="4"/>
      <c r="R636" s="109"/>
      <c r="S636" s="109"/>
      <c r="T636" s="108"/>
      <c r="U636" s="110"/>
      <c r="V636" s="110"/>
      <c r="W636" s="110"/>
      <c r="X636" s="110"/>
    </row>
    <row r="637" spans="1:24" ht="13.5" customHeight="1">
      <c r="A637" s="110">
        <f>IF(E637="","",MATCH(E637,'Daily Sales'!B$4:B$51,0)+3)</f>
        <v>42</v>
      </c>
      <c r="B637" s="135">
        <v>46193</v>
      </c>
      <c r="C637" s="136" t="s">
        <v>110</v>
      </c>
      <c r="D637" s="137" t="str">
        <f t="array" ref="D637">IF($A637="","",INDEX('Daily Sales'!A:A,$A637))</f>
        <v>1-1217</v>
      </c>
      <c r="E637" s="138" t="s">
        <v>56</v>
      </c>
      <c r="F637" s="139" t="str">
        <f t="shared" si="10"/>
        <v>BCA QR</v>
      </c>
      <c r="G637" s="140"/>
      <c r="H637" s="138">
        <f t="array" ref="H637">IF($A637="","",
  IF(
    OR(
      $A637=23,
      AND($A637&gt;=32,$A637&lt;=50)
    ),
    IFERROR(
      INDEX('Daily Sales'!$C:$AG,
        $A637,
        MATCH(TEXT($B637,"0"),TEXT('Daily Sales'!$C$2:$AG$2,"0"),0)
      ),
    ""),
  "")
)</f>
        <v>9078305</v>
      </c>
      <c r="I637" s="138" t="str">
        <f t="array" ref="I637">IF($A637="","",
  IF(
    OR(
      AND($A637&gt;=4,$A637&lt;=8),
      AND($A637&gt;=12,$A637&lt;=19),
      AND($A637&gt;=28,$A637&lt;=29)
    ),
    IFERROR(
      INDEX('Daily Sales'!$C:$AG,
        $A637,
        MATCH(TEXT($B637,"0"),TEXT('Daily Sales'!$C$2:$AG$2,"0"),0)
      ),
    ""),
  "")
)</f>
        <v/>
      </c>
      <c r="J637" s="79" t="e">
        <f t="shared" si="6"/>
        <v>#VALUE!</v>
      </c>
      <c r="K637" s="141"/>
      <c r="L637" s="141"/>
      <c r="M637" s="141"/>
      <c r="N637" s="133"/>
      <c r="O637" s="4"/>
      <c r="P637" s="4"/>
      <c r="Q637" s="4"/>
      <c r="R637" s="109"/>
      <c r="S637" s="109"/>
      <c r="T637" s="108"/>
      <c r="U637" s="110"/>
      <c r="V637" s="110"/>
      <c r="W637" s="110"/>
      <c r="X637" s="110"/>
    </row>
    <row r="638" spans="1:24" ht="13.5" customHeight="1">
      <c r="A638" s="110">
        <f>IF(E638="","",MATCH(E638,'Daily Sales'!B$4:B$51,0)+3)</f>
        <v>43</v>
      </c>
      <c r="B638" s="135">
        <v>46193</v>
      </c>
      <c r="C638" s="136" t="s">
        <v>110</v>
      </c>
      <c r="D638" s="137" t="str">
        <f t="array" ref="D638">IF($A638="","",INDEX('Daily Sales'!A:A,$A638))</f>
        <v>1-1214</v>
      </c>
      <c r="E638" s="138" t="s">
        <v>59</v>
      </c>
      <c r="F638" s="139" t="str">
        <f t="shared" si="10"/>
        <v>Bank BRI DEBET</v>
      </c>
      <c r="G638" s="140"/>
      <c r="H638" s="138">
        <f t="array" ref="H638">IF($A638="","",
  IF(
    OR(
      $A638=23,
      AND($A638&gt;=32,$A638&lt;=50)
    ),
    IFERROR(
      INDEX('Daily Sales'!$C:$AG,
        $A638,
        MATCH(TEXT($B638,"0"),TEXT('Daily Sales'!$C$2:$AG$2,"0"),0)
      ),
    ""),
  "")
)</f>
        <v>0</v>
      </c>
      <c r="I638" s="138" t="str">
        <f t="array" ref="I638">IF($A638="","",
  IF(
    OR(
      AND($A638&gt;=4,$A638&lt;=8),
      AND($A638&gt;=12,$A638&lt;=19),
      AND($A638&gt;=28,$A638&lt;=29)
    ),
    IFERROR(
      INDEX('Daily Sales'!$C:$AG,
        $A638,
        MATCH(TEXT($B638,"0"),TEXT('Daily Sales'!$C$2:$AG$2,"0"),0)
      ),
    ""),
  "")
)</f>
        <v/>
      </c>
      <c r="J638" s="79" t="e">
        <f t="shared" si="6"/>
        <v>#VALUE!</v>
      </c>
      <c r="K638" s="141"/>
      <c r="L638" s="141"/>
      <c r="M638" s="141"/>
      <c r="N638" s="133"/>
      <c r="O638" s="4"/>
      <c r="P638" s="4"/>
      <c r="Q638" s="4"/>
      <c r="R638" s="109"/>
      <c r="S638" s="109"/>
      <c r="T638" s="108"/>
      <c r="U638" s="110"/>
      <c r="V638" s="110"/>
      <c r="W638" s="110"/>
      <c r="X638" s="110"/>
    </row>
    <row r="639" spans="1:24" ht="13.5" customHeight="1">
      <c r="A639" s="110">
        <f>IF(E639="","",MATCH(E639,'Daily Sales'!B$4:B$51,0)+3)</f>
        <v>44</v>
      </c>
      <c r="B639" s="135">
        <v>46193</v>
      </c>
      <c r="C639" s="136" t="s">
        <v>110</v>
      </c>
      <c r="D639" s="137" t="str">
        <f t="array" ref="D639">IF($A639="","",INDEX('Daily Sales'!A:A,$A639))</f>
        <v>1-1214</v>
      </c>
      <c r="E639" s="138" t="s">
        <v>60</v>
      </c>
      <c r="F639" s="139" t="str">
        <f t="shared" si="10"/>
        <v>Bank BRI CC</v>
      </c>
      <c r="G639" s="140"/>
      <c r="H639" s="138">
        <f t="array" ref="H639">IF($A639="","",
  IF(
    OR(
      $A639=23,
      AND($A639&gt;=32,$A639&lt;=50)
    ),
    IFERROR(
      INDEX('Daily Sales'!$C:$AG,
        $A639,
        MATCH(TEXT($B639,"0"),TEXT('Daily Sales'!$C$2:$AG$2,"0"),0)
      ),
    ""),
  "")
)</f>
        <v>0</v>
      </c>
      <c r="I639" s="138" t="str">
        <f t="array" ref="I639">IF($A639="","",
  IF(
    OR(
      AND($A639&gt;=4,$A639&lt;=8),
      AND($A639&gt;=12,$A639&lt;=19),
      AND($A639&gt;=28,$A639&lt;=29)
    ),
    IFERROR(
      INDEX('Daily Sales'!$C:$AG,
        $A639,
        MATCH(TEXT($B639,"0"),TEXT('Daily Sales'!$C$2:$AG$2,"0"),0)
      ),
    ""),
  "")
)</f>
        <v/>
      </c>
      <c r="J639" s="79" t="e">
        <f t="shared" si="6"/>
        <v>#VALUE!</v>
      </c>
      <c r="K639" s="141"/>
      <c r="L639" s="141"/>
      <c r="M639" s="141"/>
      <c r="N639" s="133"/>
      <c r="O639" s="4"/>
      <c r="P639" s="4"/>
      <c r="Q639" s="4"/>
      <c r="R639" s="109"/>
      <c r="S639" s="109"/>
      <c r="T639" s="108"/>
      <c r="U639" s="110"/>
      <c r="V639" s="110"/>
      <c r="W639" s="110"/>
      <c r="X639" s="110"/>
    </row>
    <row r="640" spans="1:24" ht="13.5" customHeight="1">
      <c r="A640" s="110">
        <f>IF(E640="","",MATCH(E640,'Daily Sales'!B$4:B$51,0)+3)</f>
        <v>45</v>
      </c>
      <c r="B640" s="135">
        <v>46193</v>
      </c>
      <c r="C640" s="136" t="s">
        <v>110</v>
      </c>
      <c r="D640" s="137" t="str">
        <f t="array" ref="D640">IF($A640="","",INDEX('Daily Sales'!A:A,$A640))</f>
        <v>1-1214</v>
      </c>
      <c r="E640" s="138" t="s">
        <v>61</v>
      </c>
      <c r="F640" s="139" t="str">
        <f t="shared" si="10"/>
        <v>Bank BRI QR</v>
      </c>
      <c r="G640" s="140"/>
      <c r="H640" s="138">
        <f t="array" ref="H640">IF($A640="","",
  IF(
    OR(
      $A640=23,
      AND($A640&gt;=32,$A640&lt;=50)
    ),
    IFERROR(
      INDEX('Daily Sales'!$C:$AG,
        $A640,
        MATCH(TEXT($B640,"0"),TEXT('Daily Sales'!$C$2:$AG$2,"0"),0)
      ),
    ""),
  "")
)</f>
        <v>0</v>
      </c>
      <c r="I640" s="138" t="str">
        <f t="array" ref="I640">IF($A640="","",
  IF(
    OR(
      AND($A640&gt;=4,$A640&lt;=8),
      AND($A640&gt;=12,$A640&lt;=19),
      AND($A640&gt;=28,$A640&lt;=29)
    ),
    IFERROR(
      INDEX('Daily Sales'!$C:$AG,
        $A640,
        MATCH(TEXT($B640,"0"),TEXT('Daily Sales'!$C$2:$AG$2,"0"),0)
      ),
    ""),
  "")
)</f>
        <v/>
      </c>
      <c r="J640" s="79" t="e">
        <f t="shared" si="6"/>
        <v>#VALUE!</v>
      </c>
      <c r="K640" s="141"/>
      <c r="L640" s="141"/>
      <c r="M640" s="141"/>
      <c r="N640" s="133"/>
      <c r="O640" s="4"/>
      <c r="P640" s="4"/>
      <c r="Q640" s="4"/>
      <c r="R640" s="109"/>
      <c r="S640" s="109"/>
      <c r="T640" s="108"/>
      <c r="U640" s="110"/>
      <c r="V640" s="110"/>
      <c r="W640" s="110"/>
      <c r="X640" s="110"/>
    </row>
    <row r="641" spans="1:24" ht="13.5" customHeight="1">
      <c r="A641" s="110">
        <f>IF(E641="","",MATCH(E641,'Daily Sales'!B$4:B$51,0)+3)</f>
        <v>46</v>
      </c>
      <c r="B641" s="135">
        <v>46193</v>
      </c>
      <c r="C641" s="136" t="s">
        <v>110</v>
      </c>
      <c r="D641" s="137" t="str">
        <f t="array" ref="D641">IF($A641="","",INDEX('Daily Sales'!A:A,$A641))</f>
        <v>1-1202</v>
      </c>
      <c r="E641" s="138" t="s">
        <v>64</v>
      </c>
      <c r="F641" s="139" t="str">
        <f t="shared" si="10"/>
        <v>Ledger</v>
      </c>
      <c r="G641" s="140"/>
      <c r="H641" s="138">
        <f t="array" ref="H641">IF($A641="","",
  IF(
    OR(
      $A641=23,
      AND($A641&gt;=32,$A641&lt;=50)
    ),
    IFERROR(
      INDEX('Daily Sales'!$C:$AG,
        $A641,
        MATCH(TEXT($B641,"0"),TEXT('Daily Sales'!$C$2:$AG$2,"0"),0)
      ),
    ""),
  "")
)</f>
        <v>3160246</v>
      </c>
      <c r="I641" s="138" t="str">
        <f t="array" ref="I641">IF($A641="","",
  IF(
    OR(
      AND($A641&gt;=4,$A641&lt;=8),
      AND($A641&gt;=12,$A641&lt;=19),
      AND($A641&gt;=28,$A641&lt;=29)
    ),
    IFERROR(
      INDEX('Daily Sales'!$C:$AG,
        $A641,
        MATCH(TEXT($B641,"0"),TEXT('Daily Sales'!$C$2:$AG$2,"0"),0)
      ),
    ""),
  "")
)</f>
        <v/>
      </c>
      <c r="J641" s="79" t="e">
        <f t="shared" si="6"/>
        <v>#VALUE!</v>
      </c>
      <c r="K641" s="141"/>
      <c r="L641" s="141"/>
      <c r="M641" s="141"/>
      <c r="N641" s="133"/>
      <c r="O641" s="4"/>
      <c r="P641" s="4"/>
      <c r="Q641" s="4"/>
      <c r="R641" s="109"/>
      <c r="S641" s="109"/>
      <c r="T641" s="108"/>
      <c r="U641" s="110"/>
      <c r="V641" s="110"/>
      <c r="W641" s="110"/>
      <c r="X641" s="110"/>
    </row>
    <row r="642" spans="1:24" ht="13.5" customHeight="1">
      <c r="A642" s="110">
        <f>IF(E642="","",MATCH(E642,'Daily Sales'!B$4:B$51,0)+3)</f>
        <v>47</v>
      </c>
      <c r="B642" s="135">
        <v>46193</v>
      </c>
      <c r="C642" s="136" t="s">
        <v>110</v>
      </c>
      <c r="D642" s="137" t="str">
        <f t="array" ref="D642">IF($A642="","",INDEX('Daily Sales'!A:A,$A642))</f>
        <v>1-1129</v>
      </c>
      <c r="E642" s="138" t="s">
        <v>66</v>
      </c>
      <c r="F642" s="139" t="str">
        <f t="shared" si="10"/>
        <v>Star Points</v>
      </c>
      <c r="G642" s="140"/>
      <c r="H642" s="138">
        <f t="array" ref="H642">IF($A642="","",
  IF(
    OR(
      $A642=23,
      AND($A642&gt;=32,$A642&lt;=50)
    ),
    IFERROR(
      INDEX('Daily Sales'!$C:$AG,
        $A642,
        MATCH(TEXT($B642,"0"),TEXT('Daily Sales'!$C$2:$AG$2,"0"),0)
      ),
    ""),
  "")
)</f>
        <v>0</v>
      </c>
      <c r="I642" s="138" t="str">
        <f t="array" ref="I642">IF($A642="","",
  IF(
    OR(
      AND($A642&gt;=4,$A642&lt;=8),
      AND($A642&gt;=12,$A642&lt;=19),
      AND($A642&gt;=28,$A642&lt;=29)
    ),
    IFERROR(
      INDEX('Daily Sales'!$C:$AG,
        $A642,
        MATCH(TEXT($B642,"0"),TEXT('Daily Sales'!$C$2:$AG$2,"0"),0)
      ),
    ""),
  "")
)</f>
        <v/>
      </c>
      <c r="J642" s="79" t="e">
        <f t="shared" si="6"/>
        <v>#VALUE!</v>
      </c>
      <c r="K642" s="141"/>
      <c r="L642" s="141"/>
      <c r="M642" s="141"/>
      <c r="N642" s="133"/>
      <c r="O642" s="4"/>
      <c r="P642" s="4"/>
      <c r="Q642" s="4"/>
      <c r="R642" s="109"/>
      <c r="S642" s="109"/>
      <c r="T642" s="108"/>
      <c r="U642" s="110"/>
      <c r="V642" s="110"/>
      <c r="W642" s="110"/>
      <c r="X642" s="110"/>
    </row>
    <row r="643" spans="1:24" ht="13.5" customHeight="1">
      <c r="A643" s="110">
        <f>IF(E643="","",MATCH(E643,'Daily Sales'!B$4:B$51,0)+3)</f>
        <v>48</v>
      </c>
      <c r="B643" s="135">
        <v>46193</v>
      </c>
      <c r="C643" s="136" t="s">
        <v>110</v>
      </c>
      <c r="D643" s="137" t="str">
        <f t="array" ref="D643">IF($A643="","",INDEX('Daily Sales'!A:A,$A643))</f>
        <v>1-1215</v>
      </c>
      <c r="E643" s="138" t="s">
        <v>68</v>
      </c>
      <c r="F643" s="139" t="str">
        <f t="shared" si="10"/>
        <v>Ovo</v>
      </c>
      <c r="G643" s="140"/>
      <c r="H643" s="138">
        <f t="array" ref="H643">IF($A643="","",
  IF(
    OR(
      $A643=23,
      AND($A643&gt;=32,$A643&lt;=50)
    ),
    IFERROR(
      INDEX('Daily Sales'!$C:$AG,
        $A643,
        MATCH(TEXT($B643,"0"),TEXT('Daily Sales'!$C$2:$AG$2,"0"),0)
      ),
    ""),
  "")
)</f>
        <v>168000</v>
      </c>
      <c r="I643" s="138" t="str">
        <f t="array" ref="I643">IF($A643="","",
  IF(
    OR(
      AND($A643&gt;=4,$A643&lt;=8),
      AND($A643&gt;=12,$A643&lt;=19),
      AND($A643&gt;=28,$A643&lt;=29)
    ),
    IFERROR(
      INDEX('Daily Sales'!$C:$AG,
        $A643,
        MATCH(TEXT($B643,"0"),TEXT('Daily Sales'!$C$2:$AG$2,"0"),0)
      ),
    ""),
  "")
)</f>
        <v/>
      </c>
      <c r="J643" s="79" t="e">
        <f t="shared" si="6"/>
        <v>#VALUE!</v>
      </c>
      <c r="K643" s="141"/>
      <c r="L643" s="141"/>
      <c r="M643" s="141"/>
      <c r="N643" s="133"/>
      <c r="O643" s="4"/>
      <c r="P643" s="4"/>
      <c r="Q643" s="4"/>
      <c r="R643" s="109"/>
      <c r="S643" s="109"/>
      <c r="T643" s="108"/>
      <c r="U643" s="110"/>
      <c r="V643" s="110"/>
      <c r="W643" s="110"/>
      <c r="X643" s="110"/>
    </row>
    <row r="644" spans="1:24" ht="13.5" customHeight="1">
      <c r="A644" s="110">
        <f>IF(E644="","",MATCH(E644,'Daily Sales'!B$4:B$51,0)+3)</f>
        <v>49</v>
      </c>
      <c r="B644" s="135">
        <v>46193</v>
      </c>
      <c r="C644" s="136" t="s">
        <v>110</v>
      </c>
      <c r="D644" s="137" t="str">
        <f t="array" ref="D644">IF($A644="","",INDEX('Daily Sales'!A:A,$A644))</f>
        <v>1-1211</v>
      </c>
      <c r="E644" s="138" t="s">
        <v>70</v>
      </c>
      <c r="F644" s="139" t="str">
        <f t="shared" si="10"/>
        <v>Gopay</v>
      </c>
      <c r="G644" s="140"/>
      <c r="H644" s="138">
        <f t="array" ref="H644">IF($A644="","",
  IF(
    OR(
      $A644=23,
      AND($A644&gt;=32,$A644&lt;=50)
    ),
    IFERROR(
      INDEX('Daily Sales'!$C:$AG,
        $A644,
        MATCH(TEXT($B644,"0"),TEXT('Daily Sales'!$C$2:$AG$2,"0"),0)
      ),
    ""),
  "")
)</f>
        <v>0</v>
      </c>
      <c r="I644" s="138" t="str">
        <f t="array" ref="I644">IF($A644="","",
  IF(
    OR(
      AND($A644&gt;=4,$A644&lt;=8),
      AND($A644&gt;=12,$A644&lt;=19),
      AND($A644&gt;=28,$A644&lt;=29)
    ),
    IFERROR(
      INDEX('Daily Sales'!$C:$AG,
        $A644,
        MATCH(TEXT($B644,"0"),TEXT('Daily Sales'!$C$2:$AG$2,"0"),0)
      ),
    ""),
  "")
)</f>
        <v/>
      </c>
      <c r="J644" s="79" t="e">
        <f t="shared" si="6"/>
        <v>#VALUE!</v>
      </c>
      <c r="K644" s="141"/>
      <c r="L644" s="141"/>
      <c r="M644" s="141"/>
      <c r="N644" s="133"/>
      <c r="O644" s="4"/>
      <c r="P644" s="4"/>
      <c r="Q644" s="4"/>
      <c r="R644" s="109"/>
      <c r="S644" s="109"/>
      <c r="T644" s="108"/>
      <c r="U644" s="110"/>
      <c r="V644" s="110"/>
      <c r="W644" s="110"/>
      <c r="X644" s="110"/>
    </row>
    <row r="645" spans="1:24" ht="13.5" customHeight="1">
      <c r="A645" s="110">
        <f>IF(E645="","",MATCH(E645,'Daily Sales'!B$4:B$51,0)+3)</f>
        <v>50</v>
      </c>
      <c r="B645" s="135">
        <v>46193</v>
      </c>
      <c r="C645" s="136" t="s">
        <v>110</v>
      </c>
      <c r="D645" s="137" t="str">
        <f t="array" ref="D645">IF($A645="","",INDEX('Daily Sales'!A:A,$A645))</f>
        <v>2-2110</v>
      </c>
      <c r="E645" s="138" t="s">
        <v>72</v>
      </c>
      <c r="F645" s="139" t="str">
        <f t="shared" si="10"/>
        <v>Cash Short/Over</v>
      </c>
      <c r="G645" s="140"/>
      <c r="H645" s="138">
        <f t="array" ref="H645">IF($A645="","",
  IF(
    OR(
      $A645=23,
      AND($A645&gt;=32,$A645&lt;=50)
    ),
    IFERROR(
      INDEX('Daily Sales'!$C:$AG,
        $A645,
        MATCH(TEXT($B645,"0"),TEXT('Daily Sales'!$C$2:$AG$2,"0"),0)
      ),
    ""),
  "")
)</f>
        <v>-1728723.03</v>
      </c>
      <c r="I645" s="138" t="str">
        <f t="array" ref="I645">IF($A645="","",
  IF(
    OR(
      AND($A645&gt;=4,$A645&lt;=8),
      AND($A645&gt;=12,$A645&lt;=19),
      AND($A645&gt;=28,$A645&lt;=29)
    ),
    IFERROR(
      INDEX('Daily Sales'!$C:$AG,
        $A645,
        MATCH(TEXT($B645,"0"),TEXT('Daily Sales'!$C$2:$AG$2,"0"),0)
      ),
    ""),
  "")
)</f>
        <v/>
      </c>
      <c r="J645" s="79" t="e">
        <f t="shared" si="6"/>
        <v>#VALUE!</v>
      </c>
      <c r="K645" s="141"/>
      <c r="L645" s="141"/>
      <c r="M645" s="141"/>
      <c r="N645" s="133"/>
      <c r="O645" s="4"/>
      <c r="P645" s="4"/>
      <c r="Q645" s="4"/>
      <c r="R645" s="109"/>
      <c r="S645" s="109"/>
      <c r="T645" s="108"/>
      <c r="U645" s="110"/>
      <c r="V645" s="110"/>
      <c r="W645" s="110"/>
      <c r="X645" s="110"/>
    </row>
    <row r="646" spans="1:24" ht="14.25" customHeight="1">
      <c r="A646" s="110"/>
      <c r="B646" s="125"/>
      <c r="C646" s="126"/>
      <c r="D646" s="15"/>
      <c r="E646" s="10" t="e">
        <f>TRIM(VLOOKUP(D646,TB!$B$9:$C$1500,2,FALSE))</f>
        <v>#N/A</v>
      </c>
      <c r="F646" s="142"/>
      <c r="G646" s="130"/>
      <c r="H646" s="10"/>
      <c r="I646" s="10"/>
      <c r="J646" s="79" t="e">
        <f t="shared" si="6"/>
        <v>#VALUE!</v>
      </c>
      <c r="K646" s="107"/>
      <c r="L646" s="141"/>
      <c r="M646" s="141"/>
      <c r="N646" s="133"/>
      <c r="O646" s="4"/>
      <c r="P646" s="4"/>
      <c r="Q646" s="4"/>
      <c r="R646" s="134"/>
      <c r="S646" s="109"/>
      <c r="T646" s="108"/>
      <c r="U646" s="110"/>
      <c r="V646" s="110"/>
      <c r="W646" s="110"/>
      <c r="X646" s="110"/>
    </row>
    <row r="647" spans="1:24" ht="13.5" customHeight="1">
      <c r="A647" s="110">
        <f>IF(E647="","",MATCH(E647,'Daily Sales'!B$4:B$51,0)+3)</f>
        <v>4</v>
      </c>
      <c r="B647" s="135">
        <v>46194</v>
      </c>
      <c r="C647" s="136" t="s">
        <v>111</v>
      </c>
      <c r="D647" s="137" t="str">
        <f t="array" ref="D647">IF($A647="","",INDEX('Daily Sales'!A:A,$A647))</f>
        <v>4-2100</v>
      </c>
      <c r="E647" s="138" t="s">
        <v>5</v>
      </c>
      <c r="F647" s="139" t="str">
        <f t="shared" ref="F647:F677" si="11">E647</f>
        <v>Sales Food TERRACE</v>
      </c>
      <c r="G647" s="140"/>
      <c r="H647" s="138" t="str">
        <f t="array" ref="H647">IF($A647="","",
  IF(
    OR(
      $A647=23,
      AND($A647&gt;=32,$A647&lt;=50)
    ),
    IFERROR(
      INDEX('Daily Sales'!$C:$AG,
        $A647,
        MATCH(TEXT($B647,"0"),TEXT('Daily Sales'!$C$2:$AG$2,"0"),0)
      ),
    ""),
  "")
)</f>
        <v/>
      </c>
      <c r="I647" s="138">
        <f t="array" ref="I647">IF($A647="","",
  IF(
    OR(
      AND($A647&gt;=4,$A647&lt;=8),
      AND($A647&gt;=12,$A647&lt;=19),
      AND($A647&gt;=28,$A647&lt;=29)
    ),
    IFERROR(
      INDEX('Daily Sales'!$C:$AG,
        $A647,
        MATCH(TEXT($B647,"0"),TEXT('Daily Sales'!$C$2:$AG$2,"0"),0)
      ),
    ""),
  "")
)</f>
        <v>5333000</v>
      </c>
      <c r="J647" s="79" t="e">
        <f t="shared" si="6"/>
        <v>#VALUE!</v>
      </c>
      <c r="K647" s="141"/>
      <c r="L647" s="141"/>
      <c r="M647" s="141"/>
      <c r="N647" s="133"/>
      <c r="O647" s="4"/>
      <c r="P647" s="4"/>
      <c r="Q647" s="4"/>
      <c r="R647" s="109"/>
      <c r="S647" s="109"/>
      <c r="T647" s="108"/>
      <c r="U647" s="110"/>
      <c r="V647" s="110"/>
      <c r="W647" s="110"/>
      <c r="X647" s="110"/>
    </row>
    <row r="648" spans="1:24" ht="13.5" customHeight="1">
      <c r="A648" s="110">
        <f>IF(E648="","",MATCH(E648,'Daily Sales'!B$4:B$51,0)+3)</f>
        <v>5</v>
      </c>
      <c r="B648" s="135">
        <v>46194</v>
      </c>
      <c r="C648" s="136" t="s">
        <v>111</v>
      </c>
      <c r="D648" s="137" t="str">
        <f t="array" ref="D648">IF($A648="","",INDEX('Daily Sales'!A:A,$A648))</f>
        <v>4-2200</v>
      </c>
      <c r="E648" s="138" t="s">
        <v>7</v>
      </c>
      <c r="F648" s="139" t="str">
        <f t="shared" si="11"/>
        <v>Sales Beverages TERRACE</v>
      </c>
      <c r="G648" s="140"/>
      <c r="H648" s="138" t="str">
        <f t="array" ref="H648">IF($A648="","",
  IF(
    OR(
      $A648=23,
      AND($A648&gt;=32,$A648&lt;=50)
    ),
    IFERROR(
      INDEX('Daily Sales'!$C:$AG,
        $A648,
        MATCH(TEXT($B648,"0"),TEXT('Daily Sales'!$C$2:$AG$2,"0"),0)
      ),
    ""),
  "")
)</f>
        <v/>
      </c>
      <c r="I648" s="138">
        <f t="array" ref="I648">IF($A648="","",
  IF(
    OR(
      AND($A648&gt;=4,$A648&lt;=8),
      AND($A648&gt;=12,$A648&lt;=19),
      AND($A648&gt;=28,$A648&lt;=29)
    ),
    IFERROR(
      INDEX('Daily Sales'!$C:$AG,
        $A648,
        MATCH(TEXT($B648,"0"),TEXT('Daily Sales'!$C$2:$AG$2,"0"),0)
      ),
    ""),
  "")
)</f>
        <v>9126000</v>
      </c>
      <c r="J648" s="79" t="e">
        <f t="shared" si="6"/>
        <v>#VALUE!</v>
      </c>
      <c r="K648" s="141"/>
      <c r="L648" s="141"/>
      <c r="M648" s="141"/>
      <c r="N648" s="133"/>
      <c r="O648" s="4"/>
      <c r="P648" s="4"/>
      <c r="Q648" s="4"/>
      <c r="R648" s="109"/>
      <c r="S648" s="109"/>
      <c r="T648" s="108"/>
      <c r="U648" s="110"/>
      <c r="V648" s="110"/>
      <c r="W648" s="110"/>
      <c r="X648" s="110"/>
    </row>
    <row r="649" spans="1:24" ht="13.5" customHeight="1">
      <c r="A649" s="110">
        <f>IF(E649="","",MATCH(E649,'Daily Sales'!B$4:B$51,0)+3)</f>
        <v>6</v>
      </c>
      <c r="B649" s="135">
        <v>46194</v>
      </c>
      <c r="C649" s="136" t="s">
        <v>111</v>
      </c>
      <c r="D649" s="137" t="str">
        <f t="array" ref="D649">IF($A649="","",INDEX('Daily Sales'!A:A,$A649))</f>
        <v>4-2400</v>
      </c>
      <c r="E649" s="138" t="s">
        <v>9</v>
      </c>
      <c r="F649" s="139" t="str">
        <f t="shared" si="11"/>
        <v>Sales Cigarette TERRACE</v>
      </c>
      <c r="G649" s="140"/>
      <c r="H649" s="138" t="str">
        <f t="array" ref="H649">IF($A649="","",
  IF(
    OR(
      $A649=23,
      AND($A649&gt;=32,$A649&lt;=50)
    ),
    IFERROR(
      INDEX('Daily Sales'!$C:$AG,
        $A649,
        MATCH(TEXT($B649,"0"),TEXT('Daily Sales'!$C$2:$AG$2,"0"),0)
      ),
    ""),
  "")
)</f>
        <v/>
      </c>
      <c r="I649" s="138">
        <f t="array" ref="I649">IF($A649="","",
  IF(
    OR(
      AND($A649&gt;=4,$A649&lt;=8),
      AND($A649&gt;=12,$A649&lt;=19),
      AND($A649&gt;=28,$A649&lt;=29)
    ),
    IFERROR(
      INDEX('Daily Sales'!$C:$AG,
        $A649,
        MATCH(TEXT($B649,"0"),TEXT('Daily Sales'!$C$2:$AG$2,"0"),0)
      ),
    ""),
  "")
)</f>
        <v>280000</v>
      </c>
      <c r="J649" s="79" t="e">
        <f t="shared" si="6"/>
        <v>#VALUE!</v>
      </c>
      <c r="K649" s="141"/>
      <c r="L649" s="141"/>
      <c r="M649" s="141"/>
      <c r="N649" s="133"/>
      <c r="O649" s="4"/>
      <c r="P649" s="4"/>
      <c r="Q649" s="4"/>
      <c r="R649" s="109"/>
      <c r="S649" s="109"/>
      <c r="T649" s="108"/>
      <c r="U649" s="110"/>
      <c r="V649" s="110"/>
      <c r="W649" s="110"/>
      <c r="X649" s="110"/>
    </row>
    <row r="650" spans="1:24" ht="13.5" customHeight="1">
      <c r="A650" s="110">
        <f>IF(E650="","",MATCH(E650,'Daily Sales'!B$4:B$51,0)+3)</f>
        <v>7</v>
      </c>
      <c r="B650" s="135">
        <v>46194</v>
      </c>
      <c r="C650" s="136" t="s">
        <v>111</v>
      </c>
      <c r="D650" s="137" t="str">
        <f t="array" ref="D650">IF($A650="","",INDEX('Daily Sales'!A:A,$A650))</f>
        <v>4-2300</v>
      </c>
      <c r="E650" s="138" t="s">
        <v>11</v>
      </c>
      <c r="F650" s="139" t="str">
        <f t="shared" si="11"/>
        <v>Sales Shisa TERRACE</v>
      </c>
      <c r="G650" s="140"/>
      <c r="H650" s="138" t="str">
        <f t="array" ref="H650">IF($A650="","",
  IF(
    OR(
      $A650=23,
      AND($A650&gt;=32,$A650&lt;=50)
    ),
    IFERROR(
      INDEX('Daily Sales'!$C:$AG,
        $A650,
        MATCH(TEXT($B650,"0"),TEXT('Daily Sales'!$C$2:$AG$2,"0"),0)
      ),
    ""),
  "")
)</f>
        <v/>
      </c>
      <c r="I650" s="138">
        <f t="array" ref="I650">IF($A650="","",
  IF(
    OR(
      AND($A650&gt;=4,$A650&lt;=8),
      AND($A650&gt;=12,$A650&lt;=19),
      AND($A650&gt;=28,$A650&lt;=29)
    ),
    IFERROR(
      INDEX('Daily Sales'!$C:$AG,
        $A650,
        MATCH(TEXT($B650,"0"),TEXT('Daily Sales'!$C$2:$AG$2,"0"),0)
      ),
    ""),
  "")
)</f>
        <v>0</v>
      </c>
      <c r="J650" s="79" t="e">
        <f t="shared" si="6"/>
        <v>#VALUE!</v>
      </c>
      <c r="K650" s="141"/>
      <c r="L650" s="141"/>
      <c r="M650" s="141"/>
      <c r="N650" s="133"/>
      <c r="O650" s="4"/>
      <c r="P650" s="4"/>
      <c r="Q650" s="4"/>
      <c r="R650" s="109"/>
      <c r="S650" s="109"/>
      <c r="T650" s="108"/>
      <c r="U650" s="110"/>
      <c r="V650" s="110"/>
      <c r="W650" s="110"/>
      <c r="X650" s="110"/>
    </row>
    <row r="651" spans="1:24" ht="13.5" customHeight="1">
      <c r="A651" s="110">
        <f>IF(E651="","",MATCH(E651,'Daily Sales'!B$4:B$51,0)+3)</f>
        <v>12</v>
      </c>
      <c r="B651" s="135">
        <v>46194</v>
      </c>
      <c r="C651" s="136" t="s">
        <v>111</v>
      </c>
      <c r="D651" s="137" t="str">
        <f t="array" ref="D651">IF($A651="","",INDEX('Daily Sales'!A:A,$A651))</f>
        <v>4-2200</v>
      </c>
      <c r="E651" s="138" t="s">
        <v>17</v>
      </c>
      <c r="F651" s="139" t="str">
        <f t="shared" si="11"/>
        <v>Sales Beverages CLUB</v>
      </c>
      <c r="G651" s="140"/>
      <c r="H651" s="138" t="str">
        <f t="array" ref="H651">IF($A651="","",
  IF(
    OR(
      $A651=23,
      AND($A651&gt;=32,$A651&lt;=50)
    ),
    IFERROR(
      INDEX('Daily Sales'!$C:$AG,
        $A651,
        MATCH(TEXT($B651,"0"),TEXT('Daily Sales'!$C$2:$AG$2,"0"),0)
      ),
    ""),
  "")
)</f>
        <v/>
      </c>
      <c r="I651" s="138">
        <f t="array" ref="I651">IF($A651="","",
  IF(
    OR(
      AND($A651&gt;=4,$A651&lt;=8),
      AND($A651&gt;=12,$A651&lt;=19),
      AND($A651&gt;=28,$A651&lt;=29)
    ),
    IFERROR(
      INDEX('Daily Sales'!$C:$AG,
        $A651,
        MATCH(TEXT($B651,"0"),TEXT('Daily Sales'!$C$2:$AG$2,"0"),0)
      ),
    ""),
  "")
)</f>
        <v>13450000</v>
      </c>
      <c r="J651" s="79" t="e">
        <f t="shared" si="6"/>
        <v>#VALUE!</v>
      </c>
      <c r="K651" s="141"/>
      <c r="L651" s="141"/>
      <c r="M651" s="141"/>
      <c r="N651" s="133"/>
      <c r="O651" s="4"/>
      <c r="P651" s="4"/>
      <c r="Q651" s="4"/>
      <c r="R651" s="109"/>
      <c r="S651" s="109"/>
      <c r="T651" s="108"/>
      <c r="U651" s="110"/>
      <c r="V651" s="110"/>
      <c r="W651" s="110"/>
      <c r="X651" s="110"/>
    </row>
    <row r="652" spans="1:24" ht="13.5" customHeight="1">
      <c r="A652" s="110">
        <f>IF(E652="","",MATCH(E652,'Daily Sales'!B$4:B$51,0)+3)</f>
        <v>13</v>
      </c>
      <c r="B652" s="135">
        <v>46194</v>
      </c>
      <c r="C652" s="136" t="s">
        <v>111</v>
      </c>
      <c r="D652" s="137" t="str">
        <f t="array" ref="D652">IF($A652="","",INDEX('Daily Sales'!A:A,$A652))</f>
        <v>4-2400</v>
      </c>
      <c r="E652" s="138" t="s">
        <v>18</v>
      </c>
      <c r="F652" s="139" t="str">
        <f t="shared" si="11"/>
        <v>Sales Cigarette CLUB</v>
      </c>
      <c r="G652" s="140"/>
      <c r="H652" s="138" t="str">
        <f t="array" ref="H652">IF($A652="","",
  IF(
    OR(
      $A652=23,
      AND($A652&gt;=32,$A652&lt;=50)
    ),
    IFERROR(
      INDEX('Daily Sales'!$C:$AG,
        $A652,
        MATCH(TEXT($B652,"0"),TEXT('Daily Sales'!$C$2:$AG$2,"0"),0)
      ),
    ""),
  "")
)</f>
        <v/>
      </c>
      <c r="I652" s="138">
        <f t="array" ref="I652">IF($A652="","",
  IF(
    OR(
      AND($A652&gt;=4,$A652&lt;=8),
      AND($A652&gt;=12,$A652&lt;=19),
      AND($A652&gt;=28,$A652&lt;=29)
    ),
    IFERROR(
      INDEX('Daily Sales'!$C:$AG,
        $A652,
        MATCH(TEXT($B652,"0"),TEXT('Daily Sales'!$C$2:$AG$2,"0"),0)
      ),
    ""),
  "")
)</f>
        <v>210000</v>
      </c>
      <c r="J652" s="79" t="e">
        <f t="shared" si="6"/>
        <v>#VALUE!</v>
      </c>
      <c r="K652" s="141"/>
      <c r="L652" s="141"/>
      <c r="M652" s="141"/>
      <c r="N652" s="133"/>
      <c r="O652" s="4"/>
      <c r="P652" s="4"/>
      <c r="Q652" s="4"/>
      <c r="R652" s="109"/>
      <c r="S652" s="109"/>
      <c r="T652" s="108"/>
      <c r="U652" s="110"/>
      <c r="V652" s="110"/>
      <c r="W652" s="110"/>
      <c r="X652" s="110"/>
    </row>
    <row r="653" spans="1:24" ht="13.5" customHeight="1">
      <c r="A653" s="110">
        <f>IF(E653="","",MATCH(E653,'Daily Sales'!B$4:B$51,0)+3)</f>
        <v>14</v>
      </c>
      <c r="B653" s="135">
        <v>46194</v>
      </c>
      <c r="C653" s="136" t="s">
        <v>111</v>
      </c>
      <c r="D653" s="137" t="str">
        <f t="array" ref="D653">IF($A653="","",INDEX('Daily Sales'!A:A,$A653))</f>
        <v>4-2100</v>
      </c>
      <c r="E653" s="138" t="s">
        <v>19</v>
      </c>
      <c r="F653" s="139" t="str">
        <f t="shared" si="11"/>
        <v>Sales Food CLUB</v>
      </c>
      <c r="G653" s="140"/>
      <c r="H653" s="138" t="str">
        <f t="array" ref="H653">IF($A653="","",
  IF(
    OR(
      $A653=23,
      AND($A653&gt;=32,$A653&lt;=50)
    ),
    IFERROR(
      INDEX('Daily Sales'!$C:$AG,
        $A653,
        MATCH(TEXT($B653,"0"),TEXT('Daily Sales'!$C$2:$AG$2,"0"),0)
      ),
    ""),
  "")
)</f>
        <v/>
      </c>
      <c r="I653" s="138">
        <f t="array" ref="I653">IF($A653="","",
  IF(
    OR(
      AND($A653&gt;=4,$A653&lt;=8),
      AND($A653&gt;=12,$A653&lt;=19),
      AND($A653&gt;=28,$A653&lt;=29)
    ),
    IFERROR(
      INDEX('Daily Sales'!$C:$AG,
        $A653,
        MATCH(TEXT($B653,"0"),TEXT('Daily Sales'!$C$2:$AG$2,"0"),0)
      ),
    ""),
  "")
)</f>
        <v>200000</v>
      </c>
      <c r="J653" s="79" t="e">
        <f t="shared" si="6"/>
        <v>#VALUE!</v>
      </c>
      <c r="K653" s="141"/>
      <c r="L653" s="141"/>
      <c r="M653" s="141"/>
      <c r="N653" s="133"/>
      <c r="O653" s="4"/>
      <c r="P653" s="4"/>
      <c r="Q653" s="4"/>
      <c r="R653" s="109"/>
      <c r="S653" s="109"/>
      <c r="T653" s="108"/>
      <c r="U653" s="110"/>
      <c r="V653" s="110"/>
      <c r="W653" s="110"/>
      <c r="X653" s="110"/>
    </row>
    <row r="654" spans="1:24" ht="13.5" customHeight="1">
      <c r="A654" s="110">
        <f>IF(E654="","",MATCH(E654,'Daily Sales'!B$4:B$51,0)+3)</f>
        <v>15</v>
      </c>
      <c r="B654" s="135">
        <v>46194</v>
      </c>
      <c r="C654" s="136" t="s">
        <v>111</v>
      </c>
      <c r="D654" s="137" t="str">
        <f t="array" ref="D654">IF($A654="","",INDEX('Daily Sales'!A:A,$A654))</f>
        <v>4-2300</v>
      </c>
      <c r="E654" s="138" t="s">
        <v>20</v>
      </c>
      <c r="F654" s="139" t="str">
        <f t="shared" si="11"/>
        <v>Sales Shisa CLUB</v>
      </c>
      <c r="G654" s="140"/>
      <c r="H654" s="138" t="str">
        <f t="array" ref="H654">IF($A654="","",
  IF(
    OR(
      $A654=23,
      AND($A654&gt;=32,$A654&lt;=50)
    ),
    IFERROR(
      INDEX('Daily Sales'!$C:$AG,
        $A654,
        MATCH(TEXT($B654,"0"),TEXT('Daily Sales'!$C$2:$AG$2,"0"),0)
      ),
    ""),
  "")
)</f>
        <v/>
      </c>
      <c r="I654" s="138">
        <f t="array" ref="I654">IF($A654="","",
  IF(
    OR(
      AND($A654&gt;=4,$A654&lt;=8),
      AND($A654&gt;=12,$A654&lt;=19),
      AND($A654&gt;=28,$A654&lt;=29)
    ),
    IFERROR(
      INDEX('Daily Sales'!$C:$AG,
        $A654,
        MATCH(TEXT($B654,"0"),TEXT('Daily Sales'!$C$2:$AG$2,"0"),0)
      ),
    ""),
  "")
)</f>
        <v>0</v>
      </c>
      <c r="J654" s="79" t="e">
        <f t="shared" si="6"/>
        <v>#VALUE!</v>
      </c>
      <c r="K654" s="141"/>
      <c r="L654" s="141"/>
      <c r="M654" s="141"/>
      <c r="N654" s="133"/>
      <c r="O654" s="4"/>
      <c r="P654" s="4"/>
      <c r="Q654" s="4"/>
      <c r="R654" s="109"/>
      <c r="S654" s="109"/>
      <c r="T654" s="108"/>
      <c r="U654" s="110"/>
      <c r="V654" s="110"/>
      <c r="W654" s="110"/>
      <c r="X654" s="110"/>
    </row>
    <row r="655" spans="1:24" ht="13.5" customHeight="1">
      <c r="A655" s="110">
        <f>IF(E655="","",MATCH(E655,'Daily Sales'!B$4:B$51,0)+3)</f>
        <v>17</v>
      </c>
      <c r="B655" s="135">
        <v>46194</v>
      </c>
      <c r="C655" s="136" t="s">
        <v>111</v>
      </c>
      <c r="D655" s="137" t="str">
        <f t="array" ref="D655">IF($A655="","",INDEX('Daily Sales'!A:A,$A655))</f>
        <v>4-2601</v>
      </c>
      <c r="E655" s="138" t="s">
        <v>23</v>
      </c>
      <c r="F655" s="139" t="str">
        <f t="shared" si="11"/>
        <v xml:space="preserve">Misc </v>
      </c>
      <c r="G655" s="140"/>
      <c r="H655" s="138" t="str">
        <f t="array" ref="H655">IF($A655="","",
  IF(
    OR(
      $A655=23,
      AND($A655&gt;=32,$A655&lt;=50)
    ),
    IFERROR(
      INDEX('Daily Sales'!$C:$AG,
        $A655,
        MATCH(TEXT($B655,"0"),TEXT('Daily Sales'!$C$2:$AG$2,"0"),0)
      ),
    ""),
  "")
)</f>
        <v/>
      </c>
      <c r="I655" s="138">
        <f t="array" ref="I655">IF($A655="","",
  IF(
    OR(
      AND($A655&gt;=4,$A655&lt;=8),
      AND($A655&gt;=12,$A655&lt;=19),
      AND($A655&gt;=28,$A655&lt;=29)
    ),
    IFERROR(
      INDEX('Daily Sales'!$C:$AG,
        $A655,
        MATCH(TEXT($B655,"0"),TEXT('Daily Sales'!$C$2:$AG$2,"0"),0)
      ),
    ""),
  "")
)</f>
        <v>0</v>
      </c>
      <c r="J655" s="79" t="e">
        <f t="shared" si="6"/>
        <v>#VALUE!</v>
      </c>
      <c r="K655" s="141"/>
      <c r="L655" s="141"/>
      <c r="M655" s="141"/>
      <c r="N655" s="133"/>
      <c r="O655" s="4"/>
      <c r="P655" s="4"/>
      <c r="Q655" s="4"/>
      <c r="R655" s="109"/>
      <c r="S655" s="109"/>
      <c r="T655" s="108"/>
      <c r="U655" s="110"/>
      <c r="V655" s="110"/>
      <c r="W655" s="110"/>
      <c r="X655" s="110"/>
    </row>
    <row r="656" spans="1:24" ht="13.5" customHeight="1">
      <c r="A656" s="110">
        <f>IF(E656="","",MATCH(E656,'Daily Sales'!B$4:B$51,0)+3)</f>
        <v>19</v>
      </c>
      <c r="B656" s="135">
        <v>46194</v>
      </c>
      <c r="C656" s="136" t="s">
        <v>111</v>
      </c>
      <c r="D656" s="137" t="str">
        <f t="array" ref="D656">IF($A656="","",INDEX('Daily Sales'!A:A,$A656))</f>
        <v>4-2500</v>
      </c>
      <c r="E656" s="138" t="s">
        <v>26</v>
      </c>
      <c r="F656" s="139" t="str">
        <f t="shared" si="11"/>
        <v>Sales Ticket</v>
      </c>
      <c r="G656" s="140"/>
      <c r="H656" s="138" t="str">
        <f t="array" ref="H656">IF($A656="","",
  IF(
    OR(
      $A656=23,
      AND($A656&gt;=32,$A656&lt;=50)
    ),
    IFERROR(
      INDEX('Daily Sales'!$C:$AG,
        $A656,
        MATCH(TEXT($B656,"0"),TEXT('Daily Sales'!$C$2:$AG$2,"0"),0)
      ),
    ""),
  "")
)</f>
        <v/>
      </c>
      <c r="I656" s="138">
        <f t="array" ref="I656">IF($A656="","",
  IF(
    OR(
      AND($A656&gt;=4,$A656&lt;=8),
      AND($A656&gt;=12,$A656&lt;=19),
      AND($A656&gt;=28,$A656&lt;=29)
    ),
    IFERROR(
      INDEX('Daily Sales'!$C:$AG,
        $A656,
        MATCH(TEXT($B656,"0"),TEXT('Daily Sales'!$C$2:$AG$2,"0"),0)
      ),
    ""),
  "")
)</f>
        <v>9515744</v>
      </c>
      <c r="J656" s="79" t="e">
        <f t="shared" si="6"/>
        <v>#VALUE!</v>
      </c>
      <c r="K656" s="141"/>
      <c r="L656" s="141"/>
      <c r="M656" s="141"/>
      <c r="N656" s="133"/>
      <c r="O656" s="4"/>
      <c r="P656" s="4"/>
      <c r="Q656" s="4"/>
      <c r="R656" s="109"/>
      <c r="S656" s="109"/>
      <c r="T656" s="108"/>
      <c r="U656" s="110"/>
      <c r="V656" s="110"/>
      <c r="W656" s="110"/>
      <c r="X656" s="110"/>
    </row>
    <row r="657" spans="1:24" ht="13.5" customHeight="1">
      <c r="A657" s="110">
        <f>IF(E657="","",MATCH(E657,'Daily Sales'!B$4:B$51,0)+3)</f>
        <v>28</v>
      </c>
      <c r="B657" s="135">
        <v>46194</v>
      </c>
      <c r="C657" s="136" t="s">
        <v>111</v>
      </c>
      <c r="D657" s="137" t="str">
        <f t="array" ref="D657">IF($A657="","",INDEX('Daily Sales'!A:A,$A657))</f>
        <v>2-2106</v>
      </c>
      <c r="E657" s="138" t="s">
        <v>35</v>
      </c>
      <c r="F657" s="139" t="str">
        <f t="shared" si="11"/>
        <v>Service Charges 7%</v>
      </c>
      <c r="G657" s="140"/>
      <c r="H657" s="138" t="str">
        <f t="array" ref="H657">IF($A657="","",
  IF(
    OR(
      $A657=23,
      AND($A657&gt;=32,$A657&lt;=50)
    ),
    IFERROR(
      INDEX('Daily Sales'!$C:$AG,
        $A657,
        MATCH(TEXT($B657,"0"),TEXT('Daily Sales'!$C$2:$AG$2,"0"),0)
      ),
    ""),
  "")
)</f>
        <v/>
      </c>
      <c r="I657" s="138">
        <f t="array" ref="I657">IF($A657="","",
  IF(
    OR(
      AND($A657&gt;=4,$A657&lt;=8),
      AND($A657&gt;=12,$A657&lt;=19),
      AND($A657&gt;=28,$A657&lt;=29)
    ),
    IFERROR(
      INDEX('Daily Sales'!$C:$AG,
        $A657,
        MATCH(TEXT($B657,"0"),TEXT('Daily Sales'!$C$2:$AG$2,"0"),0)
      ),
    ""),
  "")
)</f>
        <v>2635307.08</v>
      </c>
      <c r="J657" s="79" t="e">
        <f t="shared" si="6"/>
        <v>#VALUE!</v>
      </c>
      <c r="K657" s="141"/>
      <c r="L657" s="141"/>
      <c r="M657" s="141"/>
      <c r="N657" s="133"/>
      <c r="O657" s="4"/>
      <c r="P657" s="4"/>
      <c r="Q657" s="4"/>
      <c r="R657" s="109"/>
      <c r="S657" s="109"/>
      <c r="T657" s="108"/>
      <c r="U657" s="110"/>
      <c r="V657" s="110"/>
      <c r="W657" s="110"/>
      <c r="X657" s="110"/>
    </row>
    <row r="658" spans="1:24" ht="13.5" customHeight="1">
      <c r="A658" s="110">
        <f>IF(E658="","",MATCH(E658,'Daily Sales'!B$4:B$51,0)+3)</f>
        <v>29</v>
      </c>
      <c r="B658" s="135">
        <v>46194</v>
      </c>
      <c r="C658" s="136" t="s">
        <v>111</v>
      </c>
      <c r="D658" s="137" t="str">
        <f t="array" ref="D658">IF($A658="","",INDEX('Daily Sales'!A:A,$A658))</f>
        <v>2-3101</v>
      </c>
      <c r="E658" s="138" t="s">
        <v>37</v>
      </c>
      <c r="F658" s="139" t="str">
        <f t="shared" si="11"/>
        <v>Tax PB1 10%</v>
      </c>
      <c r="G658" s="140"/>
      <c r="H658" s="138" t="str">
        <f t="array" ref="H658">IF($A658="","",
  IF(
    OR(
      $A658=23,
      AND($A658&gt;=32,$A658&lt;=50)
    ),
    IFERROR(
      INDEX('Daily Sales'!$C:$AG,
        $A658,
        MATCH(TEXT($B658,"0"),TEXT('Daily Sales'!$C$2:$AG$2,"0"),0)
      ),
    ""),
  "")
)</f>
        <v/>
      </c>
      <c r="I658" s="138">
        <f t="array" ref="I658">IF($A658="","",
  IF(
    OR(
      AND($A658&gt;=4,$A658&lt;=8),
      AND($A658&gt;=12,$A658&lt;=19),
      AND($A658&gt;=28,$A658&lt;=29)
    ),
    IFERROR(
      INDEX('Daily Sales'!$C:$AG,
        $A658,
        MATCH(TEXT($B658,"0"),TEXT('Daily Sales'!$C$2:$AG$2,"0"),0)
      ),
    ""),
  "")
)</f>
        <v>4028255.108</v>
      </c>
      <c r="J658" s="79" t="e">
        <f t="shared" si="6"/>
        <v>#VALUE!</v>
      </c>
      <c r="K658" s="141"/>
      <c r="L658" s="141"/>
      <c r="M658" s="141"/>
      <c r="N658" s="133"/>
      <c r="O658" s="4"/>
      <c r="P658" s="4"/>
      <c r="Q658" s="4"/>
      <c r="R658" s="109"/>
      <c r="S658" s="109"/>
      <c r="T658" s="108"/>
      <c r="U658" s="110"/>
      <c r="V658" s="110"/>
      <c r="W658" s="110"/>
      <c r="X658" s="110"/>
    </row>
    <row r="659" spans="1:24" ht="13.5" customHeight="1">
      <c r="A659" s="110">
        <f>IF(E659="","",MATCH(E659,'Daily Sales'!B$4:B$51,0)+3)</f>
        <v>23</v>
      </c>
      <c r="B659" s="135">
        <v>46194</v>
      </c>
      <c r="C659" s="136" t="s">
        <v>111</v>
      </c>
      <c r="D659" s="137" t="str">
        <f t="array" ref="D659">IF($A659="","",INDEX('Daily Sales'!A:A,$A659))</f>
        <v>4-5110</v>
      </c>
      <c r="E659" s="138" t="s">
        <v>30</v>
      </c>
      <c r="F659" s="139" t="str">
        <f t="shared" si="11"/>
        <v>Discount</v>
      </c>
      <c r="G659" s="140"/>
      <c r="H659" s="138">
        <f t="array" ref="H659">IF($A659="","",
  IF(
    OR(
      $A659=23,
      AND($A659&gt;=32,$A659&lt;=50)
    ),
    IFERROR(
      INDEX('Daily Sales'!$C:$AG,
        $A659,
        MATCH(TEXT($B659,"0"),TEXT('Daily Sales'!$C$2:$AG$2,"0"),0)
      ),
    ""),
  "")
)</f>
        <v>467500</v>
      </c>
      <c r="I659" s="138" t="str">
        <f t="array" ref="I659">IF($A659="","",
  IF(
    OR(
      AND($A659&gt;=4,$A659&lt;=8),
      AND($A659&gt;=12,$A659&lt;=19),
      AND($A659&gt;=28,$A659&lt;=29)
    ),
    IFERROR(
      INDEX('Daily Sales'!$C:$AG,
        $A659,
        MATCH(TEXT($B659,"0"),TEXT('Daily Sales'!$C$2:$AG$2,"0"),0)
      ),
    ""),
  "")
)</f>
        <v/>
      </c>
      <c r="J659" s="79" t="e">
        <f t="shared" si="6"/>
        <v>#VALUE!</v>
      </c>
      <c r="K659" s="141"/>
      <c r="L659" s="141"/>
      <c r="M659" s="141"/>
      <c r="N659" s="133"/>
      <c r="O659" s="4"/>
      <c r="P659" s="4"/>
      <c r="Q659" s="4"/>
      <c r="R659" s="109"/>
      <c r="S659" s="109"/>
      <c r="T659" s="108"/>
      <c r="U659" s="110"/>
      <c r="V659" s="110"/>
      <c r="W659" s="110"/>
      <c r="X659" s="110"/>
    </row>
    <row r="660" spans="1:24" ht="13.5" customHeight="1">
      <c r="A660" s="110">
        <f>IF(E660="","",MATCH(E660,'Daily Sales'!B$4:B$51,0)+3)</f>
        <v>32</v>
      </c>
      <c r="B660" s="135">
        <v>46194</v>
      </c>
      <c r="C660" s="136" t="s">
        <v>111</v>
      </c>
      <c r="D660" s="137" t="str">
        <f t="array" ref="D660">IF($A660="","",INDEX('Daily Sales'!A:A,$A660))</f>
        <v>1-1119</v>
      </c>
      <c r="E660" s="138" t="s">
        <v>40</v>
      </c>
      <c r="F660" s="139" t="str">
        <f t="shared" si="11"/>
        <v>Cash IDR</v>
      </c>
      <c r="G660" s="140"/>
      <c r="H660" s="138">
        <f t="array" ref="H660">IF($A660="","",
  IF(
    OR(
      $A660=23,
      AND($A660&gt;=32,$A660&lt;=50)
    ),
    IFERROR(
      INDEX('Daily Sales'!$C:$AG,
        $A660,
        MATCH(TEXT($B660,"0"),TEXT('Daily Sales'!$C$2:$AG$2,"0"),0)
      ),
    ""),
  "")
)</f>
        <v>5066026</v>
      </c>
      <c r="I660" s="138" t="str">
        <f t="array" ref="I660">IF($A660="","",
  IF(
    OR(
      AND($A660&gt;=4,$A660&lt;=8),
      AND($A660&gt;=12,$A660&lt;=19),
      AND($A660&gt;=28,$A660&lt;=29)
    ),
    IFERROR(
      INDEX('Daily Sales'!$C:$AG,
        $A660,
        MATCH(TEXT($B660,"0"),TEXT('Daily Sales'!$C$2:$AG$2,"0"),0)
      ),
    ""),
  "")
)</f>
        <v/>
      </c>
      <c r="J660" s="79" t="e">
        <f t="shared" si="6"/>
        <v>#VALUE!</v>
      </c>
      <c r="K660" s="141"/>
      <c r="L660" s="141"/>
      <c r="M660" s="141"/>
      <c r="N660" s="133"/>
      <c r="O660" s="4"/>
      <c r="P660" s="4"/>
      <c r="Q660" s="4"/>
      <c r="R660" s="109"/>
      <c r="S660" s="109"/>
      <c r="T660" s="108"/>
      <c r="U660" s="110"/>
      <c r="V660" s="110"/>
      <c r="W660" s="110"/>
      <c r="X660" s="110"/>
    </row>
    <row r="661" spans="1:24" ht="13.5" customHeight="1">
      <c r="A661" s="110">
        <f>IF(E661="","",MATCH(E661,'Daily Sales'!B$4:B$51,0)+3)</f>
        <v>33</v>
      </c>
      <c r="B661" s="135">
        <v>46194</v>
      </c>
      <c r="C661" s="136" t="s">
        <v>111</v>
      </c>
      <c r="D661" s="137" t="str">
        <f t="array" ref="D661">IF($A661="","",INDEX('Daily Sales'!A:A,$A661))</f>
        <v>1-1217</v>
      </c>
      <c r="E661" s="138" t="s">
        <v>43</v>
      </c>
      <c r="F661" s="139" t="str">
        <f t="shared" si="11"/>
        <v>Bank transfer</v>
      </c>
      <c r="G661" s="140"/>
      <c r="H661" s="138">
        <f t="array" ref="H661">IF($A661="","",
  IF(
    OR(
      $A661=23,
      AND($A661&gt;=32,$A661&lt;=50)
    ),
    IFERROR(
      INDEX('Daily Sales'!$C:$AG,
        $A661,
        MATCH(TEXT($B661,"0"),TEXT('Daily Sales'!$C$2:$AG$2,"0"),0)
      ),
    ""),
  "")
)</f>
        <v>0</v>
      </c>
      <c r="I661" s="138" t="str">
        <f t="array" ref="I661">IF($A661="","",
  IF(
    OR(
      AND($A661&gt;=4,$A661&lt;=8),
      AND($A661&gt;=12,$A661&lt;=19),
      AND($A661&gt;=28,$A661&lt;=29)
    ),
    IFERROR(
      INDEX('Daily Sales'!$C:$AG,
        $A661,
        MATCH(TEXT($B661,"0"),TEXT('Daily Sales'!$C$2:$AG$2,"0"),0)
      ),
    ""),
  "")
)</f>
        <v/>
      </c>
      <c r="J661" s="79" t="e">
        <f t="shared" si="6"/>
        <v>#VALUE!</v>
      </c>
      <c r="K661" s="141"/>
      <c r="L661" s="141"/>
      <c r="M661" s="141"/>
      <c r="N661" s="133"/>
      <c r="O661" s="4"/>
      <c r="P661" s="4"/>
      <c r="Q661" s="4"/>
      <c r="R661" s="109"/>
      <c r="S661" s="109"/>
      <c r="T661" s="108"/>
      <c r="U661" s="110"/>
      <c r="V661" s="110"/>
      <c r="W661" s="110"/>
      <c r="X661" s="110"/>
    </row>
    <row r="662" spans="1:24" ht="13.5" customHeight="1">
      <c r="A662" s="110">
        <f>IF(E662="","",MATCH(E662,'Daily Sales'!B$4:B$51,0)+3)</f>
        <v>35</v>
      </c>
      <c r="B662" s="135">
        <v>46194</v>
      </c>
      <c r="C662" s="136" t="s">
        <v>111</v>
      </c>
      <c r="D662" s="137" t="str">
        <f t="array" ref="D662">IF($A662="","",INDEX('Daily Sales'!A:A,$A662))</f>
        <v>1-1216</v>
      </c>
      <c r="E662" s="138" t="s">
        <v>46</v>
      </c>
      <c r="F662" s="139" t="str">
        <f t="shared" si="11"/>
        <v>Cim Niaga TBB</v>
      </c>
      <c r="G662" s="140"/>
      <c r="H662" s="138">
        <f t="array" ref="H662">IF($A662="","",
  IF(
    OR(
      $A662=23,
      AND($A662&gt;=32,$A662&lt;=50)
    ),
    IFERROR(
      INDEX('Daily Sales'!$C:$AG,
        $A662,
        MATCH(TEXT($B662,"0"),TEXT('Daily Sales'!$C$2:$AG$2,"0"),0)
      ),
    ""),
  "")
)</f>
        <v>0</v>
      </c>
      <c r="I662" s="138" t="str">
        <f t="array" ref="I662">IF($A662="","",
  IF(
    OR(
      AND($A662&gt;=4,$A662&lt;=8),
      AND($A662&gt;=12,$A662&lt;=19),
      AND($A662&gt;=28,$A662&lt;=29)
    ),
    IFERROR(
      INDEX('Daily Sales'!$C:$AG,
        $A662,
        MATCH(TEXT($B662,"0"),TEXT('Daily Sales'!$C$2:$AG$2,"0"),0)
      ),
    ""),
  "")
)</f>
        <v/>
      </c>
      <c r="J662" s="79" t="e">
        <f t="shared" si="6"/>
        <v>#VALUE!</v>
      </c>
      <c r="K662" s="141"/>
      <c r="L662" s="141"/>
      <c r="M662" s="141"/>
      <c r="N662" s="133"/>
      <c r="O662" s="4"/>
      <c r="P662" s="4"/>
      <c r="Q662" s="4"/>
      <c r="R662" s="109"/>
      <c r="S662" s="109"/>
      <c r="T662" s="108"/>
      <c r="U662" s="110"/>
      <c r="V662" s="110"/>
      <c r="W662" s="110"/>
      <c r="X662" s="110"/>
    </row>
    <row r="663" spans="1:24" ht="13.5" customHeight="1">
      <c r="A663" s="110">
        <f>IF(E663="","",MATCH(E663,'Daily Sales'!B$4:B$51,0)+3)</f>
        <v>36</v>
      </c>
      <c r="B663" s="135">
        <v>46194</v>
      </c>
      <c r="C663" s="136" t="s">
        <v>111</v>
      </c>
      <c r="D663" s="137" t="str">
        <f t="array" ref="D663">IF($A663="","",INDEX('Daily Sales'!A:A,$A663))</f>
        <v>1-1213</v>
      </c>
      <c r="E663" s="138" t="s">
        <v>49</v>
      </c>
      <c r="F663" s="139" t="str">
        <f t="shared" si="11"/>
        <v>Mandiri Debet</v>
      </c>
      <c r="G663" s="140"/>
      <c r="H663" s="138">
        <f t="array" ref="H663">IF($A663="","",
  IF(
    OR(
      $A663=23,
      AND($A663&gt;=32,$A663&lt;=50)
    ),
    IFERROR(
      INDEX('Daily Sales'!$C:$AG,
        $A663,
        MATCH(TEXT($B663,"0"),TEXT('Daily Sales'!$C$2:$AG$2,"0"),0)
      ),
    ""),
  "")
)</f>
        <v>188320</v>
      </c>
      <c r="I663" s="138" t="str">
        <f t="array" ref="I663">IF($A663="","",
  IF(
    OR(
      AND($A663&gt;=4,$A663&lt;=8),
      AND($A663&gt;=12,$A663&lt;=19),
      AND($A663&gt;=28,$A663&lt;=29)
    ),
    IFERROR(
      INDEX('Daily Sales'!$C:$AG,
        $A663,
        MATCH(TEXT($B663,"0"),TEXT('Daily Sales'!$C$2:$AG$2,"0"),0)
      ),
    ""),
  "")
)</f>
        <v/>
      </c>
      <c r="J663" s="79" t="e">
        <f t="shared" si="6"/>
        <v>#VALUE!</v>
      </c>
      <c r="K663" s="141"/>
      <c r="L663" s="141"/>
      <c r="M663" s="141"/>
      <c r="N663" s="133"/>
      <c r="O663" s="4"/>
      <c r="P663" s="4"/>
      <c r="Q663" s="4"/>
      <c r="R663" s="109"/>
      <c r="S663" s="109"/>
      <c r="T663" s="108"/>
      <c r="U663" s="110"/>
      <c r="V663" s="110"/>
      <c r="W663" s="110"/>
      <c r="X663" s="110"/>
    </row>
    <row r="664" spans="1:24" ht="13.5" customHeight="1">
      <c r="A664" s="110">
        <f>IF(E664="","",MATCH(E664,'Daily Sales'!B$4:B$51,0)+3)</f>
        <v>37</v>
      </c>
      <c r="B664" s="135">
        <v>46194</v>
      </c>
      <c r="C664" s="136" t="s">
        <v>111</v>
      </c>
      <c r="D664" s="137" t="str">
        <f t="array" ref="D664">IF($A664="","",INDEX('Daily Sales'!A:A,$A664))</f>
        <v>1-1213</v>
      </c>
      <c r="E664" s="138" t="s">
        <v>50</v>
      </c>
      <c r="F664" s="139" t="str">
        <f t="shared" si="11"/>
        <v>Mandiri CC</v>
      </c>
      <c r="G664" s="140"/>
      <c r="H664" s="138">
        <f t="array" ref="H664">IF($A664="","",
  IF(
    OR(
      $A664=23,
      AND($A664&gt;=32,$A664&lt;=50)
    ),
    IFERROR(
      INDEX('Daily Sales'!$C:$AG,
        $A664,
        MATCH(TEXT($B664,"0"),TEXT('Daily Sales'!$C$2:$AG$2,"0"),0)
      ),
    ""),
  "")
)</f>
        <v>23978930</v>
      </c>
      <c r="I664" s="138" t="str">
        <f t="array" ref="I664">IF($A664="","",
  IF(
    OR(
      AND($A664&gt;=4,$A664&lt;=8),
      AND($A664&gt;=12,$A664&lt;=19),
      AND($A664&gt;=28,$A664&lt;=29)
    ),
    IFERROR(
      INDEX('Daily Sales'!$C:$AG,
        $A664,
        MATCH(TEXT($B664,"0"),TEXT('Daily Sales'!$C$2:$AG$2,"0"),0)
      ),
    ""),
  "")
)</f>
        <v/>
      </c>
      <c r="J664" s="79" t="e">
        <f t="shared" si="6"/>
        <v>#VALUE!</v>
      </c>
      <c r="K664" s="141"/>
      <c r="L664" s="141"/>
      <c r="M664" s="141"/>
      <c r="N664" s="133"/>
      <c r="O664" s="4"/>
      <c r="P664" s="4"/>
      <c r="Q664" s="4"/>
      <c r="R664" s="109"/>
      <c r="S664" s="109"/>
      <c r="T664" s="108"/>
      <c r="U664" s="110"/>
      <c r="V664" s="110"/>
      <c r="W664" s="110"/>
      <c r="X664" s="110"/>
    </row>
    <row r="665" spans="1:24" ht="13.5" customHeight="1">
      <c r="A665" s="110">
        <f>IF(E665="","",MATCH(E665,'Daily Sales'!B$4:B$51,0)+3)</f>
        <v>38</v>
      </c>
      <c r="B665" s="135">
        <v>46194</v>
      </c>
      <c r="C665" s="136" t="s">
        <v>111</v>
      </c>
      <c r="D665" s="137" t="str">
        <f t="array" ref="D665">IF($A665="","",INDEX('Daily Sales'!A:A,$A665))</f>
        <v>1-1213</v>
      </c>
      <c r="E665" s="138" t="s">
        <v>51</v>
      </c>
      <c r="F665" s="139" t="str">
        <f t="shared" si="11"/>
        <v>Mandiri NPG</v>
      </c>
      <c r="G665" s="140"/>
      <c r="H665" s="138">
        <f t="array" ref="H665">IF($A665="","",
  IF(
    OR(
      $A665=23,
      AND($A665&gt;=32,$A665&lt;=50)
    ),
    IFERROR(
      INDEX('Daily Sales'!$C:$AG,
        $A665,
        MATCH(TEXT($B665,"0"),TEXT('Daily Sales'!$C$2:$AG$2,"0"),0)
      ),
    ""),
  "")
)</f>
        <v>4342860</v>
      </c>
      <c r="I665" s="138" t="str">
        <f t="array" ref="I665">IF($A665="","",
  IF(
    OR(
      AND($A665&gt;=4,$A665&lt;=8),
      AND($A665&gt;=12,$A665&lt;=19),
      AND($A665&gt;=28,$A665&lt;=29)
    ),
    IFERROR(
      INDEX('Daily Sales'!$C:$AG,
        $A665,
        MATCH(TEXT($B665,"0"),TEXT('Daily Sales'!$C$2:$AG$2,"0"),0)
      ),
    ""),
  "")
)</f>
        <v/>
      </c>
      <c r="J665" s="79" t="e">
        <f t="shared" si="6"/>
        <v>#VALUE!</v>
      </c>
      <c r="K665" s="141"/>
      <c r="L665" s="141"/>
      <c r="M665" s="141"/>
      <c r="N665" s="133"/>
      <c r="O665" s="4"/>
      <c r="P665" s="4"/>
      <c r="Q665" s="4"/>
      <c r="R665" s="109"/>
      <c r="S665" s="109"/>
      <c r="T665" s="108"/>
      <c r="U665" s="110"/>
      <c r="V665" s="110"/>
      <c r="W665" s="110"/>
      <c r="X665" s="110"/>
    </row>
    <row r="666" spans="1:24" ht="13.5" customHeight="1">
      <c r="A666" s="110">
        <f>IF(E666="","",MATCH(E666,'Daily Sales'!B$4:B$51,0)+3)</f>
        <v>39</v>
      </c>
      <c r="B666" s="135">
        <v>46194</v>
      </c>
      <c r="C666" s="136" t="s">
        <v>111</v>
      </c>
      <c r="D666" s="137" t="str">
        <f t="array" ref="D666">IF($A666="","",INDEX('Daily Sales'!A:A,$A666))</f>
        <v>1-1213</v>
      </c>
      <c r="E666" s="138" t="s">
        <v>52</v>
      </c>
      <c r="F666" s="139" t="str">
        <f t="shared" si="11"/>
        <v>Mandiri QR</v>
      </c>
      <c r="G666" s="140"/>
      <c r="H666" s="138">
        <f t="array" ref="H666">IF($A666="","",
  IF(
    OR(
      $A666=23,
      AND($A666&gt;=32,$A666&lt;=50)
    ),
    IFERROR(
      INDEX('Daily Sales'!$C:$AG,
        $A666,
        MATCH(TEXT($B666,"0"),TEXT('Daily Sales'!$C$2:$AG$2,"0"),0)
      ),
    ""),
  "")
)</f>
        <v>8849691</v>
      </c>
      <c r="I666" s="138" t="str">
        <f t="array" ref="I666">IF($A666="","",
  IF(
    OR(
      AND($A666&gt;=4,$A666&lt;=8),
      AND($A666&gt;=12,$A666&lt;=19),
      AND($A666&gt;=28,$A666&lt;=29)
    ),
    IFERROR(
      INDEX('Daily Sales'!$C:$AG,
        $A666,
        MATCH(TEXT($B666,"0"),TEXT('Daily Sales'!$C$2:$AG$2,"0"),0)
      ),
    ""),
  "")
)</f>
        <v/>
      </c>
      <c r="J666" s="79" t="e">
        <f t="shared" si="6"/>
        <v>#VALUE!</v>
      </c>
      <c r="K666" s="141"/>
      <c r="L666" s="141"/>
      <c r="M666" s="141"/>
      <c r="N666" s="133"/>
      <c r="O666" s="4"/>
      <c r="P666" s="4"/>
      <c r="Q666" s="4"/>
      <c r="R666" s="109"/>
      <c r="S666" s="109"/>
      <c r="T666" s="108"/>
      <c r="U666" s="110"/>
      <c r="V666" s="110"/>
      <c r="W666" s="110"/>
      <c r="X666" s="110"/>
    </row>
    <row r="667" spans="1:24" ht="13.5" customHeight="1">
      <c r="A667" s="110">
        <f>IF(E667="","",MATCH(E667,'Daily Sales'!B$4:B$51,0)+3)</f>
        <v>40</v>
      </c>
      <c r="B667" s="135">
        <v>46194</v>
      </c>
      <c r="C667" s="136" t="s">
        <v>111</v>
      </c>
      <c r="D667" s="137" t="str">
        <f t="array" ref="D667">IF($A667="","",INDEX('Daily Sales'!A:A,$A667))</f>
        <v>1-1217</v>
      </c>
      <c r="E667" s="138" t="s">
        <v>54</v>
      </c>
      <c r="F667" s="139" t="str">
        <f t="shared" si="11"/>
        <v>BCA CC</v>
      </c>
      <c r="G667" s="140"/>
      <c r="H667" s="138">
        <f t="array" ref="H667">IF($A667="","",
  IF(
    OR(
      $A667=23,
      AND($A667&gt;=32,$A667&lt;=50)
    ),
    IFERROR(
      INDEX('Daily Sales'!$C:$AG,
        $A667,
        MATCH(TEXT($B667,"0"),TEXT('Daily Sales'!$C$2:$AG$2,"0"),0)
      ),
    ""),
  "")
)</f>
        <v>1014565</v>
      </c>
      <c r="I667" s="138" t="str">
        <f t="array" ref="I667">IF($A667="","",
  IF(
    OR(
      AND($A667&gt;=4,$A667&lt;=8),
      AND($A667&gt;=12,$A667&lt;=19),
      AND($A667&gt;=28,$A667&lt;=29)
    ),
    IFERROR(
      INDEX('Daily Sales'!$C:$AG,
        $A667,
        MATCH(TEXT($B667,"0"),TEXT('Daily Sales'!$C$2:$AG$2,"0"),0)
      ),
    ""),
  "")
)</f>
        <v/>
      </c>
      <c r="J667" s="79" t="e">
        <f t="shared" si="6"/>
        <v>#VALUE!</v>
      </c>
      <c r="K667" s="141"/>
      <c r="L667" s="141"/>
      <c r="M667" s="141"/>
      <c r="N667" s="133"/>
      <c r="O667" s="4"/>
      <c r="P667" s="4"/>
      <c r="Q667" s="4"/>
      <c r="R667" s="109"/>
      <c r="S667" s="109"/>
      <c r="T667" s="108"/>
      <c r="U667" s="110"/>
      <c r="V667" s="110"/>
      <c r="W667" s="110"/>
      <c r="X667" s="110"/>
    </row>
    <row r="668" spans="1:24" ht="13.5" customHeight="1">
      <c r="A668" s="110">
        <f>IF(E668="","",MATCH(E668,'Daily Sales'!B$4:B$51,0)+3)</f>
        <v>41</v>
      </c>
      <c r="B668" s="135">
        <v>46194</v>
      </c>
      <c r="C668" s="136" t="s">
        <v>111</v>
      </c>
      <c r="D668" s="137" t="str">
        <f t="array" ref="D668">IF($A668="","",INDEX('Daily Sales'!A:A,$A668))</f>
        <v>1-1217</v>
      </c>
      <c r="E668" s="138" t="s">
        <v>55</v>
      </c>
      <c r="F668" s="139" t="str">
        <f t="shared" si="11"/>
        <v>BCA debt</v>
      </c>
      <c r="G668" s="140"/>
      <c r="H668" s="138">
        <f t="array" ref="H668">IF($A668="","",
  IF(
    OR(
      $A668=23,
      AND($A668&gt;=32,$A668&lt;=50)
    ),
    IFERROR(
      INDEX('Daily Sales'!$C:$AG,
        $A668,
        MATCH(TEXT($B668,"0"),TEXT('Daily Sales'!$C$2:$AG$2,"0"),0)
      ),
    ""),
  "")
)</f>
        <v>0</v>
      </c>
      <c r="I668" s="138" t="str">
        <f t="array" ref="I668">IF($A668="","",
  IF(
    OR(
      AND($A668&gt;=4,$A668&lt;=8),
      AND($A668&gt;=12,$A668&lt;=19),
      AND($A668&gt;=28,$A668&lt;=29)
    ),
    IFERROR(
      INDEX('Daily Sales'!$C:$AG,
        $A668,
        MATCH(TEXT($B668,"0"),TEXT('Daily Sales'!$C$2:$AG$2,"0"),0)
      ),
    ""),
  "")
)</f>
        <v/>
      </c>
      <c r="J668" s="79" t="e">
        <f t="shared" si="6"/>
        <v>#VALUE!</v>
      </c>
      <c r="K668" s="141"/>
      <c r="L668" s="141"/>
      <c r="M668" s="141"/>
      <c r="N668" s="133"/>
      <c r="O668" s="4"/>
      <c r="P668" s="4"/>
      <c r="Q668" s="4"/>
      <c r="R668" s="109"/>
      <c r="S668" s="109"/>
      <c r="T668" s="108"/>
      <c r="U668" s="110"/>
      <c r="V668" s="110"/>
      <c r="W668" s="110"/>
      <c r="X668" s="110"/>
    </row>
    <row r="669" spans="1:24" ht="13.5" customHeight="1">
      <c r="A669" s="110">
        <f>IF(E669="","",MATCH(E669,'Daily Sales'!B$4:B$51,0)+3)</f>
        <v>42</v>
      </c>
      <c r="B669" s="135">
        <v>46194</v>
      </c>
      <c r="C669" s="136" t="s">
        <v>111</v>
      </c>
      <c r="D669" s="137" t="str">
        <f t="array" ref="D669">IF($A669="","",INDEX('Daily Sales'!A:A,$A669))</f>
        <v>1-1217</v>
      </c>
      <c r="E669" s="138" t="s">
        <v>56</v>
      </c>
      <c r="F669" s="139" t="str">
        <f t="shared" si="11"/>
        <v>BCA QR</v>
      </c>
      <c r="G669" s="140"/>
      <c r="H669" s="138">
        <f t="array" ref="H669">IF($A669="","",
  IF(
    OR(
      $A669=23,
      AND($A669&gt;=32,$A669&lt;=50)
    ),
    IFERROR(
      INDEX('Daily Sales'!$C:$AG,
        $A669,
        MATCH(TEXT($B669,"0"),TEXT('Daily Sales'!$C$2:$AG$2,"0"),0)
      ),
    ""),
  "")
)</f>
        <v>306020</v>
      </c>
      <c r="I669" s="138" t="str">
        <f t="array" ref="I669">IF($A669="","",
  IF(
    OR(
      AND($A669&gt;=4,$A669&lt;=8),
      AND($A669&gt;=12,$A669&lt;=19),
      AND($A669&gt;=28,$A669&lt;=29)
    ),
    IFERROR(
      INDEX('Daily Sales'!$C:$AG,
        $A669,
        MATCH(TEXT($B669,"0"),TEXT('Daily Sales'!$C$2:$AG$2,"0"),0)
      ),
    ""),
  "")
)</f>
        <v/>
      </c>
      <c r="J669" s="79" t="e">
        <f t="shared" si="6"/>
        <v>#VALUE!</v>
      </c>
      <c r="K669" s="141"/>
      <c r="L669" s="141"/>
      <c r="M669" s="141"/>
      <c r="N669" s="133"/>
      <c r="O669" s="4"/>
      <c r="P669" s="4"/>
      <c r="Q669" s="4"/>
      <c r="R669" s="109"/>
      <c r="S669" s="109"/>
      <c r="T669" s="108"/>
      <c r="U669" s="110"/>
      <c r="V669" s="110"/>
      <c r="W669" s="110"/>
      <c r="X669" s="110"/>
    </row>
    <row r="670" spans="1:24" ht="13.5" customHeight="1">
      <c r="A670" s="110">
        <f>IF(E670="","",MATCH(E670,'Daily Sales'!B$4:B$51,0)+3)</f>
        <v>43</v>
      </c>
      <c r="B670" s="135">
        <v>46194</v>
      </c>
      <c r="C670" s="136" t="s">
        <v>111</v>
      </c>
      <c r="D670" s="137" t="str">
        <f t="array" ref="D670">IF($A670="","",INDEX('Daily Sales'!A:A,$A670))</f>
        <v>1-1214</v>
      </c>
      <c r="E670" s="138" t="s">
        <v>59</v>
      </c>
      <c r="F670" s="139" t="str">
        <f t="shared" si="11"/>
        <v>Bank BRI DEBET</v>
      </c>
      <c r="G670" s="140"/>
      <c r="H670" s="138">
        <f t="array" ref="H670">IF($A670="","",
  IF(
    OR(
      $A670=23,
      AND($A670&gt;=32,$A670&lt;=50)
    ),
    IFERROR(
      INDEX('Daily Sales'!$C:$AG,
        $A670,
        MATCH(TEXT($B670,"0"),TEXT('Daily Sales'!$C$2:$AG$2,"0"),0)
      ),
    ""),
  "")
)</f>
        <v>0</v>
      </c>
      <c r="I670" s="138" t="str">
        <f t="array" ref="I670">IF($A670="","",
  IF(
    OR(
      AND($A670&gt;=4,$A670&lt;=8),
      AND($A670&gt;=12,$A670&lt;=19),
      AND($A670&gt;=28,$A670&lt;=29)
    ),
    IFERROR(
      INDEX('Daily Sales'!$C:$AG,
        $A670,
        MATCH(TEXT($B670,"0"),TEXT('Daily Sales'!$C$2:$AG$2,"0"),0)
      ),
    ""),
  "")
)</f>
        <v/>
      </c>
      <c r="J670" s="79" t="e">
        <f t="shared" si="6"/>
        <v>#VALUE!</v>
      </c>
      <c r="K670" s="141"/>
      <c r="L670" s="141"/>
      <c r="M670" s="141"/>
      <c r="N670" s="133"/>
      <c r="O670" s="4"/>
      <c r="P670" s="4"/>
      <c r="Q670" s="4"/>
      <c r="R670" s="109"/>
      <c r="S670" s="109"/>
      <c r="T670" s="108"/>
      <c r="U670" s="110"/>
      <c r="V670" s="110"/>
      <c r="W670" s="110"/>
      <c r="X670" s="110"/>
    </row>
    <row r="671" spans="1:24" ht="13.5" customHeight="1">
      <c r="A671" s="110">
        <f>IF(E671="","",MATCH(E671,'Daily Sales'!B$4:B$51,0)+3)</f>
        <v>44</v>
      </c>
      <c r="B671" s="135">
        <v>46194</v>
      </c>
      <c r="C671" s="136" t="s">
        <v>111</v>
      </c>
      <c r="D671" s="137" t="str">
        <f t="array" ref="D671">IF($A671="","",INDEX('Daily Sales'!A:A,$A671))</f>
        <v>1-1214</v>
      </c>
      <c r="E671" s="138" t="s">
        <v>60</v>
      </c>
      <c r="F671" s="139" t="str">
        <f t="shared" si="11"/>
        <v>Bank BRI CC</v>
      </c>
      <c r="G671" s="140"/>
      <c r="H671" s="138">
        <f t="array" ref="H671">IF($A671="","",
  IF(
    OR(
      $A671=23,
      AND($A671&gt;=32,$A671&lt;=50)
    ),
    IFERROR(
      INDEX('Daily Sales'!$C:$AG,
        $A671,
        MATCH(TEXT($B671,"0"),TEXT('Daily Sales'!$C$2:$AG$2,"0"),0)
      ),
    ""),
  "")
)</f>
        <v>0</v>
      </c>
      <c r="I671" s="138" t="str">
        <f t="array" ref="I671">IF($A671="","",
  IF(
    OR(
      AND($A671&gt;=4,$A671&lt;=8),
      AND($A671&gt;=12,$A671&lt;=19),
      AND($A671&gt;=28,$A671&lt;=29)
    ),
    IFERROR(
      INDEX('Daily Sales'!$C:$AG,
        $A671,
        MATCH(TEXT($B671,"0"),TEXT('Daily Sales'!$C$2:$AG$2,"0"),0)
      ),
    ""),
  "")
)</f>
        <v/>
      </c>
      <c r="J671" s="79" t="e">
        <f t="shared" si="6"/>
        <v>#VALUE!</v>
      </c>
      <c r="K671" s="141"/>
      <c r="L671" s="141"/>
      <c r="M671" s="141"/>
      <c r="N671" s="133"/>
      <c r="O671" s="4"/>
      <c r="P671" s="4"/>
      <c r="Q671" s="4"/>
      <c r="R671" s="109"/>
      <c r="S671" s="109"/>
      <c r="T671" s="108"/>
      <c r="U671" s="110"/>
      <c r="V671" s="110"/>
      <c r="W671" s="110"/>
      <c r="X671" s="110"/>
    </row>
    <row r="672" spans="1:24" ht="13.5" customHeight="1">
      <c r="A672" s="110">
        <f>IF(E672="","",MATCH(E672,'Daily Sales'!B$4:B$51,0)+3)</f>
        <v>45</v>
      </c>
      <c r="B672" s="135">
        <v>46194</v>
      </c>
      <c r="C672" s="136" t="s">
        <v>111</v>
      </c>
      <c r="D672" s="137" t="str">
        <f t="array" ref="D672">IF($A672="","",INDEX('Daily Sales'!A:A,$A672))</f>
        <v>1-1214</v>
      </c>
      <c r="E672" s="138" t="s">
        <v>61</v>
      </c>
      <c r="F672" s="139" t="str">
        <f t="shared" si="11"/>
        <v>Bank BRI QR</v>
      </c>
      <c r="G672" s="140"/>
      <c r="H672" s="138">
        <f t="array" ref="H672">IF($A672="","",
  IF(
    OR(
      $A672=23,
      AND($A672&gt;=32,$A672&lt;=50)
    ),
    IFERROR(
      INDEX('Daily Sales'!$C:$AG,
        $A672,
        MATCH(TEXT($B672,"0"),TEXT('Daily Sales'!$C$2:$AG$2,"0"),0)
      ),
    ""),
  "")
)</f>
        <v>0</v>
      </c>
      <c r="I672" s="138" t="str">
        <f t="array" ref="I672">IF($A672="","",
  IF(
    OR(
      AND($A672&gt;=4,$A672&lt;=8),
      AND($A672&gt;=12,$A672&lt;=19),
      AND($A672&gt;=28,$A672&lt;=29)
    ),
    IFERROR(
      INDEX('Daily Sales'!$C:$AG,
        $A672,
        MATCH(TEXT($B672,"0"),TEXT('Daily Sales'!$C$2:$AG$2,"0"),0)
      ),
    ""),
  "")
)</f>
        <v/>
      </c>
      <c r="J672" s="79" t="e">
        <f t="shared" si="6"/>
        <v>#VALUE!</v>
      </c>
      <c r="K672" s="141"/>
      <c r="L672" s="141"/>
      <c r="M672" s="141"/>
      <c r="N672" s="133"/>
      <c r="O672" s="4"/>
      <c r="P672" s="4"/>
      <c r="Q672" s="4"/>
      <c r="R672" s="109"/>
      <c r="S672" s="109"/>
      <c r="T672" s="108"/>
      <c r="U672" s="110"/>
      <c r="V672" s="110"/>
      <c r="W672" s="110"/>
      <c r="X672" s="110"/>
    </row>
    <row r="673" spans="1:24" ht="13.5" customHeight="1">
      <c r="A673" s="110">
        <f>IF(E673="","",MATCH(E673,'Daily Sales'!B$4:B$51,0)+3)</f>
        <v>46</v>
      </c>
      <c r="B673" s="135">
        <v>46194</v>
      </c>
      <c r="C673" s="136" t="s">
        <v>111</v>
      </c>
      <c r="D673" s="137" t="str">
        <f t="array" ref="D673">IF($A673="","",INDEX('Daily Sales'!A:A,$A673))</f>
        <v>1-1202</v>
      </c>
      <c r="E673" s="138" t="s">
        <v>64</v>
      </c>
      <c r="F673" s="139" t="str">
        <f t="shared" si="11"/>
        <v>Ledger</v>
      </c>
      <c r="G673" s="140"/>
      <c r="H673" s="138">
        <f t="array" ref="H673">IF($A673="","",
  IF(
    OR(
      $A673=23,
      AND($A673&gt;=32,$A673&lt;=50)
    ),
    IFERROR(
      INDEX('Daily Sales'!$C:$AG,
        $A673,
        MATCH(TEXT($B673,"0"),TEXT('Daily Sales'!$C$2:$AG$2,"0"),0)
      ),
    ""),
  "")
)</f>
        <v>273654</v>
      </c>
      <c r="I673" s="138" t="str">
        <f t="array" ref="I673">IF($A673="","",
  IF(
    OR(
      AND($A673&gt;=4,$A673&lt;=8),
      AND($A673&gt;=12,$A673&lt;=19),
      AND($A673&gt;=28,$A673&lt;=29)
    ),
    IFERROR(
      INDEX('Daily Sales'!$C:$AG,
        $A673,
        MATCH(TEXT($B673,"0"),TEXT('Daily Sales'!$C$2:$AG$2,"0"),0)
      ),
    ""),
  "")
)</f>
        <v/>
      </c>
      <c r="J673" s="79" t="e">
        <f t="shared" si="6"/>
        <v>#VALUE!</v>
      </c>
      <c r="K673" s="141"/>
      <c r="L673" s="141"/>
      <c r="M673" s="141"/>
      <c r="N673" s="133"/>
      <c r="O673" s="4"/>
      <c r="P673" s="4"/>
      <c r="Q673" s="4"/>
      <c r="R673" s="109"/>
      <c r="S673" s="109"/>
      <c r="T673" s="108"/>
      <c r="U673" s="110"/>
      <c r="V673" s="110"/>
      <c r="W673" s="110"/>
      <c r="X673" s="110"/>
    </row>
    <row r="674" spans="1:24" ht="13.5" customHeight="1">
      <c r="A674" s="110">
        <f>IF(E674="","",MATCH(E674,'Daily Sales'!B$4:B$51,0)+3)</f>
        <v>47</v>
      </c>
      <c r="B674" s="135">
        <v>46194</v>
      </c>
      <c r="C674" s="136" t="s">
        <v>111</v>
      </c>
      <c r="D674" s="137" t="str">
        <f t="array" ref="D674">IF($A674="","",INDEX('Daily Sales'!A:A,$A674))</f>
        <v>1-1129</v>
      </c>
      <c r="E674" s="138" t="s">
        <v>66</v>
      </c>
      <c r="F674" s="139" t="str">
        <f t="shared" si="11"/>
        <v>Star Points</v>
      </c>
      <c r="G674" s="140"/>
      <c r="H674" s="138">
        <f t="array" ref="H674">IF($A674="","",
  IF(
    OR(
      $A674=23,
      AND($A674&gt;=32,$A674&lt;=50)
    ),
    IFERROR(
      INDEX('Daily Sales'!$C:$AG,
        $A674,
        MATCH(TEXT($B674,"0"),TEXT('Daily Sales'!$C$2:$AG$2,"0"),0)
      ),
    ""),
  "")
)</f>
        <v>0</v>
      </c>
      <c r="I674" s="138" t="str">
        <f t="array" ref="I674">IF($A674="","",
  IF(
    OR(
      AND($A674&gt;=4,$A674&lt;=8),
      AND($A674&gt;=12,$A674&lt;=19),
      AND($A674&gt;=28,$A674&lt;=29)
    ),
    IFERROR(
      INDEX('Daily Sales'!$C:$AG,
        $A674,
        MATCH(TEXT($B674,"0"),TEXT('Daily Sales'!$C$2:$AG$2,"0"),0)
      ),
    ""),
  "")
)</f>
        <v/>
      </c>
      <c r="J674" s="79" t="e">
        <f t="shared" si="6"/>
        <v>#VALUE!</v>
      </c>
      <c r="K674" s="141"/>
      <c r="L674" s="141"/>
      <c r="M674" s="141"/>
      <c r="N674" s="133"/>
      <c r="O674" s="4"/>
      <c r="P674" s="4"/>
      <c r="Q674" s="4"/>
      <c r="R674" s="109"/>
      <c r="S674" s="109"/>
      <c r="T674" s="108"/>
      <c r="U674" s="110"/>
      <c r="V674" s="110"/>
      <c r="W674" s="110"/>
      <c r="X674" s="110"/>
    </row>
    <row r="675" spans="1:24" ht="13.5" customHeight="1">
      <c r="A675" s="110">
        <f>IF(E675="","",MATCH(E675,'Daily Sales'!B$4:B$51,0)+3)</f>
        <v>48</v>
      </c>
      <c r="B675" s="135">
        <v>46194</v>
      </c>
      <c r="C675" s="136" t="s">
        <v>111</v>
      </c>
      <c r="D675" s="137" t="str">
        <f t="array" ref="D675">IF($A675="","",INDEX('Daily Sales'!A:A,$A675))</f>
        <v>1-1215</v>
      </c>
      <c r="E675" s="138" t="s">
        <v>68</v>
      </c>
      <c r="F675" s="139" t="str">
        <f t="shared" si="11"/>
        <v>Ovo</v>
      </c>
      <c r="G675" s="140"/>
      <c r="H675" s="138">
        <f t="array" ref="H675">IF($A675="","",
  IF(
    OR(
      $A675=23,
      AND($A675&gt;=32,$A675&lt;=50)
    ),
    IFERROR(
      INDEX('Daily Sales'!$C:$AG,
        $A675,
        MATCH(TEXT($B675,"0"),TEXT('Daily Sales'!$C$2:$AG$2,"0"),0)
      ),
    ""),
  "")
)</f>
        <v>264000</v>
      </c>
      <c r="I675" s="138" t="str">
        <f t="array" ref="I675">IF($A675="","",
  IF(
    OR(
      AND($A675&gt;=4,$A675&lt;=8),
      AND($A675&gt;=12,$A675&lt;=19),
      AND($A675&gt;=28,$A675&lt;=29)
    ),
    IFERROR(
      INDEX('Daily Sales'!$C:$AG,
        $A675,
        MATCH(TEXT($B675,"0"),TEXT('Daily Sales'!$C$2:$AG$2,"0"),0)
      ),
    ""),
  "")
)</f>
        <v/>
      </c>
      <c r="J675" s="79" t="e">
        <f t="shared" si="6"/>
        <v>#VALUE!</v>
      </c>
      <c r="K675" s="141"/>
      <c r="L675" s="141"/>
      <c r="M675" s="141"/>
      <c r="N675" s="133"/>
      <c r="O675" s="4"/>
      <c r="P675" s="4"/>
      <c r="Q675" s="4"/>
      <c r="R675" s="109"/>
      <c r="S675" s="109"/>
      <c r="T675" s="108"/>
      <c r="U675" s="110"/>
      <c r="V675" s="110"/>
      <c r="W675" s="110"/>
      <c r="X675" s="110"/>
    </row>
    <row r="676" spans="1:24" ht="13.5" customHeight="1">
      <c r="A676" s="110">
        <f>IF(E676="","",MATCH(E676,'Daily Sales'!B$4:B$51,0)+3)</f>
        <v>49</v>
      </c>
      <c r="B676" s="135">
        <v>46194</v>
      </c>
      <c r="C676" s="136" t="s">
        <v>111</v>
      </c>
      <c r="D676" s="137" t="str">
        <f t="array" ref="D676">IF($A676="","",INDEX('Daily Sales'!A:A,$A676))</f>
        <v>1-1211</v>
      </c>
      <c r="E676" s="138" t="s">
        <v>70</v>
      </c>
      <c r="F676" s="139" t="str">
        <f t="shared" si="11"/>
        <v>Gopay</v>
      </c>
      <c r="G676" s="140"/>
      <c r="H676" s="138">
        <f t="array" ref="H676">IF($A676="","",
  IF(
    OR(
      $A676=23,
      AND($A676&gt;=32,$A676&lt;=50)
    ),
    IFERROR(
      INDEX('Daily Sales'!$C:$AG,
        $A676,
        MATCH(TEXT($B676,"0"),TEXT('Daily Sales'!$C$2:$AG$2,"0"),0)
      ),
    ""),
  "")
)</f>
        <v>0</v>
      </c>
      <c r="I676" s="138" t="str">
        <f t="array" ref="I676">IF($A676="","",
  IF(
    OR(
      AND($A676&gt;=4,$A676&lt;=8),
      AND($A676&gt;=12,$A676&lt;=19),
      AND($A676&gt;=28,$A676&lt;=29)
    ),
    IFERROR(
      INDEX('Daily Sales'!$C:$AG,
        $A676,
        MATCH(TEXT($B676,"0"),TEXT('Daily Sales'!$C$2:$AG$2,"0"),0)
      ),
    ""),
  "")
)</f>
        <v/>
      </c>
      <c r="J676" s="79" t="e">
        <f t="shared" si="6"/>
        <v>#VALUE!</v>
      </c>
      <c r="K676" s="141"/>
      <c r="L676" s="141"/>
      <c r="M676" s="141"/>
      <c r="N676" s="133"/>
      <c r="O676" s="4"/>
      <c r="P676" s="4"/>
      <c r="Q676" s="4"/>
      <c r="R676" s="109"/>
      <c r="S676" s="109"/>
      <c r="T676" s="108"/>
      <c r="U676" s="110"/>
      <c r="V676" s="110"/>
      <c r="W676" s="110"/>
      <c r="X676" s="110"/>
    </row>
    <row r="677" spans="1:24" ht="13.5" customHeight="1">
      <c r="A677" s="110">
        <f>IF(E677="","",MATCH(E677,'Daily Sales'!B$4:B$51,0)+3)</f>
        <v>50</v>
      </c>
      <c r="B677" s="135">
        <v>46194</v>
      </c>
      <c r="C677" s="136" t="s">
        <v>111</v>
      </c>
      <c r="D677" s="137" t="str">
        <f t="array" ref="D677">IF($A677="","",INDEX('Daily Sales'!A:A,$A677))</f>
        <v>2-2110</v>
      </c>
      <c r="E677" s="138" t="s">
        <v>72</v>
      </c>
      <c r="F677" s="139" t="str">
        <f t="shared" si="11"/>
        <v>Cash Short/Over</v>
      </c>
      <c r="G677" s="140"/>
      <c r="H677" s="138">
        <f t="array" ref="H677">IF($A677="","",
  IF(
    OR(
      $A677=23,
      AND($A677&gt;=32,$A677&lt;=50)
    ),
    IFERROR(
      INDEX('Daily Sales'!$C:$AG,
        $A677,
        MATCH(TEXT($B677,"0"),TEXT('Daily Sales'!$C$2:$AG$2,"0"),0)
      ),
    ""),
  "")
)</f>
        <v>26740.19</v>
      </c>
      <c r="I677" s="138" t="str">
        <f t="array" ref="I677">IF($A677="","",
  IF(
    OR(
      AND($A677&gt;=4,$A677&lt;=8),
      AND($A677&gt;=12,$A677&lt;=19),
      AND($A677&gt;=28,$A677&lt;=29)
    ),
    IFERROR(
      INDEX('Daily Sales'!$C:$AG,
        $A677,
        MATCH(TEXT($B677,"0"),TEXT('Daily Sales'!$C$2:$AG$2,"0"),0)
      ),
    ""),
  "")
)</f>
        <v/>
      </c>
      <c r="J677" s="79" t="e">
        <f t="shared" si="6"/>
        <v>#VALUE!</v>
      </c>
      <c r="K677" s="141"/>
      <c r="L677" s="141"/>
      <c r="M677" s="141"/>
      <c r="N677" s="133"/>
      <c r="O677" s="4"/>
      <c r="P677" s="4"/>
      <c r="Q677" s="4"/>
      <c r="R677" s="109"/>
      <c r="S677" s="109"/>
      <c r="T677" s="108"/>
      <c r="U677" s="110"/>
      <c r="V677" s="110"/>
      <c r="W677" s="110"/>
      <c r="X677" s="110"/>
    </row>
    <row r="678" spans="1:24" ht="14.25" customHeight="1">
      <c r="A678" s="110"/>
      <c r="B678" s="125"/>
      <c r="C678" s="126"/>
      <c r="D678" s="143"/>
      <c r="E678" s="10" t="e">
        <f>TRIM(VLOOKUP(D678,TB!$B$9:$C$1500,2,FALSE))</f>
        <v>#N/A</v>
      </c>
      <c r="F678" s="142"/>
      <c r="G678" s="130"/>
      <c r="H678" s="10"/>
      <c r="I678" s="10"/>
      <c r="J678" s="79" t="e">
        <f t="shared" si="6"/>
        <v>#VALUE!</v>
      </c>
      <c r="K678" s="141"/>
      <c r="L678" s="141"/>
      <c r="M678" s="141"/>
      <c r="N678" s="133"/>
      <c r="O678" s="4"/>
      <c r="P678" s="4"/>
      <c r="Q678" s="4"/>
      <c r="R678" s="134"/>
      <c r="S678" s="109"/>
      <c r="T678" s="108"/>
      <c r="U678" s="110"/>
      <c r="V678" s="110"/>
      <c r="W678" s="110"/>
      <c r="X678" s="110"/>
    </row>
    <row r="679" spans="1:24" ht="13.5" customHeight="1">
      <c r="A679" s="110">
        <f>IF(E679="","",MATCH(E679,'Daily Sales'!B$4:B$51,0)+3)</f>
        <v>4</v>
      </c>
      <c r="B679" s="135">
        <v>46195</v>
      </c>
      <c r="C679" s="136" t="s">
        <v>112</v>
      </c>
      <c r="D679" s="137" t="str">
        <f t="array" ref="D679">IF($A679="","",INDEX('Daily Sales'!A:A,$A679))</f>
        <v>4-2100</v>
      </c>
      <c r="E679" s="138" t="s">
        <v>5</v>
      </c>
      <c r="F679" s="139" t="str">
        <f t="shared" ref="F679:F709" si="12">E679</f>
        <v>Sales Food TERRACE</v>
      </c>
      <c r="G679" s="140"/>
      <c r="H679" s="138" t="str">
        <f t="array" ref="H679">IF($A679="","",
  IF(
    OR(
      $A679=23,
      AND($A679&gt;=32,$A679&lt;=50)
    ),
    IFERROR(
      INDEX('Daily Sales'!$C:$AG,
        $A679,
        MATCH(TEXT($B679,"0"),TEXT('Daily Sales'!$C$2:$AG$2,"0"),0)
      ),
    ""),
  "")
)</f>
        <v/>
      </c>
      <c r="I679" s="138">
        <f t="array" ref="I679">IF($A679="","",
  IF(
    OR(
      AND($A679&gt;=4,$A679&lt;=8),
      AND($A679&gt;=12,$A679&lt;=19),
      AND($A679&gt;=28,$A679&lt;=29)
    ),
    IFERROR(
      INDEX('Daily Sales'!$C:$AG,
        $A679,
        MATCH(TEXT($B679,"0"),TEXT('Daily Sales'!$C$2:$AG$2,"0"),0)
      ),
    ""),
  "")
)</f>
        <v>4850000</v>
      </c>
      <c r="J679" s="79" t="e">
        <f t="shared" si="6"/>
        <v>#VALUE!</v>
      </c>
      <c r="K679" s="141"/>
      <c r="L679" s="141"/>
      <c r="M679" s="141"/>
      <c r="N679" s="133"/>
      <c r="O679" s="4"/>
      <c r="P679" s="4"/>
      <c r="Q679" s="4"/>
      <c r="R679" s="109"/>
      <c r="S679" s="109"/>
      <c r="T679" s="108"/>
      <c r="U679" s="110"/>
      <c r="V679" s="110"/>
      <c r="W679" s="110"/>
      <c r="X679" s="110"/>
    </row>
    <row r="680" spans="1:24" ht="13.5" customHeight="1">
      <c r="A680" s="110">
        <f>IF(E680="","",MATCH(E680,'Daily Sales'!B$4:B$51,0)+3)</f>
        <v>5</v>
      </c>
      <c r="B680" s="135">
        <v>46195</v>
      </c>
      <c r="C680" s="136" t="s">
        <v>112</v>
      </c>
      <c r="D680" s="137" t="str">
        <f t="array" ref="D680">IF($A680="","",INDEX('Daily Sales'!A:A,$A680))</f>
        <v>4-2200</v>
      </c>
      <c r="E680" s="138" t="s">
        <v>7</v>
      </c>
      <c r="F680" s="139" t="str">
        <f t="shared" si="12"/>
        <v>Sales Beverages TERRACE</v>
      </c>
      <c r="G680" s="140"/>
      <c r="H680" s="138" t="str">
        <f t="array" ref="H680">IF($A680="","",
  IF(
    OR(
      $A680=23,
      AND($A680&gt;=32,$A680&lt;=50)
    ),
    IFERROR(
      INDEX('Daily Sales'!$C:$AG,
        $A680,
        MATCH(TEXT($B680,"0"),TEXT('Daily Sales'!$C$2:$AG$2,"0"),0)
      ),
    ""),
  "")
)</f>
        <v/>
      </c>
      <c r="I680" s="138">
        <f t="array" ref="I680">IF($A680="","",
  IF(
    OR(
      AND($A680&gt;=4,$A680&lt;=8),
      AND($A680&gt;=12,$A680&lt;=19),
      AND($A680&gt;=28,$A680&lt;=29)
    ),
    IFERROR(
      INDEX('Daily Sales'!$C:$AG,
        $A680,
        MATCH(TEXT($B680,"0"),TEXT('Daily Sales'!$C$2:$AG$2,"0"),0)
      ),
    ""),
  "")
)</f>
        <v>7930000</v>
      </c>
      <c r="J680" s="79" t="e">
        <f t="shared" si="6"/>
        <v>#VALUE!</v>
      </c>
      <c r="K680" s="141"/>
      <c r="L680" s="141"/>
      <c r="M680" s="141"/>
      <c r="N680" s="133"/>
      <c r="O680" s="4"/>
      <c r="P680" s="4"/>
      <c r="Q680" s="4"/>
      <c r="R680" s="109"/>
      <c r="S680" s="109"/>
      <c r="T680" s="108"/>
      <c r="U680" s="110"/>
      <c r="V680" s="110"/>
      <c r="W680" s="110"/>
      <c r="X680" s="110"/>
    </row>
    <row r="681" spans="1:24" ht="13.5" customHeight="1">
      <c r="A681" s="110">
        <f>IF(E681="","",MATCH(E681,'Daily Sales'!B$4:B$51,0)+3)</f>
        <v>6</v>
      </c>
      <c r="B681" s="135">
        <v>46195</v>
      </c>
      <c r="C681" s="136" t="s">
        <v>112</v>
      </c>
      <c r="D681" s="137" t="str">
        <f t="array" ref="D681">IF($A681="","",INDEX('Daily Sales'!A:A,$A681))</f>
        <v>4-2400</v>
      </c>
      <c r="E681" s="138" t="s">
        <v>9</v>
      </c>
      <c r="F681" s="139" t="str">
        <f t="shared" si="12"/>
        <v>Sales Cigarette TERRACE</v>
      </c>
      <c r="G681" s="140"/>
      <c r="H681" s="138" t="str">
        <f t="array" ref="H681">IF($A681="","",
  IF(
    OR(
      $A681=23,
      AND($A681&gt;=32,$A681&lt;=50)
    ),
    IFERROR(
      INDEX('Daily Sales'!$C:$AG,
        $A681,
        MATCH(TEXT($B681,"0"),TEXT('Daily Sales'!$C$2:$AG$2,"0"),0)
      ),
    ""),
  "")
)</f>
        <v/>
      </c>
      <c r="I681" s="138">
        <f t="array" ref="I681">IF($A681="","",
  IF(
    OR(
      AND($A681&gt;=4,$A681&lt;=8),
      AND($A681&gt;=12,$A681&lt;=19),
      AND($A681&gt;=28,$A681&lt;=29)
    ),
    IFERROR(
      INDEX('Daily Sales'!$C:$AG,
        $A681,
        MATCH(TEXT($B681,"0"),TEXT('Daily Sales'!$C$2:$AG$2,"0"),0)
      ),
    ""),
  "")
)</f>
        <v>140000</v>
      </c>
      <c r="J681" s="79" t="e">
        <f t="shared" si="6"/>
        <v>#VALUE!</v>
      </c>
      <c r="K681" s="141"/>
      <c r="L681" s="141"/>
      <c r="M681" s="141"/>
      <c r="N681" s="133"/>
      <c r="O681" s="4"/>
      <c r="P681" s="4"/>
      <c r="Q681" s="4"/>
      <c r="R681" s="109"/>
      <c r="S681" s="109"/>
      <c r="T681" s="108"/>
      <c r="U681" s="110"/>
      <c r="V681" s="110"/>
      <c r="W681" s="110"/>
      <c r="X681" s="110"/>
    </row>
    <row r="682" spans="1:24" ht="13.5" customHeight="1">
      <c r="A682" s="110">
        <f>IF(E682="","",MATCH(E682,'Daily Sales'!B$4:B$51,0)+3)</f>
        <v>7</v>
      </c>
      <c r="B682" s="135">
        <v>46195</v>
      </c>
      <c r="C682" s="136" t="s">
        <v>112</v>
      </c>
      <c r="D682" s="137" t="str">
        <f t="array" ref="D682">IF($A682="","",INDEX('Daily Sales'!A:A,$A682))</f>
        <v>4-2300</v>
      </c>
      <c r="E682" s="138" t="s">
        <v>11</v>
      </c>
      <c r="F682" s="139" t="str">
        <f t="shared" si="12"/>
        <v>Sales Shisa TERRACE</v>
      </c>
      <c r="G682" s="140"/>
      <c r="H682" s="138" t="str">
        <f t="array" ref="H682">IF($A682="","",
  IF(
    OR(
      $A682=23,
      AND($A682&gt;=32,$A682&lt;=50)
    ),
    IFERROR(
      INDEX('Daily Sales'!$C:$AG,
        $A682,
        MATCH(TEXT($B682,"0"),TEXT('Daily Sales'!$C$2:$AG$2,"0"),0)
      ),
    ""),
  "")
)</f>
        <v/>
      </c>
      <c r="I682" s="138">
        <f t="array" ref="I682">IF($A682="","",
  IF(
    OR(
      AND($A682&gt;=4,$A682&lt;=8),
      AND($A682&gt;=12,$A682&lt;=19),
      AND($A682&gt;=28,$A682&lt;=29)
    ),
    IFERROR(
      INDEX('Daily Sales'!$C:$AG,
        $A682,
        MATCH(TEXT($B682,"0"),TEXT('Daily Sales'!$C$2:$AG$2,"0"),0)
      ),
    ""),
  "")
)</f>
        <v>0</v>
      </c>
      <c r="J682" s="79" t="e">
        <f t="shared" si="6"/>
        <v>#VALUE!</v>
      </c>
      <c r="K682" s="141"/>
      <c r="L682" s="141"/>
      <c r="M682" s="141"/>
      <c r="N682" s="133"/>
      <c r="O682" s="4"/>
      <c r="P682" s="4"/>
      <c r="Q682" s="4"/>
      <c r="R682" s="109"/>
      <c r="S682" s="109"/>
      <c r="T682" s="108"/>
      <c r="U682" s="110"/>
      <c r="V682" s="110"/>
      <c r="W682" s="110"/>
      <c r="X682" s="110"/>
    </row>
    <row r="683" spans="1:24" ht="13.5" customHeight="1">
      <c r="A683" s="110">
        <f>IF(E683="","",MATCH(E683,'Daily Sales'!B$4:B$51,0)+3)</f>
        <v>12</v>
      </c>
      <c r="B683" s="135">
        <v>46195</v>
      </c>
      <c r="C683" s="136" t="s">
        <v>112</v>
      </c>
      <c r="D683" s="137" t="str">
        <f t="array" ref="D683">IF($A683="","",INDEX('Daily Sales'!A:A,$A683))</f>
        <v>4-2200</v>
      </c>
      <c r="E683" s="138" t="s">
        <v>17</v>
      </c>
      <c r="F683" s="139" t="str">
        <f t="shared" si="12"/>
        <v>Sales Beverages CLUB</v>
      </c>
      <c r="G683" s="140"/>
      <c r="H683" s="138" t="str">
        <f t="array" ref="H683">IF($A683="","",
  IF(
    OR(
      $A683=23,
      AND($A683&gt;=32,$A683&lt;=50)
    ),
    IFERROR(
      INDEX('Daily Sales'!$C:$AG,
        $A683,
        MATCH(TEXT($B683,"0"),TEXT('Daily Sales'!$C$2:$AG$2,"0"),0)
      ),
    ""),
  "")
)</f>
        <v/>
      </c>
      <c r="I683" s="138">
        <f t="array" ref="I683">IF($A683="","",
  IF(
    OR(
      AND($A683&gt;=4,$A683&lt;=8),
      AND($A683&gt;=12,$A683&lt;=19),
      AND($A683&gt;=28,$A683&lt;=29)
    ),
    IFERROR(
      INDEX('Daily Sales'!$C:$AG,
        $A683,
        MATCH(TEXT($B683,"0"),TEXT('Daily Sales'!$C$2:$AG$2,"0"),0)
      ),
    ""),
  "")
)</f>
        <v>12545000</v>
      </c>
      <c r="J683" s="79" t="e">
        <f t="shared" si="6"/>
        <v>#VALUE!</v>
      </c>
      <c r="K683" s="141"/>
      <c r="L683" s="141"/>
      <c r="M683" s="141"/>
      <c r="N683" s="133"/>
      <c r="O683" s="4"/>
      <c r="P683" s="4"/>
      <c r="Q683" s="4"/>
      <c r="R683" s="109"/>
      <c r="S683" s="109"/>
      <c r="T683" s="108"/>
      <c r="U683" s="110"/>
      <c r="V683" s="110"/>
      <c r="W683" s="110"/>
      <c r="X683" s="110"/>
    </row>
    <row r="684" spans="1:24" ht="13.5" customHeight="1">
      <c r="A684" s="110">
        <f>IF(E684="","",MATCH(E684,'Daily Sales'!B$4:B$51,0)+3)</f>
        <v>13</v>
      </c>
      <c r="B684" s="135">
        <v>46195</v>
      </c>
      <c r="C684" s="136" t="s">
        <v>112</v>
      </c>
      <c r="D684" s="137" t="str">
        <f t="array" ref="D684">IF($A684="","",INDEX('Daily Sales'!A:A,$A684))</f>
        <v>4-2400</v>
      </c>
      <c r="E684" s="138" t="s">
        <v>18</v>
      </c>
      <c r="F684" s="139" t="str">
        <f t="shared" si="12"/>
        <v>Sales Cigarette CLUB</v>
      </c>
      <c r="G684" s="140"/>
      <c r="H684" s="138" t="str">
        <f t="array" ref="H684">IF($A684="","",
  IF(
    OR(
      $A684=23,
      AND($A684&gt;=32,$A684&lt;=50)
    ),
    IFERROR(
      INDEX('Daily Sales'!$C:$AG,
        $A684,
        MATCH(TEXT($B684,"0"),TEXT('Daily Sales'!$C$2:$AG$2,"0"),0)
      ),
    ""),
  "")
)</f>
        <v/>
      </c>
      <c r="I684" s="138">
        <f t="array" ref="I684">IF($A684="","",
  IF(
    OR(
      AND($A684&gt;=4,$A684&lt;=8),
      AND($A684&gt;=12,$A684&lt;=19),
      AND($A684&gt;=28,$A684&lt;=29)
    ),
    IFERROR(
      INDEX('Daily Sales'!$C:$AG,
        $A684,
        MATCH(TEXT($B684,"0"),TEXT('Daily Sales'!$C$2:$AG$2,"0"),0)
      ),
    ""),
  "")
)</f>
        <v>0</v>
      </c>
      <c r="J684" s="79" t="e">
        <f t="shared" si="6"/>
        <v>#VALUE!</v>
      </c>
      <c r="K684" s="141"/>
      <c r="L684" s="141"/>
      <c r="M684" s="141"/>
      <c r="N684" s="133"/>
      <c r="O684" s="4"/>
      <c r="P684" s="4"/>
      <c r="Q684" s="4"/>
      <c r="R684" s="109"/>
      <c r="S684" s="109"/>
      <c r="T684" s="108"/>
      <c r="U684" s="110"/>
      <c r="V684" s="110"/>
      <c r="W684" s="110"/>
      <c r="X684" s="110"/>
    </row>
    <row r="685" spans="1:24" ht="13.5" customHeight="1">
      <c r="A685" s="110">
        <f>IF(E685="","",MATCH(E685,'Daily Sales'!B$4:B$51,0)+3)</f>
        <v>14</v>
      </c>
      <c r="B685" s="135">
        <v>46195</v>
      </c>
      <c r="C685" s="136" t="s">
        <v>112</v>
      </c>
      <c r="D685" s="137" t="str">
        <f t="array" ref="D685">IF($A685="","",INDEX('Daily Sales'!A:A,$A685))</f>
        <v>4-2100</v>
      </c>
      <c r="E685" s="138" t="s">
        <v>19</v>
      </c>
      <c r="F685" s="139" t="str">
        <f t="shared" si="12"/>
        <v>Sales Food CLUB</v>
      </c>
      <c r="G685" s="140"/>
      <c r="H685" s="138" t="str">
        <f t="array" ref="H685">IF($A685="","",
  IF(
    OR(
      $A685=23,
      AND($A685&gt;=32,$A685&lt;=50)
    ),
    IFERROR(
      INDEX('Daily Sales'!$C:$AG,
        $A685,
        MATCH(TEXT($B685,"0"),TEXT('Daily Sales'!$C$2:$AG$2,"0"),0)
      ),
    ""),
  "")
)</f>
        <v/>
      </c>
      <c r="I685" s="138">
        <f t="array" ref="I685">IF($A685="","",
  IF(
    OR(
      AND($A685&gt;=4,$A685&lt;=8),
      AND($A685&gt;=12,$A685&lt;=19),
      AND($A685&gt;=28,$A685&lt;=29)
    ),
    IFERROR(
      INDEX('Daily Sales'!$C:$AG,
        $A685,
        MATCH(TEXT($B685,"0"),TEXT('Daily Sales'!$C$2:$AG$2,"0"),0)
      ),
    ""),
  "")
)</f>
        <v>250000</v>
      </c>
      <c r="J685" s="79" t="e">
        <f t="shared" si="6"/>
        <v>#VALUE!</v>
      </c>
      <c r="K685" s="141"/>
      <c r="L685" s="141"/>
      <c r="M685" s="141"/>
      <c r="N685" s="133"/>
      <c r="O685" s="4"/>
      <c r="P685" s="4"/>
      <c r="Q685" s="4"/>
      <c r="R685" s="109"/>
      <c r="S685" s="109"/>
      <c r="T685" s="108"/>
      <c r="U685" s="110"/>
      <c r="V685" s="110"/>
      <c r="W685" s="110"/>
      <c r="X685" s="110"/>
    </row>
    <row r="686" spans="1:24" ht="13.5" customHeight="1">
      <c r="A686" s="110">
        <f>IF(E686="","",MATCH(E686,'Daily Sales'!B$4:B$51,0)+3)</f>
        <v>15</v>
      </c>
      <c r="B686" s="135">
        <v>46195</v>
      </c>
      <c r="C686" s="136" t="s">
        <v>112</v>
      </c>
      <c r="D686" s="137" t="str">
        <f t="array" ref="D686">IF($A686="","",INDEX('Daily Sales'!A:A,$A686))</f>
        <v>4-2300</v>
      </c>
      <c r="E686" s="138" t="s">
        <v>20</v>
      </c>
      <c r="F686" s="139" t="str">
        <f t="shared" si="12"/>
        <v>Sales Shisa CLUB</v>
      </c>
      <c r="G686" s="140"/>
      <c r="H686" s="138" t="str">
        <f t="array" ref="H686">IF($A686="","",
  IF(
    OR(
      $A686=23,
      AND($A686&gt;=32,$A686&lt;=50)
    ),
    IFERROR(
      INDEX('Daily Sales'!$C:$AG,
        $A686,
        MATCH(TEXT($B686,"0"),TEXT('Daily Sales'!$C$2:$AG$2,"0"),0)
      ),
    ""),
  "")
)</f>
        <v/>
      </c>
      <c r="I686" s="138">
        <f t="array" ref="I686">IF($A686="","",
  IF(
    OR(
      AND($A686&gt;=4,$A686&lt;=8),
      AND($A686&gt;=12,$A686&lt;=19),
      AND($A686&gt;=28,$A686&lt;=29)
    ),
    IFERROR(
      INDEX('Daily Sales'!$C:$AG,
        $A686,
        MATCH(TEXT($B686,"0"),TEXT('Daily Sales'!$C$2:$AG$2,"0"),0)
      ),
    ""),
  "")
)</f>
        <v>0</v>
      </c>
      <c r="J686" s="79" t="e">
        <f t="shared" si="6"/>
        <v>#VALUE!</v>
      </c>
      <c r="K686" s="141"/>
      <c r="L686" s="141"/>
      <c r="M686" s="141"/>
      <c r="N686" s="133"/>
      <c r="O686" s="4"/>
      <c r="P686" s="4"/>
      <c r="Q686" s="4"/>
      <c r="R686" s="109"/>
      <c r="S686" s="109"/>
      <c r="T686" s="108"/>
      <c r="U686" s="110"/>
      <c r="V686" s="110"/>
      <c r="W686" s="110"/>
      <c r="X686" s="110"/>
    </row>
    <row r="687" spans="1:24" ht="13.5" customHeight="1">
      <c r="A687" s="110">
        <f>IF(E687="","",MATCH(E687,'Daily Sales'!B$4:B$51,0)+3)</f>
        <v>17</v>
      </c>
      <c r="B687" s="135">
        <v>46195</v>
      </c>
      <c r="C687" s="136" t="s">
        <v>112</v>
      </c>
      <c r="D687" s="137" t="str">
        <f t="array" ref="D687">IF($A687="","",INDEX('Daily Sales'!A:A,$A687))</f>
        <v>4-2601</v>
      </c>
      <c r="E687" s="138" t="s">
        <v>23</v>
      </c>
      <c r="F687" s="139" t="str">
        <f t="shared" si="12"/>
        <v xml:space="preserve">Misc </v>
      </c>
      <c r="G687" s="140"/>
      <c r="H687" s="138" t="str">
        <f t="array" ref="H687">IF($A687="","",
  IF(
    OR(
      $A687=23,
      AND($A687&gt;=32,$A687&lt;=50)
    ),
    IFERROR(
      INDEX('Daily Sales'!$C:$AG,
        $A687,
        MATCH(TEXT($B687,"0"),TEXT('Daily Sales'!$C$2:$AG$2,"0"),0)
      ),
    ""),
  "")
)</f>
        <v/>
      </c>
      <c r="I687" s="138">
        <f t="array" ref="I687">IF($A687="","",
  IF(
    OR(
      AND($A687&gt;=4,$A687&lt;=8),
      AND($A687&gt;=12,$A687&lt;=19),
      AND($A687&gt;=28,$A687&lt;=29)
    ),
    IFERROR(
      INDEX('Daily Sales'!$C:$AG,
        $A687,
        MATCH(TEXT($B687,"0"),TEXT('Daily Sales'!$C$2:$AG$2,"0"),0)
      ),
    ""),
  "")
)</f>
        <v>0</v>
      </c>
      <c r="J687" s="79" t="e">
        <f t="shared" si="6"/>
        <v>#VALUE!</v>
      </c>
      <c r="K687" s="141"/>
      <c r="L687" s="141"/>
      <c r="M687" s="141"/>
      <c r="N687" s="133"/>
      <c r="O687" s="4"/>
      <c r="P687" s="4"/>
      <c r="Q687" s="4"/>
      <c r="R687" s="109"/>
      <c r="S687" s="109"/>
      <c r="T687" s="108"/>
      <c r="U687" s="110"/>
      <c r="V687" s="110"/>
      <c r="W687" s="110"/>
      <c r="X687" s="110"/>
    </row>
    <row r="688" spans="1:24" ht="13.5" customHeight="1">
      <c r="A688" s="110">
        <f>IF(E688="","",MATCH(E688,'Daily Sales'!B$4:B$51,0)+3)</f>
        <v>19</v>
      </c>
      <c r="B688" s="135">
        <v>46195</v>
      </c>
      <c r="C688" s="136" t="s">
        <v>112</v>
      </c>
      <c r="D688" s="137" t="str">
        <f t="array" ref="D688">IF($A688="","",INDEX('Daily Sales'!A:A,$A688))</f>
        <v>4-2500</v>
      </c>
      <c r="E688" s="138" t="s">
        <v>26</v>
      </c>
      <c r="F688" s="139" t="str">
        <f t="shared" si="12"/>
        <v>Sales Ticket</v>
      </c>
      <c r="G688" s="140"/>
      <c r="H688" s="138" t="str">
        <f t="array" ref="H688">IF($A688="","",
  IF(
    OR(
      $A688=23,
      AND($A688&gt;=32,$A688&lt;=50)
    ),
    IFERROR(
      INDEX('Daily Sales'!$C:$AG,
        $A688,
        MATCH(TEXT($B688,"0"),TEXT('Daily Sales'!$C$2:$AG$2,"0"),0)
      ),
    ""),
  "")
)</f>
        <v/>
      </c>
      <c r="I688" s="138">
        <f t="array" ref="I688">IF($A688="","",
  IF(
    OR(
      AND($A688&gt;=4,$A688&lt;=8),
      AND($A688&gt;=12,$A688&lt;=19),
      AND($A688&gt;=28,$A688&lt;=29)
    ),
    IFERROR(
      INDEX('Daily Sales'!$C:$AG,
        $A688,
        MATCH(TEXT($B688,"0"),TEXT('Daily Sales'!$C$2:$AG$2,"0"),0)
      ),
    ""),
  "")
)</f>
        <v>11554832</v>
      </c>
      <c r="J688" s="79" t="e">
        <f t="shared" si="6"/>
        <v>#VALUE!</v>
      </c>
      <c r="K688" s="141"/>
      <c r="L688" s="141"/>
      <c r="M688" s="141"/>
      <c r="N688" s="133"/>
      <c r="O688" s="4"/>
      <c r="P688" s="4"/>
      <c r="Q688" s="4"/>
      <c r="R688" s="109"/>
      <c r="S688" s="109"/>
      <c r="T688" s="108"/>
      <c r="U688" s="110"/>
      <c r="V688" s="110"/>
      <c r="W688" s="110"/>
      <c r="X688" s="110"/>
    </row>
    <row r="689" spans="1:24" ht="13.5" customHeight="1">
      <c r="A689" s="110">
        <f>IF(E689="","",MATCH(E689,'Daily Sales'!B$4:B$51,0)+3)</f>
        <v>28</v>
      </c>
      <c r="B689" s="135">
        <v>46195</v>
      </c>
      <c r="C689" s="136" t="s">
        <v>112</v>
      </c>
      <c r="D689" s="137" t="str">
        <f t="array" ref="D689">IF($A689="","",INDEX('Daily Sales'!A:A,$A689))</f>
        <v>2-2106</v>
      </c>
      <c r="E689" s="138" t="s">
        <v>35</v>
      </c>
      <c r="F689" s="139" t="str">
        <f t="shared" si="12"/>
        <v>Service Charges 7%</v>
      </c>
      <c r="G689" s="140"/>
      <c r="H689" s="138" t="str">
        <f t="array" ref="H689">IF($A689="","",
  IF(
    OR(
      $A689=23,
      AND($A689&gt;=32,$A689&lt;=50)
    ),
    IFERROR(
      INDEX('Daily Sales'!$C:$AG,
        $A689,
        MATCH(TEXT($B689,"0"),TEXT('Daily Sales'!$C$2:$AG$2,"0"),0)
      ),
    ""),
  "")
)</f>
        <v/>
      </c>
      <c r="I689" s="138">
        <f t="array" ref="I689">IF($A689="","",
  IF(
    OR(
      AND($A689&gt;=4,$A689&lt;=8),
      AND($A689&gt;=12,$A689&lt;=19),
      AND($A689&gt;=28,$A689&lt;=29)
    ),
    IFERROR(
      INDEX('Daily Sales'!$C:$AG,
        $A689,
        MATCH(TEXT($B689,"0"),TEXT('Daily Sales'!$C$2:$AG$2,"0"),0)
      ),
    ""),
  "")
)</f>
        <v>2562828.2400000002</v>
      </c>
      <c r="J689" s="79" t="e">
        <f t="shared" si="6"/>
        <v>#VALUE!</v>
      </c>
      <c r="K689" s="141"/>
      <c r="L689" s="141"/>
      <c r="M689" s="141"/>
      <c r="N689" s="133"/>
      <c r="O689" s="4"/>
      <c r="P689" s="4"/>
      <c r="Q689" s="4"/>
      <c r="R689" s="109"/>
      <c r="S689" s="109"/>
      <c r="T689" s="108"/>
      <c r="U689" s="110"/>
      <c r="V689" s="110"/>
      <c r="W689" s="110"/>
      <c r="X689" s="110"/>
    </row>
    <row r="690" spans="1:24" ht="13.5" customHeight="1">
      <c r="A690" s="110">
        <f>IF(E690="","",MATCH(E690,'Daily Sales'!B$4:B$51,0)+3)</f>
        <v>29</v>
      </c>
      <c r="B690" s="135">
        <v>46195</v>
      </c>
      <c r="C690" s="136" t="s">
        <v>112</v>
      </c>
      <c r="D690" s="137" t="str">
        <f t="array" ref="D690">IF($A690="","",INDEX('Daily Sales'!A:A,$A690))</f>
        <v>2-3101</v>
      </c>
      <c r="E690" s="138" t="s">
        <v>37</v>
      </c>
      <c r="F690" s="139" t="str">
        <f t="shared" si="12"/>
        <v>Tax PB1 10%</v>
      </c>
      <c r="G690" s="140"/>
      <c r="H690" s="138" t="str">
        <f t="array" ref="H690">IF($A690="","",
  IF(
    OR(
      $A690=23,
      AND($A690&gt;=32,$A690&lt;=50)
    ),
    IFERROR(
      INDEX('Daily Sales'!$C:$AG,
        $A690,
        MATCH(TEXT($B690,"0"),TEXT('Daily Sales'!$C$2:$AG$2,"0"),0)
      ),
    ""),
  "")
)</f>
        <v/>
      </c>
      <c r="I690" s="138">
        <f t="array" ref="I690">IF($A690="","",
  IF(
    OR(
      AND($A690&gt;=4,$A690&lt;=8),
      AND($A690&gt;=12,$A690&lt;=19),
      AND($A690&gt;=28,$A690&lt;=29)
    ),
    IFERROR(
      INDEX('Daily Sales'!$C:$AG,
        $A690,
        MATCH(TEXT($B690,"0"),TEXT('Daily Sales'!$C$2:$AG$2,"0"),0)
      ),
    ""),
  "")
)</f>
        <v>3917466.0240000002</v>
      </c>
      <c r="J690" s="79" t="e">
        <f t="shared" si="6"/>
        <v>#VALUE!</v>
      </c>
      <c r="K690" s="141"/>
      <c r="L690" s="141"/>
      <c r="M690" s="141"/>
      <c r="N690" s="133"/>
      <c r="O690" s="4"/>
      <c r="P690" s="4"/>
      <c r="Q690" s="4"/>
      <c r="R690" s="109"/>
      <c r="S690" s="109"/>
      <c r="T690" s="108"/>
      <c r="U690" s="110"/>
      <c r="V690" s="110"/>
      <c r="W690" s="110"/>
      <c r="X690" s="110"/>
    </row>
    <row r="691" spans="1:24" ht="13.5" customHeight="1">
      <c r="A691" s="110">
        <f>IF(E691="","",MATCH(E691,'Daily Sales'!B$4:B$51,0)+3)</f>
        <v>23</v>
      </c>
      <c r="B691" s="135">
        <v>46195</v>
      </c>
      <c r="C691" s="136" t="s">
        <v>112</v>
      </c>
      <c r="D691" s="137" t="str">
        <f t="array" ref="D691">IF($A691="","",INDEX('Daily Sales'!A:A,$A691))</f>
        <v>4-5110</v>
      </c>
      <c r="E691" s="138" t="s">
        <v>30</v>
      </c>
      <c r="F691" s="139" t="str">
        <f t="shared" si="12"/>
        <v>Discount</v>
      </c>
      <c r="G691" s="140"/>
      <c r="H691" s="138">
        <f t="array" ref="H691">IF($A691="","",
  IF(
    OR(
      $A691=23,
      AND($A691&gt;=32,$A691&lt;=50)
    ),
    IFERROR(
      INDEX('Daily Sales'!$C:$AG,
        $A691,
        MATCH(TEXT($B691,"0"),TEXT('Daily Sales'!$C$2:$AG$2,"0"),0)
      ),
    ""),
  "")
)</f>
        <v>658000</v>
      </c>
      <c r="I691" s="138" t="str">
        <f t="array" ref="I691">IF($A691="","",
  IF(
    OR(
      AND($A691&gt;=4,$A691&lt;=8),
      AND($A691&gt;=12,$A691&lt;=19),
      AND($A691&gt;=28,$A691&lt;=29)
    ),
    IFERROR(
      INDEX('Daily Sales'!$C:$AG,
        $A691,
        MATCH(TEXT($B691,"0"),TEXT('Daily Sales'!$C$2:$AG$2,"0"),0)
      ),
    ""),
  "")
)</f>
        <v/>
      </c>
      <c r="J691" s="79" t="e">
        <f t="shared" si="6"/>
        <v>#VALUE!</v>
      </c>
      <c r="K691" s="141"/>
      <c r="L691" s="141"/>
      <c r="M691" s="141"/>
      <c r="N691" s="133"/>
      <c r="O691" s="4"/>
      <c r="P691" s="4"/>
      <c r="Q691" s="4"/>
      <c r="R691" s="109"/>
      <c r="S691" s="109"/>
      <c r="T691" s="108"/>
      <c r="U691" s="110"/>
      <c r="V691" s="110"/>
      <c r="W691" s="110"/>
      <c r="X691" s="110"/>
    </row>
    <row r="692" spans="1:24" ht="13.5" customHeight="1">
      <c r="A692" s="110">
        <f>IF(E692="","",MATCH(E692,'Daily Sales'!B$4:B$51,0)+3)</f>
        <v>32</v>
      </c>
      <c r="B692" s="135">
        <v>46195</v>
      </c>
      <c r="C692" s="136" t="s">
        <v>112</v>
      </c>
      <c r="D692" s="137" t="str">
        <f t="array" ref="D692">IF($A692="","",INDEX('Daily Sales'!A:A,$A692))</f>
        <v>1-1119</v>
      </c>
      <c r="E692" s="138" t="s">
        <v>40</v>
      </c>
      <c r="F692" s="139" t="str">
        <f t="shared" si="12"/>
        <v>Cash IDR</v>
      </c>
      <c r="G692" s="140"/>
      <c r="H692" s="138">
        <f t="array" ref="H692">IF($A692="","",
  IF(
    OR(
      $A692=23,
      AND($A692&gt;=32,$A692&lt;=50)
    ),
    IFERROR(
      INDEX('Daily Sales'!$C:$AG,
        $A692,
        MATCH(TEXT($B692,"0"),TEXT('Daily Sales'!$C$2:$AG$2,"0"),0)
      ),
    ""),
  "")
)</f>
        <v>8968057</v>
      </c>
      <c r="I692" s="138" t="str">
        <f t="array" ref="I692">IF($A692="","",
  IF(
    OR(
      AND($A692&gt;=4,$A692&lt;=8),
      AND($A692&gt;=12,$A692&lt;=19),
      AND($A692&gt;=28,$A692&lt;=29)
    ),
    IFERROR(
      INDEX('Daily Sales'!$C:$AG,
        $A692,
        MATCH(TEXT($B692,"0"),TEXT('Daily Sales'!$C$2:$AG$2,"0"),0)
      ),
    ""),
  "")
)</f>
        <v/>
      </c>
      <c r="J692" s="79" t="e">
        <f t="shared" si="6"/>
        <v>#VALUE!</v>
      </c>
      <c r="K692" s="141"/>
      <c r="L692" s="141"/>
      <c r="M692" s="141"/>
      <c r="N692" s="133"/>
      <c r="O692" s="4"/>
      <c r="P692" s="4"/>
      <c r="Q692" s="4"/>
      <c r="R692" s="109"/>
      <c r="S692" s="109"/>
      <c r="T692" s="108"/>
      <c r="U692" s="110"/>
      <c r="V692" s="110"/>
      <c r="W692" s="110"/>
      <c r="X692" s="110"/>
    </row>
    <row r="693" spans="1:24" ht="13.5" customHeight="1">
      <c r="A693" s="110">
        <f>IF(E693="","",MATCH(E693,'Daily Sales'!B$4:B$51,0)+3)</f>
        <v>33</v>
      </c>
      <c r="B693" s="135">
        <v>46195</v>
      </c>
      <c r="C693" s="136" t="s">
        <v>112</v>
      </c>
      <c r="D693" s="137" t="str">
        <f t="array" ref="D693">IF($A693="","",INDEX('Daily Sales'!A:A,$A693))</f>
        <v>1-1217</v>
      </c>
      <c r="E693" s="138" t="s">
        <v>43</v>
      </c>
      <c r="F693" s="139" t="str">
        <f t="shared" si="12"/>
        <v>Bank transfer</v>
      </c>
      <c r="G693" s="140"/>
      <c r="H693" s="138">
        <f t="array" ref="H693">IF($A693="","",
  IF(
    OR(
      $A693=23,
      AND($A693&gt;=32,$A693&lt;=50)
    ),
    IFERROR(
      INDEX('Daily Sales'!$C:$AG,
        $A693,
        MATCH(TEXT($B693,"0"),TEXT('Daily Sales'!$C$2:$AG$2,"0"),0)
      ),
    ""),
  "")
)</f>
        <v>0</v>
      </c>
      <c r="I693" s="138" t="str">
        <f t="array" ref="I693">IF($A693="","",
  IF(
    OR(
      AND($A693&gt;=4,$A693&lt;=8),
      AND($A693&gt;=12,$A693&lt;=19),
      AND($A693&gt;=28,$A693&lt;=29)
    ),
    IFERROR(
      INDEX('Daily Sales'!$C:$AG,
        $A693,
        MATCH(TEXT($B693,"0"),TEXT('Daily Sales'!$C$2:$AG$2,"0"),0)
      ),
    ""),
  "")
)</f>
        <v/>
      </c>
      <c r="J693" s="79" t="e">
        <f t="shared" si="6"/>
        <v>#VALUE!</v>
      </c>
      <c r="K693" s="141"/>
      <c r="L693" s="141"/>
      <c r="M693" s="141"/>
      <c r="N693" s="133"/>
      <c r="O693" s="4"/>
      <c r="P693" s="4"/>
      <c r="Q693" s="4"/>
      <c r="R693" s="109"/>
      <c r="S693" s="109"/>
      <c r="T693" s="108"/>
      <c r="U693" s="110"/>
      <c r="V693" s="110"/>
      <c r="W693" s="110"/>
      <c r="X693" s="110"/>
    </row>
    <row r="694" spans="1:24" ht="13.5" customHeight="1">
      <c r="A694" s="110">
        <f>IF(E694="","",MATCH(E694,'Daily Sales'!B$4:B$51,0)+3)</f>
        <v>35</v>
      </c>
      <c r="B694" s="135">
        <v>46195</v>
      </c>
      <c r="C694" s="136" t="s">
        <v>112</v>
      </c>
      <c r="D694" s="137" t="str">
        <f t="array" ref="D694">IF($A694="","",INDEX('Daily Sales'!A:A,$A694))</f>
        <v>1-1216</v>
      </c>
      <c r="E694" s="138" t="s">
        <v>46</v>
      </c>
      <c r="F694" s="139" t="str">
        <f t="shared" si="12"/>
        <v>Cim Niaga TBB</v>
      </c>
      <c r="G694" s="140"/>
      <c r="H694" s="138">
        <f t="array" ref="H694">IF($A694="","",
  IF(
    OR(
      $A694=23,
      AND($A694&gt;=32,$A694&lt;=50)
    ),
    IFERROR(
      INDEX('Daily Sales'!$C:$AG,
        $A694,
        MATCH(TEXT($B694,"0"),TEXT('Daily Sales'!$C$2:$AG$2,"0"),0)
      ),
    ""),
  "")
)</f>
        <v>0</v>
      </c>
      <c r="I694" s="138" t="str">
        <f t="array" ref="I694">IF($A694="","",
  IF(
    OR(
      AND($A694&gt;=4,$A694&lt;=8),
      AND($A694&gt;=12,$A694&lt;=19),
      AND($A694&gt;=28,$A694&lt;=29)
    ),
    IFERROR(
      INDEX('Daily Sales'!$C:$AG,
        $A694,
        MATCH(TEXT($B694,"0"),TEXT('Daily Sales'!$C$2:$AG$2,"0"),0)
      ),
    ""),
  "")
)</f>
        <v/>
      </c>
      <c r="J694" s="79" t="e">
        <f t="shared" si="6"/>
        <v>#VALUE!</v>
      </c>
      <c r="K694" s="141"/>
      <c r="L694" s="141"/>
      <c r="M694" s="141"/>
      <c r="N694" s="133"/>
      <c r="O694" s="4"/>
      <c r="P694" s="4"/>
      <c r="Q694" s="4"/>
      <c r="R694" s="109"/>
      <c r="S694" s="109"/>
      <c r="T694" s="108"/>
      <c r="U694" s="110"/>
      <c r="V694" s="110"/>
      <c r="W694" s="110"/>
      <c r="X694" s="110"/>
    </row>
    <row r="695" spans="1:24" ht="13.5" customHeight="1">
      <c r="A695" s="110">
        <f>IF(E695="","",MATCH(E695,'Daily Sales'!B$4:B$51,0)+3)</f>
        <v>36</v>
      </c>
      <c r="B695" s="135">
        <v>46195</v>
      </c>
      <c r="C695" s="136" t="s">
        <v>112</v>
      </c>
      <c r="D695" s="137" t="str">
        <f t="array" ref="D695">IF($A695="","",INDEX('Daily Sales'!A:A,$A695))</f>
        <v>1-1213</v>
      </c>
      <c r="E695" s="138" t="s">
        <v>49</v>
      </c>
      <c r="F695" s="139" t="str">
        <f t="shared" si="12"/>
        <v>Mandiri Debet</v>
      </c>
      <c r="G695" s="140"/>
      <c r="H695" s="138">
        <f t="array" ref="H695">IF($A695="","",
  IF(
    OR(
      $A695=23,
      AND($A695&gt;=32,$A695&lt;=50)
    ),
    IFERROR(
      INDEX('Daily Sales'!$C:$AG,
        $A695,
        MATCH(TEXT($B695,"0"),TEXT('Daily Sales'!$C$2:$AG$2,"0"),0)
      ),
    ""),
  "")
)</f>
        <v>3260290</v>
      </c>
      <c r="I695" s="138" t="str">
        <f t="array" ref="I695">IF($A695="","",
  IF(
    OR(
      AND($A695&gt;=4,$A695&lt;=8),
      AND($A695&gt;=12,$A695&lt;=19),
      AND($A695&gt;=28,$A695&lt;=29)
    ),
    IFERROR(
      INDEX('Daily Sales'!$C:$AG,
        $A695,
        MATCH(TEXT($B695,"0"),TEXT('Daily Sales'!$C$2:$AG$2,"0"),0)
      ),
    ""),
  "")
)</f>
        <v/>
      </c>
      <c r="J695" s="79" t="e">
        <f t="shared" si="6"/>
        <v>#VALUE!</v>
      </c>
      <c r="K695" s="141"/>
      <c r="L695" s="141"/>
      <c r="M695" s="141"/>
      <c r="N695" s="133"/>
      <c r="O695" s="4"/>
      <c r="P695" s="4"/>
      <c r="Q695" s="4"/>
      <c r="R695" s="109"/>
      <c r="S695" s="109"/>
      <c r="T695" s="108"/>
      <c r="U695" s="110"/>
      <c r="V695" s="110"/>
      <c r="W695" s="110"/>
      <c r="X695" s="110"/>
    </row>
    <row r="696" spans="1:24" ht="13.5" customHeight="1">
      <c r="A696" s="110">
        <f>IF(E696="","",MATCH(E696,'Daily Sales'!B$4:B$51,0)+3)</f>
        <v>37</v>
      </c>
      <c r="B696" s="135">
        <v>46195</v>
      </c>
      <c r="C696" s="136" t="s">
        <v>112</v>
      </c>
      <c r="D696" s="137" t="str">
        <f t="array" ref="D696">IF($A696="","",INDEX('Daily Sales'!A:A,$A696))</f>
        <v>1-1213</v>
      </c>
      <c r="E696" s="138" t="s">
        <v>50</v>
      </c>
      <c r="F696" s="139" t="str">
        <f t="shared" si="12"/>
        <v>Mandiri CC</v>
      </c>
      <c r="G696" s="140"/>
      <c r="H696" s="138">
        <f t="array" ref="H696">IF($A696="","",
  IF(
    OR(
      $A696=23,
      AND($A696&gt;=32,$A696&lt;=50)
    ),
    IFERROR(
      INDEX('Daily Sales'!$C:$AG,
        $A696,
        MATCH(TEXT($B696,"0"),TEXT('Daily Sales'!$C$2:$AG$2,"0"),0)
      ),
    ""),
  "")
)</f>
        <v>23665505</v>
      </c>
      <c r="I696" s="138" t="str">
        <f t="array" ref="I696">IF($A696="","",
  IF(
    OR(
      AND($A696&gt;=4,$A696&lt;=8),
      AND($A696&gt;=12,$A696&lt;=19),
      AND($A696&gt;=28,$A696&lt;=29)
    ),
    IFERROR(
      INDEX('Daily Sales'!$C:$AG,
        $A696,
        MATCH(TEXT($B696,"0"),TEXT('Daily Sales'!$C$2:$AG$2,"0"),0)
      ),
    ""),
  "")
)</f>
        <v/>
      </c>
      <c r="J696" s="79" t="e">
        <f t="shared" si="6"/>
        <v>#VALUE!</v>
      </c>
      <c r="K696" s="141"/>
      <c r="L696" s="141"/>
      <c r="M696" s="141"/>
      <c r="N696" s="133"/>
      <c r="O696" s="4"/>
      <c r="P696" s="4"/>
      <c r="Q696" s="4"/>
      <c r="R696" s="109"/>
      <c r="S696" s="109"/>
      <c r="T696" s="108"/>
      <c r="U696" s="110"/>
      <c r="V696" s="110"/>
      <c r="W696" s="110"/>
      <c r="X696" s="110"/>
    </row>
    <row r="697" spans="1:24" ht="13.5" customHeight="1">
      <c r="A697" s="110">
        <f>IF(E697="","",MATCH(E697,'Daily Sales'!B$4:B$51,0)+3)</f>
        <v>38</v>
      </c>
      <c r="B697" s="135">
        <v>46195</v>
      </c>
      <c r="C697" s="136" t="s">
        <v>112</v>
      </c>
      <c r="D697" s="137" t="str">
        <f t="array" ref="D697">IF($A697="","",INDEX('Daily Sales'!A:A,$A697))</f>
        <v>1-1213</v>
      </c>
      <c r="E697" s="138" t="s">
        <v>51</v>
      </c>
      <c r="F697" s="139" t="str">
        <f t="shared" si="12"/>
        <v>Mandiri NPG</v>
      </c>
      <c r="G697" s="140"/>
      <c r="H697" s="138">
        <f t="array" ref="H697">IF($A697="","",
  IF(
    OR(
      $A697=23,
      AND($A697&gt;=32,$A697&lt;=50)
    ),
    IFERROR(
      INDEX('Daily Sales'!$C:$AG,
        $A697,
        MATCH(TEXT($B697,"0"),TEXT('Daily Sales'!$C$2:$AG$2,"0"),0)
      ),
    ""),
  "")
)</f>
        <v>1553280</v>
      </c>
      <c r="I697" s="138" t="str">
        <f t="array" ref="I697">IF($A697="","",
  IF(
    OR(
      AND($A697&gt;=4,$A697&lt;=8),
      AND($A697&gt;=12,$A697&lt;=19),
      AND($A697&gt;=28,$A697&lt;=29)
    ),
    IFERROR(
      INDEX('Daily Sales'!$C:$AG,
        $A697,
        MATCH(TEXT($B697,"0"),TEXT('Daily Sales'!$C$2:$AG$2,"0"),0)
      ),
    ""),
  "")
)</f>
        <v/>
      </c>
      <c r="J697" s="79" t="e">
        <f t="shared" si="6"/>
        <v>#VALUE!</v>
      </c>
      <c r="K697" s="141"/>
      <c r="L697" s="141"/>
      <c r="M697" s="141"/>
      <c r="N697" s="133"/>
      <c r="O697" s="4"/>
      <c r="P697" s="4"/>
      <c r="Q697" s="4"/>
      <c r="R697" s="109"/>
      <c r="S697" s="109"/>
      <c r="T697" s="108"/>
      <c r="U697" s="110"/>
      <c r="V697" s="110"/>
      <c r="W697" s="110"/>
      <c r="X697" s="110"/>
    </row>
    <row r="698" spans="1:24" ht="13.5" customHeight="1">
      <c r="A698" s="110">
        <f>IF(E698="","",MATCH(E698,'Daily Sales'!B$4:B$51,0)+3)</f>
        <v>39</v>
      </c>
      <c r="B698" s="135">
        <v>46195</v>
      </c>
      <c r="C698" s="136" t="s">
        <v>112</v>
      </c>
      <c r="D698" s="137" t="str">
        <f t="array" ref="D698">IF($A698="","",INDEX('Daily Sales'!A:A,$A698))</f>
        <v>1-1213</v>
      </c>
      <c r="E698" s="138" t="s">
        <v>52</v>
      </c>
      <c r="F698" s="139" t="str">
        <f t="shared" si="12"/>
        <v>Mandiri QR</v>
      </c>
      <c r="G698" s="140"/>
      <c r="H698" s="138">
        <f t="array" ref="H698">IF($A698="","",
  IF(
    OR(
      $A698=23,
      AND($A698&gt;=32,$A698&lt;=50)
    ),
    IFERROR(
      INDEX('Daily Sales'!$C:$AG,
        $A698,
        MATCH(TEXT($B698,"0"),TEXT('Daily Sales'!$C$2:$AG$2,"0"),0)
      ),
    ""),
  "")
)</f>
        <v>2868169</v>
      </c>
      <c r="I698" s="138" t="str">
        <f t="array" ref="I698">IF($A698="","",
  IF(
    OR(
      AND($A698&gt;=4,$A698&lt;=8),
      AND($A698&gt;=12,$A698&lt;=19),
      AND($A698&gt;=28,$A698&lt;=29)
    ),
    IFERROR(
      INDEX('Daily Sales'!$C:$AG,
        $A698,
        MATCH(TEXT($B698,"0"),TEXT('Daily Sales'!$C$2:$AG$2,"0"),0)
      ),
    ""),
  "")
)</f>
        <v/>
      </c>
      <c r="J698" s="79" t="e">
        <f t="shared" si="6"/>
        <v>#VALUE!</v>
      </c>
      <c r="K698" s="141"/>
      <c r="L698" s="141"/>
      <c r="M698" s="141"/>
      <c r="N698" s="133"/>
      <c r="O698" s="4"/>
      <c r="P698" s="4"/>
      <c r="Q698" s="4"/>
      <c r="R698" s="109"/>
      <c r="S698" s="109"/>
      <c r="T698" s="108"/>
      <c r="U698" s="110"/>
      <c r="V698" s="110"/>
      <c r="W698" s="110"/>
      <c r="X698" s="110"/>
    </row>
    <row r="699" spans="1:24" ht="13.5" customHeight="1">
      <c r="A699" s="110">
        <f>IF(E699="","",MATCH(E699,'Daily Sales'!B$4:B$51,0)+3)</f>
        <v>40</v>
      </c>
      <c r="B699" s="135">
        <v>46195</v>
      </c>
      <c r="C699" s="136" t="s">
        <v>112</v>
      </c>
      <c r="D699" s="137" t="str">
        <f t="array" ref="D699">IF($A699="","",INDEX('Daily Sales'!A:A,$A699))</f>
        <v>1-1217</v>
      </c>
      <c r="E699" s="138" t="s">
        <v>54</v>
      </c>
      <c r="F699" s="139" t="str">
        <f t="shared" si="12"/>
        <v>BCA CC</v>
      </c>
      <c r="G699" s="140"/>
      <c r="H699" s="138">
        <f t="array" ref="H699">IF($A699="","",
  IF(
    OR(
      $A699=23,
      AND($A699&gt;=32,$A699&lt;=50)
    ),
    IFERROR(
      INDEX('Daily Sales'!$C:$AG,
        $A699,
        MATCH(TEXT($B699,"0"),TEXT('Daily Sales'!$C$2:$AG$2,"0"),0)
      ),
    ""),
  "")
)</f>
        <v>2006783</v>
      </c>
      <c r="I699" s="138" t="str">
        <f t="array" ref="I699">IF($A699="","",
  IF(
    OR(
      AND($A699&gt;=4,$A699&lt;=8),
      AND($A699&gt;=12,$A699&lt;=19),
      AND($A699&gt;=28,$A699&lt;=29)
    ),
    IFERROR(
      INDEX('Daily Sales'!$C:$AG,
        $A699,
        MATCH(TEXT($B699,"0"),TEXT('Daily Sales'!$C$2:$AG$2,"0"),0)
      ),
    ""),
  "")
)</f>
        <v/>
      </c>
      <c r="J699" s="79" t="e">
        <f t="shared" si="6"/>
        <v>#VALUE!</v>
      </c>
      <c r="K699" s="141"/>
      <c r="L699" s="141"/>
      <c r="M699" s="141"/>
      <c r="N699" s="133"/>
      <c r="O699" s="4"/>
      <c r="P699" s="4"/>
      <c r="Q699" s="4"/>
      <c r="R699" s="109"/>
      <c r="S699" s="109"/>
      <c r="T699" s="108"/>
      <c r="U699" s="110"/>
      <c r="V699" s="110"/>
      <c r="W699" s="110"/>
      <c r="X699" s="110"/>
    </row>
    <row r="700" spans="1:24" ht="13.5" customHeight="1">
      <c r="A700" s="110">
        <f>IF(E700="","",MATCH(E700,'Daily Sales'!B$4:B$51,0)+3)</f>
        <v>41</v>
      </c>
      <c r="B700" s="135">
        <v>46195</v>
      </c>
      <c r="C700" s="136" t="s">
        <v>112</v>
      </c>
      <c r="D700" s="137" t="str">
        <f t="array" ref="D700">IF($A700="","",INDEX('Daily Sales'!A:A,$A700))</f>
        <v>1-1217</v>
      </c>
      <c r="E700" s="138" t="s">
        <v>55</v>
      </c>
      <c r="F700" s="139" t="str">
        <f t="shared" si="12"/>
        <v>BCA debt</v>
      </c>
      <c r="G700" s="140"/>
      <c r="H700" s="138">
        <f t="array" ref="H700">IF($A700="","",
  IF(
    OR(
      $A700=23,
      AND($A700&gt;=32,$A700&lt;=50)
    ),
    IFERROR(
      INDEX('Daily Sales'!$C:$AG,
        $A700,
        MATCH(TEXT($B700,"0"),TEXT('Daily Sales'!$C$2:$AG$2,"0"),0)
      ),
    ""),
  "")
)</f>
        <v>0</v>
      </c>
      <c r="I700" s="138" t="str">
        <f t="array" ref="I700">IF($A700="","",
  IF(
    OR(
      AND($A700&gt;=4,$A700&lt;=8),
      AND($A700&gt;=12,$A700&lt;=19),
      AND($A700&gt;=28,$A700&lt;=29)
    ),
    IFERROR(
      INDEX('Daily Sales'!$C:$AG,
        $A700,
        MATCH(TEXT($B700,"0"),TEXT('Daily Sales'!$C$2:$AG$2,"0"),0)
      ),
    ""),
  "")
)</f>
        <v/>
      </c>
      <c r="J700" s="79" t="e">
        <f t="shared" si="6"/>
        <v>#VALUE!</v>
      </c>
      <c r="K700" s="141"/>
      <c r="L700" s="141"/>
      <c r="M700" s="141"/>
      <c r="N700" s="133"/>
      <c r="O700" s="4"/>
      <c r="P700" s="4"/>
      <c r="Q700" s="4"/>
      <c r="R700" s="109"/>
      <c r="S700" s="109"/>
      <c r="T700" s="108"/>
      <c r="U700" s="110"/>
      <c r="V700" s="110"/>
      <c r="W700" s="110"/>
      <c r="X700" s="110"/>
    </row>
    <row r="701" spans="1:24" ht="13.5" customHeight="1">
      <c r="A701" s="110">
        <f>IF(E701="","",MATCH(E701,'Daily Sales'!B$4:B$51,0)+3)</f>
        <v>42</v>
      </c>
      <c r="B701" s="135">
        <v>46195</v>
      </c>
      <c r="C701" s="136" t="s">
        <v>112</v>
      </c>
      <c r="D701" s="137" t="str">
        <f t="array" ref="D701">IF($A701="","",INDEX('Daily Sales'!A:A,$A701))</f>
        <v>1-1217</v>
      </c>
      <c r="E701" s="138" t="s">
        <v>56</v>
      </c>
      <c r="F701" s="139" t="str">
        <f t="shared" si="12"/>
        <v>BCA QR</v>
      </c>
      <c r="G701" s="140"/>
      <c r="H701" s="138">
        <f t="array" ref="H701">IF($A701="","",
  IF(
    OR(
      $A701=23,
      AND($A701&gt;=32,$A701&lt;=50)
    ),
    IFERROR(
      INDEX('Daily Sales'!$C:$AG,
        $A701,
        MATCH(TEXT($B701,"0"),TEXT('Daily Sales'!$C$2:$AG$2,"0"),0)
      ),
    ""),
  "")
)</f>
        <v>0</v>
      </c>
      <c r="I701" s="138" t="str">
        <f t="array" ref="I701">IF($A701="","",
  IF(
    OR(
      AND($A701&gt;=4,$A701&lt;=8),
      AND($A701&gt;=12,$A701&lt;=19),
      AND($A701&gt;=28,$A701&lt;=29)
    ),
    IFERROR(
      INDEX('Daily Sales'!$C:$AG,
        $A701,
        MATCH(TEXT($B701,"0"),TEXT('Daily Sales'!$C$2:$AG$2,"0"),0)
      ),
    ""),
  "")
)</f>
        <v/>
      </c>
      <c r="J701" s="79" t="e">
        <f t="shared" si="6"/>
        <v>#VALUE!</v>
      </c>
      <c r="K701" s="141"/>
      <c r="L701" s="141"/>
      <c r="M701" s="141"/>
      <c r="N701" s="133"/>
      <c r="O701" s="4"/>
      <c r="P701" s="4"/>
      <c r="Q701" s="4"/>
      <c r="R701" s="109"/>
      <c r="S701" s="109"/>
      <c r="T701" s="108"/>
      <c r="U701" s="110"/>
      <c r="V701" s="110"/>
      <c r="W701" s="110"/>
      <c r="X701" s="110"/>
    </row>
    <row r="702" spans="1:24" ht="13.5" customHeight="1">
      <c r="A702" s="110">
        <f>IF(E702="","",MATCH(E702,'Daily Sales'!B$4:B$51,0)+3)</f>
        <v>43</v>
      </c>
      <c r="B702" s="135">
        <v>46195</v>
      </c>
      <c r="C702" s="136" t="s">
        <v>112</v>
      </c>
      <c r="D702" s="137" t="str">
        <f t="array" ref="D702">IF($A702="","",INDEX('Daily Sales'!A:A,$A702))</f>
        <v>1-1214</v>
      </c>
      <c r="E702" s="138" t="s">
        <v>59</v>
      </c>
      <c r="F702" s="139" t="str">
        <f t="shared" si="12"/>
        <v>Bank BRI DEBET</v>
      </c>
      <c r="G702" s="140"/>
      <c r="H702" s="138">
        <f t="array" ref="H702">IF($A702="","",
  IF(
    OR(
      $A702=23,
      AND($A702&gt;=32,$A702&lt;=50)
    ),
    IFERROR(
      INDEX('Daily Sales'!$C:$AG,
        $A702,
        MATCH(TEXT($B702,"0"),TEXT('Daily Sales'!$C$2:$AG$2,"0"),0)
      ),
    ""),
  "")
)</f>
        <v>0</v>
      </c>
      <c r="I702" s="138" t="str">
        <f t="array" ref="I702">IF($A702="","",
  IF(
    OR(
      AND($A702&gt;=4,$A702&lt;=8),
      AND($A702&gt;=12,$A702&lt;=19),
      AND($A702&gt;=28,$A702&lt;=29)
    ),
    IFERROR(
      INDEX('Daily Sales'!$C:$AG,
        $A702,
        MATCH(TEXT($B702,"0"),TEXT('Daily Sales'!$C$2:$AG$2,"0"),0)
      ),
    ""),
  "")
)</f>
        <v/>
      </c>
      <c r="J702" s="79" t="e">
        <f t="shared" si="6"/>
        <v>#VALUE!</v>
      </c>
      <c r="K702" s="141"/>
      <c r="L702" s="141"/>
      <c r="M702" s="141"/>
      <c r="N702" s="133"/>
      <c r="O702" s="4"/>
      <c r="P702" s="4"/>
      <c r="Q702" s="4"/>
      <c r="R702" s="109"/>
      <c r="S702" s="109"/>
      <c r="T702" s="108"/>
      <c r="U702" s="110"/>
      <c r="V702" s="110"/>
      <c r="W702" s="110"/>
      <c r="X702" s="110"/>
    </row>
    <row r="703" spans="1:24" ht="13.5" customHeight="1">
      <c r="A703" s="110">
        <f>IF(E703="","",MATCH(E703,'Daily Sales'!B$4:B$51,0)+3)</f>
        <v>44</v>
      </c>
      <c r="B703" s="135">
        <v>46195</v>
      </c>
      <c r="C703" s="136" t="s">
        <v>112</v>
      </c>
      <c r="D703" s="137" t="str">
        <f t="array" ref="D703">IF($A703="","",INDEX('Daily Sales'!A:A,$A703))</f>
        <v>1-1214</v>
      </c>
      <c r="E703" s="138" t="s">
        <v>60</v>
      </c>
      <c r="F703" s="139" t="str">
        <f t="shared" si="12"/>
        <v>Bank BRI CC</v>
      </c>
      <c r="G703" s="140"/>
      <c r="H703" s="138">
        <f t="array" ref="H703">IF($A703="","",
  IF(
    OR(
      $A703=23,
      AND($A703&gt;=32,$A703&lt;=50)
    ),
    IFERROR(
      INDEX('Daily Sales'!$C:$AG,
        $A703,
        MATCH(TEXT($B703,"0"),TEXT('Daily Sales'!$C$2:$AG$2,"0"),0)
      ),
    ""),
  "")
)</f>
        <v>138288</v>
      </c>
      <c r="I703" s="138" t="str">
        <f t="array" ref="I703">IF($A703="","",
  IF(
    OR(
      AND($A703&gt;=4,$A703&lt;=8),
      AND($A703&gt;=12,$A703&lt;=19),
      AND($A703&gt;=28,$A703&lt;=29)
    ),
    IFERROR(
      INDEX('Daily Sales'!$C:$AG,
        $A703,
        MATCH(TEXT($B703,"0"),TEXT('Daily Sales'!$C$2:$AG$2,"0"),0)
      ),
    ""),
  "")
)</f>
        <v/>
      </c>
      <c r="J703" s="79" t="e">
        <f t="shared" si="6"/>
        <v>#VALUE!</v>
      </c>
      <c r="K703" s="141"/>
      <c r="L703" s="141"/>
      <c r="M703" s="141"/>
      <c r="N703" s="133"/>
      <c r="O703" s="4"/>
      <c r="P703" s="4"/>
      <c r="Q703" s="4"/>
      <c r="R703" s="109"/>
      <c r="S703" s="109"/>
      <c r="T703" s="108"/>
      <c r="U703" s="110"/>
      <c r="V703" s="110"/>
      <c r="W703" s="110"/>
      <c r="X703" s="110"/>
    </row>
    <row r="704" spans="1:24" ht="13.5" customHeight="1">
      <c r="A704" s="110">
        <f>IF(E704="","",MATCH(E704,'Daily Sales'!B$4:B$51,0)+3)</f>
        <v>45</v>
      </c>
      <c r="B704" s="135">
        <v>46195</v>
      </c>
      <c r="C704" s="136" t="s">
        <v>112</v>
      </c>
      <c r="D704" s="137" t="str">
        <f t="array" ref="D704">IF($A704="","",INDEX('Daily Sales'!A:A,$A704))</f>
        <v>1-1214</v>
      </c>
      <c r="E704" s="138" t="s">
        <v>61</v>
      </c>
      <c r="F704" s="139" t="str">
        <f t="shared" si="12"/>
        <v>Bank BRI QR</v>
      </c>
      <c r="G704" s="140"/>
      <c r="H704" s="138">
        <f t="array" ref="H704">IF($A704="","",
  IF(
    OR(
      $A704=23,
      AND($A704&gt;=32,$A704&lt;=50)
    ),
    IFERROR(
      INDEX('Daily Sales'!$C:$AG,
        $A704,
        MATCH(TEXT($B704,"0"),TEXT('Daily Sales'!$C$2:$AG$2,"0"),0)
      ),
    ""),
  "")
)</f>
        <v>0</v>
      </c>
      <c r="I704" s="138" t="str">
        <f t="array" ref="I704">IF($A704="","",
  IF(
    OR(
      AND($A704&gt;=4,$A704&lt;=8),
      AND($A704&gt;=12,$A704&lt;=19),
      AND($A704&gt;=28,$A704&lt;=29)
    ),
    IFERROR(
      INDEX('Daily Sales'!$C:$AG,
        $A704,
        MATCH(TEXT($B704,"0"),TEXT('Daily Sales'!$C$2:$AG$2,"0"),0)
      ),
    ""),
  "")
)</f>
        <v/>
      </c>
      <c r="J704" s="79" t="e">
        <f t="shared" si="6"/>
        <v>#VALUE!</v>
      </c>
      <c r="K704" s="141"/>
      <c r="L704" s="141"/>
      <c r="M704" s="141"/>
      <c r="N704" s="133"/>
      <c r="O704" s="4"/>
      <c r="P704" s="4"/>
      <c r="Q704" s="4"/>
      <c r="R704" s="109"/>
      <c r="S704" s="109"/>
      <c r="T704" s="108"/>
      <c r="U704" s="110"/>
      <c r="V704" s="110"/>
      <c r="W704" s="110"/>
      <c r="X704" s="110"/>
    </row>
    <row r="705" spans="1:24" ht="13.5" customHeight="1">
      <c r="A705" s="110">
        <f>IF(E705="","",MATCH(E705,'Daily Sales'!B$4:B$51,0)+3)</f>
        <v>46</v>
      </c>
      <c r="B705" s="135">
        <v>46195</v>
      </c>
      <c r="C705" s="136" t="s">
        <v>112</v>
      </c>
      <c r="D705" s="137" t="str">
        <f t="array" ref="D705">IF($A705="","",INDEX('Daily Sales'!A:A,$A705))</f>
        <v>1-1202</v>
      </c>
      <c r="E705" s="138" t="s">
        <v>64</v>
      </c>
      <c r="F705" s="139" t="str">
        <f t="shared" si="12"/>
        <v>Ledger</v>
      </c>
      <c r="G705" s="140"/>
      <c r="H705" s="138">
        <f t="array" ref="H705">IF($A705="","",
  IF(
    OR(
      $A705=23,
      AND($A705&gt;=32,$A705&lt;=50)
    ),
    IFERROR(
      INDEX('Daily Sales'!$C:$AG,
        $A705,
        MATCH(TEXT($B705,"0"),TEXT('Daily Sales'!$C$2:$AG$2,"0"),0)
      ),
    ""),
  "")
)</f>
        <v>494341</v>
      </c>
      <c r="I705" s="138" t="str">
        <f t="array" ref="I705">IF($A705="","",
  IF(
    OR(
      AND($A705&gt;=4,$A705&lt;=8),
      AND($A705&gt;=12,$A705&lt;=19),
      AND($A705&gt;=28,$A705&lt;=29)
    ),
    IFERROR(
      INDEX('Daily Sales'!$C:$AG,
        $A705,
        MATCH(TEXT($B705,"0"),TEXT('Daily Sales'!$C$2:$AG$2,"0"),0)
      ),
    ""),
  "")
)</f>
        <v/>
      </c>
      <c r="J705" s="79" t="e">
        <f t="shared" si="6"/>
        <v>#VALUE!</v>
      </c>
      <c r="K705" s="141"/>
      <c r="L705" s="141"/>
      <c r="M705" s="141"/>
      <c r="N705" s="133"/>
      <c r="O705" s="4"/>
      <c r="P705" s="4"/>
      <c r="Q705" s="4"/>
      <c r="R705" s="109"/>
      <c r="S705" s="109"/>
      <c r="T705" s="108"/>
      <c r="U705" s="110"/>
      <c r="V705" s="110"/>
      <c r="W705" s="110"/>
      <c r="X705" s="110"/>
    </row>
    <row r="706" spans="1:24" ht="13.5" customHeight="1">
      <c r="A706" s="110">
        <f>IF(E706="","",MATCH(E706,'Daily Sales'!B$4:B$51,0)+3)</f>
        <v>47</v>
      </c>
      <c r="B706" s="135">
        <v>46195</v>
      </c>
      <c r="C706" s="136" t="s">
        <v>112</v>
      </c>
      <c r="D706" s="137" t="str">
        <f t="array" ref="D706">IF($A706="","",INDEX('Daily Sales'!A:A,$A706))</f>
        <v>1-1129</v>
      </c>
      <c r="E706" s="138" t="s">
        <v>66</v>
      </c>
      <c r="F706" s="139" t="str">
        <f t="shared" si="12"/>
        <v>Star Points</v>
      </c>
      <c r="G706" s="140"/>
      <c r="H706" s="138">
        <f t="array" ref="H706">IF($A706="","",
  IF(
    OR(
      $A706=23,
      AND($A706&gt;=32,$A706&lt;=50)
    ),
    IFERROR(
      INDEX('Daily Sales'!$C:$AG,
        $A706,
        MATCH(TEXT($B706,"0"),TEXT('Daily Sales'!$C$2:$AG$2,"0"),0)
      ),
    ""),
  "")
)</f>
        <v>135355</v>
      </c>
      <c r="I706" s="138" t="str">
        <f t="array" ref="I706">IF($A706="","",
  IF(
    OR(
      AND($A706&gt;=4,$A706&lt;=8),
      AND($A706&gt;=12,$A706&lt;=19),
      AND($A706&gt;=28,$A706&lt;=29)
    ),
    IFERROR(
      INDEX('Daily Sales'!$C:$AG,
        $A706,
        MATCH(TEXT($B706,"0"),TEXT('Daily Sales'!$C$2:$AG$2,"0"),0)
      ),
    ""),
  "")
)</f>
        <v/>
      </c>
      <c r="J706" s="79" t="e">
        <f t="shared" si="6"/>
        <v>#VALUE!</v>
      </c>
      <c r="K706" s="141"/>
      <c r="L706" s="141"/>
      <c r="M706" s="141"/>
      <c r="N706" s="133"/>
      <c r="O706" s="4"/>
      <c r="P706" s="4"/>
      <c r="Q706" s="4"/>
      <c r="R706" s="109"/>
      <c r="S706" s="109"/>
      <c r="T706" s="108"/>
      <c r="U706" s="110"/>
      <c r="V706" s="110"/>
      <c r="W706" s="110"/>
      <c r="X706" s="110"/>
    </row>
    <row r="707" spans="1:24" ht="13.5" customHeight="1">
      <c r="A707" s="110">
        <f>IF(E707="","",MATCH(E707,'Daily Sales'!B$4:B$51,0)+3)</f>
        <v>48</v>
      </c>
      <c r="B707" s="135">
        <v>46195</v>
      </c>
      <c r="C707" s="136" t="s">
        <v>112</v>
      </c>
      <c r="D707" s="137" t="str">
        <f t="array" ref="D707">IF($A707="","",INDEX('Daily Sales'!A:A,$A707))</f>
        <v>1-1215</v>
      </c>
      <c r="E707" s="138" t="s">
        <v>68</v>
      </c>
      <c r="F707" s="139" t="str">
        <f t="shared" si="12"/>
        <v>Ovo</v>
      </c>
      <c r="G707" s="140"/>
      <c r="H707" s="138">
        <f t="array" ref="H707">IF($A707="","",
  IF(
    OR(
      $A707=23,
      AND($A707&gt;=32,$A707&lt;=50)
    ),
    IFERROR(
      INDEX('Daily Sales'!$C:$AG,
        $A707,
        MATCH(TEXT($B707,"0"),TEXT('Daily Sales'!$C$2:$AG$2,"0"),0)
      ),
    ""),
  "")
)</f>
        <v>0</v>
      </c>
      <c r="I707" s="138" t="str">
        <f t="array" ref="I707">IF($A707="","",
  IF(
    OR(
      AND($A707&gt;=4,$A707&lt;=8),
      AND($A707&gt;=12,$A707&lt;=19),
      AND($A707&gt;=28,$A707&lt;=29)
    ),
    IFERROR(
      INDEX('Daily Sales'!$C:$AG,
        $A707,
        MATCH(TEXT($B707,"0"),TEXT('Daily Sales'!$C$2:$AG$2,"0"),0)
      ),
    ""),
  "")
)</f>
        <v/>
      </c>
      <c r="J707" s="79" t="e">
        <f t="shared" si="6"/>
        <v>#VALUE!</v>
      </c>
      <c r="K707" s="141"/>
      <c r="L707" s="141"/>
      <c r="M707" s="141"/>
      <c r="N707" s="133"/>
      <c r="O707" s="4"/>
      <c r="P707" s="4"/>
      <c r="Q707" s="4"/>
      <c r="R707" s="109"/>
      <c r="S707" s="109"/>
      <c r="T707" s="108"/>
      <c r="U707" s="110"/>
      <c r="V707" s="110"/>
      <c r="W707" s="110"/>
      <c r="X707" s="110"/>
    </row>
    <row r="708" spans="1:24" ht="13.5" customHeight="1">
      <c r="A708" s="110">
        <f>IF(E708="","",MATCH(E708,'Daily Sales'!B$4:B$51,0)+3)</f>
        <v>49</v>
      </c>
      <c r="B708" s="135">
        <v>46195</v>
      </c>
      <c r="C708" s="136" t="s">
        <v>112</v>
      </c>
      <c r="D708" s="137" t="str">
        <f t="array" ref="D708">IF($A708="","",INDEX('Daily Sales'!A:A,$A708))</f>
        <v>1-1211</v>
      </c>
      <c r="E708" s="138" t="s">
        <v>70</v>
      </c>
      <c r="F708" s="139" t="str">
        <f t="shared" si="12"/>
        <v>Gopay</v>
      </c>
      <c r="G708" s="140"/>
      <c r="H708" s="138">
        <f t="array" ref="H708">IF($A708="","",
  IF(
    OR(
      $A708=23,
      AND($A708&gt;=32,$A708&lt;=50)
    ),
    IFERROR(
      INDEX('Daily Sales'!$C:$AG,
        $A708,
        MATCH(TEXT($B708,"0"),TEXT('Daily Sales'!$C$2:$AG$2,"0"),0)
      ),
    ""),
  "")
)</f>
        <v>0</v>
      </c>
      <c r="I708" s="138" t="str">
        <f t="array" ref="I708">IF($A708="","",
  IF(
    OR(
      AND($A708&gt;=4,$A708&lt;=8),
      AND($A708&gt;=12,$A708&lt;=19),
      AND($A708&gt;=28,$A708&lt;=29)
    ),
    IFERROR(
      INDEX('Daily Sales'!$C:$AG,
        $A708,
        MATCH(TEXT($B708,"0"),TEXT('Daily Sales'!$C$2:$AG$2,"0"),0)
      ),
    ""),
  "")
)</f>
        <v/>
      </c>
      <c r="J708" s="79" t="e">
        <f t="shared" si="6"/>
        <v>#VALUE!</v>
      </c>
      <c r="K708" s="141"/>
      <c r="L708" s="141"/>
      <c r="M708" s="141"/>
      <c r="N708" s="133"/>
      <c r="O708" s="4"/>
      <c r="P708" s="4"/>
      <c r="Q708" s="4"/>
      <c r="R708" s="109"/>
      <c r="S708" s="109"/>
      <c r="T708" s="108"/>
      <c r="U708" s="110"/>
      <c r="V708" s="110"/>
      <c r="W708" s="110"/>
      <c r="X708" s="110"/>
    </row>
    <row r="709" spans="1:24" ht="13.5" customHeight="1">
      <c r="A709" s="110">
        <f>IF(E709="","",MATCH(E709,'Daily Sales'!B$4:B$51,0)+3)</f>
        <v>50</v>
      </c>
      <c r="B709" s="135">
        <v>46195</v>
      </c>
      <c r="C709" s="136" t="s">
        <v>112</v>
      </c>
      <c r="D709" s="137" t="str">
        <f t="array" ref="D709">IF($A709="","",INDEX('Daily Sales'!A:A,$A709))</f>
        <v>2-2110</v>
      </c>
      <c r="E709" s="138" t="s">
        <v>72</v>
      </c>
      <c r="F709" s="139" t="str">
        <f t="shared" si="12"/>
        <v>Cash Short/Over</v>
      </c>
      <c r="G709" s="140"/>
      <c r="H709" s="138">
        <f t="array" ref="H709">IF($A709="","",
  IF(
    OR(
      $A709=23,
      AND($A709&gt;=32,$A709&lt;=50)
    ),
    IFERROR(
      INDEX('Daily Sales'!$C:$AG,
        $A709,
        MATCH(TEXT($B709,"0"),TEXT('Daily Sales'!$C$2:$AG$2,"0"),0)
      ),
    ""),
  "")
)</f>
        <v>2058.2600000000002</v>
      </c>
      <c r="I709" s="138" t="str">
        <f t="array" ref="I709">IF($A709="","",
  IF(
    OR(
      AND($A709&gt;=4,$A709&lt;=8),
      AND($A709&gt;=12,$A709&lt;=19),
      AND($A709&gt;=28,$A709&lt;=29)
    ),
    IFERROR(
      INDEX('Daily Sales'!$C:$AG,
        $A709,
        MATCH(TEXT($B709,"0"),TEXT('Daily Sales'!$C$2:$AG$2,"0"),0)
      ),
    ""),
  "")
)</f>
        <v/>
      </c>
      <c r="J709" s="79" t="e">
        <f t="shared" si="6"/>
        <v>#VALUE!</v>
      </c>
      <c r="K709" s="141"/>
      <c r="L709" s="141"/>
      <c r="M709" s="141"/>
      <c r="N709" s="133"/>
      <c r="O709" s="4"/>
      <c r="P709" s="4"/>
      <c r="Q709" s="4"/>
      <c r="R709" s="109"/>
      <c r="S709" s="109"/>
      <c r="T709" s="108"/>
      <c r="U709" s="110"/>
      <c r="V709" s="110"/>
      <c r="W709" s="110"/>
      <c r="X709" s="110"/>
    </row>
    <row r="710" spans="1:24" ht="14.25" customHeight="1">
      <c r="A710" s="110"/>
      <c r="B710" s="125"/>
      <c r="C710" s="126"/>
      <c r="D710" s="15"/>
      <c r="E710" s="10" t="e">
        <f>TRIM(VLOOKUP(D710,TB!$B$9:$C$1500,2,FALSE))</f>
        <v>#N/A</v>
      </c>
      <c r="F710" s="142"/>
      <c r="G710" s="130"/>
      <c r="H710" s="10"/>
      <c r="I710" s="10"/>
      <c r="J710" s="79" t="e">
        <f t="shared" si="6"/>
        <v>#VALUE!</v>
      </c>
      <c r="K710" s="107"/>
      <c r="L710" s="141"/>
      <c r="M710" s="141"/>
      <c r="N710" s="133"/>
      <c r="O710" s="4"/>
      <c r="P710" s="4"/>
      <c r="Q710" s="4"/>
      <c r="R710" s="134"/>
      <c r="S710" s="109"/>
      <c r="T710" s="108"/>
      <c r="U710" s="110"/>
      <c r="V710" s="110"/>
      <c r="W710" s="110"/>
      <c r="X710" s="110"/>
    </row>
    <row r="711" spans="1:24" ht="13.5" customHeight="1">
      <c r="A711" s="110">
        <f>IF(E711="","",MATCH(E711,'Daily Sales'!B$4:B$51,0)+3)</f>
        <v>4</v>
      </c>
      <c r="B711" s="135">
        <v>46196</v>
      </c>
      <c r="C711" s="136" t="s">
        <v>113</v>
      </c>
      <c r="D711" s="137" t="str">
        <f t="array" ref="D711">IF($A711="","",INDEX('Daily Sales'!A:A,$A711))</f>
        <v>4-2100</v>
      </c>
      <c r="E711" s="138" t="s">
        <v>5</v>
      </c>
      <c r="F711" s="139" t="str">
        <f t="shared" ref="F711:F741" si="13">E711</f>
        <v>Sales Food TERRACE</v>
      </c>
      <c r="G711" s="140"/>
      <c r="H711" s="138" t="str">
        <f t="array" ref="H711">IF($A711="","",
  IF(
    OR(
      $A711=23,
      AND($A711&gt;=32,$A711&lt;=50)
    ),
    IFERROR(
      INDEX('Daily Sales'!$C:$AG,
        $A711,
        MATCH(TEXT($B711,"0"),TEXT('Daily Sales'!$C$2:$AG$2,"0"),0)
      ),
    ""),
  "")
)</f>
        <v/>
      </c>
      <c r="I711" s="138">
        <f t="array" ref="I711">IF($A711="","",
  IF(
    OR(
      AND($A711&gt;=4,$A711&lt;=8),
      AND($A711&gt;=12,$A711&lt;=19),
      AND($A711&gt;=28,$A711&lt;=29)
    ),
    IFERROR(
      INDEX('Daily Sales'!$C:$AG,
        $A711,
        MATCH(TEXT($B711,"0"),TEXT('Daily Sales'!$C$2:$AG$2,"0"),0)
      ),
    ""),
  "")
)</f>
        <v>5089000</v>
      </c>
      <c r="J711" s="79" t="e">
        <f t="shared" si="6"/>
        <v>#VALUE!</v>
      </c>
      <c r="K711" s="141"/>
      <c r="L711" s="141"/>
      <c r="M711" s="141"/>
      <c r="N711" s="133"/>
      <c r="O711" s="4"/>
      <c r="P711" s="4"/>
      <c r="Q711" s="4"/>
      <c r="R711" s="109"/>
      <c r="S711" s="109"/>
      <c r="T711" s="108"/>
      <c r="U711" s="110"/>
      <c r="V711" s="110"/>
      <c r="W711" s="110"/>
      <c r="X711" s="110"/>
    </row>
    <row r="712" spans="1:24" ht="13.5" customHeight="1">
      <c r="A712" s="110">
        <f>IF(E712="","",MATCH(E712,'Daily Sales'!B$4:B$51,0)+3)</f>
        <v>5</v>
      </c>
      <c r="B712" s="135">
        <v>46196</v>
      </c>
      <c r="C712" s="136" t="s">
        <v>113</v>
      </c>
      <c r="D712" s="137" t="str">
        <f t="array" ref="D712">IF($A712="","",INDEX('Daily Sales'!A:A,$A712))</f>
        <v>4-2200</v>
      </c>
      <c r="E712" s="138" t="s">
        <v>7</v>
      </c>
      <c r="F712" s="139" t="str">
        <f t="shared" si="13"/>
        <v>Sales Beverages TERRACE</v>
      </c>
      <c r="G712" s="140"/>
      <c r="H712" s="138" t="str">
        <f t="array" ref="H712">IF($A712="","",
  IF(
    OR(
      $A712=23,
      AND($A712&gt;=32,$A712&lt;=50)
    ),
    IFERROR(
      INDEX('Daily Sales'!$C:$AG,
        $A712,
        MATCH(TEXT($B712,"0"),TEXT('Daily Sales'!$C$2:$AG$2,"0"),0)
      ),
    ""),
  "")
)</f>
        <v/>
      </c>
      <c r="I712" s="138">
        <f t="array" ref="I712">IF($A712="","",
  IF(
    OR(
      AND($A712&gt;=4,$A712&lt;=8),
      AND($A712&gt;=12,$A712&lt;=19),
      AND($A712&gt;=28,$A712&lt;=29)
    ),
    IFERROR(
      INDEX('Daily Sales'!$C:$AG,
        $A712,
        MATCH(TEXT($B712,"0"),TEXT('Daily Sales'!$C$2:$AG$2,"0"),0)
      ),
    ""),
  "")
)</f>
        <v>8795000</v>
      </c>
      <c r="J712" s="79" t="e">
        <f t="shared" si="6"/>
        <v>#VALUE!</v>
      </c>
      <c r="K712" s="141"/>
      <c r="L712" s="141"/>
      <c r="M712" s="141"/>
      <c r="N712" s="133"/>
      <c r="O712" s="4"/>
      <c r="P712" s="4"/>
      <c r="Q712" s="4"/>
      <c r="R712" s="109"/>
      <c r="S712" s="109"/>
      <c r="T712" s="108"/>
      <c r="U712" s="110"/>
      <c r="V712" s="110"/>
      <c r="W712" s="110"/>
      <c r="X712" s="110"/>
    </row>
    <row r="713" spans="1:24" ht="13.5" customHeight="1">
      <c r="A713" s="110">
        <f>IF(E713="","",MATCH(E713,'Daily Sales'!B$4:B$51,0)+3)</f>
        <v>6</v>
      </c>
      <c r="B713" s="135">
        <v>46196</v>
      </c>
      <c r="C713" s="136" t="s">
        <v>113</v>
      </c>
      <c r="D713" s="137" t="str">
        <f t="array" ref="D713">IF($A713="","",INDEX('Daily Sales'!A:A,$A713))</f>
        <v>4-2400</v>
      </c>
      <c r="E713" s="138" t="s">
        <v>9</v>
      </c>
      <c r="F713" s="139" t="str">
        <f t="shared" si="13"/>
        <v>Sales Cigarette TERRACE</v>
      </c>
      <c r="G713" s="140"/>
      <c r="H713" s="138" t="str">
        <f t="array" ref="H713">IF($A713="","",
  IF(
    OR(
      $A713=23,
      AND($A713&gt;=32,$A713&lt;=50)
    ),
    IFERROR(
      INDEX('Daily Sales'!$C:$AG,
        $A713,
        MATCH(TEXT($B713,"0"),TEXT('Daily Sales'!$C$2:$AG$2,"0"),0)
      ),
    ""),
  "")
)</f>
        <v/>
      </c>
      <c r="I713" s="138">
        <f t="array" ref="I713">IF($A713="","",
  IF(
    OR(
      AND($A713&gt;=4,$A713&lt;=8),
      AND($A713&gt;=12,$A713&lt;=19),
      AND($A713&gt;=28,$A713&lt;=29)
    ),
    IFERROR(
      INDEX('Daily Sales'!$C:$AG,
        $A713,
        MATCH(TEXT($B713,"0"),TEXT('Daily Sales'!$C$2:$AG$2,"0"),0)
      ),
    ""),
  "")
)</f>
        <v>70000</v>
      </c>
      <c r="J713" s="79" t="e">
        <f t="shared" si="6"/>
        <v>#VALUE!</v>
      </c>
      <c r="K713" s="141"/>
      <c r="L713" s="141"/>
      <c r="M713" s="141"/>
      <c r="N713" s="133"/>
      <c r="O713" s="4"/>
      <c r="P713" s="4"/>
      <c r="Q713" s="4"/>
      <c r="R713" s="109"/>
      <c r="S713" s="109"/>
      <c r="T713" s="108"/>
      <c r="U713" s="110"/>
      <c r="V713" s="110"/>
      <c r="W713" s="110"/>
      <c r="X713" s="110"/>
    </row>
    <row r="714" spans="1:24" ht="13.5" customHeight="1">
      <c r="A714" s="110">
        <f>IF(E714="","",MATCH(E714,'Daily Sales'!B$4:B$51,0)+3)</f>
        <v>7</v>
      </c>
      <c r="B714" s="135">
        <v>46196</v>
      </c>
      <c r="C714" s="136" t="s">
        <v>113</v>
      </c>
      <c r="D714" s="137" t="str">
        <f t="array" ref="D714">IF($A714="","",INDEX('Daily Sales'!A:A,$A714))</f>
        <v>4-2300</v>
      </c>
      <c r="E714" s="138" t="s">
        <v>11</v>
      </c>
      <c r="F714" s="139" t="str">
        <f t="shared" si="13"/>
        <v>Sales Shisa TERRACE</v>
      </c>
      <c r="G714" s="140"/>
      <c r="H714" s="138" t="str">
        <f t="array" ref="H714">IF($A714="","",
  IF(
    OR(
      $A714=23,
      AND($A714&gt;=32,$A714&lt;=50)
    ),
    IFERROR(
      INDEX('Daily Sales'!$C:$AG,
        $A714,
        MATCH(TEXT($B714,"0"),TEXT('Daily Sales'!$C$2:$AG$2,"0"),0)
      ),
    ""),
  "")
)</f>
        <v/>
      </c>
      <c r="I714" s="138">
        <f t="array" ref="I714">IF($A714="","",
  IF(
    OR(
      AND($A714&gt;=4,$A714&lt;=8),
      AND($A714&gt;=12,$A714&lt;=19),
      AND($A714&gt;=28,$A714&lt;=29)
    ),
    IFERROR(
      INDEX('Daily Sales'!$C:$AG,
        $A714,
        MATCH(TEXT($B714,"0"),TEXT('Daily Sales'!$C$2:$AG$2,"0"),0)
      ),
    ""),
  "")
)</f>
        <v>0</v>
      </c>
      <c r="J714" s="79" t="e">
        <f t="shared" si="6"/>
        <v>#VALUE!</v>
      </c>
      <c r="K714" s="141"/>
      <c r="L714" s="141"/>
      <c r="M714" s="141"/>
      <c r="N714" s="133"/>
      <c r="O714" s="4"/>
      <c r="P714" s="4"/>
      <c r="Q714" s="4"/>
      <c r="R714" s="109"/>
      <c r="S714" s="109"/>
      <c r="T714" s="108"/>
      <c r="U714" s="110"/>
      <c r="V714" s="110"/>
      <c r="W714" s="110"/>
      <c r="X714" s="110"/>
    </row>
    <row r="715" spans="1:24" ht="13.5" customHeight="1">
      <c r="A715" s="110">
        <f>IF(E715="","",MATCH(E715,'Daily Sales'!B$4:B$51,0)+3)</f>
        <v>12</v>
      </c>
      <c r="B715" s="135">
        <v>46196</v>
      </c>
      <c r="C715" s="136" t="s">
        <v>113</v>
      </c>
      <c r="D715" s="137" t="str">
        <f t="array" ref="D715">IF($A715="","",INDEX('Daily Sales'!A:A,$A715))</f>
        <v>4-2200</v>
      </c>
      <c r="E715" s="138" t="s">
        <v>17</v>
      </c>
      <c r="F715" s="139" t="str">
        <f t="shared" si="13"/>
        <v>Sales Beverages CLUB</v>
      </c>
      <c r="G715" s="140"/>
      <c r="H715" s="138" t="str">
        <f t="array" ref="H715">IF($A715="","",
  IF(
    OR(
      $A715=23,
      AND($A715&gt;=32,$A715&lt;=50)
    ),
    IFERROR(
      INDEX('Daily Sales'!$C:$AG,
        $A715,
        MATCH(TEXT($B715,"0"),TEXT('Daily Sales'!$C$2:$AG$2,"0"),0)
      ),
    ""),
  "")
)</f>
        <v/>
      </c>
      <c r="I715" s="138">
        <f t="array" ref="I715">IF($A715="","",
  IF(
    OR(
      AND($A715&gt;=4,$A715&lt;=8),
      AND($A715&gt;=12,$A715&lt;=19),
      AND($A715&gt;=28,$A715&lt;=29)
    ),
    IFERROR(
      INDEX('Daily Sales'!$C:$AG,
        $A715,
        MATCH(TEXT($B715,"0"),TEXT('Daily Sales'!$C$2:$AG$2,"0"),0)
      ),
    ""),
  "")
)</f>
        <v>27903000</v>
      </c>
      <c r="J715" s="79" t="e">
        <f t="shared" si="6"/>
        <v>#VALUE!</v>
      </c>
      <c r="K715" s="141"/>
      <c r="L715" s="141"/>
      <c r="M715" s="141"/>
      <c r="N715" s="133"/>
      <c r="O715" s="4"/>
      <c r="P715" s="4"/>
      <c r="Q715" s="4"/>
      <c r="R715" s="109"/>
      <c r="S715" s="109"/>
      <c r="T715" s="108"/>
      <c r="U715" s="110"/>
      <c r="V715" s="110"/>
      <c r="W715" s="110"/>
      <c r="X715" s="110"/>
    </row>
    <row r="716" spans="1:24" ht="13.5" customHeight="1">
      <c r="A716" s="110">
        <f>IF(E716="","",MATCH(E716,'Daily Sales'!B$4:B$51,0)+3)</f>
        <v>13</v>
      </c>
      <c r="B716" s="135">
        <v>46196</v>
      </c>
      <c r="C716" s="136" t="s">
        <v>113</v>
      </c>
      <c r="D716" s="137" t="str">
        <f t="array" ref="D716">IF($A716="","",INDEX('Daily Sales'!A:A,$A716))</f>
        <v>4-2400</v>
      </c>
      <c r="E716" s="138" t="s">
        <v>18</v>
      </c>
      <c r="F716" s="139" t="str">
        <f t="shared" si="13"/>
        <v>Sales Cigarette CLUB</v>
      </c>
      <c r="G716" s="140"/>
      <c r="H716" s="138" t="str">
        <f t="array" ref="H716">IF($A716="","",
  IF(
    OR(
      $A716=23,
      AND($A716&gt;=32,$A716&lt;=50)
    ),
    IFERROR(
      INDEX('Daily Sales'!$C:$AG,
        $A716,
        MATCH(TEXT($B716,"0"),TEXT('Daily Sales'!$C$2:$AG$2,"0"),0)
      ),
    ""),
  "")
)</f>
        <v/>
      </c>
      <c r="I716" s="138">
        <f t="array" ref="I716">IF($A716="","",
  IF(
    OR(
      AND($A716&gt;=4,$A716&lt;=8),
      AND($A716&gt;=12,$A716&lt;=19),
      AND($A716&gt;=28,$A716&lt;=29)
    ),
    IFERROR(
      INDEX('Daily Sales'!$C:$AG,
        $A716,
        MATCH(TEXT($B716,"0"),TEXT('Daily Sales'!$C$2:$AG$2,"0"),0)
      ),
    ""),
  "")
)</f>
        <v>140000</v>
      </c>
      <c r="J716" s="79" t="e">
        <f t="shared" si="6"/>
        <v>#VALUE!</v>
      </c>
      <c r="K716" s="141"/>
      <c r="L716" s="141"/>
      <c r="M716" s="141"/>
      <c r="N716" s="133"/>
      <c r="O716" s="4"/>
      <c r="P716" s="4"/>
      <c r="Q716" s="4"/>
      <c r="R716" s="109"/>
      <c r="S716" s="109"/>
      <c r="T716" s="108"/>
      <c r="U716" s="110"/>
      <c r="V716" s="110"/>
      <c r="W716" s="110"/>
      <c r="X716" s="110"/>
    </row>
    <row r="717" spans="1:24" ht="13.5" customHeight="1">
      <c r="A717" s="110">
        <f>IF(E717="","",MATCH(E717,'Daily Sales'!B$4:B$51,0)+3)</f>
        <v>14</v>
      </c>
      <c r="B717" s="135">
        <v>46196</v>
      </c>
      <c r="C717" s="136" t="s">
        <v>113</v>
      </c>
      <c r="D717" s="137" t="str">
        <f t="array" ref="D717">IF($A717="","",INDEX('Daily Sales'!A:A,$A717))</f>
        <v>4-2100</v>
      </c>
      <c r="E717" s="138" t="s">
        <v>19</v>
      </c>
      <c r="F717" s="139" t="str">
        <f t="shared" si="13"/>
        <v>Sales Food CLUB</v>
      </c>
      <c r="G717" s="140"/>
      <c r="H717" s="138" t="str">
        <f t="array" ref="H717">IF($A717="","",
  IF(
    OR(
      $A717=23,
      AND($A717&gt;=32,$A717&lt;=50)
    ),
    IFERROR(
      INDEX('Daily Sales'!$C:$AG,
        $A717,
        MATCH(TEXT($B717,"0"),TEXT('Daily Sales'!$C$2:$AG$2,"0"),0)
      ),
    ""),
  "")
)</f>
        <v/>
      </c>
      <c r="I717" s="138">
        <f t="array" ref="I717">IF($A717="","",
  IF(
    OR(
      AND($A717&gt;=4,$A717&lt;=8),
      AND($A717&gt;=12,$A717&lt;=19),
      AND($A717&gt;=28,$A717&lt;=29)
    ),
    IFERROR(
      INDEX('Daily Sales'!$C:$AG,
        $A717,
        MATCH(TEXT($B717,"0"),TEXT('Daily Sales'!$C$2:$AG$2,"0"),0)
      ),
    ""),
  "")
)</f>
        <v>1020000</v>
      </c>
      <c r="J717" s="79" t="e">
        <f t="shared" si="6"/>
        <v>#VALUE!</v>
      </c>
      <c r="K717" s="141"/>
      <c r="L717" s="141"/>
      <c r="M717" s="141"/>
      <c r="N717" s="133"/>
      <c r="O717" s="4"/>
      <c r="P717" s="4"/>
      <c r="Q717" s="4"/>
      <c r="R717" s="109"/>
      <c r="S717" s="109"/>
      <c r="T717" s="108"/>
      <c r="U717" s="110"/>
      <c r="V717" s="110"/>
      <c r="W717" s="110"/>
      <c r="X717" s="110"/>
    </row>
    <row r="718" spans="1:24" ht="13.5" customHeight="1">
      <c r="A718" s="110">
        <f>IF(E718="","",MATCH(E718,'Daily Sales'!B$4:B$51,0)+3)</f>
        <v>15</v>
      </c>
      <c r="B718" s="135">
        <v>46196</v>
      </c>
      <c r="C718" s="136" t="s">
        <v>113</v>
      </c>
      <c r="D718" s="137" t="str">
        <f t="array" ref="D718">IF($A718="","",INDEX('Daily Sales'!A:A,$A718))</f>
        <v>4-2300</v>
      </c>
      <c r="E718" s="138" t="s">
        <v>20</v>
      </c>
      <c r="F718" s="139" t="str">
        <f t="shared" si="13"/>
        <v>Sales Shisa CLUB</v>
      </c>
      <c r="G718" s="140"/>
      <c r="H718" s="138" t="str">
        <f t="array" ref="H718">IF($A718="","",
  IF(
    OR(
      $A718=23,
      AND($A718&gt;=32,$A718&lt;=50)
    ),
    IFERROR(
      INDEX('Daily Sales'!$C:$AG,
        $A718,
        MATCH(TEXT($B718,"0"),TEXT('Daily Sales'!$C$2:$AG$2,"0"),0)
      ),
    ""),
  "")
)</f>
        <v/>
      </c>
      <c r="I718" s="138">
        <f t="array" ref="I718">IF($A718="","",
  IF(
    OR(
      AND($A718&gt;=4,$A718&lt;=8),
      AND($A718&gt;=12,$A718&lt;=19),
      AND($A718&gt;=28,$A718&lt;=29)
    ),
    IFERROR(
      INDEX('Daily Sales'!$C:$AG,
        $A718,
        MATCH(TEXT($B718,"0"),TEXT('Daily Sales'!$C$2:$AG$2,"0"),0)
      ),
    ""),
  "")
)</f>
        <v>0</v>
      </c>
      <c r="J718" s="79" t="e">
        <f t="shared" si="6"/>
        <v>#VALUE!</v>
      </c>
      <c r="K718" s="141"/>
      <c r="L718" s="141"/>
      <c r="M718" s="141"/>
      <c r="N718" s="133"/>
      <c r="O718" s="4"/>
      <c r="P718" s="4"/>
      <c r="Q718" s="4"/>
      <c r="R718" s="109"/>
      <c r="S718" s="109"/>
      <c r="T718" s="108"/>
      <c r="U718" s="110"/>
      <c r="V718" s="110"/>
      <c r="W718" s="110"/>
      <c r="X718" s="110"/>
    </row>
    <row r="719" spans="1:24" ht="13.5" customHeight="1">
      <c r="A719" s="110">
        <f>IF(E719="","",MATCH(E719,'Daily Sales'!B$4:B$51,0)+3)</f>
        <v>17</v>
      </c>
      <c r="B719" s="135">
        <v>46196</v>
      </c>
      <c r="C719" s="136" t="s">
        <v>113</v>
      </c>
      <c r="D719" s="137" t="str">
        <f t="array" ref="D719">IF($A719="","",INDEX('Daily Sales'!A:A,$A719))</f>
        <v>4-2601</v>
      </c>
      <c r="E719" s="138" t="s">
        <v>23</v>
      </c>
      <c r="F719" s="139" t="str">
        <f t="shared" si="13"/>
        <v xml:space="preserve">Misc </v>
      </c>
      <c r="G719" s="140"/>
      <c r="H719" s="138" t="str">
        <f t="array" ref="H719">IF($A719="","",
  IF(
    OR(
      $A719=23,
      AND($A719&gt;=32,$A719&lt;=50)
    ),
    IFERROR(
      INDEX('Daily Sales'!$C:$AG,
        $A719,
        MATCH(TEXT($B719,"0"),TEXT('Daily Sales'!$C$2:$AG$2,"0"),0)
      ),
    ""),
  "")
)</f>
        <v/>
      </c>
      <c r="I719" s="138">
        <f t="array" ref="I719">IF($A719="","",
  IF(
    OR(
      AND($A719&gt;=4,$A719&lt;=8),
      AND($A719&gt;=12,$A719&lt;=19),
      AND($A719&gt;=28,$A719&lt;=29)
    ),
    IFERROR(
      INDEX('Daily Sales'!$C:$AG,
        $A719,
        MATCH(TEXT($B719,"0"),TEXT('Daily Sales'!$C$2:$AG$2,"0"),0)
      ),
    ""),
  "")
)</f>
        <v>0</v>
      </c>
      <c r="J719" s="79" t="e">
        <f t="shared" si="6"/>
        <v>#VALUE!</v>
      </c>
      <c r="K719" s="141"/>
      <c r="L719" s="141"/>
      <c r="M719" s="141"/>
      <c r="N719" s="133"/>
      <c r="O719" s="4"/>
      <c r="P719" s="4"/>
      <c r="Q719" s="4"/>
      <c r="R719" s="109"/>
      <c r="S719" s="109"/>
      <c r="T719" s="108"/>
      <c r="U719" s="110"/>
      <c r="V719" s="110"/>
      <c r="W719" s="110"/>
      <c r="X719" s="110"/>
    </row>
    <row r="720" spans="1:24" ht="13.5" customHeight="1">
      <c r="A720" s="110">
        <f>IF(E720="","",MATCH(E720,'Daily Sales'!B$4:B$51,0)+3)</f>
        <v>19</v>
      </c>
      <c r="B720" s="135">
        <v>46196</v>
      </c>
      <c r="C720" s="136" t="s">
        <v>113</v>
      </c>
      <c r="D720" s="137" t="str">
        <f t="array" ref="D720">IF($A720="","",INDEX('Daily Sales'!A:A,$A720))</f>
        <v>4-2500</v>
      </c>
      <c r="E720" s="138" t="s">
        <v>26</v>
      </c>
      <c r="F720" s="139" t="str">
        <f t="shared" si="13"/>
        <v>Sales Ticket</v>
      </c>
      <c r="G720" s="140"/>
      <c r="H720" s="138" t="str">
        <f t="array" ref="H720">IF($A720="","",
  IF(
    OR(
      $A720=23,
      AND($A720&gt;=32,$A720&lt;=50)
    ),
    IFERROR(
      INDEX('Daily Sales'!$C:$AG,
        $A720,
        MATCH(TEXT($B720,"0"),TEXT('Daily Sales'!$C$2:$AG$2,"0"),0)
      ),
    ""),
  "")
)</f>
        <v/>
      </c>
      <c r="I720" s="138">
        <f t="array" ref="I720">IF($A720="","",
  IF(
    OR(
      AND($A720&gt;=4,$A720&lt;=8),
      AND($A720&gt;=12,$A720&lt;=19),
      AND($A720&gt;=28,$A720&lt;=29)
    ),
    IFERROR(
      INDEX('Daily Sales'!$C:$AG,
        $A720,
        MATCH(TEXT($B720,"0"),TEXT('Daily Sales'!$C$2:$AG$2,"0"),0)
      ),
    ""),
  "")
)</f>
        <v>17842020</v>
      </c>
      <c r="J720" s="79" t="e">
        <f t="shared" si="6"/>
        <v>#VALUE!</v>
      </c>
      <c r="K720" s="141"/>
      <c r="L720" s="141"/>
      <c r="M720" s="141"/>
      <c r="N720" s="133"/>
      <c r="O720" s="4"/>
      <c r="P720" s="4"/>
      <c r="Q720" s="4"/>
      <c r="R720" s="109"/>
      <c r="S720" s="109"/>
      <c r="T720" s="108"/>
      <c r="U720" s="110"/>
      <c r="V720" s="110"/>
      <c r="W720" s="110"/>
      <c r="X720" s="110"/>
    </row>
    <row r="721" spans="1:24" ht="13.5" customHeight="1">
      <c r="A721" s="110">
        <f>IF(E721="","",MATCH(E721,'Daily Sales'!B$4:B$51,0)+3)</f>
        <v>28</v>
      </c>
      <c r="B721" s="135">
        <v>46196</v>
      </c>
      <c r="C721" s="136" t="s">
        <v>113</v>
      </c>
      <c r="D721" s="137" t="str">
        <f t="array" ref="D721">IF($A721="","",INDEX('Daily Sales'!A:A,$A721))</f>
        <v>2-2106</v>
      </c>
      <c r="E721" s="138" t="s">
        <v>35</v>
      </c>
      <c r="F721" s="139" t="str">
        <f t="shared" si="13"/>
        <v>Service Charges 7%</v>
      </c>
      <c r="G721" s="140"/>
      <c r="H721" s="138" t="str">
        <f t="array" ref="H721">IF($A721="","",
  IF(
    OR(
      $A721=23,
      AND($A721&gt;=32,$A721&lt;=50)
    ),
    IFERROR(
      INDEX('Daily Sales'!$C:$AG,
        $A721,
        MATCH(TEXT($B721,"0"),TEXT('Daily Sales'!$C$2:$AG$2,"0"),0)
      ),
    ""),
  "")
)</f>
        <v/>
      </c>
      <c r="I721" s="138">
        <f t="array" ref="I721">IF($A721="","",
  IF(
    OR(
      AND($A721&gt;=4,$A721&lt;=8),
      AND($A721&gt;=12,$A721&lt;=19),
      AND($A721&gt;=28,$A721&lt;=29)
    ),
    IFERROR(
      INDEX('Daily Sales'!$C:$AG,
        $A721,
        MATCH(TEXT($B721,"0"),TEXT('Daily Sales'!$C$2:$AG$2,"0"),0)
      ),
    ""),
  "")
)</f>
        <v>4215156.4000000004</v>
      </c>
      <c r="J721" s="79" t="e">
        <f t="shared" si="6"/>
        <v>#VALUE!</v>
      </c>
      <c r="K721" s="141"/>
      <c r="L721" s="141"/>
      <c r="M721" s="141"/>
      <c r="N721" s="133"/>
      <c r="O721" s="4"/>
      <c r="P721" s="4"/>
      <c r="Q721" s="4"/>
      <c r="R721" s="109"/>
      <c r="S721" s="109"/>
      <c r="T721" s="108"/>
      <c r="U721" s="110"/>
      <c r="V721" s="110"/>
      <c r="W721" s="110"/>
      <c r="X721" s="110"/>
    </row>
    <row r="722" spans="1:24" ht="13.5" customHeight="1">
      <c r="A722" s="110">
        <f>IF(E722="","",MATCH(E722,'Daily Sales'!B$4:B$51,0)+3)</f>
        <v>29</v>
      </c>
      <c r="B722" s="135">
        <v>46196</v>
      </c>
      <c r="C722" s="136" t="s">
        <v>113</v>
      </c>
      <c r="D722" s="137" t="str">
        <f t="array" ref="D722">IF($A722="","",INDEX('Daily Sales'!A:A,$A722))</f>
        <v>2-3101</v>
      </c>
      <c r="E722" s="138" t="s">
        <v>37</v>
      </c>
      <c r="F722" s="139" t="str">
        <f t="shared" si="13"/>
        <v>Tax PB1 10%</v>
      </c>
      <c r="G722" s="140"/>
      <c r="H722" s="138" t="str">
        <f t="array" ref="H722">IF($A722="","",
  IF(
    OR(
      $A722=23,
      AND($A722&gt;=32,$A722&lt;=50)
    ),
    IFERROR(
      INDEX('Daily Sales'!$C:$AG,
        $A722,
        MATCH(TEXT($B722,"0"),TEXT('Daily Sales'!$C$2:$AG$2,"0"),0)
      ),
    ""),
  "")
)</f>
        <v/>
      </c>
      <c r="I722" s="138">
        <f t="array" ref="I722">IF($A722="","",
  IF(
    OR(
      AND($A722&gt;=4,$A722&lt;=8),
      AND($A722&gt;=12,$A722&lt;=19),
      AND($A722&gt;=28,$A722&lt;=29)
    ),
    IFERROR(
      INDEX('Daily Sales'!$C:$AG,
        $A722,
        MATCH(TEXT($B722,"0"),TEXT('Daily Sales'!$C$2:$AG$2,"0"),0)
      ),
    ""),
  "")
)</f>
        <v>6443167.6400000006</v>
      </c>
      <c r="J722" s="79" t="e">
        <f t="shared" si="6"/>
        <v>#VALUE!</v>
      </c>
      <c r="K722" s="141"/>
      <c r="L722" s="141"/>
      <c r="M722" s="141"/>
      <c r="N722" s="133"/>
      <c r="O722" s="4"/>
      <c r="P722" s="4"/>
      <c r="Q722" s="4"/>
      <c r="R722" s="109"/>
      <c r="S722" s="109"/>
      <c r="T722" s="108"/>
      <c r="U722" s="110"/>
      <c r="V722" s="110"/>
      <c r="W722" s="110"/>
      <c r="X722" s="110"/>
    </row>
    <row r="723" spans="1:24" ht="13.5" customHeight="1">
      <c r="A723" s="110">
        <f>IF(E723="","",MATCH(E723,'Daily Sales'!B$4:B$51,0)+3)</f>
        <v>23</v>
      </c>
      <c r="B723" s="135">
        <v>46196</v>
      </c>
      <c r="C723" s="136" t="s">
        <v>113</v>
      </c>
      <c r="D723" s="137" t="str">
        <f t="array" ref="D723">IF($A723="","",INDEX('Daily Sales'!A:A,$A723))</f>
        <v>4-5110</v>
      </c>
      <c r="E723" s="138" t="s">
        <v>30</v>
      </c>
      <c r="F723" s="139" t="str">
        <f t="shared" si="13"/>
        <v>Discount</v>
      </c>
      <c r="G723" s="140"/>
      <c r="H723" s="138">
        <f t="array" ref="H723">IF($A723="","",
  IF(
    OR(
      $A723=23,
      AND($A723&gt;=32,$A723&lt;=50)
    ),
    IFERROR(
      INDEX('Daily Sales'!$C:$AG,
        $A723,
        MATCH(TEXT($B723,"0"),TEXT('Daily Sales'!$C$2:$AG$2,"0"),0)
      ),
    ""),
  "")
)</f>
        <v>642500</v>
      </c>
      <c r="I723" s="138" t="str">
        <f t="array" ref="I723">IF($A723="","",
  IF(
    OR(
      AND($A723&gt;=4,$A723&lt;=8),
      AND($A723&gt;=12,$A723&lt;=19),
      AND($A723&gt;=28,$A723&lt;=29)
    ),
    IFERROR(
      INDEX('Daily Sales'!$C:$AG,
        $A723,
        MATCH(TEXT($B723,"0"),TEXT('Daily Sales'!$C$2:$AG$2,"0"),0)
      ),
    ""),
  "")
)</f>
        <v/>
      </c>
      <c r="J723" s="79" t="e">
        <f t="shared" si="6"/>
        <v>#VALUE!</v>
      </c>
      <c r="K723" s="141"/>
      <c r="L723" s="141"/>
      <c r="M723" s="141"/>
      <c r="N723" s="133"/>
      <c r="O723" s="4"/>
      <c r="P723" s="4"/>
      <c r="Q723" s="4"/>
      <c r="R723" s="109"/>
      <c r="S723" s="109"/>
      <c r="T723" s="108"/>
      <c r="U723" s="110"/>
      <c r="V723" s="110"/>
      <c r="W723" s="110"/>
      <c r="X723" s="110"/>
    </row>
    <row r="724" spans="1:24" ht="13.5" customHeight="1">
      <c r="A724" s="110">
        <f>IF(E724="","",MATCH(E724,'Daily Sales'!B$4:B$51,0)+3)</f>
        <v>32</v>
      </c>
      <c r="B724" s="135">
        <v>46196</v>
      </c>
      <c r="C724" s="136" t="s">
        <v>113</v>
      </c>
      <c r="D724" s="137" t="str">
        <f t="array" ref="D724">IF($A724="","",INDEX('Daily Sales'!A:A,$A724))</f>
        <v>1-1119</v>
      </c>
      <c r="E724" s="138" t="s">
        <v>40</v>
      </c>
      <c r="F724" s="139" t="str">
        <f t="shared" si="13"/>
        <v>Cash IDR</v>
      </c>
      <c r="G724" s="140"/>
      <c r="H724" s="138">
        <f t="array" ref="H724">IF($A724="","",
  IF(
    OR(
      $A724=23,
      AND($A724&gt;=32,$A724&lt;=50)
    ),
    IFERROR(
      INDEX('Daily Sales'!$C:$AG,
        $A724,
        MATCH(TEXT($B724,"0"),TEXT('Daily Sales'!$C$2:$AG$2,"0"),0)
      ),
    ""),
  "")
)</f>
        <v>8460347</v>
      </c>
      <c r="I724" s="138" t="str">
        <f t="array" ref="I724">IF($A724="","",
  IF(
    OR(
      AND($A724&gt;=4,$A724&lt;=8),
      AND($A724&gt;=12,$A724&lt;=19),
      AND($A724&gt;=28,$A724&lt;=29)
    ),
    IFERROR(
      INDEX('Daily Sales'!$C:$AG,
        $A724,
        MATCH(TEXT($B724,"0"),TEXT('Daily Sales'!$C$2:$AG$2,"0"),0)
      ),
    ""),
  "")
)</f>
        <v/>
      </c>
      <c r="J724" s="79" t="e">
        <f t="shared" si="6"/>
        <v>#VALUE!</v>
      </c>
      <c r="K724" s="141"/>
      <c r="L724" s="141"/>
      <c r="M724" s="141"/>
      <c r="N724" s="133"/>
      <c r="O724" s="4"/>
      <c r="P724" s="4"/>
      <c r="Q724" s="4"/>
      <c r="R724" s="109"/>
      <c r="S724" s="109"/>
      <c r="T724" s="108"/>
      <c r="U724" s="110"/>
      <c r="V724" s="110"/>
      <c r="W724" s="110"/>
      <c r="X724" s="110"/>
    </row>
    <row r="725" spans="1:24" ht="13.5" customHeight="1">
      <c r="A725" s="110">
        <f>IF(E725="","",MATCH(E725,'Daily Sales'!B$4:B$51,0)+3)</f>
        <v>33</v>
      </c>
      <c r="B725" s="135">
        <v>46196</v>
      </c>
      <c r="C725" s="136" t="s">
        <v>113</v>
      </c>
      <c r="D725" s="137" t="str">
        <f t="array" ref="D725">IF($A725="","",INDEX('Daily Sales'!A:A,$A725))</f>
        <v>1-1217</v>
      </c>
      <c r="E725" s="138" t="s">
        <v>43</v>
      </c>
      <c r="F725" s="139" t="str">
        <f t="shared" si="13"/>
        <v>Bank transfer</v>
      </c>
      <c r="G725" s="140"/>
      <c r="H725" s="138">
        <f t="array" ref="H725">IF($A725="","",
  IF(
    OR(
      $A725=23,
      AND($A725&gt;=32,$A725&lt;=50)
    ),
    IFERROR(
      INDEX('Daily Sales'!$C:$AG,
        $A725,
        MATCH(TEXT($B725,"0"),TEXT('Daily Sales'!$C$2:$AG$2,"0"),0)
      ),
    ""),
  "")
)</f>
        <v>0</v>
      </c>
      <c r="I725" s="138" t="str">
        <f t="array" ref="I725">IF($A725="","",
  IF(
    OR(
      AND($A725&gt;=4,$A725&lt;=8),
      AND($A725&gt;=12,$A725&lt;=19),
      AND($A725&gt;=28,$A725&lt;=29)
    ),
    IFERROR(
      INDEX('Daily Sales'!$C:$AG,
        $A725,
        MATCH(TEXT($B725,"0"),TEXT('Daily Sales'!$C$2:$AG$2,"0"),0)
      ),
    ""),
  "")
)</f>
        <v/>
      </c>
      <c r="J725" s="79" t="e">
        <f t="shared" si="6"/>
        <v>#VALUE!</v>
      </c>
      <c r="K725" s="141"/>
      <c r="L725" s="141"/>
      <c r="M725" s="141"/>
      <c r="N725" s="133"/>
      <c r="O725" s="4"/>
      <c r="P725" s="4"/>
      <c r="Q725" s="4"/>
      <c r="R725" s="109"/>
      <c r="S725" s="109"/>
      <c r="T725" s="108"/>
      <c r="U725" s="110"/>
      <c r="V725" s="110"/>
      <c r="W725" s="110"/>
      <c r="X725" s="110"/>
    </row>
    <row r="726" spans="1:24" ht="13.5" customHeight="1">
      <c r="A726" s="110">
        <f>IF(E726="","",MATCH(E726,'Daily Sales'!B$4:B$51,0)+3)</f>
        <v>35</v>
      </c>
      <c r="B726" s="135">
        <v>46196</v>
      </c>
      <c r="C726" s="136" t="s">
        <v>113</v>
      </c>
      <c r="D726" s="137" t="str">
        <f t="array" ref="D726">IF($A726="","",INDEX('Daily Sales'!A:A,$A726))</f>
        <v>1-1216</v>
      </c>
      <c r="E726" s="138" t="s">
        <v>46</v>
      </c>
      <c r="F726" s="139" t="str">
        <f t="shared" si="13"/>
        <v>Cim Niaga TBB</v>
      </c>
      <c r="G726" s="140"/>
      <c r="H726" s="138">
        <f t="array" ref="H726">IF($A726="","",
  IF(
    OR(
      $A726=23,
      AND($A726&gt;=32,$A726&lt;=50)
    ),
    IFERROR(
      INDEX('Daily Sales'!$C:$AG,
        $A726,
        MATCH(TEXT($B726,"0"),TEXT('Daily Sales'!$C$2:$AG$2,"0"),0)
      ),
    ""),
  "")
)</f>
        <v>0</v>
      </c>
      <c r="I726" s="138" t="str">
        <f t="array" ref="I726">IF($A726="","",
  IF(
    OR(
      AND($A726&gt;=4,$A726&lt;=8),
      AND($A726&gt;=12,$A726&lt;=19),
      AND($A726&gt;=28,$A726&lt;=29)
    ),
    IFERROR(
      INDEX('Daily Sales'!$C:$AG,
        $A726,
        MATCH(TEXT($B726,"0"),TEXT('Daily Sales'!$C$2:$AG$2,"0"),0)
      ),
    ""),
  "")
)</f>
        <v/>
      </c>
      <c r="J726" s="79" t="e">
        <f t="shared" si="6"/>
        <v>#VALUE!</v>
      </c>
      <c r="K726" s="141"/>
      <c r="L726" s="141"/>
      <c r="M726" s="141"/>
      <c r="N726" s="133"/>
      <c r="O726" s="4"/>
      <c r="P726" s="4"/>
      <c r="Q726" s="4"/>
      <c r="R726" s="109"/>
      <c r="S726" s="109"/>
      <c r="T726" s="108"/>
      <c r="U726" s="110"/>
      <c r="V726" s="110"/>
      <c r="W726" s="110"/>
      <c r="X726" s="110"/>
    </row>
    <row r="727" spans="1:24" ht="13.5" customHeight="1">
      <c r="A727" s="110">
        <f>IF(E727="","",MATCH(E727,'Daily Sales'!B$4:B$51,0)+3)</f>
        <v>36</v>
      </c>
      <c r="B727" s="135">
        <v>46196</v>
      </c>
      <c r="C727" s="136" t="s">
        <v>113</v>
      </c>
      <c r="D727" s="137" t="str">
        <f t="array" ref="D727">IF($A727="","",INDEX('Daily Sales'!A:A,$A727))</f>
        <v>1-1213</v>
      </c>
      <c r="E727" s="138" t="s">
        <v>49</v>
      </c>
      <c r="F727" s="139" t="str">
        <f t="shared" si="13"/>
        <v>Mandiri Debet</v>
      </c>
      <c r="G727" s="140"/>
      <c r="H727" s="138">
        <f t="array" ref="H727">IF($A727="","",
  IF(
    OR(
      $A727=23,
      AND($A727&gt;=32,$A727&lt;=50)
    ),
    IFERROR(
      INDEX('Daily Sales'!$C:$AG,
        $A727,
        MATCH(TEXT($B727,"0"),TEXT('Daily Sales'!$C$2:$AG$2,"0"),0)
      ),
    ""),
  "")
)</f>
        <v>70620</v>
      </c>
      <c r="I727" s="138" t="str">
        <f t="array" ref="I727">IF($A727="","",
  IF(
    OR(
      AND($A727&gt;=4,$A727&lt;=8),
      AND($A727&gt;=12,$A727&lt;=19),
      AND($A727&gt;=28,$A727&lt;=29)
    ),
    IFERROR(
      INDEX('Daily Sales'!$C:$AG,
        $A727,
        MATCH(TEXT($B727,"0"),TEXT('Daily Sales'!$C$2:$AG$2,"0"),0)
      ),
    ""),
  "")
)</f>
        <v/>
      </c>
      <c r="J727" s="79" t="e">
        <f t="shared" si="6"/>
        <v>#VALUE!</v>
      </c>
      <c r="K727" s="141"/>
      <c r="L727" s="141"/>
      <c r="M727" s="141"/>
      <c r="N727" s="133"/>
      <c r="O727" s="4"/>
      <c r="P727" s="4"/>
      <c r="Q727" s="4"/>
      <c r="R727" s="109"/>
      <c r="S727" s="109"/>
      <c r="T727" s="108"/>
      <c r="U727" s="110"/>
      <c r="V727" s="110"/>
      <c r="W727" s="110"/>
      <c r="X727" s="110"/>
    </row>
    <row r="728" spans="1:24" ht="13.5" customHeight="1">
      <c r="A728" s="110">
        <f>IF(E728="","",MATCH(E728,'Daily Sales'!B$4:B$51,0)+3)</f>
        <v>37</v>
      </c>
      <c r="B728" s="135">
        <v>46196</v>
      </c>
      <c r="C728" s="136" t="s">
        <v>113</v>
      </c>
      <c r="D728" s="137" t="str">
        <f t="array" ref="D728">IF($A728="","",INDEX('Daily Sales'!A:A,$A728))</f>
        <v>1-1213</v>
      </c>
      <c r="E728" s="138" t="s">
        <v>50</v>
      </c>
      <c r="F728" s="139" t="str">
        <f t="shared" si="13"/>
        <v>Mandiri CC</v>
      </c>
      <c r="G728" s="140"/>
      <c r="H728" s="138">
        <f t="array" ref="H728">IF($A728="","",
  IF(
    OR(
      $A728=23,
      AND($A728&gt;=32,$A728&lt;=50)
    ),
    IFERROR(
      INDEX('Daily Sales'!$C:$AG,
        $A728,
        MATCH(TEXT($B728,"0"),TEXT('Daily Sales'!$C$2:$AG$2,"0"),0)
      ),
    ""),
  "")
)</f>
        <v>26241603</v>
      </c>
      <c r="I728" s="138" t="str">
        <f t="array" ref="I728">IF($A728="","",
  IF(
    OR(
      AND($A728&gt;=4,$A728&lt;=8),
      AND($A728&gt;=12,$A728&lt;=19),
      AND($A728&gt;=28,$A728&lt;=29)
    ),
    IFERROR(
      INDEX('Daily Sales'!$C:$AG,
        $A728,
        MATCH(TEXT($B728,"0"),TEXT('Daily Sales'!$C$2:$AG$2,"0"),0)
      ),
    ""),
  "")
)</f>
        <v/>
      </c>
      <c r="J728" s="79" t="e">
        <f t="shared" si="6"/>
        <v>#VALUE!</v>
      </c>
      <c r="K728" s="141"/>
      <c r="L728" s="141"/>
      <c r="M728" s="141"/>
      <c r="N728" s="133"/>
      <c r="O728" s="4"/>
      <c r="P728" s="4"/>
      <c r="Q728" s="4"/>
      <c r="R728" s="109"/>
      <c r="S728" s="109"/>
      <c r="T728" s="108"/>
      <c r="U728" s="110"/>
      <c r="V728" s="110"/>
      <c r="W728" s="110"/>
      <c r="X728" s="110"/>
    </row>
    <row r="729" spans="1:24" ht="13.5" customHeight="1">
      <c r="A729" s="110">
        <f>IF(E729="","",MATCH(E729,'Daily Sales'!B$4:B$51,0)+3)</f>
        <v>38</v>
      </c>
      <c r="B729" s="135">
        <v>46196</v>
      </c>
      <c r="C729" s="136" t="s">
        <v>113</v>
      </c>
      <c r="D729" s="137" t="str">
        <f t="array" ref="D729">IF($A729="","",INDEX('Daily Sales'!A:A,$A729))</f>
        <v>1-1213</v>
      </c>
      <c r="E729" s="138" t="s">
        <v>51</v>
      </c>
      <c r="F729" s="139" t="str">
        <f t="shared" si="13"/>
        <v>Mandiri NPG</v>
      </c>
      <c r="G729" s="140"/>
      <c r="H729" s="138">
        <f t="array" ref="H729">IF($A729="","",
  IF(
    OR(
      $A729=23,
      AND($A729&gt;=32,$A729&lt;=50)
    ),
    IFERROR(
      INDEX('Daily Sales'!$C:$AG,
        $A729,
        MATCH(TEXT($B729,"0"),TEXT('Daily Sales'!$C$2:$AG$2,"0"),0)
      ),
    ""),
  "")
)</f>
        <v>4748475</v>
      </c>
      <c r="I729" s="138" t="str">
        <f t="array" ref="I729">IF($A729="","",
  IF(
    OR(
      AND($A729&gt;=4,$A729&lt;=8),
      AND($A729&gt;=12,$A729&lt;=19),
      AND($A729&gt;=28,$A729&lt;=29)
    ),
    IFERROR(
      INDEX('Daily Sales'!$C:$AG,
        $A729,
        MATCH(TEXT($B729,"0"),TEXT('Daily Sales'!$C$2:$AG$2,"0"),0)
      ),
    ""),
  "")
)</f>
        <v/>
      </c>
      <c r="J729" s="79" t="e">
        <f t="shared" si="6"/>
        <v>#VALUE!</v>
      </c>
      <c r="K729" s="141"/>
      <c r="L729" s="141"/>
      <c r="M729" s="141"/>
      <c r="N729" s="133"/>
      <c r="O729" s="4"/>
      <c r="P729" s="4"/>
      <c r="Q729" s="4"/>
      <c r="R729" s="109"/>
      <c r="S729" s="109"/>
      <c r="T729" s="108"/>
      <c r="U729" s="110"/>
      <c r="V729" s="110"/>
      <c r="W729" s="110"/>
      <c r="X729" s="110"/>
    </row>
    <row r="730" spans="1:24" ht="13.5" customHeight="1">
      <c r="A730" s="110">
        <f>IF(E730="","",MATCH(E730,'Daily Sales'!B$4:B$51,0)+3)</f>
        <v>39</v>
      </c>
      <c r="B730" s="135">
        <v>46196</v>
      </c>
      <c r="C730" s="136" t="s">
        <v>113</v>
      </c>
      <c r="D730" s="137" t="str">
        <f t="array" ref="D730">IF($A730="","",INDEX('Daily Sales'!A:A,$A730))</f>
        <v>1-1213</v>
      </c>
      <c r="E730" s="138" t="s">
        <v>52</v>
      </c>
      <c r="F730" s="139" t="str">
        <f t="shared" si="13"/>
        <v>Mandiri QR</v>
      </c>
      <c r="G730" s="140"/>
      <c r="H730" s="138">
        <f t="array" ref="H730">IF($A730="","",
  IF(
    OR(
      $A730=23,
      AND($A730&gt;=32,$A730&lt;=50)
    ),
    IFERROR(
      INDEX('Daily Sales'!$C:$AG,
        $A730,
        MATCH(TEXT($B730,"0"),TEXT('Daily Sales'!$C$2:$AG$2,"0"),0)
      ),
    ""),
  "")
)</f>
        <v>23593748</v>
      </c>
      <c r="I730" s="138" t="str">
        <f t="array" ref="I730">IF($A730="","",
  IF(
    OR(
      AND($A730&gt;=4,$A730&lt;=8),
      AND($A730&gt;=12,$A730&lt;=19),
      AND($A730&gt;=28,$A730&lt;=29)
    ),
    IFERROR(
      INDEX('Daily Sales'!$C:$AG,
        $A730,
        MATCH(TEXT($B730,"0"),TEXT('Daily Sales'!$C$2:$AG$2,"0"),0)
      ),
    ""),
  "")
)</f>
        <v/>
      </c>
      <c r="J730" s="79" t="e">
        <f t="shared" si="6"/>
        <v>#VALUE!</v>
      </c>
      <c r="K730" s="141"/>
      <c r="L730" s="141"/>
      <c r="M730" s="141"/>
      <c r="N730" s="133"/>
      <c r="O730" s="4"/>
      <c r="P730" s="4"/>
      <c r="Q730" s="4"/>
      <c r="R730" s="109"/>
      <c r="S730" s="109"/>
      <c r="T730" s="108"/>
      <c r="U730" s="110"/>
      <c r="V730" s="110"/>
      <c r="W730" s="110"/>
      <c r="X730" s="110"/>
    </row>
    <row r="731" spans="1:24" ht="13.5" customHeight="1">
      <c r="A731" s="110">
        <f>IF(E731="","",MATCH(E731,'Daily Sales'!B$4:B$51,0)+3)</f>
        <v>40</v>
      </c>
      <c r="B731" s="135">
        <v>46196</v>
      </c>
      <c r="C731" s="136" t="s">
        <v>113</v>
      </c>
      <c r="D731" s="137" t="str">
        <f t="array" ref="D731">IF($A731="","",INDEX('Daily Sales'!A:A,$A731))</f>
        <v>1-1217</v>
      </c>
      <c r="E731" s="138" t="s">
        <v>54</v>
      </c>
      <c r="F731" s="139" t="str">
        <f t="shared" si="13"/>
        <v>BCA CC</v>
      </c>
      <c r="G731" s="140"/>
      <c r="H731" s="138">
        <f t="array" ref="H731">IF($A731="","",
  IF(
    OR(
      $A731=23,
      AND($A731&gt;=32,$A731&lt;=50)
    ),
    IFERROR(
      INDEX('Daily Sales'!$C:$AG,
        $A731,
        MATCH(TEXT($B731,"0"),TEXT('Daily Sales'!$C$2:$AG$2,"0"),0)
      ),
    ""),
  "")
)</f>
        <v>2241008</v>
      </c>
      <c r="I731" s="138" t="str">
        <f t="array" ref="I731">IF($A731="","",
  IF(
    OR(
      AND($A731&gt;=4,$A731&lt;=8),
      AND($A731&gt;=12,$A731&lt;=19),
      AND($A731&gt;=28,$A731&lt;=29)
    ),
    IFERROR(
      INDEX('Daily Sales'!$C:$AG,
        $A731,
        MATCH(TEXT($B731,"0"),TEXT('Daily Sales'!$C$2:$AG$2,"0"),0)
      ),
    ""),
  "")
)</f>
        <v/>
      </c>
      <c r="J731" s="79" t="e">
        <f t="shared" si="6"/>
        <v>#VALUE!</v>
      </c>
      <c r="K731" s="141"/>
      <c r="L731" s="141"/>
      <c r="M731" s="141"/>
      <c r="N731" s="133"/>
      <c r="O731" s="4"/>
      <c r="P731" s="4"/>
      <c r="Q731" s="4"/>
      <c r="R731" s="109"/>
      <c r="S731" s="109"/>
      <c r="T731" s="108"/>
      <c r="U731" s="110"/>
      <c r="V731" s="110"/>
      <c r="W731" s="110"/>
      <c r="X731" s="110"/>
    </row>
    <row r="732" spans="1:24" ht="13.5" customHeight="1">
      <c r="A732" s="110">
        <f>IF(E732="","",MATCH(E732,'Daily Sales'!B$4:B$51,0)+3)</f>
        <v>41</v>
      </c>
      <c r="B732" s="135">
        <v>46196</v>
      </c>
      <c r="C732" s="136" t="s">
        <v>113</v>
      </c>
      <c r="D732" s="137" t="str">
        <f t="array" ref="D732">IF($A732="","",INDEX('Daily Sales'!A:A,$A732))</f>
        <v>1-1217</v>
      </c>
      <c r="E732" s="138" t="s">
        <v>55</v>
      </c>
      <c r="F732" s="139" t="str">
        <f t="shared" si="13"/>
        <v>BCA debt</v>
      </c>
      <c r="G732" s="140"/>
      <c r="H732" s="138">
        <f t="array" ref="H732">IF($A732="","",
  IF(
    OR(
      $A732=23,
      AND($A732&gt;=32,$A732&lt;=50)
    ),
    IFERROR(
      INDEX('Daily Sales'!$C:$AG,
        $A732,
        MATCH(TEXT($B732,"0"),TEXT('Daily Sales'!$C$2:$AG$2,"0"),0)
      ),
    ""),
  "")
)</f>
        <v>547305</v>
      </c>
      <c r="I732" s="138" t="str">
        <f t="array" ref="I732">IF($A732="","",
  IF(
    OR(
      AND($A732&gt;=4,$A732&lt;=8),
      AND($A732&gt;=12,$A732&lt;=19),
      AND($A732&gt;=28,$A732&lt;=29)
    ),
    IFERROR(
      INDEX('Daily Sales'!$C:$AG,
        $A732,
        MATCH(TEXT($B732,"0"),TEXT('Daily Sales'!$C$2:$AG$2,"0"),0)
      ),
    ""),
  "")
)</f>
        <v/>
      </c>
      <c r="J732" s="79" t="e">
        <f t="shared" si="6"/>
        <v>#VALUE!</v>
      </c>
      <c r="K732" s="141"/>
      <c r="L732" s="141"/>
      <c r="M732" s="141"/>
      <c r="N732" s="133"/>
      <c r="O732" s="4"/>
      <c r="P732" s="4"/>
      <c r="Q732" s="4"/>
      <c r="R732" s="109"/>
      <c r="S732" s="109"/>
      <c r="T732" s="108"/>
      <c r="U732" s="110"/>
      <c r="V732" s="110"/>
      <c r="W732" s="110"/>
      <c r="X732" s="110"/>
    </row>
    <row r="733" spans="1:24" ht="13.5" customHeight="1">
      <c r="A733" s="110">
        <f>IF(E733="","",MATCH(E733,'Daily Sales'!B$4:B$51,0)+3)</f>
        <v>42</v>
      </c>
      <c r="B733" s="135">
        <v>46196</v>
      </c>
      <c r="C733" s="136" t="s">
        <v>113</v>
      </c>
      <c r="D733" s="137" t="str">
        <f t="array" ref="D733">IF($A733="","",INDEX('Daily Sales'!A:A,$A733))</f>
        <v>1-1217</v>
      </c>
      <c r="E733" s="138" t="s">
        <v>56</v>
      </c>
      <c r="F733" s="139" t="str">
        <f t="shared" si="13"/>
        <v>BCA QR</v>
      </c>
      <c r="G733" s="140"/>
      <c r="H733" s="138">
        <f t="array" ref="H733">IF($A733="","",
  IF(
    OR(
      $A733=23,
      AND($A733&gt;=32,$A733&lt;=50)
    ),
    IFERROR(
      INDEX('Daily Sales'!$C:$AG,
        $A733,
        MATCH(TEXT($B733,"0"),TEXT('Daily Sales'!$C$2:$AG$2,"0"),0)
      ),
    ""),
  "")
)</f>
        <v>4271333</v>
      </c>
      <c r="I733" s="138" t="str">
        <f t="array" ref="I733">IF($A733="","",
  IF(
    OR(
      AND($A733&gt;=4,$A733&lt;=8),
      AND($A733&gt;=12,$A733&lt;=19),
      AND($A733&gt;=28,$A733&lt;=29)
    ),
    IFERROR(
      INDEX('Daily Sales'!$C:$AG,
        $A733,
        MATCH(TEXT($B733,"0"),TEXT('Daily Sales'!$C$2:$AG$2,"0"),0)
      ),
    ""),
  "")
)</f>
        <v/>
      </c>
      <c r="J733" s="79" t="e">
        <f t="shared" si="6"/>
        <v>#VALUE!</v>
      </c>
      <c r="K733" s="141"/>
      <c r="L733" s="141"/>
      <c r="M733" s="141"/>
      <c r="N733" s="133"/>
      <c r="O733" s="4"/>
      <c r="P733" s="4"/>
      <c r="Q733" s="4"/>
      <c r="R733" s="109"/>
      <c r="S733" s="109"/>
      <c r="T733" s="108"/>
      <c r="U733" s="110"/>
      <c r="V733" s="110"/>
      <c r="W733" s="110"/>
      <c r="X733" s="110"/>
    </row>
    <row r="734" spans="1:24" ht="13.5" customHeight="1">
      <c r="A734" s="110">
        <f>IF(E734="","",MATCH(E734,'Daily Sales'!B$4:B$51,0)+3)</f>
        <v>43</v>
      </c>
      <c r="B734" s="135">
        <v>46196</v>
      </c>
      <c r="C734" s="136" t="s">
        <v>113</v>
      </c>
      <c r="D734" s="137" t="str">
        <f t="array" ref="D734">IF($A734="","",INDEX('Daily Sales'!A:A,$A734))</f>
        <v>1-1214</v>
      </c>
      <c r="E734" s="138" t="s">
        <v>59</v>
      </c>
      <c r="F734" s="139" t="str">
        <f t="shared" si="13"/>
        <v>Bank BRI DEBET</v>
      </c>
      <c r="G734" s="140"/>
      <c r="H734" s="138">
        <f t="array" ref="H734">IF($A734="","",
  IF(
    OR(
      $A734=23,
      AND($A734&gt;=32,$A734&lt;=50)
    ),
    IFERROR(
      INDEX('Daily Sales'!$C:$AG,
        $A734,
        MATCH(TEXT($B734,"0"),TEXT('Daily Sales'!$C$2:$AG$2,"0"),0)
      ),
    ""),
  "")
)</f>
        <v>0</v>
      </c>
      <c r="I734" s="138" t="str">
        <f t="array" ref="I734">IF($A734="","",
  IF(
    OR(
      AND($A734&gt;=4,$A734&lt;=8),
      AND($A734&gt;=12,$A734&lt;=19),
      AND($A734&gt;=28,$A734&lt;=29)
    ),
    IFERROR(
      INDEX('Daily Sales'!$C:$AG,
        $A734,
        MATCH(TEXT($B734,"0"),TEXT('Daily Sales'!$C$2:$AG$2,"0"),0)
      ),
    ""),
  "")
)</f>
        <v/>
      </c>
      <c r="J734" s="79" t="e">
        <f t="shared" si="6"/>
        <v>#VALUE!</v>
      </c>
      <c r="K734" s="141"/>
      <c r="L734" s="141"/>
      <c r="M734" s="141"/>
      <c r="N734" s="133"/>
      <c r="O734" s="4"/>
      <c r="P734" s="4"/>
      <c r="Q734" s="4"/>
      <c r="R734" s="109"/>
      <c r="S734" s="109"/>
      <c r="T734" s="108"/>
      <c r="U734" s="110"/>
      <c r="V734" s="110"/>
      <c r="W734" s="110"/>
      <c r="X734" s="110"/>
    </row>
    <row r="735" spans="1:24" ht="13.5" customHeight="1">
      <c r="A735" s="110">
        <f>IF(E735="","",MATCH(E735,'Daily Sales'!B$4:B$51,0)+3)</f>
        <v>44</v>
      </c>
      <c r="B735" s="135">
        <v>46196</v>
      </c>
      <c r="C735" s="136" t="s">
        <v>113</v>
      </c>
      <c r="D735" s="137" t="str">
        <f t="array" ref="D735">IF($A735="","",INDEX('Daily Sales'!A:A,$A735))</f>
        <v>1-1214</v>
      </c>
      <c r="E735" s="138" t="s">
        <v>60</v>
      </c>
      <c r="F735" s="139" t="str">
        <f t="shared" si="13"/>
        <v>Bank BRI CC</v>
      </c>
      <c r="G735" s="140"/>
      <c r="H735" s="138">
        <f t="array" ref="H735">IF($A735="","",
  IF(
    OR(
      $A735=23,
      AND($A735&gt;=32,$A735&lt;=50)
    ),
    IFERROR(
      INDEX('Daily Sales'!$C:$AG,
        $A735,
        MATCH(TEXT($B735,"0"),TEXT('Daily Sales'!$C$2:$AG$2,"0"),0)
      ),
    ""),
  "")
)</f>
        <v>117700</v>
      </c>
      <c r="I735" s="138" t="str">
        <f t="array" ref="I735">IF($A735="","",
  IF(
    OR(
      AND($A735&gt;=4,$A735&lt;=8),
      AND($A735&gt;=12,$A735&lt;=19),
      AND($A735&gt;=28,$A735&lt;=29)
    ),
    IFERROR(
      INDEX('Daily Sales'!$C:$AG,
        $A735,
        MATCH(TEXT($B735,"0"),TEXT('Daily Sales'!$C$2:$AG$2,"0"),0)
      ),
    ""),
  "")
)</f>
        <v/>
      </c>
      <c r="J735" s="79" t="e">
        <f t="shared" si="6"/>
        <v>#VALUE!</v>
      </c>
      <c r="K735" s="141"/>
      <c r="L735" s="141"/>
      <c r="M735" s="141"/>
      <c r="N735" s="133"/>
      <c r="O735" s="4"/>
      <c r="P735" s="4"/>
      <c r="Q735" s="4"/>
      <c r="R735" s="109"/>
      <c r="S735" s="109"/>
      <c r="T735" s="108"/>
      <c r="U735" s="110"/>
      <c r="V735" s="110"/>
      <c r="W735" s="110"/>
      <c r="X735" s="110"/>
    </row>
    <row r="736" spans="1:24" ht="13.5" customHeight="1">
      <c r="A736" s="110">
        <f>IF(E736="","",MATCH(E736,'Daily Sales'!B$4:B$51,0)+3)</f>
        <v>45</v>
      </c>
      <c r="B736" s="135">
        <v>46196</v>
      </c>
      <c r="C736" s="136" t="s">
        <v>113</v>
      </c>
      <c r="D736" s="137" t="str">
        <f t="array" ref="D736">IF($A736="","",INDEX('Daily Sales'!A:A,$A736))</f>
        <v>1-1214</v>
      </c>
      <c r="E736" s="138" t="s">
        <v>61</v>
      </c>
      <c r="F736" s="139" t="str">
        <f t="shared" si="13"/>
        <v>Bank BRI QR</v>
      </c>
      <c r="G736" s="140"/>
      <c r="H736" s="138">
        <f t="array" ref="H736">IF($A736="","",
  IF(
    OR(
      $A736=23,
      AND($A736&gt;=32,$A736&lt;=50)
    ),
    IFERROR(
      INDEX('Daily Sales'!$C:$AG,
        $A736,
        MATCH(TEXT($B736,"0"),TEXT('Daily Sales'!$C$2:$AG$2,"0"),0)
      ),
    ""),
  "")
)</f>
        <v>0</v>
      </c>
      <c r="I736" s="138" t="str">
        <f t="array" ref="I736">IF($A736="","",
  IF(
    OR(
      AND($A736&gt;=4,$A736&lt;=8),
      AND($A736&gt;=12,$A736&lt;=19),
      AND($A736&gt;=28,$A736&lt;=29)
    ),
    IFERROR(
      INDEX('Daily Sales'!$C:$AG,
        $A736,
        MATCH(TEXT($B736,"0"),TEXT('Daily Sales'!$C$2:$AG$2,"0"),0)
      ),
    ""),
  "")
)</f>
        <v/>
      </c>
      <c r="J736" s="79" t="e">
        <f t="shared" si="6"/>
        <v>#VALUE!</v>
      </c>
      <c r="K736" s="141"/>
      <c r="L736" s="141"/>
      <c r="M736" s="141"/>
      <c r="N736" s="133"/>
      <c r="O736" s="4"/>
      <c r="P736" s="4"/>
      <c r="Q736" s="4"/>
      <c r="R736" s="109"/>
      <c r="S736" s="109"/>
      <c r="T736" s="108"/>
      <c r="U736" s="110"/>
      <c r="V736" s="110"/>
      <c r="W736" s="110"/>
      <c r="X736" s="110"/>
    </row>
    <row r="737" spans="1:24" ht="13.5" customHeight="1">
      <c r="A737" s="110">
        <f>IF(E737="","",MATCH(E737,'Daily Sales'!B$4:B$51,0)+3)</f>
        <v>46</v>
      </c>
      <c r="B737" s="135">
        <v>46196</v>
      </c>
      <c r="C737" s="136" t="s">
        <v>113</v>
      </c>
      <c r="D737" s="137" t="str">
        <f t="array" ref="D737">IF($A737="","",INDEX('Daily Sales'!A:A,$A737))</f>
        <v>1-1202</v>
      </c>
      <c r="E737" s="138" t="s">
        <v>64</v>
      </c>
      <c r="F737" s="139" t="str">
        <f t="shared" si="13"/>
        <v>Ledger</v>
      </c>
      <c r="G737" s="140"/>
      <c r="H737" s="138">
        <f t="array" ref="H737">IF($A737="","",
  IF(
    OR(
      $A737=23,
      AND($A737&gt;=32,$A737&lt;=50)
    ),
    IFERROR(
      INDEX('Daily Sales'!$C:$AG,
        $A737,
        MATCH(TEXT($B737,"0"),TEXT('Daily Sales'!$C$2:$AG$2,"0"),0)
      ),
    ""),
  "")
)</f>
        <v>582615</v>
      </c>
      <c r="I737" s="138" t="str">
        <f t="array" ref="I737">IF($A737="","",
  IF(
    OR(
      AND($A737&gt;=4,$A737&lt;=8),
      AND($A737&gt;=12,$A737&lt;=19),
      AND($A737&gt;=28,$A737&lt;=29)
    ),
    IFERROR(
      INDEX('Daily Sales'!$C:$AG,
        $A737,
        MATCH(TEXT($B737,"0"),TEXT('Daily Sales'!$C$2:$AG$2,"0"),0)
      ),
    ""),
  "")
)</f>
        <v/>
      </c>
      <c r="J737" s="79" t="e">
        <f t="shared" si="6"/>
        <v>#VALUE!</v>
      </c>
      <c r="K737" s="141"/>
      <c r="L737" s="141"/>
      <c r="M737" s="141"/>
      <c r="N737" s="133"/>
      <c r="O737" s="4"/>
      <c r="P737" s="4"/>
      <c r="Q737" s="4"/>
      <c r="R737" s="109"/>
      <c r="S737" s="109"/>
      <c r="T737" s="108"/>
      <c r="U737" s="110"/>
      <c r="V737" s="110"/>
      <c r="W737" s="110"/>
      <c r="X737" s="110"/>
    </row>
    <row r="738" spans="1:24" ht="13.5" customHeight="1">
      <c r="A738" s="110">
        <f>IF(E738="","",MATCH(E738,'Daily Sales'!B$4:B$51,0)+3)</f>
        <v>47</v>
      </c>
      <c r="B738" s="135">
        <v>46196</v>
      </c>
      <c r="C738" s="136" t="s">
        <v>113</v>
      </c>
      <c r="D738" s="137" t="str">
        <f t="array" ref="D738">IF($A738="","",INDEX('Daily Sales'!A:A,$A738))</f>
        <v>1-1129</v>
      </c>
      <c r="E738" s="138" t="s">
        <v>66</v>
      </c>
      <c r="F738" s="139" t="str">
        <f t="shared" si="13"/>
        <v>Star Points</v>
      </c>
      <c r="G738" s="140"/>
      <c r="H738" s="138">
        <f t="array" ref="H738">IF($A738="","",
  IF(
    OR(
      $A738=23,
      AND($A738&gt;=32,$A738&lt;=50)
    ),
    IFERROR(
      INDEX('Daily Sales'!$C:$AG,
        $A738,
        MATCH(TEXT($B738,"0"),TEXT('Daily Sales'!$C$2:$AG$2,"0"),0)
      ),
    ""),
  "")
)</f>
        <v>0</v>
      </c>
      <c r="I738" s="138" t="str">
        <f t="array" ref="I738">IF($A738="","",
  IF(
    OR(
      AND($A738&gt;=4,$A738&lt;=8),
      AND($A738&gt;=12,$A738&lt;=19),
      AND($A738&gt;=28,$A738&lt;=29)
    ),
    IFERROR(
      INDEX('Daily Sales'!$C:$AG,
        $A738,
        MATCH(TEXT($B738,"0"),TEXT('Daily Sales'!$C$2:$AG$2,"0"),0)
      ),
    ""),
  "")
)</f>
        <v/>
      </c>
      <c r="J738" s="79" t="e">
        <f t="shared" si="6"/>
        <v>#VALUE!</v>
      </c>
      <c r="K738" s="141"/>
      <c r="L738" s="141"/>
      <c r="M738" s="141"/>
      <c r="N738" s="133"/>
      <c r="O738" s="4"/>
      <c r="P738" s="4"/>
      <c r="Q738" s="4"/>
      <c r="R738" s="109"/>
      <c r="S738" s="109"/>
      <c r="T738" s="108"/>
      <c r="U738" s="110"/>
      <c r="V738" s="110"/>
      <c r="W738" s="110"/>
      <c r="X738" s="110"/>
    </row>
    <row r="739" spans="1:24" ht="13.5" customHeight="1">
      <c r="A739" s="110">
        <f>IF(E739="","",MATCH(E739,'Daily Sales'!B$4:B$51,0)+3)</f>
        <v>48</v>
      </c>
      <c r="B739" s="135">
        <v>46196</v>
      </c>
      <c r="C739" s="136" t="s">
        <v>113</v>
      </c>
      <c r="D739" s="137" t="str">
        <f t="array" ref="D739">IF($A739="","",INDEX('Daily Sales'!A:A,$A739))</f>
        <v>1-1215</v>
      </c>
      <c r="E739" s="138" t="s">
        <v>68</v>
      </c>
      <c r="F739" s="139" t="str">
        <f t="shared" si="13"/>
        <v>Ovo</v>
      </c>
      <c r="G739" s="140"/>
      <c r="H739" s="138">
        <f t="array" ref="H739">IF($A739="","",
  IF(
    OR(
      $A739=23,
      AND($A739&gt;=32,$A739&lt;=50)
    ),
    IFERROR(
      INDEX('Daily Sales'!$C:$AG,
        $A739,
        MATCH(TEXT($B739,"0"),TEXT('Daily Sales'!$C$2:$AG$2,"0"),0)
      ),
    ""),
  "")
)</f>
        <v>0</v>
      </c>
      <c r="I739" s="138" t="str">
        <f t="array" ref="I739">IF($A739="","",
  IF(
    OR(
      AND($A739&gt;=4,$A739&lt;=8),
      AND($A739&gt;=12,$A739&lt;=19),
      AND($A739&gt;=28,$A739&lt;=29)
    ),
    IFERROR(
      INDEX('Daily Sales'!$C:$AG,
        $A739,
        MATCH(TEXT($B739,"0"),TEXT('Daily Sales'!$C$2:$AG$2,"0"),0)
      ),
    ""),
  "")
)</f>
        <v/>
      </c>
      <c r="J739" s="79" t="e">
        <f t="shared" si="6"/>
        <v>#VALUE!</v>
      </c>
      <c r="K739" s="141"/>
      <c r="L739" s="141"/>
      <c r="M739" s="141"/>
      <c r="N739" s="133"/>
      <c r="O739" s="4"/>
      <c r="P739" s="4"/>
      <c r="Q739" s="4"/>
      <c r="R739" s="109"/>
      <c r="S739" s="109"/>
      <c r="T739" s="108"/>
      <c r="U739" s="110"/>
      <c r="V739" s="110"/>
      <c r="W739" s="110"/>
      <c r="X739" s="110"/>
    </row>
    <row r="740" spans="1:24" ht="13.5" customHeight="1">
      <c r="A740" s="110">
        <f>IF(E740="","",MATCH(E740,'Daily Sales'!B$4:B$51,0)+3)</f>
        <v>49</v>
      </c>
      <c r="B740" s="135">
        <v>46196</v>
      </c>
      <c r="C740" s="136" t="s">
        <v>113</v>
      </c>
      <c r="D740" s="137" t="str">
        <f t="array" ref="D740">IF($A740="","",INDEX('Daily Sales'!A:A,$A740))</f>
        <v>1-1211</v>
      </c>
      <c r="E740" s="138" t="s">
        <v>70</v>
      </c>
      <c r="F740" s="139" t="str">
        <f t="shared" si="13"/>
        <v>Gopay</v>
      </c>
      <c r="G740" s="140"/>
      <c r="H740" s="138">
        <f t="array" ref="H740">IF($A740="","",
  IF(
    OR(
      $A740=23,
      AND($A740&gt;=32,$A740&lt;=50)
    ),
    IFERROR(
      INDEX('Daily Sales'!$C:$AG,
        $A740,
        MATCH(TEXT($B740,"0"),TEXT('Daily Sales'!$C$2:$AG$2,"0"),0)
      ),
    ""),
  "")
)</f>
        <v>0</v>
      </c>
      <c r="I740" s="138" t="str">
        <f t="array" ref="I740">IF($A740="","",
  IF(
    OR(
      AND($A740&gt;=4,$A740&lt;=8),
      AND($A740&gt;=12,$A740&lt;=19),
      AND($A740&gt;=28,$A740&lt;=29)
    ),
    IFERROR(
      INDEX('Daily Sales'!$C:$AG,
        $A740,
        MATCH(TEXT($B740,"0"),TEXT('Daily Sales'!$C$2:$AG$2,"0"),0)
      ),
    ""),
  "")
)</f>
        <v/>
      </c>
      <c r="J740" s="79" t="e">
        <f t="shared" si="6"/>
        <v>#VALUE!</v>
      </c>
      <c r="K740" s="141"/>
      <c r="L740" s="141"/>
      <c r="M740" s="141"/>
      <c r="N740" s="133"/>
      <c r="O740" s="4"/>
      <c r="P740" s="4"/>
      <c r="Q740" s="4"/>
      <c r="R740" s="109"/>
      <c r="S740" s="109"/>
      <c r="T740" s="108"/>
      <c r="U740" s="110"/>
      <c r="V740" s="110"/>
      <c r="W740" s="110"/>
      <c r="X740" s="110"/>
    </row>
    <row r="741" spans="1:24" ht="13.5" customHeight="1">
      <c r="A741" s="110">
        <f>IF(E741="","",MATCH(E741,'Daily Sales'!B$4:B$51,0)+3)</f>
        <v>50</v>
      </c>
      <c r="B741" s="135">
        <v>46196</v>
      </c>
      <c r="C741" s="136" t="s">
        <v>113</v>
      </c>
      <c r="D741" s="137" t="str">
        <f t="array" ref="D741">IF($A741="","",INDEX('Daily Sales'!A:A,$A741))</f>
        <v>2-2110</v>
      </c>
      <c r="E741" s="138" t="s">
        <v>72</v>
      </c>
      <c r="F741" s="139" t="str">
        <f t="shared" si="13"/>
        <v>Cash Short/Over</v>
      </c>
      <c r="G741" s="140"/>
      <c r="H741" s="138">
        <f t="array" ref="H741">IF($A741="","",
  IF(
    OR(
      $A741=23,
      AND($A741&gt;=32,$A741&lt;=50)
    ),
    IFERROR(
      INDEX('Daily Sales'!$C:$AG,
        $A741,
        MATCH(TEXT($B741,"0"),TEXT('Daily Sales'!$C$2:$AG$2,"0"),0)
      ),
    ""),
  "")
)</f>
        <v>90.04</v>
      </c>
      <c r="I741" s="138" t="str">
        <f t="array" ref="I741">IF($A741="","",
  IF(
    OR(
      AND($A741&gt;=4,$A741&lt;=8),
      AND($A741&gt;=12,$A741&lt;=19),
      AND($A741&gt;=28,$A741&lt;=29)
    ),
    IFERROR(
      INDEX('Daily Sales'!$C:$AG,
        $A741,
        MATCH(TEXT($B741,"0"),TEXT('Daily Sales'!$C$2:$AG$2,"0"),0)
      ),
    ""),
  "")
)</f>
        <v/>
      </c>
      <c r="J741" s="79" t="e">
        <f t="shared" si="6"/>
        <v>#VALUE!</v>
      </c>
      <c r="K741" s="141"/>
      <c r="L741" s="141"/>
      <c r="M741" s="141"/>
      <c r="N741" s="133"/>
      <c r="O741" s="4"/>
      <c r="P741" s="4"/>
      <c r="Q741" s="4"/>
      <c r="R741" s="109"/>
      <c r="S741" s="109"/>
      <c r="T741" s="108"/>
      <c r="U741" s="110"/>
      <c r="V741" s="110"/>
      <c r="W741" s="110"/>
      <c r="X741" s="110"/>
    </row>
    <row r="742" spans="1:24" ht="14.25" customHeight="1">
      <c r="A742" s="110"/>
      <c r="B742" s="125"/>
      <c r="C742" s="126"/>
      <c r="D742" s="15"/>
      <c r="E742" s="10" t="e">
        <f>TRIM(VLOOKUP(D742,TB!$B$9:$C$1500,2,FALSE))</f>
        <v>#N/A</v>
      </c>
      <c r="F742" s="142"/>
      <c r="G742" s="130"/>
      <c r="H742" s="10"/>
      <c r="I742" s="10"/>
      <c r="J742" s="79" t="e">
        <f t="shared" si="6"/>
        <v>#VALUE!</v>
      </c>
      <c r="K742" s="107"/>
      <c r="L742" s="141"/>
      <c r="M742" s="141"/>
      <c r="N742" s="133"/>
      <c r="O742" s="4"/>
      <c r="P742" s="4"/>
      <c r="Q742" s="4"/>
      <c r="R742" s="134"/>
      <c r="S742" s="109"/>
      <c r="T742" s="108"/>
      <c r="U742" s="110"/>
      <c r="V742" s="110"/>
      <c r="W742" s="110"/>
      <c r="X742" s="110"/>
    </row>
    <row r="743" spans="1:24" ht="13.5" customHeight="1">
      <c r="A743" s="110">
        <f>IF(E743="","",MATCH(E743,'Daily Sales'!B$4:B$51,0)+3)</f>
        <v>4</v>
      </c>
      <c r="B743" s="135">
        <v>46197</v>
      </c>
      <c r="C743" s="136" t="s">
        <v>114</v>
      </c>
      <c r="D743" s="137" t="str">
        <f t="array" ref="D743">IF($A743="","",INDEX('Daily Sales'!A:A,$A743))</f>
        <v>4-2100</v>
      </c>
      <c r="E743" s="138" t="s">
        <v>5</v>
      </c>
      <c r="F743" s="139" t="str">
        <f t="shared" ref="F743:F773" si="14">E743</f>
        <v>Sales Food TERRACE</v>
      </c>
      <c r="G743" s="140"/>
      <c r="H743" s="138" t="str">
        <f t="array" ref="H743">IF($A743="","",
  IF(
    OR(
      $A743=23,
      AND($A743&gt;=32,$A743&lt;=50)
    ),
    IFERROR(
      INDEX('Daily Sales'!$C:$AG,
        $A743,
        MATCH(TEXT($B743,"0"),TEXT('Daily Sales'!$C$2:$AG$2,"0"),0)
      ),
    ""),
  "")
)</f>
        <v/>
      </c>
      <c r="I743" s="138">
        <f t="array" ref="I743">IF($A743="","",
  IF(
    OR(
      AND($A743&gt;=4,$A743&lt;=8),
      AND($A743&gt;=12,$A743&lt;=19),
      AND($A743&gt;=28,$A743&lt;=29)
    ),
    IFERROR(
      INDEX('Daily Sales'!$C:$AG,
        $A743,
        MATCH(TEXT($B743,"0"),TEXT('Daily Sales'!$C$2:$AG$2,"0"),0)
      ),
    ""),
  "")
)</f>
        <v>3845000</v>
      </c>
      <c r="J743" s="79" t="e">
        <f t="shared" si="6"/>
        <v>#VALUE!</v>
      </c>
      <c r="K743" s="141"/>
      <c r="L743" s="141"/>
      <c r="M743" s="141"/>
      <c r="N743" s="133"/>
      <c r="O743" s="4"/>
      <c r="P743" s="4"/>
      <c r="Q743" s="4"/>
      <c r="R743" s="109"/>
      <c r="S743" s="109"/>
      <c r="T743" s="108"/>
      <c r="U743" s="110"/>
      <c r="V743" s="110"/>
      <c r="W743" s="110"/>
      <c r="X743" s="110"/>
    </row>
    <row r="744" spans="1:24" ht="13.5" customHeight="1">
      <c r="A744" s="110">
        <f>IF(E744="","",MATCH(E744,'Daily Sales'!B$4:B$51,0)+3)</f>
        <v>5</v>
      </c>
      <c r="B744" s="135">
        <v>46197</v>
      </c>
      <c r="C744" s="136" t="s">
        <v>114</v>
      </c>
      <c r="D744" s="137" t="str">
        <f t="array" ref="D744">IF($A744="","",INDEX('Daily Sales'!A:A,$A744))</f>
        <v>4-2200</v>
      </c>
      <c r="E744" s="138" t="s">
        <v>7</v>
      </c>
      <c r="F744" s="139" t="str">
        <f t="shared" si="14"/>
        <v>Sales Beverages TERRACE</v>
      </c>
      <c r="G744" s="140"/>
      <c r="H744" s="138" t="str">
        <f t="array" ref="H744">IF($A744="","",
  IF(
    OR(
      $A744=23,
      AND($A744&gt;=32,$A744&lt;=50)
    ),
    IFERROR(
      INDEX('Daily Sales'!$C:$AG,
        $A744,
        MATCH(TEXT($B744,"0"),TEXT('Daily Sales'!$C$2:$AG$2,"0"),0)
      ),
    ""),
  "")
)</f>
        <v/>
      </c>
      <c r="I744" s="138">
        <f t="array" ref="I744">IF($A744="","",
  IF(
    OR(
      AND($A744&gt;=4,$A744&lt;=8),
      AND($A744&gt;=12,$A744&lt;=19),
      AND($A744&gt;=28,$A744&lt;=29)
    ),
    IFERROR(
      INDEX('Daily Sales'!$C:$AG,
        $A744,
        MATCH(TEXT($B744,"0"),TEXT('Daily Sales'!$C$2:$AG$2,"0"),0)
      ),
    ""),
  "")
)</f>
        <v>6485000</v>
      </c>
      <c r="J744" s="79" t="e">
        <f t="shared" si="6"/>
        <v>#VALUE!</v>
      </c>
      <c r="K744" s="141"/>
      <c r="L744" s="141"/>
      <c r="M744" s="141"/>
      <c r="N744" s="133"/>
      <c r="O744" s="4"/>
      <c r="P744" s="4"/>
      <c r="Q744" s="4"/>
      <c r="R744" s="109"/>
      <c r="S744" s="109"/>
      <c r="T744" s="108"/>
      <c r="U744" s="110"/>
      <c r="V744" s="110"/>
      <c r="W744" s="110"/>
      <c r="X744" s="110"/>
    </row>
    <row r="745" spans="1:24" ht="13.5" customHeight="1">
      <c r="A745" s="110">
        <f>IF(E745="","",MATCH(E745,'Daily Sales'!B$4:B$51,0)+3)</f>
        <v>6</v>
      </c>
      <c r="B745" s="135">
        <v>46197</v>
      </c>
      <c r="C745" s="136" t="s">
        <v>114</v>
      </c>
      <c r="D745" s="137" t="str">
        <f t="array" ref="D745">IF($A745="","",INDEX('Daily Sales'!A:A,$A745))</f>
        <v>4-2400</v>
      </c>
      <c r="E745" s="138" t="s">
        <v>9</v>
      </c>
      <c r="F745" s="139" t="str">
        <f t="shared" si="14"/>
        <v>Sales Cigarette TERRACE</v>
      </c>
      <c r="G745" s="140"/>
      <c r="H745" s="138" t="str">
        <f t="array" ref="H745">IF($A745="","",
  IF(
    OR(
      $A745=23,
      AND($A745&gt;=32,$A745&lt;=50)
    ),
    IFERROR(
      INDEX('Daily Sales'!$C:$AG,
        $A745,
        MATCH(TEXT($B745,"0"),TEXT('Daily Sales'!$C$2:$AG$2,"0"),0)
      ),
    ""),
  "")
)</f>
        <v/>
      </c>
      <c r="I745" s="138">
        <f t="array" ref="I745">IF($A745="","",
  IF(
    OR(
      AND($A745&gt;=4,$A745&lt;=8),
      AND($A745&gt;=12,$A745&lt;=19),
      AND($A745&gt;=28,$A745&lt;=29)
    ),
    IFERROR(
      INDEX('Daily Sales'!$C:$AG,
        $A745,
        MATCH(TEXT($B745,"0"),TEXT('Daily Sales'!$C$2:$AG$2,"0"),0)
      ),
    ""),
  "")
)</f>
        <v>140000</v>
      </c>
      <c r="J745" s="79" t="e">
        <f t="shared" si="6"/>
        <v>#VALUE!</v>
      </c>
      <c r="K745" s="141"/>
      <c r="L745" s="141"/>
      <c r="M745" s="141"/>
      <c r="N745" s="133"/>
      <c r="O745" s="4"/>
      <c r="P745" s="4"/>
      <c r="Q745" s="4"/>
      <c r="R745" s="109"/>
      <c r="S745" s="109"/>
      <c r="T745" s="108"/>
      <c r="U745" s="110"/>
      <c r="V745" s="110"/>
      <c r="W745" s="110"/>
      <c r="X745" s="110"/>
    </row>
    <row r="746" spans="1:24" ht="13.5" customHeight="1">
      <c r="A746" s="110">
        <f>IF(E746="","",MATCH(E746,'Daily Sales'!B$4:B$51,0)+3)</f>
        <v>7</v>
      </c>
      <c r="B746" s="135">
        <v>46197</v>
      </c>
      <c r="C746" s="136" t="s">
        <v>114</v>
      </c>
      <c r="D746" s="137" t="str">
        <f t="array" ref="D746">IF($A746="","",INDEX('Daily Sales'!A:A,$A746))</f>
        <v>4-2300</v>
      </c>
      <c r="E746" s="138" t="s">
        <v>11</v>
      </c>
      <c r="F746" s="139" t="str">
        <f t="shared" si="14"/>
        <v>Sales Shisa TERRACE</v>
      </c>
      <c r="G746" s="140"/>
      <c r="H746" s="138" t="str">
        <f t="array" ref="H746">IF($A746="","",
  IF(
    OR(
      $A746=23,
      AND($A746&gt;=32,$A746&lt;=50)
    ),
    IFERROR(
      INDEX('Daily Sales'!$C:$AG,
        $A746,
        MATCH(TEXT($B746,"0"),TEXT('Daily Sales'!$C$2:$AG$2,"0"),0)
      ),
    ""),
  "")
)</f>
        <v/>
      </c>
      <c r="I746" s="138">
        <f t="array" ref="I746">IF($A746="","",
  IF(
    OR(
      AND($A746&gt;=4,$A746&lt;=8),
      AND($A746&gt;=12,$A746&lt;=19),
      AND($A746&gt;=28,$A746&lt;=29)
    ),
    IFERROR(
      INDEX('Daily Sales'!$C:$AG,
        $A746,
        MATCH(TEXT($B746,"0"),TEXT('Daily Sales'!$C$2:$AG$2,"0"),0)
      ),
    ""),
  "")
)</f>
        <v>250000</v>
      </c>
      <c r="J746" s="79" t="e">
        <f t="shared" si="6"/>
        <v>#VALUE!</v>
      </c>
      <c r="K746" s="141"/>
      <c r="L746" s="141"/>
      <c r="M746" s="141"/>
      <c r="N746" s="133"/>
      <c r="O746" s="4"/>
      <c r="P746" s="4"/>
      <c r="Q746" s="4"/>
      <c r="R746" s="109"/>
      <c r="S746" s="109"/>
      <c r="T746" s="108"/>
      <c r="U746" s="110"/>
      <c r="V746" s="110"/>
      <c r="W746" s="110"/>
      <c r="X746" s="110"/>
    </row>
    <row r="747" spans="1:24" ht="13.5" customHeight="1">
      <c r="A747" s="110">
        <f>IF(E747="","",MATCH(E747,'Daily Sales'!B$4:B$51,0)+3)</f>
        <v>12</v>
      </c>
      <c r="B747" s="135">
        <v>46197</v>
      </c>
      <c r="C747" s="136" t="s">
        <v>114</v>
      </c>
      <c r="D747" s="137" t="str">
        <f t="array" ref="D747">IF($A747="","",INDEX('Daily Sales'!A:A,$A747))</f>
        <v>4-2200</v>
      </c>
      <c r="E747" s="138" t="s">
        <v>17</v>
      </c>
      <c r="F747" s="139" t="str">
        <f t="shared" si="14"/>
        <v>Sales Beverages CLUB</v>
      </c>
      <c r="G747" s="140"/>
      <c r="H747" s="138" t="str">
        <f t="array" ref="H747">IF($A747="","",
  IF(
    OR(
      $A747=23,
      AND($A747&gt;=32,$A747&lt;=50)
    ),
    IFERROR(
      INDEX('Daily Sales'!$C:$AG,
        $A747,
        MATCH(TEXT($B747,"0"),TEXT('Daily Sales'!$C$2:$AG$2,"0"),0)
      ),
    ""),
  "")
)</f>
        <v/>
      </c>
      <c r="I747" s="138">
        <f t="array" ref="I747">IF($A747="","",
  IF(
    OR(
      AND($A747&gt;=4,$A747&lt;=8),
      AND($A747&gt;=12,$A747&lt;=19),
      AND($A747&gt;=28,$A747&lt;=29)
    ),
    IFERROR(
      INDEX('Daily Sales'!$C:$AG,
        $A747,
        MATCH(TEXT($B747,"0"),TEXT('Daily Sales'!$C$2:$AG$2,"0"),0)
      ),
    ""),
  "")
)</f>
        <v>21060000</v>
      </c>
      <c r="J747" s="79" t="e">
        <f t="shared" si="6"/>
        <v>#VALUE!</v>
      </c>
      <c r="K747" s="141"/>
      <c r="L747" s="141"/>
      <c r="M747" s="141"/>
      <c r="N747" s="133"/>
      <c r="O747" s="4"/>
      <c r="P747" s="4"/>
      <c r="Q747" s="4"/>
      <c r="R747" s="109"/>
      <c r="S747" s="109"/>
      <c r="T747" s="108"/>
      <c r="U747" s="110"/>
      <c r="V747" s="110"/>
      <c r="W747" s="110"/>
      <c r="X747" s="110"/>
    </row>
    <row r="748" spans="1:24" ht="13.5" customHeight="1">
      <c r="A748" s="110">
        <f>IF(E748="","",MATCH(E748,'Daily Sales'!B$4:B$51,0)+3)</f>
        <v>13</v>
      </c>
      <c r="B748" s="135">
        <v>46197</v>
      </c>
      <c r="C748" s="136" t="s">
        <v>114</v>
      </c>
      <c r="D748" s="137" t="str">
        <f t="array" ref="D748">IF($A748="","",INDEX('Daily Sales'!A:A,$A748))</f>
        <v>4-2400</v>
      </c>
      <c r="E748" s="138" t="s">
        <v>18</v>
      </c>
      <c r="F748" s="139" t="str">
        <f t="shared" si="14"/>
        <v>Sales Cigarette CLUB</v>
      </c>
      <c r="G748" s="140"/>
      <c r="H748" s="138" t="str">
        <f t="array" ref="H748">IF($A748="","",
  IF(
    OR(
      $A748=23,
      AND($A748&gt;=32,$A748&lt;=50)
    ),
    IFERROR(
      INDEX('Daily Sales'!$C:$AG,
        $A748,
        MATCH(TEXT($B748,"0"),TEXT('Daily Sales'!$C$2:$AG$2,"0"),0)
      ),
    ""),
  "")
)</f>
        <v/>
      </c>
      <c r="I748" s="138">
        <f t="array" ref="I748">IF($A748="","",
  IF(
    OR(
      AND($A748&gt;=4,$A748&lt;=8),
      AND($A748&gt;=12,$A748&lt;=19),
      AND($A748&gt;=28,$A748&lt;=29)
    ),
    IFERROR(
      INDEX('Daily Sales'!$C:$AG,
        $A748,
        MATCH(TEXT($B748,"0"),TEXT('Daily Sales'!$C$2:$AG$2,"0"),0)
      ),
    ""),
  "")
)</f>
        <v>350000</v>
      </c>
      <c r="J748" s="79" t="e">
        <f t="shared" si="6"/>
        <v>#VALUE!</v>
      </c>
      <c r="K748" s="141"/>
      <c r="L748" s="141"/>
      <c r="M748" s="141"/>
      <c r="N748" s="133"/>
      <c r="O748" s="4"/>
      <c r="P748" s="4"/>
      <c r="Q748" s="4"/>
      <c r="R748" s="109"/>
      <c r="S748" s="109"/>
      <c r="T748" s="108"/>
      <c r="U748" s="110"/>
      <c r="V748" s="110"/>
      <c r="W748" s="110"/>
      <c r="X748" s="110"/>
    </row>
    <row r="749" spans="1:24" ht="13.5" customHeight="1">
      <c r="A749" s="110">
        <f>IF(E749="","",MATCH(E749,'Daily Sales'!B$4:B$51,0)+3)</f>
        <v>14</v>
      </c>
      <c r="B749" s="135">
        <v>46197</v>
      </c>
      <c r="C749" s="136" t="s">
        <v>114</v>
      </c>
      <c r="D749" s="137" t="str">
        <f t="array" ref="D749">IF($A749="","",INDEX('Daily Sales'!A:A,$A749))</f>
        <v>4-2100</v>
      </c>
      <c r="E749" s="138" t="s">
        <v>19</v>
      </c>
      <c r="F749" s="139" t="str">
        <f t="shared" si="14"/>
        <v>Sales Food CLUB</v>
      </c>
      <c r="G749" s="140"/>
      <c r="H749" s="138" t="str">
        <f t="array" ref="H749">IF($A749="","",
  IF(
    OR(
      $A749=23,
      AND($A749&gt;=32,$A749&lt;=50)
    ),
    IFERROR(
      INDEX('Daily Sales'!$C:$AG,
        $A749,
        MATCH(TEXT($B749,"0"),TEXT('Daily Sales'!$C$2:$AG$2,"0"),0)
      ),
    ""),
  "")
)</f>
        <v/>
      </c>
      <c r="I749" s="138">
        <f t="array" ref="I749">IF($A749="","",
  IF(
    OR(
      AND($A749&gt;=4,$A749&lt;=8),
      AND($A749&gt;=12,$A749&lt;=19),
      AND($A749&gt;=28,$A749&lt;=29)
    ),
    IFERROR(
      INDEX('Daily Sales'!$C:$AG,
        $A749,
        MATCH(TEXT($B749,"0"),TEXT('Daily Sales'!$C$2:$AG$2,"0"),0)
      ),
    ""),
  "")
)</f>
        <v>690000</v>
      </c>
      <c r="J749" s="79" t="e">
        <f t="shared" si="6"/>
        <v>#VALUE!</v>
      </c>
      <c r="K749" s="141"/>
      <c r="L749" s="141"/>
      <c r="M749" s="141"/>
      <c r="N749" s="133"/>
      <c r="O749" s="4"/>
      <c r="P749" s="4"/>
      <c r="Q749" s="4"/>
      <c r="R749" s="109"/>
      <c r="S749" s="109"/>
      <c r="T749" s="108"/>
      <c r="U749" s="110"/>
      <c r="V749" s="110"/>
      <c r="W749" s="110"/>
      <c r="X749" s="110"/>
    </row>
    <row r="750" spans="1:24" ht="13.5" customHeight="1">
      <c r="A750" s="110">
        <f>IF(E750="","",MATCH(E750,'Daily Sales'!B$4:B$51,0)+3)</f>
        <v>15</v>
      </c>
      <c r="B750" s="135">
        <v>46197</v>
      </c>
      <c r="C750" s="136" t="s">
        <v>114</v>
      </c>
      <c r="D750" s="137" t="str">
        <f t="array" ref="D750">IF($A750="","",INDEX('Daily Sales'!A:A,$A750))</f>
        <v>4-2300</v>
      </c>
      <c r="E750" s="138" t="s">
        <v>20</v>
      </c>
      <c r="F750" s="139" t="str">
        <f t="shared" si="14"/>
        <v>Sales Shisa CLUB</v>
      </c>
      <c r="G750" s="140"/>
      <c r="H750" s="138" t="str">
        <f t="array" ref="H750">IF($A750="","",
  IF(
    OR(
      $A750=23,
      AND($A750&gt;=32,$A750&lt;=50)
    ),
    IFERROR(
      INDEX('Daily Sales'!$C:$AG,
        $A750,
        MATCH(TEXT($B750,"0"),TEXT('Daily Sales'!$C$2:$AG$2,"0"),0)
      ),
    ""),
  "")
)</f>
        <v/>
      </c>
      <c r="I750" s="138">
        <f t="array" ref="I750">IF($A750="","",
  IF(
    OR(
      AND($A750&gt;=4,$A750&lt;=8),
      AND($A750&gt;=12,$A750&lt;=19),
      AND($A750&gt;=28,$A750&lt;=29)
    ),
    IFERROR(
      INDEX('Daily Sales'!$C:$AG,
        $A750,
        MATCH(TEXT($B750,"0"),TEXT('Daily Sales'!$C$2:$AG$2,"0"),0)
      ),
    ""),
  "")
)</f>
        <v>0</v>
      </c>
      <c r="J750" s="79" t="e">
        <f t="shared" si="6"/>
        <v>#VALUE!</v>
      </c>
      <c r="K750" s="141"/>
      <c r="L750" s="141"/>
      <c r="M750" s="141"/>
      <c r="N750" s="133"/>
      <c r="O750" s="4"/>
      <c r="P750" s="4"/>
      <c r="Q750" s="4"/>
      <c r="R750" s="109"/>
      <c r="S750" s="109"/>
      <c r="T750" s="108"/>
      <c r="U750" s="110"/>
      <c r="V750" s="110"/>
      <c r="W750" s="110"/>
      <c r="X750" s="110"/>
    </row>
    <row r="751" spans="1:24" ht="13.5" customHeight="1">
      <c r="A751" s="110">
        <f>IF(E751="","",MATCH(E751,'Daily Sales'!B$4:B$51,0)+3)</f>
        <v>17</v>
      </c>
      <c r="B751" s="135">
        <v>46197</v>
      </c>
      <c r="C751" s="136" t="s">
        <v>114</v>
      </c>
      <c r="D751" s="137" t="str">
        <f t="array" ref="D751">IF($A751="","",INDEX('Daily Sales'!A:A,$A751))</f>
        <v>4-2601</v>
      </c>
      <c r="E751" s="138" t="s">
        <v>23</v>
      </c>
      <c r="F751" s="139" t="str">
        <f t="shared" si="14"/>
        <v xml:space="preserve">Misc </v>
      </c>
      <c r="G751" s="140"/>
      <c r="H751" s="138" t="str">
        <f t="array" ref="H751">IF($A751="","",
  IF(
    OR(
      $A751=23,
      AND($A751&gt;=32,$A751&lt;=50)
    ),
    IFERROR(
      INDEX('Daily Sales'!$C:$AG,
        $A751,
        MATCH(TEXT($B751,"0"),TEXT('Daily Sales'!$C$2:$AG$2,"0"),0)
      ),
    ""),
  "")
)</f>
        <v/>
      </c>
      <c r="I751" s="138">
        <f t="array" ref="I751">IF($A751="","",
  IF(
    OR(
      AND($A751&gt;=4,$A751&lt;=8),
      AND($A751&gt;=12,$A751&lt;=19),
      AND($A751&gt;=28,$A751&lt;=29)
    ),
    IFERROR(
      INDEX('Daily Sales'!$C:$AG,
        $A751,
        MATCH(TEXT($B751,"0"),TEXT('Daily Sales'!$C$2:$AG$2,"0"),0)
      ),
    ""),
  "")
)</f>
        <v>2500000</v>
      </c>
      <c r="J751" s="79" t="e">
        <f t="shared" si="6"/>
        <v>#VALUE!</v>
      </c>
      <c r="K751" s="141"/>
      <c r="L751" s="141"/>
      <c r="M751" s="141"/>
      <c r="N751" s="133"/>
      <c r="O751" s="4"/>
      <c r="P751" s="4"/>
      <c r="Q751" s="4"/>
      <c r="R751" s="109"/>
      <c r="S751" s="109"/>
      <c r="T751" s="108"/>
      <c r="U751" s="110"/>
      <c r="V751" s="110"/>
      <c r="W751" s="110"/>
      <c r="X751" s="110"/>
    </row>
    <row r="752" spans="1:24" ht="13.5" customHeight="1">
      <c r="A752" s="110">
        <f>IF(E752="","",MATCH(E752,'Daily Sales'!B$4:B$51,0)+3)</f>
        <v>19</v>
      </c>
      <c r="B752" s="135">
        <v>46197</v>
      </c>
      <c r="C752" s="136" t="s">
        <v>114</v>
      </c>
      <c r="D752" s="137" t="str">
        <f t="array" ref="D752">IF($A752="","",INDEX('Daily Sales'!A:A,$A752))</f>
        <v>4-2500</v>
      </c>
      <c r="E752" s="138" t="s">
        <v>26</v>
      </c>
      <c r="F752" s="139" t="str">
        <f t="shared" si="14"/>
        <v>Sales Ticket</v>
      </c>
      <c r="G752" s="140"/>
      <c r="H752" s="138" t="str">
        <f t="array" ref="H752">IF($A752="","",
  IF(
    OR(
      $A752=23,
      AND($A752&gt;=32,$A752&lt;=50)
    ),
    IFERROR(
      INDEX('Daily Sales'!$C:$AG,
        $A752,
        MATCH(TEXT($B752,"0"),TEXT('Daily Sales'!$C$2:$AG$2,"0"),0)
      ),
    ""),
  "")
)</f>
        <v/>
      </c>
      <c r="I752" s="138">
        <f t="array" ref="I752">IF($A752="","",
  IF(
    OR(
      AND($A752&gt;=4,$A752&lt;=8),
      AND($A752&gt;=12,$A752&lt;=19),
      AND($A752&gt;=28,$A752&lt;=29)
    ),
    IFERROR(
      INDEX('Daily Sales'!$C:$AG,
        $A752,
        MATCH(TEXT($B752,"0"),TEXT('Daily Sales'!$C$2:$AG$2,"0"),0)
      ),
    ""),
  "")
)</f>
        <v>9005972</v>
      </c>
      <c r="J752" s="79" t="e">
        <f t="shared" si="6"/>
        <v>#VALUE!</v>
      </c>
      <c r="K752" s="141"/>
      <c r="L752" s="141"/>
      <c r="M752" s="141"/>
      <c r="N752" s="133"/>
      <c r="O752" s="4"/>
      <c r="P752" s="4"/>
      <c r="Q752" s="4"/>
      <c r="R752" s="109"/>
      <c r="S752" s="109"/>
      <c r="T752" s="108"/>
      <c r="U752" s="110"/>
      <c r="V752" s="110"/>
      <c r="W752" s="110"/>
      <c r="X752" s="110"/>
    </row>
    <row r="753" spans="1:24" ht="13.5" customHeight="1">
      <c r="A753" s="110">
        <f>IF(E753="","",MATCH(E753,'Daily Sales'!B$4:B$51,0)+3)</f>
        <v>28</v>
      </c>
      <c r="B753" s="135">
        <v>46197</v>
      </c>
      <c r="C753" s="136" t="s">
        <v>114</v>
      </c>
      <c r="D753" s="137" t="str">
        <f t="array" ref="D753">IF($A753="","",INDEX('Daily Sales'!A:A,$A753))</f>
        <v>2-2106</v>
      </c>
      <c r="E753" s="138" t="s">
        <v>35</v>
      </c>
      <c r="F753" s="139" t="str">
        <f t="shared" si="14"/>
        <v>Service Charges 7%</v>
      </c>
      <c r="G753" s="140"/>
      <c r="H753" s="138" t="str">
        <f t="array" ref="H753">IF($A753="","",
  IF(
    OR(
      $A753=23,
      AND($A753&gt;=32,$A753&lt;=50)
    ),
    IFERROR(
      INDEX('Daily Sales'!$C:$AG,
        $A753,
        MATCH(TEXT($B753,"0"),TEXT('Daily Sales'!$C$2:$AG$2,"0"),0)
      ),
    ""),
  "")
)</f>
        <v/>
      </c>
      <c r="I753" s="138">
        <f t="array" ref="I753">IF($A753="","",
  IF(
    OR(
      AND($A753&gt;=4,$A753&lt;=8),
      AND($A753&gt;=12,$A753&lt;=19),
      AND($A753&gt;=28,$A753&lt;=29)
    ),
    IFERROR(
      INDEX('Daily Sales'!$C:$AG,
        $A753,
        MATCH(TEXT($B753,"0"),TEXT('Daily Sales'!$C$2:$AG$2,"0"),0)
      ),
    ""),
  "")
)</f>
        <v>2905768.0400000005</v>
      </c>
      <c r="J753" s="79" t="e">
        <f t="shared" si="6"/>
        <v>#VALUE!</v>
      </c>
      <c r="K753" s="141"/>
      <c r="L753" s="141"/>
      <c r="M753" s="141"/>
      <c r="N753" s="133"/>
      <c r="O753" s="4"/>
      <c r="P753" s="4"/>
      <c r="Q753" s="4"/>
      <c r="R753" s="109"/>
      <c r="S753" s="109"/>
      <c r="T753" s="108"/>
      <c r="U753" s="110"/>
      <c r="V753" s="110"/>
      <c r="W753" s="110"/>
      <c r="X753" s="110"/>
    </row>
    <row r="754" spans="1:24" ht="13.5" customHeight="1">
      <c r="A754" s="110">
        <f>IF(E754="","",MATCH(E754,'Daily Sales'!B$4:B$51,0)+3)</f>
        <v>29</v>
      </c>
      <c r="B754" s="135">
        <v>46197</v>
      </c>
      <c r="C754" s="136" t="s">
        <v>114</v>
      </c>
      <c r="D754" s="137" t="str">
        <f t="array" ref="D754">IF($A754="","",INDEX('Daily Sales'!A:A,$A754))</f>
        <v>2-3101</v>
      </c>
      <c r="E754" s="138" t="s">
        <v>37</v>
      </c>
      <c r="F754" s="139" t="str">
        <f t="shared" si="14"/>
        <v>Tax PB1 10%</v>
      </c>
      <c r="G754" s="140"/>
      <c r="H754" s="138" t="str">
        <f t="array" ref="H754">IF($A754="","",
  IF(
    OR(
      $A754=23,
      AND($A754&gt;=32,$A754&lt;=50)
    ),
    IFERROR(
      INDEX('Daily Sales'!$C:$AG,
        $A754,
        MATCH(TEXT($B754,"0"),TEXT('Daily Sales'!$C$2:$AG$2,"0"),0)
      ),
    ""),
  "")
)</f>
        <v/>
      </c>
      <c r="I754" s="138">
        <f t="array" ref="I754">IF($A754="","",
  IF(
    OR(
      AND($A754&gt;=4,$A754&lt;=8),
      AND($A754&gt;=12,$A754&lt;=19),
      AND($A754&gt;=28,$A754&lt;=29)
    ),
    IFERROR(
      INDEX('Daily Sales'!$C:$AG,
        $A754,
        MATCH(TEXT($B754,"0"),TEXT('Daily Sales'!$C$2:$AG$2,"0"),0)
      ),
    ""),
  "")
)</f>
        <v>4441674.0039999997</v>
      </c>
      <c r="J754" s="79" t="e">
        <f t="shared" si="6"/>
        <v>#VALUE!</v>
      </c>
      <c r="K754" s="141"/>
      <c r="L754" s="141"/>
      <c r="M754" s="141"/>
      <c r="N754" s="133"/>
      <c r="O754" s="4"/>
      <c r="P754" s="4"/>
      <c r="Q754" s="4"/>
      <c r="R754" s="109"/>
      <c r="S754" s="109"/>
      <c r="T754" s="108"/>
      <c r="U754" s="110"/>
      <c r="V754" s="110"/>
      <c r="W754" s="110"/>
      <c r="X754" s="110"/>
    </row>
    <row r="755" spans="1:24" ht="13.5" customHeight="1">
      <c r="A755" s="110">
        <f>IF(E755="","",MATCH(E755,'Daily Sales'!B$4:B$51,0)+3)</f>
        <v>23</v>
      </c>
      <c r="B755" s="135">
        <v>46197</v>
      </c>
      <c r="C755" s="136" t="s">
        <v>114</v>
      </c>
      <c r="D755" s="137" t="str">
        <f t="array" ref="D755">IF($A755="","",INDEX('Daily Sales'!A:A,$A755))</f>
        <v>4-5110</v>
      </c>
      <c r="E755" s="138" t="s">
        <v>30</v>
      </c>
      <c r="F755" s="139" t="str">
        <f t="shared" si="14"/>
        <v>Discount</v>
      </c>
      <c r="G755" s="140"/>
      <c r="H755" s="138">
        <f t="array" ref="H755">IF($A755="","",
  IF(
    OR(
      $A755=23,
      AND($A755&gt;=32,$A755&lt;=50)
    ),
    IFERROR(
      INDEX('Daily Sales'!$C:$AG,
        $A755,
        MATCH(TEXT($B755,"0"),TEXT('Daily Sales'!$C$2:$AG$2,"0"),0)
      ),
    ""),
  "")
)</f>
        <v>315000</v>
      </c>
      <c r="I755" s="138" t="str">
        <f t="array" ref="I755">IF($A755="","",
  IF(
    OR(
      AND($A755&gt;=4,$A755&lt;=8),
      AND($A755&gt;=12,$A755&lt;=19),
      AND($A755&gt;=28,$A755&lt;=29)
    ),
    IFERROR(
      INDEX('Daily Sales'!$C:$AG,
        $A755,
        MATCH(TEXT($B755,"0"),TEXT('Daily Sales'!$C$2:$AG$2,"0"),0)
      ),
    ""),
  "")
)</f>
        <v/>
      </c>
      <c r="J755" s="79" t="e">
        <f t="shared" si="6"/>
        <v>#VALUE!</v>
      </c>
      <c r="K755" s="141"/>
      <c r="L755" s="141"/>
      <c r="M755" s="141"/>
      <c r="N755" s="133"/>
      <c r="O755" s="4"/>
      <c r="P755" s="4"/>
      <c r="Q755" s="4"/>
      <c r="R755" s="109"/>
      <c r="S755" s="109"/>
      <c r="T755" s="108"/>
      <c r="U755" s="110"/>
      <c r="V755" s="110"/>
      <c r="W755" s="110"/>
      <c r="X755" s="110"/>
    </row>
    <row r="756" spans="1:24" ht="13.5" customHeight="1">
      <c r="A756" s="110">
        <f>IF(E756="","",MATCH(E756,'Daily Sales'!B$4:B$51,0)+3)</f>
        <v>32</v>
      </c>
      <c r="B756" s="135">
        <v>46197</v>
      </c>
      <c r="C756" s="136" t="s">
        <v>114</v>
      </c>
      <c r="D756" s="137" t="str">
        <f t="array" ref="D756">IF($A756="","",INDEX('Daily Sales'!A:A,$A756))</f>
        <v>1-1119</v>
      </c>
      <c r="E756" s="138" t="s">
        <v>40</v>
      </c>
      <c r="F756" s="139" t="str">
        <f t="shared" si="14"/>
        <v>Cash IDR</v>
      </c>
      <c r="G756" s="140"/>
      <c r="H756" s="138">
        <f t="array" ref="H756">IF($A756="","",
  IF(
    OR(
      $A756=23,
      AND($A756&gt;=32,$A756&lt;=50)
    ),
    IFERROR(
      INDEX('Daily Sales'!$C:$AG,
        $A756,
        MATCH(TEXT($B756,"0"),TEXT('Daily Sales'!$C$2:$AG$2,"0"),0)
      ),
    ""),
  "")
)</f>
        <v>11097430</v>
      </c>
      <c r="I756" s="138" t="str">
        <f t="array" ref="I756">IF($A756="","",
  IF(
    OR(
      AND($A756&gt;=4,$A756&lt;=8),
      AND($A756&gt;=12,$A756&lt;=19),
      AND($A756&gt;=28,$A756&lt;=29)
    ),
    IFERROR(
      INDEX('Daily Sales'!$C:$AG,
        $A756,
        MATCH(TEXT($B756,"0"),TEXT('Daily Sales'!$C$2:$AG$2,"0"),0)
      ),
    ""),
  "")
)</f>
        <v/>
      </c>
      <c r="J756" s="79" t="e">
        <f t="shared" si="6"/>
        <v>#VALUE!</v>
      </c>
      <c r="K756" s="141"/>
      <c r="L756" s="141"/>
      <c r="M756" s="141"/>
      <c r="N756" s="133"/>
      <c r="O756" s="4"/>
      <c r="P756" s="4"/>
      <c r="Q756" s="4"/>
      <c r="R756" s="109"/>
      <c r="S756" s="109"/>
      <c r="T756" s="108"/>
      <c r="U756" s="110"/>
      <c r="V756" s="110"/>
      <c r="W756" s="110"/>
      <c r="X756" s="110"/>
    </row>
    <row r="757" spans="1:24" ht="13.5" customHeight="1">
      <c r="A757" s="110">
        <f>IF(E757="","",MATCH(E757,'Daily Sales'!B$4:B$51,0)+3)</f>
        <v>33</v>
      </c>
      <c r="B757" s="135">
        <v>46197</v>
      </c>
      <c r="C757" s="136" t="s">
        <v>114</v>
      </c>
      <c r="D757" s="137" t="str">
        <f t="array" ref="D757">IF($A757="","",INDEX('Daily Sales'!A:A,$A757))</f>
        <v>1-1217</v>
      </c>
      <c r="E757" s="138" t="s">
        <v>43</v>
      </c>
      <c r="F757" s="139" t="str">
        <f t="shared" si="14"/>
        <v>Bank transfer</v>
      </c>
      <c r="G757" s="140"/>
      <c r="H757" s="138">
        <f t="array" ref="H757">IF($A757="","",
  IF(
    OR(
      $A757=23,
      AND($A757&gt;=32,$A757&lt;=50)
    ),
    IFERROR(
      INDEX('Daily Sales'!$C:$AG,
        $A757,
        MATCH(TEXT($B757,"0"),TEXT('Daily Sales'!$C$2:$AG$2,"0"),0)
      ),
    ""),
  "")
)</f>
        <v>0</v>
      </c>
      <c r="I757" s="138" t="str">
        <f t="array" ref="I757">IF($A757="","",
  IF(
    OR(
      AND($A757&gt;=4,$A757&lt;=8),
      AND($A757&gt;=12,$A757&lt;=19),
      AND($A757&gt;=28,$A757&lt;=29)
    ),
    IFERROR(
      INDEX('Daily Sales'!$C:$AG,
        $A757,
        MATCH(TEXT($B757,"0"),TEXT('Daily Sales'!$C$2:$AG$2,"0"),0)
      ),
    ""),
  "")
)</f>
        <v/>
      </c>
      <c r="J757" s="79" t="e">
        <f t="shared" si="6"/>
        <v>#VALUE!</v>
      </c>
      <c r="K757" s="141"/>
      <c r="L757" s="141"/>
      <c r="M757" s="141"/>
      <c r="N757" s="133"/>
      <c r="O757" s="4"/>
      <c r="P757" s="4"/>
      <c r="Q757" s="4"/>
      <c r="R757" s="109"/>
      <c r="S757" s="109"/>
      <c r="T757" s="108"/>
      <c r="U757" s="110"/>
      <c r="V757" s="110"/>
      <c r="W757" s="110"/>
      <c r="X757" s="110"/>
    </row>
    <row r="758" spans="1:24" ht="13.5" customHeight="1">
      <c r="A758" s="110">
        <f>IF(E758="","",MATCH(E758,'Daily Sales'!B$4:B$51,0)+3)</f>
        <v>35</v>
      </c>
      <c r="B758" s="135">
        <v>46197</v>
      </c>
      <c r="C758" s="136" t="s">
        <v>114</v>
      </c>
      <c r="D758" s="137" t="str">
        <f t="array" ref="D758">IF($A758="","",INDEX('Daily Sales'!A:A,$A758))</f>
        <v>1-1216</v>
      </c>
      <c r="E758" s="138" t="s">
        <v>46</v>
      </c>
      <c r="F758" s="139" t="str">
        <f t="shared" si="14"/>
        <v>Cim Niaga TBB</v>
      </c>
      <c r="G758" s="140"/>
      <c r="H758" s="138">
        <f t="array" ref="H758">IF($A758="","",
  IF(
    OR(
      $A758=23,
      AND($A758&gt;=32,$A758&lt;=50)
    ),
    IFERROR(
      INDEX('Daily Sales'!$C:$AG,
        $A758,
        MATCH(TEXT($B758,"0"),TEXT('Daily Sales'!$C$2:$AG$2,"0"),0)
      ),
    ""),
  "")
)</f>
        <v>0</v>
      </c>
      <c r="I758" s="138" t="str">
        <f t="array" ref="I758">IF($A758="","",
  IF(
    OR(
      AND($A758&gt;=4,$A758&lt;=8),
      AND($A758&gt;=12,$A758&lt;=19),
      AND($A758&gt;=28,$A758&lt;=29)
    ),
    IFERROR(
      INDEX('Daily Sales'!$C:$AG,
        $A758,
        MATCH(TEXT($B758,"0"),TEXT('Daily Sales'!$C$2:$AG$2,"0"),0)
      ),
    ""),
  "")
)</f>
        <v/>
      </c>
      <c r="J758" s="79" t="e">
        <f t="shared" si="6"/>
        <v>#VALUE!</v>
      </c>
      <c r="K758" s="141"/>
      <c r="L758" s="141"/>
      <c r="M758" s="141"/>
      <c r="N758" s="133"/>
      <c r="O758" s="4"/>
      <c r="P758" s="4"/>
      <c r="Q758" s="4"/>
      <c r="R758" s="109"/>
      <c r="S758" s="109"/>
      <c r="T758" s="108"/>
      <c r="U758" s="110"/>
      <c r="V758" s="110"/>
      <c r="W758" s="110"/>
      <c r="X758" s="110"/>
    </row>
    <row r="759" spans="1:24" ht="13.5" customHeight="1">
      <c r="A759" s="110">
        <f>IF(E759="","",MATCH(E759,'Daily Sales'!B$4:B$51,0)+3)</f>
        <v>36</v>
      </c>
      <c r="B759" s="135">
        <v>46197</v>
      </c>
      <c r="C759" s="136" t="s">
        <v>114</v>
      </c>
      <c r="D759" s="137" t="str">
        <f t="array" ref="D759">IF($A759="","",INDEX('Daily Sales'!A:A,$A759))</f>
        <v>1-1213</v>
      </c>
      <c r="E759" s="138" t="s">
        <v>49</v>
      </c>
      <c r="F759" s="139" t="str">
        <f t="shared" si="14"/>
        <v>Mandiri Debet</v>
      </c>
      <c r="G759" s="140"/>
      <c r="H759" s="138">
        <f t="array" ref="H759">IF($A759="","",
  IF(
    OR(
      $A759=23,
      AND($A759&gt;=32,$A759&lt;=50)
    ),
    IFERROR(
      INDEX('Daily Sales'!$C:$AG,
        $A759,
        MATCH(TEXT($B759,"0"),TEXT('Daily Sales'!$C$2:$AG$2,"0"),0)
      ),
    ""),
  "")
)</f>
        <v>788320</v>
      </c>
      <c r="I759" s="138" t="str">
        <f t="array" ref="I759">IF($A759="","",
  IF(
    OR(
      AND($A759&gt;=4,$A759&lt;=8),
      AND($A759&gt;=12,$A759&lt;=19),
      AND($A759&gt;=28,$A759&lt;=29)
    ),
    IFERROR(
      INDEX('Daily Sales'!$C:$AG,
        $A759,
        MATCH(TEXT($B759,"0"),TEXT('Daily Sales'!$C$2:$AG$2,"0"),0)
      ),
    ""),
  "")
)</f>
        <v/>
      </c>
      <c r="J759" s="79" t="e">
        <f t="shared" si="6"/>
        <v>#VALUE!</v>
      </c>
      <c r="K759" s="141"/>
      <c r="L759" s="141"/>
      <c r="M759" s="141"/>
      <c r="N759" s="133"/>
      <c r="O759" s="4"/>
      <c r="P759" s="4"/>
      <c r="Q759" s="4"/>
      <c r="R759" s="109"/>
      <c r="S759" s="109"/>
      <c r="T759" s="108"/>
      <c r="U759" s="110"/>
      <c r="V759" s="110"/>
      <c r="W759" s="110"/>
      <c r="X759" s="110"/>
    </row>
    <row r="760" spans="1:24" ht="13.5" customHeight="1">
      <c r="A760" s="110">
        <f>IF(E760="","",MATCH(E760,'Daily Sales'!B$4:B$51,0)+3)</f>
        <v>37</v>
      </c>
      <c r="B760" s="135">
        <v>46197</v>
      </c>
      <c r="C760" s="136" t="s">
        <v>114</v>
      </c>
      <c r="D760" s="137" t="str">
        <f t="array" ref="D760">IF($A760="","",INDEX('Daily Sales'!A:A,$A760))</f>
        <v>1-1213</v>
      </c>
      <c r="E760" s="138" t="s">
        <v>50</v>
      </c>
      <c r="F760" s="139" t="str">
        <f t="shared" si="14"/>
        <v>Mandiri CC</v>
      </c>
      <c r="G760" s="140"/>
      <c r="H760" s="138">
        <f t="array" ref="H760">IF($A760="","",
  IF(
    OR(
      $A760=23,
      AND($A760&gt;=32,$A760&lt;=50)
    ),
    IFERROR(
      INDEX('Daily Sales'!$C:$AG,
        $A760,
        MATCH(TEXT($B760,"0"),TEXT('Daily Sales'!$C$2:$AG$2,"0"),0)
      ),
    ""),
  "")
)</f>
        <v>22489950</v>
      </c>
      <c r="I760" s="138" t="str">
        <f t="array" ref="I760">IF($A760="","",
  IF(
    OR(
      AND($A760&gt;=4,$A760&lt;=8),
      AND($A760&gt;=12,$A760&lt;=19),
      AND($A760&gt;=28,$A760&lt;=29)
    ),
    IFERROR(
      INDEX('Daily Sales'!$C:$AG,
        $A760,
        MATCH(TEXT($B760,"0"),TEXT('Daily Sales'!$C$2:$AG$2,"0"),0)
      ),
    ""),
  "")
)</f>
        <v/>
      </c>
      <c r="J760" s="79" t="e">
        <f t="shared" si="6"/>
        <v>#VALUE!</v>
      </c>
      <c r="K760" s="141"/>
      <c r="L760" s="141"/>
      <c r="M760" s="141"/>
      <c r="N760" s="133"/>
      <c r="O760" s="4"/>
      <c r="P760" s="4"/>
      <c r="Q760" s="4"/>
      <c r="R760" s="109"/>
      <c r="S760" s="109"/>
      <c r="T760" s="108"/>
      <c r="U760" s="110"/>
      <c r="V760" s="110"/>
      <c r="W760" s="110"/>
      <c r="X760" s="110"/>
    </row>
    <row r="761" spans="1:24" ht="13.5" customHeight="1">
      <c r="A761" s="110">
        <f>IF(E761="","",MATCH(E761,'Daily Sales'!B$4:B$51,0)+3)</f>
        <v>38</v>
      </c>
      <c r="B761" s="135">
        <v>46197</v>
      </c>
      <c r="C761" s="136" t="s">
        <v>114</v>
      </c>
      <c r="D761" s="137" t="str">
        <f t="array" ref="D761">IF($A761="","",INDEX('Daily Sales'!A:A,$A761))</f>
        <v>1-1213</v>
      </c>
      <c r="E761" s="138" t="s">
        <v>51</v>
      </c>
      <c r="F761" s="139" t="str">
        <f t="shared" si="14"/>
        <v>Mandiri NPG</v>
      </c>
      <c r="G761" s="140"/>
      <c r="H761" s="138">
        <f t="array" ref="H761">IF($A761="","",
  IF(
    OR(
      $A761=23,
      AND($A761&gt;=32,$A761&lt;=50)
    ),
    IFERROR(
      INDEX('Daily Sales'!$C:$AG,
        $A761,
        MATCH(TEXT($B761,"0"),TEXT('Daily Sales'!$C$2:$AG$2,"0"),0)
      ),
    ""),
  "")
)</f>
        <v>5049330</v>
      </c>
      <c r="I761" s="138" t="str">
        <f t="array" ref="I761">IF($A761="","",
  IF(
    OR(
      AND($A761&gt;=4,$A761&lt;=8),
      AND($A761&gt;=12,$A761&lt;=19),
      AND($A761&gt;=28,$A761&lt;=29)
    ),
    IFERROR(
      INDEX('Daily Sales'!$C:$AG,
        $A761,
        MATCH(TEXT($B761,"0"),TEXT('Daily Sales'!$C$2:$AG$2,"0"),0)
      ),
    ""),
  "")
)</f>
        <v/>
      </c>
      <c r="J761" s="79" t="e">
        <f t="shared" si="6"/>
        <v>#VALUE!</v>
      </c>
      <c r="K761" s="141"/>
      <c r="L761" s="141"/>
      <c r="M761" s="141"/>
      <c r="N761" s="133"/>
      <c r="O761" s="4"/>
      <c r="P761" s="4"/>
      <c r="Q761" s="4"/>
      <c r="R761" s="109"/>
      <c r="S761" s="109"/>
      <c r="T761" s="108"/>
      <c r="U761" s="110"/>
      <c r="V761" s="110"/>
      <c r="W761" s="110"/>
      <c r="X761" s="110"/>
    </row>
    <row r="762" spans="1:24" ht="13.5" customHeight="1">
      <c r="A762" s="110">
        <f>IF(E762="","",MATCH(E762,'Daily Sales'!B$4:B$51,0)+3)</f>
        <v>39</v>
      </c>
      <c r="B762" s="135">
        <v>46197</v>
      </c>
      <c r="C762" s="136" t="s">
        <v>114</v>
      </c>
      <c r="D762" s="137" t="str">
        <f t="array" ref="D762">IF($A762="","",INDEX('Daily Sales'!A:A,$A762))</f>
        <v>1-1213</v>
      </c>
      <c r="E762" s="138" t="s">
        <v>52</v>
      </c>
      <c r="F762" s="139" t="str">
        <f t="shared" si="14"/>
        <v>Mandiri QR</v>
      </c>
      <c r="G762" s="140"/>
      <c r="H762" s="138">
        <f t="array" ref="H762">IF($A762="","",
  IF(
    OR(
      $A762=23,
      AND($A762&gt;=32,$A762&lt;=50)
    ),
    IFERROR(
      INDEX('Daily Sales'!$C:$AG,
        $A762,
        MATCH(TEXT($B762,"0"),TEXT('Daily Sales'!$C$2:$AG$2,"0"),0)
      ),
    ""),
  "")
)</f>
        <v>5621723</v>
      </c>
      <c r="I762" s="138" t="str">
        <f t="array" ref="I762">IF($A762="","",
  IF(
    OR(
      AND($A762&gt;=4,$A762&lt;=8),
      AND($A762&gt;=12,$A762&lt;=19),
      AND($A762&gt;=28,$A762&lt;=29)
    ),
    IFERROR(
      INDEX('Daily Sales'!$C:$AG,
        $A762,
        MATCH(TEXT($B762,"0"),TEXT('Daily Sales'!$C$2:$AG$2,"0"),0)
      ),
    ""),
  "")
)</f>
        <v/>
      </c>
      <c r="J762" s="79" t="e">
        <f t="shared" si="6"/>
        <v>#VALUE!</v>
      </c>
      <c r="K762" s="141"/>
      <c r="L762" s="141"/>
      <c r="M762" s="141"/>
      <c r="N762" s="133"/>
      <c r="O762" s="4"/>
      <c r="P762" s="4"/>
      <c r="Q762" s="4"/>
      <c r="R762" s="109"/>
      <c r="S762" s="109"/>
      <c r="T762" s="108"/>
      <c r="U762" s="110"/>
      <c r="V762" s="110"/>
      <c r="W762" s="110"/>
      <c r="X762" s="110"/>
    </row>
    <row r="763" spans="1:24" ht="13.5" customHeight="1">
      <c r="A763" s="110">
        <f>IF(E763="","",MATCH(E763,'Daily Sales'!B$4:B$51,0)+3)</f>
        <v>40</v>
      </c>
      <c r="B763" s="135">
        <v>46197</v>
      </c>
      <c r="C763" s="136" t="s">
        <v>114</v>
      </c>
      <c r="D763" s="137" t="str">
        <f t="array" ref="D763">IF($A763="","",INDEX('Daily Sales'!A:A,$A763))</f>
        <v>1-1217</v>
      </c>
      <c r="E763" s="138" t="s">
        <v>54</v>
      </c>
      <c r="F763" s="139" t="str">
        <f t="shared" si="14"/>
        <v>BCA CC</v>
      </c>
      <c r="G763" s="140"/>
      <c r="H763" s="138">
        <f t="array" ref="H763">IF($A763="","",
  IF(
    OR(
      $A763=23,
      AND($A763&gt;=32,$A763&lt;=50)
    ),
    IFERROR(
      INDEX('Daily Sales'!$C:$AG,
        $A763,
        MATCH(TEXT($B763,"0"),TEXT('Daily Sales'!$C$2:$AG$2,"0"),0)
      ),
    ""),
  "")
)</f>
        <v>5649600</v>
      </c>
      <c r="I763" s="138" t="str">
        <f t="array" ref="I763">IF($A763="","",
  IF(
    OR(
      AND($A763&gt;=4,$A763&lt;=8),
      AND($A763&gt;=12,$A763&lt;=19),
      AND($A763&gt;=28,$A763&lt;=29)
    ),
    IFERROR(
      INDEX('Daily Sales'!$C:$AG,
        $A763,
        MATCH(TEXT($B763,"0"),TEXT('Daily Sales'!$C$2:$AG$2,"0"),0)
      ),
    ""),
  "")
)</f>
        <v/>
      </c>
      <c r="J763" s="79" t="e">
        <f t="shared" si="6"/>
        <v>#VALUE!</v>
      </c>
      <c r="K763" s="141"/>
      <c r="L763" s="141"/>
      <c r="M763" s="141"/>
      <c r="N763" s="133"/>
      <c r="O763" s="4"/>
      <c r="P763" s="4"/>
      <c r="Q763" s="4"/>
      <c r="R763" s="109"/>
      <c r="S763" s="109"/>
      <c r="T763" s="108"/>
      <c r="U763" s="110"/>
      <c r="V763" s="110"/>
      <c r="W763" s="110"/>
      <c r="X763" s="110"/>
    </row>
    <row r="764" spans="1:24" ht="13.5" customHeight="1">
      <c r="A764" s="110">
        <f>IF(E764="","",MATCH(E764,'Daily Sales'!B$4:B$51,0)+3)</f>
        <v>41</v>
      </c>
      <c r="B764" s="135">
        <v>46197</v>
      </c>
      <c r="C764" s="136" t="s">
        <v>114</v>
      </c>
      <c r="D764" s="137" t="str">
        <f t="array" ref="D764">IF($A764="","",INDEX('Daily Sales'!A:A,$A764))</f>
        <v>1-1217</v>
      </c>
      <c r="E764" s="138" t="s">
        <v>55</v>
      </c>
      <c r="F764" s="139" t="str">
        <f t="shared" si="14"/>
        <v>BCA debt</v>
      </c>
      <c r="G764" s="140"/>
      <c r="H764" s="138">
        <f t="array" ref="H764">IF($A764="","",
  IF(
    OR(
      $A764=23,
      AND($A764&gt;=32,$A764&lt;=50)
    ),
    IFERROR(
      INDEX('Daily Sales'!$C:$AG,
        $A764,
        MATCH(TEXT($B764,"0"),TEXT('Daily Sales'!$C$2:$AG$2,"0"),0)
      ),
    ""),
  "")
)</f>
        <v>235400</v>
      </c>
      <c r="I764" s="138" t="str">
        <f t="array" ref="I764">IF($A764="","",
  IF(
    OR(
      AND($A764&gt;=4,$A764&lt;=8),
      AND($A764&gt;=12,$A764&lt;=19),
      AND($A764&gt;=28,$A764&lt;=29)
    ),
    IFERROR(
      INDEX('Daily Sales'!$C:$AG,
        $A764,
        MATCH(TEXT($B764,"0"),TEXT('Daily Sales'!$C$2:$AG$2,"0"),0)
      ),
    ""),
  "")
)</f>
        <v/>
      </c>
      <c r="J764" s="79" t="e">
        <f t="shared" si="6"/>
        <v>#VALUE!</v>
      </c>
      <c r="K764" s="141"/>
      <c r="L764" s="141"/>
      <c r="M764" s="141"/>
      <c r="N764" s="133"/>
      <c r="O764" s="4"/>
      <c r="P764" s="4"/>
      <c r="Q764" s="4"/>
      <c r="R764" s="109"/>
      <c r="S764" s="109"/>
      <c r="T764" s="108"/>
      <c r="U764" s="110"/>
      <c r="V764" s="110"/>
      <c r="W764" s="110"/>
      <c r="X764" s="110"/>
    </row>
    <row r="765" spans="1:24" ht="13.5" customHeight="1">
      <c r="A765" s="110">
        <f>IF(E765="","",MATCH(E765,'Daily Sales'!B$4:B$51,0)+3)</f>
        <v>42</v>
      </c>
      <c r="B765" s="135">
        <v>46197</v>
      </c>
      <c r="C765" s="136" t="s">
        <v>114</v>
      </c>
      <c r="D765" s="137" t="str">
        <f t="array" ref="D765">IF($A765="","",INDEX('Daily Sales'!A:A,$A765))</f>
        <v>1-1217</v>
      </c>
      <c r="E765" s="138" t="s">
        <v>56</v>
      </c>
      <c r="F765" s="139" t="str">
        <f t="shared" si="14"/>
        <v>BCA QR</v>
      </c>
      <c r="G765" s="140"/>
      <c r="H765" s="138">
        <f t="array" ref="H765">IF($A765="","",
  IF(
    OR(
      $A765=23,
      AND($A765&gt;=32,$A765&lt;=50)
    ),
    IFERROR(
      INDEX('Daily Sales'!$C:$AG,
        $A765,
        MATCH(TEXT($B765,"0"),TEXT('Daily Sales'!$C$2:$AG$2,"0"),0)
      ),
    ""),
  "")
)</f>
        <v>158895</v>
      </c>
      <c r="I765" s="138" t="str">
        <f t="array" ref="I765">IF($A765="","",
  IF(
    OR(
      AND($A765&gt;=4,$A765&lt;=8),
      AND($A765&gt;=12,$A765&lt;=19),
      AND($A765&gt;=28,$A765&lt;=29)
    ),
    IFERROR(
      INDEX('Daily Sales'!$C:$AG,
        $A765,
        MATCH(TEXT($B765,"0"),TEXT('Daily Sales'!$C$2:$AG$2,"0"),0)
      ),
    ""),
  "")
)</f>
        <v/>
      </c>
      <c r="J765" s="79" t="e">
        <f t="shared" si="6"/>
        <v>#VALUE!</v>
      </c>
      <c r="K765" s="141"/>
      <c r="L765" s="141"/>
      <c r="M765" s="141"/>
      <c r="N765" s="133"/>
      <c r="O765" s="4"/>
      <c r="P765" s="4"/>
      <c r="Q765" s="4"/>
      <c r="R765" s="109"/>
      <c r="S765" s="109"/>
      <c r="T765" s="108"/>
      <c r="U765" s="110"/>
      <c r="V765" s="110"/>
      <c r="W765" s="110"/>
      <c r="X765" s="110"/>
    </row>
    <row r="766" spans="1:24" ht="13.5" customHeight="1">
      <c r="A766" s="110">
        <f>IF(E766="","",MATCH(E766,'Daily Sales'!B$4:B$51,0)+3)</f>
        <v>43</v>
      </c>
      <c r="B766" s="135">
        <v>46197</v>
      </c>
      <c r="C766" s="136" t="s">
        <v>114</v>
      </c>
      <c r="D766" s="137" t="str">
        <f t="array" ref="D766">IF($A766="","",INDEX('Daily Sales'!A:A,$A766))</f>
        <v>1-1214</v>
      </c>
      <c r="E766" s="138" t="s">
        <v>59</v>
      </c>
      <c r="F766" s="139" t="str">
        <f t="shared" si="14"/>
        <v>Bank BRI DEBET</v>
      </c>
      <c r="G766" s="140"/>
      <c r="H766" s="138">
        <f t="array" ref="H766">IF($A766="","",
  IF(
    OR(
      $A766=23,
      AND($A766&gt;=32,$A766&lt;=50)
    ),
    IFERROR(
      INDEX('Daily Sales'!$C:$AG,
        $A766,
        MATCH(TEXT($B766,"0"),TEXT('Daily Sales'!$C$2:$AG$2,"0"),0)
      ),
    ""),
  "")
)</f>
        <v>0</v>
      </c>
      <c r="I766" s="138" t="str">
        <f t="array" ref="I766">IF($A766="","",
  IF(
    OR(
      AND($A766&gt;=4,$A766&lt;=8),
      AND($A766&gt;=12,$A766&lt;=19),
      AND($A766&gt;=28,$A766&lt;=29)
    ),
    IFERROR(
      INDEX('Daily Sales'!$C:$AG,
        $A766,
        MATCH(TEXT($B766,"0"),TEXT('Daily Sales'!$C$2:$AG$2,"0"),0)
      ),
    ""),
  "")
)</f>
        <v/>
      </c>
      <c r="J766" s="79" t="e">
        <f t="shared" si="6"/>
        <v>#VALUE!</v>
      </c>
      <c r="K766" s="141"/>
      <c r="L766" s="141"/>
      <c r="M766" s="141"/>
      <c r="N766" s="133"/>
      <c r="O766" s="4"/>
      <c r="P766" s="4"/>
      <c r="Q766" s="4"/>
      <c r="R766" s="109"/>
      <c r="S766" s="109"/>
      <c r="T766" s="108"/>
      <c r="U766" s="110"/>
      <c r="V766" s="110"/>
      <c r="W766" s="110"/>
      <c r="X766" s="110"/>
    </row>
    <row r="767" spans="1:24" ht="13.5" customHeight="1">
      <c r="A767" s="110">
        <f>IF(E767="","",MATCH(E767,'Daily Sales'!B$4:B$51,0)+3)</f>
        <v>44</v>
      </c>
      <c r="B767" s="135">
        <v>46197</v>
      </c>
      <c r="C767" s="136" t="s">
        <v>114</v>
      </c>
      <c r="D767" s="137" t="str">
        <f t="array" ref="D767">IF($A767="","",INDEX('Daily Sales'!A:A,$A767))</f>
        <v>1-1214</v>
      </c>
      <c r="E767" s="138" t="s">
        <v>60</v>
      </c>
      <c r="F767" s="139" t="str">
        <f t="shared" si="14"/>
        <v>Bank BRI CC</v>
      </c>
      <c r="G767" s="140"/>
      <c r="H767" s="138">
        <f t="array" ref="H767">IF($A767="","",
  IF(
    OR(
      $A767=23,
      AND($A767&gt;=32,$A767&lt;=50)
    ),
    IFERROR(
      INDEX('Daily Sales'!$C:$AG,
        $A767,
        MATCH(TEXT($B767,"0"),TEXT('Daily Sales'!$C$2:$AG$2,"0"),0)
      ),
    ""),
  "")
)</f>
        <v>223630</v>
      </c>
      <c r="I767" s="138" t="str">
        <f t="array" ref="I767">IF($A767="","",
  IF(
    OR(
      AND($A767&gt;=4,$A767&lt;=8),
      AND($A767&gt;=12,$A767&lt;=19),
      AND($A767&gt;=28,$A767&lt;=29)
    ),
    IFERROR(
      INDEX('Daily Sales'!$C:$AG,
        $A767,
        MATCH(TEXT($B767,"0"),TEXT('Daily Sales'!$C$2:$AG$2,"0"),0)
      ),
    ""),
  "")
)</f>
        <v/>
      </c>
      <c r="J767" s="79" t="e">
        <f t="shared" si="6"/>
        <v>#VALUE!</v>
      </c>
      <c r="K767" s="141"/>
      <c r="L767" s="141"/>
      <c r="M767" s="141"/>
      <c r="N767" s="133"/>
      <c r="O767" s="4"/>
      <c r="P767" s="4"/>
      <c r="Q767" s="4"/>
      <c r="R767" s="109"/>
      <c r="S767" s="109"/>
      <c r="T767" s="108"/>
      <c r="U767" s="110"/>
      <c r="V767" s="110"/>
      <c r="W767" s="110"/>
      <c r="X767" s="110"/>
    </row>
    <row r="768" spans="1:24" ht="13.5" customHeight="1">
      <c r="A768" s="110">
        <f>IF(E768="","",MATCH(E768,'Daily Sales'!B$4:B$51,0)+3)</f>
        <v>45</v>
      </c>
      <c r="B768" s="135">
        <v>46197</v>
      </c>
      <c r="C768" s="136" t="s">
        <v>114</v>
      </c>
      <c r="D768" s="137" t="str">
        <f t="array" ref="D768">IF($A768="","",INDEX('Daily Sales'!A:A,$A768))</f>
        <v>1-1214</v>
      </c>
      <c r="E768" s="138" t="s">
        <v>61</v>
      </c>
      <c r="F768" s="139" t="str">
        <f t="shared" si="14"/>
        <v>Bank BRI QR</v>
      </c>
      <c r="G768" s="140"/>
      <c r="H768" s="138">
        <f t="array" ref="H768">IF($A768="","",
  IF(
    OR(
      $A768=23,
      AND($A768&gt;=32,$A768&lt;=50)
    ),
    IFERROR(
      INDEX('Daily Sales'!$C:$AG,
        $A768,
        MATCH(TEXT($B768,"0"),TEXT('Daily Sales'!$C$2:$AG$2,"0"),0)
      ),
    ""),
  "")
)</f>
        <v>0</v>
      </c>
      <c r="I768" s="138" t="str">
        <f t="array" ref="I768">IF($A768="","",
  IF(
    OR(
      AND($A768&gt;=4,$A768&lt;=8),
      AND($A768&gt;=12,$A768&lt;=19),
      AND($A768&gt;=28,$A768&lt;=29)
    ),
    IFERROR(
      INDEX('Daily Sales'!$C:$AG,
        $A768,
        MATCH(TEXT($B768,"0"),TEXT('Daily Sales'!$C$2:$AG$2,"0"),0)
      ),
    ""),
  "")
)</f>
        <v/>
      </c>
      <c r="J768" s="79" t="e">
        <f t="shared" si="6"/>
        <v>#VALUE!</v>
      </c>
      <c r="K768" s="141"/>
      <c r="L768" s="141"/>
      <c r="M768" s="141"/>
      <c r="N768" s="133"/>
      <c r="O768" s="4"/>
      <c r="P768" s="4"/>
      <c r="Q768" s="4"/>
      <c r="R768" s="109"/>
      <c r="S768" s="109"/>
      <c r="T768" s="108"/>
      <c r="U768" s="110"/>
      <c r="V768" s="110"/>
      <c r="W768" s="110"/>
      <c r="X768" s="110"/>
    </row>
    <row r="769" spans="1:24" ht="13.5" customHeight="1">
      <c r="A769" s="110">
        <f>IF(E769="","",MATCH(E769,'Daily Sales'!B$4:B$51,0)+3)</f>
        <v>46</v>
      </c>
      <c r="B769" s="135">
        <v>46197</v>
      </c>
      <c r="C769" s="136" t="s">
        <v>114</v>
      </c>
      <c r="D769" s="137" t="str">
        <f t="array" ref="D769">IF($A769="","",INDEX('Daily Sales'!A:A,$A769))</f>
        <v>1-1202</v>
      </c>
      <c r="E769" s="138" t="s">
        <v>64</v>
      </c>
      <c r="F769" s="139" t="str">
        <f t="shared" si="14"/>
        <v>Ledger</v>
      </c>
      <c r="G769" s="140"/>
      <c r="H769" s="138">
        <f t="array" ref="H769">IF($A769="","",
  IF(
    OR(
      $A769=23,
      AND($A769&gt;=32,$A769&lt;=50)
    ),
    IFERROR(
      INDEX('Daily Sales'!$C:$AG,
        $A769,
        MATCH(TEXT($B769,"0"),TEXT('Daily Sales'!$C$2:$AG$2,"0"),0)
      ),
    ""),
  "")
)</f>
        <v>44138</v>
      </c>
      <c r="I769" s="138" t="str">
        <f t="array" ref="I769">IF($A769="","",
  IF(
    OR(
      AND($A769&gt;=4,$A769&lt;=8),
      AND($A769&gt;=12,$A769&lt;=19),
      AND($A769&gt;=28,$A769&lt;=29)
    ),
    IFERROR(
      INDEX('Daily Sales'!$C:$AG,
        $A769,
        MATCH(TEXT($B769,"0"),TEXT('Daily Sales'!$C$2:$AG$2,"0"),0)
      ),
    ""),
  "")
)</f>
        <v/>
      </c>
      <c r="J769" s="79" t="e">
        <f t="shared" si="6"/>
        <v>#VALUE!</v>
      </c>
      <c r="K769" s="141"/>
      <c r="L769" s="141"/>
      <c r="M769" s="141"/>
      <c r="N769" s="133"/>
      <c r="O769" s="4"/>
      <c r="P769" s="4"/>
      <c r="Q769" s="4"/>
      <c r="R769" s="109"/>
      <c r="S769" s="109"/>
      <c r="T769" s="108"/>
      <c r="U769" s="110"/>
      <c r="V769" s="110"/>
      <c r="W769" s="110"/>
      <c r="X769" s="110"/>
    </row>
    <row r="770" spans="1:24" ht="13.5" customHeight="1">
      <c r="A770" s="110">
        <f>IF(E770="","",MATCH(E770,'Daily Sales'!B$4:B$51,0)+3)</f>
        <v>47</v>
      </c>
      <c r="B770" s="135">
        <v>46197</v>
      </c>
      <c r="C770" s="136" t="s">
        <v>114</v>
      </c>
      <c r="D770" s="137" t="str">
        <f t="array" ref="D770">IF($A770="","",INDEX('Daily Sales'!A:A,$A770))</f>
        <v>1-1129</v>
      </c>
      <c r="E770" s="138" t="s">
        <v>66</v>
      </c>
      <c r="F770" s="139" t="str">
        <f t="shared" si="14"/>
        <v>Star Points</v>
      </c>
      <c r="G770" s="140"/>
      <c r="H770" s="138">
        <f t="array" ref="H770">IF($A770="","",
  IF(
    OR(
      $A770=23,
      AND($A770&gt;=32,$A770&lt;=50)
    ),
    IFERROR(
      INDEX('Daily Sales'!$C:$AG,
        $A770,
        MATCH(TEXT($B770,"0"),TEXT('Daily Sales'!$C$2:$AG$2,"0"),0)
      ),
    ""),
  "")
)</f>
        <v>0</v>
      </c>
      <c r="I770" s="138" t="str">
        <f t="array" ref="I770">IF($A770="","",
  IF(
    OR(
      AND($A770&gt;=4,$A770&lt;=8),
      AND($A770&gt;=12,$A770&lt;=19),
      AND($A770&gt;=28,$A770&lt;=29)
    ),
    IFERROR(
      INDEX('Daily Sales'!$C:$AG,
        $A770,
        MATCH(TEXT($B770,"0"),TEXT('Daily Sales'!$C$2:$AG$2,"0"),0)
      ),
    ""),
  "")
)</f>
        <v/>
      </c>
      <c r="J770" s="79" t="e">
        <f t="shared" si="6"/>
        <v>#VALUE!</v>
      </c>
      <c r="K770" s="141"/>
      <c r="L770" s="141"/>
      <c r="M770" s="141"/>
      <c r="N770" s="133"/>
      <c r="O770" s="4"/>
      <c r="P770" s="4"/>
      <c r="Q770" s="4"/>
      <c r="R770" s="109"/>
      <c r="S770" s="109"/>
      <c r="T770" s="108"/>
      <c r="U770" s="110"/>
      <c r="V770" s="110"/>
      <c r="W770" s="110"/>
      <c r="X770" s="110"/>
    </row>
    <row r="771" spans="1:24" ht="13.5" customHeight="1">
      <c r="A771" s="110">
        <f>IF(E771="","",MATCH(E771,'Daily Sales'!B$4:B$51,0)+3)</f>
        <v>48</v>
      </c>
      <c r="B771" s="135">
        <v>46197</v>
      </c>
      <c r="C771" s="136" t="s">
        <v>114</v>
      </c>
      <c r="D771" s="137" t="str">
        <f t="array" ref="D771">IF($A771="","",INDEX('Daily Sales'!A:A,$A771))</f>
        <v>1-1215</v>
      </c>
      <c r="E771" s="138" t="s">
        <v>68</v>
      </c>
      <c r="F771" s="139" t="str">
        <f t="shared" si="14"/>
        <v>Ovo</v>
      </c>
      <c r="G771" s="140"/>
      <c r="H771" s="138">
        <f t="array" ref="H771">IF($A771="","",
  IF(
    OR(
      $A771=23,
      AND($A771&gt;=32,$A771&lt;=50)
    ),
    IFERROR(
      INDEX('Daily Sales'!$C:$AG,
        $A771,
        MATCH(TEXT($B771,"0"),TEXT('Daily Sales'!$C$2:$AG$2,"0"),0)
      ),
    ""),
  "")
)</f>
        <v>0</v>
      </c>
      <c r="I771" s="138" t="str">
        <f t="array" ref="I771">IF($A771="","",
  IF(
    OR(
      AND($A771&gt;=4,$A771&lt;=8),
      AND($A771&gt;=12,$A771&lt;=19),
      AND($A771&gt;=28,$A771&lt;=29)
    ),
    IFERROR(
      INDEX('Daily Sales'!$C:$AG,
        $A771,
        MATCH(TEXT($B771,"0"),TEXT('Daily Sales'!$C$2:$AG$2,"0"),0)
      ),
    ""),
  "")
)</f>
        <v/>
      </c>
      <c r="J771" s="79" t="e">
        <f t="shared" si="6"/>
        <v>#VALUE!</v>
      </c>
      <c r="K771" s="141"/>
      <c r="L771" s="141"/>
      <c r="M771" s="141"/>
      <c r="N771" s="133"/>
      <c r="O771" s="4"/>
      <c r="P771" s="4"/>
      <c r="Q771" s="4"/>
      <c r="R771" s="109"/>
      <c r="S771" s="109"/>
      <c r="T771" s="108"/>
      <c r="U771" s="110"/>
      <c r="V771" s="110"/>
      <c r="W771" s="110"/>
      <c r="X771" s="110"/>
    </row>
    <row r="772" spans="1:24" ht="13.5" customHeight="1">
      <c r="A772" s="110">
        <f>IF(E772="","",MATCH(E772,'Daily Sales'!B$4:B$51,0)+3)</f>
        <v>49</v>
      </c>
      <c r="B772" s="135">
        <v>46197</v>
      </c>
      <c r="C772" s="136" t="s">
        <v>114</v>
      </c>
      <c r="D772" s="137" t="str">
        <f t="array" ref="D772">IF($A772="","",INDEX('Daily Sales'!A:A,$A772))</f>
        <v>1-1211</v>
      </c>
      <c r="E772" s="138" t="s">
        <v>70</v>
      </c>
      <c r="F772" s="139" t="str">
        <f t="shared" si="14"/>
        <v>Gopay</v>
      </c>
      <c r="G772" s="140"/>
      <c r="H772" s="138">
        <f t="array" ref="H772">IF($A772="","",
  IF(
    OR(
      $A772=23,
      AND($A772&gt;=32,$A772&lt;=50)
    ),
    IFERROR(
      INDEX('Daily Sales'!$C:$AG,
        $A772,
        MATCH(TEXT($B772,"0"),TEXT('Daily Sales'!$C$2:$AG$2,"0"),0)
      ),
    ""),
  "")
)</f>
        <v>0</v>
      </c>
      <c r="I772" s="138" t="str">
        <f t="array" ref="I772">IF($A772="","",
  IF(
    OR(
      AND($A772&gt;=4,$A772&lt;=8),
      AND($A772&gt;=12,$A772&lt;=19),
      AND($A772&gt;=28,$A772&lt;=29)
    ),
    IFERROR(
      INDEX('Daily Sales'!$C:$AG,
        $A772,
        MATCH(TEXT($B772,"0"),TEXT('Daily Sales'!$C$2:$AG$2,"0"),0)
      ),
    ""),
  "")
)</f>
        <v/>
      </c>
      <c r="J772" s="79" t="e">
        <f t="shared" ref="J772:J1026" si="15">J771+H772-I772</f>
        <v>#VALUE!</v>
      </c>
      <c r="K772" s="141"/>
      <c r="L772" s="141"/>
      <c r="M772" s="141"/>
      <c r="N772" s="133"/>
      <c r="O772" s="4"/>
      <c r="P772" s="4"/>
      <c r="Q772" s="4"/>
      <c r="R772" s="109"/>
      <c r="S772" s="109"/>
      <c r="T772" s="108"/>
      <c r="U772" s="110"/>
      <c r="V772" s="110"/>
      <c r="W772" s="110"/>
      <c r="X772" s="110"/>
    </row>
    <row r="773" spans="1:24" ht="13.5" customHeight="1">
      <c r="A773" s="110">
        <f>IF(E773="","",MATCH(E773,'Daily Sales'!B$4:B$51,0)+3)</f>
        <v>50</v>
      </c>
      <c r="B773" s="135">
        <v>46197</v>
      </c>
      <c r="C773" s="136" t="s">
        <v>114</v>
      </c>
      <c r="D773" s="137" t="str">
        <f t="array" ref="D773">IF($A773="","",INDEX('Daily Sales'!A:A,$A773))</f>
        <v>2-2110</v>
      </c>
      <c r="E773" s="138" t="s">
        <v>72</v>
      </c>
      <c r="F773" s="139" t="str">
        <f t="shared" si="14"/>
        <v>Cash Short/Over</v>
      </c>
      <c r="G773" s="140"/>
      <c r="H773" s="138">
        <f t="array" ref="H773">IF($A773="","",
  IF(
    OR(
      $A773=23,
      AND($A773&gt;=32,$A773&lt;=50)
    ),
    IFERROR(
      INDEX('Daily Sales'!$C:$AG,
        $A773,
        MATCH(TEXT($B773,"0"),TEXT('Daily Sales'!$C$2:$AG$2,"0"),0)
      ),
    ""),
  "")
)</f>
        <v>-1.96</v>
      </c>
      <c r="I773" s="138" t="str">
        <f t="array" ref="I773">IF($A773="","",
  IF(
    OR(
      AND($A773&gt;=4,$A773&lt;=8),
      AND($A773&gt;=12,$A773&lt;=19),
      AND($A773&gt;=28,$A773&lt;=29)
    ),
    IFERROR(
      INDEX('Daily Sales'!$C:$AG,
        $A773,
        MATCH(TEXT($B773,"0"),TEXT('Daily Sales'!$C$2:$AG$2,"0"),0)
      ),
    ""),
  "")
)</f>
        <v/>
      </c>
      <c r="J773" s="79" t="e">
        <f t="shared" si="15"/>
        <v>#VALUE!</v>
      </c>
      <c r="K773" s="141"/>
      <c r="L773" s="141"/>
      <c r="M773" s="141"/>
      <c r="N773" s="133"/>
      <c r="O773" s="4"/>
      <c r="P773" s="4"/>
      <c r="Q773" s="4"/>
      <c r="R773" s="109"/>
      <c r="S773" s="109"/>
      <c r="T773" s="108"/>
      <c r="U773" s="110"/>
      <c r="V773" s="110"/>
      <c r="W773" s="110"/>
      <c r="X773" s="110"/>
    </row>
    <row r="774" spans="1:24" ht="14.25" customHeight="1">
      <c r="A774" s="110"/>
      <c r="B774" s="125"/>
      <c r="C774" s="126"/>
      <c r="D774" s="143"/>
      <c r="E774" s="10" t="e">
        <f>TRIM(VLOOKUP(D774,TB!$B$9:$C$1500,2,FALSE))</f>
        <v>#N/A</v>
      </c>
      <c r="F774" s="142"/>
      <c r="G774" s="130"/>
      <c r="H774" s="10"/>
      <c r="I774" s="10"/>
      <c r="J774" s="79" t="e">
        <f t="shared" si="15"/>
        <v>#VALUE!</v>
      </c>
      <c r="K774" s="141"/>
      <c r="L774" s="141"/>
      <c r="M774" s="141"/>
      <c r="N774" s="133"/>
      <c r="O774" s="4"/>
      <c r="P774" s="4"/>
      <c r="Q774" s="4"/>
      <c r="R774" s="134"/>
      <c r="S774" s="109"/>
      <c r="T774" s="108"/>
      <c r="U774" s="110"/>
      <c r="V774" s="110"/>
      <c r="W774" s="110"/>
      <c r="X774" s="110"/>
    </row>
    <row r="775" spans="1:24" ht="13.5" customHeight="1">
      <c r="A775" s="110">
        <f>IF(E775="","",MATCH(E775,'Daily Sales'!B$4:B$51,0)+3)</f>
        <v>4</v>
      </c>
      <c r="B775" s="135">
        <v>46198</v>
      </c>
      <c r="C775" s="136" t="s">
        <v>115</v>
      </c>
      <c r="D775" s="137" t="str">
        <f t="array" ref="D775">IF($A775="","",INDEX('Daily Sales'!A:A,$A775))</f>
        <v>4-2100</v>
      </c>
      <c r="E775" s="138" t="s">
        <v>5</v>
      </c>
      <c r="F775" s="139" t="str">
        <f t="shared" ref="F775:F805" si="16">E775</f>
        <v>Sales Food TERRACE</v>
      </c>
      <c r="G775" s="140"/>
      <c r="H775" s="138" t="str">
        <f t="array" ref="H775">IF($A775="","",
  IF(
    OR(
      $A775=23,
      AND($A775&gt;=32,$A775&lt;=50)
    ),
    IFERROR(
      INDEX('Daily Sales'!$C:$AG,
        $A775,
        MATCH(TEXT($B775,"0"),TEXT('Daily Sales'!$C$2:$AG$2,"0"),0)
      ),
    ""),
  "")
)</f>
        <v/>
      </c>
      <c r="I775" s="138">
        <f t="array" ref="I775">IF($A775="","",
  IF(
    OR(
      AND($A775&gt;=4,$A775&lt;=8),
      AND($A775&gt;=12,$A775&lt;=19),
      AND($A775&gt;=28,$A775&lt;=29)
    ),
    IFERROR(
      INDEX('Daily Sales'!$C:$AG,
        $A775,
        MATCH(TEXT($B775,"0"),TEXT('Daily Sales'!$C$2:$AG$2,"0"),0)
      ),
    ""),
  "")
)</f>
        <v>4282500</v>
      </c>
      <c r="J775" s="79" t="e">
        <f t="shared" si="15"/>
        <v>#VALUE!</v>
      </c>
      <c r="K775" s="141"/>
      <c r="L775" s="141"/>
      <c r="M775" s="141"/>
      <c r="N775" s="133"/>
      <c r="O775" s="4"/>
      <c r="P775" s="4"/>
      <c r="Q775" s="4"/>
      <c r="R775" s="109"/>
      <c r="S775" s="109"/>
      <c r="T775" s="108"/>
      <c r="U775" s="110"/>
      <c r="V775" s="110"/>
      <c r="W775" s="110"/>
      <c r="X775" s="110"/>
    </row>
    <row r="776" spans="1:24" ht="13.5" customHeight="1">
      <c r="A776" s="110">
        <f>IF(E776="","",MATCH(E776,'Daily Sales'!B$4:B$51,0)+3)</f>
        <v>5</v>
      </c>
      <c r="B776" s="135">
        <v>46198</v>
      </c>
      <c r="C776" s="136" t="s">
        <v>115</v>
      </c>
      <c r="D776" s="137" t="str">
        <f t="array" ref="D776">IF($A776="","",INDEX('Daily Sales'!A:A,$A776))</f>
        <v>4-2200</v>
      </c>
      <c r="E776" s="138" t="s">
        <v>7</v>
      </c>
      <c r="F776" s="139" t="str">
        <f t="shared" si="16"/>
        <v>Sales Beverages TERRACE</v>
      </c>
      <c r="G776" s="140"/>
      <c r="H776" s="138" t="str">
        <f t="array" ref="H776">IF($A776="","",
  IF(
    OR(
      $A776=23,
      AND($A776&gt;=32,$A776&lt;=50)
    ),
    IFERROR(
      INDEX('Daily Sales'!$C:$AG,
        $A776,
        MATCH(TEXT($B776,"0"),TEXT('Daily Sales'!$C$2:$AG$2,"0"),0)
      ),
    ""),
  "")
)</f>
        <v/>
      </c>
      <c r="I776" s="138">
        <f t="array" ref="I776">IF($A776="","",
  IF(
    OR(
      AND($A776&gt;=4,$A776&lt;=8),
      AND($A776&gt;=12,$A776&lt;=19),
      AND($A776&gt;=28,$A776&lt;=29)
    ),
    IFERROR(
      INDEX('Daily Sales'!$C:$AG,
        $A776,
        MATCH(TEXT($B776,"0"),TEXT('Daily Sales'!$C$2:$AG$2,"0"),0)
      ),
    ""),
  "")
)</f>
        <v>6225000</v>
      </c>
      <c r="J776" s="79" t="e">
        <f t="shared" si="15"/>
        <v>#VALUE!</v>
      </c>
      <c r="K776" s="141"/>
      <c r="L776" s="141"/>
      <c r="M776" s="141"/>
      <c r="N776" s="133"/>
      <c r="O776" s="4"/>
      <c r="P776" s="4"/>
      <c r="Q776" s="4"/>
      <c r="R776" s="109"/>
      <c r="S776" s="109"/>
      <c r="T776" s="108"/>
      <c r="U776" s="110"/>
      <c r="V776" s="110"/>
      <c r="W776" s="110"/>
      <c r="X776" s="110"/>
    </row>
    <row r="777" spans="1:24" ht="13.5" customHeight="1">
      <c r="A777" s="110">
        <f>IF(E777="","",MATCH(E777,'Daily Sales'!B$4:B$51,0)+3)</f>
        <v>6</v>
      </c>
      <c r="B777" s="135">
        <v>46198</v>
      </c>
      <c r="C777" s="136" t="s">
        <v>115</v>
      </c>
      <c r="D777" s="137" t="str">
        <f t="array" ref="D777">IF($A777="","",INDEX('Daily Sales'!A:A,$A777))</f>
        <v>4-2400</v>
      </c>
      <c r="E777" s="138" t="s">
        <v>9</v>
      </c>
      <c r="F777" s="139" t="str">
        <f t="shared" si="16"/>
        <v>Sales Cigarette TERRACE</v>
      </c>
      <c r="G777" s="140"/>
      <c r="H777" s="138" t="str">
        <f t="array" ref="H777">IF($A777="","",
  IF(
    OR(
      $A777=23,
      AND($A777&gt;=32,$A777&lt;=50)
    ),
    IFERROR(
      INDEX('Daily Sales'!$C:$AG,
        $A777,
        MATCH(TEXT($B777,"0"),TEXT('Daily Sales'!$C$2:$AG$2,"0"),0)
      ),
    ""),
  "")
)</f>
        <v/>
      </c>
      <c r="I777" s="138">
        <f t="array" ref="I777">IF($A777="","",
  IF(
    OR(
      AND($A777&gt;=4,$A777&lt;=8),
      AND($A777&gt;=12,$A777&lt;=19),
      AND($A777&gt;=28,$A777&lt;=29)
    ),
    IFERROR(
      INDEX('Daily Sales'!$C:$AG,
        $A777,
        MATCH(TEXT($B777,"0"),TEXT('Daily Sales'!$C$2:$AG$2,"0"),0)
      ),
    ""),
  "")
)</f>
        <v>70000</v>
      </c>
      <c r="J777" s="79" t="e">
        <f t="shared" si="15"/>
        <v>#VALUE!</v>
      </c>
      <c r="K777" s="141"/>
      <c r="L777" s="141"/>
      <c r="M777" s="141"/>
      <c r="N777" s="133"/>
      <c r="O777" s="4"/>
      <c r="P777" s="4"/>
      <c r="Q777" s="4"/>
      <c r="R777" s="109"/>
      <c r="S777" s="109"/>
      <c r="T777" s="108"/>
      <c r="U777" s="110"/>
      <c r="V777" s="110"/>
      <c r="W777" s="110"/>
      <c r="X777" s="110"/>
    </row>
    <row r="778" spans="1:24" ht="13.5" customHeight="1">
      <c r="A778" s="110">
        <f>IF(E778="","",MATCH(E778,'Daily Sales'!B$4:B$51,0)+3)</f>
        <v>7</v>
      </c>
      <c r="B778" s="135">
        <v>46198</v>
      </c>
      <c r="C778" s="136" t="s">
        <v>115</v>
      </c>
      <c r="D778" s="137" t="str">
        <f t="array" ref="D778">IF($A778="","",INDEX('Daily Sales'!A:A,$A778))</f>
        <v>4-2300</v>
      </c>
      <c r="E778" s="138" t="s">
        <v>11</v>
      </c>
      <c r="F778" s="139" t="str">
        <f t="shared" si="16"/>
        <v>Sales Shisa TERRACE</v>
      </c>
      <c r="G778" s="140"/>
      <c r="H778" s="138" t="str">
        <f t="array" ref="H778">IF($A778="","",
  IF(
    OR(
      $A778=23,
      AND($A778&gt;=32,$A778&lt;=50)
    ),
    IFERROR(
      INDEX('Daily Sales'!$C:$AG,
        $A778,
        MATCH(TEXT($B778,"0"),TEXT('Daily Sales'!$C$2:$AG$2,"0"),0)
      ),
    ""),
  "")
)</f>
        <v/>
      </c>
      <c r="I778" s="138">
        <f t="array" ref="I778">IF($A778="","",
  IF(
    OR(
      AND($A778&gt;=4,$A778&lt;=8),
      AND($A778&gt;=12,$A778&lt;=19),
      AND($A778&gt;=28,$A778&lt;=29)
    ),
    IFERROR(
      INDEX('Daily Sales'!$C:$AG,
        $A778,
        MATCH(TEXT($B778,"0"),TEXT('Daily Sales'!$C$2:$AG$2,"0"),0)
      ),
    ""),
  "")
)</f>
        <v>0</v>
      </c>
      <c r="J778" s="79" t="e">
        <f t="shared" si="15"/>
        <v>#VALUE!</v>
      </c>
      <c r="K778" s="141"/>
      <c r="L778" s="141"/>
      <c r="M778" s="141"/>
      <c r="N778" s="133"/>
      <c r="O778" s="4"/>
      <c r="P778" s="4"/>
      <c r="Q778" s="4"/>
      <c r="R778" s="109"/>
      <c r="S778" s="109"/>
      <c r="T778" s="108"/>
      <c r="U778" s="110"/>
      <c r="V778" s="110"/>
      <c r="W778" s="110"/>
      <c r="X778" s="110"/>
    </row>
    <row r="779" spans="1:24" ht="13.5" customHeight="1">
      <c r="A779" s="110">
        <f>IF(E779="","",MATCH(E779,'Daily Sales'!B$4:B$51,0)+3)</f>
        <v>12</v>
      </c>
      <c r="B779" s="135">
        <v>46198</v>
      </c>
      <c r="C779" s="136" t="s">
        <v>115</v>
      </c>
      <c r="D779" s="137" t="str">
        <f t="array" ref="D779">IF($A779="","",INDEX('Daily Sales'!A:A,$A779))</f>
        <v>4-2200</v>
      </c>
      <c r="E779" s="138" t="s">
        <v>17</v>
      </c>
      <c r="F779" s="139" t="str">
        <f t="shared" si="16"/>
        <v>Sales Beverages CLUB</v>
      </c>
      <c r="G779" s="140"/>
      <c r="H779" s="138" t="str">
        <f t="array" ref="H779">IF($A779="","",
  IF(
    OR(
      $A779=23,
      AND($A779&gt;=32,$A779&lt;=50)
    ),
    IFERROR(
      INDEX('Daily Sales'!$C:$AG,
        $A779,
        MATCH(TEXT($B779,"0"),TEXT('Daily Sales'!$C$2:$AG$2,"0"),0)
      ),
    ""),
  "")
)</f>
        <v/>
      </c>
      <c r="I779" s="138">
        <f t="array" ref="I779">IF($A779="","",
  IF(
    OR(
      AND($A779&gt;=4,$A779&lt;=8),
      AND($A779&gt;=12,$A779&lt;=19),
      AND($A779&gt;=28,$A779&lt;=29)
    ),
    IFERROR(
      INDEX('Daily Sales'!$C:$AG,
        $A779,
        MATCH(TEXT($B779,"0"),TEXT('Daily Sales'!$C$2:$AG$2,"0"),0)
      ),
    ""),
  "")
)</f>
        <v>24415000</v>
      </c>
      <c r="J779" s="79" t="e">
        <f t="shared" si="15"/>
        <v>#VALUE!</v>
      </c>
      <c r="K779" s="141"/>
      <c r="L779" s="141"/>
      <c r="M779" s="141"/>
      <c r="N779" s="133"/>
      <c r="O779" s="4"/>
      <c r="P779" s="4"/>
      <c r="Q779" s="4"/>
      <c r="R779" s="109"/>
      <c r="S779" s="109"/>
      <c r="T779" s="108"/>
      <c r="U779" s="110"/>
      <c r="V779" s="110"/>
      <c r="W779" s="110"/>
      <c r="X779" s="110"/>
    </row>
    <row r="780" spans="1:24" ht="13.5" customHeight="1">
      <c r="A780" s="110">
        <f>IF(E780="","",MATCH(E780,'Daily Sales'!B$4:B$51,0)+3)</f>
        <v>13</v>
      </c>
      <c r="B780" s="135">
        <v>46198</v>
      </c>
      <c r="C780" s="136" t="s">
        <v>115</v>
      </c>
      <c r="D780" s="137" t="str">
        <f t="array" ref="D780">IF($A780="","",INDEX('Daily Sales'!A:A,$A780))</f>
        <v>4-2400</v>
      </c>
      <c r="E780" s="138" t="s">
        <v>18</v>
      </c>
      <c r="F780" s="139" t="str">
        <f t="shared" si="16"/>
        <v>Sales Cigarette CLUB</v>
      </c>
      <c r="G780" s="140"/>
      <c r="H780" s="138" t="str">
        <f t="array" ref="H780">IF($A780="","",
  IF(
    OR(
      $A780=23,
      AND($A780&gt;=32,$A780&lt;=50)
    ),
    IFERROR(
      INDEX('Daily Sales'!$C:$AG,
        $A780,
        MATCH(TEXT($B780,"0"),TEXT('Daily Sales'!$C$2:$AG$2,"0"),0)
      ),
    ""),
  "")
)</f>
        <v/>
      </c>
      <c r="I780" s="138">
        <f t="array" ref="I780">IF($A780="","",
  IF(
    OR(
      AND($A780&gt;=4,$A780&lt;=8),
      AND($A780&gt;=12,$A780&lt;=19),
      AND($A780&gt;=28,$A780&lt;=29)
    ),
    IFERROR(
      INDEX('Daily Sales'!$C:$AG,
        $A780,
        MATCH(TEXT($B780,"0"),TEXT('Daily Sales'!$C$2:$AG$2,"0"),0)
      ),
    ""),
  "")
)</f>
        <v>840000</v>
      </c>
      <c r="J780" s="79" t="e">
        <f t="shared" si="15"/>
        <v>#VALUE!</v>
      </c>
      <c r="K780" s="141"/>
      <c r="L780" s="141"/>
      <c r="M780" s="141"/>
      <c r="N780" s="133"/>
      <c r="O780" s="4"/>
      <c r="P780" s="4"/>
      <c r="Q780" s="4"/>
      <c r="R780" s="109"/>
      <c r="S780" s="109"/>
      <c r="T780" s="108"/>
      <c r="U780" s="110"/>
      <c r="V780" s="110"/>
      <c r="W780" s="110"/>
      <c r="X780" s="110"/>
    </row>
    <row r="781" spans="1:24" ht="13.5" customHeight="1">
      <c r="A781" s="110">
        <f>IF(E781="","",MATCH(E781,'Daily Sales'!B$4:B$51,0)+3)</f>
        <v>14</v>
      </c>
      <c r="B781" s="135">
        <v>46198</v>
      </c>
      <c r="C781" s="136" t="s">
        <v>115</v>
      </c>
      <c r="D781" s="137" t="str">
        <f t="array" ref="D781">IF($A781="","",INDEX('Daily Sales'!A:A,$A781))</f>
        <v>4-2100</v>
      </c>
      <c r="E781" s="138" t="s">
        <v>19</v>
      </c>
      <c r="F781" s="139" t="str">
        <f t="shared" si="16"/>
        <v>Sales Food CLUB</v>
      </c>
      <c r="G781" s="140"/>
      <c r="H781" s="138" t="str">
        <f t="array" ref="H781">IF($A781="","",
  IF(
    OR(
      $A781=23,
      AND($A781&gt;=32,$A781&lt;=50)
    ),
    IFERROR(
      INDEX('Daily Sales'!$C:$AG,
        $A781,
        MATCH(TEXT($B781,"0"),TEXT('Daily Sales'!$C$2:$AG$2,"0"),0)
      ),
    ""),
  "")
)</f>
        <v/>
      </c>
      <c r="I781" s="138">
        <f t="array" ref="I781">IF($A781="","",
  IF(
    OR(
      AND($A781&gt;=4,$A781&lt;=8),
      AND($A781&gt;=12,$A781&lt;=19),
      AND($A781&gt;=28,$A781&lt;=29)
    ),
    IFERROR(
      INDEX('Daily Sales'!$C:$AG,
        $A781,
        MATCH(TEXT($B781,"0"),TEXT('Daily Sales'!$C$2:$AG$2,"0"),0)
      ),
    ""),
  "")
)</f>
        <v>380000</v>
      </c>
      <c r="J781" s="79" t="e">
        <f t="shared" si="15"/>
        <v>#VALUE!</v>
      </c>
      <c r="K781" s="141"/>
      <c r="L781" s="141"/>
      <c r="M781" s="141"/>
      <c r="N781" s="133"/>
      <c r="O781" s="4"/>
      <c r="P781" s="4"/>
      <c r="Q781" s="4"/>
      <c r="R781" s="109"/>
      <c r="S781" s="109"/>
      <c r="T781" s="108"/>
      <c r="U781" s="110"/>
      <c r="V781" s="110"/>
      <c r="W781" s="110"/>
      <c r="X781" s="110"/>
    </row>
    <row r="782" spans="1:24" ht="13.5" customHeight="1">
      <c r="A782" s="110">
        <f>IF(E782="","",MATCH(E782,'Daily Sales'!B$4:B$51,0)+3)</f>
        <v>15</v>
      </c>
      <c r="B782" s="135">
        <v>46198</v>
      </c>
      <c r="C782" s="136" t="s">
        <v>115</v>
      </c>
      <c r="D782" s="137" t="str">
        <f t="array" ref="D782">IF($A782="","",INDEX('Daily Sales'!A:A,$A782))</f>
        <v>4-2300</v>
      </c>
      <c r="E782" s="138" t="s">
        <v>20</v>
      </c>
      <c r="F782" s="139" t="str">
        <f t="shared" si="16"/>
        <v>Sales Shisa CLUB</v>
      </c>
      <c r="G782" s="140"/>
      <c r="H782" s="138" t="str">
        <f t="array" ref="H782">IF($A782="","",
  IF(
    OR(
      $A782=23,
      AND($A782&gt;=32,$A782&lt;=50)
    ),
    IFERROR(
      INDEX('Daily Sales'!$C:$AG,
        $A782,
        MATCH(TEXT($B782,"0"),TEXT('Daily Sales'!$C$2:$AG$2,"0"),0)
      ),
    ""),
  "")
)</f>
        <v/>
      </c>
      <c r="I782" s="138">
        <f t="array" ref="I782">IF($A782="","",
  IF(
    OR(
      AND($A782&gt;=4,$A782&lt;=8),
      AND($A782&gt;=12,$A782&lt;=19),
      AND($A782&gt;=28,$A782&lt;=29)
    ),
    IFERROR(
      INDEX('Daily Sales'!$C:$AG,
        $A782,
        MATCH(TEXT($B782,"0"),TEXT('Daily Sales'!$C$2:$AG$2,"0"),0)
      ),
    ""),
  "")
)</f>
        <v>0</v>
      </c>
      <c r="J782" s="79" t="e">
        <f t="shared" si="15"/>
        <v>#VALUE!</v>
      </c>
      <c r="K782" s="141"/>
      <c r="L782" s="141"/>
      <c r="M782" s="141"/>
      <c r="N782" s="133"/>
      <c r="O782" s="4"/>
      <c r="P782" s="4"/>
      <c r="Q782" s="4"/>
      <c r="R782" s="109"/>
      <c r="S782" s="109"/>
      <c r="T782" s="108"/>
      <c r="U782" s="110"/>
      <c r="V782" s="110"/>
      <c r="W782" s="110"/>
      <c r="X782" s="110"/>
    </row>
    <row r="783" spans="1:24" ht="13.5" customHeight="1">
      <c r="A783" s="110">
        <f>IF(E783="","",MATCH(E783,'Daily Sales'!B$4:B$51,0)+3)</f>
        <v>17</v>
      </c>
      <c r="B783" s="135">
        <v>46198</v>
      </c>
      <c r="C783" s="136" t="s">
        <v>115</v>
      </c>
      <c r="D783" s="137" t="str">
        <f t="array" ref="D783">IF($A783="","",INDEX('Daily Sales'!A:A,$A783))</f>
        <v>4-2601</v>
      </c>
      <c r="E783" s="138" t="s">
        <v>23</v>
      </c>
      <c r="F783" s="139" t="str">
        <f t="shared" si="16"/>
        <v xml:space="preserve">Misc </v>
      </c>
      <c r="G783" s="140"/>
      <c r="H783" s="138" t="str">
        <f t="array" ref="H783">IF($A783="","",
  IF(
    OR(
      $A783=23,
      AND($A783&gt;=32,$A783&lt;=50)
    ),
    IFERROR(
      INDEX('Daily Sales'!$C:$AG,
        $A783,
        MATCH(TEXT($B783,"0"),TEXT('Daily Sales'!$C$2:$AG$2,"0"),0)
      ),
    ""),
  "")
)</f>
        <v/>
      </c>
      <c r="I783" s="138">
        <f t="array" ref="I783">IF($A783="","",
  IF(
    OR(
      AND($A783&gt;=4,$A783&lt;=8),
      AND($A783&gt;=12,$A783&lt;=19),
      AND($A783&gt;=28,$A783&lt;=29)
    ),
    IFERROR(
      INDEX('Daily Sales'!$C:$AG,
        $A783,
        MATCH(TEXT($B783,"0"),TEXT('Daily Sales'!$C$2:$AG$2,"0"),0)
      ),
    ""),
  "")
)</f>
        <v>0</v>
      </c>
      <c r="J783" s="79" t="e">
        <f t="shared" si="15"/>
        <v>#VALUE!</v>
      </c>
      <c r="K783" s="141"/>
      <c r="L783" s="141"/>
      <c r="M783" s="141"/>
      <c r="N783" s="133"/>
      <c r="O783" s="4"/>
      <c r="P783" s="4"/>
      <c r="Q783" s="4"/>
      <c r="R783" s="109"/>
      <c r="S783" s="109"/>
      <c r="T783" s="108"/>
      <c r="U783" s="110"/>
      <c r="V783" s="110"/>
      <c r="W783" s="110"/>
      <c r="X783" s="110"/>
    </row>
    <row r="784" spans="1:24" ht="13.5" customHeight="1">
      <c r="A784" s="110">
        <f>IF(E784="","",MATCH(E784,'Daily Sales'!B$4:B$51,0)+3)</f>
        <v>19</v>
      </c>
      <c r="B784" s="135">
        <v>46198</v>
      </c>
      <c r="C784" s="136" t="s">
        <v>115</v>
      </c>
      <c r="D784" s="137" t="str">
        <f t="array" ref="D784">IF($A784="","",INDEX('Daily Sales'!A:A,$A784))</f>
        <v>4-2500</v>
      </c>
      <c r="E784" s="138" t="s">
        <v>26</v>
      </c>
      <c r="F784" s="139" t="str">
        <f t="shared" si="16"/>
        <v>Sales Ticket</v>
      </c>
      <c r="G784" s="140"/>
      <c r="H784" s="138" t="str">
        <f t="array" ref="H784">IF($A784="","",
  IF(
    OR(
      $A784=23,
      AND($A784&gt;=32,$A784&lt;=50)
    ),
    IFERROR(
      INDEX('Daily Sales'!$C:$AG,
        $A784,
        MATCH(TEXT($B784,"0"),TEXT('Daily Sales'!$C$2:$AG$2,"0"),0)
      ),
    ""),
  "")
)</f>
        <v/>
      </c>
      <c r="I784" s="138">
        <f t="array" ref="I784">IF($A784="","",
  IF(
    OR(
      AND($A784&gt;=4,$A784&lt;=8),
      AND($A784&gt;=12,$A784&lt;=19),
      AND($A784&gt;=28,$A784&lt;=29)
    ),
    IFERROR(
      INDEX('Daily Sales'!$C:$AG,
        $A784,
        MATCH(TEXT($B784,"0"),TEXT('Daily Sales'!$C$2:$AG$2,"0"),0)
      ),
    ""),
  "")
)</f>
        <v>11724756</v>
      </c>
      <c r="J784" s="79" t="e">
        <f t="shared" si="15"/>
        <v>#VALUE!</v>
      </c>
      <c r="K784" s="141"/>
      <c r="L784" s="141"/>
      <c r="M784" s="141"/>
      <c r="N784" s="133"/>
      <c r="O784" s="4"/>
      <c r="P784" s="4"/>
      <c r="Q784" s="4"/>
      <c r="R784" s="109"/>
      <c r="S784" s="109"/>
      <c r="T784" s="108"/>
      <c r="U784" s="110"/>
      <c r="V784" s="110"/>
      <c r="W784" s="110"/>
      <c r="X784" s="110"/>
    </row>
    <row r="785" spans="1:24" ht="13.5" customHeight="1">
      <c r="A785" s="110">
        <f>IF(E785="","",MATCH(E785,'Daily Sales'!B$4:B$51,0)+3)</f>
        <v>28</v>
      </c>
      <c r="B785" s="135">
        <v>46198</v>
      </c>
      <c r="C785" s="136" t="s">
        <v>115</v>
      </c>
      <c r="D785" s="137" t="str">
        <f t="array" ref="D785">IF($A785="","",INDEX('Daily Sales'!A:A,$A785))</f>
        <v>2-2106</v>
      </c>
      <c r="E785" s="138" t="s">
        <v>35</v>
      </c>
      <c r="F785" s="139" t="str">
        <f t="shared" si="16"/>
        <v>Service Charges 7%</v>
      </c>
      <c r="G785" s="140"/>
      <c r="H785" s="138" t="str">
        <f t="array" ref="H785">IF($A785="","",
  IF(
    OR(
      $A785=23,
      AND($A785&gt;=32,$A785&lt;=50)
    ),
    IFERROR(
      INDEX('Daily Sales'!$C:$AG,
        $A785,
        MATCH(TEXT($B785,"0"),TEXT('Daily Sales'!$C$2:$AG$2,"0"),0)
      ),
    ""),
  "")
)</f>
        <v/>
      </c>
      <c r="I785" s="138">
        <f t="array" ref="I785">IF($A785="","",
  IF(
    OR(
      AND($A785&gt;=4,$A785&lt;=8),
      AND($A785&gt;=12,$A785&lt;=19),
      AND($A785&gt;=28,$A785&lt;=29)
    ),
    IFERROR(
      INDEX('Daily Sales'!$C:$AG,
        $A785,
        MATCH(TEXT($B785,"0"),TEXT('Daily Sales'!$C$2:$AG$2,"0"),0)
      ),
    ""),
  "")
)</f>
        <v>3330337.9200000004</v>
      </c>
      <c r="J785" s="79" t="e">
        <f t="shared" si="15"/>
        <v>#VALUE!</v>
      </c>
      <c r="K785" s="141"/>
      <c r="L785" s="141"/>
      <c r="M785" s="141"/>
      <c r="N785" s="133"/>
      <c r="O785" s="4"/>
      <c r="P785" s="4"/>
      <c r="Q785" s="4"/>
      <c r="R785" s="109"/>
      <c r="S785" s="109"/>
      <c r="T785" s="108"/>
      <c r="U785" s="110"/>
      <c r="V785" s="110"/>
      <c r="W785" s="110"/>
      <c r="X785" s="110"/>
    </row>
    <row r="786" spans="1:24" ht="13.5" customHeight="1">
      <c r="A786" s="110">
        <f>IF(E786="","",MATCH(E786,'Daily Sales'!B$4:B$51,0)+3)</f>
        <v>29</v>
      </c>
      <c r="B786" s="135">
        <v>46198</v>
      </c>
      <c r="C786" s="136" t="s">
        <v>115</v>
      </c>
      <c r="D786" s="137" t="str">
        <f t="array" ref="D786">IF($A786="","",INDEX('Daily Sales'!A:A,$A786))</f>
        <v>2-3101</v>
      </c>
      <c r="E786" s="138" t="s">
        <v>37</v>
      </c>
      <c r="F786" s="139" t="str">
        <f t="shared" si="16"/>
        <v>Tax PB1 10%</v>
      </c>
      <c r="G786" s="140"/>
      <c r="H786" s="138" t="str">
        <f t="array" ref="H786">IF($A786="","",
  IF(
    OR(
      $A786=23,
      AND($A786&gt;=32,$A786&lt;=50)
    ),
    IFERROR(
      INDEX('Daily Sales'!$C:$AG,
        $A786,
        MATCH(TEXT($B786,"0"),TEXT('Daily Sales'!$C$2:$AG$2,"0"),0)
      ),
    ""),
  "")
)</f>
        <v/>
      </c>
      <c r="I786" s="138">
        <f t="array" ref="I786">IF($A786="","",
  IF(
    OR(
      AND($A786&gt;=4,$A786&lt;=8),
      AND($A786&gt;=12,$A786&lt;=19),
      AND($A786&gt;=28,$A786&lt;=29)
    ),
    IFERROR(
      INDEX('Daily Sales'!$C:$AG,
        $A786,
        MATCH(TEXT($B786,"0"),TEXT('Daily Sales'!$C$2:$AG$2,"0"),0)
      ),
    ""),
  "")
)</f>
        <v>5090659.3920000009</v>
      </c>
      <c r="J786" s="79" t="e">
        <f t="shared" si="15"/>
        <v>#VALUE!</v>
      </c>
      <c r="K786" s="141"/>
      <c r="L786" s="141"/>
      <c r="M786" s="141"/>
      <c r="N786" s="133"/>
      <c r="O786" s="4"/>
      <c r="P786" s="4"/>
      <c r="Q786" s="4"/>
      <c r="R786" s="109"/>
      <c r="S786" s="109"/>
      <c r="T786" s="108"/>
      <c r="U786" s="110"/>
      <c r="V786" s="110"/>
      <c r="W786" s="110"/>
      <c r="X786" s="110"/>
    </row>
    <row r="787" spans="1:24" ht="13.5" customHeight="1">
      <c r="A787" s="110">
        <f>IF(E787="","",MATCH(E787,'Daily Sales'!B$4:B$51,0)+3)</f>
        <v>23</v>
      </c>
      <c r="B787" s="135">
        <v>46198</v>
      </c>
      <c r="C787" s="136" t="s">
        <v>115</v>
      </c>
      <c r="D787" s="137" t="str">
        <f t="array" ref="D787">IF($A787="","",INDEX('Daily Sales'!A:A,$A787))</f>
        <v>4-5110</v>
      </c>
      <c r="E787" s="138" t="s">
        <v>30</v>
      </c>
      <c r="F787" s="139" t="str">
        <f t="shared" si="16"/>
        <v>Discount</v>
      </c>
      <c r="G787" s="140"/>
      <c r="H787" s="138">
        <f t="array" ref="H787">IF($A787="","",
  IF(
    OR(
      $A787=23,
      AND($A787&gt;=32,$A787&lt;=50)
    ),
    IFERROR(
      INDEX('Daily Sales'!$C:$AG,
        $A787,
        MATCH(TEXT($B787,"0"),TEXT('Daily Sales'!$C$2:$AG$2,"0"),0)
      ),
    ""),
  "")
)</f>
        <v>361000</v>
      </c>
      <c r="I787" s="138" t="str">
        <f t="array" ref="I787">IF($A787="","",
  IF(
    OR(
      AND($A787&gt;=4,$A787&lt;=8),
      AND($A787&gt;=12,$A787&lt;=19),
      AND($A787&gt;=28,$A787&lt;=29)
    ),
    IFERROR(
      INDEX('Daily Sales'!$C:$AG,
        $A787,
        MATCH(TEXT($B787,"0"),TEXT('Daily Sales'!$C$2:$AG$2,"0"),0)
      ),
    ""),
  "")
)</f>
        <v/>
      </c>
      <c r="J787" s="79" t="e">
        <f t="shared" si="15"/>
        <v>#VALUE!</v>
      </c>
      <c r="K787" s="141"/>
      <c r="L787" s="141"/>
      <c r="M787" s="141"/>
      <c r="N787" s="133"/>
      <c r="O787" s="4"/>
      <c r="P787" s="4"/>
      <c r="Q787" s="4"/>
      <c r="R787" s="109"/>
      <c r="S787" s="109"/>
      <c r="T787" s="108"/>
      <c r="U787" s="110"/>
      <c r="V787" s="110"/>
      <c r="W787" s="110"/>
      <c r="X787" s="110"/>
    </row>
    <row r="788" spans="1:24" ht="13.5" customHeight="1">
      <c r="A788" s="110">
        <f>IF(E788="","",MATCH(E788,'Daily Sales'!B$4:B$51,0)+3)</f>
        <v>32</v>
      </c>
      <c r="B788" s="135">
        <v>46198</v>
      </c>
      <c r="C788" s="136" t="s">
        <v>115</v>
      </c>
      <c r="D788" s="137" t="str">
        <f t="array" ref="D788">IF($A788="","",INDEX('Daily Sales'!A:A,$A788))</f>
        <v>1-1119</v>
      </c>
      <c r="E788" s="138" t="s">
        <v>40</v>
      </c>
      <c r="F788" s="139" t="str">
        <f t="shared" si="16"/>
        <v>Cash IDR</v>
      </c>
      <c r="G788" s="140"/>
      <c r="H788" s="138">
        <f t="array" ref="H788">IF($A788="","",
  IF(
    OR(
      $A788=23,
      AND($A788&gt;=32,$A788&lt;=50)
    ),
    IFERROR(
      INDEX('Daily Sales'!$C:$AG,
        $A788,
        MATCH(TEXT($B788,"0"),TEXT('Daily Sales'!$C$2:$AG$2,"0"),0)
      ),
    ""),
  "")
)</f>
        <v>14206333</v>
      </c>
      <c r="I788" s="138" t="str">
        <f t="array" ref="I788">IF($A788="","",
  IF(
    OR(
      AND($A788&gt;=4,$A788&lt;=8),
      AND($A788&gt;=12,$A788&lt;=19),
      AND($A788&gt;=28,$A788&lt;=29)
    ),
    IFERROR(
      INDEX('Daily Sales'!$C:$AG,
        $A788,
        MATCH(TEXT($B788,"0"),TEXT('Daily Sales'!$C$2:$AG$2,"0"),0)
      ),
    ""),
  "")
)</f>
        <v/>
      </c>
      <c r="J788" s="79" t="e">
        <f t="shared" si="15"/>
        <v>#VALUE!</v>
      </c>
      <c r="K788" s="141"/>
      <c r="L788" s="141"/>
      <c r="M788" s="141"/>
      <c r="N788" s="133"/>
      <c r="O788" s="4"/>
      <c r="P788" s="4"/>
      <c r="Q788" s="4"/>
      <c r="R788" s="109"/>
      <c r="S788" s="109"/>
      <c r="T788" s="108"/>
      <c r="U788" s="110"/>
      <c r="V788" s="110"/>
      <c r="W788" s="110"/>
      <c r="X788" s="110"/>
    </row>
    <row r="789" spans="1:24" ht="13.5" customHeight="1">
      <c r="A789" s="110">
        <f>IF(E789="","",MATCH(E789,'Daily Sales'!B$4:B$51,0)+3)</f>
        <v>33</v>
      </c>
      <c r="B789" s="135">
        <v>46198</v>
      </c>
      <c r="C789" s="136" t="s">
        <v>115</v>
      </c>
      <c r="D789" s="137" t="str">
        <f t="array" ref="D789">IF($A789="","",INDEX('Daily Sales'!A:A,$A789))</f>
        <v>1-1217</v>
      </c>
      <c r="E789" s="138" t="s">
        <v>43</v>
      </c>
      <c r="F789" s="139" t="str">
        <f t="shared" si="16"/>
        <v>Bank transfer</v>
      </c>
      <c r="G789" s="140"/>
      <c r="H789" s="138">
        <f t="array" ref="H789">IF($A789="","",
  IF(
    OR(
      $A789=23,
      AND($A789&gt;=32,$A789&lt;=50)
    ),
    IFERROR(
      INDEX('Daily Sales'!$C:$AG,
        $A789,
        MATCH(TEXT($B789,"0"),TEXT('Daily Sales'!$C$2:$AG$2,"0"),0)
      ),
    ""),
  "")
)</f>
        <v>0</v>
      </c>
      <c r="I789" s="138" t="str">
        <f t="array" ref="I789">IF($A789="","",
  IF(
    OR(
      AND($A789&gt;=4,$A789&lt;=8),
      AND($A789&gt;=12,$A789&lt;=19),
      AND($A789&gt;=28,$A789&lt;=29)
    ),
    IFERROR(
      INDEX('Daily Sales'!$C:$AG,
        $A789,
        MATCH(TEXT($B789,"0"),TEXT('Daily Sales'!$C$2:$AG$2,"0"),0)
      ),
    ""),
  "")
)</f>
        <v/>
      </c>
      <c r="J789" s="79" t="e">
        <f t="shared" si="15"/>
        <v>#VALUE!</v>
      </c>
      <c r="K789" s="141"/>
      <c r="L789" s="141"/>
      <c r="M789" s="141"/>
      <c r="N789" s="133"/>
      <c r="O789" s="4"/>
      <c r="P789" s="4"/>
      <c r="Q789" s="4"/>
      <c r="R789" s="109"/>
      <c r="S789" s="109"/>
      <c r="T789" s="108"/>
      <c r="U789" s="110"/>
      <c r="V789" s="110"/>
      <c r="W789" s="110"/>
      <c r="X789" s="110"/>
    </row>
    <row r="790" spans="1:24" ht="13.5" customHeight="1">
      <c r="A790" s="110">
        <f>IF(E790="","",MATCH(E790,'Daily Sales'!B$4:B$51,0)+3)</f>
        <v>35</v>
      </c>
      <c r="B790" s="135">
        <v>46198</v>
      </c>
      <c r="C790" s="136" t="s">
        <v>115</v>
      </c>
      <c r="D790" s="137" t="str">
        <f t="array" ref="D790">IF($A790="","",INDEX('Daily Sales'!A:A,$A790))</f>
        <v>1-1216</v>
      </c>
      <c r="E790" s="138" t="s">
        <v>46</v>
      </c>
      <c r="F790" s="139" t="str">
        <f t="shared" si="16"/>
        <v>Cim Niaga TBB</v>
      </c>
      <c r="G790" s="140"/>
      <c r="H790" s="138">
        <f t="array" ref="H790">IF($A790="","",
  IF(
    OR(
      $A790=23,
      AND($A790&gt;=32,$A790&lt;=50)
    ),
    IFERROR(
      INDEX('Daily Sales'!$C:$AG,
        $A790,
        MATCH(TEXT($B790,"0"),TEXT('Daily Sales'!$C$2:$AG$2,"0"),0)
      ),
    ""),
  "")
)</f>
        <v>3848790</v>
      </c>
      <c r="I790" s="138" t="str">
        <f t="array" ref="I790">IF($A790="","",
  IF(
    OR(
      AND($A790&gt;=4,$A790&lt;=8),
      AND($A790&gt;=12,$A790&lt;=19),
      AND($A790&gt;=28,$A790&lt;=29)
    ),
    IFERROR(
      INDEX('Daily Sales'!$C:$AG,
        $A790,
        MATCH(TEXT($B790,"0"),TEXT('Daily Sales'!$C$2:$AG$2,"0"),0)
      ),
    ""),
  "")
)</f>
        <v/>
      </c>
      <c r="J790" s="79" t="e">
        <f t="shared" si="15"/>
        <v>#VALUE!</v>
      </c>
      <c r="K790" s="141"/>
      <c r="L790" s="141"/>
      <c r="M790" s="141"/>
      <c r="N790" s="133"/>
      <c r="O790" s="4"/>
      <c r="P790" s="4"/>
      <c r="Q790" s="4"/>
      <c r="R790" s="109"/>
      <c r="S790" s="109"/>
      <c r="T790" s="108"/>
      <c r="U790" s="110"/>
      <c r="V790" s="110"/>
      <c r="W790" s="110"/>
      <c r="X790" s="110"/>
    </row>
    <row r="791" spans="1:24" ht="13.5" customHeight="1">
      <c r="A791" s="110">
        <f>IF(E791="","",MATCH(E791,'Daily Sales'!B$4:B$51,0)+3)</f>
        <v>36</v>
      </c>
      <c r="B791" s="135">
        <v>46198</v>
      </c>
      <c r="C791" s="136" t="s">
        <v>115</v>
      </c>
      <c r="D791" s="137" t="str">
        <f t="array" ref="D791">IF($A791="","",INDEX('Daily Sales'!A:A,$A791))</f>
        <v>1-1213</v>
      </c>
      <c r="E791" s="138" t="s">
        <v>49</v>
      </c>
      <c r="F791" s="139" t="str">
        <f t="shared" si="16"/>
        <v>Mandiri Debet</v>
      </c>
      <c r="G791" s="140"/>
      <c r="H791" s="138">
        <f t="array" ref="H791">IF($A791="","",
  IF(
    OR(
      $A791=23,
      AND($A791&gt;=32,$A791&lt;=50)
    ),
    IFERROR(
      INDEX('Daily Sales'!$C:$AG,
        $A791,
        MATCH(TEXT($B791,"0"),TEXT('Daily Sales'!$C$2:$AG$2,"0"),0)
      ),
    ""),
  "")
)</f>
        <v>0</v>
      </c>
      <c r="I791" s="138" t="str">
        <f t="array" ref="I791">IF($A791="","",
  IF(
    OR(
      AND($A791&gt;=4,$A791&lt;=8),
      AND($A791&gt;=12,$A791&lt;=19),
      AND($A791&gt;=28,$A791&lt;=29)
    ),
    IFERROR(
      INDEX('Daily Sales'!$C:$AG,
        $A791,
        MATCH(TEXT($B791,"0"),TEXT('Daily Sales'!$C$2:$AG$2,"0"),0)
      ),
    ""),
  "")
)</f>
        <v/>
      </c>
      <c r="J791" s="79" t="e">
        <f t="shared" si="15"/>
        <v>#VALUE!</v>
      </c>
      <c r="K791" s="141"/>
      <c r="L791" s="141"/>
      <c r="M791" s="141"/>
      <c r="N791" s="133"/>
      <c r="O791" s="4"/>
      <c r="P791" s="4"/>
      <c r="Q791" s="4"/>
      <c r="R791" s="109"/>
      <c r="S791" s="109"/>
      <c r="T791" s="108"/>
      <c r="U791" s="110"/>
      <c r="V791" s="110"/>
      <c r="W791" s="110"/>
      <c r="X791" s="110"/>
    </row>
    <row r="792" spans="1:24" ht="13.5" customHeight="1">
      <c r="A792" s="110">
        <f>IF(E792="","",MATCH(E792,'Daily Sales'!B$4:B$51,0)+3)</f>
        <v>37</v>
      </c>
      <c r="B792" s="135">
        <v>46198</v>
      </c>
      <c r="C792" s="136" t="s">
        <v>115</v>
      </c>
      <c r="D792" s="137" t="str">
        <f t="array" ref="D792">IF($A792="","",INDEX('Daily Sales'!A:A,$A792))</f>
        <v>1-1213</v>
      </c>
      <c r="E792" s="138" t="s">
        <v>50</v>
      </c>
      <c r="F792" s="139" t="str">
        <f t="shared" si="16"/>
        <v>Mandiri CC</v>
      </c>
      <c r="G792" s="140"/>
      <c r="H792" s="138">
        <f t="array" ref="H792">IF($A792="","",
  IF(
    OR(
      $A792=23,
      AND($A792&gt;=32,$A792&lt;=50)
    ),
    IFERROR(
      INDEX('Daily Sales'!$C:$AG,
        $A792,
        MATCH(TEXT($B792,"0"),TEXT('Daily Sales'!$C$2:$AG$2,"0"),0)
      ),
    ""),
  "")
)</f>
        <v>29125110</v>
      </c>
      <c r="I792" s="138" t="str">
        <f t="array" ref="I792">IF($A792="","",
  IF(
    OR(
      AND($A792&gt;=4,$A792&lt;=8),
      AND($A792&gt;=12,$A792&lt;=19),
      AND($A792&gt;=28,$A792&lt;=29)
    ),
    IFERROR(
      INDEX('Daily Sales'!$C:$AG,
        $A792,
        MATCH(TEXT($B792,"0"),TEXT('Daily Sales'!$C$2:$AG$2,"0"),0)
      ),
    ""),
  "")
)</f>
        <v/>
      </c>
      <c r="J792" s="79" t="e">
        <f t="shared" si="15"/>
        <v>#VALUE!</v>
      </c>
      <c r="K792" s="141"/>
      <c r="L792" s="141"/>
      <c r="M792" s="141"/>
      <c r="N792" s="133"/>
      <c r="O792" s="4"/>
      <c r="P792" s="4"/>
      <c r="Q792" s="4"/>
      <c r="R792" s="109"/>
      <c r="S792" s="109"/>
      <c r="T792" s="108"/>
      <c r="U792" s="110"/>
      <c r="V792" s="110"/>
      <c r="W792" s="110"/>
      <c r="X792" s="110"/>
    </row>
    <row r="793" spans="1:24" ht="13.5" customHeight="1">
      <c r="A793" s="110">
        <f>IF(E793="","",MATCH(E793,'Daily Sales'!B$4:B$51,0)+3)</f>
        <v>38</v>
      </c>
      <c r="B793" s="135">
        <v>46198</v>
      </c>
      <c r="C793" s="136" t="s">
        <v>115</v>
      </c>
      <c r="D793" s="137" t="str">
        <f t="array" ref="D793">IF($A793="","",INDEX('Daily Sales'!A:A,$A793))</f>
        <v>1-1213</v>
      </c>
      <c r="E793" s="138" t="s">
        <v>51</v>
      </c>
      <c r="F793" s="139" t="str">
        <f t="shared" si="16"/>
        <v>Mandiri NPG</v>
      </c>
      <c r="G793" s="140"/>
      <c r="H793" s="138">
        <f t="array" ref="H793">IF($A793="","",
  IF(
    OR(
      $A793=23,
      AND($A793&gt;=32,$A793&lt;=50)
    ),
    IFERROR(
      INDEX('Daily Sales'!$C:$AG,
        $A793,
        MATCH(TEXT($B793,"0"),TEXT('Daily Sales'!$C$2:$AG$2,"0"),0)
      ),
    ""),
  "")
)</f>
        <v>3833268</v>
      </c>
      <c r="I793" s="138" t="str">
        <f t="array" ref="I793">IF($A793="","",
  IF(
    OR(
      AND($A793&gt;=4,$A793&lt;=8),
      AND($A793&gt;=12,$A793&lt;=19),
      AND($A793&gt;=28,$A793&lt;=29)
    ),
    IFERROR(
      INDEX('Daily Sales'!$C:$AG,
        $A793,
        MATCH(TEXT($B793,"0"),TEXT('Daily Sales'!$C$2:$AG$2,"0"),0)
      ),
    ""),
  "")
)</f>
        <v/>
      </c>
      <c r="J793" s="79" t="e">
        <f t="shared" si="15"/>
        <v>#VALUE!</v>
      </c>
      <c r="K793" s="141"/>
      <c r="L793" s="141"/>
      <c r="M793" s="141"/>
      <c r="N793" s="133"/>
      <c r="O793" s="4"/>
      <c r="P793" s="4"/>
      <c r="Q793" s="4"/>
      <c r="R793" s="109"/>
      <c r="S793" s="109"/>
      <c r="T793" s="108"/>
      <c r="U793" s="110"/>
      <c r="V793" s="110"/>
      <c r="W793" s="110"/>
      <c r="X793" s="110"/>
    </row>
    <row r="794" spans="1:24" ht="13.5" customHeight="1">
      <c r="A794" s="110">
        <f>IF(E794="","",MATCH(E794,'Daily Sales'!B$4:B$51,0)+3)</f>
        <v>39</v>
      </c>
      <c r="B794" s="135">
        <v>46198</v>
      </c>
      <c r="C794" s="136" t="s">
        <v>115</v>
      </c>
      <c r="D794" s="137" t="str">
        <f t="array" ref="D794">IF($A794="","",INDEX('Daily Sales'!A:A,$A794))</f>
        <v>1-1213</v>
      </c>
      <c r="E794" s="138" t="s">
        <v>52</v>
      </c>
      <c r="F794" s="139" t="str">
        <f t="shared" si="16"/>
        <v>Mandiri QR</v>
      </c>
      <c r="G794" s="140"/>
      <c r="H794" s="138">
        <f t="array" ref="H794">IF($A794="","",
  IF(
    OR(
      $A794=23,
      AND($A794&gt;=32,$A794&lt;=50)
    ),
    IFERROR(
      INDEX('Daily Sales'!$C:$AG,
        $A794,
        MATCH(TEXT($B794,"0"),TEXT('Daily Sales'!$C$2:$AG$2,"0"),0)
      ),
    ""),
  "")
)</f>
        <v>4671918</v>
      </c>
      <c r="I794" s="138" t="str">
        <f t="array" ref="I794">IF($A794="","",
  IF(
    OR(
      AND($A794&gt;=4,$A794&lt;=8),
      AND($A794&gt;=12,$A794&lt;=19),
      AND($A794&gt;=28,$A794&lt;=29)
    ),
    IFERROR(
      INDEX('Daily Sales'!$C:$AG,
        $A794,
        MATCH(TEXT($B794,"0"),TEXT('Daily Sales'!$C$2:$AG$2,"0"),0)
      ),
    ""),
  "")
)</f>
        <v/>
      </c>
      <c r="J794" s="79" t="e">
        <f t="shared" si="15"/>
        <v>#VALUE!</v>
      </c>
      <c r="K794" s="141"/>
      <c r="L794" s="141"/>
      <c r="M794" s="141"/>
      <c r="N794" s="133"/>
      <c r="O794" s="4"/>
      <c r="P794" s="4"/>
      <c r="Q794" s="4"/>
      <c r="R794" s="109"/>
      <c r="S794" s="109"/>
      <c r="T794" s="108"/>
      <c r="U794" s="110"/>
      <c r="V794" s="110"/>
      <c r="W794" s="110"/>
      <c r="X794" s="110"/>
    </row>
    <row r="795" spans="1:24" ht="13.5" customHeight="1">
      <c r="A795" s="110">
        <f>IF(E795="","",MATCH(E795,'Daily Sales'!B$4:B$51,0)+3)</f>
        <v>40</v>
      </c>
      <c r="B795" s="135">
        <v>46198</v>
      </c>
      <c r="C795" s="136" t="s">
        <v>115</v>
      </c>
      <c r="D795" s="137" t="str">
        <f t="array" ref="D795">IF($A795="","",INDEX('Daily Sales'!A:A,$A795))</f>
        <v>1-1217</v>
      </c>
      <c r="E795" s="138" t="s">
        <v>54</v>
      </c>
      <c r="F795" s="139" t="str">
        <f t="shared" si="16"/>
        <v>BCA CC</v>
      </c>
      <c r="G795" s="140"/>
      <c r="H795" s="138">
        <f t="array" ref="H795">IF($A795="","",
  IF(
    OR(
      $A795=23,
      AND($A795&gt;=32,$A795&lt;=50)
    ),
    IFERROR(
      INDEX('Daily Sales'!$C:$AG,
        $A795,
        MATCH(TEXT($B795,"0"),TEXT('Daily Sales'!$C$2:$AG$2,"0"),0)
      ),
    ""),
  "")
)</f>
        <v>0</v>
      </c>
      <c r="I795" s="138" t="str">
        <f t="array" ref="I795">IF($A795="","",
  IF(
    OR(
      AND($A795&gt;=4,$A795&lt;=8),
      AND($A795&gt;=12,$A795&lt;=19),
      AND($A795&gt;=28,$A795&lt;=29)
    ),
    IFERROR(
      INDEX('Daily Sales'!$C:$AG,
        $A795,
        MATCH(TEXT($B795,"0"),TEXT('Daily Sales'!$C$2:$AG$2,"0"),0)
      ),
    ""),
  "")
)</f>
        <v/>
      </c>
      <c r="J795" s="79" t="e">
        <f t="shared" si="15"/>
        <v>#VALUE!</v>
      </c>
      <c r="K795" s="141"/>
      <c r="L795" s="141"/>
      <c r="M795" s="141"/>
      <c r="N795" s="133"/>
      <c r="O795" s="4"/>
      <c r="P795" s="4"/>
      <c r="Q795" s="4"/>
      <c r="R795" s="109"/>
      <c r="S795" s="109"/>
      <c r="T795" s="108"/>
      <c r="U795" s="110"/>
      <c r="V795" s="110"/>
      <c r="W795" s="110"/>
      <c r="X795" s="110"/>
    </row>
    <row r="796" spans="1:24" ht="13.5" customHeight="1">
      <c r="A796" s="110">
        <f>IF(E796="","",MATCH(E796,'Daily Sales'!B$4:B$51,0)+3)</f>
        <v>41</v>
      </c>
      <c r="B796" s="135">
        <v>46198</v>
      </c>
      <c r="C796" s="136" t="s">
        <v>115</v>
      </c>
      <c r="D796" s="137" t="str">
        <f t="array" ref="D796">IF($A796="","",INDEX('Daily Sales'!A:A,$A796))</f>
        <v>1-1217</v>
      </c>
      <c r="E796" s="138" t="s">
        <v>55</v>
      </c>
      <c r="F796" s="139" t="str">
        <f t="shared" si="16"/>
        <v>BCA debt</v>
      </c>
      <c r="G796" s="140"/>
      <c r="H796" s="138">
        <f t="array" ref="H796">IF($A796="","",
  IF(
    OR(
      $A796=23,
      AND($A796&gt;=32,$A796&lt;=50)
    ),
    IFERROR(
      INDEX('Daily Sales'!$C:$AG,
        $A796,
        MATCH(TEXT($B796,"0"),TEXT('Daily Sales'!$C$2:$AG$2,"0"),0)
      ),
    ""),
  "")
)</f>
        <v>0</v>
      </c>
      <c r="I796" s="138" t="str">
        <f t="array" ref="I796">IF($A796="","",
  IF(
    OR(
      AND($A796&gt;=4,$A796&lt;=8),
      AND($A796&gt;=12,$A796&lt;=19),
      AND($A796&gt;=28,$A796&lt;=29)
    ),
    IFERROR(
      INDEX('Daily Sales'!$C:$AG,
        $A796,
        MATCH(TEXT($B796,"0"),TEXT('Daily Sales'!$C$2:$AG$2,"0"),0)
      ),
    ""),
  "")
)</f>
        <v/>
      </c>
      <c r="J796" s="79" t="e">
        <f t="shared" si="15"/>
        <v>#VALUE!</v>
      </c>
      <c r="K796" s="141"/>
      <c r="L796" s="141"/>
      <c r="M796" s="141"/>
      <c r="N796" s="133"/>
      <c r="O796" s="4"/>
      <c r="P796" s="4"/>
      <c r="Q796" s="4"/>
      <c r="R796" s="109"/>
      <c r="S796" s="109"/>
      <c r="T796" s="108"/>
      <c r="U796" s="110"/>
      <c r="V796" s="110"/>
      <c r="W796" s="110"/>
      <c r="X796" s="110"/>
    </row>
    <row r="797" spans="1:24" ht="13.5" customHeight="1">
      <c r="A797" s="110">
        <f>IF(E797="","",MATCH(E797,'Daily Sales'!B$4:B$51,0)+3)</f>
        <v>42</v>
      </c>
      <c r="B797" s="135">
        <v>46198</v>
      </c>
      <c r="C797" s="136" t="s">
        <v>115</v>
      </c>
      <c r="D797" s="137" t="str">
        <f t="array" ref="D797">IF($A797="","",INDEX('Daily Sales'!A:A,$A797))</f>
        <v>1-1217</v>
      </c>
      <c r="E797" s="138" t="s">
        <v>56</v>
      </c>
      <c r="F797" s="139" t="str">
        <f t="shared" si="16"/>
        <v>BCA QR</v>
      </c>
      <c r="G797" s="140"/>
      <c r="H797" s="138">
        <f t="array" ref="H797">IF($A797="","",
  IF(
    OR(
      $A797=23,
      AND($A797&gt;=32,$A797&lt;=50)
    ),
    IFERROR(
      INDEX('Daily Sales'!$C:$AG,
        $A797,
        MATCH(TEXT($B797,"0"),TEXT('Daily Sales'!$C$2:$AG$2,"0"),0)
      ),
    ""),
  "")
)</f>
        <v>0</v>
      </c>
      <c r="I797" s="138" t="str">
        <f t="array" ref="I797">IF($A797="","",
  IF(
    OR(
      AND($A797&gt;=4,$A797&lt;=8),
      AND($A797&gt;=12,$A797&lt;=19),
      AND($A797&gt;=28,$A797&lt;=29)
    ),
    IFERROR(
      INDEX('Daily Sales'!$C:$AG,
        $A797,
        MATCH(TEXT($B797,"0"),TEXT('Daily Sales'!$C$2:$AG$2,"0"),0)
      ),
    ""),
  "")
)</f>
        <v/>
      </c>
      <c r="J797" s="79" t="e">
        <f t="shared" si="15"/>
        <v>#VALUE!</v>
      </c>
      <c r="K797" s="141"/>
      <c r="L797" s="141"/>
      <c r="M797" s="141"/>
      <c r="N797" s="133"/>
      <c r="O797" s="4"/>
      <c r="P797" s="4"/>
      <c r="Q797" s="4"/>
      <c r="R797" s="109"/>
      <c r="S797" s="109"/>
      <c r="T797" s="108"/>
      <c r="U797" s="110"/>
      <c r="V797" s="110"/>
      <c r="W797" s="110"/>
      <c r="X797" s="110"/>
    </row>
    <row r="798" spans="1:24" ht="13.5" customHeight="1">
      <c r="A798" s="110">
        <f>IF(E798="","",MATCH(E798,'Daily Sales'!B$4:B$51,0)+3)</f>
        <v>43</v>
      </c>
      <c r="B798" s="135">
        <v>46198</v>
      </c>
      <c r="C798" s="136" t="s">
        <v>115</v>
      </c>
      <c r="D798" s="137" t="str">
        <f t="array" ref="D798">IF($A798="","",INDEX('Daily Sales'!A:A,$A798))</f>
        <v>1-1214</v>
      </c>
      <c r="E798" s="138" t="s">
        <v>59</v>
      </c>
      <c r="F798" s="139" t="str">
        <f t="shared" si="16"/>
        <v>Bank BRI DEBET</v>
      </c>
      <c r="G798" s="140"/>
      <c r="H798" s="138">
        <f t="array" ref="H798">IF($A798="","",
  IF(
    OR(
      $A798=23,
      AND($A798&gt;=32,$A798&lt;=50)
    ),
    IFERROR(
      INDEX('Daily Sales'!$C:$AG,
        $A798,
        MATCH(TEXT($B798,"0"),TEXT('Daily Sales'!$C$2:$AG$2,"0"),0)
      ),
    ""),
  "")
)</f>
        <v>0</v>
      </c>
      <c r="I798" s="138" t="str">
        <f t="array" ref="I798">IF($A798="","",
  IF(
    OR(
      AND($A798&gt;=4,$A798&lt;=8),
      AND($A798&gt;=12,$A798&lt;=19),
      AND($A798&gt;=28,$A798&lt;=29)
    ),
    IFERROR(
      INDEX('Daily Sales'!$C:$AG,
        $A798,
        MATCH(TEXT($B798,"0"),TEXT('Daily Sales'!$C$2:$AG$2,"0"),0)
      ),
    ""),
  "")
)</f>
        <v/>
      </c>
      <c r="J798" s="79" t="e">
        <f t="shared" si="15"/>
        <v>#VALUE!</v>
      </c>
      <c r="K798" s="141"/>
      <c r="L798" s="141"/>
      <c r="M798" s="141"/>
      <c r="N798" s="133"/>
      <c r="O798" s="4"/>
      <c r="P798" s="4"/>
      <c r="Q798" s="4"/>
      <c r="R798" s="109"/>
      <c r="S798" s="109"/>
      <c r="T798" s="108"/>
      <c r="U798" s="110"/>
      <c r="V798" s="110"/>
      <c r="W798" s="110"/>
      <c r="X798" s="110"/>
    </row>
    <row r="799" spans="1:24" ht="13.5" customHeight="1">
      <c r="A799" s="110">
        <f>IF(E799="","",MATCH(E799,'Daily Sales'!B$4:B$51,0)+3)</f>
        <v>44</v>
      </c>
      <c r="B799" s="135">
        <v>46198</v>
      </c>
      <c r="C799" s="136" t="s">
        <v>115</v>
      </c>
      <c r="D799" s="137" t="str">
        <f t="array" ref="D799">IF($A799="","",INDEX('Daily Sales'!A:A,$A799))</f>
        <v>1-1214</v>
      </c>
      <c r="E799" s="138" t="s">
        <v>60</v>
      </c>
      <c r="F799" s="139" t="str">
        <f t="shared" si="16"/>
        <v>Bank BRI CC</v>
      </c>
      <c r="G799" s="140"/>
      <c r="H799" s="138">
        <f t="array" ref="H799">IF($A799="","",
  IF(
    OR(
      $A799=23,
      AND($A799&gt;=32,$A799&lt;=50)
    ),
    IFERROR(
      INDEX('Daily Sales'!$C:$AG,
        $A799,
        MATCH(TEXT($B799,"0"),TEXT('Daily Sales'!$C$2:$AG$2,"0"),0)
      ),
    ""),
  "")
)</f>
        <v>0</v>
      </c>
      <c r="I799" s="138" t="str">
        <f t="array" ref="I799">IF($A799="","",
  IF(
    OR(
      AND($A799&gt;=4,$A799&lt;=8),
      AND($A799&gt;=12,$A799&lt;=19),
      AND($A799&gt;=28,$A799&lt;=29)
    ),
    IFERROR(
      INDEX('Daily Sales'!$C:$AG,
        $A799,
        MATCH(TEXT($B799,"0"),TEXT('Daily Sales'!$C$2:$AG$2,"0"),0)
      ),
    ""),
  "")
)</f>
        <v/>
      </c>
      <c r="J799" s="79" t="e">
        <f t="shared" si="15"/>
        <v>#VALUE!</v>
      </c>
      <c r="K799" s="141"/>
      <c r="L799" s="141"/>
      <c r="M799" s="141"/>
      <c r="N799" s="133"/>
      <c r="O799" s="4"/>
      <c r="P799" s="4"/>
      <c r="Q799" s="4"/>
      <c r="R799" s="109"/>
      <c r="S799" s="109"/>
      <c r="T799" s="108"/>
      <c r="U799" s="110"/>
      <c r="V799" s="110"/>
      <c r="W799" s="110"/>
      <c r="X799" s="110"/>
    </row>
    <row r="800" spans="1:24" ht="13.5" customHeight="1">
      <c r="A800" s="110">
        <f>IF(E800="","",MATCH(E800,'Daily Sales'!B$4:B$51,0)+3)</f>
        <v>45</v>
      </c>
      <c r="B800" s="135">
        <v>46198</v>
      </c>
      <c r="C800" s="136" t="s">
        <v>115</v>
      </c>
      <c r="D800" s="137" t="str">
        <f t="array" ref="D800">IF($A800="","",INDEX('Daily Sales'!A:A,$A800))</f>
        <v>1-1214</v>
      </c>
      <c r="E800" s="138" t="s">
        <v>61</v>
      </c>
      <c r="F800" s="139" t="str">
        <f t="shared" si="16"/>
        <v>Bank BRI QR</v>
      </c>
      <c r="G800" s="140"/>
      <c r="H800" s="138">
        <f t="array" ref="H800">IF($A800="","",
  IF(
    OR(
      $A800=23,
      AND($A800&gt;=32,$A800&lt;=50)
    ),
    IFERROR(
      INDEX('Daily Sales'!$C:$AG,
        $A800,
        MATCH(TEXT($B800,"0"),TEXT('Daily Sales'!$C$2:$AG$2,"0"),0)
      ),
    ""),
  "")
)</f>
        <v>0</v>
      </c>
      <c r="I800" s="138" t="str">
        <f t="array" ref="I800">IF($A800="","",
  IF(
    OR(
      AND($A800&gt;=4,$A800&lt;=8),
      AND($A800&gt;=12,$A800&lt;=19),
      AND($A800&gt;=28,$A800&lt;=29)
    ),
    IFERROR(
      INDEX('Daily Sales'!$C:$AG,
        $A800,
        MATCH(TEXT($B800,"0"),TEXT('Daily Sales'!$C$2:$AG$2,"0"),0)
      ),
    ""),
  "")
)</f>
        <v/>
      </c>
      <c r="J800" s="79" t="e">
        <f t="shared" si="15"/>
        <v>#VALUE!</v>
      </c>
      <c r="K800" s="141"/>
      <c r="L800" s="141"/>
      <c r="M800" s="141"/>
      <c r="N800" s="133"/>
      <c r="O800" s="4"/>
      <c r="P800" s="4"/>
      <c r="Q800" s="4"/>
      <c r="R800" s="109"/>
      <c r="S800" s="109"/>
      <c r="T800" s="108"/>
      <c r="U800" s="110"/>
      <c r="V800" s="110"/>
      <c r="W800" s="110"/>
      <c r="X800" s="110"/>
    </row>
    <row r="801" spans="1:24" ht="13.5" customHeight="1">
      <c r="A801" s="110">
        <f>IF(E801="","",MATCH(E801,'Daily Sales'!B$4:B$51,0)+3)</f>
        <v>46</v>
      </c>
      <c r="B801" s="135">
        <v>46198</v>
      </c>
      <c r="C801" s="136" t="s">
        <v>115</v>
      </c>
      <c r="D801" s="137" t="str">
        <f t="array" ref="D801">IF($A801="","",INDEX('Daily Sales'!A:A,$A801))</f>
        <v>1-1202</v>
      </c>
      <c r="E801" s="138" t="s">
        <v>64</v>
      </c>
      <c r="F801" s="139" t="str">
        <f t="shared" si="16"/>
        <v>Ledger</v>
      </c>
      <c r="G801" s="140"/>
      <c r="H801" s="138">
        <f t="array" ref="H801">IF($A801="","",
  IF(
    OR(
      $A801=23,
      AND($A801&gt;=32,$A801&lt;=50)
    ),
    IFERROR(
      INDEX('Daily Sales'!$C:$AG,
        $A801,
        MATCH(TEXT($B801,"0"),TEXT('Daily Sales'!$C$2:$AG$2,"0"),0)
      ),
    ""),
  "")
)</f>
        <v>179493</v>
      </c>
      <c r="I801" s="138" t="str">
        <f t="array" ref="I801">IF($A801="","",
  IF(
    OR(
      AND($A801&gt;=4,$A801&lt;=8),
      AND($A801&gt;=12,$A801&lt;=19),
      AND($A801&gt;=28,$A801&lt;=29)
    ),
    IFERROR(
      INDEX('Daily Sales'!$C:$AG,
        $A801,
        MATCH(TEXT($B801,"0"),TEXT('Daily Sales'!$C$2:$AG$2,"0"),0)
      ),
    ""),
  "")
)</f>
        <v/>
      </c>
      <c r="J801" s="79" t="e">
        <f t="shared" si="15"/>
        <v>#VALUE!</v>
      </c>
      <c r="K801" s="141"/>
      <c r="L801" s="141"/>
      <c r="M801" s="141"/>
      <c r="N801" s="133"/>
      <c r="O801" s="4"/>
      <c r="P801" s="4"/>
      <c r="Q801" s="4"/>
      <c r="R801" s="109"/>
      <c r="S801" s="109"/>
      <c r="T801" s="108"/>
      <c r="U801" s="110"/>
      <c r="V801" s="110"/>
      <c r="W801" s="110"/>
      <c r="X801" s="110"/>
    </row>
    <row r="802" spans="1:24" ht="13.5" customHeight="1">
      <c r="A802" s="110">
        <f>IF(E802="","",MATCH(E802,'Daily Sales'!B$4:B$51,0)+3)</f>
        <v>47</v>
      </c>
      <c r="B802" s="135">
        <v>46198</v>
      </c>
      <c r="C802" s="136" t="s">
        <v>115</v>
      </c>
      <c r="D802" s="137" t="str">
        <f t="array" ref="D802">IF($A802="","",INDEX('Daily Sales'!A:A,$A802))</f>
        <v>1-1129</v>
      </c>
      <c r="E802" s="138" t="s">
        <v>66</v>
      </c>
      <c r="F802" s="139" t="str">
        <f t="shared" si="16"/>
        <v>Star Points</v>
      </c>
      <c r="G802" s="140"/>
      <c r="H802" s="138">
        <f t="array" ref="H802">IF($A802="","",
  IF(
    OR(
      $A802=23,
      AND($A802&gt;=32,$A802&lt;=50)
    ),
    IFERROR(
      INDEX('Daily Sales'!$C:$AG,
        $A802,
        MATCH(TEXT($B802,"0"),TEXT('Daily Sales'!$C$2:$AG$2,"0"),0)
      ),
    ""),
  "")
)</f>
        <v>0</v>
      </c>
      <c r="I802" s="138" t="str">
        <f t="array" ref="I802">IF($A802="","",
  IF(
    OR(
      AND($A802&gt;=4,$A802&lt;=8),
      AND($A802&gt;=12,$A802&lt;=19),
      AND($A802&gt;=28,$A802&lt;=29)
    ),
    IFERROR(
      INDEX('Daily Sales'!$C:$AG,
        $A802,
        MATCH(TEXT($B802,"0"),TEXT('Daily Sales'!$C$2:$AG$2,"0"),0)
      ),
    ""),
  "")
)</f>
        <v/>
      </c>
      <c r="J802" s="79" t="e">
        <f t="shared" si="15"/>
        <v>#VALUE!</v>
      </c>
      <c r="K802" s="141"/>
      <c r="L802" s="141"/>
      <c r="M802" s="141"/>
      <c r="N802" s="133"/>
      <c r="O802" s="4"/>
      <c r="P802" s="4"/>
      <c r="Q802" s="4"/>
      <c r="R802" s="109"/>
      <c r="S802" s="109"/>
      <c r="T802" s="108"/>
      <c r="U802" s="110"/>
      <c r="V802" s="110"/>
      <c r="W802" s="110"/>
      <c r="X802" s="110"/>
    </row>
    <row r="803" spans="1:24" ht="13.5" customHeight="1">
      <c r="A803" s="110">
        <f>IF(E803="","",MATCH(E803,'Daily Sales'!B$4:B$51,0)+3)</f>
        <v>48</v>
      </c>
      <c r="B803" s="135">
        <v>46198</v>
      </c>
      <c r="C803" s="136" t="s">
        <v>115</v>
      </c>
      <c r="D803" s="137" t="str">
        <f t="array" ref="D803">IF($A803="","",INDEX('Daily Sales'!A:A,$A803))</f>
        <v>1-1215</v>
      </c>
      <c r="E803" s="138" t="s">
        <v>68</v>
      </c>
      <c r="F803" s="139" t="str">
        <f t="shared" si="16"/>
        <v>Ovo</v>
      </c>
      <c r="G803" s="140"/>
      <c r="H803" s="138">
        <f t="array" ref="H803">IF($A803="","",
  IF(
    OR(
      $A803=23,
      AND($A803&gt;=32,$A803&lt;=50)
    ),
    IFERROR(
      INDEX('Daily Sales'!$C:$AG,
        $A803,
        MATCH(TEXT($B803,"0"),TEXT('Daily Sales'!$C$2:$AG$2,"0"),0)
      ),
    ""),
  "")
)</f>
        <v>112500</v>
      </c>
      <c r="I803" s="138" t="str">
        <f t="array" ref="I803">IF($A803="","",
  IF(
    OR(
      AND($A803&gt;=4,$A803&lt;=8),
      AND($A803&gt;=12,$A803&lt;=19),
      AND($A803&gt;=28,$A803&lt;=29)
    ),
    IFERROR(
      INDEX('Daily Sales'!$C:$AG,
        $A803,
        MATCH(TEXT($B803,"0"),TEXT('Daily Sales'!$C$2:$AG$2,"0"),0)
      ),
    ""),
  "")
)</f>
        <v/>
      </c>
      <c r="J803" s="79" t="e">
        <f t="shared" si="15"/>
        <v>#VALUE!</v>
      </c>
      <c r="K803" s="141"/>
      <c r="L803" s="141"/>
      <c r="M803" s="141"/>
      <c r="N803" s="133"/>
      <c r="O803" s="4"/>
      <c r="P803" s="4"/>
      <c r="Q803" s="4"/>
      <c r="R803" s="109"/>
      <c r="S803" s="109"/>
      <c r="T803" s="108"/>
      <c r="U803" s="110"/>
      <c r="V803" s="110"/>
      <c r="W803" s="110"/>
      <c r="X803" s="110"/>
    </row>
    <row r="804" spans="1:24" ht="13.5" customHeight="1">
      <c r="A804" s="110">
        <f>IF(E804="","",MATCH(E804,'Daily Sales'!B$4:B$51,0)+3)</f>
        <v>49</v>
      </c>
      <c r="B804" s="135">
        <v>46198</v>
      </c>
      <c r="C804" s="136" t="s">
        <v>115</v>
      </c>
      <c r="D804" s="137" t="str">
        <f t="array" ref="D804">IF($A804="","",INDEX('Daily Sales'!A:A,$A804))</f>
        <v>1-1211</v>
      </c>
      <c r="E804" s="138" t="s">
        <v>70</v>
      </c>
      <c r="F804" s="139" t="str">
        <f t="shared" si="16"/>
        <v>Gopay</v>
      </c>
      <c r="G804" s="140"/>
      <c r="H804" s="138">
        <f t="array" ref="H804">IF($A804="","",
  IF(
    OR(
      $A804=23,
      AND($A804&gt;=32,$A804&lt;=50)
    ),
    IFERROR(
      INDEX('Daily Sales'!$C:$AG,
        $A804,
        MATCH(TEXT($B804,"0"),TEXT('Daily Sales'!$C$2:$AG$2,"0"),0)
      ),
    ""),
  "")
)</f>
        <v>0</v>
      </c>
      <c r="I804" s="138" t="str">
        <f t="array" ref="I804">IF($A804="","",
  IF(
    OR(
      AND($A804&gt;=4,$A804&lt;=8),
      AND($A804&gt;=12,$A804&lt;=19),
      AND($A804&gt;=28,$A804&lt;=29)
    ),
    IFERROR(
      INDEX('Daily Sales'!$C:$AG,
        $A804,
        MATCH(TEXT($B804,"0"),TEXT('Daily Sales'!$C$2:$AG$2,"0"),0)
      ),
    ""),
  "")
)</f>
        <v/>
      </c>
      <c r="J804" s="79" t="e">
        <f t="shared" si="15"/>
        <v>#VALUE!</v>
      </c>
      <c r="K804" s="141"/>
      <c r="L804" s="141"/>
      <c r="M804" s="141"/>
      <c r="N804" s="133"/>
      <c r="O804" s="4"/>
      <c r="P804" s="4"/>
      <c r="Q804" s="4"/>
      <c r="R804" s="109"/>
      <c r="S804" s="109"/>
      <c r="T804" s="108"/>
      <c r="U804" s="110"/>
      <c r="V804" s="110"/>
      <c r="W804" s="110"/>
      <c r="X804" s="110"/>
    </row>
    <row r="805" spans="1:24" ht="13.5" customHeight="1">
      <c r="A805" s="110">
        <f>IF(E805="","",MATCH(E805,'Daily Sales'!B$4:B$51,0)+3)</f>
        <v>50</v>
      </c>
      <c r="B805" s="135">
        <v>46198</v>
      </c>
      <c r="C805" s="136" t="s">
        <v>115</v>
      </c>
      <c r="D805" s="137" t="str">
        <f t="array" ref="D805">IF($A805="","",INDEX('Daily Sales'!A:A,$A805))</f>
        <v>2-2110</v>
      </c>
      <c r="E805" s="138" t="s">
        <v>72</v>
      </c>
      <c r="F805" s="139" t="str">
        <f t="shared" si="16"/>
        <v>Cash Short/Over</v>
      </c>
      <c r="G805" s="140"/>
      <c r="H805" s="138">
        <f t="array" ref="H805">IF($A805="","",
  IF(
    OR(
      $A805=23,
      AND($A805&gt;=32,$A805&lt;=50)
    ),
    IFERROR(
      INDEX('Daily Sales'!$C:$AG,
        $A805,
        MATCH(TEXT($B805,"0"),TEXT('Daily Sales'!$C$2:$AG$2,"0"),0)
      ),
    ""),
  "")
)</f>
        <v>19841.310000000001</v>
      </c>
      <c r="I805" s="138" t="str">
        <f t="array" ref="I805">IF($A805="","",
  IF(
    OR(
      AND($A805&gt;=4,$A805&lt;=8),
      AND($A805&gt;=12,$A805&lt;=19),
      AND($A805&gt;=28,$A805&lt;=29)
    ),
    IFERROR(
      INDEX('Daily Sales'!$C:$AG,
        $A805,
        MATCH(TEXT($B805,"0"),TEXT('Daily Sales'!$C$2:$AG$2,"0"),0)
      ),
    ""),
  "")
)</f>
        <v/>
      </c>
      <c r="J805" s="79" t="e">
        <f t="shared" si="15"/>
        <v>#VALUE!</v>
      </c>
      <c r="K805" s="141"/>
      <c r="L805" s="141"/>
      <c r="M805" s="141"/>
      <c r="N805" s="133"/>
      <c r="O805" s="4"/>
      <c r="P805" s="4"/>
      <c r="Q805" s="4"/>
      <c r="R805" s="109"/>
      <c r="S805" s="109"/>
      <c r="T805" s="108"/>
      <c r="U805" s="110"/>
      <c r="V805" s="110"/>
      <c r="W805" s="110"/>
      <c r="X805" s="110"/>
    </row>
    <row r="806" spans="1:24" ht="14.25" customHeight="1">
      <c r="A806" s="110"/>
      <c r="B806" s="125"/>
      <c r="C806" s="126"/>
      <c r="D806" s="15"/>
      <c r="E806" s="10" t="e">
        <f>TRIM(VLOOKUP(D806,TB!$B$9:$C$1500,2,FALSE))</f>
        <v>#N/A</v>
      </c>
      <c r="F806" s="142"/>
      <c r="G806" s="130"/>
      <c r="H806" s="10"/>
      <c r="I806" s="10"/>
      <c r="J806" s="79" t="e">
        <f t="shared" si="15"/>
        <v>#VALUE!</v>
      </c>
      <c r="K806" s="107"/>
      <c r="L806" s="141"/>
      <c r="M806" s="141"/>
      <c r="N806" s="133"/>
      <c r="O806" s="4"/>
      <c r="P806" s="4"/>
      <c r="Q806" s="4"/>
      <c r="R806" s="134"/>
      <c r="S806" s="109"/>
      <c r="T806" s="108"/>
      <c r="U806" s="110"/>
      <c r="V806" s="110"/>
      <c r="W806" s="110"/>
      <c r="X806" s="110"/>
    </row>
    <row r="807" spans="1:24" ht="13.5" customHeight="1">
      <c r="A807" s="110">
        <f>IF(E807="","",MATCH(E807,'Daily Sales'!B$4:B$51,0)+3)</f>
        <v>4</v>
      </c>
      <c r="B807" s="135">
        <v>46199</v>
      </c>
      <c r="C807" s="136" t="s">
        <v>116</v>
      </c>
      <c r="D807" s="137" t="str">
        <f t="array" ref="D807">IF($A807="","",INDEX('Daily Sales'!A:A,$A807))</f>
        <v>4-2100</v>
      </c>
      <c r="E807" s="138" t="s">
        <v>5</v>
      </c>
      <c r="F807" s="139" t="str">
        <f t="shared" ref="F807:F837" si="17">E807</f>
        <v>Sales Food TERRACE</v>
      </c>
      <c r="G807" s="140"/>
      <c r="H807" s="138" t="str">
        <f t="array" ref="H807">IF($A807="","",
  IF(
    OR(
      $A807=23,
      AND($A807&gt;=32,$A807&lt;=50)
    ),
    IFERROR(
      INDEX('Daily Sales'!$C:$AG,
        $A807,
        MATCH(TEXT($B807,"0"),TEXT('Daily Sales'!$C$2:$AG$2,"0"),0)
      ),
    ""),
  "")
)</f>
        <v/>
      </c>
      <c r="I807" s="138">
        <f t="array" ref="I807">IF($A807="","",
  IF(
    OR(
      AND($A807&gt;=4,$A807&lt;=8),
      AND($A807&gt;=12,$A807&lt;=19),
      AND($A807&gt;=28,$A807&lt;=29)
    ),
    IFERROR(
      INDEX('Daily Sales'!$C:$AG,
        $A807,
        MATCH(TEXT($B807,"0"),TEXT('Daily Sales'!$C$2:$AG$2,"0"),0)
      ),
    ""),
  "")
)</f>
        <v>6577500</v>
      </c>
      <c r="J807" s="79" t="e">
        <f t="shared" si="15"/>
        <v>#VALUE!</v>
      </c>
      <c r="K807" s="141"/>
      <c r="L807" s="141"/>
      <c r="M807" s="141"/>
      <c r="N807" s="133"/>
      <c r="O807" s="4"/>
      <c r="P807" s="4"/>
      <c r="Q807" s="4"/>
      <c r="R807" s="109"/>
      <c r="S807" s="109"/>
      <c r="T807" s="108"/>
      <c r="U807" s="110"/>
      <c r="V807" s="110"/>
      <c r="W807" s="110"/>
      <c r="X807" s="110"/>
    </row>
    <row r="808" spans="1:24" ht="13.5" customHeight="1">
      <c r="A808" s="110">
        <f>IF(E808="","",MATCH(E808,'Daily Sales'!B$4:B$51,0)+3)</f>
        <v>5</v>
      </c>
      <c r="B808" s="135">
        <v>46199</v>
      </c>
      <c r="C808" s="136" t="s">
        <v>116</v>
      </c>
      <c r="D808" s="137" t="str">
        <f t="array" ref="D808">IF($A808="","",INDEX('Daily Sales'!A:A,$A808))</f>
        <v>4-2200</v>
      </c>
      <c r="E808" s="138" t="s">
        <v>7</v>
      </c>
      <c r="F808" s="139" t="str">
        <f t="shared" si="17"/>
        <v>Sales Beverages TERRACE</v>
      </c>
      <c r="G808" s="140"/>
      <c r="H808" s="138" t="str">
        <f t="array" ref="H808">IF($A808="","",
  IF(
    OR(
      $A808=23,
      AND($A808&gt;=32,$A808&lt;=50)
    ),
    IFERROR(
      INDEX('Daily Sales'!$C:$AG,
        $A808,
        MATCH(TEXT($B808,"0"),TEXT('Daily Sales'!$C$2:$AG$2,"0"),0)
      ),
    ""),
  "")
)</f>
        <v/>
      </c>
      <c r="I808" s="138">
        <f t="array" ref="I808">IF($A808="","",
  IF(
    OR(
      AND($A808&gt;=4,$A808&lt;=8),
      AND($A808&gt;=12,$A808&lt;=19),
      AND($A808&gt;=28,$A808&lt;=29)
    ),
    IFERROR(
      INDEX('Daily Sales'!$C:$AG,
        $A808,
        MATCH(TEXT($B808,"0"),TEXT('Daily Sales'!$C$2:$AG$2,"0"),0)
      ),
    ""),
  "")
)</f>
        <v>13445000</v>
      </c>
      <c r="J808" s="79" t="e">
        <f t="shared" si="15"/>
        <v>#VALUE!</v>
      </c>
      <c r="K808" s="141"/>
      <c r="L808" s="141"/>
      <c r="M808" s="141"/>
      <c r="N808" s="133"/>
      <c r="O808" s="4"/>
      <c r="P808" s="4"/>
      <c r="Q808" s="4"/>
      <c r="R808" s="109"/>
      <c r="S808" s="109"/>
      <c r="T808" s="108"/>
      <c r="U808" s="110"/>
      <c r="V808" s="110"/>
      <c r="W808" s="110"/>
      <c r="X808" s="110"/>
    </row>
    <row r="809" spans="1:24" ht="13.5" customHeight="1">
      <c r="A809" s="110">
        <f>IF(E809="","",MATCH(E809,'Daily Sales'!B$4:B$51,0)+3)</f>
        <v>6</v>
      </c>
      <c r="B809" s="135">
        <v>46199</v>
      </c>
      <c r="C809" s="136" t="s">
        <v>116</v>
      </c>
      <c r="D809" s="137" t="str">
        <f t="array" ref="D809">IF($A809="","",INDEX('Daily Sales'!A:A,$A809))</f>
        <v>4-2400</v>
      </c>
      <c r="E809" s="138" t="s">
        <v>9</v>
      </c>
      <c r="F809" s="139" t="str">
        <f t="shared" si="17"/>
        <v>Sales Cigarette TERRACE</v>
      </c>
      <c r="G809" s="140"/>
      <c r="H809" s="138" t="str">
        <f t="array" ref="H809">IF($A809="","",
  IF(
    OR(
      $A809=23,
      AND($A809&gt;=32,$A809&lt;=50)
    ),
    IFERROR(
      INDEX('Daily Sales'!$C:$AG,
        $A809,
        MATCH(TEXT($B809,"0"),TEXT('Daily Sales'!$C$2:$AG$2,"0"),0)
      ),
    ""),
  "")
)</f>
        <v/>
      </c>
      <c r="I809" s="138">
        <f t="array" ref="I809">IF($A809="","",
  IF(
    OR(
      AND($A809&gt;=4,$A809&lt;=8),
      AND($A809&gt;=12,$A809&lt;=19),
      AND($A809&gt;=28,$A809&lt;=29)
    ),
    IFERROR(
      INDEX('Daily Sales'!$C:$AG,
        $A809,
        MATCH(TEXT($B809,"0"),TEXT('Daily Sales'!$C$2:$AG$2,"0"),0)
      ),
    ""),
  "")
)</f>
        <v>330000</v>
      </c>
      <c r="J809" s="79" t="e">
        <f t="shared" si="15"/>
        <v>#VALUE!</v>
      </c>
      <c r="K809" s="141"/>
      <c r="L809" s="141"/>
      <c r="M809" s="141"/>
      <c r="N809" s="133"/>
      <c r="O809" s="4"/>
      <c r="P809" s="4"/>
      <c r="Q809" s="4"/>
      <c r="R809" s="109"/>
      <c r="S809" s="109"/>
      <c r="T809" s="108"/>
      <c r="U809" s="110"/>
      <c r="V809" s="110"/>
      <c r="W809" s="110"/>
      <c r="X809" s="110"/>
    </row>
    <row r="810" spans="1:24" ht="13.5" customHeight="1">
      <c r="A810" s="110">
        <f>IF(E810="","",MATCH(E810,'Daily Sales'!B$4:B$51,0)+3)</f>
        <v>7</v>
      </c>
      <c r="B810" s="135">
        <v>46199</v>
      </c>
      <c r="C810" s="136" t="s">
        <v>116</v>
      </c>
      <c r="D810" s="137" t="str">
        <f t="array" ref="D810">IF($A810="","",INDEX('Daily Sales'!A:A,$A810))</f>
        <v>4-2300</v>
      </c>
      <c r="E810" s="138" t="s">
        <v>11</v>
      </c>
      <c r="F810" s="139" t="str">
        <f t="shared" si="17"/>
        <v>Sales Shisa TERRACE</v>
      </c>
      <c r="G810" s="140"/>
      <c r="H810" s="138" t="str">
        <f t="array" ref="H810">IF($A810="","",
  IF(
    OR(
      $A810=23,
      AND($A810&gt;=32,$A810&lt;=50)
    ),
    IFERROR(
      INDEX('Daily Sales'!$C:$AG,
        $A810,
        MATCH(TEXT($B810,"0"),TEXT('Daily Sales'!$C$2:$AG$2,"0"),0)
      ),
    ""),
  "")
)</f>
        <v/>
      </c>
      <c r="I810" s="138">
        <f t="array" ref="I810">IF($A810="","",
  IF(
    OR(
      AND($A810&gt;=4,$A810&lt;=8),
      AND($A810&gt;=12,$A810&lt;=19),
      AND($A810&gt;=28,$A810&lt;=29)
    ),
    IFERROR(
      INDEX('Daily Sales'!$C:$AG,
        $A810,
        MATCH(TEXT($B810,"0"),TEXT('Daily Sales'!$C$2:$AG$2,"0"),0)
      ),
    ""),
  "")
)</f>
        <v>0</v>
      </c>
      <c r="J810" s="79" t="e">
        <f t="shared" si="15"/>
        <v>#VALUE!</v>
      </c>
      <c r="K810" s="141"/>
      <c r="L810" s="141"/>
      <c r="M810" s="141"/>
      <c r="N810" s="133"/>
      <c r="O810" s="4"/>
      <c r="P810" s="4"/>
      <c r="Q810" s="4"/>
      <c r="R810" s="109"/>
      <c r="S810" s="109"/>
      <c r="T810" s="108"/>
      <c r="U810" s="110"/>
      <c r="V810" s="110"/>
      <c r="W810" s="110"/>
      <c r="X810" s="110"/>
    </row>
    <row r="811" spans="1:24" ht="13.5" customHeight="1">
      <c r="A811" s="110">
        <f>IF(E811="","",MATCH(E811,'Daily Sales'!B$4:B$51,0)+3)</f>
        <v>12</v>
      </c>
      <c r="B811" s="135">
        <v>46199</v>
      </c>
      <c r="C811" s="136" t="s">
        <v>116</v>
      </c>
      <c r="D811" s="137" t="str">
        <f t="array" ref="D811">IF($A811="","",INDEX('Daily Sales'!A:A,$A811))</f>
        <v>4-2200</v>
      </c>
      <c r="E811" s="138" t="s">
        <v>17</v>
      </c>
      <c r="F811" s="139" t="str">
        <f t="shared" si="17"/>
        <v>Sales Beverages CLUB</v>
      </c>
      <c r="G811" s="140"/>
      <c r="H811" s="138" t="str">
        <f t="array" ref="H811">IF($A811="","",
  IF(
    OR(
      $A811=23,
      AND($A811&gt;=32,$A811&lt;=50)
    ),
    IFERROR(
      INDEX('Daily Sales'!$C:$AG,
        $A811,
        MATCH(TEXT($B811,"0"),TEXT('Daily Sales'!$C$2:$AG$2,"0"),0)
      ),
    ""),
  "")
)</f>
        <v/>
      </c>
      <c r="I811" s="138">
        <f t="array" ref="I811">IF($A811="","",
  IF(
    OR(
      AND($A811&gt;=4,$A811&lt;=8),
      AND($A811&gt;=12,$A811&lt;=19),
      AND($A811&gt;=28,$A811&lt;=29)
    ),
    IFERROR(
      INDEX('Daily Sales'!$C:$AG,
        $A811,
        MATCH(TEXT($B811,"0"),TEXT('Daily Sales'!$C$2:$AG$2,"0"),0)
      ),
    ""),
  "")
)</f>
        <v>55390000</v>
      </c>
      <c r="J811" s="79" t="e">
        <f t="shared" si="15"/>
        <v>#VALUE!</v>
      </c>
      <c r="K811" s="141"/>
      <c r="L811" s="141"/>
      <c r="M811" s="141"/>
      <c r="N811" s="133"/>
      <c r="O811" s="4"/>
      <c r="P811" s="4"/>
      <c r="Q811" s="4"/>
      <c r="R811" s="109"/>
      <c r="S811" s="109"/>
      <c r="T811" s="108"/>
      <c r="U811" s="110"/>
      <c r="V811" s="110"/>
      <c r="W811" s="110"/>
      <c r="X811" s="110"/>
    </row>
    <row r="812" spans="1:24" ht="13.5" customHeight="1">
      <c r="A812" s="110">
        <f>IF(E812="","",MATCH(E812,'Daily Sales'!B$4:B$51,0)+3)</f>
        <v>13</v>
      </c>
      <c r="B812" s="135">
        <v>46199</v>
      </c>
      <c r="C812" s="136" t="s">
        <v>116</v>
      </c>
      <c r="D812" s="137" t="str">
        <f t="array" ref="D812">IF($A812="","",INDEX('Daily Sales'!A:A,$A812))</f>
        <v>4-2400</v>
      </c>
      <c r="E812" s="138" t="s">
        <v>18</v>
      </c>
      <c r="F812" s="139" t="str">
        <f t="shared" si="17"/>
        <v>Sales Cigarette CLUB</v>
      </c>
      <c r="G812" s="140"/>
      <c r="H812" s="138" t="str">
        <f t="array" ref="H812">IF($A812="","",
  IF(
    OR(
      $A812=23,
      AND($A812&gt;=32,$A812&lt;=50)
    ),
    IFERROR(
      INDEX('Daily Sales'!$C:$AG,
        $A812,
        MATCH(TEXT($B812,"0"),TEXT('Daily Sales'!$C$2:$AG$2,"0"),0)
      ),
    ""),
  "")
)</f>
        <v/>
      </c>
      <c r="I812" s="138">
        <f t="array" ref="I812">IF($A812="","",
  IF(
    OR(
      AND($A812&gt;=4,$A812&lt;=8),
      AND($A812&gt;=12,$A812&lt;=19),
      AND($A812&gt;=28,$A812&lt;=29)
    ),
    IFERROR(
      INDEX('Daily Sales'!$C:$AG,
        $A812,
        MATCH(TEXT($B812,"0"),TEXT('Daily Sales'!$C$2:$AG$2,"0"),0)
      ),
    ""),
  "")
)</f>
        <v>1330000</v>
      </c>
      <c r="J812" s="79" t="e">
        <f t="shared" si="15"/>
        <v>#VALUE!</v>
      </c>
      <c r="K812" s="141"/>
      <c r="L812" s="141"/>
      <c r="M812" s="141"/>
      <c r="N812" s="133"/>
      <c r="O812" s="4"/>
      <c r="P812" s="4"/>
      <c r="Q812" s="4"/>
      <c r="R812" s="109"/>
      <c r="S812" s="109"/>
      <c r="T812" s="108"/>
      <c r="U812" s="110"/>
      <c r="V812" s="110"/>
      <c r="W812" s="110"/>
      <c r="X812" s="110"/>
    </row>
    <row r="813" spans="1:24" ht="13.5" customHeight="1">
      <c r="A813" s="110">
        <f>IF(E813="","",MATCH(E813,'Daily Sales'!B$4:B$51,0)+3)</f>
        <v>14</v>
      </c>
      <c r="B813" s="135">
        <v>46199</v>
      </c>
      <c r="C813" s="136" t="s">
        <v>116</v>
      </c>
      <c r="D813" s="137" t="str">
        <f t="array" ref="D813">IF($A813="","",INDEX('Daily Sales'!A:A,$A813))</f>
        <v>4-2100</v>
      </c>
      <c r="E813" s="138" t="s">
        <v>19</v>
      </c>
      <c r="F813" s="139" t="str">
        <f t="shared" si="17"/>
        <v>Sales Food CLUB</v>
      </c>
      <c r="G813" s="140"/>
      <c r="H813" s="138" t="str">
        <f t="array" ref="H813">IF($A813="","",
  IF(
    OR(
      $A813=23,
      AND($A813&gt;=32,$A813&lt;=50)
    ),
    IFERROR(
      INDEX('Daily Sales'!$C:$AG,
        $A813,
        MATCH(TEXT($B813,"0"),TEXT('Daily Sales'!$C$2:$AG$2,"0"),0)
      ),
    ""),
  "")
)</f>
        <v/>
      </c>
      <c r="I813" s="138">
        <f t="array" ref="I813">IF($A813="","",
  IF(
    OR(
      AND($A813&gt;=4,$A813&lt;=8),
      AND($A813&gt;=12,$A813&lt;=19),
      AND($A813&gt;=28,$A813&lt;=29)
    ),
    IFERROR(
      INDEX('Daily Sales'!$C:$AG,
        $A813,
        MATCH(TEXT($B813,"0"),TEXT('Daily Sales'!$C$2:$AG$2,"0"),0)
      ),
    ""),
  "")
)</f>
        <v>600000</v>
      </c>
      <c r="J813" s="79" t="e">
        <f t="shared" si="15"/>
        <v>#VALUE!</v>
      </c>
      <c r="K813" s="141"/>
      <c r="L813" s="141"/>
      <c r="M813" s="141"/>
      <c r="N813" s="133"/>
      <c r="O813" s="4"/>
      <c r="P813" s="4"/>
      <c r="Q813" s="4"/>
      <c r="R813" s="109"/>
      <c r="S813" s="109"/>
      <c r="T813" s="108"/>
      <c r="U813" s="110"/>
      <c r="V813" s="110"/>
      <c r="W813" s="110"/>
      <c r="X813" s="110"/>
    </row>
    <row r="814" spans="1:24" ht="13.5" customHeight="1">
      <c r="A814" s="110">
        <f>IF(E814="","",MATCH(E814,'Daily Sales'!B$4:B$51,0)+3)</f>
        <v>15</v>
      </c>
      <c r="B814" s="135">
        <v>46199</v>
      </c>
      <c r="C814" s="136" t="s">
        <v>116</v>
      </c>
      <c r="D814" s="137" t="str">
        <f t="array" ref="D814">IF($A814="","",INDEX('Daily Sales'!A:A,$A814))</f>
        <v>4-2300</v>
      </c>
      <c r="E814" s="138" t="s">
        <v>20</v>
      </c>
      <c r="F814" s="139" t="str">
        <f t="shared" si="17"/>
        <v>Sales Shisa CLUB</v>
      </c>
      <c r="G814" s="140"/>
      <c r="H814" s="138" t="str">
        <f t="array" ref="H814">IF($A814="","",
  IF(
    OR(
      $A814=23,
      AND($A814&gt;=32,$A814&lt;=50)
    ),
    IFERROR(
      INDEX('Daily Sales'!$C:$AG,
        $A814,
        MATCH(TEXT($B814,"0"),TEXT('Daily Sales'!$C$2:$AG$2,"0"),0)
      ),
    ""),
  "")
)</f>
        <v/>
      </c>
      <c r="I814" s="138">
        <f t="array" ref="I814">IF($A814="","",
  IF(
    OR(
      AND($A814&gt;=4,$A814&lt;=8),
      AND($A814&gt;=12,$A814&lt;=19),
      AND($A814&gt;=28,$A814&lt;=29)
    ),
    IFERROR(
      INDEX('Daily Sales'!$C:$AG,
        $A814,
        MATCH(TEXT($B814,"0"),TEXT('Daily Sales'!$C$2:$AG$2,"0"),0)
      ),
    ""),
  "")
)</f>
        <v>250000</v>
      </c>
      <c r="J814" s="79" t="e">
        <f t="shared" si="15"/>
        <v>#VALUE!</v>
      </c>
      <c r="K814" s="141"/>
      <c r="L814" s="141"/>
      <c r="M814" s="141"/>
      <c r="N814" s="133"/>
      <c r="O814" s="4"/>
      <c r="P814" s="4"/>
      <c r="Q814" s="4"/>
      <c r="R814" s="109"/>
      <c r="S814" s="109"/>
      <c r="T814" s="108"/>
      <c r="U814" s="110"/>
      <c r="V814" s="110"/>
      <c r="W814" s="110"/>
      <c r="X814" s="110"/>
    </row>
    <row r="815" spans="1:24" ht="13.5" customHeight="1">
      <c r="A815" s="110">
        <f>IF(E815="","",MATCH(E815,'Daily Sales'!B$4:B$51,0)+3)</f>
        <v>17</v>
      </c>
      <c r="B815" s="135">
        <v>46199</v>
      </c>
      <c r="C815" s="136" t="s">
        <v>116</v>
      </c>
      <c r="D815" s="137" t="str">
        <f t="array" ref="D815">IF($A815="","",INDEX('Daily Sales'!A:A,$A815))</f>
        <v>4-2601</v>
      </c>
      <c r="E815" s="138" t="s">
        <v>23</v>
      </c>
      <c r="F815" s="139" t="str">
        <f t="shared" si="17"/>
        <v xml:space="preserve">Misc </v>
      </c>
      <c r="G815" s="140"/>
      <c r="H815" s="138" t="str">
        <f t="array" ref="H815">IF($A815="","",
  IF(
    OR(
      $A815=23,
      AND($A815&gt;=32,$A815&lt;=50)
    ),
    IFERROR(
      INDEX('Daily Sales'!$C:$AG,
        $A815,
        MATCH(TEXT($B815,"0"),TEXT('Daily Sales'!$C$2:$AG$2,"0"),0)
      ),
    ""),
  "")
)</f>
        <v/>
      </c>
      <c r="I815" s="138">
        <f t="array" ref="I815">IF($A815="","",
  IF(
    OR(
      AND($A815&gt;=4,$A815&lt;=8),
      AND($A815&gt;=12,$A815&lt;=19),
      AND($A815&gt;=28,$A815&lt;=29)
    ),
    IFERROR(
      INDEX('Daily Sales'!$C:$AG,
        $A815,
        MATCH(TEXT($B815,"0"),TEXT('Daily Sales'!$C$2:$AG$2,"0"),0)
      ),
    ""),
  "")
)</f>
        <v>0</v>
      </c>
      <c r="J815" s="79" t="e">
        <f t="shared" si="15"/>
        <v>#VALUE!</v>
      </c>
      <c r="K815" s="141"/>
      <c r="L815" s="141"/>
      <c r="M815" s="141"/>
      <c r="N815" s="133"/>
      <c r="O815" s="4"/>
      <c r="P815" s="4"/>
      <c r="Q815" s="4"/>
      <c r="R815" s="109"/>
      <c r="S815" s="109"/>
      <c r="T815" s="108"/>
      <c r="U815" s="110"/>
      <c r="V815" s="110"/>
      <c r="W815" s="110"/>
      <c r="X815" s="110"/>
    </row>
    <row r="816" spans="1:24" ht="13.5" customHeight="1">
      <c r="A816" s="110">
        <f>IF(E816="","",MATCH(E816,'Daily Sales'!B$4:B$51,0)+3)</f>
        <v>19</v>
      </c>
      <c r="B816" s="135">
        <v>46199</v>
      </c>
      <c r="C816" s="136" t="s">
        <v>116</v>
      </c>
      <c r="D816" s="137" t="str">
        <f t="array" ref="D816">IF($A816="","",INDEX('Daily Sales'!A:A,$A816))</f>
        <v>4-2500</v>
      </c>
      <c r="E816" s="138" t="s">
        <v>26</v>
      </c>
      <c r="F816" s="139" t="str">
        <f t="shared" si="17"/>
        <v>Sales Ticket</v>
      </c>
      <c r="G816" s="140"/>
      <c r="H816" s="138" t="str">
        <f t="array" ref="H816">IF($A816="","",
  IF(
    OR(
      $A816=23,
      AND($A816&gt;=32,$A816&lt;=50)
    ),
    IFERROR(
      INDEX('Daily Sales'!$C:$AG,
        $A816,
        MATCH(TEXT($B816,"0"),TEXT('Daily Sales'!$C$2:$AG$2,"0"),0)
      ),
    ""),
  "")
)</f>
        <v/>
      </c>
      <c r="I816" s="138">
        <f t="array" ref="I816">IF($A816="","",
  IF(
    OR(
      AND($A816&gt;=4,$A816&lt;=8),
      AND($A816&gt;=12,$A816&lt;=19),
      AND($A816&gt;=28,$A816&lt;=29)
    ),
    IFERROR(
      INDEX('Daily Sales'!$C:$AG,
        $A816,
        MATCH(TEXT($B816,"0"),TEXT('Daily Sales'!$C$2:$AG$2,"0"),0)
      ),
    ""),
  "")
)</f>
        <v>28616043</v>
      </c>
      <c r="J816" s="79" t="e">
        <f t="shared" si="15"/>
        <v>#VALUE!</v>
      </c>
      <c r="K816" s="141"/>
      <c r="L816" s="141"/>
      <c r="M816" s="141"/>
      <c r="N816" s="133"/>
      <c r="O816" s="4"/>
      <c r="P816" s="4"/>
      <c r="Q816" s="4"/>
      <c r="R816" s="109"/>
      <c r="S816" s="109"/>
      <c r="T816" s="108"/>
      <c r="U816" s="110"/>
      <c r="V816" s="110"/>
      <c r="W816" s="110"/>
      <c r="X816" s="110"/>
    </row>
    <row r="817" spans="1:24" ht="13.5" customHeight="1">
      <c r="A817" s="110">
        <f>IF(E817="","",MATCH(E817,'Daily Sales'!B$4:B$51,0)+3)</f>
        <v>28</v>
      </c>
      <c r="B817" s="135">
        <v>46199</v>
      </c>
      <c r="C817" s="136" t="s">
        <v>116</v>
      </c>
      <c r="D817" s="137" t="str">
        <f t="array" ref="D817">IF($A817="","",INDEX('Daily Sales'!A:A,$A817))</f>
        <v>2-2106</v>
      </c>
      <c r="E817" s="138" t="s">
        <v>35</v>
      </c>
      <c r="F817" s="139" t="str">
        <f t="shared" si="17"/>
        <v>Service Charges 7%</v>
      </c>
      <c r="G817" s="140"/>
      <c r="H817" s="138" t="str">
        <f t="array" ref="H817">IF($A817="","",
  IF(
    OR(
      $A817=23,
      AND($A817&gt;=32,$A817&lt;=50)
    ),
    IFERROR(
      INDEX('Daily Sales'!$C:$AG,
        $A817,
        MATCH(TEXT($B817,"0"),TEXT('Daily Sales'!$C$2:$AG$2,"0"),0)
      ),
    ""),
  "")
)</f>
        <v/>
      </c>
      <c r="I817" s="138">
        <f t="array" ref="I817">IF($A817="","",
  IF(
    OR(
      AND($A817&gt;=4,$A817&lt;=8),
      AND($A817&gt;=12,$A817&lt;=19),
      AND($A817&gt;=28,$A817&lt;=29)
    ),
    IFERROR(
      INDEX('Daily Sales'!$C:$AG,
        $A817,
        MATCH(TEXT($B817,"0"),TEXT('Daily Sales'!$C$2:$AG$2,"0"),0)
      ),
    ""),
  "")
)</f>
        <v>7186098.0100000007</v>
      </c>
      <c r="J817" s="79" t="e">
        <f t="shared" si="15"/>
        <v>#VALUE!</v>
      </c>
      <c r="K817" s="141"/>
      <c r="L817" s="141"/>
      <c r="M817" s="141"/>
      <c r="N817" s="133"/>
      <c r="O817" s="4"/>
      <c r="P817" s="4"/>
      <c r="Q817" s="4"/>
      <c r="R817" s="109"/>
      <c r="S817" s="109"/>
      <c r="T817" s="108"/>
      <c r="U817" s="110"/>
      <c r="V817" s="110"/>
      <c r="W817" s="110"/>
      <c r="X817" s="110"/>
    </row>
    <row r="818" spans="1:24" ht="13.5" customHeight="1">
      <c r="A818" s="110">
        <f>IF(E818="","",MATCH(E818,'Daily Sales'!B$4:B$51,0)+3)</f>
        <v>29</v>
      </c>
      <c r="B818" s="135">
        <v>46199</v>
      </c>
      <c r="C818" s="136" t="s">
        <v>116</v>
      </c>
      <c r="D818" s="137" t="str">
        <f t="array" ref="D818">IF($A818="","",INDEX('Daily Sales'!A:A,$A818))</f>
        <v>2-3101</v>
      </c>
      <c r="E818" s="138" t="s">
        <v>37</v>
      </c>
      <c r="F818" s="139" t="str">
        <f t="shared" si="17"/>
        <v>Tax PB1 10%</v>
      </c>
      <c r="G818" s="140"/>
      <c r="H818" s="138" t="str">
        <f t="array" ref="H818">IF($A818="","",
  IF(
    OR(
      $A818=23,
      AND($A818&gt;=32,$A818&lt;=50)
    ),
    IFERROR(
      INDEX('Daily Sales'!$C:$AG,
        $A818,
        MATCH(TEXT($B818,"0"),TEXT('Daily Sales'!$C$2:$AG$2,"0"),0)
      ),
    ""),
  "")
)</f>
        <v/>
      </c>
      <c r="I818" s="138">
        <f t="array" ref="I818">IF($A818="","",
  IF(
    OR(
      AND($A818&gt;=4,$A818&lt;=8),
      AND($A818&gt;=12,$A818&lt;=19),
      AND($A818&gt;=28,$A818&lt;=29)
    ),
    IFERROR(
      INDEX('Daily Sales'!$C:$AG,
        $A818,
        MATCH(TEXT($B818,"0"),TEXT('Daily Sales'!$C$2:$AG$2,"0"),0)
      ),
    ""),
  "")
)</f>
        <v>10984464.101000002</v>
      </c>
      <c r="J818" s="79" t="e">
        <f t="shared" si="15"/>
        <v>#VALUE!</v>
      </c>
      <c r="K818" s="141"/>
      <c r="L818" s="141"/>
      <c r="M818" s="141"/>
      <c r="N818" s="133"/>
      <c r="O818" s="4"/>
      <c r="P818" s="4"/>
      <c r="Q818" s="4"/>
      <c r="R818" s="109"/>
      <c r="S818" s="109"/>
      <c r="T818" s="108"/>
      <c r="U818" s="110"/>
      <c r="V818" s="110"/>
      <c r="W818" s="110"/>
      <c r="X818" s="110"/>
    </row>
    <row r="819" spans="1:24" ht="13.5" customHeight="1">
      <c r="A819" s="110">
        <f>IF(E819="","",MATCH(E819,'Daily Sales'!B$4:B$51,0)+3)</f>
        <v>23</v>
      </c>
      <c r="B819" s="135">
        <v>46199</v>
      </c>
      <c r="C819" s="136" t="s">
        <v>116</v>
      </c>
      <c r="D819" s="137" t="str">
        <f t="array" ref="D819">IF($A819="","",INDEX('Daily Sales'!A:A,$A819))</f>
        <v>4-5110</v>
      </c>
      <c r="E819" s="138" t="s">
        <v>30</v>
      </c>
      <c r="F819" s="139" t="str">
        <f t="shared" si="17"/>
        <v>Discount</v>
      </c>
      <c r="G819" s="140"/>
      <c r="H819" s="138">
        <f t="array" ref="H819">IF($A819="","",
  IF(
    OR(
      $A819=23,
      AND($A819&gt;=32,$A819&lt;=50)
    ),
    IFERROR(
      INDEX('Daily Sales'!$C:$AG,
        $A819,
        MATCH(TEXT($B819,"0"),TEXT('Daily Sales'!$C$2:$AG$2,"0"),0)
      ),
    ""),
  "")
)</f>
        <v>880000</v>
      </c>
      <c r="I819" s="138" t="str">
        <f t="array" ref="I819">IF($A819="","",
  IF(
    OR(
      AND($A819&gt;=4,$A819&lt;=8),
      AND($A819&gt;=12,$A819&lt;=19),
      AND($A819&gt;=28,$A819&lt;=29)
    ),
    IFERROR(
      INDEX('Daily Sales'!$C:$AG,
        $A819,
        MATCH(TEXT($B819,"0"),TEXT('Daily Sales'!$C$2:$AG$2,"0"),0)
      ),
    ""),
  "")
)</f>
        <v/>
      </c>
      <c r="J819" s="79" t="e">
        <f t="shared" si="15"/>
        <v>#VALUE!</v>
      </c>
      <c r="K819" s="141"/>
      <c r="L819" s="141"/>
      <c r="M819" s="141"/>
      <c r="N819" s="133"/>
      <c r="O819" s="4"/>
      <c r="P819" s="4"/>
      <c r="Q819" s="4"/>
      <c r="R819" s="109"/>
      <c r="S819" s="109"/>
      <c r="T819" s="108"/>
      <c r="U819" s="110"/>
      <c r="V819" s="110"/>
      <c r="W819" s="110"/>
      <c r="X819" s="110"/>
    </row>
    <row r="820" spans="1:24" ht="13.5" customHeight="1">
      <c r="A820" s="110">
        <f>IF(E820="","",MATCH(E820,'Daily Sales'!B$4:B$51,0)+3)</f>
        <v>32</v>
      </c>
      <c r="B820" s="135">
        <v>46199</v>
      </c>
      <c r="C820" s="136" t="s">
        <v>116</v>
      </c>
      <c r="D820" s="137" t="str">
        <f t="array" ref="D820">IF($A820="","",INDEX('Daily Sales'!A:A,$A820))</f>
        <v>1-1119</v>
      </c>
      <c r="E820" s="138" t="s">
        <v>40</v>
      </c>
      <c r="F820" s="139" t="str">
        <f t="shared" si="17"/>
        <v>Cash IDR</v>
      </c>
      <c r="G820" s="140"/>
      <c r="H820" s="138">
        <f t="array" ref="H820">IF($A820="","",
  IF(
    OR(
      $A820=23,
      AND($A820&gt;=32,$A820&lt;=50)
    ),
    IFERROR(
      INDEX('Daily Sales'!$C:$AG,
        $A820,
        MATCH(TEXT($B820,"0"),TEXT('Daily Sales'!$C$2:$AG$2,"0"),0)
      ),
    ""),
  "")
)</f>
        <v>16391851</v>
      </c>
      <c r="I820" s="138" t="str">
        <f t="array" ref="I820">IF($A820="","",
  IF(
    OR(
      AND($A820&gt;=4,$A820&lt;=8),
      AND($A820&gt;=12,$A820&lt;=19),
      AND($A820&gt;=28,$A820&lt;=29)
    ),
    IFERROR(
      INDEX('Daily Sales'!$C:$AG,
        $A820,
        MATCH(TEXT($B820,"0"),TEXT('Daily Sales'!$C$2:$AG$2,"0"),0)
      ),
    ""),
  "")
)</f>
        <v/>
      </c>
      <c r="J820" s="79" t="e">
        <f t="shared" si="15"/>
        <v>#VALUE!</v>
      </c>
      <c r="K820" s="141"/>
      <c r="L820" s="141"/>
      <c r="M820" s="141"/>
      <c r="N820" s="133"/>
      <c r="O820" s="4"/>
      <c r="P820" s="4"/>
      <c r="Q820" s="4"/>
      <c r="R820" s="109"/>
      <c r="S820" s="109"/>
      <c r="T820" s="108"/>
      <c r="U820" s="110"/>
      <c r="V820" s="110"/>
      <c r="W820" s="110"/>
      <c r="X820" s="110"/>
    </row>
    <row r="821" spans="1:24" ht="13.5" customHeight="1">
      <c r="A821" s="110">
        <f>IF(E821="","",MATCH(E821,'Daily Sales'!B$4:B$51,0)+3)</f>
        <v>33</v>
      </c>
      <c r="B821" s="135">
        <v>46199</v>
      </c>
      <c r="C821" s="136" t="s">
        <v>116</v>
      </c>
      <c r="D821" s="137" t="str">
        <f t="array" ref="D821">IF($A821="","",INDEX('Daily Sales'!A:A,$A821))</f>
        <v>1-1217</v>
      </c>
      <c r="E821" s="138" t="s">
        <v>43</v>
      </c>
      <c r="F821" s="139" t="str">
        <f t="shared" si="17"/>
        <v>Bank transfer</v>
      </c>
      <c r="G821" s="140"/>
      <c r="H821" s="138">
        <f t="array" ref="H821">IF($A821="","",
  IF(
    OR(
      $A821=23,
      AND($A821&gt;=32,$A821&lt;=50)
    ),
    IFERROR(
      INDEX('Daily Sales'!$C:$AG,
        $A821,
        MATCH(TEXT($B821,"0"),TEXT('Daily Sales'!$C$2:$AG$2,"0"),0)
      ),
    ""),
  "")
)</f>
        <v>2967390</v>
      </c>
      <c r="I821" s="138" t="str">
        <f t="array" ref="I821">IF($A821="","",
  IF(
    OR(
      AND($A821&gt;=4,$A821&lt;=8),
      AND($A821&gt;=12,$A821&lt;=19),
      AND($A821&gt;=28,$A821&lt;=29)
    ),
    IFERROR(
      INDEX('Daily Sales'!$C:$AG,
        $A821,
        MATCH(TEXT($B821,"0"),TEXT('Daily Sales'!$C$2:$AG$2,"0"),0)
      ),
    ""),
  "")
)</f>
        <v/>
      </c>
      <c r="J821" s="79" t="e">
        <f t="shared" si="15"/>
        <v>#VALUE!</v>
      </c>
      <c r="K821" s="141"/>
      <c r="L821" s="141"/>
      <c r="M821" s="141"/>
      <c r="N821" s="133"/>
      <c r="O821" s="4"/>
      <c r="P821" s="4"/>
      <c r="Q821" s="4"/>
      <c r="R821" s="109"/>
      <c r="S821" s="109"/>
      <c r="T821" s="108"/>
      <c r="U821" s="110"/>
      <c r="V821" s="110"/>
      <c r="W821" s="110"/>
      <c r="X821" s="110"/>
    </row>
    <row r="822" spans="1:24" ht="13.5" customHeight="1">
      <c r="A822" s="110">
        <f>IF(E822="","",MATCH(E822,'Daily Sales'!B$4:B$51,0)+3)</f>
        <v>35</v>
      </c>
      <c r="B822" s="135">
        <v>46199</v>
      </c>
      <c r="C822" s="136" t="s">
        <v>116</v>
      </c>
      <c r="D822" s="137" t="str">
        <f t="array" ref="D822">IF($A822="","",INDEX('Daily Sales'!A:A,$A822))</f>
        <v>1-1216</v>
      </c>
      <c r="E822" s="138" t="s">
        <v>46</v>
      </c>
      <c r="F822" s="139" t="str">
        <f t="shared" si="17"/>
        <v>Cim Niaga TBB</v>
      </c>
      <c r="G822" s="140"/>
      <c r="H822" s="138">
        <f t="array" ref="H822">IF($A822="","",
  IF(
    OR(
      $A822=23,
      AND($A822&gt;=32,$A822&lt;=50)
    ),
    IFERROR(
      INDEX('Daily Sales'!$C:$AG,
        $A822,
        MATCH(TEXT($B822,"0"),TEXT('Daily Sales'!$C$2:$AG$2,"0"),0)
      ),
    ""),
  "")
)</f>
        <v>4265320</v>
      </c>
      <c r="I822" s="138" t="str">
        <f t="array" ref="I822">IF($A822="","",
  IF(
    OR(
      AND($A822&gt;=4,$A822&lt;=8),
      AND($A822&gt;=12,$A822&lt;=19),
      AND($A822&gt;=28,$A822&lt;=29)
    ),
    IFERROR(
      INDEX('Daily Sales'!$C:$AG,
        $A822,
        MATCH(TEXT($B822,"0"),TEXT('Daily Sales'!$C$2:$AG$2,"0"),0)
      ),
    ""),
  "")
)</f>
        <v/>
      </c>
      <c r="J822" s="79" t="e">
        <f t="shared" si="15"/>
        <v>#VALUE!</v>
      </c>
      <c r="K822" s="141"/>
      <c r="L822" s="141"/>
      <c r="M822" s="141"/>
      <c r="N822" s="133"/>
      <c r="O822" s="4"/>
      <c r="P822" s="4"/>
      <c r="Q822" s="4"/>
      <c r="R822" s="109"/>
      <c r="S822" s="109"/>
      <c r="T822" s="108"/>
      <c r="U822" s="110"/>
      <c r="V822" s="110"/>
      <c r="W822" s="110"/>
      <c r="X822" s="110"/>
    </row>
    <row r="823" spans="1:24" ht="13.5" customHeight="1">
      <c r="A823" s="110">
        <f>IF(E823="","",MATCH(E823,'Daily Sales'!B$4:B$51,0)+3)</f>
        <v>36</v>
      </c>
      <c r="B823" s="135">
        <v>46199</v>
      </c>
      <c r="C823" s="136" t="s">
        <v>116</v>
      </c>
      <c r="D823" s="137" t="str">
        <f t="array" ref="D823">IF($A823="","",INDEX('Daily Sales'!A:A,$A823))</f>
        <v>1-1213</v>
      </c>
      <c r="E823" s="138" t="s">
        <v>49</v>
      </c>
      <c r="F823" s="139" t="str">
        <f t="shared" si="17"/>
        <v>Mandiri Debet</v>
      </c>
      <c r="G823" s="140"/>
      <c r="H823" s="138">
        <f t="array" ref="H823">IF($A823="","",
  IF(
    OR(
      $A823=23,
      AND($A823&gt;=32,$A823&lt;=50)
    ),
    IFERROR(
      INDEX('Daily Sales'!$C:$AG,
        $A823,
        MATCH(TEXT($B823,"0"),TEXT('Daily Sales'!$C$2:$AG$2,"0"),0)
      ),
    ""),
  "")
)</f>
        <v>7992220</v>
      </c>
      <c r="I823" s="138" t="str">
        <f t="array" ref="I823">IF($A823="","",
  IF(
    OR(
      AND($A823&gt;=4,$A823&lt;=8),
      AND($A823&gt;=12,$A823&lt;=19),
      AND($A823&gt;=28,$A823&lt;=29)
    ),
    IFERROR(
      INDEX('Daily Sales'!$C:$AG,
        $A823,
        MATCH(TEXT($B823,"0"),TEXT('Daily Sales'!$C$2:$AG$2,"0"),0)
      ),
    ""),
  "")
)</f>
        <v/>
      </c>
      <c r="J823" s="79" t="e">
        <f t="shared" si="15"/>
        <v>#VALUE!</v>
      </c>
      <c r="K823" s="141"/>
      <c r="L823" s="141"/>
      <c r="M823" s="141"/>
      <c r="N823" s="133"/>
      <c r="O823" s="4"/>
      <c r="P823" s="4"/>
      <c r="Q823" s="4"/>
      <c r="R823" s="109"/>
      <c r="S823" s="109"/>
      <c r="T823" s="108"/>
      <c r="U823" s="110"/>
      <c r="V823" s="110"/>
      <c r="W823" s="110"/>
      <c r="X823" s="110"/>
    </row>
    <row r="824" spans="1:24" ht="13.5" customHeight="1">
      <c r="A824" s="110">
        <f>IF(E824="","",MATCH(E824,'Daily Sales'!B$4:B$51,0)+3)</f>
        <v>37</v>
      </c>
      <c r="B824" s="135">
        <v>46199</v>
      </c>
      <c r="C824" s="136" t="s">
        <v>116</v>
      </c>
      <c r="D824" s="137" t="str">
        <f t="array" ref="D824">IF($A824="","",INDEX('Daily Sales'!A:A,$A824))</f>
        <v>1-1213</v>
      </c>
      <c r="E824" s="138" t="s">
        <v>50</v>
      </c>
      <c r="F824" s="139" t="str">
        <f t="shared" si="17"/>
        <v>Mandiri CC</v>
      </c>
      <c r="G824" s="140"/>
      <c r="H824" s="138">
        <f t="array" ref="H824">IF($A824="","",
  IF(
    OR(
      $A824=23,
      AND($A824&gt;=32,$A824&lt;=50)
    ),
    IFERROR(
      INDEX('Daily Sales'!$C:$AG,
        $A824,
        MATCH(TEXT($B824,"0"),TEXT('Daily Sales'!$C$2:$AG$2,"0"),0)
      ),
    ""),
  "")
)</f>
        <v>47648231</v>
      </c>
      <c r="I824" s="138" t="str">
        <f t="array" ref="I824">IF($A824="","",
  IF(
    OR(
      AND($A824&gt;=4,$A824&lt;=8),
      AND($A824&gt;=12,$A824&lt;=19),
      AND($A824&gt;=28,$A824&lt;=29)
    ),
    IFERROR(
      INDEX('Daily Sales'!$C:$AG,
        $A824,
        MATCH(TEXT($B824,"0"),TEXT('Daily Sales'!$C$2:$AG$2,"0"),0)
      ),
    ""),
  "")
)</f>
        <v/>
      </c>
      <c r="J824" s="79" t="e">
        <f t="shared" si="15"/>
        <v>#VALUE!</v>
      </c>
      <c r="K824" s="141"/>
      <c r="L824" s="141"/>
      <c r="M824" s="141"/>
      <c r="N824" s="133"/>
      <c r="O824" s="4"/>
      <c r="P824" s="4"/>
      <c r="Q824" s="4"/>
      <c r="R824" s="109"/>
      <c r="S824" s="109"/>
      <c r="T824" s="108"/>
      <c r="U824" s="110"/>
      <c r="V824" s="110"/>
      <c r="W824" s="110"/>
      <c r="X824" s="110"/>
    </row>
    <row r="825" spans="1:24" ht="13.5" customHeight="1">
      <c r="A825" s="110">
        <f>IF(E825="","",MATCH(E825,'Daily Sales'!B$4:B$51,0)+3)</f>
        <v>38</v>
      </c>
      <c r="B825" s="135">
        <v>46199</v>
      </c>
      <c r="C825" s="136" t="s">
        <v>116</v>
      </c>
      <c r="D825" s="137" t="str">
        <f t="array" ref="D825">IF($A825="","",INDEX('Daily Sales'!A:A,$A825))</f>
        <v>1-1213</v>
      </c>
      <c r="E825" s="138" t="s">
        <v>51</v>
      </c>
      <c r="F825" s="139" t="str">
        <f t="shared" si="17"/>
        <v>Mandiri NPG</v>
      </c>
      <c r="G825" s="140"/>
      <c r="H825" s="138">
        <f t="array" ref="H825">IF($A825="","",
  IF(
    OR(
      $A825=23,
      AND($A825&gt;=32,$A825&lt;=50)
    ),
    IFERROR(
      INDEX('Daily Sales'!$C:$AG,
        $A825,
        MATCH(TEXT($B825,"0"),TEXT('Daily Sales'!$C$2:$AG$2,"0"),0)
      ),
    ""),
  "")
)</f>
        <v>6993985</v>
      </c>
      <c r="I825" s="138" t="str">
        <f t="array" ref="I825">IF($A825="","",
  IF(
    OR(
      AND($A825&gt;=4,$A825&lt;=8),
      AND($A825&gt;=12,$A825&lt;=19),
      AND($A825&gt;=28,$A825&lt;=29)
    ),
    IFERROR(
      INDEX('Daily Sales'!$C:$AG,
        $A825,
        MATCH(TEXT($B825,"0"),TEXT('Daily Sales'!$C$2:$AG$2,"0"),0)
      ),
    ""),
  "")
)</f>
        <v/>
      </c>
      <c r="J825" s="79" t="e">
        <f t="shared" si="15"/>
        <v>#VALUE!</v>
      </c>
      <c r="K825" s="141"/>
      <c r="L825" s="141"/>
      <c r="M825" s="141"/>
      <c r="N825" s="133"/>
      <c r="O825" s="4"/>
      <c r="P825" s="4"/>
      <c r="Q825" s="4"/>
      <c r="R825" s="109"/>
      <c r="S825" s="109"/>
      <c r="T825" s="108"/>
      <c r="U825" s="110"/>
      <c r="V825" s="110"/>
      <c r="W825" s="110"/>
      <c r="X825" s="110"/>
    </row>
    <row r="826" spans="1:24" ht="13.5" customHeight="1">
      <c r="A826" s="110">
        <f>IF(E826="","",MATCH(E826,'Daily Sales'!B$4:B$51,0)+3)</f>
        <v>39</v>
      </c>
      <c r="B826" s="135">
        <v>46199</v>
      </c>
      <c r="C826" s="136" t="s">
        <v>116</v>
      </c>
      <c r="D826" s="137" t="str">
        <f t="array" ref="D826">IF($A826="","",INDEX('Daily Sales'!A:A,$A826))</f>
        <v>1-1213</v>
      </c>
      <c r="E826" s="138" t="s">
        <v>52</v>
      </c>
      <c r="F826" s="139" t="str">
        <f t="shared" si="17"/>
        <v>Mandiri QR</v>
      </c>
      <c r="G826" s="140"/>
      <c r="H826" s="138">
        <f t="array" ref="H826">IF($A826="","",
  IF(
    OR(
      $A826=23,
      AND($A826&gt;=32,$A826&lt;=50)
    ),
    IFERROR(
      INDEX('Daily Sales'!$C:$AG,
        $A826,
        MATCH(TEXT($B826,"0"),TEXT('Daily Sales'!$C$2:$AG$2,"0"),0)
      ),
    ""),
  "")
)</f>
        <v>20505918</v>
      </c>
      <c r="I826" s="138" t="str">
        <f t="array" ref="I826">IF($A826="","",
  IF(
    OR(
      AND($A826&gt;=4,$A826&lt;=8),
      AND($A826&gt;=12,$A826&lt;=19),
      AND($A826&gt;=28,$A826&lt;=29)
    ),
    IFERROR(
      INDEX('Daily Sales'!$C:$AG,
        $A826,
        MATCH(TEXT($B826,"0"),TEXT('Daily Sales'!$C$2:$AG$2,"0"),0)
      ),
    ""),
  "")
)</f>
        <v/>
      </c>
      <c r="J826" s="79" t="e">
        <f t="shared" si="15"/>
        <v>#VALUE!</v>
      </c>
      <c r="K826" s="141"/>
      <c r="L826" s="141"/>
      <c r="M826" s="141"/>
      <c r="N826" s="133"/>
      <c r="O826" s="4"/>
      <c r="P826" s="4"/>
      <c r="Q826" s="4"/>
      <c r="R826" s="109"/>
      <c r="S826" s="109"/>
      <c r="T826" s="108"/>
      <c r="U826" s="110"/>
      <c r="V826" s="110"/>
      <c r="W826" s="110"/>
      <c r="X826" s="110"/>
    </row>
    <row r="827" spans="1:24" ht="13.5" customHeight="1">
      <c r="A827" s="110">
        <f>IF(E827="","",MATCH(E827,'Daily Sales'!B$4:B$51,0)+3)</f>
        <v>40</v>
      </c>
      <c r="B827" s="135">
        <v>46199</v>
      </c>
      <c r="C827" s="136" t="s">
        <v>116</v>
      </c>
      <c r="D827" s="137" t="str">
        <f t="array" ref="D827">IF($A827="","",INDEX('Daily Sales'!A:A,$A827))</f>
        <v>1-1217</v>
      </c>
      <c r="E827" s="138" t="s">
        <v>54</v>
      </c>
      <c r="F827" s="139" t="str">
        <f t="shared" si="17"/>
        <v>BCA CC</v>
      </c>
      <c r="G827" s="140"/>
      <c r="H827" s="138">
        <f t="array" ref="H827">IF($A827="","",
  IF(
    OR(
      $A827=23,
      AND($A827&gt;=32,$A827&lt;=50)
    ),
    IFERROR(
      INDEX('Daily Sales'!$C:$AG,
        $A827,
        MATCH(TEXT($B827,"0"),TEXT('Daily Sales'!$C$2:$AG$2,"0"),0)
      ),
    ""),
  "")
)</f>
        <v>4849090</v>
      </c>
      <c r="I827" s="138" t="str">
        <f t="array" ref="I827">IF($A827="","",
  IF(
    OR(
      AND($A827&gt;=4,$A827&lt;=8),
      AND($A827&gt;=12,$A827&lt;=19),
      AND($A827&gt;=28,$A827&lt;=29)
    ),
    IFERROR(
      INDEX('Daily Sales'!$C:$AG,
        $A827,
        MATCH(TEXT($B827,"0"),TEXT('Daily Sales'!$C$2:$AG$2,"0"),0)
      ),
    ""),
  "")
)</f>
        <v/>
      </c>
      <c r="J827" s="79" t="e">
        <f t="shared" si="15"/>
        <v>#VALUE!</v>
      </c>
      <c r="K827" s="141"/>
      <c r="L827" s="141"/>
      <c r="M827" s="141"/>
      <c r="N827" s="133"/>
      <c r="O827" s="4"/>
      <c r="P827" s="4"/>
      <c r="Q827" s="4"/>
      <c r="R827" s="109"/>
      <c r="S827" s="109"/>
      <c r="T827" s="108"/>
      <c r="U827" s="110"/>
      <c r="V827" s="110"/>
      <c r="W827" s="110"/>
      <c r="X827" s="110"/>
    </row>
    <row r="828" spans="1:24" ht="13.5" customHeight="1">
      <c r="A828" s="110">
        <f>IF(E828="","",MATCH(E828,'Daily Sales'!B$4:B$51,0)+3)</f>
        <v>41</v>
      </c>
      <c r="B828" s="135">
        <v>46199</v>
      </c>
      <c r="C828" s="136" t="s">
        <v>116</v>
      </c>
      <c r="D828" s="137" t="str">
        <f t="array" ref="D828">IF($A828="","",INDEX('Daily Sales'!A:A,$A828))</f>
        <v>1-1217</v>
      </c>
      <c r="E828" s="138" t="s">
        <v>55</v>
      </c>
      <c r="F828" s="139" t="str">
        <f t="shared" si="17"/>
        <v>BCA debt</v>
      </c>
      <c r="G828" s="140"/>
      <c r="H828" s="138">
        <f t="array" ref="H828">IF($A828="","",
  IF(
    OR(
      $A828=23,
      AND($A828&gt;=32,$A828&lt;=50)
    ),
    IFERROR(
      INDEX('Daily Sales'!$C:$AG,
        $A828,
        MATCH(TEXT($B828,"0"),TEXT('Daily Sales'!$C$2:$AG$2,"0"),0)
      ),
    ""),
  "")
)</f>
        <v>541420</v>
      </c>
      <c r="I828" s="138" t="str">
        <f t="array" ref="I828">IF($A828="","",
  IF(
    OR(
      AND($A828&gt;=4,$A828&lt;=8),
      AND($A828&gt;=12,$A828&lt;=19),
      AND($A828&gt;=28,$A828&lt;=29)
    ),
    IFERROR(
      INDEX('Daily Sales'!$C:$AG,
        $A828,
        MATCH(TEXT($B828,"0"),TEXT('Daily Sales'!$C$2:$AG$2,"0"),0)
      ),
    ""),
  "")
)</f>
        <v/>
      </c>
      <c r="J828" s="79" t="e">
        <f t="shared" si="15"/>
        <v>#VALUE!</v>
      </c>
      <c r="K828" s="141"/>
      <c r="L828" s="141"/>
      <c r="M828" s="141"/>
      <c r="N828" s="133"/>
      <c r="O828" s="4"/>
      <c r="P828" s="4"/>
      <c r="Q828" s="4"/>
      <c r="R828" s="109"/>
      <c r="S828" s="109"/>
      <c r="T828" s="108"/>
      <c r="U828" s="110"/>
      <c r="V828" s="110"/>
      <c r="W828" s="110"/>
      <c r="X828" s="110"/>
    </row>
    <row r="829" spans="1:24" ht="13.5" customHeight="1">
      <c r="A829" s="110">
        <f>IF(E829="","",MATCH(E829,'Daily Sales'!B$4:B$51,0)+3)</f>
        <v>42</v>
      </c>
      <c r="B829" s="135">
        <v>46199</v>
      </c>
      <c r="C829" s="136" t="s">
        <v>116</v>
      </c>
      <c r="D829" s="137" t="str">
        <f t="array" ref="D829">IF($A829="","",INDEX('Daily Sales'!A:A,$A829))</f>
        <v>1-1217</v>
      </c>
      <c r="E829" s="138" t="s">
        <v>56</v>
      </c>
      <c r="F829" s="139" t="str">
        <f t="shared" si="17"/>
        <v>BCA QR</v>
      </c>
      <c r="G829" s="140"/>
      <c r="H829" s="138">
        <f t="array" ref="H829">IF($A829="","",
  IF(
    OR(
      $A829=23,
      AND($A829&gt;=32,$A829&lt;=50)
    ),
    IFERROR(
      INDEX('Daily Sales'!$C:$AG,
        $A829,
        MATCH(TEXT($B829,"0"),TEXT('Daily Sales'!$C$2:$AG$2,"0"),0)
      ),
    ""),
  "")
)</f>
        <v>8169730</v>
      </c>
      <c r="I829" s="138" t="str">
        <f t="array" ref="I829">IF($A829="","",
  IF(
    OR(
      AND($A829&gt;=4,$A829&lt;=8),
      AND($A829&gt;=12,$A829&lt;=19),
      AND($A829&gt;=28,$A829&lt;=29)
    ),
    IFERROR(
      INDEX('Daily Sales'!$C:$AG,
        $A829,
        MATCH(TEXT($B829,"0"),TEXT('Daily Sales'!$C$2:$AG$2,"0"),0)
      ),
    ""),
  "")
)</f>
        <v/>
      </c>
      <c r="J829" s="79" t="e">
        <f t="shared" si="15"/>
        <v>#VALUE!</v>
      </c>
      <c r="K829" s="141"/>
      <c r="L829" s="141"/>
      <c r="M829" s="141"/>
      <c r="N829" s="133"/>
      <c r="O829" s="4"/>
      <c r="P829" s="4"/>
      <c r="Q829" s="4"/>
      <c r="R829" s="109"/>
      <c r="S829" s="109"/>
      <c r="T829" s="108"/>
      <c r="U829" s="110"/>
      <c r="V829" s="110"/>
      <c r="W829" s="110"/>
      <c r="X829" s="110"/>
    </row>
    <row r="830" spans="1:24" ht="13.5" customHeight="1">
      <c r="A830" s="110">
        <f>IF(E830="","",MATCH(E830,'Daily Sales'!B$4:B$51,0)+3)</f>
        <v>43</v>
      </c>
      <c r="B830" s="135">
        <v>46199</v>
      </c>
      <c r="C830" s="136" t="s">
        <v>116</v>
      </c>
      <c r="D830" s="137" t="str">
        <f t="array" ref="D830">IF($A830="","",INDEX('Daily Sales'!A:A,$A830))</f>
        <v>1-1214</v>
      </c>
      <c r="E830" s="138" t="s">
        <v>59</v>
      </c>
      <c r="F830" s="139" t="str">
        <f t="shared" si="17"/>
        <v>Bank BRI DEBET</v>
      </c>
      <c r="G830" s="140"/>
      <c r="H830" s="138">
        <f t="array" ref="H830">IF($A830="","",
  IF(
    OR(
      $A830=23,
      AND($A830&gt;=32,$A830&lt;=50)
    ),
    IFERROR(
      INDEX('Daily Sales'!$C:$AG,
        $A830,
        MATCH(TEXT($B830,"0"),TEXT('Daily Sales'!$C$2:$AG$2,"0"),0)
      ),
    ""),
  "")
)</f>
        <v>0</v>
      </c>
      <c r="I830" s="138" t="str">
        <f t="array" ref="I830">IF($A830="","",
  IF(
    OR(
      AND($A830&gt;=4,$A830&lt;=8),
      AND($A830&gt;=12,$A830&lt;=19),
      AND($A830&gt;=28,$A830&lt;=29)
    ),
    IFERROR(
      INDEX('Daily Sales'!$C:$AG,
        $A830,
        MATCH(TEXT($B830,"0"),TEXT('Daily Sales'!$C$2:$AG$2,"0"),0)
      ),
    ""),
  "")
)</f>
        <v/>
      </c>
      <c r="J830" s="79" t="e">
        <f t="shared" si="15"/>
        <v>#VALUE!</v>
      </c>
      <c r="K830" s="141"/>
      <c r="L830" s="141"/>
      <c r="M830" s="141"/>
      <c r="N830" s="133"/>
      <c r="O830" s="4"/>
      <c r="P830" s="4"/>
      <c r="Q830" s="4"/>
      <c r="R830" s="109"/>
      <c r="S830" s="109"/>
      <c r="T830" s="108"/>
      <c r="U830" s="110"/>
      <c r="V830" s="110"/>
      <c r="W830" s="110"/>
      <c r="X830" s="110"/>
    </row>
    <row r="831" spans="1:24" ht="13.5" customHeight="1">
      <c r="A831" s="110">
        <f>IF(E831="","",MATCH(E831,'Daily Sales'!B$4:B$51,0)+3)</f>
        <v>44</v>
      </c>
      <c r="B831" s="135">
        <v>46199</v>
      </c>
      <c r="C831" s="136" t="s">
        <v>116</v>
      </c>
      <c r="D831" s="137" t="str">
        <f t="array" ref="D831">IF($A831="","",INDEX('Daily Sales'!A:A,$A831))</f>
        <v>1-1214</v>
      </c>
      <c r="E831" s="138" t="s">
        <v>60</v>
      </c>
      <c r="F831" s="139" t="str">
        <f t="shared" si="17"/>
        <v>Bank BRI CC</v>
      </c>
      <c r="G831" s="140"/>
      <c r="H831" s="138">
        <f t="array" ref="H831">IF($A831="","",
  IF(
    OR(
      $A831=23,
      AND($A831&gt;=32,$A831&lt;=50)
    ),
    IFERROR(
      INDEX('Daily Sales'!$C:$AG,
        $A831,
        MATCH(TEXT($B831,"0"),TEXT('Daily Sales'!$C$2:$AG$2,"0"),0)
      ),
    ""),
  "")
)</f>
        <v>0</v>
      </c>
      <c r="I831" s="138" t="str">
        <f t="array" ref="I831">IF($A831="","",
  IF(
    OR(
      AND($A831&gt;=4,$A831&lt;=8),
      AND($A831&gt;=12,$A831&lt;=19),
      AND($A831&gt;=28,$A831&lt;=29)
    ),
    IFERROR(
      INDEX('Daily Sales'!$C:$AG,
        $A831,
        MATCH(TEXT($B831,"0"),TEXT('Daily Sales'!$C$2:$AG$2,"0"),0)
      ),
    ""),
  "")
)</f>
        <v/>
      </c>
      <c r="J831" s="79" t="e">
        <f t="shared" si="15"/>
        <v>#VALUE!</v>
      </c>
      <c r="K831" s="141"/>
      <c r="L831" s="141"/>
      <c r="M831" s="141"/>
      <c r="N831" s="133"/>
      <c r="O831" s="4"/>
      <c r="P831" s="4"/>
      <c r="Q831" s="4"/>
      <c r="R831" s="109"/>
      <c r="S831" s="109"/>
      <c r="T831" s="108"/>
      <c r="U831" s="110"/>
      <c r="V831" s="110"/>
      <c r="W831" s="110"/>
      <c r="X831" s="110"/>
    </row>
    <row r="832" spans="1:24" ht="13.5" customHeight="1">
      <c r="A832" s="110">
        <f>IF(E832="","",MATCH(E832,'Daily Sales'!B$4:B$51,0)+3)</f>
        <v>45</v>
      </c>
      <c r="B832" s="135">
        <v>46199</v>
      </c>
      <c r="C832" s="136" t="s">
        <v>116</v>
      </c>
      <c r="D832" s="137" t="str">
        <f t="array" ref="D832">IF($A832="","",INDEX('Daily Sales'!A:A,$A832))</f>
        <v>1-1214</v>
      </c>
      <c r="E832" s="138" t="s">
        <v>61</v>
      </c>
      <c r="F832" s="139" t="str">
        <f t="shared" si="17"/>
        <v>Bank BRI QR</v>
      </c>
      <c r="G832" s="140"/>
      <c r="H832" s="138">
        <f t="array" ref="H832">IF($A832="","",
  IF(
    OR(
      $A832=23,
      AND($A832&gt;=32,$A832&lt;=50)
    ),
    IFERROR(
      INDEX('Daily Sales'!$C:$AG,
        $A832,
        MATCH(TEXT($B832,"0"),TEXT('Daily Sales'!$C$2:$AG$2,"0"),0)
      ),
    ""),
  "")
)</f>
        <v>0</v>
      </c>
      <c r="I832" s="138" t="str">
        <f t="array" ref="I832">IF($A832="","",
  IF(
    OR(
      AND($A832&gt;=4,$A832&lt;=8),
      AND($A832&gt;=12,$A832&lt;=19),
      AND($A832&gt;=28,$A832&lt;=29)
    ),
    IFERROR(
      INDEX('Daily Sales'!$C:$AG,
        $A832,
        MATCH(TEXT($B832,"0"),TEXT('Daily Sales'!$C$2:$AG$2,"0"),0)
      ),
    ""),
  "")
)</f>
        <v/>
      </c>
      <c r="J832" s="79" t="e">
        <f t="shared" si="15"/>
        <v>#VALUE!</v>
      </c>
      <c r="K832" s="141"/>
      <c r="L832" s="141"/>
      <c r="M832" s="141"/>
      <c r="N832" s="133"/>
      <c r="O832" s="4"/>
      <c r="P832" s="4"/>
      <c r="Q832" s="4"/>
      <c r="R832" s="109"/>
      <c r="S832" s="109"/>
      <c r="T832" s="108"/>
      <c r="U832" s="110"/>
      <c r="V832" s="110"/>
      <c r="W832" s="110"/>
      <c r="X832" s="110"/>
    </row>
    <row r="833" spans="1:24" ht="13.5" customHeight="1">
      <c r="A833" s="110">
        <f>IF(E833="","",MATCH(E833,'Daily Sales'!B$4:B$51,0)+3)</f>
        <v>46</v>
      </c>
      <c r="B833" s="135">
        <v>46199</v>
      </c>
      <c r="C833" s="136" t="s">
        <v>116</v>
      </c>
      <c r="D833" s="137" t="str">
        <f t="array" ref="D833">IF($A833="","",INDEX('Daily Sales'!A:A,$A833))</f>
        <v>1-1202</v>
      </c>
      <c r="E833" s="138" t="s">
        <v>64</v>
      </c>
      <c r="F833" s="139" t="str">
        <f t="shared" si="17"/>
        <v>Ledger</v>
      </c>
      <c r="G833" s="140"/>
      <c r="H833" s="138">
        <f t="array" ref="H833">IF($A833="","",
  IF(
    OR(
      $A833=23,
      AND($A833&gt;=32,$A833&lt;=50)
    ),
    IFERROR(
      INDEX('Daily Sales'!$C:$AG,
        $A833,
        MATCH(TEXT($B833,"0"),TEXT('Daily Sales'!$C$2:$AG$2,"0"),0)
      ),
    ""),
  "")
)</f>
        <v>3000000</v>
      </c>
      <c r="I833" s="138" t="str">
        <f t="array" ref="I833">IF($A833="","",
  IF(
    OR(
      AND($A833&gt;=4,$A833&lt;=8),
      AND($A833&gt;=12,$A833&lt;=19),
      AND($A833&gt;=28,$A833&lt;=29)
    ),
    IFERROR(
      INDEX('Daily Sales'!$C:$AG,
        $A833,
        MATCH(TEXT($B833,"0"),TEXT('Daily Sales'!$C$2:$AG$2,"0"),0)
      ),
    ""),
  "")
)</f>
        <v/>
      </c>
      <c r="J833" s="79" t="e">
        <f t="shared" si="15"/>
        <v>#VALUE!</v>
      </c>
      <c r="K833" s="141"/>
      <c r="L833" s="141"/>
      <c r="M833" s="141"/>
      <c r="N833" s="133"/>
      <c r="O833" s="4"/>
      <c r="P833" s="4"/>
      <c r="Q833" s="4"/>
      <c r="R833" s="109"/>
      <c r="S833" s="109"/>
      <c r="T833" s="108"/>
      <c r="U833" s="110"/>
      <c r="V833" s="110"/>
      <c r="W833" s="110"/>
      <c r="X833" s="110"/>
    </row>
    <row r="834" spans="1:24" ht="13.5" customHeight="1">
      <c r="A834" s="110">
        <f>IF(E834="","",MATCH(E834,'Daily Sales'!B$4:B$51,0)+3)</f>
        <v>47</v>
      </c>
      <c r="B834" s="135">
        <v>46199</v>
      </c>
      <c r="C834" s="136" t="s">
        <v>116</v>
      </c>
      <c r="D834" s="137" t="str">
        <f t="array" ref="D834">IF($A834="","",INDEX('Daily Sales'!A:A,$A834))</f>
        <v>1-1129</v>
      </c>
      <c r="E834" s="138" t="s">
        <v>66</v>
      </c>
      <c r="F834" s="139" t="str">
        <f t="shared" si="17"/>
        <v>Star Points</v>
      </c>
      <c r="G834" s="140"/>
      <c r="H834" s="138">
        <f t="array" ref="H834">IF($A834="","",
  IF(
    OR(
      $A834=23,
      AND($A834&gt;=32,$A834&lt;=50)
    ),
    IFERROR(
      INDEX('Daily Sales'!$C:$AG,
        $A834,
        MATCH(TEXT($B834,"0"),TEXT('Daily Sales'!$C$2:$AG$2,"0"),0)
      ),
    ""),
  "")
)</f>
        <v>253055</v>
      </c>
      <c r="I834" s="138" t="str">
        <f t="array" ref="I834">IF($A834="","",
  IF(
    OR(
      AND($A834&gt;=4,$A834&lt;=8),
      AND($A834&gt;=12,$A834&lt;=19),
      AND($A834&gt;=28,$A834&lt;=29)
    ),
    IFERROR(
      INDEX('Daily Sales'!$C:$AG,
        $A834,
        MATCH(TEXT($B834,"0"),TEXT('Daily Sales'!$C$2:$AG$2,"0"),0)
      ),
    ""),
  "")
)</f>
        <v/>
      </c>
      <c r="J834" s="79" t="e">
        <f t="shared" si="15"/>
        <v>#VALUE!</v>
      </c>
      <c r="K834" s="141"/>
      <c r="L834" s="141"/>
      <c r="M834" s="141"/>
      <c r="N834" s="133"/>
      <c r="O834" s="4"/>
      <c r="P834" s="4"/>
      <c r="Q834" s="4"/>
      <c r="R834" s="109"/>
      <c r="S834" s="109"/>
      <c r="T834" s="108"/>
      <c r="U834" s="110"/>
      <c r="V834" s="110"/>
      <c r="W834" s="110"/>
      <c r="X834" s="110"/>
    </row>
    <row r="835" spans="1:24" ht="13.5" customHeight="1">
      <c r="A835" s="110">
        <f>IF(E835="","",MATCH(E835,'Daily Sales'!B$4:B$51,0)+3)</f>
        <v>48</v>
      </c>
      <c r="B835" s="135">
        <v>46199</v>
      </c>
      <c r="C835" s="136" t="s">
        <v>116</v>
      </c>
      <c r="D835" s="137" t="str">
        <f t="array" ref="D835">IF($A835="","",INDEX('Daily Sales'!A:A,$A835))</f>
        <v>1-1215</v>
      </c>
      <c r="E835" s="138" t="s">
        <v>68</v>
      </c>
      <c r="F835" s="139" t="str">
        <f t="shared" si="17"/>
        <v>Ovo</v>
      </c>
      <c r="G835" s="140"/>
      <c r="H835" s="138">
        <f t="array" ref="H835">IF($A835="","",
  IF(
    OR(
      $A835=23,
      AND($A835&gt;=32,$A835&lt;=50)
    ),
    IFERROR(
      INDEX('Daily Sales'!$C:$AG,
        $A835,
        MATCH(TEXT($B835,"0"),TEXT('Daily Sales'!$C$2:$AG$2,"0"),0)
      ),
    ""),
  "")
)</f>
        <v>244500</v>
      </c>
      <c r="I835" s="138" t="str">
        <f t="array" ref="I835">IF($A835="","",
  IF(
    OR(
      AND($A835&gt;=4,$A835&lt;=8),
      AND($A835&gt;=12,$A835&lt;=19),
      AND($A835&gt;=28,$A835&lt;=29)
    ),
    IFERROR(
      INDEX('Daily Sales'!$C:$AG,
        $A835,
        MATCH(TEXT($B835,"0"),TEXT('Daily Sales'!$C$2:$AG$2,"0"),0)
      ),
    ""),
  "")
)</f>
        <v/>
      </c>
      <c r="J835" s="79" t="e">
        <f t="shared" si="15"/>
        <v>#VALUE!</v>
      </c>
      <c r="K835" s="141"/>
      <c r="L835" s="141"/>
      <c r="M835" s="141"/>
      <c r="N835" s="133"/>
      <c r="O835" s="4"/>
      <c r="P835" s="4"/>
      <c r="Q835" s="4"/>
      <c r="R835" s="109"/>
      <c r="S835" s="109"/>
      <c r="T835" s="108"/>
      <c r="U835" s="110"/>
      <c r="V835" s="110"/>
      <c r="W835" s="110"/>
      <c r="X835" s="110"/>
    </row>
    <row r="836" spans="1:24" ht="13.5" customHeight="1">
      <c r="A836" s="110">
        <f>IF(E836="","",MATCH(E836,'Daily Sales'!B$4:B$51,0)+3)</f>
        <v>49</v>
      </c>
      <c r="B836" s="135">
        <v>46199</v>
      </c>
      <c r="C836" s="136" t="s">
        <v>116</v>
      </c>
      <c r="D836" s="137" t="str">
        <f t="array" ref="D836">IF($A836="","",INDEX('Daily Sales'!A:A,$A836))</f>
        <v>1-1211</v>
      </c>
      <c r="E836" s="138" t="s">
        <v>70</v>
      </c>
      <c r="F836" s="139" t="str">
        <f t="shared" si="17"/>
        <v>Gopay</v>
      </c>
      <c r="G836" s="140"/>
      <c r="H836" s="138">
        <f t="array" ref="H836">IF($A836="","",
  IF(
    OR(
      $A836=23,
      AND($A836&gt;=32,$A836&lt;=50)
    ),
    IFERROR(
      INDEX('Daily Sales'!$C:$AG,
        $A836,
        MATCH(TEXT($B836,"0"),TEXT('Daily Sales'!$C$2:$AG$2,"0"),0)
      ),
    ""),
  "")
)</f>
        <v>0</v>
      </c>
      <c r="I836" s="138" t="str">
        <f t="array" ref="I836">IF($A836="","",
  IF(
    OR(
      AND($A836&gt;=4,$A836&lt;=8),
      AND($A836&gt;=12,$A836&lt;=19),
      AND($A836&gt;=28,$A836&lt;=29)
    ),
    IFERROR(
      INDEX('Daily Sales'!$C:$AG,
        $A836,
        MATCH(TEXT($B836,"0"),TEXT('Daily Sales'!$C$2:$AG$2,"0"),0)
      ),
    ""),
  "")
)</f>
        <v/>
      </c>
      <c r="J836" s="79" t="e">
        <f t="shared" si="15"/>
        <v>#VALUE!</v>
      </c>
      <c r="K836" s="141"/>
      <c r="L836" s="141"/>
      <c r="M836" s="141"/>
      <c r="N836" s="133"/>
      <c r="O836" s="4"/>
      <c r="P836" s="4"/>
      <c r="Q836" s="4"/>
      <c r="R836" s="109"/>
      <c r="S836" s="109"/>
      <c r="T836" s="108"/>
      <c r="U836" s="110"/>
      <c r="V836" s="110"/>
      <c r="W836" s="110"/>
      <c r="X836" s="110"/>
    </row>
    <row r="837" spans="1:24" ht="13.5" customHeight="1">
      <c r="A837" s="110">
        <f>IF(E837="","",MATCH(E837,'Daily Sales'!B$4:B$51,0)+3)</f>
        <v>50</v>
      </c>
      <c r="B837" s="135">
        <v>46199</v>
      </c>
      <c r="C837" s="136" t="s">
        <v>116</v>
      </c>
      <c r="D837" s="137" t="str">
        <f t="array" ref="D837">IF($A837="","",INDEX('Daily Sales'!A:A,$A837))</f>
        <v>2-2110</v>
      </c>
      <c r="E837" s="138" t="s">
        <v>72</v>
      </c>
      <c r="F837" s="139" t="str">
        <f t="shared" si="17"/>
        <v>Cash Short/Over</v>
      </c>
      <c r="G837" s="140"/>
      <c r="H837" s="138">
        <f t="array" ref="H837">IF($A837="","",
  IF(
    OR(
      $A837=23,
      AND($A837&gt;=32,$A837&lt;=50)
    ),
    IFERROR(
      INDEX('Daily Sales'!$C:$AG,
        $A837,
        MATCH(TEXT($B837,"0"),TEXT('Daily Sales'!$C$2:$AG$2,"0"),0)
      ),
    ""),
  "")
)</f>
        <v>6395.11</v>
      </c>
      <c r="I837" s="138" t="str">
        <f t="array" ref="I837">IF($A837="","",
  IF(
    OR(
      AND($A837&gt;=4,$A837&lt;=8),
      AND($A837&gt;=12,$A837&lt;=19),
      AND($A837&gt;=28,$A837&lt;=29)
    ),
    IFERROR(
      INDEX('Daily Sales'!$C:$AG,
        $A837,
        MATCH(TEXT($B837,"0"),TEXT('Daily Sales'!$C$2:$AG$2,"0"),0)
      ),
    ""),
  "")
)</f>
        <v/>
      </c>
      <c r="J837" s="79" t="e">
        <f t="shared" si="15"/>
        <v>#VALUE!</v>
      </c>
      <c r="K837" s="141"/>
      <c r="L837" s="141"/>
      <c r="M837" s="141"/>
      <c r="N837" s="133"/>
      <c r="O837" s="4"/>
      <c r="P837" s="4"/>
      <c r="Q837" s="4"/>
      <c r="R837" s="109"/>
      <c r="S837" s="109"/>
      <c r="T837" s="108"/>
      <c r="U837" s="110"/>
      <c r="V837" s="110"/>
      <c r="W837" s="110"/>
      <c r="X837" s="110"/>
    </row>
    <row r="838" spans="1:24" ht="14.25" customHeight="1">
      <c r="A838" s="110"/>
      <c r="B838" s="125"/>
      <c r="C838" s="126"/>
      <c r="D838" s="143"/>
      <c r="E838" s="10" t="e">
        <f>TRIM(VLOOKUP(D838,TB!$B$9:$C$1500,2,FALSE))</f>
        <v>#N/A</v>
      </c>
      <c r="F838" s="142"/>
      <c r="G838" s="130"/>
      <c r="H838" s="10"/>
      <c r="I838" s="10"/>
      <c r="J838" s="79" t="e">
        <f t="shared" si="15"/>
        <v>#VALUE!</v>
      </c>
      <c r="K838" s="107"/>
      <c r="L838" s="141"/>
      <c r="M838" s="141"/>
      <c r="N838" s="133"/>
      <c r="O838" s="4"/>
      <c r="P838" s="4"/>
      <c r="Q838" s="4"/>
      <c r="R838" s="134"/>
      <c r="S838" s="109"/>
      <c r="T838" s="108"/>
      <c r="U838" s="110"/>
      <c r="V838" s="110"/>
      <c r="W838" s="110"/>
      <c r="X838" s="110"/>
    </row>
    <row r="839" spans="1:24" ht="13.5" customHeight="1">
      <c r="A839" s="110">
        <f>IF(E839="","",MATCH(E839,'Daily Sales'!B$4:B$51,0)+3)</f>
        <v>4</v>
      </c>
      <c r="B839" s="135">
        <v>46200</v>
      </c>
      <c r="C839" s="136" t="s">
        <v>117</v>
      </c>
      <c r="D839" s="137" t="str">
        <f t="array" ref="D839">IF($A839="","",INDEX('Daily Sales'!A:A,$A839))</f>
        <v>4-2100</v>
      </c>
      <c r="E839" s="138" t="s">
        <v>5</v>
      </c>
      <c r="F839" s="139" t="str">
        <f t="shared" ref="F839:F869" si="18">E839</f>
        <v>Sales Food TERRACE</v>
      </c>
      <c r="G839" s="140"/>
      <c r="H839" s="138" t="str">
        <f t="array" ref="H839">IF($A839="","",
  IF(
    OR(
      $A839=23,
      AND($A839&gt;=32,$A839&lt;=50)
    ),
    IFERROR(
      INDEX('Daily Sales'!$C:$AG,
        $A839,
        MATCH(TEXT($B839,"0"),TEXT('Daily Sales'!$C$2:$AG$2,"0"),0)
      ),
    ""),
  "")
)</f>
        <v/>
      </c>
      <c r="I839" s="138">
        <f t="array" ref="I839">IF($A839="","",
  IF(
    OR(
      AND($A839&gt;=4,$A839&lt;=8),
      AND($A839&gt;=12,$A839&lt;=19),
      AND($A839&gt;=28,$A839&lt;=29)
    ),
    IFERROR(
      INDEX('Daily Sales'!$C:$AG,
        $A839,
        MATCH(TEXT($B839,"0"),TEXT('Daily Sales'!$C$2:$AG$2,"0"),0)
      ),
    ""),
  "")
)</f>
        <v>5328750</v>
      </c>
      <c r="J839" s="79" t="e">
        <f t="shared" si="15"/>
        <v>#VALUE!</v>
      </c>
      <c r="K839" s="141"/>
      <c r="L839" s="141"/>
      <c r="M839" s="141"/>
      <c r="N839" s="133"/>
      <c r="O839" s="4"/>
      <c r="P839" s="4"/>
      <c r="Q839" s="4"/>
      <c r="R839" s="109"/>
      <c r="S839" s="109"/>
      <c r="T839" s="108"/>
      <c r="U839" s="110"/>
      <c r="V839" s="110"/>
      <c r="W839" s="110"/>
      <c r="X839" s="110"/>
    </row>
    <row r="840" spans="1:24" ht="13.5" customHeight="1">
      <c r="A840" s="110">
        <f>IF(E840="","",MATCH(E840,'Daily Sales'!B$4:B$51,0)+3)</f>
        <v>5</v>
      </c>
      <c r="B840" s="135">
        <v>46200</v>
      </c>
      <c r="C840" s="136" t="s">
        <v>117</v>
      </c>
      <c r="D840" s="137" t="str">
        <f t="array" ref="D840">IF($A840="","",INDEX('Daily Sales'!A:A,$A840))</f>
        <v>4-2200</v>
      </c>
      <c r="E840" s="138" t="s">
        <v>7</v>
      </c>
      <c r="F840" s="139" t="str">
        <f t="shared" si="18"/>
        <v>Sales Beverages TERRACE</v>
      </c>
      <c r="G840" s="140"/>
      <c r="H840" s="138" t="str">
        <f t="array" ref="H840">IF($A840="","",
  IF(
    OR(
      $A840=23,
      AND($A840&gt;=32,$A840&lt;=50)
    ),
    IFERROR(
      INDEX('Daily Sales'!$C:$AG,
        $A840,
        MATCH(TEXT($B840,"0"),TEXT('Daily Sales'!$C$2:$AG$2,"0"),0)
      ),
    ""),
  "")
)</f>
        <v/>
      </c>
      <c r="I840" s="138">
        <f t="array" ref="I840">IF($A840="","",
  IF(
    OR(
      AND($A840&gt;=4,$A840&lt;=8),
      AND($A840&gt;=12,$A840&lt;=19),
      AND($A840&gt;=28,$A840&lt;=29)
    ),
    IFERROR(
      INDEX('Daily Sales'!$C:$AG,
        $A840,
        MATCH(TEXT($B840,"0"),TEXT('Daily Sales'!$C$2:$AG$2,"0"),0)
      ),
    ""),
  "")
)</f>
        <v>10890000</v>
      </c>
      <c r="J840" s="79" t="e">
        <f t="shared" si="15"/>
        <v>#VALUE!</v>
      </c>
      <c r="K840" s="141"/>
      <c r="L840" s="141"/>
      <c r="M840" s="141"/>
      <c r="N840" s="133"/>
      <c r="O840" s="4"/>
      <c r="P840" s="4"/>
      <c r="Q840" s="4"/>
      <c r="R840" s="109"/>
      <c r="S840" s="109"/>
      <c r="T840" s="108"/>
      <c r="U840" s="110"/>
      <c r="V840" s="110"/>
      <c r="W840" s="110"/>
      <c r="X840" s="110"/>
    </row>
    <row r="841" spans="1:24" ht="13.5" customHeight="1">
      <c r="A841" s="110">
        <f>IF(E841="","",MATCH(E841,'Daily Sales'!B$4:B$51,0)+3)</f>
        <v>6</v>
      </c>
      <c r="B841" s="135">
        <v>46200</v>
      </c>
      <c r="C841" s="136" t="s">
        <v>117</v>
      </c>
      <c r="D841" s="137" t="str">
        <f t="array" ref="D841">IF($A841="","",INDEX('Daily Sales'!A:A,$A841))</f>
        <v>4-2400</v>
      </c>
      <c r="E841" s="138" t="s">
        <v>9</v>
      </c>
      <c r="F841" s="139" t="str">
        <f t="shared" si="18"/>
        <v>Sales Cigarette TERRACE</v>
      </c>
      <c r="G841" s="140"/>
      <c r="H841" s="138" t="str">
        <f t="array" ref="H841">IF($A841="","",
  IF(
    OR(
      $A841=23,
      AND($A841&gt;=32,$A841&lt;=50)
    ),
    IFERROR(
      INDEX('Daily Sales'!$C:$AG,
        $A841,
        MATCH(TEXT($B841,"0"),TEXT('Daily Sales'!$C$2:$AG$2,"0"),0)
      ),
    ""),
  "")
)</f>
        <v/>
      </c>
      <c r="I841" s="138">
        <f t="array" ref="I841">IF($A841="","",
  IF(
    OR(
      AND($A841&gt;=4,$A841&lt;=8),
      AND($A841&gt;=12,$A841&lt;=19),
      AND($A841&gt;=28,$A841&lt;=29)
    ),
    IFERROR(
      INDEX('Daily Sales'!$C:$AG,
        $A841,
        MATCH(TEXT($B841,"0"),TEXT('Daily Sales'!$C$2:$AG$2,"0"),0)
      ),
    ""),
  "")
)</f>
        <v>0</v>
      </c>
      <c r="J841" s="79" t="e">
        <f t="shared" si="15"/>
        <v>#VALUE!</v>
      </c>
      <c r="K841" s="141"/>
      <c r="L841" s="141"/>
      <c r="M841" s="141"/>
      <c r="N841" s="133"/>
      <c r="O841" s="4"/>
      <c r="P841" s="4"/>
      <c r="Q841" s="4"/>
      <c r="R841" s="109"/>
      <c r="S841" s="109"/>
      <c r="T841" s="108"/>
      <c r="U841" s="110"/>
      <c r="V841" s="110"/>
      <c r="W841" s="110"/>
      <c r="X841" s="110"/>
    </row>
    <row r="842" spans="1:24" ht="13.5" customHeight="1">
      <c r="A842" s="110">
        <f>IF(E842="","",MATCH(E842,'Daily Sales'!B$4:B$51,0)+3)</f>
        <v>7</v>
      </c>
      <c r="B842" s="135">
        <v>46200</v>
      </c>
      <c r="C842" s="136" t="s">
        <v>117</v>
      </c>
      <c r="D842" s="137" t="str">
        <f t="array" ref="D842">IF($A842="","",INDEX('Daily Sales'!A:A,$A842))</f>
        <v>4-2300</v>
      </c>
      <c r="E842" s="138" t="s">
        <v>11</v>
      </c>
      <c r="F842" s="139" t="str">
        <f t="shared" si="18"/>
        <v>Sales Shisa TERRACE</v>
      </c>
      <c r="G842" s="140"/>
      <c r="H842" s="138" t="str">
        <f t="array" ref="H842">IF($A842="","",
  IF(
    OR(
      $A842=23,
      AND($A842&gt;=32,$A842&lt;=50)
    ),
    IFERROR(
      INDEX('Daily Sales'!$C:$AG,
        $A842,
        MATCH(TEXT($B842,"0"),TEXT('Daily Sales'!$C$2:$AG$2,"0"),0)
      ),
    ""),
  "")
)</f>
        <v/>
      </c>
      <c r="I842" s="138">
        <f t="array" ref="I842">IF($A842="","",
  IF(
    OR(
      AND($A842&gt;=4,$A842&lt;=8),
      AND($A842&gt;=12,$A842&lt;=19),
      AND($A842&gt;=28,$A842&lt;=29)
    ),
    IFERROR(
      INDEX('Daily Sales'!$C:$AG,
        $A842,
        MATCH(TEXT($B842,"0"),TEXT('Daily Sales'!$C$2:$AG$2,"0"),0)
      ),
    ""),
  "")
)</f>
        <v>250000</v>
      </c>
      <c r="J842" s="79" t="e">
        <f t="shared" si="15"/>
        <v>#VALUE!</v>
      </c>
      <c r="K842" s="141"/>
      <c r="L842" s="141"/>
      <c r="M842" s="141"/>
      <c r="N842" s="133"/>
      <c r="O842" s="4"/>
      <c r="P842" s="4"/>
      <c r="Q842" s="4"/>
      <c r="R842" s="109"/>
      <c r="S842" s="109"/>
      <c r="T842" s="108"/>
      <c r="U842" s="110"/>
      <c r="V842" s="110"/>
      <c r="W842" s="110"/>
      <c r="X842" s="110"/>
    </row>
    <row r="843" spans="1:24" ht="13.5" customHeight="1">
      <c r="A843" s="110">
        <f>IF(E843="","",MATCH(E843,'Daily Sales'!B$4:B$51,0)+3)</f>
        <v>12</v>
      </c>
      <c r="B843" s="135">
        <v>46200</v>
      </c>
      <c r="C843" s="136" t="s">
        <v>117</v>
      </c>
      <c r="D843" s="137" t="str">
        <f t="array" ref="D843">IF($A843="","",INDEX('Daily Sales'!A:A,$A843))</f>
        <v>4-2200</v>
      </c>
      <c r="E843" s="138" t="s">
        <v>17</v>
      </c>
      <c r="F843" s="139" t="str">
        <f t="shared" si="18"/>
        <v>Sales Beverages CLUB</v>
      </c>
      <c r="G843" s="140"/>
      <c r="H843" s="138" t="str">
        <f t="array" ref="H843">IF($A843="","",
  IF(
    OR(
      $A843=23,
      AND($A843&gt;=32,$A843&lt;=50)
    ),
    IFERROR(
      INDEX('Daily Sales'!$C:$AG,
        $A843,
        MATCH(TEXT($B843,"0"),TEXT('Daily Sales'!$C$2:$AG$2,"0"),0)
      ),
    ""),
  "")
)</f>
        <v/>
      </c>
      <c r="I843" s="138">
        <f t="array" ref="I843">IF($A843="","",
  IF(
    OR(
      AND($A843&gt;=4,$A843&lt;=8),
      AND($A843&gt;=12,$A843&lt;=19),
      AND($A843&gt;=28,$A843&lt;=29)
    ),
    IFERROR(
      INDEX('Daily Sales'!$C:$AG,
        $A843,
        MATCH(TEXT($B843,"0"),TEXT('Daily Sales'!$C$2:$AG$2,"0"),0)
      ),
    ""),
  "")
)</f>
        <v>79155000</v>
      </c>
      <c r="J843" s="79" t="e">
        <f t="shared" si="15"/>
        <v>#VALUE!</v>
      </c>
      <c r="K843" s="141"/>
      <c r="L843" s="141"/>
      <c r="M843" s="141"/>
      <c r="N843" s="133"/>
      <c r="O843" s="4"/>
      <c r="P843" s="4"/>
      <c r="Q843" s="4"/>
      <c r="R843" s="109"/>
      <c r="S843" s="109"/>
      <c r="T843" s="108"/>
      <c r="U843" s="110"/>
      <c r="V843" s="110"/>
      <c r="W843" s="110"/>
      <c r="X843" s="110"/>
    </row>
    <row r="844" spans="1:24" ht="13.5" customHeight="1">
      <c r="A844" s="110">
        <f>IF(E844="","",MATCH(E844,'Daily Sales'!B$4:B$51,0)+3)</f>
        <v>13</v>
      </c>
      <c r="B844" s="135">
        <v>46200</v>
      </c>
      <c r="C844" s="136" t="s">
        <v>117</v>
      </c>
      <c r="D844" s="137" t="str">
        <f t="array" ref="D844">IF($A844="","",INDEX('Daily Sales'!A:A,$A844))</f>
        <v>4-2400</v>
      </c>
      <c r="E844" s="138" t="s">
        <v>18</v>
      </c>
      <c r="F844" s="139" t="str">
        <f t="shared" si="18"/>
        <v>Sales Cigarette CLUB</v>
      </c>
      <c r="G844" s="140"/>
      <c r="H844" s="138" t="str">
        <f t="array" ref="H844">IF($A844="","",
  IF(
    OR(
      $A844=23,
      AND($A844&gt;=32,$A844&lt;=50)
    ),
    IFERROR(
      INDEX('Daily Sales'!$C:$AG,
        $A844,
        MATCH(TEXT($B844,"0"),TEXT('Daily Sales'!$C$2:$AG$2,"0"),0)
      ),
    ""),
  "")
)</f>
        <v/>
      </c>
      <c r="I844" s="138">
        <f t="array" ref="I844">IF($A844="","",
  IF(
    OR(
      AND($A844&gt;=4,$A844&lt;=8),
      AND($A844&gt;=12,$A844&lt;=19),
      AND($A844&gt;=28,$A844&lt;=29)
    ),
    IFERROR(
      INDEX('Daily Sales'!$C:$AG,
        $A844,
        MATCH(TEXT($B844,"0"),TEXT('Daily Sales'!$C$2:$AG$2,"0"),0)
      ),
    ""),
  "")
)</f>
        <v>3080000</v>
      </c>
      <c r="J844" s="79" t="e">
        <f t="shared" si="15"/>
        <v>#VALUE!</v>
      </c>
      <c r="K844" s="141"/>
      <c r="L844" s="141"/>
      <c r="M844" s="141"/>
      <c r="N844" s="133"/>
      <c r="O844" s="4"/>
      <c r="P844" s="4"/>
      <c r="Q844" s="4"/>
      <c r="R844" s="109"/>
      <c r="S844" s="109"/>
      <c r="T844" s="108"/>
      <c r="U844" s="110"/>
      <c r="V844" s="110"/>
      <c r="W844" s="110"/>
      <c r="X844" s="110"/>
    </row>
    <row r="845" spans="1:24" ht="13.5" customHeight="1">
      <c r="A845" s="110">
        <f>IF(E845="","",MATCH(E845,'Daily Sales'!B$4:B$51,0)+3)</f>
        <v>14</v>
      </c>
      <c r="B845" s="135">
        <v>46200</v>
      </c>
      <c r="C845" s="136" t="s">
        <v>117</v>
      </c>
      <c r="D845" s="137" t="str">
        <f t="array" ref="D845">IF($A845="","",INDEX('Daily Sales'!A:A,$A845))</f>
        <v>4-2100</v>
      </c>
      <c r="E845" s="138" t="s">
        <v>19</v>
      </c>
      <c r="F845" s="139" t="str">
        <f t="shared" si="18"/>
        <v>Sales Food CLUB</v>
      </c>
      <c r="G845" s="140"/>
      <c r="H845" s="138" t="str">
        <f t="array" ref="H845">IF($A845="","",
  IF(
    OR(
      $A845=23,
      AND($A845&gt;=32,$A845&lt;=50)
    ),
    IFERROR(
      INDEX('Daily Sales'!$C:$AG,
        $A845,
        MATCH(TEXT($B845,"0"),TEXT('Daily Sales'!$C$2:$AG$2,"0"),0)
      ),
    ""),
  "")
)</f>
        <v/>
      </c>
      <c r="I845" s="138">
        <f t="array" ref="I845">IF($A845="","",
  IF(
    OR(
      AND($A845&gt;=4,$A845&lt;=8),
      AND($A845&gt;=12,$A845&lt;=19),
      AND($A845&gt;=28,$A845&lt;=29)
    ),
    IFERROR(
      INDEX('Daily Sales'!$C:$AG,
        $A845,
        MATCH(TEXT($B845,"0"),TEXT('Daily Sales'!$C$2:$AG$2,"0"),0)
      ),
    ""),
  "")
)</f>
        <v>1805000</v>
      </c>
      <c r="J845" s="79" t="e">
        <f t="shared" si="15"/>
        <v>#VALUE!</v>
      </c>
      <c r="K845" s="141"/>
      <c r="L845" s="141"/>
      <c r="M845" s="141"/>
      <c r="N845" s="133"/>
      <c r="O845" s="4"/>
      <c r="P845" s="4"/>
      <c r="Q845" s="4"/>
      <c r="R845" s="109"/>
      <c r="S845" s="109"/>
      <c r="T845" s="108"/>
      <c r="U845" s="110"/>
      <c r="V845" s="110"/>
      <c r="W845" s="110"/>
      <c r="X845" s="110"/>
    </row>
    <row r="846" spans="1:24" ht="13.5" customHeight="1">
      <c r="A846" s="110">
        <f>IF(E846="","",MATCH(E846,'Daily Sales'!B$4:B$51,0)+3)</f>
        <v>15</v>
      </c>
      <c r="B846" s="135">
        <v>46200</v>
      </c>
      <c r="C846" s="136" t="s">
        <v>117</v>
      </c>
      <c r="D846" s="137" t="str">
        <f t="array" ref="D846">IF($A846="","",INDEX('Daily Sales'!A:A,$A846))</f>
        <v>4-2300</v>
      </c>
      <c r="E846" s="138" t="s">
        <v>20</v>
      </c>
      <c r="F846" s="139" t="str">
        <f t="shared" si="18"/>
        <v>Sales Shisa CLUB</v>
      </c>
      <c r="G846" s="140"/>
      <c r="H846" s="138" t="str">
        <f t="array" ref="H846">IF($A846="","",
  IF(
    OR(
      $A846=23,
      AND($A846&gt;=32,$A846&lt;=50)
    ),
    IFERROR(
      INDEX('Daily Sales'!$C:$AG,
        $A846,
        MATCH(TEXT($B846,"0"),TEXT('Daily Sales'!$C$2:$AG$2,"0"),0)
      ),
    ""),
  "")
)</f>
        <v/>
      </c>
      <c r="I846" s="138">
        <f t="array" ref="I846">IF($A846="","",
  IF(
    OR(
      AND($A846&gt;=4,$A846&lt;=8),
      AND($A846&gt;=12,$A846&lt;=19),
      AND($A846&gt;=28,$A846&lt;=29)
    ),
    IFERROR(
      INDEX('Daily Sales'!$C:$AG,
        $A846,
        MATCH(TEXT($B846,"0"),TEXT('Daily Sales'!$C$2:$AG$2,"0"),0)
      ),
    ""),
  "")
)</f>
        <v>500000</v>
      </c>
      <c r="J846" s="79" t="e">
        <f t="shared" si="15"/>
        <v>#VALUE!</v>
      </c>
      <c r="K846" s="141"/>
      <c r="L846" s="141"/>
      <c r="M846" s="141"/>
      <c r="N846" s="133"/>
      <c r="O846" s="4"/>
      <c r="P846" s="4"/>
      <c r="Q846" s="4"/>
      <c r="R846" s="109"/>
      <c r="S846" s="109"/>
      <c r="T846" s="108"/>
      <c r="U846" s="110"/>
      <c r="V846" s="110"/>
      <c r="W846" s="110"/>
      <c r="X846" s="110"/>
    </row>
    <row r="847" spans="1:24" ht="13.5" customHeight="1">
      <c r="A847" s="110">
        <f>IF(E847="","",MATCH(E847,'Daily Sales'!B$4:B$51,0)+3)</f>
        <v>17</v>
      </c>
      <c r="B847" s="135">
        <v>46200</v>
      </c>
      <c r="C847" s="136" t="s">
        <v>117</v>
      </c>
      <c r="D847" s="137" t="str">
        <f t="array" ref="D847">IF($A847="","",INDEX('Daily Sales'!A:A,$A847))</f>
        <v>4-2601</v>
      </c>
      <c r="E847" s="138" t="s">
        <v>23</v>
      </c>
      <c r="F847" s="139" t="str">
        <f t="shared" si="18"/>
        <v xml:space="preserve">Misc </v>
      </c>
      <c r="G847" s="140"/>
      <c r="H847" s="138" t="str">
        <f t="array" ref="H847">IF($A847="","",
  IF(
    OR(
      $A847=23,
      AND($A847&gt;=32,$A847&lt;=50)
    ),
    IFERROR(
      INDEX('Daily Sales'!$C:$AG,
        $A847,
        MATCH(TEXT($B847,"0"),TEXT('Daily Sales'!$C$2:$AG$2,"0"),0)
      ),
    ""),
  "")
)</f>
        <v/>
      </c>
      <c r="I847" s="138">
        <f t="array" ref="I847">IF($A847="","",
  IF(
    OR(
      AND($A847&gt;=4,$A847&lt;=8),
      AND($A847&gt;=12,$A847&lt;=19),
      AND($A847&gt;=28,$A847&lt;=29)
    ),
    IFERROR(
      INDEX('Daily Sales'!$C:$AG,
        $A847,
        MATCH(TEXT($B847,"0"),TEXT('Daily Sales'!$C$2:$AG$2,"0"),0)
      ),
    ""),
  "")
)</f>
        <v>0</v>
      </c>
      <c r="J847" s="79" t="e">
        <f t="shared" si="15"/>
        <v>#VALUE!</v>
      </c>
      <c r="K847" s="141"/>
      <c r="L847" s="141"/>
      <c r="M847" s="141"/>
      <c r="N847" s="133"/>
      <c r="O847" s="4"/>
      <c r="P847" s="4"/>
      <c r="Q847" s="4"/>
      <c r="R847" s="109"/>
      <c r="S847" s="109"/>
      <c r="T847" s="108"/>
      <c r="U847" s="110"/>
      <c r="V847" s="110"/>
      <c r="W847" s="110"/>
      <c r="X847" s="110"/>
    </row>
    <row r="848" spans="1:24" ht="13.5" customHeight="1">
      <c r="A848" s="110">
        <f>IF(E848="","",MATCH(E848,'Daily Sales'!B$4:B$51,0)+3)</f>
        <v>19</v>
      </c>
      <c r="B848" s="135">
        <v>46200</v>
      </c>
      <c r="C848" s="136" t="s">
        <v>117</v>
      </c>
      <c r="D848" s="137" t="str">
        <f t="array" ref="D848">IF($A848="","",INDEX('Daily Sales'!A:A,$A848))</f>
        <v>4-2500</v>
      </c>
      <c r="E848" s="138" t="s">
        <v>26</v>
      </c>
      <c r="F848" s="139" t="str">
        <f t="shared" si="18"/>
        <v>Sales Ticket</v>
      </c>
      <c r="G848" s="140"/>
      <c r="H848" s="138" t="str">
        <f t="array" ref="H848">IF($A848="","",
  IF(
    OR(
      $A848=23,
      AND($A848&gt;=32,$A848&lt;=50)
    ),
    IFERROR(
      INDEX('Daily Sales'!$C:$AG,
        $A848,
        MATCH(TEXT($B848,"0"),TEXT('Daily Sales'!$C$2:$AG$2,"0"),0)
      ),
    ""),
  "")
)</f>
        <v/>
      </c>
      <c r="I848" s="138">
        <f t="array" ref="I848">IF($A848="","",
  IF(
    OR(
      AND($A848&gt;=4,$A848&lt;=8),
      AND($A848&gt;=12,$A848&lt;=19),
      AND($A848&gt;=28,$A848&lt;=29)
    ),
    IFERROR(
      INDEX('Daily Sales'!$C:$AG,
        $A848,
        MATCH(TEXT($B848,"0"),TEXT('Daily Sales'!$C$2:$AG$2,"0"),0)
      ),
    ""),
  "")
)</f>
        <v>25913410</v>
      </c>
      <c r="J848" s="79" t="e">
        <f t="shared" si="15"/>
        <v>#VALUE!</v>
      </c>
      <c r="K848" s="141"/>
      <c r="L848" s="141"/>
      <c r="M848" s="141"/>
      <c r="N848" s="133"/>
      <c r="O848" s="4"/>
      <c r="P848" s="4"/>
      <c r="Q848" s="4"/>
      <c r="R848" s="109"/>
      <c r="S848" s="109"/>
      <c r="T848" s="108"/>
      <c r="U848" s="110"/>
      <c r="V848" s="110"/>
      <c r="W848" s="110"/>
      <c r="X848" s="110"/>
    </row>
    <row r="849" spans="1:24" ht="13.5" customHeight="1">
      <c r="A849" s="110">
        <f>IF(E849="","",MATCH(E849,'Daily Sales'!B$4:B$51,0)+3)</f>
        <v>28</v>
      </c>
      <c r="B849" s="135">
        <v>46200</v>
      </c>
      <c r="C849" s="136" t="s">
        <v>117</v>
      </c>
      <c r="D849" s="137" t="str">
        <f t="array" ref="D849">IF($A849="","",INDEX('Daily Sales'!A:A,$A849))</f>
        <v>2-2106</v>
      </c>
      <c r="E849" s="138" t="s">
        <v>35</v>
      </c>
      <c r="F849" s="139" t="str">
        <f t="shared" si="18"/>
        <v>Service Charges 7%</v>
      </c>
      <c r="G849" s="140"/>
      <c r="H849" s="138" t="str">
        <f t="array" ref="H849">IF($A849="","",
  IF(
    OR(
      $A849=23,
      AND($A849&gt;=32,$A849&lt;=50)
    ),
    IFERROR(
      INDEX('Daily Sales'!$C:$AG,
        $A849,
        MATCH(TEXT($B849,"0"),TEXT('Daily Sales'!$C$2:$AG$2,"0"),0)
      ),
    ""),
  "")
)</f>
        <v/>
      </c>
      <c r="I849" s="138">
        <f t="array" ref="I849">IF($A849="","",
  IF(
    OR(
      AND($A849&gt;=4,$A849&lt;=8),
      AND($A849&gt;=12,$A849&lt;=19),
      AND($A849&gt;=28,$A849&lt;=29)
    ),
    IFERROR(
      INDEX('Daily Sales'!$C:$AG,
        $A849,
        MATCH(TEXT($B849,"0"),TEXT('Daily Sales'!$C$2:$AG$2,"0"),0)
      ),
    ""),
  "")
)</f>
        <v>8775841.2000000011</v>
      </c>
      <c r="J849" s="79" t="e">
        <f t="shared" si="15"/>
        <v>#VALUE!</v>
      </c>
      <c r="K849" s="141"/>
      <c r="L849" s="141"/>
      <c r="M849" s="141"/>
      <c r="N849" s="133"/>
      <c r="O849" s="4"/>
      <c r="P849" s="4"/>
      <c r="Q849" s="4"/>
      <c r="R849" s="109"/>
      <c r="S849" s="109"/>
      <c r="T849" s="108"/>
      <c r="U849" s="110"/>
      <c r="V849" s="110"/>
      <c r="W849" s="110"/>
      <c r="X849" s="110"/>
    </row>
    <row r="850" spans="1:24" ht="13.5" customHeight="1">
      <c r="A850" s="110">
        <f>IF(E850="","",MATCH(E850,'Daily Sales'!B$4:B$51,0)+3)</f>
        <v>29</v>
      </c>
      <c r="B850" s="135">
        <v>46200</v>
      </c>
      <c r="C850" s="136" t="s">
        <v>117</v>
      </c>
      <c r="D850" s="137" t="str">
        <f t="array" ref="D850">IF($A850="","",INDEX('Daily Sales'!A:A,$A850))</f>
        <v>2-3101</v>
      </c>
      <c r="E850" s="138" t="s">
        <v>37</v>
      </c>
      <c r="F850" s="139" t="str">
        <f t="shared" si="18"/>
        <v>Tax PB1 10%</v>
      </c>
      <c r="G850" s="140"/>
      <c r="H850" s="138" t="str">
        <f t="array" ref="H850">IF($A850="","",
  IF(
    OR(
      $A850=23,
      AND($A850&gt;=32,$A850&lt;=50)
    ),
    IFERROR(
      INDEX('Daily Sales'!$C:$AG,
        $A850,
        MATCH(TEXT($B850,"0"),TEXT('Daily Sales'!$C$2:$AG$2,"0"),0)
      ),
    ""),
  "")
)</f>
        <v/>
      </c>
      <c r="I850" s="138">
        <f t="array" ref="I850">IF($A850="","",
  IF(
    OR(
      AND($A850&gt;=4,$A850&lt;=8),
      AND($A850&gt;=12,$A850&lt;=19),
      AND($A850&gt;=28,$A850&lt;=29)
    ),
    IFERROR(
      INDEX('Daily Sales'!$C:$AG,
        $A850,
        MATCH(TEXT($B850,"0"),TEXT('Daily Sales'!$C$2:$AG$2,"0"),0)
      ),
    ""),
  "")
)</f>
        <v>13414500.120000001</v>
      </c>
      <c r="J850" s="79" t="e">
        <f t="shared" si="15"/>
        <v>#VALUE!</v>
      </c>
      <c r="K850" s="141"/>
      <c r="L850" s="141"/>
      <c r="M850" s="141"/>
      <c r="N850" s="133"/>
      <c r="O850" s="4"/>
      <c r="P850" s="4"/>
      <c r="Q850" s="4"/>
      <c r="R850" s="109"/>
      <c r="S850" s="109"/>
      <c r="T850" s="108"/>
      <c r="U850" s="110"/>
      <c r="V850" s="110"/>
      <c r="W850" s="110"/>
      <c r="X850" s="110"/>
    </row>
    <row r="851" spans="1:24" ht="13.5" customHeight="1">
      <c r="A851" s="110">
        <f>IF(E851="","",MATCH(E851,'Daily Sales'!B$4:B$51,0)+3)</f>
        <v>23</v>
      </c>
      <c r="B851" s="135">
        <v>46200</v>
      </c>
      <c r="C851" s="136" t="s">
        <v>117</v>
      </c>
      <c r="D851" s="137" t="str">
        <f t="array" ref="D851">IF($A851="","",INDEX('Daily Sales'!A:A,$A851))</f>
        <v>4-5110</v>
      </c>
      <c r="E851" s="138" t="s">
        <v>30</v>
      </c>
      <c r="F851" s="139" t="str">
        <f t="shared" si="18"/>
        <v>Discount</v>
      </c>
      <c r="G851" s="140"/>
      <c r="H851" s="138">
        <f t="array" ref="H851">IF($A851="","",
  IF(
    OR(
      $A851=23,
      AND($A851&gt;=32,$A851&lt;=50)
    ),
    IFERROR(
      INDEX('Daily Sales'!$C:$AG,
        $A851,
        MATCH(TEXT($B851,"0"),TEXT('Daily Sales'!$C$2:$AG$2,"0"),0)
      ),
    ""),
  "")
)</f>
        <v>1553000</v>
      </c>
      <c r="I851" s="138" t="str">
        <f t="array" ref="I851">IF($A851="","",
  IF(
    OR(
      AND($A851&gt;=4,$A851&lt;=8),
      AND($A851&gt;=12,$A851&lt;=19),
      AND($A851&gt;=28,$A851&lt;=29)
    ),
    IFERROR(
      INDEX('Daily Sales'!$C:$AG,
        $A851,
        MATCH(TEXT($B851,"0"),TEXT('Daily Sales'!$C$2:$AG$2,"0"),0)
      ),
    ""),
  "")
)</f>
        <v/>
      </c>
      <c r="J851" s="79" t="e">
        <f t="shared" si="15"/>
        <v>#VALUE!</v>
      </c>
      <c r="K851" s="141"/>
      <c r="L851" s="141"/>
      <c r="M851" s="141"/>
      <c r="N851" s="133"/>
      <c r="O851" s="4"/>
      <c r="P851" s="4"/>
      <c r="Q851" s="4"/>
      <c r="R851" s="109"/>
      <c r="S851" s="109"/>
      <c r="T851" s="108"/>
      <c r="U851" s="110"/>
      <c r="V851" s="110"/>
      <c r="W851" s="110"/>
      <c r="X851" s="110"/>
    </row>
    <row r="852" spans="1:24" ht="13.5" customHeight="1">
      <c r="A852" s="110">
        <f>IF(E852="","",MATCH(E852,'Daily Sales'!B$4:B$51,0)+3)</f>
        <v>32</v>
      </c>
      <c r="B852" s="135">
        <v>46200</v>
      </c>
      <c r="C852" s="136" t="s">
        <v>117</v>
      </c>
      <c r="D852" s="137" t="str">
        <f t="array" ref="D852">IF($A852="","",INDEX('Daily Sales'!A:A,$A852))</f>
        <v>1-1119</v>
      </c>
      <c r="E852" s="138" t="s">
        <v>40</v>
      </c>
      <c r="F852" s="139" t="str">
        <f t="shared" si="18"/>
        <v>Cash IDR</v>
      </c>
      <c r="G852" s="140"/>
      <c r="H852" s="138">
        <f t="array" ref="H852">IF($A852="","",
  IF(
    OR(
      $A852=23,
      AND($A852&gt;=32,$A852&lt;=50)
    ),
    IFERROR(
      INDEX('Daily Sales'!$C:$AG,
        $A852,
        MATCH(TEXT($B852,"0"),TEXT('Daily Sales'!$C$2:$AG$2,"0"),0)
      ),
    ""),
  "")
)</f>
        <v>11421614</v>
      </c>
      <c r="I852" s="138" t="str">
        <f t="array" ref="I852">IF($A852="","",
  IF(
    OR(
      AND($A852&gt;=4,$A852&lt;=8),
      AND($A852&gt;=12,$A852&lt;=19),
      AND($A852&gt;=28,$A852&lt;=29)
    ),
    IFERROR(
      INDEX('Daily Sales'!$C:$AG,
        $A852,
        MATCH(TEXT($B852,"0"),TEXT('Daily Sales'!$C$2:$AG$2,"0"),0)
      ),
    ""),
  "")
)</f>
        <v/>
      </c>
      <c r="J852" s="79" t="e">
        <f t="shared" si="15"/>
        <v>#VALUE!</v>
      </c>
      <c r="K852" s="141"/>
      <c r="L852" s="141"/>
      <c r="M852" s="141"/>
      <c r="N852" s="133"/>
      <c r="O852" s="4"/>
      <c r="P852" s="4"/>
      <c r="Q852" s="4"/>
      <c r="R852" s="109"/>
      <c r="S852" s="109"/>
      <c r="T852" s="108"/>
      <c r="U852" s="110"/>
      <c r="V852" s="110"/>
      <c r="W852" s="110"/>
      <c r="X852" s="110"/>
    </row>
    <row r="853" spans="1:24" ht="13.5" customHeight="1">
      <c r="A853" s="110">
        <f>IF(E853="","",MATCH(E853,'Daily Sales'!B$4:B$51,0)+3)</f>
        <v>33</v>
      </c>
      <c r="B853" s="135">
        <v>46200</v>
      </c>
      <c r="C853" s="136" t="s">
        <v>117</v>
      </c>
      <c r="D853" s="137" t="str">
        <f t="array" ref="D853">IF($A853="","",INDEX('Daily Sales'!A:A,$A853))</f>
        <v>1-1217</v>
      </c>
      <c r="E853" s="138" t="s">
        <v>43</v>
      </c>
      <c r="F853" s="139" t="str">
        <f t="shared" si="18"/>
        <v>Bank transfer</v>
      </c>
      <c r="G853" s="140"/>
      <c r="H853" s="138">
        <f t="array" ref="H853">IF($A853="","",
  IF(
    OR(
      $A853=23,
      AND($A853&gt;=32,$A853&lt;=50)
    ),
    IFERROR(
      INDEX('Daily Sales'!$C:$AG,
        $A853,
        MATCH(TEXT($B853,"0"),TEXT('Daily Sales'!$C$2:$AG$2,"0"),0)
      ),
    ""),
  "")
)</f>
        <v>0</v>
      </c>
      <c r="I853" s="138" t="str">
        <f t="array" ref="I853">IF($A853="","",
  IF(
    OR(
      AND($A853&gt;=4,$A853&lt;=8),
      AND($A853&gt;=12,$A853&lt;=19),
      AND($A853&gt;=28,$A853&lt;=29)
    ),
    IFERROR(
      INDEX('Daily Sales'!$C:$AG,
        $A853,
        MATCH(TEXT($B853,"0"),TEXT('Daily Sales'!$C$2:$AG$2,"0"),0)
      ),
    ""),
  "")
)</f>
        <v/>
      </c>
      <c r="J853" s="79" t="e">
        <f t="shared" si="15"/>
        <v>#VALUE!</v>
      </c>
      <c r="K853" s="141"/>
      <c r="L853" s="141"/>
      <c r="M853" s="141"/>
      <c r="N853" s="133"/>
      <c r="O853" s="4"/>
      <c r="P853" s="4"/>
      <c r="Q853" s="4"/>
      <c r="R853" s="109"/>
      <c r="S853" s="109"/>
      <c r="T853" s="108"/>
      <c r="U853" s="110"/>
      <c r="V853" s="110"/>
      <c r="W853" s="110"/>
      <c r="X853" s="110"/>
    </row>
    <row r="854" spans="1:24" ht="13.5" customHeight="1">
      <c r="A854" s="110">
        <f>IF(E854="","",MATCH(E854,'Daily Sales'!B$4:B$51,0)+3)</f>
        <v>35</v>
      </c>
      <c r="B854" s="135">
        <v>46200</v>
      </c>
      <c r="C854" s="136" t="s">
        <v>117</v>
      </c>
      <c r="D854" s="137" t="str">
        <f t="array" ref="D854">IF($A854="","",INDEX('Daily Sales'!A:A,$A854))</f>
        <v>1-1216</v>
      </c>
      <c r="E854" s="138" t="s">
        <v>46</v>
      </c>
      <c r="F854" s="139" t="str">
        <f t="shared" si="18"/>
        <v>Cim Niaga TBB</v>
      </c>
      <c r="G854" s="140"/>
      <c r="H854" s="138">
        <f t="array" ref="H854">IF($A854="","",
  IF(
    OR(
      $A854=23,
      AND($A854&gt;=32,$A854&lt;=50)
    ),
    IFERROR(
      INDEX('Daily Sales'!$C:$AG,
        $A854,
        MATCH(TEXT($B854,"0"),TEXT('Daily Sales'!$C$2:$AG$2,"0"),0)
      ),
    ""),
  "")
)</f>
        <v>1553640</v>
      </c>
      <c r="I854" s="138" t="str">
        <f t="array" ref="I854">IF($A854="","",
  IF(
    OR(
      AND($A854&gt;=4,$A854&lt;=8),
      AND($A854&gt;=12,$A854&lt;=19),
      AND($A854&gt;=28,$A854&lt;=29)
    ),
    IFERROR(
      INDEX('Daily Sales'!$C:$AG,
        $A854,
        MATCH(TEXT($B854,"0"),TEXT('Daily Sales'!$C$2:$AG$2,"0"),0)
      ),
    ""),
  "")
)</f>
        <v/>
      </c>
      <c r="J854" s="79" t="e">
        <f t="shared" si="15"/>
        <v>#VALUE!</v>
      </c>
      <c r="K854" s="141"/>
      <c r="L854" s="141"/>
      <c r="M854" s="141"/>
      <c r="N854" s="133"/>
      <c r="O854" s="4"/>
      <c r="P854" s="4"/>
      <c r="Q854" s="4"/>
      <c r="R854" s="109"/>
      <c r="S854" s="109"/>
      <c r="T854" s="108"/>
      <c r="U854" s="110"/>
      <c r="V854" s="110"/>
      <c r="W854" s="110"/>
      <c r="X854" s="110"/>
    </row>
    <row r="855" spans="1:24" ht="13.5" customHeight="1">
      <c r="A855" s="110">
        <f>IF(E855="","",MATCH(E855,'Daily Sales'!B$4:B$51,0)+3)</f>
        <v>36</v>
      </c>
      <c r="B855" s="135">
        <v>46200</v>
      </c>
      <c r="C855" s="136" t="s">
        <v>117</v>
      </c>
      <c r="D855" s="137" t="str">
        <f t="array" ref="D855">IF($A855="","",INDEX('Daily Sales'!A:A,$A855))</f>
        <v>1-1213</v>
      </c>
      <c r="E855" s="138" t="s">
        <v>49</v>
      </c>
      <c r="F855" s="139" t="str">
        <f t="shared" si="18"/>
        <v>Mandiri Debet</v>
      </c>
      <c r="G855" s="140"/>
      <c r="H855" s="138">
        <f t="array" ref="H855">IF($A855="","",
  IF(
    OR(
      $A855=23,
      AND($A855&gt;=32,$A855&lt;=50)
    ),
    IFERROR(
      INDEX('Daily Sales'!$C:$AG,
        $A855,
        MATCH(TEXT($B855,"0"),TEXT('Daily Sales'!$C$2:$AG$2,"0"),0)
      ),
    ""),
  "")
)</f>
        <v>5950090</v>
      </c>
      <c r="I855" s="138" t="str">
        <f t="array" ref="I855">IF($A855="","",
  IF(
    OR(
      AND($A855&gt;=4,$A855&lt;=8),
      AND($A855&gt;=12,$A855&lt;=19),
      AND($A855&gt;=28,$A855&lt;=29)
    ),
    IFERROR(
      INDEX('Daily Sales'!$C:$AG,
        $A855,
        MATCH(TEXT($B855,"0"),TEXT('Daily Sales'!$C$2:$AG$2,"0"),0)
      ),
    ""),
  "")
)</f>
        <v/>
      </c>
      <c r="J855" s="79" t="e">
        <f t="shared" si="15"/>
        <v>#VALUE!</v>
      </c>
      <c r="K855" s="141"/>
      <c r="L855" s="141"/>
      <c r="M855" s="141"/>
      <c r="N855" s="133"/>
      <c r="O855" s="4"/>
      <c r="P855" s="4"/>
      <c r="Q855" s="4"/>
      <c r="R855" s="109"/>
      <c r="S855" s="109"/>
      <c r="T855" s="108"/>
      <c r="U855" s="110"/>
      <c r="V855" s="110"/>
      <c r="W855" s="110"/>
      <c r="X855" s="110"/>
    </row>
    <row r="856" spans="1:24" ht="13.5" customHeight="1">
      <c r="A856" s="110">
        <f>IF(E856="","",MATCH(E856,'Daily Sales'!B$4:B$51,0)+3)</f>
        <v>37</v>
      </c>
      <c r="B856" s="135">
        <v>46200</v>
      </c>
      <c r="C856" s="136" t="s">
        <v>117</v>
      </c>
      <c r="D856" s="137" t="str">
        <f t="array" ref="D856">IF($A856="","",INDEX('Daily Sales'!A:A,$A856))</f>
        <v>1-1213</v>
      </c>
      <c r="E856" s="138" t="s">
        <v>50</v>
      </c>
      <c r="F856" s="139" t="str">
        <f t="shared" si="18"/>
        <v>Mandiri CC</v>
      </c>
      <c r="G856" s="140"/>
      <c r="H856" s="138">
        <f t="array" ref="H856">IF($A856="","",
  IF(
    OR(
      $A856=23,
      AND($A856&gt;=32,$A856&lt;=50)
    ),
    IFERROR(
      INDEX('Daily Sales'!$C:$AG,
        $A856,
        MATCH(TEXT($B856,"0"),TEXT('Daily Sales'!$C$2:$AG$2,"0"),0)
      ),
    ""),
  "")
)</f>
        <v>50239425</v>
      </c>
      <c r="I856" s="138" t="str">
        <f t="array" ref="I856">IF($A856="","",
  IF(
    OR(
      AND($A856&gt;=4,$A856&lt;=8),
      AND($A856&gt;=12,$A856&lt;=19),
      AND($A856&gt;=28,$A856&lt;=29)
    ),
    IFERROR(
      INDEX('Daily Sales'!$C:$AG,
        $A856,
        MATCH(TEXT($B856,"0"),TEXT('Daily Sales'!$C$2:$AG$2,"0"),0)
      ),
    ""),
  "")
)</f>
        <v/>
      </c>
      <c r="J856" s="79" t="e">
        <f t="shared" si="15"/>
        <v>#VALUE!</v>
      </c>
      <c r="K856" s="141"/>
      <c r="L856" s="141"/>
      <c r="M856" s="141"/>
      <c r="N856" s="133"/>
      <c r="O856" s="4"/>
      <c r="P856" s="4"/>
      <c r="Q856" s="4"/>
      <c r="R856" s="109"/>
      <c r="S856" s="109"/>
      <c r="T856" s="108"/>
      <c r="U856" s="110"/>
      <c r="V856" s="110"/>
      <c r="W856" s="110"/>
      <c r="X856" s="110"/>
    </row>
    <row r="857" spans="1:24" ht="13.5" customHeight="1">
      <c r="A857" s="110">
        <f>IF(E857="","",MATCH(E857,'Daily Sales'!B$4:B$51,0)+3)</f>
        <v>38</v>
      </c>
      <c r="B857" s="135">
        <v>46200</v>
      </c>
      <c r="C857" s="136" t="s">
        <v>117</v>
      </c>
      <c r="D857" s="137" t="str">
        <f t="array" ref="D857">IF($A857="","",INDEX('Daily Sales'!A:A,$A857))</f>
        <v>1-1213</v>
      </c>
      <c r="E857" s="138" t="s">
        <v>51</v>
      </c>
      <c r="F857" s="139" t="str">
        <f t="shared" si="18"/>
        <v>Mandiri NPG</v>
      </c>
      <c r="G857" s="140"/>
      <c r="H857" s="138">
        <f t="array" ref="H857">IF($A857="","",
  IF(
    OR(
      $A857=23,
      AND($A857&gt;=32,$A857&lt;=50)
    ),
    IFERROR(
      INDEX('Daily Sales'!$C:$AG,
        $A857,
        MATCH(TEXT($B857,"0"),TEXT('Daily Sales'!$C$2:$AG$2,"0"),0)
      ),
    ""),
  "")
)</f>
        <v>27384420</v>
      </c>
      <c r="I857" s="138" t="str">
        <f t="array" ref="I857">IF($A857="","",
  IF(
    OR(
      AND($A857&gt;=4,$A857&lt;=8),
      AND($A857&gt;=12,$A857&lt;=19),
      AND($A857&gt;=28,$A857&lt;=29)
    ),
    IFERROR(
      INDEX('Daily Sales'!$C:$AG,
        $A857,
        MATCH(TEXT($B857,"0"),TEXT('Daily Sales'!$C$2:$AG$2,"0"),0)
      ),
    ""),
  "")
)</f>
        <v/>
      </c>
      <c r="J857" s="79" t="e">
        <f t="shared" si="15"/>
        <v>#VALUE!</v>
      </c>
      <c r="K857" s="141"/>
      <c r="L857" s="141"/>
      <c r="M857" s="141"/>
      <c r="N857" s="133"/>
      <c r="O857" s="4"/>
      <c r="P857" s="4"/>
      <c r="Q857" s="4"/>
      <c r="R857" s="109"/>
      <c r="S857" s="109"/>
      <c r="T857" s="108"/>
      <c r="U857" s="110"/>
      <c r="V857" s="110"/>
      <c r="W857" s="110"/>
      <c r="X857" s="110"/>
    </row>
    <row r="858" spans="1:24" ht="13.5" customHeight="1">
      <c r="A858" s="110">
        <f>IF(E858="","",MATCH(E858,'Daily Sales'!B$4:B$51,0)+3)</f>
        <v>39</v>
      </c>
      <c r="B858" s="135">
        <v>46200</v>
      </c>
      <c r="C858" s="136" t="s">
        <v>117</v>
      </c>
      <c r="D858" s="137" t="str">
        <f t="array" ref="D858">IF($A858="","",INDEX('Daily Sales'!A:A,$A858))</f>
        <v>1-1213</v>
      </c>
      <c r="E858" s="138" t="s">
        <v>52</v>
      </c>
      <c r="F858" s="139" t="str">
        <f t="shared" si="18"/>
        <v>Mandiri QR</v>
      </c>
      <c r="G858" s="140"/>
      <c r="H858" s="138">
        <f t="array" ref="H858">IF($A858="","",
  IF(
    OR(
      $A858=23,
      AND($A858&gt;=32,$A858&lt;=50)
    ),
    IFERROR(
      INDEX('Daily Sales'!$C:$AG,
        $A858,
        MATCH(TEXT($B858,"0"),TEXT('Daily Sales'!$C$2:$AG$2,"0"),0)
      ),
    ""),
  "")
)</f>
        <v>32008437</v>
      </c>
      <c r="I858" s="138" t="str">
        <f t="array" ref="I858">IF($A858="","",
  IF(
    OR(
      AND($A858&gt;=4,$A858&lt;=8),
      AND($A858&gt;=12,$A858&lt;=19),
      AND($A858&gt;=28,$A858&lt;=29)
    ),
    IFERROR(
      INDEX('Daily Sales'!$C:$AG,
        $A858,
        MATCH(TEXT($B858,"0"),TEXT('Daily Sales'!$C$2:$AG$2,"0"),0)
      ),
    ""),
  "")
)</f>
        <v/>
      </c>
      <c r="J858" s="79" t="e">
        <f t="shared" si="15"/>
        <v>#VALUE!</v>
      </c>
      <c r="K858" s="141"/>
      <c r="L858" s="141"/>
      <c r="M858" s="141"/>
      <c r="N858" s="133"/>
      <c r="O858" s="4"/>
      <c r="P858" s="4"/>
      <c r="Q858" s="4"/>
      <c r="R858" s="109"/>
      <c r="S858" s="109"/>
      <c r="T858" s="108"/>
      <c r="U858" s="110"/>
      <c r="V858" s="110"/>
      <c r="W858" s="110"/>
      <c r="X858" s="110"/>
    </row>
    <row r="859" spans="1:24" ht="13.5" customHeight="1">
      <c r="A859" s="110">
        <f>IF(E859="","",MATCH(E859,'Daily Sales'!B$4:B$51,0)+3)</f>
        <v>40</v>
      </c>
      <c r="B859" s="135">
        <v>46200</v>
      </c>
      <c r="C859" s="136" t="s">
        <v>117</v>
      </c>
      <c r="D859" s="137" t="str">
        <f t="array" ref="D859">IF($A859="","",INDEX('Daily Sales'!A:A,$A859))</f>
        <v>1-1217</v>
      </c>
      <c r="E859" s="138" t="s">
        <v>54</v>
      </c>
      <c r="F859" s="139" t="str">
        <f t="shared" si="18"/>
        <v>BCA CC</v>
      </c>
      <c r="G859" s="140"/>
      <c r="H859" s="138">
        <f t="array" ref="H859">IF($A859="","",
  IF(
    OR(
      $A859=23,
      AND($A859&gt;=32,$A859&lt;=50)
    ),
    IFERROR(
      INDEX('Daily Sales'!$C:$AG,
        $A859,
        MATCH(TEXT($B859,"0"),TEXT('Daily Sales'!$C$2:$AG$2,"0"),0)
      ),
    ""),
  "")
)</f>
        <v>8074220</v>
      </c>
      <c r="I859" s="138" t="str">
        <f t="array" ref="I859">IF($A859="","",
  IF(
    OR(
      AND($A859&gt;=4,$A859&lt;=8),
      AND($A859&gt;=12,$A859&lt;=19),
      AND($A859&gt;=28,$A859&lt;=29)
    ),
    IFERROR(
      INDEX('Daily Sales'!$C:$AG,
        $A859,
        MATCH(TEXT($B859,"0"),TEXT('Daily Sales'!$C$2:$AG$2,"0"),0)
      ),
    ""),
  "")
)</f>
        <v/>
      </c>
      <c r="J859" s="79" t="e">
        <f t="shared" si="15"/>
        <v>#VALUE!</v>
      </c>
      <c r="K859" s="141"/>
      <c r="L859" s="141"/>
      <c r="M859" s="141"/>
      <c r="N859" s="133"/>
      <c r="O859" s="4"/>
      <c r="P859" s="4"/>
      <c r="Q859" s="4"/>
      <c r="R859" s="109"/>
      <c r="S859" s="109"/>
      <c r="T859" s="108"/>
      <c r="U859" s="110"/>
      <c r="V859" s="110"/>
      <c r="W859" s="110"/>
      <c r="X859" s="110"/>
    </row>
    <row r="860" spans="1:24" ht="13.5" customHeight="1">
      <c r="A860" s="110">
        <f>IF(E860="","",MATCH(E860,'Daily Sales'!B$4:B$51,0)+3)</f>
        <v>41</v>
      </c>
      <c r="B860" s="135">
        <v>46200</v>
      </c>
      <c r="C860" s="136" t="s">
        <v>117</v>
      </c>
      <c r="D860" s="137" t="str">
        <f t="array" ref="D860">IF($A860="","",INDEX('Daily Sales'!A:A,$A860))</f>
        <v>1-1217</v>
      </c>
      <c r="E860" s="138" t="s">
        <v>55</v>
      </c>
      <c r="F860" s="139" t="str">
        <f t="shared" si="18"/>
        <v>BCA debt</v>
      </c>
      <c r="G860" s="140"/>
      <c r="H860" s="138">
        <f t="array" ref="H860">IF($A860="","",
  IF(
    OR(
      $A860=23,
      AND($A860&gt;=32,$A860&lt;=50)
    ),
    IFERROR(
      INDEX('Daily Sales'!$C:$AG,
        $A860,
        MATCH(TEXT($B860,"0"),TEXT('Daily Sales'!$C$2:$AG$2,"0"),0)
      ),
    ""),
  "")
)</f>
        <v>847440</v>
      </c>
      <c r="I860" s="138" t="str">
        <f t="array" ref="I860">IF($A860="","",
  IF(
    OR(
      AND($A860&gt;=4,$A860&lt;=8),
      AND($A860&gt;=12,$A860&lt;=19),
      AND($A860&gt;=28,$A860&lt;=29)
    ),
    IFERROR(
      INDEX('Daily Sales'!$C:$AG,
        $A860,
        MATCH(TEXT($B860,"0"),TEXT('Daily Sales'!$C$2:$AG$2,"0"),0)
      ),
    ""),
  "")
)</f>
        <v/>
      </c>
      <c r="J860" s="79" t="e">
        <f t="shared" si="15"/>
        <v>#VALUE!</v>
      </c>
      <c r="K860" s="141"/>
      <c r="L860" s="141"/>
      <c r="M860" s="141"/>
      <c r="N860" s="133"/>
      <c r="O860" s="4"/>
      <c r="P860" s="4"/>
      <c r="Q860" s="4"/>
      <c r="R860" s="109"/>
      <c r="S860" s="109"/>
      <c r="T860" s="108"/>
      <c r="U860" s="110"/>
      <c r="V860" s="110"/>
      <c r="W860" s="110"/>
      <c r="X860" s="110"/>
    </row>
    <row r="861" spans="1:24" ht="13.5" customHeight="1">
      <c r="A861" s="110">
        <f>IF(E861="","",MATCH(E861,'Daily Sales'!B$4:B$51,0)+3)</f>
        <v>42</v>
      </c>
      <c r="B861" s="135">
        <v>46200</v>
      </c>
      <c r="C861" s="136" t="s">
        <v>117</v>
      </c>
      <c r="D861" s="137" t="str">
        <f t="array" ref="D861">IF($A861="","",INDEX('Daily Sales'!A:A,$A861))</f>
        <v>1-1217</v>
      </c>
      <c r="E861" s="138" t="s">
        <v>56</v>
      </c>
      <c r="F861" s="139" t="str">
        <f t="shared" si="18"/>
        <v>BCA QR</v>
      </c>
      <c r="G861" s="140"/>
      <c r="H861" s="138">
        <f t="array" ref="H861">IF($A861="","",
  IF(
    OR(
      $A861=23,
      AND($A861&gt;=32,$A861&lt;=50)
    ),
    IFERROR(
      INDEX('Daily Sales'!$C:$AG,
        $A861,
        MATCH(TEXT($B861,"0"),TEXT('Daily Sales'!$C$2:$AG$2,"0"),0)
      ),
    ""),
  "")
)</f>
        <v>7379790</v>
      </c>
      <c r="I861" s="138" t="str">
        <f t="array" ref="I861">IF($A861="","",
  IF(
    OR(
      AND($A861&gt;=4,$A861&lt;=8),
      AND($A861&gt;=12,$A861&lt;=19),
      AND($A861&gt;=28,$A861&lt;=29)
    ),
    IFERROR(
      INDEX('Daily Sales'!$C:$AG,
        $A861,
        MATCH(TEXT($B861,"0"),TEXT('Daily Sales'!$C$2:$AG$2,"0"),0)
      ),
    ""),
  "")
)</f>
        <v/>
      </c>
      <c r="J861" s="79" t="e">
        <f t="shared" si="15"/>
        <v>#VALUE!</v>
      </c>
      <c r="K861" s="141"/>
      <c r="L861" s="141"/>
      <c r="M861" s="141"/>
      <c r="N861" s="133"/>
      <c r="O861" s="4"/>
      <c r="P861" s="4"/>
      <c r="Q861" s="4"/>
      <c r="R861" s="109"/>
      <c r="S861" s="109"/>
      <c r="T861" s="108"/>
      <c r="U861" s="110"/>
      <c r="V861" s="110"/>
      <c r="W861" s="110"/>
      <c r="X861" s="110"/>
    </row>
    <row r="862" spans="1:24" ht="13.5" customHeight="1">
      <c r="A862" s="110">
        <f>IF(E862="","",MATCH(E862,'Daily Sales'!B$4:B$51,0)+3)</f>
        <v>43</v>
      </c>
      <c r="B862" s="135">
        <v>46200</v>
      </c>
      <c r="C862" s="136" t="s">
        <v>117</v>
      </c>
      <c r="D862" s="137" t="str">
        <f t="array" ref="D862">IF($A862="","",INDEX('Daily Sales'!A:A,$A862))</f>
        <v>1-1214</v>
      </c>
      <c r="E862" s="138" t="s">
        <v>59</v>
      </c>
      <c r="F862" s="139" t="str">
        <f t="shared" si="18"/>
        <v>Bank BRI DEBET</v>
      </c>
      <c r="G862" s="140"/>
      <c r="H862" s="138">
        <f t="array" ref="H862">IF($A862="","",
  IF(
    OR(
      $A862=23,
      AND($A862&gt;=32,$A862&lt;=50)
    ),
    IFERROR(
      INDEX('Daily Sales'!$C:$AG,
        $A862,
        MATCH(TEXT($B862,"0"),TEXT('Daily Sales'!$C$2:$AG$2,"0"),0)
      ),
    ""),
  "")
)</f>
        <v>0</v>
      </c>
      <c r="I862" s="138" t="str">
        <f t="array" ref="I862">IF($A862="","",
  IF(
    OR(
      AND($A862&gt;=4,$A862&lt;=8),
      AND($A862&gt;=12,$A862&lt;=19),
      AND($A862&gt;=28,$A862&lt;=29)
    ),
    IFERROR(
      INDEX('Daily Sales'!$C:$AG,
        $A862,
        MATCH(TEXT($B862,"0"),TEXT('Daily Sales'!$C$2:$AG$2,"0"),0)
      ),
    ""),
  "")
)</f>
        <v/>
      </c>
      <c r="J862" s="79" t="e">
        <f t="shared" si="15"/>
        <v>#VALUE!</v>
      </c>
      <c r="K862" s="141"/>
      <c r="L862" s="141"/>
      <c r="M862" s="141"/>
      <c r="N862" s="133"/>
      <c r="O862" s="4"/>
      <c r="P862" s="4"/>
      <c r="Q862" s="4"/>
      <c r="R862" s="109"/>
      <c r="S862" s="109"/>
      <c r="T862" s="108"/>
      <c r="U862" s="110"/>
      <c r="V862" s="110"/>
      <c r="W862" s="110"/>
      <c r="X862" s="110"/>
    </row>
    <row r="863" spans="1:24" ht="13.5" customHeight="1">
      <c r="A863" s="110">
        <f>IF(E863="","",MATCH(E863,'Daily Sales'!B$4:B$51,0)+3)</f>
        <v>44</v>
      </c>
      <c r="B863" s="135">
        <v>46200</v>
      </c>
      <c r="C863" s="136" t="s">
        <v>117</v>
      </c>
      <c r="D863" s="137" t="str">
        <f t="array" ref="D863">IF($A863="","",INDEX('Daily Sales'!A:A,$A863))</f>
        <v>1-1214</v>
      </c>
      <c r="E863" s="138" t="s">
        <v>60</v>
      </c>
      <c r="F863" s="139" t="str">
        <f t="shared" si="18"/>
        <v>Bank BRI CC</v>
      </c>
      <c r="G863" s="140"/>
      <c r="H863" s="138">
        <f t="array" ref="H863">IF($A863="","",
  IF(
    OR(
      $A863=23,
      AND($A863&gt;=32,$A863&lt;=50)
    ),
    IFERROR(
      INDEX('Daily Sales'!$C:$AG,
        $A863,
        MATCH(TEXT($B863,"0"),TEXT('Daily Sales'!$C$2:$AG$2,"0"),0)
      ),
    ""),
  "")
)</f>
        <v>0</v>
      </c>
      <c r="I863" s="138" t="str">
        <f t="array" ref="I863">IF($A863="","",
  IF(
    OR(
      AND($A863&gt;=4,$A863&lt;=8),
      AND($A863&gt;=12,$A863&lt;=19),
      AND($A863&gt;=28,$A863&lt;=29)
    ),
    IFERROR(
      INDEX('Daily Sales'!$C:$AG,
        $A863,
        MATCH(TEXT($B863,"0"),TEXT('Daily Sales'!$C$2:$AG$2,"0"),0)
      ),
    ""),
  "")
)</f>
        <v/>
      </c>
      <c r="J863" s="79" t="e">
        <f t="shared" si="15"/>
        <v>#VALUE!</v>
      </c>
      <c r="K863" s="141"/>
      <c r="L863" s="141"/>
      <c r="M863" s="141"/>
      <c r="N863" s="133"/>
      <c r="O863" s="4"/>
      <c r="P863" s="4"/>
      <c r="Q863" s="4"/>
      <c r="R863" s="109"/>
      <c r="S863" s="109"/>
      <c r="T863" s="108"/>
      <c r="U863" s="110"/>
      <c r="V863" s="110"/>
      <c r="W863" s="110"/>
      <c r="X863" s="110"/>
    </row>
    <row r="864" spans="1:24" ht="13.5" customHeight="1">
      <c r="A864" s="110">
        <f>IF(E864="","",MATCH(E864,'Daily Sales'!B$4:B$51,0)+3)</f>
        <v>45</v>
      </c>
      <c r="B864" s="135">
        <v>46200</v>
      </c>
      <c r="C864" s="136" t="s">
        <v>117</v>
      </c>
      <c r="D864" s="137" t="str">
        <f t="array" ref="D864">IF($A864="","",INDEX('Daily Sales'!A:A,$A864))</f>
        <v>1-1214</v>
      </c>
      <c r="E864" s="138" t="s">
        <v>61</v>
      </c>
      <c r="F864" s="139" t="str">
        <f t="shared" si="18"/>
        <v>Bank BRI QR</v>
      </c>
      <c r="G864" s="140"/>
      <c r="H864" s="138">
        <f t="array" ref="H864">IF($A864="","",
  IF(
    OR(
      $A864=23,
      AND($A864&gt;=32,$A864&lt;=50)
    ),
    IFERROR(
      INDEX('Daily Sales'!$C:$AG,
        $A864,
        MATCH(TEXT($B864,"0"),TEXT('Daily Sales'!$C$2:$AG$2,"0"),0)
      ),
    ""),
  "")
)</f>
        <v>0</v>
      </c>
      <c r="I864" s="138" t="str">
        <f t="array" ref="I864">IF($A864="","",
  IF(
    OR(
      AND($A864&gt;=4,$A864&lt;=8),
      AND($A864&gt;=12,$A864&lt;=19),
      AND($A864&gt;=28,$A864&lt;=29)
    ),
    IFERROR(
      INDEX('Daily Sales'!$C:$AG,
        $A864,
        MATCH(TEXT($B864,"0"),TEXT('Daily Sales'!$C$2:$AG$2,"0"),0)
      ),
    ""),
  "")
)</f>
        <v/>
      </c>
      <c r="J864" s="79" t="e">
        <f t="shared" si="15"/>
        <v>#VALUE!</v>
      </c>
      <c r="K864" s="141"/>
      <c r="L864" s="141"/>
      <c r="M864" s="141"/>
      <c r="N864" s="133"/>
      <c r="O864" s="4"/>
      <c r="P864" s="4"/>
      <c r="Q864" s="4"/>
      <c r="R864" s="109"/>
      <c r="S864" s="109"/>
      <c r="T864" s="108"/>
      <c r="U864" s="110"/>
      <c r="V864" s="110"/>
      <c r="W864" s="110"/>
      <c r="X864" s="110"/>
    </row>
    <row r="865" spans="1:24" ht="13.5" customHeight="1">
      <c r="A865" s="110">
        <f>IF(E865="","",MATCH(E865,'Daily Sales'!B$4:B$51,0)+3)</f>
        <v>46</v>
      </c>
      <c r="B865" s="135">
        <v>46200</v>
      </c>
      <c r="C865" s="136" t="s">
        <v>117</v>
      </c>
      <c r="D865" s="137" t="str">
        <f t="array" ref="D865">IF($A865="","",INDEX('Daily Sales'!A:A,$A865))</f>
        <v>1-1202</v>
      </c>
      <c r="E865" s="138" t="s">
        <v>64</v>
      </c>
      <c r="F865" s="139" t="str">
        <f t="shared" si="18"/>
        <v>Ledger</v>
      </c>
      <c r="G865" s="140"/>
      <c r="H865" s="138">
        <f t="array" ref="H865">IF($A865="","",
  IF(
    OR(
      $A865=23,
      AND($A865&gt;=32,$A865&lt;=50)
    ),
    IFERROR(
      INDEX('Daily Sales'!$C:$AG,
        $A865,
        MATCH(TEXT($B865,"0"),TEXT('Daily Sales'!$C$2:$AG$2,"0"),0)
      ),
    ""),
  "")
)</f>
        <v>2521723</v>
      </c>
      <c r="I865" s="138" t="str">
        <f t="array" ref="I865">IF($A865="","",
  IF(
    OR(
      AND($A865&gt;=4,$A865&lt;=8),
      AND($A865&gt;=12,$A865&lt;=19),
      AND($A865&gt;=28,$A865&lt;=29)
    ),
    IFERROR(
      INDEX('Daily Sales'!$C:$AG,
        $A865,
        MATCH(TEXT($B865,"0"),TEXT('Daily Sales'!$C$2:$AG$2,"0"),0)
      ),
    ""),
  "")
)</f>
        <v/>
      </c>
      <c r="J865" s="79" t="e">
        <f t="shared" si="15"/>
        <v>#VALUE!</v>
      </c>
      <c r="K865" s="141"/>
      <c r="L865" s="141"/>
      <c r="M865" s="141"/>
      <c r="N865" s="133"/>
      <c r="O865" s="4"/>
      <c r="P865" s="4"/>
      <c r="Q865" s="4"/>
      <c r="R865" s="109"/>
      <c r="S865" s="109"/>
      <c r="T865" s="108"/>
      <c r="U865" s="110"/>
      <c r="V865" s="110"/>
      <c r="W865" s="110"/>
      <c r="X865" s="110"/>
    </row>
    <row r="866" spans="1:24" ht="13.5" customHeight="1">
      <c r="A866" s="110">
        <f>IF(E866="","",MATCH(E866,'Daily Sales'!B$4:B$51,0)+3)</f>
        <v>47</v>
      </c>
      <c r="B866" s="135">
        <v>46200</v>
      </c>
      <c r="C866" s="136" t="s">
        <v>117</v>
      </c>
      <c r="D866" s="137" t="str">
        <f t="array" ref="D866">IF($A866="","",INDEX('Daily Sales'!A:A,$A866))</f>
        <v>1-1129</v>
      </c>
      <c r="E866" s="138" t="s">
        <v>66</v>
      </c>
      <c r="F866" s="139" t="str">
        <f t="shared" si="18"/>
        <v>Star Points</v>
      </c>
      <c r="G866" s="140"/>
      <c r="H866" s="138">
        <f t="array" ref="H866">IF($A866="","",
  IF(
    OR(
      $A866=23,
      AND($A866&gt;=32,$A866&lt;=50)
    ),
    IFERROR(
      INDEX('Daily Sales'!$C:$AG,
        $A866,
        MATCH(TEXT($B866,"0"),TEXT('Daily Sales'!$C$2:$AG$2,"0"),0)
      ),
    ""),
  "")
)</f>
        <v>0</v>
      </c>
      <c r="I866" s="138" t="str">
        <f t="array" ref="I866">IF($A866="","",
  IF(
    OR(
      AND($A866&gt;=4,$A866&lt;=8),
      AND($A866&gt;=12,$A866&lt;=19),
      AND($A866&gt;=28,$A866&lt;=29)
    ),
    IFERROR(
      INDEX('Daily Sales'!$C:$AG,
        $A866,
        MATCH(TEXT($B866,"0"),TEXT('Daily Sales'!$C$2:$AG$2,"0"),0)
      ),
    ""),
  "")
)</f>
        <v/>
      </c>
      <c r="J866" s="79" t="e">
        <f t="shared" si="15"/>
        <v>#VALUE!</v>
      </c>
      <c r="K866" s="141"/>
      <c r="L866" s="141"/>
      <c r="M866" s="141"/>
      <c r="N866" s="133"/>
      <c r="O866" s="4"/>
      <c r="P866" s="4"/>
      <c r="Q866" s="4"/>
      <c r="R866" s="109"/>
      <c r="S866" s="109"/>
      <c r="T866" s="108"/>
      <c r="U866" s="110"/>
      <c r="V866" s="110"/>
      <c r="W866" s="110"/>
      <c r="X866" s="110"/>
    </row>
    <row r="867" spans="1:24" ht="13.5" customHeight="1">
      <c r="A867" s="110">
        <f>IF(E867="","",MATCH(E867,'Daily Sales'!B$4:B$51,0)+3)</f>
        <v>48</v>
      </c>
      <c r="B867" s="135">
        <v>46200</v>
      </c>
      <c r="C867" s="136" t="s">
        <v>117</v>
      </c>
      <c r="D867" s="137" t="str">
        <f t="array" ref="D867">IF($A867="","",INDEX('Daily Sales'!A:A,$A867))</f>
        <v>1-1215</v>
      </c>
      <c r="E867" s="138" t="s">
        <v>68</v>
      </c>
      <c r="F867" s="139" t="str">
        <f t="shared" si="18"/>
        <v>Ovo</v>
      </c>
      <c r="G867" s="140"/>
      <c r="H867" s="138">
        <f t="array" ref="H867">IF($A867="","",
  IF(
    OR(
      $A867=23,
      AND($A867&gt;=32,$A867&lt;=50)
    ),
    IFERROR(
      INDEX('Daily Sales'!$C:$AG,
        $A867,
        MATCH(TEXT($B867,"0"),TEXT('Daily Sales'!$C$2:$AG$2,"0"),0)
      ),
    ""),
  "")
)</f>
        <v>413750</v>
      </c>
      <c r="I867" s="138" t="str">
        <f t="array" ref="I867">IF($A867="","",
  IF(
    OR(
      AND($A867&gt;=4,$A867&lt;=8),
      AND($A867&gt;=12,$A867&lt;=19),
      AND($A867&gt;=28,$A867&lt;=29)
    ),
    IFERROR(
      INDEX('Daily Sales'!$C:$AG,
        $A867,
        MATCH(TEXT($B867,"0"),TEXT('Daily Sales'!$C$2:$AG$2,"0"),0)
      ),
    ""),
  "")
)</f>
        <v/>
      </c>
      <c r="J867" s="79" t="e">
        <f t="shared" si="15"/>
        <v>#VALUE!</v>
      </c>
      <c r="K867" s="141"/>
      <c r="L867" s="141"/>
      <c r="M867" s="141"/>
      <c r="N867" s="133"/>
      <c r="O867" s="4"/>
      <c r="P867" s="4"/>
      <c r="Q867" s="4"/>
      <c r="R867" s="109"/>
      <c r="S867" s="109"/>
      <c r="T867" s="108"/>
      <c r="U867" s="110"/>
      <c r="V867" s="110"/>
      <c r="W867" s="110"/>
      <c r="X867" s="110"/>
    </row>
    <row r="868" spans="1:24" ht="13.5" customHeight="1">
      <c r="A868" s="110">
        <f>IF(E868="","",MATCH(E868,'Daily Sales'!B$4:B$51,0)+3)</f>
        <v>49</v>
      </c>
      <c r="B868" s="135">
        <v>46200</v>
      </c>
      <c r="C868" s="136" t="s">
        <v>117</v>
      </c>
      <c r="D868" s="137" t="str">
        <f t="array" ref="D868">IF($A868="","",INDEX('Daily Sales'!A:A,$A868))</f>
        <v>1-1211</v>
      </c>
      <c r="E868" s="138" t="s">
        <v>70</v>
      </c>
      <c r="F868" s="139" t="str">
        <f t="shared" si="18"/>
        <v>Gopay</v>
      </c>
      <c r="G868" s="140"/>
      <c r="H868" s="138">
        <f t="array" ref="H868">IF($A868="","",
  IF(
    OR(
      $A868=23,
      AND($A868&gt;=32,$A868&lt;=50)
    ),
    IFERROR(
      INDEX('Daily Sales'!$C:$AG,
        $A868,
        MATCH(TEXT($B868,"0"),TEXT('Daily Sales'!$C$2:$AG$2,"0"),0)
      ),
    ""),
  "")
)</f>
        <v>0</v>
      </c>
      <c r="I868" s="138" t="str">
        <f t="array" ref="I868">IF($A868="","",
  IF(
    OR(
      AND($A868&gt;=4,$A868&lt;=8),
      AND($A868&gt;=12,$A868&lt;=19),
      AND($A868&gt;=28,$A868&lt;=29)
    ),
    IFERROR(
      INDEX('Daily Sales'!$C:$AG,
        $A868,
        MATCH(TEXT($B868,"0"),TEXT('Daily Sales'!$C$2:$AG$2,"0"),0)
      ),
    ""),
  "")
)</f>
        <v/>
      </c>
      <c r="J868" s="79" t="e">
        <f t="shared" si="15"/>
        <v>#VALUE!</v>
      </c>
      <c r="K868" s="141"/>
      <c r="L868" s="141"/>
      <c r="M868" s="141"/>
      <c r="N868" s="133"/>
      <c r="O868" s="4"/>
      <c r="P868" s="4"/>
      <c r="Q868" s="4"/>
      <c r="R868" s="109"/>
      <c r="S868" s="109"/>
      <c r="T868" s="108"/>
      <c r="U868" s="110"/>
      <c r="V868" s="110"/>
      <c r="W868" s="110"/>
      <c r="X868" s="110"/>
    </row>
    <row r="869" spans="1:24" ht="13.5" customHeight="1">
      <c r="A869" s="110">
        <f>IF(E869="","",MATCH(E869,'Daily Sales'!B$4:B$51,0)+3)</f>
        <v>50</v>
      </c>
      <c r="B869" s="135">
        <v>46200</v>
      </c>
      <c r="C869" s="136" t="s">
        <v>117</v>
      </c>
      <c r="D869" s="137" t="str">
        <f t="array" ref="D869">IF($A869="","",INDEX('Daily Sales'!A:A,$A869))</f>
        <v>2-2110</v>
      </c>
      <c r="E869" s="138" t="s">
        <v>72</v>
      </c>
      <c r="F869" s="139" t="str">
        <f t="shared" si="18"/>
        <v>Cash Short/Over</v>
      </c>
      <c r="G869" s="140"/>
      <c r="H869" s="138">
        <f t="array" ref="H869">IF($A869="","",
  IF(
    OR(
      $A869=23,
      AND($A869&gt;=32,$A869&lt;=50)
    ),
    IFERROR(
      INDEX('Daily Sales'!$C:$AG,
        $A869,
        MATCH(TEXT($B869,"0"),TEXT('Daily Sales'!$C$2:$AG$2,"0"),0)
      ),
    ""),
  "")
)</f>
        <v>-235047.67999999999</v>
      </c>
      <c r="I869" s="138" t="str">
        <f t="array" ref="I869">IF($A869="","",
  IF(
    OR(
      AND($A869&gt;=4,$A869&lt;=8),
      AND($A869&gt;=12,$A869&lt;=19),
      AND($A869&gt;=28,$A869&lt;=29)
    ),
    IFERROR(
      INDEX('Daily Sales'!$C:$AG,
        $A869,
        MATCH(TEXT($B869,"0"),TEXT('Daily Sales'!$C$2:$AG$2,"0"),0)
      ),
    ""),
  "")
)</f>
        <v/>
      </c>
      <c r="J869" s="79" t="e">
        <f t="shared" si="15"/>
        <v>#VALUE!</v>
      </c>
      <c r="K869" s="141"/>
      <c r="L869" s="141"/>
      <c r="M869" s="141"/>
      <c r="N869" s="133"/>
      <c r="O869" s="4"/>
      <c r="P869" s="4"/>
      <c r="Q869" s="4"/>
      <c r="R869" s="109"/>
      <c r="S869" s="109"/>
      <c r="T869" s="108"/>
      <c r="U869" s="110"/>
      <c r="V869" s="110"/>
      <c r="W869" s="110"/>
      <c r="X869" s="110"/>
    </row>
    <row r="870" spans="1:24" ht="14.25" customHeight="1">
      <c r="A870" s="110"/>
      <c r="B870" s="125"/>
      <c r="C870" s="126"/>
      <c r="D870" s="143"/>
      <c r="E870" s="10" t="e">
        <f>TRIM(VLOOKUP(D870,TB!$B$9:$C$1500,2,FALSE))</f>
        <v>#N/A</v>
      </c>
      <c r="F870" s="142"/>
      <c r="G870" s="130"/>
      <c r="H870" s="10"/>
      <c r="I870" s="10"/>
      <c r="J870" s="79" t="e">
        <f t="shared" si="15"/>
        <v>#VALUE!</v>
      </c>
      <c r="K870" s="141"/>
      <c r="L870" s="141"/>
      <c r="M870" s="141"/>
      <c r="N870" s="133"/>
      <c r="O870" s="4"/>
      <c r="P870" s="4"/>
      <c r="Q870" s="4"/>
      <c r="R870" s="134"/>
      <c r="S870" s="109"/>
      <c r="T870" s="108"/>
      <c r="U870" s="110"/>
      <c r="V870" s="110"/>
      <c r="W870" s="110"/>
      <c r="X870" s="110"/>
    </row>
    <row r="871" spans="1:24" ht="13.5" customHeight="1">
      <c r="A871" s="110">
        <f>IF(E871="","",MATCH(E871,'Daily Sales'!B$4:B$51,0)+3)</f>
        <v>4</v>
      </c>
      <c r="B871" s="135">
        <v>46201</v>
      </c>
      <c r="C871" s="136" t="s">
        <v>118</v>
      </c>
      <c r="D871" s="137" t="str">
        <f t="array" ref="D871">IF($A871="","",INDEX('Daily Sales'!A:A,$A871))</f>
        <v>4-2100</v>
      </c>
      <c r="E871" s="138" t="s">
        <v>5</v>
      </c>
      <c r="F871" s="139" t="str">
        <f t="shared" ref="F871:F901" si="19">E871</f>
        <v>Sales Food TERRACE</v>
      </c>
      <c r="G871" s="140"/>
      <c r="H871" s="138" t="str">
        <f t="array" ref="H871">IF($A871="","",
  IF(
    OR(
      $A871=23,
      AND($A871&gt;=32,$A871&lt;=50)
    ),
    IFERROR(
      INDEX('Daily Sales'!$C:$AG,
        $A871,
        MATCH(TEXT($B871,"0"),TEXT('Daily Sales'!$C$2:$AG$2,"0"),0)
      ),
    ""),
  "")
)</f>
        <v/>
      </c>
      <c r="I871" s="138">
        <f t="array" ref="I871">IF($A871="","",
  IF(
    OR(
      AND($A871&gt;=4,$A871&lt;=8),
      AND($A871&gt;=12,$A871&lt;=19),
      AND($A871&gt;=28,$A871&lt;=29)
    ),
    IFERROR(
      INDEX('Daily Sales'!$C:$AG,
        $A871,
        MATCH(TEXT($B871,"0"),TEXT('Daily Sales'!$C$2:$AG$2,"0"),0)
      ),
    ""),
  "")
)</f>
        <v>3120000</v>
      </c>
      <c r="J871" s="79" t="e">
        <f t="shared" si="15"/>
        <v>#VALUE!</v>
      </c>
      <c r="K871" s="141"/>
      <c r="L871" s="141"/>
      <c r="M871" s="141"/>
      <c r="N871" s="133"/>
      <c r="O871" s="4"/>
      <c r="P871" s="4"/>
      <c r="Q871" s="4"/>
      <c r="R871" s="109"/>
      <c r="S871" s="109"/>
      <c r="T871" s="108"/>
      <c r="U871" s="110"/>
      <c r="V871" s="110"/>
      <c r="W871" s="110"/>
      <c r="X871" s="110"/>
    </row>
    <row r="872" spans="1:24" ht="13.5" customHeight="1">
      <c r="A872" s="110">
        <f>IF(E872="","",MATCH(E872,'Daily Sales'!B$4:B$51,0)+3)</f>
        <v>5</v>
      </c>
      <c r="B872" s="135">
        <v>46201</v>
      </c>
      <c r="C872" s="136" t="s">
        <v>118</v>
      </c>
      <c r="D872" s="137" t="str">
        <f t="array" ref="D872">IF($A872="","",INDEX('Daily Sales'!A:A,$A872))</f>
        <v>4-2200</v>
      </c>
      <c r="E872" s="138" t="s">
        <v>7</v>
      </c>
      <c r="F872" s="139" t="str">
        <f t="shared" si="19"/>
        <v>Sales Beverages TERRACE</v>
      </c>
      <c r="G872" s="140"/>
      <c r="H872" s="138" t="str">
        <f t="array" ref="H872">IF($A872="","",
  IF(
    OR(
      $A872=23,
      AND($A872&gt;=32,$A872&lt;=50)
    ),
    IFERROR(
      INDEX('Daily Sales'!$C:$AG,
        $A872,
        MATCH(TEXT($B872,"0"),TEXT('Daily Sales'!$C$2:$AG$2,"0"),0)
      ),
    ""),
  "")
)</f>
        <v/>
      </c>
      <c r="I872" s="138">
        <f t="array" ref="I872">IF($A872="","",
  IF(
    OR(
      AND($A872&gt;=4,$A872&lt;=8),
      AND($A872&gt;=12,$A872&lt;=19),
      AND($A872&gt;=28,$A872&lt;=29)
    ),
    IFERROR(
      INDEX('Daily Sales'!$C:$AG,
        $A872,
        MATCH(TEXT($B872,"0"),TEXT('Daily Sales'!$C$2:$AG$2,"0"),0)
      ),
    ""),
  "")
)</f>
        <v>3978000</v>
      </c>
      <c r="J872" s="79" t="e">
        <f t="shared" si="15"/>
        <v>#VALUE!</v>
      </c>
      <c r="K872" s="141"/>
      <c r="L872" s="141"/>
      <c r="M872" s="141"/>
      <c r="N872" s="133"/>
      <c r="O872" s="4"/>
      <c r="P872" s="4"/>
      <c r="Q872" s="4"/>
      <c r="R872" s="109"/>
      <c r="S872" s="109"/>
      <c r="T872" s="108"/>
      <c r="U872" s="110"/>
      <c r="V872" s="110"/>
      <c r="W872" s="110"/>
      <c r="X872" s="110"/>
    </row>
    <row r="873" spans="1:24" ht="13.5" customHeight="1">
      <c r="A873" s="110">
        <f>IF(E873="","",MATCH(E873,'Daily Sales'!B$4:B$51,0)+3)</f>
        <v>6</v>
      </c>
      <c r="B873" s="135">
        <v>46201</v>
      </c>
      <c r="C873" s="136" t="s">
        <v>118</v>
      </c>
      <c r="D873" s="137" t="str">
        <f t="array" ref="D873">IF($A873="","",INDEX('Daily Sales'!A:A,$A873))</f>
        <v>4-2400</v>
      </c>
      <c r="E873" s="138" t="s">
        <v>9</v>
      </c>
      <c r="F873" s="139" t="str">
        <f t="shared" si="19"/>
        <v>Sales Cigarette TERRACE</v>
      </c>
      <c r="G873" s="140"/>
      <c r="H873" s="138" t="str">
        <f t="array" ref="H873">IF($A873="","",
  IF(
    OR(
      $A873=23,
      AND($A873&gt;=32,$A873&lt;=50)
    ),
    IFERROR(
      INDEX('Daily Sales'!$C:$AG,
        $A873,
        MATCH(TEXT($B873,"0"),TEXT('Daily Sales'!$C$2:$AG$2,"0"),0)
      ),
    ""),
  "")
)</f>
        <v/>
      </c>
      <c r="I873" s="138">
        <f t="array" ref="I873">IF($A873="","",
  IF(
    OR(
      AND($A873&gt;=4,$A873&lt;=8),
      AND($A873&gt;=12,$A873&lt;=19),
      AND($A873&gt;=28,$A873&lt;=29)
    ),
    IFERROR(
      INDEX('Daily Sales'!$C:$AG,
        $A873,
        MATCH(TEXT($B873,"0"),TEXT('Daily Sales'!$C$2:$AG$2,"0"),0)
      ),
    ""),
  "")
)</f>
        <v>70000</v>
      </c>
      <c r="J873" s="79" t="e">
        <f t="shared" si="15"/>
        <v>#VALUE!</v>
      </c>
      <c r="K873" s="141"/>
      <c r="L873" s="141"/>
      <c r="M873" s="141"/>
      <c r="N873" s="133"/>
      <c r="O873" s="4"/>
      <c r="P873" s="4"/>
      <c r="Q873" s="4"/>
      <c r="R873" s="109"/>
      <c r="S873" s="109"/>
      <c r="T873" s="108"/>
      <c r="U873" s="110"/>
      <c r="V873" s="110"/>
      <c r="W873" s="110"/>
      <c r="X873" s="110"/>
    </row>
    <row r="874" spans="1:24" ht="13.5" customHeight="1">
      <c r="A874" s="110">
        <f>IF(E874="","",MATCH(E874,'Daily Sales'!B$4:B$51,0)+3)</f>
        <v>7</v>
      </c>
      <c r="B874" s="135">
        <v>46201</v>
      </c>
      <c r="C874" s="136" t="s">
        <v>118</v>
      </c>
      <c r="D874" s="137" t="str">
        <f t="array" ref="D874">IF($A874="","",INDEX('Daily Sales'!A:A,$A874))</f>
        <v>4-2300</v>
      </c>
      <c r="E874" s="138" t="s">
        <v>11</v>
      </c>
      <c r="F874" s="139" t="str">
        <f t="shared" si="19"/>
        <v>Sales Shisa TERRACE</v>
      </c>
      <c r="G874" s="140"/>
      <c r="H874" s="138" t="str">
        <f t="array" ref="H874">IF($A874="","",
  IF(
    OR(
      $A874=23,
      AND($A874&gt;=32,$A874&lt;=50)
    ),
    IFERROR(
      INDEX('Daily Sales'!$C:$AG,
        $A874,
        MATCH(TEXT($B874,"0"),TEXT('Daily Sales'!$C$2:$AG$2,"0"),0)
      ),
    ""),
  "")
)</f>
        <v/>
      </c>
      <c r="I874" s="138">
        <f t="array" ref="I874">IF($A874="","",
  IF(
    OR(
      AND($A874&gt;=4,$A874&lt;=8),
      AND($A874&gt;=12,$A874&lt;=19),
      AND($A874&gt;=28,$A874&lt;=29)
    ),
    IFERROR(
      INDEX('Daily Sales'!$C:$AG,
        $A874,
        MATCH(TEXT($B874,"0"),TEXT('Daily Sales'!$C$2:$AG$2,"0"),0)
      ),
    ""),
  "")
)</f>
        <v>250000</v>
      </c>
      <c r="J874" s="79" t="e">
        <f t="shared" si="15"/>
        <v>#VALUE!</v>
      </c>
      <c r="K874" s="141"/>
      <c r="L874" s="141"/>
      <c r="M874" s="141"/>
      <c r="N874" s="133"/>
      <c r="O874" s="4"/>
      <c r="P874" s="4"/>
      <c r="Q874" s="4"/>
      <c r="R874" s="109"/>
      <c r="S874" s="109"/>
      <c r="T874" s="108"/>
      <c r="U874" s="110"/>
      <c r="V874" s="110"/>
      <c r="W874" s="110"/>
      <c r="X874" s="110"/>
    </row>
    <row r="875" spans="1:24" ht="13.5" customHeight="1">
      <c r="A875" s="110">
        <f>IF(E875="","",MATCH(E875,'Daily Sales'!B$4:B$51,0)+3)</f>
        <v>12</v>
      </c>
      <c r="B875" s="135">
        <v>46201</v>
      </c>
      <c r="C875" s="136" t="s">
        <v>118</v>
      </c>
      <c r="D875" s="137" t="str">
        <f t="array" ref="D875">IF($A875="","",INDEX('Daily Sales'!A:A,$A875))</f>
        <v>4-2200</v>
      </c>
      <c r="E875" s="138" t="s">
        <v>17</v>
      </c>
      <c r="F875" s="139" t="str">
        <f t="shared" si="19"/>
        <v>Sales Beverages CLUB</v>
      </c>
      <c r="G875" s="140"/>
      <c r="H875" s="138" t="str">
        <f t="array" ref="H875">IF($A875="","",
  IF(
    OR(
      $A875=23,
      AND($A875&gt;=32,$A875&lt;=50)
    ),
    IFERROR(
      INDEX('Daily Sales'!$C:$AG,
        $A875,
        MATCH(TEXT($B875,"0"),TEXT('Daily Sales'!$C$2:$AG$2,"0"),0)
      ),
    ""),
  "")
)</f>
        <v/>
      </c>
      <c r="I875" s="138">
        <f t="array" ref="I875">IF($A875="","",
  IF(
    OR(
      AND($A875&gt;=4,$A875&lt;=8),
      AND($A875&gt;=12,$A875&lt;=19),
      AND($A875&gt;=28,$A875&lt;=29)
    ),
    IFERROR(
      INDEX('Daily Sales'!$C:$AG,
        $A875,
        MATCH(TEXT($B875,"0"),TEXT('Daily Sales'!$C$2:$AG$2,"0"),0)
      ),
    ""),
  "")
)</f>
        <v>15955000</v>
      </c>
      <c r="J875" s="79" t="e">
        <f t="shared" si="15"/>
        <v>#VALUE!</v>
      </c>
      <c r="K875" s="141"/>
      <c r="L875" s="141"/>
      <c r="M875" s="141"/>
      <c r="N875" s="133"/>
      <c r="O875" s="4"/>
      <c r="P875" s="4"/>
      <c r="Q875" s="4"/>
      <c r="R875" s="109"/>
      <c r="S875" s="109"/>
      <c r="T875" s="108"/>
      <c r="U875" s="110"/>
      <c r="V875" s="110"/>
      <c r="W875" s="110"/>
      <c r="X875" s="110"/>
    </row>
    <row r="876" spans="1:24" ht="13.5" customHeight="1">
      <c r="A876" s="110">
        <f>IF(E876="","",MATCH(E876,'Daily Sales'!B$4:B$51,0)+3)</f>
        <v>13</v>
      </c>
      <c r="B876" s="135">
        <v>46201</v>
      </c>
      <c r="C876" s="136" t="s">
        <v>118</v>
      </c>
      <c r="D876" s="137" t="str">
        <f t="array" ref="D876">IF($A876="","",INDEX('Daily Sales'!A:A,$A876))</f>
        <v>4-2400</v>
      </c>
      <c r="E876" s="138" t="s">
        <v>18</v>
      </c>
      <c r="F876" s="139" t="str">
        <f t="shared" si="19"/>
        <v>Sales Cigarette CLUB</v>
      </c>
      <c r="G876" s="140"/>
      <c r="H876" s="138" t="str">
        <f t="array" ref="H876">IF($A876="","",
  IF(
    OR(
      $A876=23,
      AND($A876&gt;=32,$A876&lt;=50)
    ),
    IFERROR(
      INDEX('Daily Sales'!$C:$AG,
        $A876,
        MATCH(TEXT($B876,"0"),TEXT('Daily Sales'!$C$2:$AG$2,"0"),0)
      ),
    ""),
  "")
)</f>
        <v/>
      </c>
      <c r="I876" s="138">
        <f t="array" ref="I876">IF($A876="","",
  IF(
    OR(
      AND($A876&gt;=4,$A876&lt;=8),
      AND($A876&gt;=12,$A876&lt;=19),
      AND($A876&gt;=28,$A876&lt;=29)
    ),
    IFERROR(
      INDEX('Daily Sales'!$C:$AG,
        $A876,
        MATCH(TEXT($B876,"0"),TEXT('Daily Sales'!$C$2:$AG$2,"0"),0)
      ),
    ""),
  "")
)</f>
        <v>0</v>
      </c>
      <c r="J876" s="79" t="e">
        <f t="shared" si="15"/>
        <v>#VALUE!</v>
      </c>
      <c r="K876" s="141"/>
      <c r="L876" s="141"/>
      <c r="M876" s="141"/>
      <c r="N876" s="133"/>
      <c r="O876" s="4"/>
      <c r="P876" s="4"/>
      <c r="Q876" s="4"/>
      <c r="R876" s="109"/>
      <c r="S876" s="109"/>
      <c r="T876" s="108"/>
      <c r="U876" s="110"/>
      <c r="V876" s="110"/>
      <c r="W876" s="110"/>
      <c r="X876" s="110"/>
    </row>
    <row r="877" spans="1:24" ht="13.5" customHeight="1">
      <c r="A877" s="110">
        <f>IF(E877="","",MATCH(E877,'Daily Sales'!B$4:B$51,0)+3)</f>
        <v>14</v>
      </c>
      <c r="B877" s="135">
        <v>46201</v>
      </c>
      <c r="C877" s="136" t="s">
        <v>118</v>
      </c>
      <c r="D877" s="137" t="str">
        <f t="array" ref="D877">IF($A877="","",INDEX('Daily Sales'!A:A,$A877))</f>
        <v>4-2100</v>
      </c>
      <c r="E877" s="138" t="s">
        <v>19</v>
      </c>
      <c r="F877" s="139" t="str">
        <f t="shared" si="19"/>
        <v>Sales Food CLUB</v>
      </c>
      <c r="G877" s="140"/>
      <c r="H877" s="138" t="str">
        <f t="array" ref="H877">IF($A877="","",
  IF(
    OR(
      $A877=23,
      AND($A877&gt;=32,$A877&lt;=50)
    ),
    IFERROR(
      INDEX('Daily Sales'!$C:$AG,
        $A877,
        MATCH(TEXT($B877,"0"),TEXT('Daily Sales'!$C$2:$AG$2,"0"),0)
      ),
    ""),
  "")
)</f>
        <v/>
      </c>
      <c r="I877" s="138">
        <f t="array" ref="I877">IF($A877="","",
  IF(
    OR(
      AND($A877&gt;=4,$A877&lt;=8),
      AND($A877&gt;=12,$A877&lt;=19),
      AND($A877&gt;=28,$A877&lt;=29)
    ),
    IFERROR(
      INDEX('Daily Sales'!$C:$AG,
        $A877,
        MATCH(TEXT($B877,"0"),TEXT('Daily Sales'!$C$2:$AG$2,"0"),0)
      ),
    ""),
  "")
)</f>
        <v>100000</v>
      </c>
      <c r="J877" s="79" t="e">
        <f t="shared" si="15"/>
        <v>#VALUE!</v>
      </c>
      <c r="K877" s="141"/>
      <c r="L877" s="141"/>
      <c r="M877" s="141"/>
      <c r="N877" s="133"/>
      <c r="O877" s="4"/>
      <c r="P877" s="4"/>
      <c r="Q877" s="4"/>
      <c r="R877" s="109"/>
      <c r="S877" s="109"/>
      <c r="T877" s="108"/>
      <c r="U877" s="110"/>
      <c r="V877" s="110"/>
      <c r="W877" s="110"/>
      <c r="X877" s="110"/>
    </row>
    <row r="878" spans="1:24" ht="13.5" customHeight="1">
      <c r="A878" s="110">
        <f>IF(E878="","",MATCH(E878,'Daily Sales'!B$4:B$51,0)+3)</f>
        <v>15</v>
      </c>
      <c r="B878" s="135">
        <v>46201</v>
      </c>
      <c r="C878" s="136" t="s">
        <v>118</v>
      </c>
      <c r="D878" s="137" t="str">
        <f t="array" ref="D878">IF($A878="","",INDEX('Daily Sales'!A:A,$A878))</f>
        <v>4-2300</v>
      </c>
      <c r="E878" s="138" t="s">
        <v>20</v>
      </c>
      <c r="F878" s="139" t="str">
        <f t="shared" si="19"/>
        <v>Sales Shisa CLUB</v>
      </c>
      <c r="G878" s="140"/>
      <c r="H878" s="138" t="str">
        <f t="array" ref="H878">IF($A878="","",
  IF(
    OR(
      $A878=23,
      AND($A878&gt;=32,$A878&lt;=50)
    ),
    IFERROR(
      INDEX('Daily Sales'!$C:$AG,
        $A878,
        MATCH(TEXT($B878,"0"),TEXT('Daily Sales'!$C$2:$AG$2,"0"),0)
      ),
    ""),
  "")
)</f>
        <v/>
      </c>
      <c r="I878" s="138">
        <f t="array" ref="I878">IF($A878="","",
  IF(
    OR(
      AND($A878&gt;=4,$A878&lt;=8),
      AND($A878&gt;=12,$A878&lt;=19),
      AND($A878&gt;=28,$A878&lt;=29)
    ),
    IFERROR(
      INDEX('Daily Sales'!$C:$AG,
        $A878,
        MATCH(TEXT($B878,"0"),TEXT('Daily Sales'!$C$2:$AG$2,"0"),0)
      ),
    ""),
  "")
)</f>
        <v>0</v>
      </c>
      <c r="J878" s="79" t="e">
        <f t="shared" si="15"/>
        <v>#VALUE!</v>
      </c>
      <c r="K878" s="141"/>
      <c r="L878" s="141"/>
      <c r="M878" s="141"/>
      <c r="N878" s="133"/>
      <c r="O878" s="4"/>
      <c r="P878" s="4"/>
      <c r="Q878" s="4"/>
      <c r="R878" s="109"/>
      <c r="S878" s="109"/>
      <c r="T878" s="108"/>
      <c r="U878" s="110"/>
      <c r="V878" s="110"/>
      <c r="W878" s="110"/>
      <c r="X878" s="110"/>
    </row>
    <row r="879" spans="1:24" ht="13.5" customHeight="1">
      <c r="A879" s="110">
        <f>IF(E879="","",MATCH(E879,'Daily Sales'!B$4:B$51,0)+3)</f>
        <v>17</v>
      </c>
      <c r="B879" s="135">
        <v>46201</v>
      </c>
      <c r="C879" s="136" t="s">
        <v>118</v>
      </c>
      <c r="D879" s="137" t="str">
        <f t="array" ref="D879">IF($A879="","",INDEX('Daily Sales'!A:A,$A879))</f>
        <v>4-2601</v>
      </c>
      <c r="E879" s="138" t="s">
        <v>23</v>
      </c>
      <c r="F879" s="139" t="str">
        <f t="shared" si="19"/>
        <v xml:space="preserve">Misc </v>
      </c>
      <c r="G879" s="140"/>
      <c r="H879" s="138" t="str">
        <f t="array" ref="H879">IF($A879="","",
  IF(
    OR(
      $A879=23,
      AND($A879&gt;=32,$A879&lt;=50)
    ),
    IFERROR(
      INDEX('Daily Sales'!$C:$AG,
        $A879,
        MATCH(TEXT($B879,"0"),TEXT('Daily Sales'!$C$2:$AG$2,"0"),0)
      ),
    ""),
  "")
)</f>
        <v/>
      </c>
      <c r="I879" s="138">
        <f t="array" ref="I879">IF($A879="","",
  IF(
    OR(
      AND($A879&gt;=4,$A879&lt;=8),
      AND($A879&gt;=12,$A879&lt;=19),
      AND($A879&gt;=28,$A879&lt;=29)
    ),
    IFERROR(
      INDEX('Daily Sales'!$C:$AG,
        $A879,
        MATCH(TEXT($B879,"0"),TEXT('Daily Sales'!$C$2:$AG$2,"0"),0)
      ),
    ""),
  "")
)</f>
        <v>0</v>
      </c>
      <c r="J879" s="79" t="e">
        <f t="shared" si="15"/>
        <v>#VALUE!</v>
      </c>
      <c r="K879" s="141"/>
      <c r="L879" s="141"/>
      <c r="M879" s="141"/>
      <c r="N879" s="133"/>
      <c r="O879" s="4"/>
      <c r="P879" s="4"/>
      <c r="Q879" s="4"/>
      <c r="R879" s="109"/>
      <c r="S879" s="109"/>
      <c r="T879" s="108"/>
      <c r="U879" s="110"/>
      <c r="V879" s="110"/>
      <c r="W879" s="110"/>
      <c r="X879" s="110"/>
    </row>
    <row r="880" spans="1:24" ht="13.5" customHeight="1">
      <c r="A880" s="110">
        <f>IF(E880="","",MATCH(E880,'Daily Sales'!B$4:B$51,0)+3)</f>
        <v>19</v>
      </c>
      <c r="B880" s="135">
        <v>46201</v>
      </c>
      <c r="C880" s="136" t="s">
        <v>118</v>
      </c>
      <c r="D880" s="137" t="str">
        <f t="array" ref="D880">IF($A880="","",INDEX('Daily Sales'!A:A,$A880))</f>
        <v>4-2500</v>
      </c>
      <c r="E880" s="138" t="s">
        <v>26</v>
      </c>
      <c r="F880" s="139" t="str">
        <f t="shared" si="19"/>
        <v>Sales Ticket</v>
      </c>
      <c r="G880" s="140"/>
      <c r="H880" s="138" t="str">
        <f t="array" ref="H880">IF($A880="","",
  IF(
    OR(
      $A880=23,
      AND($A880&gt;=32,$A880&lt;=50)
    ),
    IFERROR(
      INDEX('Daily Sales'!$C:$AG,
        $A880,
        MATCH(TEXT($B880,"0"),TEXT('Daily Sales'!$C$2:$AG$2,"0"),0)
      ),
    ""),
  "")
)</f>
        <v/>
      </c>
      <c r="I880" s="138">
        <f t="array" ref="I880">IF($A880="","",
  IF(
    OR(
      AND($A880&gt;=4,$A880&lt;=8),
      AND($A880&gt;=12,$A880&lt;=19),
      AND($A880&gt;=28,$A880&lt;=29)
    ),
    IFERROR(
      INDEX('Daily Sales'!$C:$AG,
        $A880,
        MATCH(TEXT($B880,"0"),TEXT('Daily Sales'!$C$2:$AG$2,"0"),0)
      ),
    ""),
  "")
)</f>
        <v>9005972</v>
      </c>
      <c r="J880" s="79" t="e">
        <f t="shared" si="15"/>
        <v>#VALUE!</v>
      </c>
      <c r="K880" s="141"/>
      <c r="L880" s="141"/>
      <c r="M880" s="141"/>
      <c r="N880" s="133"/>
      <c r="O880" s="4"/>
      <c r="P880" s="4"/>
      <c r="Q880" s="4"/>
      <c r="R880" s="109"/>
      <c r="S880" s="109"/>
      <c r="T880" s="108"/>
      <c r="U880" s="110"/>
      <c r="V880" s="110"/>
      <c r="W880" s="110"/>
      <c r="X880" s="110"/>
    </row>
    <row r="881" spans="1:24" ht="13.5" customHeight="1">
      <c r="A881" s="110">
        <f>IF(E881="","",MATCH(E881,'Daily Sales'!B$4:B$51,0)+3)</f>
        <v>28</v>
      </c>
      <c r="B881" s="135">
        <v>46201</v>
      </c>
      <c r="C881" s="136" t="s">
        <v>118</v>
      </c>
      <c r="D881" s="137" t="str">
        <f t="array" ref="D881">IF($A881="","",INDEX('Daily Sales'!A:A,$A881))</f>
        <v>2-2106</v>
      </c>
      <c r="E881" s="138" t="s">
        <v>35</v>
      </c>
      <c r="F881" s="139" t="str">
        <f t="shared" si="19"/>
        <v>Service Charges 7%</v>
      </c>
      <c r="G881" s="140"/>
      <c r="H881" s="138" t="str">
        <f t="array" ref="H881">IF($A881="","",
  IF(
    OR(
      $A881=23,
      AND($A881&gt;=32,$A881&lt;=50)
    ),
    IFERROR(
      INDEX('Daily Sales'!$C:$AG,
        $A881,
        MATCH(TEXT($B881,"0"),TEXT('Daily Sales'!$C$2:$AG$2,"0"),0)
      ),
    ""),
  "")
)</f>
        <v/>
      </c>
      <c r="I881" s="138">
        <f t="array" ref="I881">IF($A881="","",
  IF(
    OR(
      AND($A881&gt;=4,$A881&lt;=8),
      AND($A881&gt;=12,$A881&lt;=19),
      AND($A881&gt;=28,$A881&lt;=29)
    ),
    IFERROR(
      INDEX('Daily Sales'!$C:$AG,
        $A881,
        MATCH(TEXT($B881,"0"),TEXT('Daily Sales'!$C$2:$AG$2,"0"),0)
      ),
    ""),
  "")
)</f>
        <v>2166078.04</v>
      </c>
      <c r="J881" s="79" t="e">
        <f t="shared" si="15"/>
        <v>#VALUE!</v>
      </c>
      <c r="K881" s="141"/>
      <c r="L881" s="141"/>
      <c r="M881" s="141"/>
      <c r="N881" s="133"/>
      <c r="O881" s="4"/>
      <c r="P881" s="4"/>
      <c r="Q881" s="4"/>
      <c r="R881" s="109"/>
      <c r="S881" s="109"/>
      <c r="T881" s="108"/>
      <c r="U881" s="110"/>
      <c r="V881" s="110"/>
      <c r="W881" s="110"/>
      <c r="X881" s="110"/>
    </row>
    <row r="882" spans="1:24" ht="13.5" customHeight="1">
      <c r="A882" s="110">
        <f>IF(E882="","",MATCH(E882,'Daily Sales'!B$4:B$51,0)+3)</f>
        <v>29</v>
      </c>
      <c r="B882" s="135">
        <v>46201</v>
      </c>
      <c r="C882" s="136" t="s">
        <v>118</v>
      </c>
      <c r="D882" s="137" t="str">
        <f t="array" ref="D882">IF($A882="","",INDEX('Daily Sales'!A:A,$A882))</f>
        <v>2-3101</v>
      </c>
      <c r="E882" s="138" t="s">
        <v>37</v>
      </c>
      <c r="F882" s="139" t="str">
        <f t="shared" si="19"/>
        <v>Tax PB1 10%</v>
      </c>
      <c r="G882" s="140"/>
      <c r="H882" s="138" t="str">
        <f t="array" ref="H882">IF($A882="","",
  IF(
    OR(
      $A882=23,
      AND($A882&gt;=32,$A882&lt;=50)
    ),
    IFERROR(
      INDEX('Daily Sales'!$C:$AG,
        $A882,
        MATCH(TEXT($B882,"0"),TEXT('Daily Sales'!$C$2:$AG$2,"0"),0)
      ),
    ""),
  "")
)</f>
        <v/>
      </c>
      <c r="I882" s="138">
        <f t="array" ref="I882">IF($A882="","",
  IF(
    OR(
      AND($A882&gt;=4,$A882&lt;=8),
      AND($A882&gt;=12,$A882&lt;=19),
      AND($A882&gt;=28,$A882&lt;=29)
    ),
    IFERROR(
      INDEX('Daily Sales'!$C:$AG,
        $A882,
        MATCH(TEXT($B882,"0"),TEXT('Daily Sales'!$C$2:$AG$2,"0"),0)
      ),
    ""),
  "")
)</f>
        <v>3311005.0040000002</v>
      </c>
      <c r="J882" s="79" t="e">
        <f t="shared" si="15"/>
        <v>#VALUE!</v>
      </c>
      <c r="K882" s="141"/>
      <c r="L882" s="141"/>
      <c r="M882" s="141"/>
      <c r="N882" s="133"/>
      <c r="O882" s="4"/>
      <c r="P882" s="4"/>
      <c r="Q882" s="4"/>
      <c r="R882" s="109"/>
      <c r="S882" s="109"/>
      <c r="T882" s="108"/>
      <c r="U882" s="110"/>
      <c r="V882" s="110"/>
      <c r="W882" s="110"/>
      <c r="X882" s="110"/>
    </row>
    <row r="883" spans="1:24" ht="13.5" customHeight="1">
      <c r="A883" s="110">
        <f>IF(E883="","",MATCH(E883,'Daily Sales'!B$4:B$51,0)+3)</f>
        <v>23</v>
      </c>
      <c r="B883" s="135">
        <v>46201</v>
      </c>
      <c r="C883" s="136" t="s">
        <v>118</v>
      </c>
      <c r="D883" s="137" t="str">
        <f t="array" ref="D883">IF($A883="","",INDEX('Daily Sales'!A:A,$A883))</f>
        <v>4-5110</v>
      </c>
      <c r="E883" s="138" t="s">
        <v>30</v>
      </c>
      <c r="F883" s="139" t="str">
        <f t="shared" si="19"/>
        <v>Discount</v>
      </c>
      <c r="G883" s="140"/>
      <c r="H883" s="138">
        <f t="array" ref="H883">IF($A883="","",
  IF(
    OR(
      $A883=23,
      AND($A883&gt;=32,$A883&lt;=50)
    ),
    IFERROR(
      INDEX('Daily Sales'!$C:$AG,
        $A883,
        MATCH(TEXT($B883,"0"),TEXT('Daily Sales'!$C$2:$AG$2,"0"),0)
      ),
    ""),
  "")
)</f>
        <v>1535000</v>
      </c>
      <c r="I883" s="138" t="str">
        <f t="array" ref="I883">IF($A883="","",
  IF(
    OR(
      AND($A883&gt;=4,$A883&lt;=8),
      AND($A883&gt;=12,$A883&lt;=19),
      AND($A883&gt;=28,$A883&lt;=29)
    ),
    IFERROR(
      INDEX('Daily Sales'!$C:$AG,
        $A883,
        MATCH(TEXT($B883,"0"),TEXT('Daily Sales'!$C$2:$AG$2,"0"),0)
      ),
    ""),
  "")
)</f>
        <v/>
      </c>
      <c r="J883" s="79" t="e">
        <f t="shared" si="15"/>
        <v>#VALUE!</v>
      </c>
      <c r="K883" s="141"/>
      <c r="L883" s="141"/>
      <c r="M883" s="141"/>
      <c r="N883" s="133"/>
      <c r="O883" s="4"/>
      <c r="P883" s="4"/>
      <c r="Q883" s="4"/>
      <c r="R883" s="109"/>
      <c r="S883" s="109"/>
      <c r="T883" s="108"/>
      <c r="U883" s="110"/>
      <c r="V883" s="110"/>
      <c r="W883" s="110"/>
      <c r="X883" s="110"/>
    </row>
    <row r="884" spans="1:24" ht="13.5" customHeight="1">
      <c r="A884" s="110">
        <f>IF(E884="","",MATCH(E884,'Daily Sales'!B$4:B$51,0)+3)</f>
        <v>32</v>
      </c>
      <c r="B884" s="135">
        <v>46201</v>
      </c>
      <c r="C884" s="136" t="s">
        <v>118</v>
      </c>
      <c r="D884" s="137" t="str">
        <f t="array" ref="D884">IF($A884="","",INDEX('Daily Sales'!A:A,$A884))</f>
        <v>1-1119</v>
      </c>
      <c r="E884" s="138" t="s">
        <v>40</v>
      </c>
      <c r="F884" s="139" t="str">
        <f t="shared" si="19"/>
        <v>Cash IDR</v>
      </c>
      <c r="G884" s="140"/>
      <c r="H884" s="138">
        <f t="array" ref="H884">IF($A884="","",
  IF(
    OR(
      $A884=23,
      AND($A884&gt;=32,$A884&lt;=50)
    ),
    IFERROR(
      INDEX('Daily Sales'!$C:$AG,
        $A884,
        MATCH(TEXT($B884,"0"),TEXT('Daily Sales'!$C$2:$AG$2,"0"),0)
      ),
    ""),
  "")
)</f>
        <v>5224289</v>
      </c>
      <c r="I884" s="138" t="str">
        <f t="array" ref="I884">IF($A884="","",
  IF(
    OR(
      AND($A884&gt;=4,$A884&lt;=8),
      AND($A884&gt;=12,$A884&lt;=19),
      AND($A884&gt;=28,$A884&lt;=29)
    ),
    IFERROR(
      INDEX('Daily Sales'!$C:$AG,
        $A884,
        MATCH(TEXT($B884,"0"),TEXT('Daily Sales'!$C$2:$AG$2,"0"),0)
      ),
    ""),
  "")
)</f>
        <v/>
      </c>
      <c r="J884" s="79" t="e">
        <f t="shared" si="15"/>
        <v>#VALUE!</v>
      </c>
      <c r="K884" s="141"/>
      <c r="L884" s="141"/>
      <c r="M884" s="141"/>
      <c r="N884" s="133"/>
      <c r="O884" s="4"/>
      <c r="P884" s="4"/>
      <c r="Q884" s="4"/>
      <c r="R884" s="109"/>
      <c r="S884" s="109"/>
      <c r="T884" s="108"/>
      <c r="U884" s="110"/>
      <c r="V884" s="110"/>
      <c r="W884" s="110"/>
      <c r="X884" s="110"/>
    </row>
    <row r="885" spans="1:24" ht="13.5" customHeight="1">
      <c r="A885" s="110">
        <f>IF(E885="","",MATCH(E885,'Daily Sales'!B$4:B$51,0)+3)</f>
        <v>33</v>
      </c>
      <c r="B885" s="135">
        <v>46201</v>
      </c>
      <c r="C885" s="136" t="s">
        <v>118</v>
      </c>
      <c r="D885" s="137" t="str">
        <f t="array" ref="D885">IF($A885="","",INDEX('Daily Sales'!A:A,$A885))</f>
        <v>1-1217</v>
      </c>
      <c r="E885" s="138" t="s">
        <v>43</v>
      </c>
      <c r="F885" s="139" t="str">
        <f t="shared" si="19"/>
        <v>Bank transfer</v>
      </c>
      <c r="G885" s="140"/>
      <c r="H885" s="138">
        <f t="array" ref="H885">IF($A885="","",
  IF(
    OR(
      $A885=23,
      AND($A885&gt;=32,$A885&lt;=50)
    ),
    IFERROR(
      INDEX('Daily Sales'!$C:$AG,
        $A885,
        MATCH(TEXT($B885,"0"),TEXT('Daily Sales'!$C$2:$AG$2,"0"),0)
      ),
    ""),
  "")
)</f>
        <v>0</v>
      </c>
      <c r="I885" s="138" t="str">
        <f t="array" ref="I885">IF($A885="","",
  IF(
    OR(
      AND($A885&gt;=4,$A885&lt;=8),
      AND($A885&gt;=12,$A885&lt;=19),
      AND($A885&gt;=28,$A885&lt;=29)
    ),
    IFERROR(
      INDEX('Daily Sales'!$C:$AG,
        $A885,
        MATCH(TEXT($B885,"0"),TEXT('Daily Sales'!$C$2:$AG$2,"0"),0)
      ),
    ""),
  "")
)</f>
        <v/>
      </c>
      <c r="J885" s="79" t="e">
        <f t="shared" si="15"/>
        <v>#VALUE!</v>
      </c>
      <c r="K885" s="141"/>
      <c r="L885" s="141"/>
      <c r="M885" s="141"/>
      <c r="N885" s="133"/>
      <c r="O885" s="4"/>
      <c r="P885" s="4"/>
      <c r="Q885" s="4"/>
      <c r="R885" s="109"/>
      <c r="S885" s="109"/>
      <c r="T885" s="108"/>
      <c r="U885" s="110"/>
      <c r="V885" s="110"/>
      <c r="W885" s="110"/>
      <c r="X885" s="110"/>
    </row>
    <row r="886" spans="1:24" ht="13.5" customHeight="1">
      <c r="A886" s="110">
        <f>IF(E886="","",MATCH(E886,'Daily Sales'!B$4:B$51,0)+3)</f>
        <v>35</v>
      </c>
      <c r="B886" s="135">
        <v>46201</v>
      </c>
      <c r="C886" s="136" t="s">
        <v>118</v>
      </c>
      <c r="D886" s="137" t="str">
        <f t="array" ref="D886">IF($A886="","",INDEX('Daily Sales'!A:A,$A886))</f>
        <v>1-1216</v>
      </c>
      <c r="E886" s="138" t="s">
        <v>46</v>
      </c>
      <c r="F886" s="139" t="str">
        <f t="shared" si="19"/>
        <v>Cim Niaga TBB</v>
      </c>
      <c r="G886" s="140"/>
      <c r="H886" s="138">
        <f t="array" ref="H886">IF($A886="","",
  IF(
    OR(
      $A886=23,
      AND($A886&gt;=32,$A886&lt;=50)
    ),
    IFERROR(
      INDEX('Daily Sales'!$C:$AG,
        $A886,
        MATCH(TEXT($B886,"0"),TEXT('Daily Sales'!$C$2:$AG$2,"0"),0)
      ),
    ""),
  "")
)</f>
        <v>0</v>
      </c>
      <c r="I886" s="138" t="str">
        <f t="array" ref="I886">IF($A886="","",
  IF(
    OR(
      AND($A886&gt;=4,$A886&lt;=8),
      AND($A886&gt;=12,$A886&lt;=19),
      AND($A886&gt;=28,$A886&lt;=29)
    ),
    IFERROR(
      INDEX('Daily Sales'!$C:$AG,
        $A886,
        MATCH(TEXT($B886,"0"),TEXT('Daily Sales'!$C$2:$AG$2,"0"),0)
      ),
    ""),
  "")
)</f>
        <v/>
      </c>
      <c r="J886" s="79" t="e">
        <f t="shared" si="15"/>
        <v>#VALUE!</v>
      </c>
      <c r="K886" s="141"/>
      <c r="L886" s="141"/>
      <c r="M886" s="141"/>
      <c r="N886" s="133"/>
      <c r="O886" s="4"/>
      <c r="P886" s="4"/>
      <c r="Q886" s="4"/>
      <c r="R886" s="109"/>
      <c r="S886" s="109"/>
      <c r="T886" s="108"/>
      <c r="U886" s="110"/>
      <c r="V886" s="110"/>
      <c r="W886" s="110"/>
      <c r="X886" s="110"/>
    </row>
    <row r="887" spans="1:24" ht="13.5" customHeight="1">
      <c r="A887" s="110">
        <f>IF(E887="","",MATCH(E887,'Daily Sales'!B$4:B$51,0)+3)</f>
        <v>36</v>
      </c>
      <c r="B887" s="135">
        <v>46201</v>
      </c>
      <c r="C887" s="136" t="s">
        <v>118</v>
      </c>
      <c r="D887" s="137" t="str">
        <f t="array" ref="D887">IF($A887="","",INDEX('Daily Sales'!A:A,$A887))</f>
        <v>1-1213</v>
      </c>
      <c r="E887" s="138" t="s">
        <v>49</v>
      </c>
      <c r="F887" s="139" t="str">
        <f t="shared" si="19"/>
        <v>Mandiri Debet</v>
      </c>
      <c r="G887" s="140"/>
      <c r="H887" s="138">
        <f t="array" ref="H887">IF($A887="","",
  IF(
    OR(
      $A887=23,
      AND($A887&gt;=32,$A887&lt;=50)
    ),
    IFERROR(
      INDEX('Daily Sales'!$C:$AG,
        $A887,
        MATCH(TEXT($B887,"0"),TEXT('Daily Sales'!$C$2:$AG$2,"0"),0)
      ),
    ""),
  "")
)</f>
        <v>1259390</v>
      </c>
      <c r="I887" s="138" t="str">
        <f t="array" ref="I887">IF($A887="","",
  IF(
    OR(
      AND($A887&gt;=4,$A887&lt;=8),
      AND($A887&gt;=12,$A887&lt;=19),
      AND($A887&gt;=28,$A887&lt;=29)
    ),
    IFERROR(
      INDEX('Daily Sales'!$C:$AG,
        $A887,
        MATCH(TEXT($B887,"0"),TEXT('Daily Sales'!$C$2:$AG$2,"0"),0)
      ),
    ""),
  "")
)</f>
        <v/>
      </c>
      <c r="J887" s="79" t="e">
        <f t="shared" si="15"/>
        <v>#VALUE!</v>
      </c>
      <c r="K887" s="141"/>
      <c r="L887" s="141"/>
      <c r="M887" s="141"/>
      <c r="N887" s="133"/>
      <c r="O887" s="4"/>
      <c r="P887" s="4"/>
      <c r="Q887" s="4"/>
      <c r="R887" s="109"/>
      <c r="S887" s="109"/>
      <c r="T887" s="108"/>
      <c r="U887" s="110"/>
      <c r="V887" s="110"/>
      <c r="W887" s="110"/>
      <c r="X887" s="110"/>
    </row>
    <row r="888" spans="1:24" ht="13.5" customHeight="1">
      <c r="A888" s="110">
        <f>IF(E888="","",MATCH(E888,'Daily Sales'!B$4:B$51,0)+3)</f>
        <v>37</v>
      </c>
      <c r="B888" s="135">
        <v>46201</v>
      </c>
      <c r="C888" s="136" t="s">
        <v>118</v>
      </c>
      <c r="D888" s="137" t="str">
        <f t="array" ref="D888">IF($A888="","",INDEX('Daily Sales'!A:A,$A888))</f>
        <v>1-1213</v>
      </c>
      <c r="E888" s="138" t="s">
        <v>50</v>
      </c>
      <c r="F888" s="139" t="str">
        <f t="shared" si="19"/>
        <v>Mandiri CC</v>
      </c>
      <c r="G888" s="140"/>
      <c r="H888" s="138">
        <f t="array" ref="H888">IF($A888="","",
  IF(
    OR(
      $A888=23,
      AND($A888&gt;=32,$A888&lt;=50)
    ),
    IFERROR(
      INDEX('Daily Sales'!$C:$AG,
        $A888,
        MATCH(TEXT($B888,"0"),TEXT('Daily Sales'!$C$2:$AG$2,"0"),0)
      ),
    ""),
  "")
)</f>
        <v>12721030</v>
      </c>
      <c r="I888" s="138" t="str">
        <f t="array" ref="I888">IF($A888="","",
  IF(
    OR(
      AND($A888&gt;=4,$A888&lt;=8),
      AND($A888&gt;=12,$A888&lt;=19),
      AND($A888&gt;=28,$A888&lt;=29)
    ),
    IFERROR(
      INDEX('Daily Sales'!$C:$AG,
        $A888,
        MATCH(TEXT($B888,"0"),TEXT('Daily Sales'!$C$2:$AG$2,"0"),0)
      ),
    ""),
  "")
)</f>
        <v/>
      </c>
      <c r="J888" s="79" t="e">
        <f t="shared" si="15"/>
        <v>#VALUE!</v>
      </c>
      <c r="K888" s="141"/>
      <c r="L888" s="141"/>
      <c r="M888" s="141"/>
      <c r="N888" s="133"/>
      <c r="O888" s="4"/>
      <c r="P888" s="4"/>
      <c r="Q888" s="4"/>
      <c r="R888" s="109"/>
      <c r="S888" s="109"/>
      <c r="T888" s="108"/>
      <c r="U888" s="110"/>
      <c r="V888" s="110"/>
      <c r="W888" s="110"/>
      <c r="X888" s="110"/>
    </row>
    <row r="889" spans="1:24" ht="13.5" customHeight="1">
      <c r="A889" s="110">
        <f>IF(E889="","",MATCH(E889,'Daily Sales'!B$4:B$51,0)+3)</f>
        <v>38</v>
      </c>
      <c r="B889" s="135">
        <v>46201</v>
      </c>
      <c r="C889" s="136" t="s">
        <v>118</v>
      </c>
      <c r="D889" s="137" t="str">
        <f t="array" ref="D889">IF($A889="","",INDEX('Daily Sales'!A:A,$A889))</f>
        <v>1-1213</v>
      </c>
      <c r="E889" s="138" t="s">
        <v>51</v>
      </c>
      <c r="F889" s="139" t="str">
        <f t="shared" si="19"/>
        <v>Mandiri NPG</v>
      </c>
      <c r="G889" s="140"/>
      <c r="H889" s="138">
        <f t="array" ref="H889">IF($A889="","",
  IF(
    OR(
      $A889=23,
      AND($A889&gt;=32,$A889&lt;=50)
    ),
    IFERROR(
      INDEX('Daily Sales'!$C:$AG,
        $A889,
        MATCH(TEXT($B889,"0"),TEXT('Daily Sales'!$C$2:$AG$2,"0"),0)
      ),
    ""),
  "")
)</f>
        <v>1247350</v>
      </c>
      <c r="I889" s="138" t="str">
        <f t="array" ref="I889">IF($A889="","",
  IF(
    OR(
      AND($A889&gt;=4,$A889&lt;=8),
      AND($A889&gt;=12,$A889&lt;=19),
      AND($A889&gt;=28,$A889&lt;=29)
    ),
    IFERROR(
      INDEX('Daily Sales'!$C:$AG,
        $A889,
        MATCH(TEXT($B889,"0"),TEXT('Daily Sales'!$C$2:$AG$2,"0"),0)
      ),
    ""),
  "")
)</f>
        <v/>
      </c>
      <c r="J889" s="79" t="e">
        <f t="shared" si="15"/>
        <v>#VALUE!</v>
      </c>
      <c r="K889" s="141"/>
      <c r="L889" s="141"/>
      <c r="M889" s="141"/>
      <c r="N889" s="133"/>
      <c r="O889" s="4"/>
      <c r="P889" s="4"/>
      <c r="Q889" s="4"/>
      <c r="R889" s="109"/>
      <c r="S889" s="109"/>
      <c r="T889" s="108"/>
      <c r="U889" s="110"/>
      <c r="V889" s="110"/>
      <c r="W889" s="110"/>
      <c r="X889" s="110"/>
    </row>
    <row r="890" spans="1:24" ht="13.5" customHeight="1">
      <c r="A890" s="110">
        <f>IF(E890="","",MATCH(E890,'Daily Sales'!B$4:B$51,0)+3)</f>
        <v>39</v>
      </c>
      <c r="B890" s="135">
        <v>46201</v>
      </c>
      <c r="C890" s="136" t="s">
        <v>118</v>
      </c>
      <c r="D890" s="137" t="str">
        <f t="array" ref="D890">IF($A890="","",INDEX('Daily Sales'!A:A,$A890))</f>
        <v>1-1213</v>
      </c>
      <c r="E890" s="138" t="s">
        <v>52</v>
      </c>
      <c r="F890" s="139" t="str">
        <f t="shared" si="19"/>
        <v>Mandiri QR</v>
      </c>
      <c r="G890" s="140"/>
      <c r="H890" s="138">
        <f t="array" ref="H890">IF($A890="","",
  IF(
    OR(
      $A890=23,
      AND($A890&gt;=32,$A890&lt;=50)
    ),
    IFERROR(
      INDEX('Daily Sales'!$C:$AG,
        $A890,
        MATCH(TEXT($B890,"0"),TEXT('Daily Sales'!$C$2:$AG$2,"0"),0)
      ),
    ""),
  "")
)</f>
        <v>9962765</v>
      </c>
      <c r="I890" s="138" t="str">
        <f t="array" ref="I890">IF($A890="","",
  IF(
    OR(
      AND($A890&gt;=4,$A890&lt;=8),
      AND($A890&gt;=12,$A890&lt;=19),
      AND($A890&gt;=28,$A890&lt;=29)
    ),
    IFERROR(
      INDEX('Daily Sales'!$C:$AG,
        $A890,
        MATCH(TEXT($B890,"0"),TEXT('Daily Sales'!$C$2:$AG$2,"0"),0)
      ),
    ""),
  "")
)</f>
        <v/>
      </c>
      <c r="J890" s="79" t="e">
        <f t="shared" si="15"/>
        <v>#VALUE!</v>
      </c>
      <c r="K890" s="141"/>
      <c r="L890" s="141"/>
      <c r="M890" s="141"/>
      <c r="N890" s="133"/>
      <c r="O890" s="4"/>
      <c r="P890" s="4"/>
      <c r="Q890" s="4"/>
      <c r="R890" s="109"/>
      <c r="S890" s="109"/>
      <c r="T890" s="108"/>
      <c r="U890" s="110"/>
      <c r="V890" s="110"/>
      <c r="W890" s="110"/>
      <c r="X890" s="110"/>
    </row>
    <row r="891" spans="1:24" ht="13.5" customHeight="1">
      <c r="A891" s="110">
        <f>IF(E891="","",MATCH(E891,'Daily Sales'!B$4:B$51,0)+3)</f>
        <v>40</v>
      </c>
      <c r="B891" s="135">
        <v>46201</v>
      </c>
      <c r="C891" s="136" t="s">
        <v>118</v>
      </c>
      <c r="D891" s="137" t="str">
        <f t="array" ref="D891">IF($A891="","",INDEX('Daily Sales'!A:A,$A891))</f>
        <v>1-1217</v>
      </c>
      <c r="E891" s="138" t="s">
        <v>54</v>
      </c>
      <c r="F891" s="139" t="str">
        <f t="shared" si="19"/>
        <v>BCA CC</v>
      </c>
      <c r="G891" s="140"/>
      <c r="H891" s="138">
        <f t="array" ref="H891">IF($A891="","",
  IF(
    OR(
      $A891=23,
      AND($A891&gt;=32,$A891&lt;=50)
    ),
    IFERROR(
      INDEX('Daily Sales'!$C:$AG,
        $A891,
        MATCH(TEXT($B891,"0"),TEXT('Daily Sales'!$C$2:$AG$2,"0"),0)
      ),
    ""),
  "")
)</f>
        <v>1842005</v>
      </c>
      <c r="I891" s="138" t="str">
        <f t="array" ref="I891">IF($A891="","",
  IF(
    OR(
      AND($A891&gt;=4,$A891&lt;=8),
      AND($A891&gt;=12,$A891&lt;=19),
      AND($A891&gt;=28,$A891&lt;=29)
    ),
    IFERROR(
      INDEX('Daily Sales'!$C:$AG,
        $A891,
        MATCH(TEXT($B891,"0"),TEXT('Daily Sales'!$C$2:$AG$2,"0"),0)
      ),
    ""),
  "")
)</f>
        <v/>
      </c>
      <c r="J891" s="79" t="e">
        <f t="shared" si="15"/>
        <v>#VALUE!</v>
      </c>
      <c r="K891" s="141"/>
      <c r="L891" s="141"/>
      <c r="M891" s="141"/>
      <c r="N891" s="133"/>
      <c r="O891" s="4"/>
      <c r="P891" s="4"/>
      <c r="Q891" s="4"/>
      <c r="R891" s="109"/>
      <c r="S891" s="109"/>
      <c r="T891" s="108"/>
      <c r="U891" s="110"/>
      <c r="V891" s="110"/>
      <c r="W891" s="110"/>
      <c r="X891" s="110"/>
    </row>
    <row r="892" spans="1:24" ht="13.5" customHeight="1">
      <c r="A892" s="110">
        <f>IF(E892="","",MATCH(E892,'Daily Sales'!B$4:B$51,0)+3)</f>
        <v>41</v>
      </c>
      <c r="B892" s="135">
        <v>46201</v>
      </c>
      <c r="C892" s="136" t="s">
        <v>118</v>
      </c>
      <c r="D892" s="137" t="str">
        <f t="array" ref="D892">IF($A892="","",INDEX('Daily Sales'!A:A,$A892))</f>
        <v>1-1217</v>
      </c>
      <c r="E892" s="138" t="s">
        <v>55</v>
      </c>
      <c r="F892" s="139" t="str">
        <f t="shared" si="19"/>
        <v>BCA debt</v>
      </c>
      <c r="G892" s="140"/>
      <c r="H892" s="138">
        <f t="array" ref="H892">IF($A892="","",
  IF(
    OR(
      $A892=23,
      AND($A892&gt;=32,$A892&lt;=50)
    ),
    IFERROR(
      INDEX('Daily Sales'!$C:$AG,
        $A892,
        MATCH(TEXT($B892,"0"),TEXT('Daily Sales'!$C$2:$AG$2,"0"),0)
      ),
    ""),
  "")
)</f>
        <v>1041645</v>
      </c>
      <c r="I892" s="138" t="str">
        <f t="array" ref="I892">IF($A892="","",
  IF(
    OR(
      AND($A892&gt;=4,$A892&lt;=8),
      AND($A892&gt;=12,$A892&lt;=19),
      AND($A892&gt;=28,$A892&lt;=29)
    ),
    IFERROR(
      INDEX('Daily Sales'!$C:$AG,
        $A892,
        MATCH(TEXT($B892,"0"),TEXT('Daily Sales'!$C$2:$AG$2,"0"),0)
      ),
    ""),
  "")
)</f>
        <v/>
      </c>
      <c r="J892" s="79" t="e">
        <f t="shared" si="15"/>
        <v>#VALUE!</v>
      </c>
      <c r="K892" s="141"/>
      <c r="L892" s="141"/>
      <c r="M892" s="141"/>
      <c r="N892" s="133"/>
      <c r="O892" s="4"/>
      <c r="P892" s="4"/>
      <c r="Q892" s="4"/>
      <c r="R892" s="109"/>
      <c r="S892" s="109"/>
      <c r="T892" s="108"/>
      <c r="U892" s="110"/>
      <c r="V892" s="110"/>
      <c r="W892" s="110"/>
      <c r="X892" s="110"/>
    </row>
    <row r="893" spans="1:24" ht="13.5" customHeight="1">
      <c r="A893" s="110">
        <f>IF(E893="","",MATCH(E893,'Daily Sales'!B$4:B$51,0)+3)</f>
        <v>42</v>
      </c>
      <c r="B893" s="135">
        <v>46201</v>
      </c>
      <c r="C893" s="136" t="s">
        <v>118</v>
      </c>
      <c r="D893" s="137" t="str">
        <f t="array" ref="D893">IF($A893="","",INDEX('Daily Sales'!A:A,$A893))</f>
        <v>1-1217</v>
      </c>
      <c r="E893" s="138" t="s">
        <v>56</v>
      </c>
      <c r="F893" s="139" t="str">
        <f t="shared" si="19"/>
        <v>BCA QR</v>
      </c>
      <c r="G893" s="140"/>
      <c r="H893" s="138">
        <f t="array" ref="H893">IF($A893="","",
  IF(
    OR(
      $A893=23,
      AND($A893&gt;=32,$A893&lt;=50)
    ),
    IFERROR(
      INDEX('Daily Sales'!$C:$AG,
        $A893,
        MATCH(TEXT($B893,"0"),TEXT('Daily Sales'!$C$2:$AG$2,"0"),0)
      ),
    ""),
  "")
)</f>
        <v>1021048</v>
      </c>
      <c r="I893" s="138" t="str">
        <f t="array" ref="I893">IF($A893="","",
  IF(
    OR(
      AND($A893&gt;=4,$A893&lt;=8),
      AND($A893&gt;=12,$A893&lt;=19),
      AND($A893&gt;=28,$A893&lt;=29)
    ),
    IFERROR(
      INDEX('Daily Sales'!$C:$AG,
        $A893,
        MATCH(TEXT($B893,"0"),TEXT('Daily Sales'!$C$2:$AG$2,"0"),0)
      ),
    ""),
  "")
)</f>
        <v/>
      </c>
      <c r="J893" s="79" t="e">
        <f t="shared" si="15"/>
        <v>#VALUE!</v>
      </c>
      <c r="K893" s="141"/>
      <c r="L893" s="141"/>
      <c r="M893" s="141"/>
      <c r="N893" s="133"/>
      <c r="O893" s="4"/>
      <c r="P893" s="4"/>
      <c r="Q893" s="4"/>
      <c r="R893" s="109"/>
      <c r="S893" s="109"/>
      <c r="T893" s="108"/>
      <c r="U893" s="110"/>
      <c r="V893" s="110"/>
      <c r="W893" s="110"/>
      <c r="X893" s="110"/>
    </row>
    <row r="894" spans="1:24" ht="13.5" customHeight="1">
      <c r="A894" s="110">
        <f>IF(E894="","",MATCH(E894,'Daily Sales'!B$4:B$51,0)+3)</f>
        <v>43</v>
      </c>
      <c r="B894" s="135">
        <v>46201</v>
      </c>
      <c r="C894" s="136" t="s">
        <v>118</v>
      </c>
      <c r="D894" s="137" t="str">
        <f t="array" ref="D894">IF($A894="","",INDEX('Daily Sales'!A:A,$A894))</f>
        <v>1-1214</v>
      </c>
      <c r="E894" s="138" t="s">
        <v>59</v>
      </c>
      <c r="F894" s="139" t="str">
        <f t="shared" si="19"/>
        <v>Bank BRI DEBET</v>
      </c>
      <c r="G894" s="140"/>
      <c r="H894" s="138">
        <f t="array" ref="H894">IF($A894="","",
  IF(
    OR(
      $A894=23,
      AND($A894&gt;=32,$A894&lt;=50)
    ),
    IFERROR(
      INDEX('Daily Sales'!$C:$AG,
        $A894,
        MATCH(TEXT($B894,"0"),TEXT('Daily Sales'!$C$2:$AG$2,"0"),0)
      ),
    ""),
  "")
)</f>
        <v>0</v>
      </c>
      <c r="I894" s="138" t="str">
        <f t="array" ref="I894">IF($A894="","",
  IF(
    OR(
      AND($A894&gt;=4,$A894&lt;=8),
      AND($A894&gt;=12,$A894&lt;=19),
      AND($A894&gt;=28,$A894&lt;=29)
    ),
    IFERROR(
      INDEX('Daily Sales'!$C:$AG,
        $A894,
        MATCH(TEXT($B894,"0"),TEXT('Daily Sales'!$C$2:$AG$2,"0"),0)
      ),
    ""),
  "")
)</f>
        <v/>
      </c>
      <c r="J894" s="79" t="e">
        <f t="shared" si="15"/>
        <v>#VALUE!</v>
      </c>
      <c r="K894" s="141"/>
      <c r="L894" s="141"/>
      <c r="M894" s="141"/>
      <c r="N894" s="133"/>
      <c r="O894" s="4"/>
      <c r="P894" s="4"/>
      <c r="Q894" s="4"/>
      <c r="R894" s="109"/>
      <c r="S894" s="109"/>
      <c r="T894" s="108"/>
      <c r="U894" s="110"/>
      <c r="V894" s="110"/>
      <c r="W894" s="110"/>
      <c r="X894" s="110"/>
    </row>
    <row r="895" spans="1:24" ht="13.5" customHeight="1">
      <c r="A895" s="110">
        <f>IF(E895="","",MATCH(E895,'Daily Sales'!B$4:B$51,0)+3)</f>
        <v>44</v>
      </c>
      <c r="B895" s="135">
        <v>46201</v>
      </c>
      <c r="C895" s="136" t="s">
        <v>118</v>
      </c>
      <c r="D895" s="137" t="str">
        <f t="array" ref="D895">IF($A895="","",INDEX('Daily Sales'!A:A,$A895))</f>
        <v>1-1214</v>
      </c>
      <c r="E895" s="138" t="s">
        <v>60</v>
      </c>
      <c r="F895" s="139" t="str">
        <f t="shared" si="19"/>
        <v>Bank BRI CC</v>
      </c>
      <c r="G895" s="140"/>
      <c r="H895" s="138">
        <f t="array" ref="H895">IF($A895="","",
  IF(
    OR(
      $A895=23,
      AND($A895&gt;=32,$A895&lt;=50)
    ),
    IFERROR(
      INDEX('Daily Sales'!$C:$AG,
        $A895,
        MATCH(TEXT($B895,"0"),TEXT('Daily Sales'!$C$2:$AG$2,"0"),0)
      ),
    ""),
  "")
)</f>
        <v>0</v>
      </c>
      <c r="I895" s="138" t="str">
        <f t="array" ref="I895">IF($A895="","",
  IF(
    OR(
      AND($A895&gt;=4,$A895&lt;=8),
      AND($A895&gt;=12,$A895&lt;=19),
      AND($A895&gt;=28,$A895&lt;=29)
    ),
    IFERROR(
      INDEX('Daily Sales'!$C:$AG,
        $A895,
        MATCH(TEXT($B895,"0"),TEXT('Daily Sales'!$C$2:$AG$2,"0"),0)
      ),
    ""),
  "")
)</f>
        <v/>
      </c>
      <c r="J895" s="79" t="e">
        <f t="shared" si="15"/>
        <v>#VALUE!</v>
      </c>
      <c r="K895" s="141"/>
      <c r="L895" s="141"/>
      <c r="M895" s="141"/>
      <c r="N895" s="133"/>
      <c r="O895" s="4"/>
      <c r="P895" s="4"/>
      <c r="Q895" s="4"/>
      <c r="R895" s="109"/>
      <c r="S895" s="109"/>
      <c r="T895" s="108"/>
      <c r="U895" s="110"/>
      <c r="V895" s="110"/>
      <c r="W895" s="110"/>
      <c r="X895" s="110"/>
    </row>
    <row r="896" spans="1:24" ht="13.5" customHeight="1">
      <c r="A896" s="110">
        <f>IF(E896="","",MATCH(E896,'Daily Sales'!B$4:B$51,0)+3)</f>
        <v>45</v>
      </c>
      <c r="B896" s="135">
        <v>46201</v>
      </c>
      <c r="C896" s="136" t="s">
        <v>118</v>
      </c>
      <c r="D896" s="137" t="str">
        <f t="array" ref="D896">IF($A896="","",INDEX('Daily Sales'!A:A,$A896))</f>
        <v>1-1214</v>
      </c>
      <c r="E896" s="138" t="s">
        <v>61</v>
      </c>
      <c r="F896" s="139" t="str">
        <f t="shared" si="19"/>
        <v>Bank BRI QR</v>
      </c>
      <c r="G896" s="140"/>
      <c r="H896" s="138">
        <f t="array" ref="H896">IF($A896="","",
  IF(
    OR(
      $A896=23,
      AND($A896&gt;=32,$A896&lt;=50)
    ),
    IFERROR(
      INDEX('Daily Sales'!$C:$AG,
        $A896,
        MATCH(TEXT($B896,"0"),TEXT('Daily Sales'!$C$2:$AG$2,"0"),0)
      ),
    ""),
  "")
)</f>
        <v>0</v>
      </c>
      <c r="I896" s="138" t="str">
        <f t="array" ref="I896">IF($A896="","",
  IF(
    OR(
      AND($A896&gt;=4,$A896&lt;=8),
      AND($A896&gt;=12,$A896&lt;=19),
      AND($A896&gt;=28,$A896&lt;=29)
    ),
    IFERROR(
      INDEX('Daily Sales'!$C:$AG,
        $A896,
        MATCH(TEXT($B896,"0"),TEXT('Daily Sales'!$C$2:$AG$2,"0"),0)
      ),
    ""),
  "")
)</f>
        <v/>
      </c>
      <c r="J896" s="79" t="e">
        <f t="shared" si="15"/>
        <v>#VALUE!</v>
      </c>
      <c r="K896" s="141"/>
      <c r="L896" s="141"/>
      <c r="M896" s="141"/>
      <c r="N896" s="133"/>
      <c r="O896" s="4"/>
      <c r="P896" s="4"/>
      <c r="Q896" s="4"/>
      <c r="R896" s="109"/>
      <c r="S896" s="109"/>
      <c r="T896" s="108"/>
      <c r="U896" s="110"/>
      <c r="V896" s="110"/>
      <c r="W896" s="110"/>
      <c r="X896" s="110"/>
    </row>
    <row r="897" spans="1:24" ht="13.5" customHeight="1">
      <c r="A897" s="110">
        <f>IF(E897="","",MATCH(E897,'Daily Sales'!B$4:B$51,0)+3)</f>
        <v>46</v>
      </c>
      <c r="B897" s="135">
        <v>46201</v>
      </c>
      <c r="C897" s="136" t="s">
        <v>118</v>
      </c>
      <c r="D897" s="137" t="str">
        <f t="array" ref="D897">IF($A897="","",INDEX('Daily Sales'!A:A,$A897))</f>
        <v>1-1202</v>
      </c>
      <c r="E897" s="138" t="s">
        <v>64</v>
      </c>
      <c r="F897" s="139" t="str">
        <f t="shared" si="19"/>
        <v>Ledger</v>
      </c>
      <c r="G897" s="140"/>
      <c r="H897" s="138">
        <f t="array" ref="H897">IF($A897="","",
  IF(
    OR(
      $A897=23,
      AND($A897&gt;=32,$A897&lt;=50)
    ),
    IFERROR(
      INDEX('Daily Sales'!$C:$AG,
        $A897,
        MATCH(TEXT($B897,"0"),TEXT('Daily Sales'!$C$2:$AG$2,"0"),0)
      ),
    ""),
  "")
)</f>
        <v>1380033</v>
      </c>
      <c r="I897" s="138" t="str">
        <f t="array" ref="I897">IF($A897="","",
  IF(
    OR(
      AND($A897&gt;=4,$A897&lt;=8),
      AND($A897&gt;=12,$A897&lt;=19),
      AND($A897&gt;=28,$A897&lt;=29)
    ),
    IFERROR(
      INDEX('Daily Sales'!$C:$AG,
        $A897,
        MATCH(TEXT($B897,"0"),TEXT('Daily Sales'!$C$2:$AG$2,"0"),0)
      ),
    ""),
  "")
)</f>
        <v/>
      </c>
      <c r="J897" s="79" t="e">
        <f t="shared" si="15"/>
        <v>#VALUE!</v>
      </c>
      <c r="K897" s="141"/>
      <c r="L897" s="141"/>
      <c r="M897" s="141"/>
      <c r="N897" s="133"/>
      <c r="O897" s="4"/>
      <c r="P897" s="4"/>
      <c r="Q897" s="4"/>
      <c r="R897" s="109"/>
      <c r="S897" s="109"/>
      <c r="T897" s="108"/>
      <c r="U897" s="110"/>
      <c r="V897" s="110"/>
      <c r="W897" s="110"/>
      <c r="X897" s="110"/>
    </row>
    <row r="898" spans="1:24" ht="13.5" customHeight="1">
      <c r="A898" s="110">
        <f>IF(E898="","",MATCH(E898,'Daily Sales'!B$4:B$51,0)+3)</f>
        <v>47</v>
      </c>
      <c r="B898" s="135">
        <v>46201</v>
      </c>
      <c r="C898" s="136" t="s">
        <v>118</v>
      </c>
      <c r="D898" s="137" t="str">
        <f t="array" ref="D898">IF($A898="","",INDEX('Daily Sales'!A:A,$A898))</f>
        <v>1-1129</v>
      </c>
      <c r="E898" s="138" t="s">
        <v>66</v>
      </c>
      <c r="F898" s="139" t="str">
        <f t="shared" si="19"/>
        <v>Star Points</v>
      </c>
      <c r="G898" s="140"/>
      <c r="H898" s="138">
        <f t="array" ref="H898">IF($A898="","",
  IF(
    OR(
      $A898=23,
      AND($A898&gt;=32,$A898&lt;=50)
    ),
    IFERROR(
      INDEX('Daily Sales'!$C:$AG,
        $A898,
        MATCH(TEXT($B898,"0"),TEXT('Daily Sales'!$C$2:$AG$2,"0"),0)
      ),
    ""),
  "")
)</f>
        <v>382525</v>
      </c>
      <c r="I898" s="138" t="str">
        <f t="array" ref="I898">IF($A898="","",
  IF(
    OR(
      AND($A898&gt;=4,$A898&lt;=8),
      AND($A898&gt;=12,$A898&lt;=19),
      AND($A898&gt;=28,$A898&lt;=29)
    ),
    IFERROR(
      INDEX('Daily Sales'!$C:$AG,
        $A898,
        MATCH(TEXT($B898,"0"),TEXT('Daily Sales'!$C$2:$AG$2,"0"),0)
      ),
    ""),
  "")
)</f>
        <v/>
      </c>
      <c r="J898" s="79" t="e">
        <f t="shared" si="15"/>
        <v>#VALUE!</v>
      </c>
      <c r="K898" s="141"/>
      <c r="L898" s="141"/>
      <c r="M898" s="141"/>
      <c r="N898" s="133"/>
      <c r="O898" s="4"/>
      <c r="P898" s="4"/>
      <c r="Q898" s="4"/>
      <c r="R898" s="109"/>
      <c r="S898" s="109"/>
      <c r="T898" s="108"/>
      <c r="U898" s="110"/>
      <c r="V898" s="110"/>
      <c r="W898" s="110"/>
      <c r="X898" s="110"/>
    </row>
    <row r="899" spans="1:24" ht="13.5" customHeight="1">
      <c r="A899" s="110">
        <f>IF(E899="","",MATCH(E899,'Daily Sales'!B$4:B$51,0)+3)</f>
        <v>48</v>
      </c>
      <c r="B899" s="135">
        <v>46201</v>
      </c>
      <c r="C899" s="136" t="s">
        <v>118</v>
      </c>
      <c r="D899" s="137" t="str">
        <f t="array" ref="D899">IF($A899="","",INDEX('Daily Sales'!A:A,$A899))</f>
        <v>1-1215</v>
      </c>
      <c r="E899" s="138" t="s">
        <v>68</v>
      </c>
      <c r="F899" s="139" t="str">
        <f t="shared" si="19"/>
        <v>Ovo</v>
      </c>
      <c r="G899" s="140"/>
      <c r="H899" s="138">
        <f t="array" ref="H899">IF($A899="","",
  IF(
    OR(
      $A899=23,
      AND($A899&gt;=32,$A899&lt;=50)
    ),
    IFERROR(
      INDEX('Daily Sales'!$C:$AG,
        $A899,
        MATCH(TEXT($B899,"0"),TEXT('Daily Sales'!$C$2:$AG$2,"0"),0)
      ),
    ""),
  "")
)</f>
        <v>298000</v>
      </c>
      <c r="I899" s="138" t="str">
        <f t="array" ref="I899">IF($A899="","",
  IF(
    OR(
      AND($A899&gt;=4,$A899&lt;=8),
      AND($A899&gt;=12,$A899&lt;=19),
      AND($A899&gt;=28,$A899&lt;=29)
    ),
    IFERROR(
      INDEX('Daily Sales'!$C:$AG,
        $A899,
        MATCH(TEXT($B899,"0"),TEXT('Daily Sales'!$C$2:$AG$2,"0"),0)
      ),
    ""),
  "")
)</f>
        <v/>
      </c>
      <c r="J899" s="79" t="e">
        <f t="shared" si="15"/>
        <v>#VALUE!</v>
      </c>
      <c r="K899" s="141"/>
      <c r="L899" s="141"/>
      <c r="M899" s="141"/>
      <c r="N899" s="133"/>
      <c r="O899" s="4"/>
      <c r="P899" s="4"/>
      <c r="Q899" s="4"/>
      <c r="R899" s="109"/>
      <c r="S899" s="109"/>
      <c r="T899" s="108"/>
      <c r="U899" s="110"/>
      <c r="V899" s="110"/>
      <c r="W899" s="110"/>
      <c r="X899" s="110"/>
    </row>
    <row r="900" spans="1:24" ht="13.5" customHeight="1">
      <c r="A900" s="110">
        <f>IF(E900="","",MATCH(E900,'Daily Sales'!B$4:B$51,0)+3)</f>
        <v>49</v>
      </c>
      <c r="B900" s="135">
        <v>46201</v>
      </c>
      <c r="C900" s="136" t="s">
        <v>118</v>
      </c>
      <c r="D900" s="137" t="str">
        <f t="array" ref="D900">IF($A900="","",INDEX('Daily Sales'!A:A,$A900))</f>
        <v>1-1211</v>
      </c>
      <c r="E900" s="138" t="s">
        <v>70</v>
      </c>
      <c r="F900" s="139" t="str">
        <f t="shared" si="19"/>
        <v>Gopay</v>
      </c>
      <c r="G900" s="140"/>
      <c r="H900" s="138">
        <f t="array" ref="H900">IF($A900="","",
  IF(
    OR(
      $A900=23,
      AND($A900&gt;=32,$A900&lt;=50)
    ),
    IFERROR(
      INDEX('Daily Sales'!$C:$AG,
        $A900,
        MATCH(TEXT($B900,"0"),TEXT('Daily Sales'!$C$2:$AG$2,"0"),0)
      ),
    ""),
  "")
)</f>
        <v>0</v>
      </c>
      <c r="I900" s="138" t="str">
        <f t="array" ref="I900">IF($A900="","",
  IF(
    OR(
      AND($A900&gt;=4,$A900&lt;=8),
      AND($A900&gt;=12,$A900&lt;=19),
      AND($A900&gt;=28,$A900&lt;=29)
    ),
    IFERROR(
      INDEX('Daily Sales'!$C:$AG,
        $A900,
        MATCH(TEXT($B900,"0"),TEXT('Daily Sales'!$C$2:$AG$2,"0"),0)
      ),
    ""),
  "")
)</f>
        <v/>
      </c>
      <c r="J900" s="79" t="e">
        <f t="shared" si="15"/>
        <v>#VALUE!</v>
      </c>
      <c r="K900" s="141"/>
      <c r="L900" s="141"/>
      <c r="M900" s="141"/>
      <c r="N900" s="133"/>
      <c r="O900" s="4"/>
      <c r="P900" s="4"/>
      <c r="Q900" s="4"/>
      <c r="R900" s="109"/>
      <c r="S900" s="109"/>
      <c r="T900" s="108"/>
      <c r="U900" s="110"/>
      <c r="V900" s="110"/>
      <c r="W900" s="110"/>
      <c r="X900" s="110"/>
    </row>
    <row r="901" spans="1:24" ht="13.5" customHeight="1">
      <c r="A901" s="110">
        <f>IF(E901="","",MATCH(E901,'Daily Sales'!B$4:B$51,0)+3)</f>
        <v>50</v>
      </c>
      <c r="B901" s="135">
        <v>46201</v>
      </c>
      <c r="C901" s="136" t="s">
        <v>118</v>
      </c>
      <c r="D901" s="137" t="str">
        <f t="array" ref="D901">IF($A901="","",INDEX('Daily Sales'!A:A,$A901))</f>
        <v>2-2110</v>
      </c>
      <c r="E901" s="138" t="s">
        <v>72</v>
      </c>
      <c r="F901" s="139" t="str">
        <f t="shared" si="19"/>
        <v>Cash Short/Over</v>
      </c>
      <c r="G901" s="140"/>
      <c r="H901" s="138">
        <f t="array" ref="H901">IF($A901="","",
  IF(
    OR(
      $A901=23,
      AND($A901&gt;=32,$A901&lt;=50)
    ),
    IFERROR(
      INDEX('Daily Sales'!$C:$AG,
        $A901,
        MATCH(TEXT($B901,"0"),TEXT('Daily Sales'!$C$2:$AG$2,"0"),0)
      ),
    ""),
  "")
)</f>
        <v>40975.040000000001</v>
      </c>
      <c r="I901" s="138" t="str">
        <f t="array" ref="I901">IF($A901="","",
  IF(
    OR(
      AND($A901&gt;=4,$A901&lt;=8),
      AND($A901&gt;=12,$A901&lt;=19),
      AND($A901&gt;=28,$A901&lt;=29)
    ),
    IFERROR(
      INDEX('Daily Sales'!$C:$AG,
        $A901,
        MATCH(TEXT($B901,"0"),TEXT('Daily Sales'!$C$2:$AG$2,"0"),0)
      ),
    ""),
  "")
)</f>
        <v/>
      </c>
      <c r="J901" s="79" t="e">
        <f t="shared" si="15"/>
        <v>#VALUE!</v>
      </c>
      <c r="K901" s="141"/>
      <c r="L901" s="141"/>
      <c r="M901" s="141"/>
      <c r="N901" s="133"/>
      <c r="O901" s="4"/>
      <c r="P901" s="4"/>
      <c r="Q901" s="4"/>
      <c r="R901" s="109"/>
      <c r="S901" s="109"/>
      <c r="T901" s="108"/>
      <c r="U901" s="110"/>
      <c r="V901" s="110"/>
      <c r="W901" s="110"/>
      <c r="X901" s="110"/>
    </row>
    <row r="902" spans="1:24" ht="14.25" customHeight="1">
      <c r="A902" s="110"/>
      <c r="B902" s="125"/>
      <c r="C902" s="126"/>
      <c r="D902" s="15"/>
      <c r="E902" s="10" t="e">
        <f>TRIM(VLOOKUP(D902,TB!$B$9:$C$1500,2,FALSE))</f>
        <v>#N/A</v>
      </c>
      <c r="F902" s="142"/>
      <c r="G902" s="130"/>
      <c r="H902" s="10"/>
      <c r="I902" s="10"/>
      <c r="J902" s="79" t="e">
        <f t="shared" si="15"/>
        <v>#VALUE!</v>
      </c>
      <c r="K902" s="107"/>
      <c r="L902" s="141"/>
      <c r="M902" s="141"/>
      <c r="N902" s="133"/>
      <c r="O902" s="4"/>
      <c r="P902" s="4"/>
      <c r="Q902" s="4"/>
      <c r="R902" s="134"/>
      <c r="S902" s="109"/>
      <c r="T902" s="108"/>
      <c r="U902" s="110"/>
      <c r="V902" s="110"/>
      <c r="W902" s="110"/>
      <c r="X902" s="110"/>
    </row>
    <row r="903" spans="1:24" ht="13.5" customHeight="1">
      <c r="A903" s="110">
        <f>IF(E903="","",MATCH(E903,'Daily Sales'!B$4:B$51,0)+3)</f>
        <v>4</v>
      </c>
      <c r="B903" s="135">
        <v>46202</v>
      </c>
      <c r="C903" s="136" t="s">
        <v>119</v>
      </c>
      <c r="D903" s="137" t="str">
        <f t="array" ref="D903">IF($A903="","",INDEX('Daily Sales'!A:A,$A903))</f>
        <v>4-2100</v>
      </c>
      <c r="E903" s="138" t="s">
        <v>5</v>
      </c>
      <c r="F903" s="139" t="str">
        <f t="shared" ref="F903:F933" si="20">E903</f>
        <v>Sales Food TERRACE</v>
      </c>
      <c r="G903" s="140"/>
      <c r="H903" s="138" t="str">
        <f t="array" ref="H903">IF($A903="","",
  IF(
    OR(
      $A903=23,
      AND($A903&gt;=32,$A903&lt;=50)
    ),
    IFERROR(
      INDEX('Daily Sales'!$C:$AG,
        $A903,
        MATCH(TEXT($B903,"0"),TEXT('Daily Sales'!$C$2:$AG$2,"0"),0)
      ),
    ""),
  "")
)</f>
        <v/>
      </c>
      <c r="I903" s="138">
        <f t="array" ref="I903">IF($A903="","",
  IF(
    OR(
      AND($A903&gt;=4,$A903&lt;=8),
      AND($A903&gt;=12,$A903&lt;=19),
      AND($A903&gt;=28,$A903&lt;=29)
    ),
    IFERROR(
      INDEX('Daily Sales'!$C:$AG,
        $A903,
        MATCH(TEXT($B903,"0"),TEXT('Daily Sales'!$C$2:$AG$2,"0"),0)
      ),
    ""),
  "")
)</f>
        <v>5250000</v>
      </c>
      <c r="J903" s="79" t="e">
        <f t="shared" si="15"/>
        <v>#VALUE!</v>
      </c>
      <c r="K903" s="141"/>
      <c r="L903" s="141"/>
      <c r="M903" s="141"/>
      <c r="N903" s="133"/>
      <c r="O903" s="4"/>
      <c r="P903" s="4"/>
      <c r="Q903" s="4"/>
      <c r="R903" s="109"/>
      <c r="S903" s="109"/>
      <c r="T903" s="108"/>
      <c r="U903" s="110"/>
      <c r="V903" s="110"/>
      <c r="W903" s="110"/>
      <c r="X903" s="110"/>
    </row>
    <row r="904" spans="1:24" ht="13.5" customHeight="1">
      <c r="A904" s="110">
        <f>IF(E904="","",MATCH(E904,'Daily Sales'!B$4:B$51,0)+3)</f>
        <v>5</v>
      </c>
      <c r="B904" s="135">
        <v>46202</v>
      </c>
      <c r="C904" s="136" t="s">
        <v>119</v>
      </c>
      <c r="D904" s="137" t="str">
        <f t="array" ref="D904">IF($A904="","",INDEX('Daily Sales'!A:A,$A904))</f>
        <v>4-2200</v>
      </c>
      <c r="E904" s="138" t="s">
        <v>7</v>
      </c>
      <c r="F904" s="139" t="str">
        <f t="shared" si="20"/>
        <v>Sales Beverages TERRACE</v>
      </c>
      <c r="G904" s="140"/>
      <c r="H904" s="138" t="str">
        <f t="array" ref="H904">IF($A904="","",
  IF(
    OR(
      $A904=23,
      AND($A904&gt;=32,$A904&lt;=50)
    ),
    IFERROR(
      INDEX('Daily Sales'!$C:$AG,
        $A904,
        MATCH(TEXT($B904,"0"),TEXT('Daily Sales'!$C$2:$AG$2,"0"),0)
      ),
    ""),
  "")
)</f>
        <v/>
      </c>
      <c r="I904" s="138">
        <f t="array" ref="I904">IF($A904="","",
  IF(
    OR(
      AND($A904&gt;=4,$A904&lt;=8),
      AND($A904&gt;=12,$A904&lt;=19),
      AND($A904&gt;=28,$A904&lt;=29)
    ),
    IFERROR(
      INDEX('Daily Sales'!$C:$AG,
        $A904,
        MATCH(TEXT($B904,"0"),TEXT('Daily Sales'!$C$2:$AG$2,"0"),0)
      ),
    ""),
  "")
)</f>
        <v>6645000</v>
      </c>
      <c r="J904" s="79" t="e">
        <f t="shared" si="15"/>
        <v>#VALUE!</v>
      </c>
      <c r="K904" s="141"/>
      <c r="L904" s="141"/>
      <c r="M904" s="141"/>
      <c r="N904" s="133"/>
      <c r="O904" s="4"/>
      <c r="P904" s="4"/>
      <c r="Q904" s="4"/>
      <c r="R904" s="109"/>
      <c r="S904" s="109"/>
      <c r="T904" s="108"/>
      <c r="U904" s="110"/>
      <c r="V904" s="110"/>
      <c r="W904" s="110"/>
      <c r="X904" s="110"/>
    </row>
    <row r="905" spans="1:24" ht="13.5" customHeight="1">
      <c r="A905" s="110">
        <f>IF(E905="","",MATCH(E905,'Daily Sales'!B$4:B$51,0)+3)</f>
        <v>6</v>
      </c>
      <c r="B905" s="135">
        <v>46202</v>
      </c>
      <c r="C905" s="136" t="s">
        <v>119</v>
      </c>
      <c r="D905" s="137" t="str">
        <f t="array" ref="D905">IF($A905="","",INDEX('Daily Sales'!A:A,$A905))</f>
        <v>4-2400</v>
      </c>
      <c r="E905" s="138" t="s">
        <v>9</v>
      </c>
      <c r="F905" s="139" t="str">
        <f t="shared" si="20"/>
        <v>Sales Cigarette TERRACE</v>
      </c>
      <c r="G905" s="140"/>
      <c r="H905" s="138" t="str">
        <f t="array" ref="H905">IF($A905="","",
  IF(
    OR(
      $A905=23,
      AND($A905&gt;=32,$A905&lt;=50)
    ),
    IFERROR(
      INDEX('Daily Sales'!$C:$AG,
        $A905,
        MATCH(TEXT($B905,"0"),TEXT('Daily Sales'!$C$2:$AG$2,"0"),0)
      ),
    ""),
  "")
)</f>
        <v/>
      </c>
      <c r="I905" s="138">
        <f t="array" ref="I905">IF($A905="","",
  IF(
    OR(
      AND($A905&gt;=4,$A905&lt;=8),
      AND($A905&gt;=12,$A905&lt;=19),
      AND($A905&gt;=28,$A905&lt;=29)
    ),
    IFERROR(
      INDEX('Daily Sales'!$C:$AG,
        $A905,
        MATCH(TEXT($B905,"0"),TEXT('Daily Sales'!$C$2:$AG$2,"0"),0)
      ),
    ""),
  "")
)</f>
        <v>0</v>
      </c>
      <c r="J905" s="79" t="e">
        <f t="shared" si="15"/>
        <v>#VALUE!</v>
      </c>
      <c r="K905" s="141"/>
      <c r="L905" s="141"/>
      <c r="M905" s="141"/>
      <c r="N905" s="133"/>
      <c r="O905" s="4"/>
      <c r="P905" s="4"/>
      <c r="Q905" s="4"/>
      <c r="R905" s="109"/>
      <c r="S905" s="109"/>
      <c r="T905" s="108"/>
      <c r="U905" s="110"/>
      <c r="V905" s="110"/>
      <c r="W905" s="110"/>
      <c r="X905" s="110"/>
    </row>
    <row r="906" spans="1:24" ht="13.5" customHeight="1">
      <c r="A906" s="110">
        <f>IF(E906="","",MATCH(E906,'Daily Sales'!B$4:B$51,0)+3)</f>
        <v>7</v>
      </c>
      <c r="B906" s="135">
        <v>46202</v>
      </c>
      <c r="C906" s="136" t="s">
        <v>119</v>
      </c>
      <c r="D906" s="137" t="str">
        <f t="array" ref="D906">IF($A906="","",INDEX('Daily Sales'!A:A,$A906))</f>
        <v>4-2300</v>
      </c>
      <c r="E906" s="138" t="s">
        <v>11</v>
      </c>
      <c r="F906" s="139" t="str">
        <f t="shared" si="20"/>
        <v>Sales Shisa TERRACE</v>
      </c>
      <c r="G906" s="140"/>
      <c r="H906" s="138" t="str">
        <f t="array" ref="H906">IF($A906="","",
  IF(
    OR(
      $A906=23,
      AND($A906&gt;=32,$A906&lt;=50)
    ),
    IFERROR(
      INDEX('Daily Sales'!$C:$AG,
        $A906,
        MATCH(TEXT($B906,"0"),TEXT('Daily Sales'!$C$2:$AG$2,"0"),0)
      ),
    ""),
  "")
)</f>
        <v/>
      </c>
      <c r="I906" s="138">
        <f t="array" ref="I906">IF($A906="","",
  IF(
    OR(
      AND($A906&gt;=4,$A906&lt;=8),
      AND($A906&gt;=12,$A906&lt;=19),
      AND($A906&gt;=28,$A906&lt;=29)
    ),
    IFERROR(
      INDEX('Daily Sales'!$C:$AG,
        $A906,
        MATCH(TEXT($B906,"0"),TEXT('Daily Sales'!$C$2:$AG$2,"0"),0)
      ),
    ""),
  "")
)</f>
        <v>250000</v>
      </c>
      <c r="J906" s="79" t="e">
        <f t="shared" si="15"/>
        <v>#VALUE!</v>
      </c>
      <c r="K906" s="141"/>
      <c r="L906" s="141"/>
      <c r="M906" s="141"/>
      <c r="N906" s="133"/>
      <c r="O906" s="4"/>
      <c r="P906" s="4"/>
      <c r="Q906" s="4"/>
      <c r="R906" s="109"/>
      <c r="S906" s="109"/>
      <c r="T906" s="108"/>
      <c r="U906" s="110"/>
      <c r="V906" s="110"/>
      <c r="W906" s="110"/>
      <c r="X906" s="110"/>
    </row>
    <row r="907" spans="1:24" ht="13.5" customHeight="1">
      <c r="A907" s="110">
        <f>IF(E907="","",MATCH(E907,'Daily Sales'!B$4:B$51,0)+3)</f>
        <v>12</v>
      </c>
      <c r="B907" s="135">
        <v>46202</v>
      </c>
      <c r="C907" s="136" t="s">
        <v>119</v>
      </c>
      <c r="D907" s="137" t="str">
        <f t="array" ref="D907">IF($A907="","",INDEX('Daily Sales'!A:A,$A907))</f>
        <v>4-2200</v>
      </c>
      <c r="E907" s="138" t="s">
        <v>17</v>
      </c>
      <c r="F907" s="139" t="str">
        <f t="shared" si="20"/>
        <v>Sales Beverages CLUB</v>
      </c>
      <c r="G907" s="140"/>
      <c r="H907" s="138" t="str">
        <f t="array" ref="H907">IF($A907="","",
  IF(
    OR(
      $A907=23,
      AND($A907&gt;=32,$A907&lt;=50)
    ),
    IFERROR(
      INDEX('Daily Sales'!$C:$AG,
        $A907,
        MATCH(TEXT($B907,"0"),TEXT('Daily Sales'!$C$2:$AG$2,"0"),0)
      ),
    ""),
  "")
)</f>
        <v/>
      </c>
      <c r="I907" s="138">
        <f t="array" ref="I907">IF($A907="","",
  IF(
    OR(
      AND($A907&gt;=4,$A907&lt;=8),
      AND($A907&gt;=12,$A907&lt;=19),
      AND($A907&gt;=28,$A907&lt;=29)
    ),
    IFERROR(
      INDEX('Daily Sales'!$C:$AG,
        $A907,
        MATCH(TEXT($B907,"0"),TEXT('Daily Sales'!$C$2:$AG$2,"0"),0)
      ),
    ""),
  "")
)</f>
        <v>26049000</v>
      </c>
      <c r="J907" s="79" t="e">
        <f t="shared" si="15"/>
        <v>#VALUE!</v>
      </c>
      <c r="K907" s="141"/>
      <c r="L907" s="141"/>
      <c r="M907" s="141"/>
      <c r="N907" s="133"/>
      <c r="O907" s="4"/>
      <c r="P907" s="4"/>
      <c r="Q907" s="4"/>
      <c r="R907" s="109"/>
      <c r="S907" s="109"/>
      <c r="T907" s="108"/>
      <c r="U907" s="110"/>
      <c r="V907" s="110"/>
      <c r="W907" s="110"/>
      <c r="X907" s="110"/>
    </row>
    <row r="908" spans="1:24" ht="13.5" customHeight="1">
      <c r="A908" s="110">
        <f>IF(E908="","",MATCH(E908,'Daily Sales'!B$4:B$51,0)+3)</f>
        <v>13</v>
      </c>
      <c r="B908" s="135">
        <v>46202</v>
      </c>
      <c r="C908" s="136" t="s">
        <v>119</v>
      </c>
      <c r="D908" s="137" t="str">
        <f t="array" ref="D908">IF($A908="","",INDEX('Daily Sales'!A:A,$A908))</f>
        <v>4-2400</v>
      </c>
      <c r="E908" s="138" t="s">
        <v>18</v>
      </c>
      <c r="F908" s="139" t="str">
        <f t="shared" si="20"/>
        <v>Sales Cigarette CLUB</v>
      </c>
      <c r="G908" s="140"/>
      <c r="H908" s="138" t="str">
        <f t="array" ref="H908">IF($A908="","",
  IF(
    OR(
      $A908=23,
      AND($A908&gt;=32,$A908&lt;=50)
    ),
    IFERROR(
      INDEX('Daily Sales'!$C:$AG,
        $A908,
        MATCH(TEXT($B908,"0"),TEXT('Daily Sales'!$C$2:$AG$2,"0"),0)
      ),
    ""),
  "")
)</f>
        <v/>
      </c>
      <c r="I908" s="138">
        <f t="array" ref="I908">IF($A908="","",
  IF(
    OR(
      AND($A908&gt;=4,$A908&lt;=8),
      AND($A908&gt;=12,$A908&lt;=19),
      AND($A908&gt;=28,$A908&lt;=29)
    ),
    IFERROR(
      INDEX('Daily Sales'!$C:$AG,
        $A908,
        MATCH(TEXT($B908,"0"),TEXT('Daily Sales'!$C$2:$AG$2,"0"),0)
      ),
    ""),
  "")
)</f>
        <v>700000</v>
      </c>
      <c r="J908" s="79" t="e">
        <f t="shared" si="15"/>
        <v>#VALUE!</v>
      </c>
      <c r="K908" s="141"/>
      <c r="L908" s="141"/>
      <c r="M908" s="141"/>
      <c r="N908" s="133"/>
      <c r="O908" s="4"/>
      <c r="P908" s="4"/>
      <c r="Q908" s="4"/>
      <c r="R908" s="109"/>
      <c r="S908" s="109"/>
      <c r="T908" s="108"/>
      <c r="U908" s="110"/>
      <c r="V908" s="110"/>
      <c r="W908" s="110"/>
      <c r="X908" s="110"/>
    </row>
    <row r="909" spans="1:24" ht="13.5" customHeight="1">
      <c r="A909" s="110">
        <f>IF(E909="","",MATCH(E909,'Daily Sales'!B$4:B$51,0)+3)</f>
        <v>14</v>
      </c>
      <c r="B909" s="135">
        <v>46202</v>
      </c>
      <c r="C909" s="136" t="s">
        <v>119</v>
      </c>
      <c r="D909" s="137" t="str">
        <f t="array" ref="D909">IF($A909="","",INDEX('Daily Sales'!A:A,$A909))</f>
        <v>4-2100</v>
      </c>
      <c r="E909" s="138" t="s">
        <v>19</v>
      </c>
      <c r="F909" s="139" t="str">
        <f t="shared" si="20"/>
        <v>Sales Food CLUB</v>
      </c>
      <c r="G909" s="140"/>
      <c r="H909" s="138" t="str">
        <f t="array" ref="H909">IF($A909="","",
  IF(
    OR(
      $A909=23,
      AND($A909&gt;=32,$A909&lt;=50)
    ),
    IFERROR(
      INDEX('Daily Sales'!$C:$AG,
        $A909,
        MATCH(TEXT($B909,"0"),TEXT('Daily Sales'!$C$2:$AG$2,"0"),0)
      ),
    ""),
  "")
)</f>
        <v/>
      </c>
      <c r="I909" s="138">
        <f t="array" ref="I909">IF($A909="","",
  IF(
    OR(
      AND($A909&gt;=4,$A909&lt;=8),
      AND($A909&gt;=12,$A909&lt;=19),
      AND($A909&gt;=28,$A909&lt;=29)
    ),
    IFERROR(
      INDEX('Daily Sales'!$C:$AG,
        $A909,
        MATCH(TEXT($B909,"0"),TEXT('Daily Sales'!$C$2:$AG$2,"0"),0)
      ),
    ""),
  "")
)</f>
        <v>450000</v>
      </c>
      <c r="J909" s="79" t="e">
        <f t="shared" si="15"/>
        <v>#VALUE!</v>
      </c>
      <c r="K909" s="141"/>
      <c r="L909" s="141"/>
      <c r="M909" s="141"/>
      <c r="N909" s="133"/>
      <c r="O909" s="4"/>
      <c r="P909" s="4"/>
      <c r="Q909" s="4"/>
      <c r="R909" s="109"/>
      <c r="S909" s="109"/>
      <c r="T909" s="108"/>
      <c r="U909" s="110"/>
      <c r="V909" s="110"/>
      <c r="W909" s="110"/>
      <c r="X909" s="110"/>
    </row>
    <row r="910" spans="1:24" ht="13.5" customHeight="1">
      <c r="A910" s="110">
        <f>IF(E910="","",MATCH(E910,'Daily Sales'!B$4:B$51,0)+3)</f>
        <v>15</v>
      </c>
      <c r="B910" s="135">
        <v>46202</v>
      </c>
      <c r="C910" s="136" t="s">
        <v>119</v>
      </c>
      <c r="D910" s="137" t="str">
        <f t="array" ref="D910">IF($A910="","",INDEX('Daily Sales'!A:A,$A910))</f>
        <v>4-2300</v>
      </c>
      <c r="E910" s="138" t="s">
        <v>20</v>
      </c>
      <c r="F910" s="139" t="str">
        <f t="shared" si="20"/>
        <v>Sales Shisa CLUB</v>
      </c>
      <c r="G910" s="140"/>
      <c r="H910" s="138" t="str">
        <f t="array" ref="H910">IF($A910="","",
  IF(
    OR(
      $A910=23,
      AND($A910&gt;=32,$A910&lt;=50)
    ),
    IFERROR(
      INDEX('Daily Sales'!$C:$AG,
        $A910,
        MATCH(TEXT($B910,"0"),TEXT('Daily Sales'!$C$2:$AG$2,"0"),0)
      ),
    ""),
  "")
)</f>
        <v/>
      </c>
      <c r="I910" s="138">
        <f t="array" ref="I910">IF($A910="","",
  IF(
    OR(
      AND($A910&gt;=4,$A910&lt;=8),
      AND($A910&gt;=12,$A910&lt;=19),
      AND($A910&gt;=28,$A910&lt;=29)
    ),
    IFERROR(
      INDEX('Daily Sales'!$C:$AG,
        $A910,
        MATCH(TEXT($B910,"0"),TEXT('Daily Sales'!$C$2:$AG$2,"0"),0)
      ),
    ""),
  "")
)</f>
        <v>0</v>
      </c>
      <c r="J910" s="79" t="e">
        <f t="shared" si="15"/>
        <v>#VALUE!</v>
      </c>
      <c r="K910" s="141"/>
      <c r="L910" s="141"/>
      <c r="M910" s="141"/>
      <c r="N910" s="133"/>
      <c r="O910" s="4"/>
      <c r="P910" s="4"/>
      <c r="Q910" s="4"/>
      <c r="R910" s="109"/>
      <c r="S910" s="109"/>
      <c r="T910" s="108"/>
      <c r="U910" s="110"/>
      <c r="V910" s="110"/>
      <c r="W910" s="110"/>
      <c r="X910" s="110"/>
    </row>
    <row r="911" spans="1:24" ht="13.5" customHeight="1">
      <c r="A911" s="110">
        <f>IF(E911="","",MATCH(E911,'Daily Sales'!B$4:B$51,0)+3)</f>
        <v>17</v>
      </c>
      <c r="B911" s="135">
        <v>46202</v>
      </c>
      <c r="C911" s="136" t="s">
        <v>119</v>
      </c>
      <c r="D911" s="137" t="str">
        <f t="array" ref="D911">IF($A911="","",INDEX('Daily Sales'!A:A,$A911))</f>
        <v>4-2601</v>
      </c>
      <c r="E911" s="138" t="s">
        <v>23</v>
      </c>
      <c r="F911" s="139" t="str">
        <f t="shared" si="20"/>
        <v xml:space="preserve">Misc </v>
      </c>
      <c r="G911" s="140"/>
      <c r="H911" s="138" t="str">
        <f t="array" ref="H911">IF($A911="","",
  IF(
    OR(
      $A911=23,
      AND($A911&gt;=32,$A911&lt;=50)
    ),
    IFERROR(
      INDEX('Daily Sales'!$C:$AG,
        $A911,
        MATCH(TEXT($B911,"0"),TEXT('Daily Sales'!$C$2:$AG$2,"0"),0)
      ),
    ""),
  "")
)</f>
        <v/>
      </c>
      <c r="I911" s="138">
        <f t="array" ref="I911">IF($A911="","",
  IF(
    OR(
      AND($A911&gt;=4,$A911&lt;=8),
      AND($A911&gt;=12,$A911&lt;=19),
      AND($A911&gt;=28,$A911&lt;=29)
    ),
    IFERROR(
      INDEX('Daily Sales'!$C:$AG,
        $A911,
        MATCH(TEXT($B911,"0"),TEXT('Daily Sales'!$C$2:$AG$2,"0"),0)
      ),
    ""),
  "")
)</f>
        <v>0</v>
      </c>
      <c r="J911" s="79" t="e">
        <f t="shared" si="15"/>
        <v>#VALUE!</v>
      </c>
      <c r="K911" s="141"/>
      <c r="L911" s="141"/>
      <c r="M911" s="141"/>
      <c r="N911" s="133"/>
      <c r="O911" s="4"/>
      <c r="P911" s="4"/>
      <c r="Q911" s="4"/>
      <c r="R911" s="109"/>
      <c r="S911" s="109"/>
      <c r="T911" s="108"/>
      <c r="U911" s="110"/>
      <c r="V911" s="110"/>
      <c r="W911" s="110"/>
      <c r="X911" s="110"/>
    </row>
    <row r="912" spans="1:24" ht="13.5" customHeight="1">
      <c r="A912" s="110">
        <f>IF(E912="","",MATCH(E912,'Daily Sales'!B$4:B$51,0)+3)</f>
        <v>19</v>
      </c>
      <c r="B912" s="135">
        <v>46202</v>
      </c>
      <c r="C912" s="136" t="s">
        <v>119</v>
      </c>
      <c r="D912" s="137" t="str">
        <f t="array" ref="D912">IF($A912="","",INDEX('Daily Sales'!A:A,$A912))</f>
        <v>4-2500</v>
      </c>
      <c r="E912" s="138" t="s">
        <v>26</v>
      </c>
      <c r="F912" s="139" t="str">
        <f t="shared" si="20"/>
        <v>Sales Ticket</v>
      </c>
      <c r="G912" s="140"/>
      <c r="H912" s="138" t="str">
        <f t="array" ref="H912">IF($A912="","",
  IF(
    OR(
      $A912=23,
      AND($A912&gt;=32,$A912&lt;=50)
    ),
    IFERROR(
      INDEX('Daily Sales'!$C:$AG,
        $A912,
        MATCH(TEXT($B912,"0"),TEXT('Daily Sales'!$C$2:$AG$2,"0"),0)
      ),
    ""),
  "")
)</f>
        <v/>
      </c>
      <c r="I912" s="138">
        <f t="array" ref="I912">IF($A912="","",
  IF(
    OR(
      AND($A912&gt;=4,$A912&lt;=8),
      AND($A912&gt;=12,$A912&lt;=19),
      AND($A912&gt;=28,$A912&lt;=29)
    ),
    IFERROR(
      INDEX('Daily Sales'!$C:$AG,
        $A912,
        MATCH(TEXT($B912,"0"),TEXT('Daily Sales'!$C$2:$AG$2,"0"),0)
      ),
    ""),
  "")
)</f>
        <v>9685668</v>
      </c>
      <c r="J912" s="79" t="e">
        <f t="shared" si="15"/>
        <v>#VALUE!</v>
      </c>
      <c r="K912" s="141"/>
      <c r="L912" s="141"/>
      <c r="M912" s="141"/>
      <c r="N912" s="133"/>
      <c r="O912" s="4"/>
      <c r="P912" s="4"/>
      <c r="Q912" s="4"/>
      <c r="R912" s="109"/>
      <c r="S912" s="109"/>
      <c r="T912" s="108"/>
      <c r="U912" s="110"/>
      <c r="V912" s="110"/>
      <c r="W912" s="110"/>
      <c r="X912" s="110"/>
    </row>
    <row r="913" spans="1:24" ht="13.5" customHeight="1">
      <c r="A913" s="110">
        <f>IF(E913="","",MATCH(E913,'Daily Sales'!B$4:B$51,0)+3)</f>
        <v>28</v>
      </c>
      <c r="B913" s="135">
        <v>46202</v>
      </c>
      <c r="C913" s="136" t="s">
        <v>119</v>
      </c>
      <c r="D913" s="137" t="str">
        <f t="array" ref="D913">IF($A913="","",INDEX('Daily Sales'!A:A,$A913))</f>
        <v>2-2106</v>
      </c>
      <c r="E913" s="138" t="s">
        <v>35</v>
      </c>
      <c r="F913" s="139" t="str">
        <f t="shared" si="20"/>
        <v>Service Charges 7%</v>
      </c>
      <c r="G913" s="140"/>
      <c r="H913" s="138" t="str">
        <f t="array" ref="H913">IF($A913="","",
  IF(
    OR(
      $A913=23,
      AND($A913&gt;=32,$A913&lt;=50)
    ),
    IFERROR(
      INDEX('Daily Sales'!$C:$AG,
        $A913,
        MATCH(TEXT($B913,"0"),TEXT('Daily Sales'!$C$2:$AG$2,"0"),0)
      ),
    ""),
  "")
)</f>
        <v/>
      </c>
      <c r="I913" s="138">
        <f t="array" ref="I913">IF($A913="","",
  IF(
    OR(
      AND($A913&gt;=4,$A913&lt;=8),
      AND($A913&gt;=12,$A913&lt;=19),
      AND($A913&gt;=28,$A913&lt;=29)
    ),
    IFERROR(
      INDEX('Daily Sales'!$C:$AG,
        $A913,
        MATCH(TEXT($B913,"0"),TEXT('Daily Sales'!$C$2:$AG$2,"0"),0)
      ),
    ""),
  "")
)</f>
        <v>3293546.7600000002</v>
      </c>
      <c r="J913" s="79" t="e">
        <f t="shared" si="15"/>
        <v>#VALUE!</v>
      </c>
      <c r="K913" s="141"/>
      <c r="L913" s="141"/>
      <c r="M913" s="141"/>
      <c r="N913" s="133"/>
      <c r="O913" s="4"/>
      <c r="P913" s="4"/>
      <c r="Q913" s="4"/>
      <c r="R913" s="109"/>
      <c r="S913" s="109"/>
      <c r="T913" s="108"/>
      <c r="U913" s="110"/>
      <c r="V913" s="110"/>
      <c r="W913" s="110"/>
      <c r="X913" s="110"/>
    </row>
    <row r="914" spans="1:24" ht="13.5" customHeight="1">
      <c r="A914" s="110">
        <f>IF(E914="","",MATCH(E914,'Daily Sales'!B$4:B$51,0)+3)</f>
        <v>29</v>
      </c>
      <c r="B914" s="135">
        <v>46202</v>
      </c>
      <c r="C914" s="136" t="s">
        <v>119</v>
      </c>
      <c r="D914" s="137" t="str">
        <f t="array" ref="D914">IF($A914="","",INDEX('Daily Sales'!A:A,$A914))</f>
        <v>2-3101</v>
      </c>
      <c r="E914" s="138" t="s">
        <v>37</v>
      </c>
      <c r="F914" s="139" t="str">
        <f t="shared" si="20"/>
        <v>Tax PB1 10%</v>
      </c>
      <c r="G914" s="140"/>
      <c r="H914" s="138" t="str">
        <f t="array" ref="H914">IF($A914="","",
  IF(
    OR(
      $A914=23,
      AND($A914&gt;=32,$A914&lt;=50)
    ),
    IFERROR(
      INDEX('Daily Sales'!$C:$AG,
        $A914,
        MATCH(TEXT($B914,"0"),TEXT('Daily Sales'!$C$2:$AG$2,"0"),0)
      ),
    ""),
  "")
)</f>
        <v/>
      </c>
      <c r="I914" s="138">
        <f t="array" ref="I914">IF($A914="","",
  IF(
    OR(
      AND($A914&gt;=4,$A914&lt;=8),
      AND($A914&gt;=12,$A914&lt;=19),
      AND($A914&gt;=28,$A914&lt;=29)
    ),
    IFERROR(
      INDEX('Daily Sales'!$C:$AG,
        $A914,
        MATCH(TEXT($B914,"0"),TEXT('Daily Sales'!$C$2:$AG$2,"0"),0)
      ),
    ""),
  "")
)</f>
        <v>5034421.4759999998</v>
      </c>
      <c r="J914" s="79" t="e">
        <f t="shared" si="15"/>
        <v>#VALUE!</v>
      </c>
      <c r="K914" s="141"/>
      <c r="L914" s="141"/>
      <c r="M914" s="141"/>
      <c r="N914" s="133"/>
      <c r="O914" s="4"/>
      <c r="P914" s="4"/>
      <c r="Q914" s="4"/>
      <c r="R914" s="109"/>
      <c r="S914" s="109"/>
      <c r="T914" s="108"/>
      <c r="U914" s="110"/>
      <c r="V914" s="110"/>
      <c r="W914" s="110"/>
      <c r="X914" s="110"/>
    </row>
    <row r="915" spans="1:24" ht="13.5" customHeight="1">
      <c r="A915" s="110">
        <f>IF(E915="","",MATCH(E915,'Daily Sales'!B$4:B$51,0)+3)</f>
        <v>23</v>
      </c>
      <c r="B915" s="135">
        <v>46202</v>
      </c>
      <c r="C915" s="136" t="s">
        <v>119</v>
      </c>
      <c r="D915" s="137" t="str">
        <f t="array" ref="D915">IF($A915="","",INDEX('Daily Sales'!A:A,$A915))</f>
        <v>4-5110</v>
      </c>
      <c r="E915" s="138" t="s">
        <v>30</v>
      </c>
      <c r="F915" s="139" t="str">
        <f t="shared" si="20"/>
        <v>Discount</v>
      </c>
      <c r="G915" s="140"/>
      <c r="H915" s="138">
        <f t="array" ref="H915">IF($A915="","",
  IF(
    OR(
      $A915=23,
      AND($A915&gt;=32,$A915&lt;=50)
    ),
    IFERROR(
      INDEX('Daily Sales'!$C:$AG,
        $A915,
        MATCH(TEXT($B915,"0"),TEXT('Daily Sales'!$C$2:$AG$2,"0"),0)
      ),
    ""),
  "")
)</f>
        <v>1775000</v>
      </c>
      <c r="I915" s="138" t="str">
        <f t="array" ref="I915">IF($A915="","",
  IF(
    OR(
      AND($A915&gt;=4,$A915&lt;=8),
      AND($A915&gt;=12,$A915&lt;=19),
      AND($A915&gt;=28,$A915&lt;=29)
    ),
    IFERROR(
      INDEX('Daily Sales'!$C:$AG,
        $A915,
        MATCH(TEXT($B915,"0"),TEXT('Daily Sales'!$C$2:$AG$2,"0"),0)
      ),
    ""),
  "")
)</f>
        <v/>
      </c>
      <c r="J915" s="79" t="e">
        <f t="shared" si="15"/>
        <v>#VALUE!</v>
      </c>
      <c r="K915" s="141"/>
      <c r="L915" s="141"/>
      <c r="M915" s="141"/>
      <c r="N915" s="133"/>
      <c r="O915" s="4"/>
      <c r="P915" s="4"/>
      <c r="Q915" s="4"/>
      <c r="R915" s="109"/>
      <c r="S915" s="109"/>
      <c r="T915" s="108"/>
      <c r="U915" s="110"/>
      <c r="V915" s="110"/>
      <c r="W915" s="110"/>
      <c r="X915" s="110"/>
    </row>
    <row r="916" spans="1:24" ht="13.5" customHeight="1">
      <c r="A916" s="110">
        <f>IF(E916="","",MATCH(E916,'Daily Sales'!B$4:B$51,0)+3)</f>
        <v>32</v>
      </c>
      <c r="B916" s="135">
        <v>46202</v>
      </c>
      <c r="C916" s="136" t="s">
        <v>119</v>
      </c>
      <c r="D916" s="137" t="str">
        <f t="array" ref="D916">IF($A916="","",INDEX('Daily Sales'!A:A,$A916))</f>
        <v>1-1119</v>
      </c>
      <c r="E916" s="138" t="s">
        <v>40</v>
      </c>
      <c r="F916" s="139" t="str">
        <f t="shared" si="20"/>
        <v>Cash IDR</v>
      </c>
      <c r="G916" s="140"/>
      <c r="H916" s="138">
        <f t="array" ref="H916">IF($A916="","",
  IF(
    OR(
      $A916=23,
      AND($A916&gt;=32,$A916&lt;=50)
    ),
    IFERROR(
      INDEX('Daily Sales'!$C:$AG,
        $A916,
        MATCH(TEXT($B916,"0"),TEXT('Daily Sales'!$C$2:$AG$2,"0"),0)
      ),
    ""),
  "")
)</f>
        <v>9579282</v>
      </c>
      <c r="I916" s="138" t="str">
        <f t="array" ref="I916">IF($A916="","",
  IF(
    OR(
      AND($A916&gt;=4,$A916&lt;=8),
      AND($A916&gt;=12,$A916&lt;=19),
      AND($A916&gt;=28,$A916&lt;=29)
    ),
    IFERROR(
      INDEX('Daily Sales'!$C:$AG,
        $A916,
        MATCH(TEXT($B916,"0"),TEXT('Daily Sales'!$C$2:$AG$2,"0"),0)
      ),
    ""),
  "")
)</f>
        <v/>
      </c>
      <c r="J916" s="79" t="e">
        <f t="shared" si="15"/>
        <v>#VALUE!</v>
      </c>
      <c r="K916" s="141"/>
      <c r="L916" s="141"/>
      <c r="M916" s="141"/>
      <c r="N916" s="133"/>
      <c r="O916" s="4"/>
      <c r="P916" s="4"/>
      <c r="Q916" s="4"/>
      <c r="R916" s="109"/>
      <c r="S916" s="109"/>
      <c r="T916" s="108"/>
      <c r="U916" s="110"/>
      <c r="V916" s="110"/>
      <c r="W916" s="110"/>
      <c r="X916" s="110"/>
    </row>
    <row r="917" spans="1:24" ht="13.5" customHeight="1">
      <c r="A917" s="110">
        <f>IF(E917="","",MATCH(E917,'Daily Sales'!B$4:B$51,0)+3)</f>
        <v>33</v>
      </c>
      <c r="B917" s="135">
        <v>46202</v>
      </c>
      <c r="C917" s="136" t="s">
        <v>119</v>
      </c>
      <c r="D917" s="137" t="str">
        <f t="array" ref="D917">IF($A917="","",INDEX('Daily Sales'!A:A,$A917))</f>
        <v>1-1217</v>
      </c>
      <c r="E917" s="138" t="s">
        <v>43</v>
      </c>
      <c r="F917" s="139" t="str">
        <f t="shared" si="20"/>
        <v>Bank transfer</v>
      </c>
      <c r="G917" s="140"/>
      <c r="H917" s="138">
        <f t="array" ref="H917">IF($A917="","",
  IF(
    OR(
      $A917=23,
      AND($A917&gt;=32,$A917&lt;=50)
    ),
    IFERROR(
      INDEX('Daily Sales'!$C:$AG,
        $A917,
        MATCH(TEXT($B917,"0"),TEXT('Daily Sales'!$C$2:$AG$2,"0"),0)
      ),
    ""),
  "")
)</f>
        <v>204000</v>
      </c>
      <c r="I917" s="138" t="str">
        <f t="array" ref="I917">IF($A917="","",
  IF(
    OR(
      AND($A917&gt;=4,$A917&lt;=8),
      AND($A917&gt;=12,$A917&lt;=19),
      AND($A917&gt;=28,$A917&lt;=29)
    ),
    IFERROR(
      INDEX('Daily Sales'!$C:$AG,
        $A917,
        MATCH(TEXT($B917,"0"),TEXT('Daily Sales'!$C$2:$AG$2,"0"),0)
      ),
    ""),
  "")
)</f>
        <v/>
      </c>
      <c r="J917" s="79" t="e">
        <f t="shared" si="15"/>
        <v>#VALUE!</v>
      </c>
      <c r="K917" s="141"/>
      <c r="L917" s="141"/>
      <c r="M917" s="141"/>
      <c r="N917" s="133"/>
      <c r="O917" s="4"/>
      <c r="P917" s="4"/>
      <c r="Q917" s="4"/>
      <c r="R917" s="109"/>
      <c r="S917" s="109"/>
      <c r="T917" s="108"/>
      <c r="U917" s="110"/>
      <c r="V917" s="110"/>
      <c r="W917" s="110"/>
      <c r="X917" s="110"/>
    </row>
    <row r="918" spans="1:24" ht="13.5" customHeight="1">
      <c r="A918" s="110">
        <f>IF(E918="","",MATCH(E918,'Daily Sales'!B$4:B$51,0)+3)</f>
        <v>35</v>
      </c>
      <c r="B918" s="135">
        <v>46202</v>
      </c>
      <c r="C918" s="136" t="s">
        <v>119</v>
      </c>
      <c r="D918" s="137" t="str">
        <f t="array" ref="D918">IF($A918="","",INDEX('Daily Sales'!A:A,$A918))</f>
        <v>1-1216</v>
      </c>
      <c r="E918" s="138" t="s">
        <v>46</v>
      </c>
      <c r="F918" s="139" t="str">
        <f t="shared" si="20"/>
        <v>Cim Niaga TBB</v>
      </c>
      <c r="G918" s="140"/>
      <c r="H918" s="138">
        <f t="array" ref="H918">IF($A918="","",
  IF(
    OR(
      $A918=23,
      AND($A918&gt;=32,$A918&lt;=50)
    ),
    IFERROR(
      INDEX('Daily Sales'!$C:$AG,
        $A918,
        MATCH(TEXT($B918,"0"),TEXT('Daily Sales'!$C$2:$AG$2,"0"),0)
      ),
    ""),
  "")
)</f>
        <v>0</v>
      </c>
      <c r="I918" s="138" t="str">
        <f t="array" ref="I918">IF($A918="","",
  IF(
    OR(
      AND($A918&gt;=4,$A918&lt;=8),
      AND($A918&gt;=12,$A918&lt;=19),
      AND($A918&gt;=28,$A918&lt;=29)
    ),
    IFERROR(
      INDEX('Daily Sales'!$C:$AG,
        $A918,
        MATCH(TEXT($B918,"0"),TEXT('Daily Sales'!$C$2:$AG$2,"0"),0)
      ),
    ""),
  "")
)</f>
        <v/>
      </c>
      <c r="J918" s="79" t="e">
        <f t="shared" si="15"/>
        <v>#VALUE!</v>
      </c>
      <c r="K918" s="141"/>
      <c r="L918" s="141"/>
      <c r="M918" s="141"/>
      <c r="N918" s="133"/>
      <c r="O918" s="4"/>
      <c r="P918" s="4"/>
      <c r="Q918" s="4"/>
      <c r="R918" s="109"/>
      <c r="S918" s="109"/>
      <c r="T918" s="108"/>
      <c r="U918" s="110"/>
      <c r="V918" s="110"/>
      <c r="W918" s="110"/>
      <c r="X918" s="110"/>
    </row>
    <row r="919" spans="1:24" ht="13.5" customHeight="1">
      <c r="A919" s="110">
        <f>IF(E919="","",MATCH(E919,'Daily Sales'!B$4:B$51,0)+3)</f>
        <v>36</v>
      </c>
      <c r="B919" s="135">
        <v>46202</v>
      </c>
      <c r="C919" s="136" t="s">
        <v>119</v>
      </c>
      <c r="D919" s="137" t="str">
        <f t="array" ref="D919">IF($A919="","",INDEX('Daily Sales'!A:A,$A919))</f>
        <v>1-1213</v>
      </c>
      <c r="E919" s="138" t="s">
        <v>49</v>
      </c>
      <c r="F919" s="139" t="str">
        <f t="shared" si="20"/>
        <v>Mandiri Debet</v>
      </c>
      <c r="G919" s="140"/>
      <c r="H919" s="138">
        <f t="array" ref="H919">IF($A919="","",
  IF(
    OR(
      $A919=23,
      AND($A919&gt;=32,$A919&lt;=50)
    ),
    IFERROR(
      INDEX('Daily Sales'!$C:$AG,
        $A919,
        MATCH(TEXT($B919,"0"),TEXT('Daily Sales'!$C$2:$AG$2,"0"),0)
      ),
    ""),
  "")
)</f>
        <v>182435</v>
      </c>
      <c r="I919" s="138" t="str">
        <f t="array" ref="I919">IF($A919="","",
  IF(
    OR(
      AND($A919&gt;=4,$A919&lt;=8),
      AND($A919&gt;=12,$A919&lt;=19),
      AND($A919&gt;=28,$A919&lt;=29)
    ),
    IFERROR(
      INDEX('Daily Sales'!$C:$AG,
        $A919,
        MATCH(TEXT($B919,"0"),TEXT('Daily Sales'!$C$2:$AG$2,"0"),0)
      ),
    ""),
  "")
)</f>
        <v/>
      </c>
      <c r="J919" s="79" t="e">
        <f t="shared" si="15"/>
        <v>#VALUE!</v>
      </c>
      <c r="K919" s="141"/>
      <c r="L919" s="141"/>
      <c r="M919" s="141"/>
      <c r="N919" s="133"/>
      <c r="O919" s="4"/>
      <c r="P919" s="4"/>
      <c r="Q919" s="4"/>
      <c r="R919" s="109"/>
      <c r="S919" s="109"/>
      <c r="T919" s="108"/>
      <c r="U919" s="110"/>
      <c r="V919" s="110"/>
      <c r="W919" s="110"/>
      <c r="X919" s="110"/>
    </row>
    <row r="920" spans="1:24" ht="13.5" customHeight="1">
      <c r="A920" s="110">
        <f>IF(E920="","",MATCH(E920,'Daily Sales'!B$4:B$51,0)+3)</f>
        <v>37</v>
      </c>
      <c r="B920" s="135">
        <v>46202</v>
      </c>
      <c r="C920" s="136" t="s">
        <v>119</v>
      </c>
      <c r="D920" s="137" t="str">
        <f t="array" ref="D920">IF($A920="","",INDEX('Daily Sales'!A:A,$A920))</f>
        <v>1-1213</v>
      </c>
      <c r="E920" s="138" t="s">
        <v>50</v>
      </c>
      <c r="F920" s="139" t="str">
        <f t="shared" si="20"/>
        <v>Mandiri CC</v>
      </c>
      <c r="G920" s="140"/>
      <c r="H920" s="138">
        <f t="array" ref="H920">IF($A920="","",
  IF(
    OR(
      $A920=23,
      AND($A920&gt;=32,$A920&lt;=50)
    ),
    IFERROR(
      INDEX('Daily Sales'!$C:$AG,
        $A920,
        MATCH(TEXT($B920,"0"),TEXT('Daily Sales'!$C$2:$AG$2,"0"),0)
      ),
    ""),
  "")
)</f>
        <v>14985620</v>
      </c>
      <c r="I920" s="138" t="str">
        <f t="array" ref="I920">IF($A920="","",
  IF(
    OR(
      AND($A920&gt;=4,$A920&lt;=8),
      AND($A920&gt;=12,$A920&lt;=19),
      AND($A920&gt;=28,$A920&lt;=29)
    ),
    IFERROR(
      INDEX('Daily Sales'!$C:$AG,
        $A920,
        MATCH(TEXT($B920,"0"),TEXT('Daily Sales'!$C$2:$AG$2,"0"),0)
      ),
    ""),
  "")
)</f>
        <v/>
      </c>
      <c r="J920" s="79" t="e">
        <f t="shared" si="15"/>
        <v>#VALUE!</v>
      </c>
      <c r="K920" s="141"/>
      <c r="L920" s="141"/>
      <c r="M920" s="141"/>
      <c r="N920" s="133"/>
      <c r="O920" s="4"/>
      <c r="P920" s="4"/>
      <c r="Q920" s="4"/>
      <c r="R920" s="109"/>
      <c r="S920" s="109"/>
      <c r="T920" s="108"/>
      <c r="U920" s="110"/>
      <c r="V920" s="110"/>
      <c r="W920" s="110"/>
      <c r="X920" s="110"/>
    </row>
    <row r="921" spans="1:24" ht="13.5" customHeight="1">
      <c r="A921" s="110">
        <f>IF(E921="","",MATCH(E921,'Daily Sales'!B$4:B$51,0)+3)</f>
        <v>38</v>
      </c>
      <c r="B921" s="135">
        <v>46202</v>
      </c>
      <c r="C921" s="136" t="s">
        <v>119</v>
      </c>
      <c r="D921" s="137" t="str">
        <f t="array" ref="D921">IF($A921="","",INDEX('Daily Sales'!A:A,$A921))</f>
        <v>1-1213</v>
      </c>
      <c r="E921" s="138" t="s">
        <v>51</v>
      </c>
      <c r="F921" s="139" t="str">
        <f t="shared" si="20"/>
        <v>Mandiri NPG</v>
      </c>
      <c r="G921" s="140"/>
      <c r="H921" s="138">
        <f t="array" ref="H921">IF($A921="","",
  IF(
    OR(
      $A921=23,
      AND($A921&gt;=32,$A921&lt;=50)
    ),
    IFERROR(
      INDEX('Daily Sales'!$C:$AG,
        $A921,
        MATCH(TEXT($B921,"0"),TEXT('Daily Sales'!$C$2:$AG$2,"0"),0)
      ),
    ""),
  "")
)</f>
        <v>16624315</v>
      </c>
      <c r="I921" s="138" t="str">
        <f t="array" ref="I921">IF($A921="","",
  IF(
    OR(
      AND($A921&gt;=4,$A921&lt;=8),
      AND($A921&gt;=12,$A921&lt;=19),
      AND($A921&gt;=28,$A921&lt;=29)
    ),
    IFERROR(
      INDEX('Daily Sales'!$C:$AG,
        $A921,
        MATCH(TEXT($B921,"0"),TEXT('Daily Sales'!$C$2:$AG$2,"0"),0)
      ),
    ""),
  "")
)</f>
        <v/>
      </c>
      <c r="J921" s="79" t="e">
        <f t="shared" si="15"/>
        <v>#VALUE!</v>
      </c>
      <c r="K921" s="141"/>
      <c r="L921" s="141"/>
      <c r="M921" s="141"/>
      <c r="N921" s="133"/>
      <c r="O921" s="4"/>
      <c r="P921" s="4"/>
      <c r="Q921" s="4"/>
      <c r="R921" s="109"/>
      <c r="S921" s="109"/>
      <c r="T921" s="108"/>
      <c r="U921" s="110"/>
      <c r="V921" s="110"/>
      <c r="W921" s="110"/>
      <c r="X921" s="110"/>
    </row>
    <row r="922" spans="1:24" ht="13.5" customHeight="1">
      <c r="A922" s="110">
        <f>IF(E922="","",MATCH(E922,'Daily Sales'!B$4:B$51,0)+3)</f>
        <v>39</v>
      </c>
      <c r="B922" s="135">
        <v>46202</v>
      </c>
      <c r="C922" s="136" t="s">
        <v>119</v>
      </c>
      <c r="D922" s="137" t="str">
        <f t="array" ref="D922">IF($A922="","",INDEX('Daily Sales'!A:A,$A922))</f>
        <v>1-1213</v>
      </c>
      <c r="E922" s="138" t="s">
        <v>52</v>
      </c>
      <c r="F922" s="139" t="str">
        <f t="shared" si="20"/>
        <v>Mandiri QR</v>
      </c>
      <c r="G922" s="140"/>
      <c r="H922" s="138">
        <f t="array" ref="H922">IF($A922="","",
  IF(
    OR(
      $A922=23,
      AND($A922&gt;=32,$A922&lt;=50)
    ),
    IFERROR(
      INDEX('Daily Sales'!$C:$AG,
        $A922,
        MATCH(TEXT($B922,"0"),TEXT('Daily Sales'!$C$2:$AG$2,"0"),0)
      ),
    ""),
  "")
)</f>
        <v>8409485</v>
      </c>
      <c r="I922" s="138" t="str">
        <f t="array" ref="I922">IF($A922="","",
  IF(
    OR(
      AND($A922&gt;=4,$A922&lt;=8),
      AND($A922&gt;=12,$A922&lt;=19),
      AND($A922&gt;=28,$A922&lt;=29)
    ),
    IFERROR(
      INDEX('Daily Sales'!$C:$AG,
        $A922,
        MATCH(TEXT($B922,"0"),TEXT('Daily Sales'!$C$2:$AG$2,"0"),0)
      ),
    ""),
  "")
)</f>
        <v/>
      </c>
      <c r="J922" s="79" t="e">
        <f t="shared" si="15"/>
        <v>#VALUE!</v>
      </c>
      <c r="K922" s="141"/>
      <c r="L922" s="141"/>
      <c r="M922" s="141"/>
      <c r="N922" s="133"/>
      <c r="O922" s="4"/>
      <c r="P922" s="4"/>
      <c r="Q922" s="4"/>
      <c r="R922" s="109"/>
      <c r="S922" s="109"/>
      <c r="T922" s="108"/>
      <c r="U922" s="110"/>
      <c r="V922" s="110"/>
      <c r="W922" s="110"/>
      <c r="X922" s="110"/>
    </row>
    <row r="923" spans="1:24" ht="13.5" customHeight="1">
      <c r="A923" s="110">
        <f>IF(E923="","",MATCH(E923,'Daily Sales'!B$4:B$51,0)+3)</f>
        <v>40</v>
      </c>
      <c r="B923" s="135">
        <v>46202</v>
      </c>
      <c r="C923" s="136" t="s">
        <v>119</v>
      </c>
      <c r="D923" s="137" t="str">
        <f t="array" ref="D923">IF($A923="","",INDEX('Daily Sales'!A:A,$A923))</f>
        <v>1-1217</v>
      </c>
      <c r="E923" s="138" t="s">
        <v>54</v>
      </c>
      <c r="F923" s="139" t="str">
        <f t="shared" si="20"/>
        <v>BCA CC</v>
      </c>
      <c r="G923" s="140"/>
      <c r="H923" s="138">
        <f t="array" ref="H923">IF($A923="","",
  IF(
    OR(
      $A923=23,
      AND($A923&gt;=32,$A923&lt;=50)
    ),
    IFERROR(
      INDEX('Daily Sales'!$C:$AG,
        $A923,
        MATCH(TEXT($B923,"0"),TEXT('Daily Sales'!$C$2:$AG$2,"0"),0)
      ),
    ""),
  "")
)</f>
        <v>3330910</v>
      </c>
      <c r="I923" s="138" t="str">
        <f t="array" ref="I923">IF($A923="","",
  IF(
    OR(
      AND($A923&gt;=4,$A923&lt;=8),
      AND($A923&gt;=12,$A923&lt;=19),
      AND($A923&gt;=28,$A923&lt;=29)
    ),
    IFERROR(
      INDEX('Daily Sales'!$C:$AG,
        $A923,
        MATCH(TEXT($B923,"0"),TEXT('Daily Sales'!$C$2:$AG$2,"0"),0)
      ),
    ""),
  "")
)</f>
        <v/>
      </c>
      <c r="J923" s="79" t="e">
        <f t="shared" si="15"/>
        <v>#VALUE!</v>
      </c>
      <c r="K923" s="141"/>
      <c r="L923" s="141"/>
      <c r="M923" s="141"/>
      <c r="N923" s="133"/>
      <c r="O923" s="4"/>
      <c r="P923" s="4"/>
      <c r="Q923" s="4"/>
      <c r="R923" s="109"/>
      <c r="S923" s="109"/>
      <c r="T923" s="108"/>
      <c r="U923" s="110"/>
      <c r="V923" s="110"/>
      <c r="W923" s="110"/>
      <c r="X923" s="110"/>
    </row>
    <row r="924" spans="1:24" ht="13.5" customHeight="1">
      <c r="A924" s="110">
        <f>IF(E924="","",MATCH(E924,'Daily Sales'!B$4:B$51,0)+3)</f>
        <v>41</v>
      </c>
      <c r="B924" s="135">
        <v>46202</v>
      </c>
      <c r="C924" s="136" t="s">
        <v>119</v>
      </c>
      <c r="D924" s="137" t="str">
        <f t="array" ref="D924">IF($A924="","",INDEX('Daily Sales'!A:A,$A924))</f>
        <v>1-1217</v>
      </c>
      <c r="E924" s="138" t="s">
        <v>55</v>
      </c>
      <c r="F924" s="139" t="str">
        <f t="shared" si="20"/>
        <v>BCA debt</v>
      </c>
      <c r="G924" s="140"/>
      <c r="H924" s="138">
        <f t="array" ref="H924">IF($A924="","",
  IF(
    OR(
      $A924=23,
      AND($A924&gt;=32,$A924&lt;=50)
    ),
    IFERROR(
      INDEX('Daily Sales'!$C:$AG,
        $A924,
        MATCH(TEXT($B924,"0"),TEXT('Daily Sales'!$C$2:$AG$2,"0"),0)
      ),
    ""),
  "")
)</f>
        <v>1100495</v>
      </c>
      <c r="I924" s="138" t="str">
        <f t="array" ref="I924">IF($A924="","",
  IF(
    OR(
      AND($A924&gt;=4,$A924&lt;=8),
      AND($A924&gt;=12,$A924&lt;=19),
      AND($A924&gt;=28,$A924&lt;=29)
    ),
    IFERROR(
      INDEX('Daily Sales'!$C:$AG,
        $A924,
        MATCH(TEXT($B924,"0"),TEXT('Daily Sales'!$C$2:$AG$2,"0"),0)
      ),
    ""),
  "")
)</f>
        <v/>
      </c>
      <c r="J924" s="79" t="e">
        <f t="shared" si="15"/>
        <v>#VALUE!</v>
      </c>
      <c r="K924" s="141"/>
      <c r="L924" s="141"/>
      <c r="M924" s="141"/>
      <c r="N924" s="133"/>
      <c r="O924" s="4"/>
      <c r="P924" s="4"/>
      <c r="Q924" s="4"/>
      <c r="R924" s="109"/>
      <c r="S924" s="109"/>
      <c r="T924" s="108"/>
      <c r="U924" s="110"/>
      <c r="V924" s="110"/>
      <c r="W924" s="110"/>
      <c r="X924" s="110"/>
    </row>
    <row r="925" spans="1:24" ht="13.5" customHeight="1">
      <c r="A925" s="110">
        <f>IF(E925="","",MATCH(E925,'Daily Sales'!B$4:B$51,0)+3)</f>
        <v>42</v>
      </c>
      <c r="B925" s="135">
        <v>46202</v>
      </c>
      <c r="C925" s="136" t="s">
        <v>119</v>
      </c>
      <c r="D925" s="137" t="str">
        <f t="array" ref="D925">IF($A925="","",INDEX('Daily Sales'!A:A,$A925))</f>
        <v>1-1217</v>
      </c>
      <c r="E925" s="138" t="s">
        <v>56</v>
      </c>
      <c r="F925" s="139" t="str">
        <f t="shared" si="20"/>
        <v>BCA QR</v>
      </c>
      <c r="G925" s="140"/>
      <c r="H925" s="138">
        <f t="array" ref="H925">IF($A925="","",
  IF(
    OR(
      $A925=23,
      AND($A925&gt;=32,$A925&lt;=50)
    ),
    IFERROR(
      INDEX('Daily Sales'!$C:$AG,
        $A925,
        MATCH(TEXT($B925,"0"),TEXT('Daily Sales'!$C$2:$AG$2,"0"),0)
      ),
    ""),
  "")
)</f>
        <v>1165230</v>
      </c>
      <c r="I925" s="138" t="str">
        <f t="array" ref="I925">IF($A925="","",
  IF(
    OR(
      AND($A925&gt;=4,$A925&lt;=8),
      AND($A925&gt;=12,$A925&lt;=19),
      AND($A925&gt;=28,$A925&lt;=29)
    ),
    IFERROR(
      INDEX('Daily Sales'!$C:$AG,
        $A925,
        MATCH(TEXT($B925,"0"),TEXT('Daily Sales'!$C$2:$AG$2,"0"),0)
      ),
    ""),
  "")
)</f>
        <v/>
      </c>
      <c r="J925" s="79" t="e">
        <f t="shared" si="15"/>
        <v>#VALUE!</v>
      </c>
      <c r="K925" s="141"/>
      <c r="L925" s="141"/>
      <c r="M925" s="141"/>
      <c r="N925" s="133"/>
      <c r="O925" s="4"/>
      <c r="P925" s="4"/>
      <c r="Q925" s="4"/>
      <c r="R925" s="109"/>
      <c r="S925" s="109"/>
      <c r="T925" s="108"/>
      <c r="U925" s="110"/>
      <c r="V925" s="110"/>
      <c r="W925" s="110"/>
      <c r="X925" s="110"/>
    </row>
    <row r="926" spans="1:24" ht="13.5" customHeight="1">
      <c r="A926" s="110">
        <f>IF(E926="","",MATCH(E926,'Daily Sales'!B$4:B$51,0)+3)</f>
        <v>43</v>
      </c>
      <c r="B926" s="135">
        <v>46202</v>
      </c>
      <c r="C926" s="136" t="s">
        <v>119</v>
      </c>
      <c r="D926" s="137" t="str">
        <f t="array" ref="D926">IF($A926="","",INDEX('Daily Sales'!A:A,$A926))</f>
        <v>1-1214</v>
      </c>
      <c r="E926" s="138" t="s">
        <v>59</v>
      </c>
      <c r="F926" s="139" t="str">
        <f t="shared" si="20"/>
        <v>Bank BRI DEBET</v>
      </c>
      <c r="G926" s="140"/>
      <c r="H926" s="138">
        <f t="array" ref="H926">IF($A926="","",
  IF(
    OR(
      $A926=23,
      AND($A926&gt;=32,$A926&lt;=50)
    ),
    IFERROR(
      INDEX('Daily Sales'!$C:$AG,
        $A926,
        MATCH(TEXT($B926,"0"),TEXT('Daily Sales'!$C$2:$AG$2,"0"),0)
      ),
    ""),
  "")
)</f>
        <v>0</v>
      </c>
      <c r="I926" s="138" t="str">
        <f t="array" ref="I926">IF($A926="","",
  IF(
    OR(
      AND($A926&gt;=4,$A926&lt;=8),
      AND($A926&gt;=12,$A926&lt;=19),
      AND($A926&gt;=28,$A926&lt;=29)
    ),
    IFERROR(
      INDEX('Daily Sales'!$C:$AG,
        $A926,
        MATCH(TEXT($B926,"0"),TEXT('Daily Sales'!$C$2:$AG$2,"0"),0)
      ),
    ""),
  "")
)</f>
        <v/>
      </c>
      <c r="J926" s="79" t="e">
        <f t="shared" si="15"/>
        <v>#VALUE!</v>
      </c>
      <c r="K926" s="141"/>
      <c r="L926" s="141"/>
      <c r="M926" s="141"/>
      <c r="N926" s="133"/>
      <c r="O926" s="4"/>
      <c r="P926" s="4"/>
      <c r="Q926" s="4"/>
      <c r="R926" s="109"/>
      <c r="S926" s="109"/>
      <c r="T926" s="108"/>
      <c r="U926" s="110"/>
      <c r="V926" s="110"/>
      <c r="W926" s="110"/>
      <c r="X926" s="110"/>
    </row>
    <row r="927" spans="1:24" ht="13.5" customHeight="1">
      <c r="A927" s="110">
        <f>IF(E927="","",MATCH(E927,'Daily Sales'!B$4:B$51,0)+3)</f>
        <v>44</v>
      </c>
      <c r="B927" s="135">
        <v>46202</v>
      </c>
      <c r="C927" s="136" t="s">
        <v>119</v>
      </c>
      <c r="D927" s="137" t="str">
        <f t="array" ref="D927">IF($A927="","",INDEX('Daily Sales'!A:A,$A927))</f>
        <v>1-1214</v>
      </c>
      <c r="E927" s="138" t="s">
        <v>60</v>
      </c>
      <c r="F927" s="139" t="str">
        <f t="shared" si="20"/>
        <v>Bank BRI CC</v>
      </c>
      <c r="G927" s="140"/>
      <c r="H927" s="138">
        <f t="array" ref="H927">IF($A927="","",
  IF(
    OR(
      $A927=23,
      AND($A927&gt;=32,$A927&lt;=50)
    ),
    IFERROR(
      INDEX('Daily Sales'!$C:$AG,
        $A927,
        MATCH(TEXT($B927,"0"),TEXT('Daily Sales'!$C$2:$AG$2,"0"),0)
      ),
    ""),
  "")
)</f>
        <v>0</v>
      </c>
      <c r="I927" s="138" t="str">
        <f t="array" ref="I927">IF($A927="","",
  IF(
    OR(
      AND($A927&gt;=4,$A927&lt;=8),
      AND($A927&gt;=12,$A927&lt;=19),
      AND($A927&gt;=28,$A927&lt;=29)
    ),
    IFERROR(
      INDEX('Daily Sales'!$C:$AG,
        $A927,
        MATCH(TEXT($B927,"0"),TEXT('Daily Sales'!$C$2:$AG$2,"0"),0)
      ),
    ""),
  "")
)</f>
        <v/>
      </c>
      <c r="J927" s="79" t="e">
        <f t="shared" si="15"/>
        <v>#VALUE!</v>
      </c>
      <c r="K927" s="141"/>
      <c r="L927" s="141"/>
      <c r="M927" s="141"/>
      <c r="N927" s="133"/>
      <c r="O927" s="4"/>
      <c r="P927" s="4"/>
      <c r="Q927" s="4"/>
      <c r="R927" s="109"/>
      <c r="S927" s="109"/>
      <c r="T927" s="108"/>
      <c r="U927" s="110"/>
      <c r="V927" s="110"/>
      <c r="W927" s="110"/>
      <c r="X927" s="110"/>
    </row>
    <row r="928" spans="1:24" ht="13.5" customHeight="1">
      <c r="A928" s="110">
        <f>IF(E928="","",MATCH(E928,'Daily Sales'!B$4:B$51,0)+3)</f>
        <v>45</v>
      </c>
      <c r="B928" s="135">
        <v>46202</v>
      </c>
      <c r="C928" s="136" t="s">
        <v>119</v>
      </c>
      <c r="D928" s="137" t="str">
        <f t="array" ref="D928">IF($A928="","",INDEX('Daily Sales'!A:A,$A928))</f>
        <v>1-1214</v>
      </c>
      <c r="E928" s="138" t="s">
        <v>61</v>
      </c>
      <c r="F928" s="139" t="str">
        <f t="shared" si="20"/>
        <v>Bank BRI QR</v>
      </c>
      <c r="G928" s="140"/>
      <c r="H928" s="138">
        <f t="array" ref="H928">IF($A928="","",
  IF(
    OR(
      $A928=23,
      AND($A928&gt;=32,$A928&lt;=50)
    ),
    IFERROR(
      INDEX('Daily Sales'!$C:$AG,
        $A928,
        MATCH(TEXT($B928,"0"),TEXT('Daily Sales'!$C$2:$AG$2,"0"),0)
      ),
    ""),
  "")
)</f>
        <v>0</v>
      </c>
      <c r="I928" s="138" t="str">
        <f t="array" ref="I928">IF($A928="","",
  IF(
    OR(
      AND($A928&gt;=4,$A928&lt;=8),
      AND($A928&gt;=12,$A928&lt;=19),
      AND($A928&gt;=28,$A928&lt;=29)
    ),
    IFERROR(
      INDEX('Daily Sales'!$C:$AG,
        $A928,
        MATCH(TEXT($B928,"0"),TEXT('Daily Sales'!$C$2:$AG$2,"0"),0)
      ),
    ""),
  "")
)</f>
        <v/>
      </c>
      <c r="J928" s="79" t="e">
        <f t="shared" si="15"/>
        <v>#VALUE!</v>
      </c>
      <c r="K928" s="141"/>
      <c r="L928" s="141"/>
      <c r="M928" s="141"/>
      <c r="N928" s="133"/>
      <c r="O928" s="4"/>
      <c r="P928" s="4"/>
      <c r="Q928" s="4"/>
      <c r="R928" s="109"/>
      <c r="S928" s="109"/>
      <c r="T928" s="108"/>
      <c r="U928" s="110"/>
      <c r="V928" s="110"/>
      <c r="W928" s="110"/>
      <c r="X928" s="110"/>
    </row>
    <row r="929" spans="1:24" ht="13.5" customHeight="1">
      <c r="A929" s="110">
        <f>IF(E929="","",MATCH(E929,'Daily Sales'!B$4:B$51,0)+3)</f>
        <v>46</v>
      </c>
      <c r="B929" s="135">
        <v>46202</v>
      </c>
      <c r="C929" s="136" t="s">
        <v>119</v>
      </c>
      <c r="D929" s="137" t="str">
        <f t="array" ref="D929">IF($A929="","",INDEX('Daily Sales'!A:A,$A929))</f>
        <v>1-1202</v>
      </c>
      <c r="E929" s="138" t="s">
        <v>64</v>
      </c>
      <c r="F929" s="139" t="str">
        <f t="shared" si="20"/>
        <v>Ledger</v>
      </c>
      <c r="G929" s="140"/>
      <c r="H929" s="138">
        <f t="array" ref="H929">IF($A929="","",
  IF(
    OR(
      $A929=23,
      AND($A929&gt;=32,$A929&lt;=50)
    ),
    IFERROR(
      INDEX('Daily Sales'!$C:$AG,
        $A929,
        MATCH(TEXT($B929,"0"),TEXT('Daily Sales'!$C$2:$AG$2,"0"),0)
      ),
    ""),
  "")
)</f>
        <v>0</v>
      </c>
      <c r="I929" s="138" t="str">
        <f t="array" ref="I929">IF($A929="","",
  IF(
    OR(
      AND($A929&gt;=4,$A929&lt;=8),
      AND($A929&gt;=12,$A929&lt;=19),
      AND($A929&gt;=28,$A929&lt;=29)
    ),
    IFERROR(
      INDEX('Daily Sales'!$C:$AG,
        $A929,
        MATCH(TEXT($B929,"0"),TEXT('Daily Sales'!$C$2:$AG$2,"0"),0)
      ),
    ""),
  "")
)</f>
        <v/>
      </c>
      <c r="J929" s="79" t="e">
        <f t="shared" si="15"/>
        <v>#VALUE!</v>
      </c>
      <c r="K929" s="141"/>
      <c r="L929" s="141"/>
      <c r="M929" s="141"/>
      <c r="N929" s="133"/>
      <c r="O929" s="4"/>
      <c r="P929" s="4"/>
      <c r="Q929" s="4"/>
      <c r="R929" s="109"/>
      <c r="S929" s="109"/>
      <c r="T929" s="108"/>
      <c r="U929" s="110"/>
      <c r="V929" s="110"/>
      <c r="W929" s="110"/>
      <c r="X929" s="110"/>
    </row>
    <row r="930" spans="1:24" ht="13.5" customHeight="1">
      <c r="A930" s="110">
        <f>IF(E930="","",MATCH(E930,'Daily Sales'!B$4:B$51,0)+3)</f>
        <v>47</v>
      </c>
      <c r="B930" s="135">
        <v>46202</v>
      </c>
      <c r="C930" s="136" t="s">
        <v>119</v>
      </c>
      <c r="D930" s="137" t="str">
        <f t="array" ref="D930">IF($A930="","",INDEX('Daily Sales'!A:A,$A930))</f>
        <v>1-1129</v>
      </c>
      <c r="E930" s="138" t="s">
        <v>66</v>
      </c>
      <c r="F930" s="139" t="str">
        <f t="shared" si="20"/>
        <v>Star Points</v>
      </c>
      <c r="G930" s="140"/>
      <c r="H930" s="138">
        <f t="array" ref="H930">IF($A930="","",
  IF(
    OR(
      $A930=23,
      AND($A930&gt;=32,$A930&lt;=50)
    ),
    IFERROR(
      INDEX('Daily Sales'!$C:$AG,
        $A930,
        MATCH(TEXT($B930,"0"),TEXT('Daily Sales'!$C$2:$AG$2,"0"),0)
      ),
    ""),
  "")
)</f>
        <v>0</v>
      </c>
      <c r="I930" s="138" t="str">
        <f t="array" ref="I930">IF($A930="","",
  IF(
    OR(
      AND($A930&gt;=4,$A930&lt;=8),
      AND($A930&gt;=12,$A930&lt;=19),
      AND($A930&gt;=28,$A930&lt;=29)
    ),
    IFERROR(
      INDEX('Daily Sales'!$C:$AG,
        $A930,
        MATCH(TEXT($B930,"0"),TEXT('Daily Sales'!$C$2:$AG$2,"0"),0)
      ),
    ""),
  "")
)</f>
        <v/>
      </c>
      <c r="J930" s="79" t="e">
        <f t="shared" si="15"/>
        <v>#VALUE!</v>
      </c>
      <c r="K930" s="141"/>
      <c r="L930" s="141"/>
      <c r="M930" s="141"/>
      <c r="N930" s="133"/>
      <c r="O930" s="4"/>
      <c r="P930" s="4"/>
      <c r="Q930" s="4"/>
      <c r="R930" s="109"/>
      <c r="S930" s="109"/>
      <c r="T930" s="108"/>
      <c r="U930" s="110"/>
      <c r="V930" s="110"/>
      <c r="W930" s="110"/>
      <c r="X930" s="110"/>
    </row>
    <row r="931" spans="1:24" ht="13.5" customHeight="1">
      <c r="A931" s="110">
        <f>IF(E931="","",MATCH(E931,'Daily Sales'!B$4:B$51,0)+3)</f>
        <v>48</v>
      </c>
      <c r="B931" s="135">
        <v>46202</v>
      </c>
      <c r="C931" s="136" t="s">
        <v>119</v>
      </c>
      <c r="D931" s="137" t="str">
        <f t="array" ref="D931">IF($A931="","",INDEX('Daily Sales'!A:A,$A931))</f>
        <v>1-1215</v>
      </c>
      <c r="E931" s="138" t="s">
        <v>68</v>
      </c>
      <c r="F931" s="139" t="str">
        <f t="shared" si="20"/>
        <v>Ovo</v>
      </c>
      <c r="G931" s="140"/>
      <c r="H931" s="138">
        <f t="array" ref="H931">IF($A931="","",
  IF(
    OR(
      $A931=23,
      AND($A931&gt;=32,$A931&lt;=50)
    ),
    IFERROR(
      INDEX('Daily Sales'!$C:$AG,
        $A931,
        MATCH(TEXT($B931,"0"),TEXT('Daily Sales'!$C$2:$AG$2,"0"),0)
      ),
    ""),
  "")
)</f>
        <v>0</v>
      </c>
      <c r="I931" s="138" t="str">
        <f t="array" ref="I931">IF($A931="","",
  IF(
    OR(
      AND($A931&gt;=4,$A931&lt;=8),
      AND($A931&gt;=12,$A931&lt;=19),
      AND($A931&gt;=28,$A931&lt;=29)
    ),
    IFERROR(
      INDEX('Daily Sales'!$C:$AG,
        $A931,
        MATCH(TEXT($B931,"0"),TEXT('Daily Sales'!$C$2:$AG$2,"0"),0)
      ),
    ""),
  "")
)</f>
        <v/>
      </c>
      <c r="J931" s="79" t="e">
        <f t="shared" si="15"/>
        <v>#VALUE!</v>
      </c>
      <c r="K931" s="141"/>
      <c r="L931" s="141"/>
      <c r="M931" s="141"/>
      <c r="N931" s="133"/>
      <c r="O931" s="4"/>
      <c r="P931" s="4"/>
      <c r="Q931" s="4"/>
      <c r="R931" s="109"/>
      <c r="S931" s="109"/>
      <c r="T931" s="108"/>
      <c r="U931" s="110"/>
      <c r="V931" s="110"/>
      <c r="W931" s="110"/>
      <c r="X931" s="110"/>
    </row>
    <row r="932" spans="1:24" ht="13.5" customHeight="1">
      <c r="A932" s="110">
        <f>IF(E932="","",MATCH(E932,'Daily Sales'!B$4:B$51,0)+3)</f>
        <v>49</v>
      </c>
      <c r="B932" s="135">
        <v>46202</v>
      </c>
      <c r="C932" s="136" t="s">
        <v>119</v>
      </c>
      <c r="D932" s="137" t="str">
        <f t="array" ref="D932">IF($A932="","",INDEX('Daily Sales'!A:A,$A932))</f>
        <v>1-1211</v>
      </c>
      <c r="E932" s="138" t="s">
        <v>70</v>
      </c>
      <c r="F932" s="139" t="str">
        <f t="shared" si="20"/>
        <v>Gopay</v>
      </c>
      <c r="G932" s="140"/>
      <c r="H932" s="138">
        <f t="array" ref="H932">IF($A932="","",
  IF(
    OR(
      $A932=23,
      AND($A932&gt;=32,$A932&lt;=50)
    ),
    IFERROR(
      INDEX('Daily Sales'!$C:$AG,
        $A932,
        MATCH(TEXT($B932,"0"),TEXT('Daily Sales'!$C$2:$AG$2,"0"),0)
      ),
    ""),
  "")
)</f>
        <v>0</v>
      </c>
      <c r="I932" s="138" t="str">
        <f t="array" ref="I932">IF($A932="","",
  IF(
    OR(
      AND($A932&gt;=4,$A932&lt;=8),
      AND($A932&gt;=12,$A932&lt;=19),
      AND($A932&gt;=28,$A932&lt;=29)
    ),
    IFERROR(
      INDEX('Daily Sales'!$C:$AG,
        $A932,
        MATCH(TEXT($B932,"0"),TEXT('Daily Sales'!$C$2:$AG$2,"0"),0)
      ),
    ""),
  "")
)</f>
        <v/>
      </c>
      <c r="J932" s="79" t="e">
        <f t="shared" si="15"/>
        <v>#VALUE!</v>
      </c>
      <c r="K932" s="141"/>
      <c r="L932" s="141"/>
      <c r="M932" s="141"/>
      <c r="N932" s="133"/>
      <c r="O932" s="4"/>
      <c r="P932" s="4"/>
      <c r="Q932" s="4"/>
      <c r="R932" s="109"/>
      <c r="S932" s="109"/>
      <c r="T932" s="108"/>
      <c r="U932" s="110"/>
      <c r="V932" s="110"/>
      <c r="W932" s="110"/>
      <c r="X932" s="110"/>
    </row>
    <row r="933" spans="1:24" ht="13.5" customHeight="1">
      <c r="A933" s="110">
        <f>IF(E933="","",MATCH(E933,'Daily Sales'!B$4:B$51,0)+3)</f>
        <v>50</v>
      </c>
      <c r="B933" s="135">
        <v>46202</v>
      </c>
      <c r="C933" s="136" t="s">
        <v>119</v>
      </c>
      <c r="D933" s="137" t="str">
        <f t="array" ref="D933">IF($A933="","",INDEX('Daily Sales'!A:A,$A933))</f>
        <v>2-2110</v>
      </c>
      <c r="E933" s="138" t="s">
        <v>72</v>
      </c>
      <c r="F933" s="139" t="str">
        <f t="shared" si="20"/>
        <v>Cash Short/Over</v>
      </c>
      <c r="G933" s="140"/>
      <c r="H933" s="138">
        <f t="array" ref="H933">IF($A933="","",
  IF(
    OR(
      $A933=23,
      AND($A933&gt;=32,$A933&lt;=50)
    ),
    IFERROR(
      INDEX('Daily Sales'!$C:$AG,
        $A933,
        MATCH(TEXT($B933,"0"),TEXT('Daily Sales'!$C$2:$AG$2,"0"),0)
      ),
    ""),
  "")
)</f>
        <v>864.24</v>
      </c>
      <c r="I933" s="138" t="str">
        <f t="array" ref="I933">IF($A933="","",
  IF(
    OR(
      AND($A933&gt;=4,$A933&lt;=8),
      AND($A933&gt;=12,$A933&lt;=19),
      AND($A933&gt;=28,$A933&lt;=29)
    ),
    IFERROR(
      INDEX('Daily Sales'!$C:$AG,
        $A933,
        MATCH(TEXT($B933,"0"),TEXT('Daily Sales'!$C$2:$AG$2,"0"),0)
      ),
    ""),
  "")
)</f>
        <v/>
      </c>
      <c r="J933" s="79" t="e">
        <f t="shared" si="15"/>
        <v>#VALUE!</v>
      </c>
      <c r="K933" s="141"/>
      <c r="L933" s="141"/>
      <c r="M933" s="141"/>
      <c r="N933" s="133"/>
      <c r="O933" s="4"/>
      <c r="P933" s="4"/>
      <c r="Q933" s="4"/>
      <c r="R933" s="109"/>
      <c r="S933" s="109"/>
      <c r="T933" s="108"/>
      <c r="U933" s="110"/>
      <c r="V933" s="110"/>
      <c r="W933" s="110"/>
      <c r="X933" s="110"/>
    </row>
    <row r="934" spans="1:24" ht="14.25" customHeight="1">
      <c r="A934" s="110"/>
      <c r="B934" s="125"/>
      <c r="C934" s="126"/>
      <c r="D934" s="15"/>
      <c r="E934" s="10" t="e">
        <f>TRIM(VLOOKUP(D934,TB!$B$9:$C$1500,2,FALSE))</f>
        <v>#N/A</v>
      </c>
      <c r="F934" s="142"/>
      <c r="G934" s="130"/>
      <c r="H934" s="10"/>
      <c r="I934" s="10"/>
      <c r="J934" s="79" t="e">
        <f t="shared" si="15"/>
        <v>#VALUE!</v>
      </c>
      <c r="K934" s="107"/>
      <c r="L934" s="141"/>
      <c r="M934" s="141"/>
      <c r="N934" s="133"/>
      <c r="O934" s="4"/>
      <c r="P934" s="4"/>
      <c r="Q934" s="4"/>
      <c r="R934" s="134"/>
      <c r="S934" s="109"/>
      <c r="T934" s="108"/>
      <c r="U934" s="110"/>
      <c r="V934" s="110"/>
      <c r="W934" s="110"/>
      <c r="X934" s="110"/>
    </row>
    <row r="935" spans="1:24" ht="13.5" customHeight="1">
      <c r="A935" s="110">
        <f>IF(E935="","",MATCH(E935,'Daily Sales'!B$4:B$51,0)+3)</f>
        <v>4</v>
      </c>
      <c r="B935" s="135">
        <v>46203</v>
      </c>
      <c r="C935" s="136" t="s">
        <v>120</v>
      </c>
      <c r="D935" s="137" t="str">
        <f t="array" ref="D935">IF($A935="","",INDEX('Daily Sales'!A:A,$A935))</f>
        <v>4-2100</v>
      </c>
      <c r="E935" s="138" t="s">
        <v>5</v>
      </c>
      <c r="F935" s="139" t="str">
        <f t="shared" ref="F935:F965" si="21">E935</f>
        <v>Sales Food TERRACE</v>
      </c>
      <c r="G935" s="140"/>
      <c r="H935" s="138" t="str">
        <f t="array" ref="H935">IF($A935="","",
  IF(
    OR(
      $A935=23,
      AND($A935&gt;=32,$A935&lt;=50)
    ),
    IFERROR(
      INDEX('Daily Sales'!$C:$AG,
        $A935,
        MATCH(TEXT($B935,"0"),TEXT('Daily Sales'!$C$2:$AG$2,"0"),0)
      ),
    ""),
  "")
)</f>
        <v/>
      </c>
      <c r="I935" s="138">
        <f t="array" ref="I935">IF($A935="","",
  IF(
    OR(
      AND($A935&gt;=4,$A935&lt;=8),
      AND($A935&gt;=12,$A935&lt;=19),
      AND($A935&gt;=28,$A935&lt;=29)
    ),
    IFERROR(
      INDEX('Daily Sales'!$C:$AG,
        $A935,
        MATCH(TEXT($B935,"0"),TEXT('Daily Sales'!$C$2:$AG$2,"0"),0)
      ),
    ""),
  "")
)</f>
        <v>4598750</v>
      </c>
      <c r="J935" s="79" t="e">
        <f t="shared" si="15"/>
        <v>#VALUE!</v>
      </c>
      <c r="K935" s="141"/>
      <c r="L935" s="141"/>
      <c r="M935" s="141"/>
      <c r="N935" s="133"/>
      <c r="O935" s="4"/>
      <c r="P935" s="4"/>
      <c r="Q935" s="4"/>
      <c r="R935" s="109"/>
      <c r="S935" s="109"/>
      <c r="T935" s="108"/>
      <c r="U935" s="110"/>
      <c r="V935" s="110"/>
      <c r="W935" s="110"/>
      <c r="X935" s="110"/>
    </row>
    <row r="936" spans="1:24" ht="13.5" customHeight="1">
      <c r="A936" s="110">
        <f>IF(E936="","",MATCH(E936,'Daily Sales'!B$4:B$51,0)+3)</f>
        <v>5</v>
      </c>
      <c r="B936" s="135">
        <v>46203</v>
      </c>
      <c r="C936" s="136" t="s">
        <v>120</v>
      </c>
      <c r="D936" s="137" t="str">
        <f t="array" ref="D936">IF($A936="","",INDEX('Daily Sales'!A:A,$A936))</f>
        <v>4-2200</v>
      </c>
      <c r="E936" s="138" t="s">
        <v>7</v>
      </c>
      <c r="F936" s="139" t="str">
        <f t="shared" si="21"/>
        <v>Sales Beverages TERRACE</v>
      </c>
      <c r="G936" s="140"/>
      <c r="H936" s="138" t="str">
        <f t="array" ref="H936">IF($A936="","",
  IF(
    OR(
      $A936=23,
      AND($A936&gt;=32,$A936&lt;=50)
    ),
    IFERROR(
      INDEX('Daily Sales'!$C:$AG,
        $A936,
        MATCH(TEXT($B936,"0"),TEXT('Daily Sales'!$C$2:$AG$2,"0"),0)
      ),
    ""),
  "")
)</f>
        <v/>
      </c>
      <c r="I936" s="138">
        <f t="array" ref="I936">IF($A936="","",
  IF(
    OR(
      AND($A936&gt;=4,$A936&lt;=8),
      AND($A936&gt;=12,$A936&lt;=19),
      AND($A936&gt;=28,$A936&lt;=29)
    ),
    IFERROR(
      INDEX('Daily Sales'!$C:$AG,
        $A936,
        MATCH(TEXT($B936,"0"),TEXT('Daily Sales'!$C$2:$AG$2,"0"),0)
      ),
    ""),
  "")
)</f>
        <v>7464000</v>
      </c>
      <c r="J936" s="79" t="e">
        <f t="shared" si="15"/>
        <v>#VALUE!</v>
      </c>
      <c r="K936" s="141"/>
      <c r="L936" s="141"/>
      <c r="M936" s="141"/>
      <c r="N936" s="133"/>
      <c r="O936" s="4"/>
      <c r="P936" s="4"/>
      <c r="Q936" s="4"/>
      <c r="R936" s="109"/>
      <c r="S936" s="109"/>
      <c r="T936" s="108"/>
      <c r="U936" s="110"/>
      <c r="V936" s="110"/>
      <c r="W936" s="110"/>
      <c r="X936" s="110"/>
    </row>
    <row r="937" spans="1:24" ht="13.5" customHeight="1">
      <c r="A937" s="110">
        <f>IF(E937="","",MATCH(E937,'Daily Sales'!B$4:B$51,0)+3)</f>
        <v>6</v>
      </c>
      <c r="B937" s="135">
        <v>46203</v>
      </c>
      <c r="C937" s="136" t="s">
        <v>120</v>
      </c>
      <c r="D937" s="137" t="str">
        <f t="array" ref="D937">IF($A937="","",INDEX('Daily Sales'!A:A,$A937))</f>
        <v>4-2400</v>
      </c>
      <c r="E937" s="138" t="s">
        <v>9</v>
      </c>
      <c r="F937" s="139" t="str">
        <f t="shared" si="21"/>
        <v>Sales Cigarette TERRACE</v>
      </c>
      <c r="G937" s="140"/>
      <c r="H937" s="138" t="str">
        <f t="array" ref="H937">IF($A937="","",
  IF(
    OR(
      $A937=23,
      AND($A937&gt;=32,$A937&lt;=50)
    ),
    IFERROR(
      INDEX('Daily Sales'!$C:$AG,
        $A937,
        MATCH(TEXT($B937,"0"),TEXT('Daily Sales'!$C$2:$AG$2,"0"),0)
      ),
    ""),
  "")
)</f>
        <v/>
      </c>
      <c r="I937" s="138">
        <f t="array" ref="I937">IF($A937="","",
  IF(
    OR(
      AND($A937&gt;=4,$A937&lt;=8),
      AND($A937&gt;=12,$A937&lt;=19),
      AND($A937&gt;=28,$A937&lt;=29)
    ),
    IFERROR(
      INDEX('Daily Sales'!$C:$AG,
        $A937,
        MATCH(TEXT($B937,"0"),TEXT('Daily Sales'!$C$2:$AG$2,"0"),0)
      ),
    ""),
  "")
)</f>
        <v>0</v>
      </c>
      <c r="J937" s="79" t="e">
        <f t="shared" si="15"/>
        <v>#VALUE!</v>
      </c>
      <c r="K937" s="141"/>
      <c r="L937" s="141"/>
      <c r="M937" s="141"/>
      <c r="N937" s="133"/>
      <c r="O937" s="4"/>
      <c r="P937" s="4"/>
      <c r="Q937" s="4"/>
      <c r="R937" s="109"/>
      <c r="S937" s="109"/>
      <c r="T937" s="108"/>
      <c r="U937" s="110"/>
      <c r="V937" s="110"/>
      <c r="W937" s="110"/>
      <c r="X937" s="110"/>
    </row>
    <row r="938" spans="1:24" ht="13.5" customHeight="1">
      <c r="A938" s="110">
        <f>IF(E938="","",MATCH(E938,'Daily Sales'!B$4:B$51,0)+3)</f>
        <v>7</v>
      </c>
      <c r="B938" s="135">
        <v>46203</v>
      </c>
      <c r="C938" s="136" t="s">
        <v>120</v>
      </c>
      <c r="D938" s="137" t="str">
        <f t="array" ref="D938">IF($A938="","",INDEX('Daily Sales'!A:A,$A938))</f>
        <v>4-2300</v>
      </c>
      <c r="E938" s="138" t="s">
        <v>11</v>
      </c>
      <c r="F938" s="139" t="str">
        <f t="shared" si="21"/>
        <v>Sales Shisa TERRACE</v>
      </c>
      <c r="G938" s="140"/>
      <c r="H938" s="138" t="str">
        <f t="array" ref="H938">IF($A938="","",
  IF(
    OR(
      $A938=23,
      AND($A938&gt;=32,$A938&lt;=50)
    ),
    IFERROR(
      INDEX('Daily Sales'!$C:$AG,
        $A938,
        MATCH(TEXT($B938,"0"),TEXT('Daily Sales'!$C$2:$AG$2,"0"),0)
      ),
    ""),
  "")
)</f>
        <v/>
      </c>
      <c r="I938" s="138">
        <f t="array" ref="I938">IF($A938="","",
  IF(
    OR(
      AND($A938&gt;=4,$A938&lt;=8),
      AND($A938&gt;=12,$A938&lt;=19),
      AND($A938&gt;=28,$A938&lt;=29)
    ),
    IFERROR(
      INDEX('Daily Sales'!$C:$AG,
        $A938,
        MATCH(TEXT($B938,"0"),TEXT('Daily Sales'!$C$2:$AG$2,"0"),0)
      ),
    ""),
  "")
)</f>
        <v>0</v>
      </c>
      <c r="J938" s="79" t="e">
        <f t="shared" si="15"/>
        <v>#VALUE!</v>
      </c>
      <c r="K938" s="141"/>
      <c r="L938" s="141"/>
      <c r="M938" s="141"/>
      <c r="N938" s="133"/>
      <c r="O938" s="4"/>
      <c r="P938" s="4"/>
      <c r="Q938" s="4"/>
      <c r="R938" s="109"/>
      <c r="S938" s="109"/>
      <c r="T938" s="108"/>
      <c r="U938" s="110"/>
      <c r="V938" s="110"/>
      <c r="W938" s="110"/>
      <c r="X938" s="110"/>
    </row>
    <row r="939" spans="1:24" ht="13.5" customHeight="1">
      <c r="A939" s="110">
        <f>IF(E939="","",MATCH(E939,'Daily Sales'!B$4:B$51,0)+3)</f>
        <v>12</v>
      </c>
      <c r="B939" s="135">
        <v>46203</v>
      </c>
      <c r="C939" s="136" t="s">
        <v>120</v>
      </c>
      <c r="D939" s="137" t="str">
        <f t="array" ref="D939">IF($A939="","",INDEX('Daily Sales'!A:A,$A939))</f>
        <v>4-2200</v>
      </c>
      <c r="E939" s="138" t="s">
        <v>17</v>
      </c>
      <c r="F939" s="139" t="str">
        <f t="shared" si="21"/>
        <v>Sales Beverages CLUB</v>
      </c>
      <c r="G939" s="140"/>
      <c r="H939" s="138" t="str">
        <f t="array" ref="H939">IF($A939="","",
  IF(
    OR(
      $A939=23,
      AND($A939&gt;=32,$A939&lt;=50)
    ),
    IFERROR(
      INDEX('Daily Sales'!$C:$AG,
        $A939,
        MATCH(TEXT($B939,"0"),TEXT('Daily Sales'!$C$2:$AG$2,"0"),0)
      ),
    ""),
  "")
)</f>
        <v/>
      </c>
      <c r="I939" s="138">
        <f t="array" ref="I939">IF($A939="","",
  IF(
    OR(
      AND($A939&gt;=4,$A939&lt;=8),
      AND($A939&gt;=12,$A939&lt;=19),
      AND($A939&gt;=28,$A939&lt;=29)
    ),
    IFERROR(
      INDEX('Daily Sales'!$C:$AG,
        $A939,
        MATCH(TEXT($B939,"0"),TEXT('Daily Sales'!$C$2:$AG$2,"0"),0)
      ),
    ""),
  "")
)</f>
        <v>17181752</v>
      </c>
      <c r="J939" s="79" t="e">
        <f t="shared" si="15"/>
        <v>#VALUE!</v>
      </c>
      <c r="K939" s="141"/>
      <c r="L939" s="141"/>
      <c r="M939" s="141"/>
      <c r="N939" s="133"/>
      <c r="O939" s="4"/>
      <c r="P939" s="4"/>
      <c r="Q939" s="4"/>
      <c r="R939" s="109"/>
      <c r="S939" s="109"/>
      <c r="T939" s="108"/>
      <c r="U939" s="110"/>
      <c r="V939" s="110"/>
      <c r="W939" s="110"/>
      <c r="X939" s="110"/>
    </row>
    <row r="940" spans="1:24" ht="13.5" customHeight="1">
      <c r="A940" s="110">
        <f>IF(E940="","",MATCH(E940,'Daily Sales'!B$4:B$51,0)+3)</f>
        <v>13</v>
      </c>
      <c r="B940" s="135">
        <v>46203</v>
      </c>
      <c r="C940" s="136" t="s">
        <v>120</v>
      </c>
      <c r="D940" s="137" t="str">
        <f t="array" ref="D940">IF($A940="","",INDEX('Daily Sales'!A:A,$A940))</f>
        <v>4-2400</v>
      </c>
      <c r="E940" s="138" t="s">
        <v>18</v>
      </c>
      <c r="F940" s="139" t="str">
        <f t="shared" si="21"/>
        <v>Sales Cigarette CLUB</v>
      </c>
      <c r="G940" s="140"/>
      <c r="H940" s="138" t="str">
        <f t="array" ref="H940">IF($A940="","",
  IF(
    OR(
      $A940=23,
      AND($A940&gt;=32,$A940&lt;=50)
    ),
    IFERROR(
      INDEX('Daily Sales'!$C:$AG,
        $A940,
        MATCH(TEXT($B940,"0"),TEXT('Daily Sales'!$C$2:$AG$2,"0"),0)
      ),
    ""),
  "")
)</f>
        <v/>
      </c>
      <c r="I940" s="138">
        <f t="array" ref="I940">IF($A940="","",
  IF(
    OR(
      AND($A940&gt;=4,$A940&lt;=8),
      AND($A940&gt;=12,$A940&lt;=19),
      AND($A940&gt;=28,$A940&lt;=29)
    ),
    IFERROR(
      INDEX('Daily Sales'!$C:$AG,
        $A940,
        MATCH(TEXT($B940,"0"),TEXT('Daily Sales'!$C$2:$AG$2,"0"),0)
      ),
    ""),
  "")
)</f>
        <v>490000</v>
      </c>
      <c r="J940" s="79" t="e">
        <f t="shared" si="15"/>
        <v>#VALUE!</v>
      </c>
      <c r="K940" s="141"/>
      <c r="L940" s="141"/>
      <c r="M940" s="141"/>
      <c r="N940" s="133"/>
      <c r="O940" s="4"/>
      <c r="P940" s="4"/>
      <c r="Q940" s="4"/>
      <c r="R940" s="109"/>
      <c r="S940" s="109"/>
      <c r="T940" s="108"/>
      <c r="U940" s="110"/>
      <c r="V940" s="110"/>
      <c r="W940" s="110"/>
      <c r="X940" s="110"/>
    </row>
    <row r="941" spans="1:24" ht="13.5" customHeight="1">
      <c r="A941" s="110">
        <f>IF(E941="","",MATCH(E941,'Daily Sales'!B$4:B$51,0)+3)</f>
        <v>14</v>
      </c>
      <c r="B941" s="135">
        <v>46203</v>
      </c>
      <c r="C941" s="136" t="s">
        <v>120</v>
      </c>
      <c r="D941" s="137" t="str">
        <f t="array" ref="D941">IF($A941="","",INDEX('Daily Sales'!A:A,$A941))</f>
        <v>4-2100</v>
      </c>
      <c r="E941" s="138" t="s">
        <v>19</v>
      </c>
      <c r="F941" s="139" t="str">
        <f t="shared" si="21"/>
        <v>Sales Food CLUB</v>
      </c>
      <c r="G941" s="140"/>
      <c r="H941" s="138" t="str">
        <f t="array" ref="H941">IF($A941="","",
  IF(
    OR(
      $A941=23,
      AND($A941&gt;=32,$A941&lt;=50)
    ),
    IFERROR(
      INDEX('Daily Sales'!$C:$AG,
        $A941,
        MATCH(TEXT($B941,"0"),TEXT('Daily Sales'!$C$2:$AG$2,"0"),0)
      ),
    ""),
  "")
)</f>
        <v/>
      </c>
      <c r="I941" s="138">
        <f t="array" ref="I941">IF($A941="","",
  IF(
    OR(
      AND($A941&gt;=4,$A941&lt;=8),
      AND($A941&gt;=12,$A941&lt;=19),
      AND($A941&gt;=28,$A941&lt;=29)
    ),
    IFERROR(
      INDEX('Daily Sales'!$C:$AG,
        $A941,
        MATCH(TEXT($B941,"0"),TEXT('Daily Sales'!$C$2:$AG$2,"0"),0)
      ),
    ""),
  "")
)</f>
        <v>450000</v>
      </c>
      <c r="J941" s="79" t="e">
        <f t="shared" si="15"/>
        <v>#VALUE!</v>
      </c>
      <c r="K941" s="141"/>
      <c r="L941" s="141"/>
      <c r="M941" s="141"/>
      <c r="N941" s="133"/>
      <c r="O941" s="4"/>
      <c r="P941" s="4"/>
      <c r="Q941" s="4"/>
      <c r="R941" s="109"/>
      <c r="S941" s="109"/>
      <c r="T941" s="108"/>
      <c r="U941" s="110"/>
      <c r="V941" s="110"/>
      <c r="W941" s="110"/>
      <c r="X941" s="110"/>
    </row>
    <row r="942" spans="1:24" ht="13.5" customHeight="1">
      <c r="A942" s="110">
        <f>IF(E942="","",MATCH(E942,'Daily Sales'!B$4:B$51,0)+3)</f>
        <v>15</v>
      </c>
      <c r="B942" s="135">
        <v>46203</v>
      </c>
      <c r="C942" s="136" t="s">
        <v>120</v>
      </c>
      <c r="D942" s="137" t="str">
        <f t="array" ref="D942">IF($A942="","",INDEX('Daily Sales'!A:A,$A942))</f>
        <v>4-2300</v>
      </c>
      <c r="E942" s="138" t="s">
        <v>20</v>
      </c>
      <c r="F942" s="139" t="str">
        <f t="shared" si="21"/>
        <v>Sales Shisa CLUB</v>
      </c>
      <c r="G942" s="140"/>
      <c r="H942" s="138" t="str">
        <f t="array" ref="H942">IF($A942="","",
  IF(
    OR(
      $A942=23,
      AND($A942&gt;=32,$A942&lt;=50)
    ),
    IFERROR(
      INDEX('Daily Sales'!$C:$AG,
        $A942,
        MATCH(TEXT($B942,"0"),TEXT('Daily Sales'!$C$2:$AG$2,"0"),0)
      ),
    ""),
  "")
)</f>
        <v/>
      </c>
      <c r="I942" s="138">
        <f t="array" ref="I942">IF($A942="","",
  IF(
    OR(
      AND($A942&gt;=4,$A942&lt;=8),
      AND($A942&gt;=12,$A942&lt;=19),
      AND($A942&gt;=28,$A942&lt;=29)
    ),
    IFERROR(
      INDEX('Daily Sales'!$C:$AG,
        $A942,
        MATCH(TEXT($B942,"0"),TEXT('Daily Sales'!$C$2:$AG$2,"0"),0)
      ),
    ""),
  "")
)</f>
        <v>500000</v>
      </c>
      <c r="J942" s="79" t="e">
        <f t="shared" si="15"/>
        <v>#VALUE!</v>
      </c>
      <c r="K942" s="141"/>
      <c r="L942" s="141"/>
      <c r="M942" s="141"/>
      <c r="N942" s="133"/>
      <c r="O942" s="4"/>
      <c r="P942" s="4"/>
      <c r="Q942" s="4"/>
      <c r="R942" s="109"/>
      <c r="S942" s="109"/>
      <c r="T942" s="108"/>
      <c r="U942" s="110"/>
      <c r="V942" s="110"/>
      <c r="W942" s="110"/>
      <c r="X942" s="110"/>
    </row>
    <row r="943" spans="1:24" ht="13.5" customHeight="1">
      <c r="A943" s="110">
        <f>IF(E943="","",MATCH(E943,'Daily Sales'!B$4:B$51,0)+3)</f>
        <v>17</v>
      </c>
      <c r="B943" s="135">
        <v>46203</v>
      </c>
      <c r="C943" s="136" t="s">
        <v>120</v>
      </c>
      <c r="D943" s="137" t="str">
        <f t="array" ref="D943">IF($A943="","",INDEX('Daily Sales'!A:A,$A943))</f>
        <v>4-2601</v>
      </c>
      <c r="E943" s="138" t="s">
        <v>23</v>
      </c>
      <c r="F943" s="139" t="str">
        <f t="shared" si="21"/>
        <v xml:space="preserve">Misc </v>
      </c>
      <c r="G943" s="140"/>
      <c r="H943" s="138" t="str">
        <f t="array" ref="H943">IF($A943="","",
  IF(
    OR(
      $A943=23,
      AND($A943&gt;=32,$A943&lt;=50)
    ),
    IFERROR(
      INDEX('Daily Sales'!$C:$AG,
        $A943,
        MATCH(TEXT($B943,"0"),TEXT('Daily Sales'!$C$2:$AG$2,"0"),0)
      ),
    ""),
  "")
)</f>
        <v/>
      </c>
      <c r="I943" s="138">
        <f t="array" ref="I943">IF($A943="","",
  IF(
    OR(
      AND($A943&gt;=4,$A943&lt;=8),
      AND($A943&gt;=12,$A943&lt;=19),
      AND($A943&gt;=28,$A943&lt;=29)
    ),
    IFERROR(
      INDEX('Daily Sales'!$C:$AG,
        $A943,
        MATCH(TEXT($B943,"0"),TEXT('Daily Sales'!$C$2:$AG$2,"0"),0)
      ),
    ""),
  "")
)</f>
        <v>45000000</v>
      </c>
      <c r="J943" s="79" t="e">
        <f t="shared" si="15"/>
        <v>#VALUE!</v>
      </c>
      <c r="K943" s="141"/>
      <c r="L943" s="141"/>
      <c r="M943" s="141"/>
      <c r="N943" s="133"/>
      <c r="O943" s="4"/>
      <c r="P943" s="4"/>
      <c r="Q943" s="4"/>
      <c r="R943" s="109"/>
      <c r="S943" s="109"/>
      <c r="T943" s="108"/>
      <c r="U943" s="110"/>
      <c r="V943" s="110"/>
      <c r="W943" s="110"/>
      <c r="X943" s="110"/>
    </row>
    <row r="944" spans="1:24" ht="13.5" customHeight="1">
      <c r="A944" s="110">
        <f>IF(E944="","",MATCH(E944,'Daily Sales'!B$4:B$51,0)+3)</f>
        <v>19</v>
      </c>
      <c r="B944" s="135">
        <v>46203</v>
      </c>
      <c r="C944" s="136" t="s">
        <v>120</v>
      </c>
      <c r="D944" s="137" t="str">
        <f t="array" ref="D944">IF($A944="","",INDEX('Daily Sales'!A:A,$A944))</f>
        <v>4-2500</v>
      </c>
      <c r="E944" s="138" t="s">
        <v>26</v>
      </c>
      <c r="F944" s="139" t="str">
        <f t="shared" si="21"/>
        <v>Sales Ticket</v>
      </c>
      <c r="G944" s="140"/>
      <c r="H944" s="138" t="str">
        <f t="array" ref="H944">IF($A944="","",
  IF(
    OR(
      $A944=23,
      AND($A944&gt;=32,$A944&lt;=50)
    ),
    IFERROR(
      INDEX('Daily Sales'!$C:$AG,
        $A944,
        MATCH(TEXT($B944,"0"),TEXT('Daily Sales'!$C$2:$AG$2,"0"),0)
      ),
    ""),
  "")
)</f>
        <v/>
      </c>
      <c r="I944" s="138">
        <f t="array" ref="I944">IF($A944="","",
  IF(
    OR(
      AND($A944&gt;=4,$A944&lt;=8),
      AND($A944&gt;=12,$A944&lt;=19),
      AND($A944&gt;=28,$A944&lt;=29)
    ),
    IFERROR(
      INDEX('Daily Sales'!$C:$AG,
        $A944,
        MATCH(TEXT($B944,"0"),TEXT('Daily Sales'!$C$2:$AG$2,"0"),0)
      ),
    ""),
  "")
)</f>
        <v>11045060</v>
      </c>
      <c r="J944" s="79" t="e">
        <f t="shared" si="15"/>
        <v>#VALUE!</v>
      </c>
      <c r="K944" s="141"/>
      <c r="L944" s="141"/>
      <c r="M944" s="141"/>
      <c r="N944" s="133"/>
      <c r="O944" s="4"/>
      <c r="P944" s="4"/>
      <c r="Q944" s="4"/>
      <c r="R944" s="109"/>
      <c r="S944" s="109"/>
      <c r="T944" s="108"/>
      <c r="U944" s="110"/>
      <c r="V944" s="110"/>
      <c r="W944" s="110"/>
      <c r="X944" s="110"/>
    </row>
    <row r="945" spans="1:24" ht="13.5" customHeight="1">
      <c r="A945" s="110">
        <f>IF(E945="","",MATCH(E945,'Daily Sales'!B$4:B$51,0)+3)</f>
        <v>28</v>
      </c>
      <c r="B945" s="135">
        <v>46203</v>
      </c>
      <c r="C945" s="136" t="s">
        <v>120</v>
      </c>
      <c r="D945" s="137" t="str">
        <f t="array" ref="D945">IF($A945="","",INDEX('Daily Sales'!A:A,$A945))</f>
        <v>2-2106</v>
      </c>
      <c r="E945" s="138" t="s">
        <v>35</v>
      </c>
      <c r="F945" s="139" t="str">
        <f t="shared" si="21"/>
        <v>Service Charges 7%</v>
      </c>
      <c r="G945" s="140"/>
      <c r="H945" s="138" t="str">
        <f t="array" ref="H945">IF($A945="","",
  IF(
    OR(
      $A945=23,
      AND($A945&gt;=32,$A945&lt;=50)
    ),
    IFERROR(
      INDEX('Daily Sales'!$C:$AG,
        $A945,
        MATCH(TEXT($B945,"0"),TEXT('Daily Sales'!$C$2:$AG$2,"0"),0)
      ),
    ""),
  "")
)</f>
        <v/>
      </c>
      <c r="I945" s="138">
        <f t="array" ref="I945">IF($A945="","",
  IF(
    OR(
      AND($A945&gt;=4,$A945&lt;=8),
      AND($A945&gt;=12,$A945&lt;=19),
      AND($A945&gt;=28,$A945&lt;=29)
    ),
    IFERROR(
      INDEX('Daily Sales'!$C:$AG,
        $A945,
        MATCH(TEXT($B945,"0"),TEXT('Daily Sales'!$C$2:$AG$2,"0"),0)
      ),
    ""),
  "")
)</f>
        <v>2830576.7</v>
      </c>
      <c r="J945" s="79" t="e">
        <f t="shared" si="15"/>
        <v>#VALUE!</v>
      </c>
      <c r="K945" s="141"/>
      <c r="L945" s="141"/>
      <c r="M945" s="141"/>
      <c r="N945" s="133"/>
      <c r="O945" s="4"/>
      <c r="P945" s="4"/>
      <c r="Q945" s="4"/>
      <c r="R945" s="109"/>
      <c r="S945" s="109"/>
      <c r="T945" s="108"/>
      <c r="U945" s="110"/>
      <c r="V945" s="110"/>
      <c r="W945" s="110"/>
      <c r="X945" s="110"/>
    </row>
    <row r="946" spans="1:24" ht="13.5" customHeight="1">
      <c r="A946" s="110">
        <f>IF(E946="","",MATCH(E946,'Daily Sales'!B$4:B$51,0)+3)</f>
        <v>29</v>
      </c>
      <c r="B946" s="135">
        <v>46203</v>
      </c>
      <c r="C946" s="136" t="s">
        <v>120</v>
      </c>
      <c r="D946" s="137" t="str">
        <f t="array" ref="D946">IF($A946="","",INDEX('Daily Sales'!A:A,$A946))</f>
        <v>2-3101</v>
      </c>
      <c r="E946" s="138" t="s">
        <v>37</v>
      </c>
      <c r="F946" s="139" t="str">
        <f t="shared" si="21"/>
        <v>Tax PB1 10%</v>
      </c>
      <c r="G946" s="140"/>
      <c r="H946" s="138" t="str">
        <f t="array" ref="H946">IF($A946="","",
  IF(
    OR(
      $A946=23,
      AND($A946&gt;=32,$A946&lt;=50)
    ),
    IFERROR(
      INDEX('Daily Sales'!$C:$AG,
        $A946,
        MATCH(TEXT($B946,"0"),TEXT('Daily Sales'!$C$2:$AG$2,"0"),0)
      ),
    ""),
  "")
)</f>
        <v/>
      </c>
      <c r="I946" s="138">
        <f t="array" ref="I946">IF($A946="","",
  IF(
    OR(
      AND($A946&gt;=4,$A946&lt;=8),
      AND($A946&gt;=12,$A946&lt;=19),
      AND($A946&gt;=28,$A946&lt;=29)
    ),
    IFERROR(
      INDEX('Daily Sales'!$C:$AG,
        $A946,
        MATCH(TEXT($B946,"0"),TEXT('Daily Sales'!$C$2:$AG$2,"0"),0)
      ),
    ""),
  "")
)</f>
        <v>4326738.6700000009</v>
      </c>
      <c r="J946" s="79" t="e">
        <f t="shared" si="15"/>
        <v>#VALUE!</v>
      </c>
      <c r="K946" s="141"/>
      <c r="L946" s="141"/>
      <c r="M946" s="141"/>
      <c r="N946" s="133"/>
      <c r="O946" s="4"/>
      <c r="P946" s="4"/>
      <c r="Q946" s="4"/>
      <c r="R946" s="109"/>
      <c r="S946" s="109"/>
      <c r="T946" s="108"/>
      <c r="U946" s="110"/>
      <c r="V946" s="110"/>
      <c r="W946" s="110"/>
      <c r="X946" s="110"/>
    </row>
    <row r="947" spans="1:24" ht="13.5" customHeight="1">
      <c r="A947" s="110">
        <f>IF(E947="","",MATCH(E947,'Daily Sales'!B$4:B$51,0)+3)</f>
        <v>23</v>
      </c>
      <c r="B947" s="135">
        <v>46203</v>
      </c>
      <c r="C947" s="136" t="s">
        <v>120</v>
      </c>
      <c r="D947" s="137" t="str">
        <f t="array" ref="D947">IF($A947="","",INDEX('Daily Sales'!A:A,$A947))</f>
        <v>4-5110</v>
      </c>
      <c r="E947" s="138" t="s">
        <v>30</v>
      </c>
      <c r="F947" s="139" t="str">
        <f t="shared" si="21"/>
        <v>Discount</v>
      </c>
      <c r="G947" s="140"/>
      <c r="H947" s="138">
        <f t="array" ref="H947">IF($A947="","",
  IF(
    OR(
      $A947=23,
      AND($A947&gt;=32,$A947&lt;=50)
    ),
    IFERROR(
      INDEX('Daily Sales'!$C:$AG,
        $A947,
        MATCH(TEXT($B947,"0"),TEXT('Daily Sales'!$C$2:$AG$2,"0"),0)
      ),
    ""),
  "")
)</f>
        <v>826000</v>
      </c>
      <c r="I947" s="138" t="str">
        <f t="array" ref="I947">IF($A947="","",
  IF(
    OR(
      AND($A947&gt;=4,$A947&lt;=8),
      AND($A947&gt;=12,$A947&lt;=19),
      AND($A947&gt;=28,$A947&lt;=29)
    ),
    IFERROR(
      INDEX('Daily Sales'!$C:$AG,
        $A947,
        MATCH(TEXT($B947,"0"),TEXT('Daily Sales'!$C$2:$AG$2,"0"),0)
      ),
    ""),
  "")
)</f>
        <v/>
      </c>
      <c r="J947" s="79" t="e">
        <f t="shared" si="15"/>
        <v>#VALUE!</v>
      </c>
      <c r="K947" s="141"/>
      <c r="L947" s="141"/>
      <c r="M947" s="141"/>
      <c r="N947" s="133"/>
      <c r="O947" s="4"/>
      <c r="P947" s="4"/>
      <c r="Q947" s="4"/>
      <c r="R947" s="109"/>
      <c r="S947" s="109"/>
      <c r="T947" s="108"/>
      <c r="U947" s="110"/>
      <c r="V947" s="110"/>
      <c r="W947" s="110"/>
      <c r="X947" s="110"/>
    </row>
    <row r="948" spans="1:24" ht="13.5" customHeight="1">
      <c r="A948" s="110">
        <f>IF(E948="","",MATCH(E948,'Daily Sales'!B$4:B$51,0)+3)</f>
        <v>32</v>
      </c>
      <c r="B948" s="135">
        <v>46203</v>
      </c>
      <c r="C948" s="136" t="s">
        <v>120</v>
      </c>
      <c r="D948" s="137" t="str">
        <f t="array" ref="D948">IF($A948="","",INDEX('Daily Sales'!A:A,$A948))</f>
        <v>1-1119</v>
      </c>
      <c r="E948" s="138" t="s">
        <v>40</v>
      </c>
      <c r="F948" s="139" t="str">
        <f t="shared" si="21"/>
        <v>Cash IDR</v>
      </c>
      <c r="G948" s="140"/>
      <c r="H948" s="138">
        <f t="array" ref="H948">IF($A948="","",
  IF(
    OR(
      $A948=23,
      AND($A948&gt;=32,$A948&lt;=50)
    ),
    IFERROR(
      INDEX('Daily Sales'!$C:$AG,
        $A948,
        MATCH(TEXT($B948,"0"),TEXT('Daily Sales'!$C$2:$AG$2,"0"),0)
      ),
    ""),
  "")
)</f>
        <v>11226905</v>
      </c>
      <c r="I948" s="138" t="str">
        <f t="array" ref="I948">IF($A948="","",
  IF(
    OR(
      AND($A948&gt;=4,$A948&lt;=8),
      AND($A948&gt;=12,$A948&lt;=19),
      AND($A948&gt;=28,$A948&lt;=29)
    ),
    IFERROR(
      INDEX('Daily Sales'!$C:$AG,
        $A948,
        MATCH(TEXT($B948,"0"),TEXT('Daily Sales'!$C$2:$AG$2,"0"),0)
      ),
    ""),
  "")
)</f>
        <v/>
      </c>
      <c r="J948" s="79" t="e">
        <f t="shared" si="15"/>
        <v>#VALUE!</v>
      </c>
      <c r="K948" s="141"/>
      <c r="L948" s="141"/>
      <c r="M948" s="141"/>
      <c r="N948" s="133"/>
      <c r="O948" s="4"/>
      <c r="P948" s="4"/>
      <c r="Q948" s="4"/>
      <c r="R948" s="109"/>
      <c r="S948" s="109"/>
      <c r="T948" s="108"/>
      <c r="U948" s="110"/>
      <c r="V948" s="110"/>
      <c r="W948" s="110"/>
      <c r="X948" s="110"/>
    </row>
    <row r="949" spans="1:24" ht="13.5" customHeight="1">
      <c r="A949" s="110">
        <f>IF(E949="","",MATCH(E949,'Daily Sales'!B$4:B$51,0)+3)</f>
        <v>33</v>
      </c>
      <c r="B949" s="135">
        <v>46203</v>
      </c>
      <c r="C949" s="136" t="s">
        <v>120</v>
      </c>
      <c r="D949" s="137" t="str">
        <f t="array" ref="D949">IF($A949="","",INDEX('Daily Sales'!A:A,$A949))</f>
        <v>1-1217</v>
      </c>
      <c r="E949" s="138" t="s">
        <v>43</v>
      </c>
      <c r="F949" s="139" t="str">
        <f t="shared" si="21"/>
        <v>Bank transfer</v>
      </c>
      <c r="G949" s="140"/>
      <c r="H949" s="138">
        <f t="array" ref="H949">IF($A949="","",
  IF(
    OR(
      $A949=23,
      AND($A949&gt;=32,$A949&lt;=50)
    ),
    IFERROR(
      INDEX('Daily Sales'!$C:$AG,
        $A949,
        MATCH(TEXT($B949,"0"),TEXT('Daily Sales'!$C$2:$AG$2,"0"),0)
      ),
    ""),
  "")
)</f>
        <v>45000000</v>
      </c>
      <c r="I949" s="138" t="str">
        <f t="array" ref="I949">IF($A949="","",
  IF(
    OR(
      AND($A949&gt;=4,$A949&lt;=8),
      AND($A949&gt;=12,$A949&lt;=19),
      AND($A949&gt;=28,$A949&lt;=29)
    ),
    IFERROR(
      INDEX('Daily Sales'!$C:$AG,
        $A949,
        MATCH(TEXT($B949,"0"),TEXT('Daily Sales'!$C$2:$AG$2,"0"),0)
      ),
    ""),
  "")
)</f>
        <v/>
      </c>
      <c r="J949" s="79" t="e">
        <f t="shared" si="15"/>
        <v>#VALUE!</v>
      </c>
      <c r="K949" s="141"/>
      <c r="L949" s="141"/>
      <c r="M949" s="141"/>
      <c r="N949" s="133"/>
      <c r="O949" s="4"/>
      <c r="P949" s="4"/>
      <c r="Q949" s="4"/>
      <c r="R949" s="109"/>
      <c r="S949" s="109"/>
      <c r="T949" s="108"/>
      <c r="U949" s="110"/>
      <c r="V949" s="110"/>
      <c r="W949" s="110"/>
      <c r="X949" s="110"/>
    </row>
    <row r="950" spans="1:24" ht="13.5" customHeight="1">
      <c r="A950" s="110">
        <f>IF(E950="","",MATCH(E950,'Daily Sales'!B$4:B$51,0)+3)</f>
        <v>35</v>
      </c>
      <c r="B950" s="135">
        <v>46203</v>
      </c>
      <c r="C950" s="136" t="s">
        <v>120</v>
      </c>
      <c r="D950" s="137" t="str">
        <f t="array" ref="D950">IF($A950="","",INDEX('Daily Sales'!A:A,$A950))</f>
        <v>1-1216</v>
      </c>
      <c r="E950" s="138" t="s">
        <v>46</v>
      </c>
      <c r="F950" s="139" t="str">
        <f t="shared" si="21"/>
        <v>Cim Niaga TBB</v>
      </c>
      <c r="G950" s="140"/>
      <c r="H950" s="138">
        <f t="array" ref="H950">IF($A950="","",
  IF(
    OR(
      $A950=23,
      AND($A950&gt;=32,$A950&lt;=50)
    ),
    IFERROR(
      INDEX('Daily Sales'!$C:$AG,
        $A950,
        MATCH(TEXT($B950,"0"),TEXT('Daily Sales'!$C$2:$AG$2,"0"),0)
      ),
    ""),
  "")
)</f>
        <v>0</v>
      </c>
      <c r="I950" s="138" t="str">
        <f t="array" ref="I950">IF($A950="","",
  IF(
    OR(
      AND($A950&gt;=4,$A950&lt;=8),
      AND($A950&gt;=12,$A950&lt;=19),
      AND($A950&gt;=28,$A950&lt;=29)
    ),
    IFERROR(
      INDEX('Daily Sales'!$C:$AG,
        $A950,
        MATCH(TEXT($B950,"0"),TEXT('Daily Sales'!$C$2:$AG$2,"0"),0)
      ),
    ""),
  "")
)</f>
        <v/>
      </c>
      <c r="J950" s="79" t="e">
        <f t="shared" si="15"/>
        <v>#VALUE!</v>
      </c>
      <c r="K950" s="141"/>
      <c r="L950" s="141"/>
      <c r="M950" s="141"/>
      <c r="N950" s="133"/>
      <c r="O950" s="4"/>
      <c r="P950" s="4"/>
      <c r="Q950" s="4"/>
      <c r="R950" s="109"/>
      <c r="S950" s="109"/>
      <c r="T950" s="108"/>
      <c r="U950" s="110"/>
      <c r="V950" s="110"/>
      <c r="W950" s="110"/>
      <c r="X950" s="110"/>
    </row>
    <row r="951" spans="1:24" ht="13.5" customHeight="1">
      <c r="A951" s="110">
        <f>IF(E951="","",MATCH(E951,'Daily Sales'!B$4:B$51,0)+3)</f>
        <v>36</v>
      </c>
      <c r="B951" s="135">
        <v>46203</v>
      </c>
      <c r="C951" s="136" t="s">
        <v>120</v>
      </c>
      <c r="D951" s="137" t="str">
        <f t="array" ref="D951">IF($A951="","",INDEX('Daily Sales'!A:A,$A951))</f>
        <v>1-1213</v>
      </c>
      <c r="E951" s="138" t="s">
        <v>49</v>
      </c>
      <c r="F951" s="139" t="str">
        <f t="shared" si="21"/>
        <v>Mandiri Debet</v>
      </c>
      <c r="G951" s="140"/>
      <c r="H951" s="138">
        <f t="array" ref="H951">IF($A951="","",
  IF(
    OR(
      $A951=23,
      AND($A951&gt;=32,$A951&lt;=50)
    ),
    IFERROR(
      INDEX('Daily Sales'!$C:$AG,
        $A951,
        MATCH(TEXT($B951,"0"),TEXT('Daily Sales'!$C$2:$AG$2,"0"),0)
      ),
    ""),
  "")
)</f>
        <v>4319500</v>
      </c>
      <c r="I951" s="138" t="str">
        <f t="array" ref="I951">IF($A951="","",
  IF(
    OR(
      AND($A951&gt;=4,$A951&lt;=8),
      AND($A951&gt;=12,$A951&lt;=19),
      AND($A951&gt;=28,$A951&lt;=29)
    ),
    IFERROR(
      INDEX('Daily Sales'!$C:$AG,
        $A951,
        MATCH(TEXT($B951,"0"),TEXT('Daily Sales'!$C$2:$AG$2,"0"),0)
      ),
    ""),
  "")
)</f>
        <v/>
      </c>
      <c r="J951" s="79" t="e">
        <f t="shared" si="15"/>
        <v>#VALUE!</v>
      </c>
      <c r="K951" s="141"/>
      <c r="L951" s="141"/>
      <c r="M951" s="141"/>
      <c r="N951" s="133"/>
      <c r="O951" s="4"/>
      <c r="P951" s="4"/>
      <c r="Q951" s="4"/>
      <c r="R951" s="109"/>
      <c r="S951" s="109"/>
      <c r="T951" s="108"/>
      <c r="U951" s="110"/>
      <c r="V951" s="110"/>
      <c r="W951" s="110"/>
      <c r="X951" s="110"/>
    </row>
    <row r="952" spans="1:24" ht="13.5" customHeight="1">
      <c r="A952" s="110">
        <f>IF(E952="","",MATCH(E952,'Daily Sales'!B$4:B$51,0)+3)</f>
        <v>37</v>
      </c>
      <c r="B952" s="135">
        <v>46203</v>
      </c>
      <c r="C952" s="136" t="s">
        <v>120</v>
      </c>
      <c r="D952" s="137" t="str">
        <f t="array" ref="D952">IF($A952="","",INDEX('Daily Sales'!A:A,$A952))</f>
        <v>1-1213</v>
      </c>
      <c r="E952" s="138" t="s">
        <v>50</v>
      </c>
      <c r="F952" s="139" t="str">
        <f t="shared" si="21"/>
        <v>Mandiri CC</v>
      </c>
      <c r="G952" s="140"/>
      <c r="H952" s="138">
        <f t="array" ref="H952">IF($A952="","",
  IF(
    OR(
      $A952=23,
      AND($A952&gt;=32,$A952&lt;=50)
    ),
    IFERROR(
      INDEX('Daily Sales'!$C:$AG,
        $A952,
        MATCH(TEXT($B952,"0"),TEXT('Daily Sales'!$C$2:$AG$2,"0"),0)
      ),
    ""),
  "")
)</f>
        <v>13302648</v>
      </c>
      <c r="I952" s="138" t="str">
        <f t="array" ref="I952">IF($A952="","",
  IF(
    OR(
      AND($A952&gt;=4,$A952&lt;=8),
      AND($A952&gt;=12,$A952&lt;=19),
      AND($A952&gt;=28,$A952&lt;=29)
    ),
    IFERROR(
      INDEX('Daily Sales'!$C:$AG,
        $A952,
        MATCH(TEXT($B952,"0"),TEXT('Daily Sales'!$C$2:$AG$2,"0"),0)
      ),
    ""),
  "")
)</f>
        <v/>
      </c>
      <c r="J952" s="79" t="e">
        <f t="shared" si="15"/>
        <v>#VALUE!</v>
      </c>
      <c r="K952" s="141"/>
      <c r="L952" s="141"/>
      <c r="M952" s="141"/>
      <c r="N952" s="133"/>
      <c r="O952" s="4"/>
      <c r="P952" s="4"/>
      <c r="Q952" s="4"/>
      <c r="R952" s="109"/>
      <c r="S952" s="109"/>
      <c r="T952" s="108"/>
      <c r="U952" s="110"/>
      <c r="V952" s="110"/>
      <c r="W952" s="110"/>
      <c r="X952" s="110"/>
    </row>
    <row r="953" spans="1:24" ht="13.5" customHeight="1">
      <c r="A953" s="110">
        <f>IF(E953="","",MATCH(E953,'Daily Sales'!B$4:B$51,0)+3)</f>
        <v>38</v>
      </c>
      <c r="B953" s="135">
        <v>46203</v>
      </c>
      <c r="C953" s="136" t="s">
        <v>120</v>
      </c>
      <c r="D953" s="137" t="str">
        <f t="array" ref="D953">IF($A953="","",INDEX('Daily Sales'!A:A,$A953))</f>
        <v>1-1213</v>
      </c>
      <c r="E953" s="138" t="s">
        <v>51</v>
      </c>
      <c r="F953" s="139" t="str">
        <f t="shared" si="21"/>
        <v>Mandiri NPG</v>
      </c>
      <c r="G953" s="140"/>
      <c r="H953" s="138">
        <f t="array" ref="H953">IF($A953="","",
  IF(
    OR(
      $A953=23,
      AND($A953&gt;=32,$A953&lt;=50)
    ),
    IFERROR(
      INDEX('Daily Sales'!$C:$AG,
        $A953,
        MATCH(TEXT($B953,"0"),TEXT('Daily Sales'!$C$2:$AG$2,"0"),0)
      ),
    ""),
  "")
)</f>
        <v>6260920</v>
      </c>
      <c r="I953" s="138" t="str">
        <f t="array" ref="I953">IF($A953="","",
  IF(
    OR(
      AND($A953&gt;=4,$A953&lt;=8),
      AND($A953&gt;=12,$A953&lt;=19),
      AND($A953&gt;=28,$A953&lt;=29)
    ),
    IFERROR(
      INDEX('Daily Sales'!$C:$AG,
        $A953,
        MATCH(TEXT($B953,"0"),TEXT('Daily Sales'!$C$2:$AG$2,"0"),0)
      ),
    ""),
  "")
)</f>
        <v/>
      </c>
      <c r="J953" s="79" t="e">
        <f t="shared" si="15"/>
        <v>#VALUE!</v>
      </c>
      <c r="K953" s="141"/>
      <c r="L953" s="141"/>
      <c r="M953" s="141"/>
      <c r="N953" s="133"/>
      <c r="O953" s="4"/>
      <c r="P953" s="4"/>
      <c r="Q953" s="4"/>
      <c r="R953" s="109"/>
      <c r="S953" s="109"/>
      <c r="T953" s="108"/>
      <c r="U953" s="110"/>
      <c r="V953" s="110"/>
      <c r="W953" s="110"/>
      <c r="X953" s="110"/>
    </row>
    <row r="954" spans="1:24" ht="13.5" customHeight="1">
      <c r="A954" s="110">
        <f>IF(E954="","",MATCH(E954,'Daily Sales'!B$4:B$51,0)+3)</f>
        <v>39</v>
      </c>
      <c r="B954" s="135">
        <v>46203</v>
      </c>
      <c r="C954" s="136" t="s">
        <v>120</v>
      </c>
      <c r="D954" s="137" t="str">
        <f t="array" ref="D954">IF($A954="","",INDEX('Daily Sales'!A:A,$A954))</f>
        <v>1-1213</v>
      </c>
      <c r="E954" s="138" t="s">
        <v>52</v>
      </c>
      <c r="F954" s="139" t="str">
        <f t="shared" si="21"/>
        <v>Mandiri QR</v>
      </c>
      <c r="G954" s="140"/>
      <c r="H954" s="138">
        <f t="array" ref="H954">IF($A954="","",
  IF(
    OR(
      $A954=23,
      AND($A954&gt;=32,$A954&lt;=50)
    ),
    IFERROR(
      INDEX('Daily Sales'!$C:$AG,
        $A954,
        MATCH(TEXT($B954,"0"),TEXT('Daily Sales'!$C$2:$AG$2,"0"),0)
      ),
    ""),
  "")
)</f>
        <v>10319943</v>
      </c>
      <c r="I954" s="138" t="str">
        <f t="array" ref="I954">IF($A954="","",
  IF(
    OR(
      AND($A954&gt;=4,$A954&lt;=8),
      AND($A954&gt;=12,$A954&lt;=19),
      AND($A954&gt;=28,$A954&lt;=29)
    ),
    IFERROR(
      INDEX('Daily Sales'!$C:$AG,
        $A954,
        MATCH(TEXT($B954,"0"),TEXT('Daily Sales'!$C$2:$AG$2,"0"),0)
      ),
    ""),
  "")
)</f>
        <v/>
      </c>
      <c r="J954" s="79" t="e">
        <f t="shared" si="15"/>
        <v>#VALUE!</v>
      </c>
      <c r="K954" s="141"/>
      <c r="L954" s="141"/>
      <c r="M954" s="141"/>
      <c r="N954" s="133"/>
      <c r="O954" s="4"/>
      <c r="P954" s="4"/>
      <c r="Q954" s="4"/>
      <c r="R954" s="109"/>
      <c r="S954" s="109"/>
      <c r="T954" s="108"/>
      <c r="U954" s="110"/>
      <c r="V954" s="110"/>
      <c r="W954" s="110"/>
      <c r="X954" s="110"/>
    </row>
    <row r="955" spans="1:24" ht="13.5" customHeight="1">
      <c r="A955" s="110">
        <f>IF(E955="","",MATCH(E955,'Daily Sales'!B$4:B$51,0)+3)</f>
        <v>40</v>
      </c>
      <c r="B955" s="135">
        <v>46203</v>
      </c>
      <c r="C955" s="136" t="s">
        <v>120</v>
      </c>
      <c r="D955" s="137" t="str">
        <f t="array" ref="D955">IF($A955="","",INDEX('Daily Sales'!A:A,$A955))</f>
        <v>1-1217</v>
      </c>
      <c r="E955" s="138" t="s">
        <v>54</v>
      </c>
      <c r="F955" s="139" t="str">
        <f t="shared" si="21"/>
        <v>BCA CC</v>
      </c>
      <c r="G955" s="140"/>
      <c r="H955" s="138">
        <f t="array" ref="H955">IF($A955="","",
  IF(
    OR(
      $A955=23,
      AND($A955&gt;=32,$A955&lt;=50)
    ),
    IFERROR(
      INDEX('Daily Sales'!$C:$AG,
        $A955,
        MATCH(TEXT($B955,"0"),TEXT('Daily Sales'!$C$2:$AG$2,"0"),0)
      ),
    ""),
  "")
)</f>
        <v>564960</v>
      </c>
      <c r="I955" s="138" t="str">
        <f t="array" ref="I955">IF($A955="","",
  IF(
    OR(
      AND($A955&gt;=4,$A955&lt;=8),
      AND($A955&gt;=12,$A955&lt;=19),
      AND($A955&gt;=28,$A955&lt;=29)
    ),
    IFERROR(
      INDEX('Daily Sales'!$C:$AG,
        $A955,
        MATCH(TEXT($B955,"0"),TEXT('Daily Sales'!$C$2:$AG$2,"0"),0)
      ),
    ""),
  "")
)</f>
        <v/>
      </c>
      <c r="J955" s="79" t="e">
        <f t="shared" si="15"/>
        <v>#VALUE!</v>
      </c>
      <c r="K955" s="141"/>
      <c r="L955" s="141"/>
      <c r="M955" s="141"/>
      <c r="N955" s="133"/>
      <c r="O955" s="4"/>
      <c r="P955" s="4"/>
      <c r="Q955" s="4"/>
      <c r="R955" s="109"/>
      <c r="S955" s="109"/>
      <c r="T955" s="108"/>
      <c r="U955" s="110"/>
      <c r="V955" s="110"/>
      <c r="W955" s="110"/>
      <c r="X955" s="110"/>
    </row>
    <row r="956" spans="1:24" ht="13.5" customHeight="1">
      <c r="A956" s="110">
        <f>IF(E956="","",MATCH(E956,'Daily Sales'!B$4:B$51,0)+3)</f>
        <v>41</v>
      </c>
      <c r="B956" s="135">
        <v>46203</v>
      </c>
      <c r="C956" s="136" t="s">
        <v>120</v>
      </c>
      <c r="D956" s="137" t="str">
        <f t="array" ref="D956">IF($A956="","",INDEX('Daily Sales'!A:A,$A956))</f>
        <v>1-1217</v>
      </c>
      <c r="E956" s="138" t="s">
        <v>55</v>
      </c>
      <c r="F956" s="139" t="str">
        <f t="shared" si="21"/>
        <v>BCA debt</v>
      </c>
      <c r="G956" s="140"/>
      <c r="H956" s="138">
        <f t="array" ref="H956">IF($A956="","",
  IF(
    OR(
      $A956=23,
      AND($A956&gt;=32,$A956&lt;=50)
    ),
    IFERROR(
      INDEX('Daily Sales'!$C:$AG,
        $A956,
        MATCH(TEXT($B956,"0"),TEXT('Daily Sales'!$C$2:$AG$2,"0"),0)
      ),
    ""),
  "")
)</f>
        <v>617925</v>
      </c>
      <c r="I956" s="138" t="str">
        <f t="array" ref="I956">IF($A956="","",
  IF(
    OR(
      AND($A956&gt;=4,$A956&lt;=8),
      AND($A956&gt;=12,$A956&lt;=19),
      AND($A956&gt;=28,$A956&lt;=29)
    ),
    IFERROR(
      INDEX('Daily Sales'!$C:$AG,
        $A956,
        MATCH(TEXT($B956,"0"),TEXT('Daily Sales'!$C$2:$AG$2,"0"),0)
      ),
    ""),
  "")
)</f>
        <v/>
      </c>
      <c r="J956" s="79" t="e">
        <f t="shared" si="15"/>
        <v>#VALUE!</v>
      </c>
      <c r="K956" s="141"/>
      <c r="L956" s="141"/>
      <c r="M956" s="141"/>
      <c r="N956" s="133"/>
      <c r="O956" s="4"/>
      <c r="P956" s="4"/>
      <c r="Q956" s="4"/>
      <c r="R956" s="109"/>
      <c r="S956" s="109"/>
      <c r="T956" s="108"/>
      <c r="U956" s="110"/>
      <c r="V956" s="110"/>
      <c r="W956" s="110"/>
      <c r="X956" s="110"/>
    </row>
    <row r="957" spans="1:24" ht="13.5" customHeight="1">
      <c r="A957" s="110">
        <f>IF(E957="","",MATCH(E957,'Daily Sales'!B$4:B$51,0)+3)</f>
        <v>42</v>
      </c>
      <c r="B957" s="135">
        <v>46203</v>
      </c>
      <c r="C957" s="136" t="s">
        <v>120</v>
      </c>
      <c r="D957" s="137" t="str">
        <f t="array" ref="D957">IF($A957="","",INDEX('Daily Sales'!A:A,$A957))</f>
        <v>1-1217</v>
      </c>
      <c r="E957" s="138" t="s">
        <v>56</v>
      </c>
      <c r="F957" s="139" t="str">
        <f t="shared" si="21"/>
        <v>BCA QR</v>
      </c>
      <c r="G957" s="140"/>
      <c r="H957" s="138">
        <f t="array" ref="H957">IF($A957="","",
  IF(
    OR(
      $A957=23,
      AND($A957&gt;=32,$A957&lt;=50)
    ),
    IFERROR(
      INDEX('Daily Sales'!$C:$AG,
        $A957,
        MATCH(TEXT($B957,"0"),TEXT('Daily Sales'!$C$2:$AG$2,"0"),0)
      ),
    ""),
  "")
)</f>
        <v>0</v>
      </c>
      <c r="I957" s="138" t="str">
        <f t="array" ref="I957">IF($A957="","",
  IF(
    OR(
      AND($A957&gt;=4,$A957&lt;=8),
      AND($A957&gt;=12,$A957&lt;=19),
      AND($A957&gt;=28,$A957&lt;=29)
    ),
    IFERROR(
      INDEX('Daily Sales'!$C:$AG,
        $A957,
        MATCH(TEXT($B957,"0"),TEXT('Daily Sales'!$C$2:$AG$2,"0"),0)
      ),
    ""),
  "")
)</f>
        <v/>
      </c>
      <c r="J957" s="79" t="e">
        <f t="shared" si="15"/>
        <v>#VALUE!</v>
      </c>
      <c r="K957" s="141"/>
      <c r="L957" s="141"/>
      <c r="M957" s="141"/>
      <c r="N957" s="133"/>
      <c r="O957" s="4"/>
      <c r="P957" s="4"/>
      <c r="Q957" s="4"/>
      <c r="R957" s="109"/>
      <c r="S957" s="109"/>
      <c r="T957" s="108"/>
      <c r="U957" s="110"/>
      <c r="V957" s="110"/>
      <c r="W957" s="110"/>
      <c r="X957" s="110"/>
    </row>
    <row r="958" spans="1:24" ht="13.5" customHeight="1">
      <c r="A958" s="110">
        <f>IF(E958="","",MATCH(E958,'Daily Sales'!B$4:B$51,0)+3)</f>
        <v>43</v>
      </c>
      <c r="B958" s="135">
        <v>46203</v>
      </c>
      <c r="C958" s="136" t="s">
        <v>120</v>
      </c>
      <c r="D958" s="137" t="str">
        <f t="array" ref="D958">IF($A958="","",INDEX('Daily Sales'!A:A,$A958))</f>
        <v>1-1214</v>
      </c>
      <c r="E958" s="138" t="s">
        <v>59</v>
      </c>
      <c r="F958" s="139" t="str">
        <f t="shared" si="21"/>
        <v>Bank BRI DEBET</v>
      </c>
      <c r="G958" s="140"/>
      <c r="H958" s="138">
        <f t="array" ref="H958">IF($A958="","",
  IF(
    OR(
      $A958=23,
      AND($A958&gt;=32,$A958&lt;=50)
    ),
    IFERROR(
      INDEX('Daily Sales'!$C:$AG,
        $A958,
        MATCH(TEXT($B958,"0"),TEXT('Daily Sales'!$C$2:$AG$2,"0"),0)
      ),
    ""),
  "")
)</f>
        <v>0</v>
      </c>
      <c r="I958" s="138" t="str">
        <f t="array" ref="I958">IF($A958="","",
  IF(
    OR(
      AND($A958&gt;=4,$A958&lt;=8),
      AND($A958&gt;=12,$A958&lt;=19),
      AND($A958&gt;=28,$A958&lt;=29)
    ),
    IFERROR(
      INDEX('Daily Sales'!$C:$AG,
        $A958,
        MATCH(TEXT($B958,"0"),TEXT('Daily Sales'!$C$2:$AG$2,"0"),0)
      ),
    ""),
  "")
)</f>
        <v/>
      </c>
      <c r="J958" s="79" t="e">
        <f t="shared" si="15"/>
        <v>#VALUE!</v>
      </c>
      <c r="K958" s="141"/>
      <c r="L958" s="141"/>
      <c r="M958" s="141"/>
      <c r="N958" s="133"/>
      <c r="O958" s="4"/>
      <c r="P958" s="4"/>
      <c r="Q958" s="4"/>
      <c r="R958" s="109"/>
      <c r="S958" s="109"/>
      <c r="T958" s="108"/>
      <c r="U958" s="110"/>
      <c r="V958" s="110"/>
      <c r="W958" s="110"/>
      <c r="X958" s="110"/>
    </row>
    <row r="959" spans="1:24" ht="13.5" customHeight="1">
      <c r="A959" s="110">
        <f>IF(E959="","",MATCH(E959,'Daily Sales'!B$4:B$51,0)+3)</f>
        <v>44</v>
      </c>
      <c r="B959" s="135">
        <v>46203</v>
      </c>
      <c r="C959" s="136" t="s">
        <v>120</v>
      </c>
      <c r="D959" s="137" t="str">
        <f t="array" ref="D959">IF($A959="","",INDEX('Daily Sales'!A:A,$A959))</f>
        <v>1-1214</v>
      </c>
      <c r="E959" s="138" t="s">
        <v>60</v>
      </c>
      <c r="F959" s="139" t="str">
        <f t="shared" si="21"/>
        <v>Bank BRI CC</v>
      </c>
      <c r="G959" s="140"/>
      <c r="H959" s="138">
        <f t="array" ref="H959">IF($A959="","",
  IF(
    OR(
      $A959=23,
      AND($A959&gt;=32,$A959&lt;=50)
    ),
    IFERROR(
      INDEX('Daily Sales'!$C:$AG,
        $A959,
        MATCH(TEXT($B959,"0"),TEXT('Daily Sales'!$C$2:$AG$2,"0"),0)
      ),
    ""),
  "")
)</f>
        <v>0</v>
      </c>
      <c r="I959" s="138" t="str">
        <f t="array" ref="I959">IF($A959="","",
  IF(
    OR(
      AND($A959&gt;=4,$A959&lt;=8),
      AND($A959&gt;=12,$A959&lt;=19),
      AND($A959&gt;=28,$A959&lt;=29)
    ),
    IFERROR(
      INDEX('Daily Sales'!$C:$AG,
        $A959,
        MATCH(TEXT($B959,"0"),TEXT('Daily Sales'!$C$2:$AG$2,"0"),0)
      ),
    ""),
  "")
)</f>
        <v/>
      </c>
      <c r="J959" s="79" t="e">
        <f t="shared" si="15"/>
        <v>#VALUE!</v>
      </c>
      <c r="K959" s="141"/>
      <c r="L959" s="141"/>
      <c r="M959" s="141"/>
      <c r="N959" s="133"/>
      <c r="O959" s="4"/>
      <c r="P959" s="4"/>
      <c r="Q959" s="4"/>
      <c r="R959" s="109"/>
      <c r="S959" s="109"/>
      <c r="T959" s="108"/>
      <c r="U959" s="110"/>
      <c r="V959" s="110"/>
      <c r="W959" s="110"/>
      <c r="X959" s="110"/>
    </row>
    <row r="960" spans="1:24" ht="13.5" customHeight="1">
      <c r="A960" s="110">
        <f>IF(E960="","",MATCH(E960,'Daily Sales'!B$4:B$51,0)+3)</f>
        <v>45</v>
      </c>
      <c r="B960" s="135">
        <v>46203</v>
      </c>
      <c r="C960" s="136" t="s">
        <v>120</v>
      </c>
      <c r="D960" s="137" t="str">
        <f t="array" ref="D960">IF($A960="","",INDEX('Daily Sales'!A:A,$A960))</f>
        <v>1-1214</v>
      </c>
      <c r="E960" s="138" t="s">
        <v>61</v>
      </c>
      <c r="F960" s="139" t="str">
        <f t="shared" si="21"/>
        <v>Bank BRI QR</v>
      </c>
      <c r="G960" s="140"/>
      <c r="H960" s="138">
        <f t="array" ref="H960">IF($A960="","",
  IF(
    OR(
      $A960=23,
      AND($A960&gt;=32,$A960&lt;=50)
    ),
    IFERROR(
      INDEX('Daily Sales'!$C:$AG,
        $A960,
        MATCH(TEXT($B960,"0"),TEXT('Daily Sales'!$C$2:$AG$2,"0"),0)
      ),
    ""),
  "")
)</f>
        <v>0</v>
      </c>
      <c r="I960" s="138" t="str">
        <f t="array" ref="I960">IF($A960="","",
  IF(
    OR(
      AND($A960&gt;=4,$A960&lt;=8),
      AND($A960&gt;=12,$A960&lt;=19),
      AND($A960&gt;=28,$A960&lt;=29)
    ),
    IFERROR(
      INDEX('Daily Sales'!$C:$AG,
        $A960,
        MATCH(TEXT($B960,"0"),TEXT('Daily Sales'!$C$2:$AG$2,"0"),0)
      ),
    ""),
  "")
)</f>
        <v/>
      </c>
      <c r="J960" s="79" t="e">
        <f t="shared" si="15"/>
        <v>#VALUE!</v>
      </c>
      <c r="K960" s="141"/>
      <c r="L960" s="141"/>
      <c r="M960" s="141"/>
      <c r="N960" s="133"/>
      <c r="O960" s="4"/>
      <c r="P960" s="4"/>
      <c r="Q960" s="4"/>
      <c r="R960" s="109"/>
      <c r="S960" s="109"/>
      <c r="T960" s="108"/>
      <c r="U960" s="110"/>
      <c r="V960" s="110"/>
      <c r="W960" s="110"/>
      <c r="X960" s="110"/>
    </row>
    <row r="961" spans="1:24" ht="13.5" customHeight="1">
      <c r="A961" s="110">
        <f>IF(E961="","",MATCH(E961,'Daily Sales'!B$4:B$51,0)+3)</f>
        <v>46</v>
      </c>
      <c r="B961" s="135">
        <v>46203</v>
      </c>
      <c r="C961" s="136" t="s">
        <v>120</v>
      </c>
      <c r="D961" s="137" t="str">
        <f t="array" ref="D961">IF($A961="","",INDEX('Daily Sales'!A:A,$A961))</f>
        <v>1-1202</v>
      </c>
      <c r="E961" s="138" t="s">
        <v>64</v>
      </c>
      <c r="F961" s="139" t="str">
        <f t="shared" si="21"/>
        <v>Ledger</v>
      </c>
      <c r="G961" s="140"/>
      <c r="H961" s="138">
        <f t="array" ref="H961">IF($A961="","",
  IF(
    OR(
      $A961=23,
      AND($A961&gt;=32,$A961&lt;=50)
    ),
    IFERROR(
      INDEX('Daily Sales'!$C:$AG,
        $A961,
        MATCH(TEXT($B961,"0"),TEXT('Daily Sales'!$C$2:$AG$2,"0"),0)
      ),
    ""),
  "")
)</f>
        <v>1131758</v>
      </c>
      <c r="I961" s="138" t="str">
        <f t="array" ref="I961">IF($A961="","",
  IF(
    OR(
      AND($A961&gt;=4,$A961&lt;=8),
      AND($A961&gt;=12,$A961&lt;=19),
      AND($A961&gt;=28,$A961&lt;=29)
    ),
    IFERROR(
      INDEX('Daily Sales'!$C:$AG,
        $A961,
        MATCH(TEXT($B961,"0"),TEXT('Daily Sales'!$C$2:$AG$2,"0"),0)
      ),
    ""),
  "")
)</f>
        <v/>
      </c>
      <c r="J961" s="79" t="e">
        <f t="shared" si="15"/>
        <v>#VALUE!</v>
      </c>
      <c r="K961" s="141"/>
      <c r="L961" s="141"/>
      <c r="M961" s="141"/>
      <c r="N961" s="133"/>
      <c r="O961" s="4"/>
      <c r="P961" s="4"/>
      <c r="Q961" s="4"/>
      <c r="R961" s="109"/>
      <c r="S961" s="109"/>
      <c r="T961" s="108"/>
      <c r="U961" s="110"/>
      <c r="V961" s="110"/>
      <c r="W961" s="110"/>
      <c r="X961" s="110"/>
    </row>
    <row r="962" spans="1:24" ht="13.5" customHeight="1">
      <c r="A962" s="110">
        <f>IF(E962="","",MATCH(E962,'Daily Sales'!B$4:B$51,0)+3)</f>
        <v>47</v>
      </c>
      <c r="B962" s="135">
        <v>46203</v>
      </c>
      <c r="C962" s="136" t="s">
        <v>120</v>
      </c>
      <c r="D962" s="137" t="str">
        <f t="array" ref="D962">IF($A962="","",INDEX('Daily Sales'!A:A,$A962))</f>
        <v>1-1129</v>
      </c>
      <c r="E962" s="138" t="s">
        <v>66</v>
      </c>
      <c r="F962" s="139" t="str">
        <f t="shared" si="21"/>
        <v>Star Points</v>
      </c>
      <c r="G962" s="140"/>
      <c r="H962" s="138">
        <f t="array" ref="H962">IF($A962="","",
  IF(
    OR(
      $A962=23,
      AND($A962&gt;=32,$A962&lt;=50)
    ),
    IFERROR(
      INDEX('Daily Sales'!$C:$AG,
        $A962,
        MATCH(TEXT($B962,"0"),TEXT('Daily Sales'!$C$2:$AG$2,"0"),0)
      ),
    ""),
  "")
)</f>
        <v>147125</v>
      </c>
      <c r="I962" s="138" t="str">
        <f t="array" ref="I962">IF($A962="","",
  IF(
    OR(
      AND($A962&gt;=4,$A962&lt;=8),
      AND($A962&gt;=12,$A962&lt;=19),
      AND($A962&gt;=28,$A962&lt;=29)
    ),
    IFERROR(
      INDEX('Daily Sales'!$C:$AG,
        $A962,
        MATCH(TEXT($B962,"0"),TEXT('Daily Sales'!$C$2:$AG$2,"0"),0)
      ),
    ""),
  "")
)</f>
        <v/>
      </c>
      <c r="J962" s="79" t="e">
        <f t="shared" si="15"/>
        <v>#VALUE!</v>
      </c>
      <c r="K962" s="141"/>
      <c r="L962" s="141"/>
      <c r="M962" s="141"/>
      <c r="N962" s="133"/>
      <c r="O962" s="4"/>
      <c r="P962" s="4"/>
      <c r="Q962" s="4"/>
      <c r="R962" s="109"/>
      <c r="S962" s="109"/>
      <c r="T962" s="108"/>
      <c r="U962" s="110"/>
      <c r="V962" s="110"/>
      <c r="W962" s="110"/>
      <c r="X962" s="110"/>
    </row>
    <row r="963" spans="1:24" ht="13.5" customHeight="1">
      <c r="A963" s="110">
        <f>IF(E963="","",MATCH(E963,'Daily Sales'!B$4:B$51,0)+3)</f>
        <v>48</v>
      </c>
      <c r="B963" s="135">
        <v>46203</v>
      </c>
      <c r="C963" s="136" t="s">
        <v>120</v>
      </c>
      <c r="D963" s="137" t="str">
        <f t="array" ref="D963">IF($A963="","",INDEX('Daily Sales'!A:A,$A963))</f>
        <v>1-1215</v>
      </c>
      <c r="E963" s="138" t="s">
        <v>68</v>
      </c>
      <c r="F963" s="139" t="str">
        <f t="shared" si="21"/>
        <v>Ovo</v>
      </c>
      <c r="G963" s="140"/>
      <c r="H963" s="138">
        <f t="array" ref="H963">IF($A963="","",
  IF(
    OR(
      $A963=23,
      AND($A963&gt;=32,$A963&lt;=50)
    ),
    IFERROR(
      INDEX('Daily Sales'!$C:$AG,
        $A963,
        MATCH(TEXT($B963,"0"),TEXT('Daily Sales'!$C$2:$AG$2,"0"),0)
      ),
    ""),
  "")
)</f>
        <v>143750</v>
      </c>
      <c r="I963" s="138" t="str">
        <f t="array" ref="I963">IF($A963="","",
  IF(
    OR(
      AND($A963&gt;=4,$A963&lt;=8),
      AND($A963&gt;=12,$A963&lt;=19),
      AND($A963&gt;=28,$A963&lt;=29)
    ),
    IFERROR(
      INDEX('Daily Sales'!$C:$AG,
        $A963,
        MATCH(TEXT($B963,"0"),TEXT('Daily Sales'!$C$2:$AG$2,"0"),0)
      ),
    ""),
  "")
)</f>
        <v/>
      </c>
      <c r="J963" s="79" t="e">
        <f t="shared" si="15"/>
        <v>#VALUE!</v>
      </c>
      <c r="K963" s="141"/>
      <c r="L963" s="141"/>
      <c r="M963" s="141"/>
      <c r="N963" s="133"/>
      <c r="O963" s="4"/>
      <c r="P963" s="4"/>
      <c r="Q963" s="4"/>
      <c r="R963" s="109"/>
      <c r="S963" s="109"/>
      <c r="T963" s="108"/>
      <c r="U963" s="110"/>
      <c r="V963" s="110"/>
      <c r="W963" s="110"/>
      <c r="X963" s="110"/>
    </row>
    <row r="964" spans="1:24" ht="13.5" customHeight="1">
      <c r="A964" s="110">
        <f>IF(E964="","",MATCH(E964,'Daily Sales'!B$4:B$51,0)+3)</f>
        <v>49</v>
      </c>
      <c r="B964" s="135">
        <v>46203</v>
      </c>
      <c r="C964" s="136" t="s">
        <v>120</v>
      </c>
      <c r="D964" s="137" t="str">
        <f t="array" ref="D964">IF($A964="","",INDEX('Daily Sales'!A:A,$A964))</f>
        <v>1-1211</v>
      </c>
      <c r="E964" s="138" t="s">
        <v>70</v>
      </c>
      <c r="F964" s="139" t="str">
        <f t="shared" si="21"/>
        <v>Gopay</v>
      </c>
      <c r="G964" s="140"/>
      <c r="H964" s="138">
        <f t="array" ref="H964">IF($A964="","",
  IF(
    OR(
      $A964=23,
      AND($A964&gt;=32,$A964&lt;=50)
    ),
    IFERROR(
      INDEX('Daily Sales'!$C:$AG,
        $A964,
        MATCH(TEXT($B964,"0"),TEXT('Daily Sales'!$C$2:$AG$2,"0"),0)
      ),
    ""),
  "")
)</f>
        <v>0</v>
      </c>
      <c r="I964" s="138" t="str">
        <f t="array" ref="I964">IF($A964="","",
  IF(
    OR(
      AND($A964&gt;=4,$A964&lt;=8),
      AND($A964&gt;=12,$A964&lt;=19),
      AND($A964&gt;=28,$A964&lt;=29)
    ),
    IFERROR(
      INDEX('Daily Sales'!$C:$AG,
        $A964,
        MATCH(TEXT($B964,"0"),TEXT('Daily Sales'!$C$2:$AG$2,"0"),0)
      ),
    ""),
  "")
)</f>
        <v/>
      </c>
      <c r="J964" s="79" t="e">
        <f t="shared" si="15"/>
        <v>#VALUE!</v>
      </c>
      <c r="K964" s="141"/>
      <c r="L964" s="141"/>
      <c r="M964" s="141"/>
      <c r="N964" s="133"/>
      <c r="O964" s="4"/>
      <c r="P964" s="4"/>
      <c r="Q964" s="4"/>
      <c r="R964" s="109"/>
      <c r="S964" s="109"/>
      <c r="T964" s="108"/>
      <c r="U964" s="110"/>
      <c r="V964" s="110"/>
      <c r="W964" s="110"/>
      <c r="X964" s="110"/>
    </row>
    <row r="965" spans="1:24" ht="13.5" customHeight="1">
      <c r="A965" s="110">
        <f>IF(E965="","",MATCH(E965,'Daily Sales'!B$4:B$51,0)+3)</f>
        <v>50</v>
      </c>
      <c r="B965" s="135">
        <v>46203</v>
      </c>
      <c r="C965" s="136" t="s">
        <v>120</v>
      </c>
      <c r="D965" s="137" t="str">
        <f t="array" ref="D965">IF($A965="","",INDEX('Daily Sales'!A:A,$A965))</f>
        <v>2-2110</v>
      </c>
      <c r="E965" s="138" t="s">
        <v>72</v>
      </c>
      <c r="F965" s="139" t="str">
        <f t="shared" si="21"/>
        <v>Cash Short/Over</v>
      </c>
      <c r="G965" s="140"/>
      <c r="H965" s="138">
        <f t="array" ref="H965">IF($A965="","",
  IF(
    OR(
      $A965=23,
      AND($A965&gt;=32,$A965&lt;=50)
    ),
    IFERROR(
      INDEX('Daily Sales'!$C:$AG,
        $A965,
        MATCH(TEXT($B965,"0"),TEXT('Daily Sales'!$C$2:$AG$2,"0"),0)
      ),
    ""),
  "")
)</f>
        <v>25443.37</v>
      </c>
      <c r="I965" s="138" t="str">
        <f t="array" ref="I965">IF($A965="","",
  IF(
    OR(
      AND($A965&gt;=4,$A965&lt;=8),
      AND($A965&gt;=12,$A965&lt;=19),
      AND($A965&gt;=28,$A965&lt;=29)
    ),
    IFERROR(
      INDEX('Daily Sales'!$C:$AG,
        $A965,
        MATCH(TEXT($B965,"0"),TEXT('Daily Sales'!$C$2:$AG$2,"0"),0)
      ),
    ""),
  "")
)</f>
        <v/>
      </c>
      <c r="J965" s="79" t="e">
        <f t="shared" si="15"/>
        <v>#VALUE!</v>
      </c>
      <c r="K965" s="141"/>
      <c r="L965" s="141"/>
      <c r="M965" s="141"/>
      <c r="N965" s="133"/>
      <c r="O965" s="4"/>
      <c r="P965" s="4"/>
      <c r="Q965" s="4"/>
      <c r="R965" s="109"/>
      <c r="S965" s="109"/>
      <c r="T965" s="108"/>
      <c r="U965" s="110"/>
      <c r="V965" s="110"/>
      <c r="W965" s="110"/>
      <c r="X965" s="110"/>
    </row>
    <row r="966" spans="1:24" ht="14.25" customHeight="1">
      <c r="A966" s="110"/>
      <c r="B966" s="125"/>
      <c r="C966" s="126"/>
      <c r="D966" s="15"/>
      <c r="E966" s="10" t="e">
        <f>TRIM(VLOOKUP(D966,TB!$B$9:$C$1500,2,FALSE))</f>
        <v>#N/A</v>
      </c>
      <c r="F966" s="142"/>
      <c r="G966" s="130"/>
      <c r="H966" s="10"/>
      <c r="I966" s="10"/>
      <c r="J966" s="79" t="e">
        <f t="shared" si="15"/>
        <v>#VALUE!</v>
      </c>
      <c r="K966" s="107"/>
      <c r="L966" s="141"/>
      <c r="M966" s="141"/>
      <c r="N966" s="133"/>
      <c r="O966" s="4"/>
      <c r="P966" s="4"/>
      <c r="Q966" s="4"/>
      <c r="R966" s="134"/>
      <c r="S966" s="109"/>
      <c r="T966" s="108"/>
      <c r="U966" s="110"/>
      <c r="V966" s="110"/>
      <c r="W966" s="110"/>
      <c r="X966" s="110"/>
    </row>
    <row r="967" spans="1:24" ht="13.5" customHeight="1">
      <c r="A967" s="110">
        <f>IF(E967="","",MATCH(E967,'Daily Sales'!B$4:B$51,0)+3)</f>
        <v>4</v>
      </c>
      <c r="B967" s="135"/>
      <c r="C967" s="136"/>
      <c r="D967" s="137" t="str">
        <f t="array" ref="D967">IF($A967="","",INDEX('Daily Sales'!A:A,$A967))</f>
        <v>4-2100</v>
      </c>
      <c r="E967" s="138" t="s">
        <v>5</v>
      </c>
      <c r="F967" s="139" t="str">
        <f t="shared" ref="F967:F997" si="22">E967</f>
        <v>Sales Food TERRACE</v>
      </c>
      <c r="G967" s="140"/>
      <c r="H967" s="138" t="str">
        <f t="array" ref="H967">IF($A967="","",
  IF(
    OR(
      $A967=23,
      AND($A967&gt;=32,$A967&lt;=50)
    ),
    IFERROR(
      INDEX('Daily Sales'!$C:$AG,
        $A967,
        MATCH(TEXT($B967,"0"),TEXT('Daily Sales'!$C$2:$AG$2,"0"),0)
      ),
    ""),
  "")
)</f>
        <v/>
      </c>
      <c r="I967" s="138" t="str">
        <f t="array" ref="I967">IF($A967="","",
  IF(
    OR(
      AND($A967&gt;=4,$A967&lt;=8),
      AND($A967&gt;=12,$A967&lt;=19),
      AND($A967&gt;=28,$A967&lt;=29)
    ),
    IFERROR(
      INDEX('Daily Sales'!$C:$AG,
        $A967,
        MATCH(TEXT($B967,"0"),TEXT('Daily Sales'!$C$2:$AG$2,"0"),0)
      ),
    ""),
  "")
)</f>
        <v/>
      </c>
      <c r="J967" s="79" t="e">
        <f t="shared" si="15"/>
        <v>#VALUE!</v>
      </c>
      <c r="K967" s="141"/>
      <c r="L967" s="141"/>
      <c r="M967" s="141"/>
      <c r="N967" s="133"/>
      <c r="O967" s="4"/>
      <c r="P967" s="4"/>
      <c r="Q967" s="4"/>
      <c r="R967" s="109"/>
      <c r="S967" s="109"/>
      <c r="T967" s="108"/>
      <c r="U967" s="110"/>
      <c r="V967" s="110"/>
      <c r="W967" s="110"/>
      <c r="X967" s="110"/>
    </row>
    <row r="968" spans="1:24" ht="13.5" customHeight="1">
      <c r="A968" s="110">
        <f>IF(E968="","",MATCH(E968,'Daily Sales'!B$4:B$51,0)+3)</f>
        <v>5</v>
      </c>
      <c r="B968" s="135"/>
      <c r="C968" s="136"/>
      <c r="D968" s="137" t="str">
        <f t="array" ref="D968">IF($A968="","",INDEX('Daily Sales'!A:A,$A968))</f>
        <v>4-2200</v>
      </c>
      <c r="E968" s="138" t="s">
        <v>7</v>
      </c>
      <c r="F968" s="139" t="str">
        <f t="shared" si="22"/>
        <v>Sales Beverages TERRACE</v>
      </c>
      <c r="G968" s="140"/>
      <c r="H968" s="138" t="str">
        <f t="array" ref="H968">IF($A968="","",
  IF(
    OR(
      $A968=23,
      AND($A968&gt;=32,$A968&lt;=50)
    ),
    IFERROR(
      INDEX('Daily Sales'!$C:$AG,
        $A968,
        MATCH(TEXT($B968,"0"),TEXT('Daily Sales'!$C$2:$AG$2,"0"),0)
      ),
    ""),
  "")
)</f>
        <v/>
      </c>
      <c r="I968" s="138" t="str">
        <f t="array" ref="I968">IF($A968="","",
  IF(
    OR(
      AND($A968&gt;=4,$A968&lt;=8),
      AND($A968&gt;=12,$A968&lt;=19),
      AND($A968&gt;=28,$A968&lt;=29)
    ),
    IFERROR(
      INDEX('Daily Sales'!$C:$AG,
        $A968,
        MATCH(TEXT($B968,"0"),TEXT('Daily Sales'!$C$2:$AG$2,"0"),0)
      ),
    ""),
  "")
)</f>
        <v/>
      </c>
      <c r="J968" s="79" t="e">
        <f t="shared" si="15"/>
        <v>#VALUE!</v>
      </c>
      <c r="K968" s="141"/>
      <c r="L968" s="141"/>
      <c r="M968" s="141"/>
      <c r="N968" s="133"/>
      <c r="O968" s="4"/>
      <c r="P968" s="4"/>
      <c r="Q968" s="4"/>
      <c r="R968" s="109"/>
      <c r="S968" s="109"/>
      <c r="T968" s="108"/>
      <c r="U968" s="110"/>
      <c r="V968" s="110"/>
      <c r="W968" s="110"/>
      <c r="X968" s="110"/>
    </row>
    <row r="969" spans="1:24" ht="13.5" customHeight="1">
      <c r="A969" s="110">
        <f>IF(E969="","",MATCH(E969,'Daily Sales'!B$4:B$51,0)+3)</f>
        <v>6</v>
      </c>
      <c r="B969" s="135"/>
      <c r="C969" s="136"/>
      <c r="D969" s="137" t="str">
        <f t="array" ref="D969">IF($A969="","",INDEX('Daily Sales'!A:A,$A969))</f>
        <v>4-2400</v>
      </c>
      <c r="E969" s="138" t="s">
        <v>9</v>
      </c>
      <c r="F969" s="139" t="str">
        <f t="shared" si="22"/>
        <v>Sales Cigarette TERRACE</v>
      </c>
      <c r="G969" s="140"/>
      <c r="H969" s="138" t="str">
        <f t="array" ref="H969">IF($A969="","",
  IF(
    OR(
      $A969=23,
      AND($A969&gt;=32,$A969&lt;=50)
    ),
    IFERROR(
      INDEX('Daily Sales'!$C:$AG,
        $A969,
        MATCH(TEXT($B969,"0"),TEXT('Daily Sales'!$C$2:$AG$2,"0"),0)
      ),
    ""),
  "")
)</f>
        <v/>
      </c>
      <c r="I969" s="138" t="str">
        <f t="array" ref="I969">IF($A969="","",
  IF(
    OR(
      AND($A969&gt;=4,$A969&lt;=8),
      AND($A969&gt;=12,$A969&lt;=19),
      AND($A969&gt;=28,$A969&lt;=29)
    ),
    IFERROR(
      INDEX('Daily Sales'!$C:$AG,
        $A969,
        MATCH(TEXT($B969,"0"),TEXT('Daily Sales'!$C$2:$AG$2,"0"),0)
      ),
    ""),
  "")
)</f>
        <v/>
      </c>
      <c r="J969" s="79" t="e">
        <f t="shared" si="15"/>
        <v>#VALUE!</v>
      </c>
      <c r="K969" s="141"/>
      <c r="L969" s="141"/>
      <c r="M969" s="141"/>
      <c r="N969" s="133"/>
      <c r="O969" s="4"/>
      <c r="P969" s="4"/>
      <c r="Q969" s="4"/>
      <c r="R969" s="109"/>
      <c r="S969" s="109"/>
      <c r="T969" s="108"/>
      <c r="U969" s="110"/>
      <c r="V969" s="110"/>
      <c r="W969" s="110"/>
      <c r="X969" s="110"/>
    </row>
    <row r="970" spans="1:24" ht="13.5" customHeight="1">
      <c r="A970" s="110">
        <f>IF(E970="","",MATCH(E970,'Daily Sales'!B$4:B$51,0)+3)</f>
        <v>7</v>
      </c>
      <c r="B970" s="135"/>
      <c r="C970" s="136"/>
      <c r="D970" s="137" t="str">
        <f t="array" ref="D970">IF($A970="","",INDEX('Daily Sales'!A:A,$A970))</f>
        <v>4-2300</v>
      </c>
      <c r="E970" s="138" t="s">
        <v>11</v>
      </c>
      <c r="F970" s="139" t="str">
        <f t="shared" si="22"/>
        <v>Sales Shisa TERRACE</v>
      </c>
      <c r="G970" s="140"/>
      <c r="H970" s="138" t="str">
        <f t="array" ref="H970">IF($A970="","",
  IF(
    OR(
      $A970=23,
      AND($A970&gt;=32,$A970&lt;=50)
    ),
    IFERROR(
      INDEX('Daily Sales'!$C:$AG,
        $A970,
        MATCH(TEXT($B970,"0"),TEXT('Daily Sales'!$C$2:$AG$2,"0"),0)
      ),
    ""),
  "")
)</f>
        <v/>
      </c>
      <c r="I970" s="138" t="str">
        <f t="array" ref="I970">IF($A970="","",
  IF(
    OR(
      AND($A970&gt;=4,$A970&lt;=8),
      AND($A970&gt;=12,$A970&lt;=19),
      AND($A970&gt;=28,$A970&lt;=29)
    ),
    IFERROR(
      INDEX('Daily Sales'!$C:$AG,
        $A970,
        MATCH(TEXT($B970,"0"),TEXT('Daily Sales'!$C$2:$AG$2,"0"),0)
      ),
    ""),
  "")
)</f>
        <v/>
      </c>
      <c r="J970" s="79" t="e">
        <f t="shared" si="15"/>
        <v>#VALUE!</v>
      </c>
      <c r="K970" s="141"/>
      <c r="L970" s="141"/>
      <c r="M970" s="141"/>
      <c r="N970" s="133"/>
      <c r="O970" s="4"/>
      <c r="P970" s="4"/>
      <c r="Q970" s="4"/>
      <c r="R970" s="109"/>
      <c r="S970" s="109"/>
      <c r="T970" s="108"/>
      <c r="U970" s="110"/>
      <c r="V970" s="110"/>
      <c r="W970" s="110"/>
      <c r="X970" s="110"/>
    </row>
    <row r="971" spans="1:24" ht="13.5" customHeight="1">
      <c r="A971" s="110">
        <f>IF(E971="","",MATCH(E971,'Daily Sales'!B$4:B$51,0)+3)</f>
        <v>12</v>
      </c>
      <c r="B971" s="135"/>
      <c r="C971" s="136"/>
      <c r="D971" s="137" t="str">
        <f t="array" ref="D971">IF($A971="","",INDEX('Daily Sales'!A:A,$A971))</f>
        <v>4-2200</v>
      </c>
      <c r="E971" s="138" t="s">
        <v>17</v>
      </c>
      <c r="F971" s="139" t="str">
        <f t="shared" si="22"/>
        <v>Sales Beverages CLUB</v>
      </c>
      <c r="G971" s="140"/>
      <c r="H971" s="138" t="str">
        <f t="array" ref="H971">IF($A971="","",
  IF(
    OR(
      $A971=23,
      AND($A971&gt;=32,$A971&lt;=50)
    ),
    IFERROR(
      INDEX('Daily Sales'!$C:$AG,
        $A971,
        MATCH(TEXT($B971,"0"),TEXT('Daily Sales'!$C$2:$AG$2,"0"),0)
      ),
    ""),
  "")
)</f>
        <v/>
      </c>
      <c r="I971" s="138" t="str">
        <f t="array" ref="I971">IF($A971="","",
  IF(
    OR(
      AND($A971&gt;=4,$A971&lt;=8),
      AND($A971&gt;=12,$A971&lt;=19),
      AND($A971&gt;=28,$A971&lt;=29)
    ),
    IFERROR(
      INDEX('Daily Sales'!$C:$AG,
        $A971,
        MATCH(TEXT($B971,"0"),TEXT('Daily Sales'!$C$2:$AG$2,"0"),0)
      ),
    ""),
  "")
)</f>
        <v/>
      </c>
      <c r="J971" s="79" t="e">
        <f t="shared" si="15"/>
        <v>#VALUE!</v>
      </c>
      <c r="K971" s="141"/>
      <c r="L971" s="141"/>
      <c r="M971" s="141"/>
      <c r="N971" s="133"/>
      <c r="O971" s="4"/>
      <c r="P971" s="4"/>
      <c r="Q971" s="4"/>
      <c r="R971" s="109"/>
      <c r="S971" s="109"/>
      <c r="T971" s="108"/>
      <c r="U971" s="110"/>
      <c r="V971" s="110"/>
      <c r="W971" s="110"/>
      <c r="X971" s="110"/>
    </row>
    <row r="972" spans="1:24" ht="13.5" customHeight="1">
      <c r="A972" s="110">
        <f>IF(E972="","",MATCH(E972,'Daily Sales'!B$4:B$51,0)+3)</f>
        <v>13</v>
      </c>
      <c r="B972" s="135"/>
      <c r="C972" s="136"/>
      <c r="D972" s="137" t="str">
        <f t="array" ref="D972">IF($A972="","",INDEX('Daily Sales'!A:A,$A972))</f>
        <v>4-2400</v>
      </c>
      <c r="E972" s="138" t="s">
        <v>18</v>
      </c>
      <c r="F972" s="139" t="str">
        <f t="shared" si="22"/>
        <v>Sales Cigarette CLUB</v>
      </c>
      <c r="G972" s="140"/>
      <c r="H972" s="138" t="str">
        <f t="array" ref="H972">IF($A972="","",
  IF(
    OR(
      $A972=23,
      AND($A972&gt;=32,$A972&lt;=50)
    ),
    IFERROR(
      INDEX('Daily Sales'!$C:$AG,
        $A972,
        MATCH(TEXT($B972,"0"),TEXT('Daily Sales'!$C$2:$AG$2,"0"),0)
      ),
    ""),
  "")
)</f>
        <v/>
      </c>
      <c r="I972" s="138" t="str">
        <f t="array" ref="I972">IF($A972="","",
  IF(
    OR(
      AND($A972&gt;=4,$A972&lt;=8),
      AND($A972&gt;=12,$A972&lt;=19),
      AND($A972&gt;=28,$A972&lt;=29)
    ),
    IFERROR(
      INDEX('Daily Sales'!$C:$AG,
        $A972,
        MATCH(TEXT($B972,"0"),TEXT('Daily Sales'!$C$2:$AG$2,"0"),0)
      ),
    ""),
  "")
)</f>
        <v/>
      </c>
      <c r="J972" s="79" t="e">
        <f t="shared" si="15"/>
        <v>#VALUE!</v>
      </c>
      <c r="K972" s="141"/>
      <c r="L972" s="141"/>
      <c r="M972" s="141"/>
      <c r="N972" s="133"/>
      <c r="O972" s="4"/>
      <c r="P972" s="4"/>
      <c r="Q972" s="4"/>
      <c r="R972" s="109"/>
      <c r="S972" s="109"/>
      <c r="T972" s="108"/>
      <c r="U972" s="110"/>
      <c r="V972" s="110"/>
      <c r="W972" s="110"/>
      <c r="X972" s="110"/>
    </row>
    <row r="973" spans="1:24" ht="13.5" customHeight="1">
      <c r="A973" s="110">
        <f>IF(E973="","",MATCH(E973,'Daily Sales'!B$4:B$51,0)+3)</f>
        <v>14</v>
      </c>
      <c r="B973" s="135"/>
      <c r="C973" s="136"/>
      <c r="D973" s="137" t="str">
        <f t="array" ref="D973">IF($A973="","",INDEX('Daily Sales'!A:A,$A973))</f>
        <v>4-2100</v>
      </c>
      <c r="E973" s="138" t="s">
        <v>19</v>
      </c>
      <c r="F973" s="139" t="str">
        <f t="shared" si="22"/>
        <v>Sales Food CLUB</v>
      </c>
      <c r="G973" s="140"/>
      <c r="H973" s="138" t="str">
        <f t="array" ref="H973">IF($A973="","",
  IF(
    OR(
      $A973=23,
      AND($A973&gt;=32,$A973&lt;=50)
    ),
    IFERROR(
      INDEX('Daily Sales'!$C:$AG,
        $A973,
        MATCH(TEXT($B973,"0"),TEXT('Daily Sales'!$C$2:$AG$2,"0"),0)
      ),
    ""),
  "")
)</f>
        <v/>
      </c>
      <c r="I973" s="138" t="str">
        <f t="array" ref="I973">IF($A973="","",
  IF(
    OR(
      AND($A973&gt;=4,$A973&lt;=8),
      AND($A973&gt;=12,$A973&lt;=19),
      AND($A973&gt;=28,$A973&lt;=29)
    ),
    IFERROR(
      INDEX('Daily Sales'!$C:$AG,
        $A973,
        MATCH(TEXT($B973,"0"),TEXT('Daily Sales'!$C$2:$AG$2,"0"),0)
      ),
    ""),
  "")
)</f>
        <v/>
      </c>
      <c r="J973" s="79" t="e">
        <f t="shared" si="15"/>
        <v>#VALUE!</v>
      </c>
      <c r="K973" s="141"/>
      <c r="L973" s="141"/>
      <c r="M973" s="141"/>
      <c r="N973" s="133"/>
      <c r="O973" s="4"/>
      <c r="P973" s="4"/>
      <c r="Q973" s="4"/>
      <c r="R973" s="109"/>
      <c r="S973" s="109"/>
      <c r="T973" s="108"/>
      <c r="U973" s="110"/>
      <c r="V973" s="110"/>
      <c r="W973" s="110"/>
      <c r="X973" s="110"/>
    </row>
    <row r="974" spans="1:24" ht="13.5" customHeight="1">
      <c r="A974" s="110">
        <f>IF(E974="","",MATCH(E974,'Daily Sales'!B$4:B$51,0)+3)</f>
        <v>15</v>
      </c>
      <c r="B974" s="135"/>
      <c r="C974" s="136"/>
      <c r="D974" s="137" t="str">
        <f t="array" ref="D974">IF($A974="","",INDEX('Daily Sales'!A:A,$A974))</f>
        <v>4-2300</v>
      </c>
      <c r="E974" s="138" t="s">
        <v>20</v>
      </c>
      <c r="F974" s="139" t="str">
        <f t="shared" si="22"/>
        <v>Sales Shisa CLUB</v>
      </c>
      <c r="G974" s="140"/>
      <c r="H974" s="138" t="str">
        <f t="array" ref="H974">IF($A974="","",
  IF(
    OR(
      $A974=23,
      AND($A974&gt;=32,$A974&lt;=50)
    ),
    IFERROR(
      INDEX('Daily Sales'!$C:$AG,
        $A974,
        MATCH(TEXT($B974,"0"),TEXT('Daily Sales'!$C$2:$AG$2,"0"),0)
      ),
    ""),
  "")
)</f>
        <v/>
      </c>
      <c r="I974" s="138" t="str">
        <f t="array" ref="I974">IF($A974="","",
  IF(
    OR(
      AND($A974&gt;=4,$A974&lt;=8),
      AND($A974&gt;=12,$A974&lt;=19),
      AND($A974&gt;=28,$A974&lt;=29)
    ),
    IFERROR(
      INDEX('Daily Sales'!$C:$AG,
        $A974,
        MATCH(TEXT($B974,"0"),TEXT('Daily Sales'!$C$2:$AG$2,"0"),0)
      ),
    ""),
  "")
)</f>
        <v/>
      </c>
      <c r="J974" s="79" t="e">
        <f t="shared" si="15"/>
        <v>#VALUE!</v>
      </c>
      <c r="K974" s="141"/>
      <c r="L974" s="141"/>
      <c r="M974" s="141"/>
      <c r="N974" s="133"/>
      <c r="O974" s="4"/>
      <c r="P974" s="4"/>
      <c r="Q974" s="4"/>
      <c r="R974" s="109"/>
      <c r="S974" s="109"/>
      <c r="T974" s="108"/>
      <c r="U974" s="110"/>
      <c r="V974" s="110"/>
      <c r="W974" s="110"/>
      <c r="X974" s="110"/>
    </row>
    <row r="975" spans="1:24" ht="13.5" customHeight="1">
      <c r="A975" s="110">
        <f>IF(E975="","",MATCH(E975,'Daily Sales'!B$4:B$51,0)+3)</f>
        <v>17</v>
      </c>
      <c r="B975" s="135"/>
      <c r="C975" s="136"/>
      <c r="D975" s="137" t="str">
        <f t="array" ref="D975">IF($A975="","",INDEX('Daily Sales'!A:A,$A975))</f>
        <v>4-2601</v>
      </c>
      <c r="E975" s="138" t="s">
        <v>23</v>
      </c>
      <c r="F975" s="139" t="str">
        <f t="shared" si="22"/>
        <v xml:space="preserve">Misc </v>
      </c>
      <c r="G975" s="140"/>
      <c r="H975" s="138" t="str">
        <f t="array" ref="H975">IF($A975="","",
  IF(
    OR(
      $A975=23,
      AND($A975&gt;=32,$A975&lt;=50)
    ),
    IFERROR(
      INDEX('Daily Sales'!$C:$AG,
        $A975,
        MATCH(TEXT($B975,"0"),TEXT('Daily Sales'!$C$2:$AG$2,"0"),0)
      ),
    ""),
  "")
)</f>
        <v/>
      </c>
      <c r="I975" s="138" t="str">
        <f t="array" ref="I975">IF($A975="","",
  IF(
    OR(
      AND($A975&gt;=4,$A975&lt;=8),
      AND($A975&gt;=12,$A975&lt;=19),
      AND($A975&gt;=28,$A975&lt;=29)
    ),
    IFERROR(
      INDEX('Daily Sales'!$C:$AG,
        $A975,
        MATCH(TEXT($B975,"0"),TEXT('Daily Sales'!$C$2:$AG$2,"0"),0)
      ),
    ""),
  "")
)</f>
        <v/>
      </c>
      <c r="J975" s="79" t="e">
        <f t="shared" si="15"/>
        <v>#VALUE!</v>
      </c>
      <c r="K975" s="141"/>
      <c r="L975" s="141"/>
      <c r="M975" s="141"/>
      <c r="N975" s="133"/>
      <c r="O975" s="4"/>
      <c r="P975" s="4"/>
      <c r="Q975" s="4"/>
      <c r="R975" s="109"/>
      <c r="S975" s="109"/>
      <c r="T975" s="108"/>
      <c r="U975" s="110"/>
      <c r="V975" s="110"/>
      <c r="W975" s="110"/>
      <c r="X975" s="110"/>
    </row>
    <row r="976" spans="1:24" ht="13.5" customHeight="1">
      <c r="A976" s="110">
        <f>IF(E976="","",MATCH(E976,'Daily Sales'!B$4:B$51,0)+3)</f>
        <v>19</v>
      </c>
      <c r="B976" s="135"/>
      <c r="C976" s="136"/>
      <c r="D976" s="137" t="str">
        <f t="array" ref="D976">IF($A976="","",INDEX('Daily Sales'!A:A,$A976))</f>
        <v>4-2500</v>
      </c>
      <c r="E976" s="138" t="s">
        <v>26</v>
      </c>
      <c r="F976" s="139" t="str">
        <f t="shared" si="22"/>
        <v>Sales Ticket</v>
      </c>
      <c r="G976" s="140"/>
      <c r="H976" s="138" t="str">
        <f t="array" ref="H976">IF($A976="","",
  IF(
    OR(
      $A976=23,
      AND($A976&gt;=32,$A976&lt;=50)
    ),
    IFERROR(
      INDEX('Daily Sales'!$C:$AG,
        $A976,
        MATCH(TEXT($B976,"0"),TEXT('Daily Sales'!$C$2:$AG$2,"0"),0)
      ),
    ""),
  "")
)</f>
        <v/>
      </c>
      <c r="I976" s="138" t="str">
        <f t="array" ref="I976">IF($A976="","",
  IF(
    OR(
      AND($A976&gt;=4,$A976&lt;=8),
      AND($A976&gt;=12,$A976&lt;=19),
      AND($A976&gt;=28,$A976&lt;=29)
    ),
    IFERROR(
      INDEX('Daily Sales'!$C:$AG,
        $A976,
        MATCH(TEXT($B976,"0"),TEXT('Daily Sales'!$C$2:$AG$2,"0"),0)
      ),
    ""),
  "")
)</f>
        <v/>
      </c>
      <c r="J976" s="79" t="e">
        <f t="shared" si="15"/>
        <v>#VALUE!</v>
      </c>
      <c r="K976" s="141"/>
      <c r="L976" s="141"/>
      <c r="M976" s="141"/>
      <c r="N976" s="133"/>
      <c r="O976" s="4"/>
      <c r="P976" s="4"/>
      <c r="Q976" s="4"/>
      <c r="R976" s="109"/>
      <c r="S976" s="109"/>
      <c r="T976" s="108"/>
      <c r="U976" s="110"/>
      <c r="V976" s="110"/>
      <c r="W976" s="110"/>
      <c r="X976" s="110"/>
    </row>
    <row r="977" spans="1:24" ht="13.5" customHeight="1">
      <c r="A977" s="110">
        <f>IF(E977="","",MATCH(E977,'Daily Sales'!B$4:B$51,0)+3)</f>
        <v>28</v>
      </c>
      <c r="B977" s="135"/>
      <c r="C977" s="136"/>
      <c r="D977" s="137" t="str">
        <f t="array" ref="D977">IF($A977="","",INDEX('Daily Sales'!A:A,$A977))</f>
        <v>2-2106</v>
      </c>
      <c r="E977" s="138" t="s">
        <v>35</v>
      </c>
      <c r="F977" s="139" t="str">
        <f t="shared" si="22"/>
        <v>Service Charges 7%</v>
      </c>
      <c r="G977" s="140"/>
      <c r="H977" s="138" t="str">
        <f t="array" ref="H977">IF($A977="","",
  IF(
    OR(
      $A977=23,
      AND($A977&gt;=32,$A977&lt;=50)
    ),
    IFERROR(
      INDEX('Daily Sales'!$C:$AG,
        $A977,
        MATCH(TEXT($B977,"0"),TEXT('Daily Sales'!$C$2:$AG$2,"0"),0)
      ),
    ""),
  "")
)</f>
        <v/>
      </c>
      <c r="I977" s="138" t="str">
        <f t="array" ref="I977">IF($A977="","",
  IF(
    OR(
      AND($A977&gt;=4,$A977&lt;=8),
      AND($A977&gt;=12,$A977&lt;=19),
      AND($A977&gt;=28,$A977&lt;=29)
    ),
    IFERROR(
      INDEX('Daily Sales'!$C:$AG,
        $A977,
        MATCH(TEXT($B977,"0"),TEXT('Daily Sales'!$C$2:$AG$2,"0"),0)
      ),
    ""),
  "")
)</f>
        <v/>
      </c>
      <c r="J977" s="79" t="e">
        <f t="shared" si="15"/>
        <v>#VALUE!</v>
      </c>
      <c r="K977" s="141"/>
      <c r="L977" s="141"/>
      <c r="M977" s="141"/>
      <c r="N977" s="133"/>
      <c r="O977" s="4"/>
      <c r="P977" s="4"/>
      <c r="Q977" s="4"/>
      <c r="R977" s="109"/>
      <c r="S977" s="109"/>
      <c r="T977" s="108"/>
      <c r="U977" s="110"/>
      <c r="V977" s="110"/>
      <c r="W977" s="110"/>
      <c r="X977" s="110"/>
    </row>
    <row r="978" spans="1:24" ht="13.5" customHeight="1">
      <c r="A978" s="110">
        <f>IF(E978="","",MATCH(E978,'Daily Sales'!B$4:B$51,0)+3)</f>
        <v>29</v>
      </c>
      <c r="B978" s="135"/>
      <c r="C978" s="136"/>
      <c r="D978" s="137" t="str">
        <f t="array" ref="D978">IF($A978="","",INDEX('Daily Sales'!A:A,$A978))</f>
        <v>2-3101</v>
      </c>
      <c r="E978" s="138" t="s">
        <v>37</v>
      </c>
      <c r="F978" s="139" t="str">
        <f t="shared" si="22"/>
        <v>Tax PB1 10%</v>
      </c>
      <c r="G978" s="140"/>
      <c r="H978" s="138" t="str">
        <f t="array" ref="H978">IF($A978="","",
  IF(
    OR(
      $A978=23,
      AND($A978&gt;=32,$A978&lt;=50)
    ),
    IFERROR(
      INDEX('Daily Sales'!$C:$AG,
        $A978,
        MATCH(TEXT($B978,"0"),TEXT('Daily Sales'!$C$2:$AG$2,"0"),0)
      ),
    ""),
  "")
)</f>
        <v/>
      </c>
      <c r="I978" s="138" t="str">
        <f t="array" ref="I978">IF($A978="","",
  IF(
    OR(
      AND($A978&gt;=4,$A978&lt;=8),
      AND($A978&gt;=12,$A978&lt;=19),
      AND($A978&gt;=28,$A978&lt;=29)
    ),
    IFERROR(
      INDEX('Daily Sales'!$C:$AG,
        $A978,
        MATCH(TEXT($B978,"0"),TEXT('Daily Sales'!$C$2:$AG$2,"0"),0)
      ),
    ""),
  "")
)</f>
        <v/>
      </c>
      <c r="J978" s="79" t="e">
        <f t="shared" si="15"/>
        <v>#VALUE!</v>
      </c>
      <c r="K978" s="141"/>
      <c r="L978" s="141"/>
      <c r="M978" s="141"/>
      <c r="N978" s="133"/>
      <c r="O978" s="4"/>
      <c r="P978" s="4"/>
      <c r="Q978" s="4"/>
      <c r="R978" s="109"/>
      <c r="S978" s="109"/>
      <c r="T978" s="108"/>
      <c r="U978" s="110"/>
      <c r="V978" s="110"/>
      <c r="W978" s="110"/>
      <c r="X978" s="110"/>
    </row>
    <row r="979" spans="1:24" ht="13.5" customHeight="1">
      <c r="A979" s="110">
        <f>IF(E979="","",MATCH(E979,'Daily Sales'!B$4:B$51,0)+3)</f>
        <v>23</v>
      </c>
      <c r="B979" s="135"/>
      <c r="C979" s="136"/>
      <c r="D979" s="137" t="str">
        <f t="array" ref="D979">IF($A979="","",INDEX('Daily Sales'!A:A,$A979))</f>
        <v>4-5110</v>
      </c>
      <c r="E979" s="138" t="s">
        <v>30</v>
      </c>
      <c r="F979" s="139" t="str">
        <f t="shared" si="22"/>
        <v>Discount</v>
      </c>
      <c r="G979" s="140"/>
      <c r="H979" s="138" t="str">
        <f t="array" ref="H979">IF($A979="","",
  IF(
    OR(
      $A979=23,
      AND($A979&gt;=32,$A979&lt;=50)
    ),
    IFERROR(
      INDEX('Daily Sales'!$C:$AG,
        $A979,
        MATCH(TEXT($B979,"0"),TEXT('Daily Sales'!$C$2:$AG$2,"0"),0)
      ),
    ""),
  "")
)</f>
        <v/>
      </c>
      <c r="I979" s="138" t="str">
        <f t="array" ref="I979">IF($A979="","",
  IF(
    OR(
      AND($A979&gt;=4,$A979&lt;=8),
      AND($A979&gt;=12,$A979&lt;=19),
      AND($A979&gt;=28,$A979&lt;=29)
    ),
    IFERROR(
      INDEX('Daily Sales'!$C:$AG,
        $A979,
        MATCH(TEXT($B979,"0"),TEXT('Daily Sales'!$C$2:$AG$2,"0"),0)
      ),
    ""),
  "")
)</f>
        <v/>
      </c>
      <c r="J979" s="79" t="e">
        <f t="shared" si="15"/>
        <v>#VALUE!</v>
      </c>
      <c r="K979" s="141"/>
      <c r="L979" s="141"/>
      <c r="M979" s="141"/>
      <c r="N979" s="133"/>
      <c r="O979" s="4"/>
      <c r="P979" s="4"/>
      <c r="Q979" s="4"/>
      <c r="R979" s="109"/>
      <c r="S979" s="109"/>
      <c r="T979" s="108"/>
      <c r="U979" s="110"/>
      <c r="V979" s="110"/>
      <c r="W979" s="110"/>
      <c r="X979" s="110"/>
    </row>
    <row r="980" spans="1:24" ht="13.5" customHeight="1">
      <c r="A980" s="110">
        <f>IF(E980="","",MATCH(E980,'Daily Sales'!B$4:B$51,0)+3)</f>
        <v>32</v>
      </c>
      <c r="B980" s="135"/>
      <c r="C980" s="136"/>
      <c r="D980" s="137" t="str">
        <f t="array" ref="D980">IF($A980="","",INDEX('Daily Sales'!A:A,$A980))</f>
        <v>1-1119</v>
      </c>
      <c r="E980" s="138" t="s">
        <v>40</v>
      </c>
      <c r="F980" s="139" t="str">
        <f t="shared" si="22"/>
        <v>Cash IDR</v>
      </c>
      <c r="G980" s="140"/>
      <c r="H980" s="138" t="str">
        <f t="array" ref="H980">IF($A980="","",
  IF(
    OR(
      $A980=23,
      AND($A980&gt;=32,$A980&lt;=50)
    ),
    IFERROR(
      INDEX('Daily Sales'!$C:$AG,
        $A980,
        MATCH(TEXT($B980,"0"),TEXT('Daily Sales'!$C$2:$AG$2,"0"),0)
      ),
    ""),
  "")
)</f>
        <v/>
      </c>
      <c r="I980" s="138" t="str">
        <f t="array" ref="I980">IF($A980="","",
  IF(
    OR(
      AND($A980&gt;=4,$A980&lt;=8),
      AND($A980&gt;=12,$A980&lt;=19),
      AND($A980&gt;=28,$A980&lt;=29)
    ),
    IFERROR(
      INDEX('Daily Sales'!$C:$AG,
        $A980,
        MATCH(TEXT($B980,"0"),TEXT('Daily Sales'!$C$2:$AG$2,"0"),0)
      ),
    ""),
  "")
)</f>
        <v/>
      </c>
      <c r="J980" s="79" t="e">
        <f t="shared" si="15"/>
        <v>#VALUE!</v>
      </c>
      <c r="K980" s="141"/>
      <c r="L980" s="141"/>
      <c r="M980" s="141"/>
      <c r="N980" s="133"/>
      <c r="O980" s="4"/>
      <c r="P980" s="4"/>
      <c r="Q980" s="4"/>
      <c r="R980" s="109"/>
      <c r="S980" s="109"/>
      <c r="T980" s="108"/>
      <c r="U980" s="110"/>
      <c r="V980" s="110"/>
      <c r="W980" s="110"/>
      <c r="X980" s="110"/>
    </row>
    <row r="981" spans="1:24" ht="13.5" customHeight="1">
      <c r="A981" s="110">
        <f>IF(E981="","",MATCH(E981,'Daily Sales'!B$4:B$51,0)+3)</f>
        <v>33</v>
      </c>
      <c r="B981" s="135"/>
      <c r="C981" s="136"/>
      <c r="D981" s="137" t="str">
        <f t="array" ref="D981">IF($A981="","",INDEX('Daily Sales'!A:A,$A981))</f>
        <v>1-1217</v>
      </c>
      <c r="E981" s="138" t="s">
        <v>43</v>
      </c>
      <c r="F981" s="139" t="str">
        <f t="shared" si="22"/>
        <v>Bank transfer</v>
      </c>
      <c r="G981" s="140"/>
      <c r="H981" s="138" t="str">
        <f t="array" ref="H981">IF($A981="","",
  IF(
    OR(
      $A981=23,
      AND($A981&gt;=32,$A981&lt;=50)
    ),
    IFERROR(
      INDEX('Daily Sales'!$C:$AG,
        $A981,
        MATCH(TEXT($B981,"0"),TEXT('Daily Sales'!$C$2:$AG$2,"0"),0)
      ),
    ""),
  "")
)</f>
        <v/>
      </c>
      <c r="I981" s="138" t="str">
        <f t="array" ref="I981">IF($A981="","",
  IF(
    OR(
      AND($A981&gt;=4,$A981&lt;=8),
      AND($A981&gt;=12,$A981&lt;=19),
      AND($A981&gt;=28,$A981&lt;=29)
    ),
    IFERROR(
      INDEX('Daily Sales'!$C:$AG,
        $A981,
        MATCH(TEXT($B981,"0"),TEXT('Daily Sales'!$C$2:$AG$2,"0"),0)
      ),
    ""),
  "")
)</f>
        <v/>
      </c>
      <c r="J981" s="79" t="e">
        <f t="shared" si="15"/>
        <v>#VALUE!</v>
      </c>
      <c r="K981" s="141"/>
      <c r="L981" s="141"/>
      <c r="M981" s="141"/>
      <c r="N981" s="133"/>
      <c r="O981" s="4"/>
      <c r="P981" s="4"/>
      <c r="Q981" s="4"/>
      <c r="R981" s="109"/>
      <c r="S981" s="109"/>
      <c r="T981" s="108"/>
      <c r="U981" s="110"/>
      <c r="V981" s="110"/>
      <c r="W981" s="110"/>
      <c r="X981" s="110"/>
    </row>
    <row r="982" spans="1:24" ht="13.5" customHeight="1">
      <c r="A982" s="110">
        <f>IF(E982="","",MATCH(E982,'Daily Sales'!B$4:B$51,0)+3)</f>
        <v>35</v>
      </c>
      <c r="B982" s="135"/>
      <c r="C982" s="136"/>
      <c r="D982" s="137" t="str">
        <f t="array" ref="D982">IF($A982="","",INDEX('Daily Sales'!A:A,$A982))</f>
        <v>1-1216</v>
      </c>
      <c r="E982" s="138" t="s">
        <v>46</v>
      </c>
      <c r="F982" s="139" t="str">
        <f t="shared" si="22"/>
        <v>Cim Niaga TBB</v>
      </c>
      <c r="G982" s="140"/>
      <c r="H982" s="138" t="str">
        <f t="array" ref="H982">IF($A982="","",
  IF(
    OR(
      $A982=23,
      AND($A982&gt;=32,$A982&lt;=50)
    ),
    IFERROR(
      INDEX('Daily Sales'!$C:$AG,
        $A982,
        MATCH(TEXT($B982,"0"),TEXT('Daily Sales'!$C$2:$AG$2,"0"),0)
      ),
    ""),
  "")
)</f>
        <v/>
      </c>
      <c r="I982" s="138" t="str">
        <f t="array" ref="I982">IF($A982="","",
  IF(
    OR(
      AND($A982&gt;=4,$A982&lt;=8),
      AND($A982&gt;=12,$A982&lt;=19),
      AND($A982&gt;=28,$A982&lt;=29)
    ),
    IFERROR(
      INDEX('Daily Sales'!$C:$AG,
        $A982,
        MATCH(TEXT($B982,"0"),TEXT('Daily Sales'!$C$2:$AG$2,"0"),0)
      ),
    ""),
  "")
)</f>
        <v/>
      </c>
      <c r="J982" s="79" t="e">
        <f t="shared" si="15"/>
        <v>#VALUE!</v>
      </c>
      <c r="K982" s="141"/>
      <c r="L982" s="141"/>
      <c r="M982" s="141"/>
      <c r="N982" s="133"/>
      <c r="O982" s="4"/>
      <c r="P982" s="4"/>
      <c r="Q982" s="4"/>
      <c r="R982" s="109"/>
      <c r="S982" s="109"/>
      <c r="T982" s="108"/>
      <c r="U982" s="110"/>
      <c r="V982" s="110"/>
      <c r="W982" s="110"/>
      <c r="X982" s="110"/>
    </row>
    <row r="983" spans="1:24" ht="13.5" customHeight="1">
      <c r="A983" s="110">
        <f>IF(E983="","",MATCH(E983,'Daily Sales'!B$4:B$51,0)+3)</f>
        <v>36</v>
      </c>
      <c r="B983" s="135"/>
      <c r="C983" s="136"/>
      <c r="D983" s="137" t="str">
        <f t="array" ref="D983">IF($A983="","",INDEX('Daily Sales'!A:A,$A983))</f>
        <v>1-1213</v>
      </c>
      <c r="E983" s="138" t="s">
        <v>49</v>
      </c>
      <c r="F983" s="139" t="str">
        <f t="shared" si="22"/>
        <v>Mandiri Debet</v>
      </c>
      <c r="G983" s="140"/>
      <c r="H983" s="138" t="str">
        <f t="array" ref="H983">IF($A983="","",
  IF(
    OR(
      $A983=23,
      AND($A983&gt;=32,$A983&lt;=50)
    ),
    IFERROR(
      INDEX('Daily Sales'!$C:$AG,
        $A983,
        MATCH(TEXT($B983,"0"),TEXT('Daily Sales'!$C$2:$AG$2,"0"),0)
      ),
    ""),
  "")
)</f>
        <v/>
      </c>
      <c r="I983" s="138" t="str">
        <f t="array" ref="I983">IF($A983="","",
  IF(
    OR(
      AND($A983&gt;=4,$A983&lt;=8),
      AND($A983&gt;=12,$A983&lt;=19),
      AND($A983&gt;=28,$A983&lt;=29)
    ),
    IFERROR(
      INDEX('Daily Sales'!$C:$AG,
        $A983,
        MATCH(TEXT($B983,"0"),TEXT('Daily Sales'!$C$2:$AG$2,"0"),0)
      ),
    ""),
  "")
)</f>
        <v/>
      </c>
      <c r="J983" s="79" t="e">
        <f t="shared" si="15"/>
        <v>#VALUE!</v>
      </c>
      <c r="K983" s="141"/>
      <c r="L983" s="141"/>
      <c r="M983" s="141"/>
      <c r="N983" s="133"/>
      <c r="O983" s="4"/>
      <c r="P983" s="4"/>
      <c r="Q983" s="4"/>
      <c r="R983" s="109"/>
      <c r="S983" s="109"/>
      <c r="T983" s="108"/>
      <c r="U983" s="110"/>
      <c r="V983" s="110"/>
      <c r="W983" s="110"/>
      <c r="X983" s="110"/>
    </row>
    <row r="984" spans="1:24" ht="13.5" customHeight="1">
      <c r="A984" s="110">
        <f>IF(E984="","",MATCH(E984,'Daily Sales'!B$4:B$51,0)+3)</f>
        <v>37</v>
      </c>
      <c r="B984" s="135"/>
      <c r="C984" s="136"/>
      <c r="D984" s="137" t="str">
        <f t="array" ref="D984">IF($A984="","",INDEX('Daily Sales'!A:A,$A984))</f>
        <v>1-1213</v>
      </c>
      <c r="E984" s="138" t="s">
        <v>50</v>
      </c>
      <c r="F984" s="139" t="str">
        <f t="shared" si="22"/>
        <v>Mandiri CC</v>
      </c>
      <c r="G984" s="140"/>
      <c r="H984" s="138" t="str">
        <f t="array" ref="H984">IF($A984="","",
  IF(
    OR(
      $A984=23,
      AND($A984&gt;=32,$A984&lt;=50)
    ),
    IFERROR(
      INDEX('Daily Sales'!$C:$AG,
        $A984,
        MATCH(TEXT($B984,"0"),TEXT('Daily Sales'!$C$2:$AG$2,"0"),0)
      ),
    ""),
  "")
)</f>
        <v/>
      </c>
      <c r="I984" s="138" t="str">
        <f t="array" ref="I984">IF($A984="","",
  IF(
    OR(
      AND($A984&gt;=4,$A984&lt;=8),
      AND($A984&gt;=12,$A984&lt;=19),
      AND($A984&gt;=28,$A984&lt;=29)
    ),
    IFERROR(
      INDEX('Daily Sales'!$C:$AG,
        $A984,
        MATCH(TEXT($B984,"0"),TEXT('Daily Sales'!$C$2:$AG$2,"0"),0)
      ),
    ""),
  "")
)</f>
        <v/>
      </c>
      <c r="J984" s="79" t="e">
        <f t="shared" si="15"/>
        <v>#VALUE!</v>
      </c>
      <c r="K984" s="141"/>
      <c r="L984" s="141"/>
      <c r="M984" s="141"/>
      <c r="N984" s="133"/>
      <c r="O984" s="4"/>
      <c r="P984" s="4"/>
      <c r="Q984" s="4"/>
      <c r="R984" s="109"/>
      <c r="S984" s="109"/>
      <c r="T984" s="108"/>
      <c r="U984" s="110"/>
      <c r="V984" s="110"/>
      <c r="W984" s="110"/>
      <c r="X984" s="110"/>
    </row>
    <row r="985" spans="1:24" ht="13.5" customHeight="1">
      <c r="A985" s="110">
        <f>IF(E985="","",MATCH(E985,'Daily Sales'!B$4:B$51,0)+3)</f>
        <v>38</v>
      </c>
      <c r="B985" s="135"/>
      <c r="C985" s="136"/>
      <c r="D985" s="137" t="str">
        <f t="array" ref="D985">IF($A985="","",INDEX('Daily Sales'!A:A,$A985))</f>
        <v>1-1213</v>
      </c>
      <c r="E985" s="138" t="s">
        <v>51</v>
      </c>
      <c r="F985" s="139" t="str">
        <f t="shared" si="22"/>
        <v>Mandiri NPG</v>
      </c>
      <c r="G985" s="140"/>
      <c r="H985" s="138" t="str">
        <f t="array" ref="H985">IF($A985="","",
  IF(
    OR(
      $A985=23,
      AND($A985&gt;=32,$A985&lt;=50)
    ),
    IFERROR(
      INDEX('Daily Sales'!$C:$AG,
        $A985,
        MATCH(TEXT($B985,"0"),TEXT('Daily Sales'!$C$2:$AG$2,"0"),0)
      ),
    ""),
  "")
)</f>
        <v/>
      </c>
      <c r="I985" s="138" t="str">
        <f t="array" ref="I985">IF($A985="","",
  IF(
    OR(
      AND($A985&gt;=4,$A985&lt;=8),
      AND($A985&gt;=12,$A985&lt;=19),
      AND($A985&gt;=28,$A985&lt;=29)
    ),
    IFERROR(
      INDEX('Daily Sales'!$C:$AG,
        $A985,
        MATCH(TEXT($B985,"0"),TEXT('Daily Sales'!$C$2:$AG$2,"0"),0)
      ),
    ""),
  "")
)</f>
        <v/>
      </c>
      <c r="J985" s="79" t="e">
        <f t="shared" si="15"/>
        <v>#VALUE!</v>
      </c>
      <c r="K985" s="141"/>
      <c r="L985" s="141"/>
      <c r="M985" s="141"/>
      <c r="N985" s="133"/>
      <c r="O985" s="4"/>
      <c r="P985" s="4"/>
      <c r="Q985" s="4"/>
      <c r="R985" s="109"/>
      <c r="S985" s="109"/>
      <c r="T985" s="108"/>
      <c r="U985" s="110"/>
      <c r="V985" s="110"/>
      <c r="W985" s="110"/>
      <c r="X985" s="110"/>
    </row>
    <row r="986" spans="1:24" ht="13.5" customHeight="1">
      <c r="A986" s="110">
        <f>IF(E986="","",MATCH(E986,'Daily Sales'!B$4:B$51,0)+3)</f>
        <v>39</v>
      </c>
      <c r="B986" s="135"/>
      <c r="C986" s="136"/>
      <c r="D986" s="137" t="str">
        <f t="array" ref="D986">IF($A986="","",INDEX('Daily Sales'!A:A,$A986))</f>
        <v>1-1213</v>
      </c>
      <c r="E986" s="138" t="s">
        <v>52</v>
      </c>
      <c r="F986" s="139" t="str">
        <f t="shared" si="22"/>
        <v>Mandiri QR</v>
      </c>
      <c r="G986" s="140"/>
      <c r="H986" s="138" t="str">
        <f t="array" ref="H986">IF($A986="","",
  IF(
    OR(
      $A986=23,
      AND($A986&gt;=32,$A986&lt;=50)
    ),
    IFERROR(
      INDEX('Daily Sales'!$C:$AG,
        $A986,
        MATCH(TEXT($B986,"0"),TEXT('Daily Sales'!$C$2:$AG$2,"0"),0)
      ),
    ""),
  "")
)</f>
        <v/>
      </c>
      <c r="I986" s="138" t="str">
        <f t="array" ref="I986">IF($A986="","",
  IF(
    OR(
      AND($A986&gt;=4,$A986&lt;=8),
      AND($A986&gt;=12,$A986&lt;=19),
      AND($A986&gt;=28,$A986&lt;=29)
    ),
    IFERROR(
      INDEX('Daily Sales'!$C:$AG,
        $A986,
        MATCH(TEXT($B986,"0"),TEXT('Daily Sales'!$C$2:$AG$2,"0"),0)
      ),
    ""),
  "")
)</f>
        <v/>
      </c>
      <c r="J986" s="79" t="e">
        <f t="shared" si="15"/>
        <v>#VALUE!</v>
      </c>
      <c r="K986" s="141"/>
      <c r="L986" s="141"/>
      <c r="M986" s="141"/>
      <c r="N986" s="133"/>
      <c r="O986" s="4"/>
      <c r="P986" s="4"/>
      <c r="Q986" s="4"/>
      <c r="R986" s="109"/>
      <c r="S986" s="109"/>
      <c r="T986" s="108"/>
      <c r="U986" s="110"/>
      <c r="V986" s="110"/>
      <c r="W986" s="110"/>
      <c r="X986" s="110"/>
    </row>
    <row r="987" spans="1:24" ht="13.5" customHeight="1">
      <c r="A987" s="110">
        <f>IF(E987="","",MATCH(E987,'Daily Sales'!B$4:B$51,0)+3)</f>
        <v>40</v>
      </c>
      <c r="B987" s="135"/>
      <c r="C987" s="136"/>
      <c r="D987" s="137" t="str">
        <f t="array" ref="D987">IF($A987="","",INDEX('Daily Sales'!A:A,$A987))</f>
        <v>1-1217</v>
      </c>
      <c r="E987" s="138" t="s">
        <v>54</v>
      </c>
      <c r="F987" s="139" t="str">
        <f t="shared" si="22"/>
        <v>BCA CC</v>
      </c>
      <c r="G987" s="140"/>
      <c r="H987" s="138" t="str">
        <f t="array" ref="H987">IF($A987="","",
  IF(
    OR(
      $A987=23,
      AND($A987&gt;=32,$A987&lt;=50)
    ),
    IFERROR(
      INDEX('Daily Sales'!$C:$AG,
        $A987,
        MATCH(TEXT($B987,"0"),TEXT('Daily Sales'!$C$2:$AG$2,"0"),0)
      ),
    ""),
  "")
)</f>
        <v/>
      </c>
      <c r="I987" s="138" t="str">
        <f t="array" ref="I987">IF($A987="","",
  IF(
    OR(
      AND($A987&gt;=4,$A987&lt;=8),
      AND($A987&gt;=12,$A987&lt;=19),
      AND($A987&gt;=28,$A987&lt;=29)
    ),
    IFERROR(
      INDEX('Daily Sales'!$C:$AG,
        $A987,
        MATCH(TEXT($B987,"0"),TEXT('Daily Sales'!$C$2:$AG$2,"0"),0)
      ),
    ""),
  "")
)</f>
        <v/>
      </c>
      <c r="J987" s="79" t="e">
        <f t="shared" si="15"/>
        <v>#VALUE!</v>
      </c>
      <c r="K987" s="141"/>
      <c r="L987" s="141"/>
      <c r="M987" s="141"/>
      <c r="N987" s="133"/>
      <c r="O987" s="4"/>
      <c r="P987" s="4"/>
      <c r="Q987" s="4"/>
      <c r="R987" s="109"/>
      <c r="S987" s="109"/>
      <c r="T987" s="108"/>
      <c r="U987" s="110"/>
      <c r="V987" s="110"/>
      <c r="W987" s="110"/>
      <c r="X987" s="110"/>
    </row>
    <row r="988" spans="1:24" ht="13.5" customHeight="1">
      <c r="A988" s="110">
        <f>IF(E988="","",MATCH(E988,'Daily Sales'!B$4:B$51,0)+3)</f>
        <v>41</v>
      </c>
      <c r="B988" s="135"/>
      <c r="C988" s="136"/>
      <c r="D988" s="137" t="str">
        <f t="array" ref="D988">IF($A988="","",INDEX('Daily Sales'!A:A,$A988))</f>
        <v>1-1217</v>
      </c>
      <c r="E988" s="138" t="s">
        <v>55</v>
      </c>
      <c r="F988" s="139" t="str">
        <f t="shared" si="22"/>
        <v>BCA debt</v>
      </c>
      <c r="G988" s="140"/>
      <c r="H988" s="138" t="str">
        <f t="array" ref="H988">IF($A988="","",
  IF(
    OR(
      $A988=23,
      AND($A988&gt;=32,$A988&lt;=50)
    ),
    IFERROR(
      INDEX('Daily Sales'!$C:$AG,
        $A988,
        MATCH(TEXT($B988,"0"),TEXT('Daily Sales'!$C$2:$AG$2,"0"),0)
      ),
    ""),
  "")
)</f>
        <v/>
      </c>
      <c r="I988" s="138" t="str">
        <f t="array" ref="I988">IF($A988="","",
  IF(
    OR(
      AND($A988&gt;=4,$A988&lt;=8),
      AND($A988&gt;=12,$A988&lt;=19),
      AND($A988&gt;=28,$A988&lt;=29)
    ),
    IFERROR(
      INDEX('Daily Sales'!$C:$AG,
        $A988,
        MATCH(TEXT($B988,"0"),TEXT('Daily Sales'!$C$2:$AG$2,"0"),0)
      ),
    ""),
  "")
)</f>
        <v/>
      </c>
      <c r="J988" s="79" t="e">
        <f t="shared" si="15"/>
        <v>#VALUE!</v>
      </c>
      <c r="K988" s="141"/>
      <c r="L988" s="141"/>
      <c r="M988" s="141"/>
      <c r="N988" s="133"/>
      <c r="O988" s="4"/>
      <c r="P988" s="4"/>
      <c r="Q988" s="4"/>
      <c r="R988" s="109"/>
      <c r="S988" s="109"/>
      <c r="T988" s="108"/>
      <c r="U988" s="110"/>
      <c r="V988" s="110"/>
      <c r="W988" s="110"/>
      <c r="X988" s="110"/>
    </row>
    <row r="989" spans="1:24" ht="13.5" customHeight="1">
      <c r="A989" s="110">
        <f>IF(E989="","",MATCH(E989,'Daily Sales'!B$4:B$51,0)+3)</f>
        <v>42</v>
      </c>
      <c r="B989" s="135"/>
      <c r="C989" s="136"/>
      <c r="D989" s="137" t="str">
        <f t="array" ref="D989">IF($A989="","",INDEX('Daily Sales'!A:A,$A989))</f>
        <v>1-1217</v>
      </c>
      <c r="E989" s="138" t="s">
        <v>56</v>
      </c>
      <c r="F989" s="139" t="str">
        <f t="shared" si="22"/>
        <v>BCA QR</v>
      </c>
      <c r="G989" s="140"/>
      <c r="H989" s="138" t="str">
        <f t="array" ref="H989">IF($A989="","",
  IF(
    OR(
      $A989=23,
      AND($A989&gt;=32,$A989&lt;=50)
    ),
    IFERROR(
      INDEX('Daily Sales'!$C:$AG,
        $A989,
        MATCH(TEXT($B989,"0"),TEXT('Daily Sales'!$C$2:$AG$2,"0"),0)
      ),
    ""),
  "")
)</f>
        <v/>
      </c>
      <c r="I989" s="138" t="str">
        <f t="array" ref="I989">IF($A989="","",
  IF(
    OR(
      AND($A989&gt;=4,$A989&lt;=8),
      AND($A989&gt;=12,$A989&lt;=19),
      AND($A989&gt;=28,$A989&lt;=29)
    ),
    IFERROR(
      INDEX('Daily Sales'!$C:$AG,
        $A989,
        MATCH(TEXT($B989,"0"),TEXT('Daily Sales'!$C$2:$AG$2,"0"),0)
      ),
    ""),
  "")
)</f>
        <v/>
      </c>
      <c r="J989" s="79" t="e">
        <f t="shared" si="15"/>
        <v>#VALUE!</v>
      </c>
      <c r="K989" s="141"/>
      <c r="L989" s="141"/>
      <c r="M989" s="141"/>
      <c r="N989" s="133"/>
      <c r="O989" s="4"/>
      <c r="P989" s="4"/>
      <c r="Q989" s="4"/>
      <c r="R989" s="109"/>
      <c r="S989" s="109"/>
      <c r="T989" s="108"/>
      <c r="U989" s="110"/>
      <c r="V989" s="110"/>
      <c r="W989" s="110"/>
      <c r="X989" s="110"/>
    </row>
    <row r="990" spans="1:24" ht="13.5" customHeight="1">
      <c r="A990" s="110">
        <f>IF(E990="","",MATCH(E990,'Daily Sales'!B$4:B$51,0)+3)</f>
        <v>43</v>
      </c>
      <c r="B990" s="135"/>
      <c r="C990" s="136"/>
      <c r="D990" s="137" t="str">
        <f t="array" ref="D990">IF($A990="","",INDEX('Daily Sales'!A:A,$A990))</f>
        <v>1-1214</v>
      </c>
      <c r="E990" s="138" t="s">
        <v>59</v>
      </c>
      <c r="F990" s="139" t="str">
        <f t="shared" si="22"/>
        <v>Bank BRI DEBET</v>
      </c>
      <c r="G990" s="140"/>
      <c r="H990" s="138" t="str">
        <f t="array" ref="H990">IF($A990="","",
  IF(
    OR(
      $A990=23,
      AND($A990&gt;=32,$A990&lt;=50)
    ),
    IFERROR(
      INDEX('Daily Sales'!$C:$AG,
        $A990,
        MATCH(TEXT($B990,"0"),TEXT('Daily Sales'!$C$2:$AG$2,"0"),0)
      ),
    ""),
  "")
)</f>
        <v/>
      </c>
      <c r="I990" s="138" t="str">
        <f t="array" ref="I990">IF($A990="","",
  IF(
    OR(
      AND($A990&gt;=4,$A990&lt;=8),
      AND($A990&gt;=12,$A990&lt;=19),
      AND($A990&gt;=28,$A990&lt;=29)
    ),
    IFERROR(
      INDEX('Daily Sales'!$C:$AG,
        $A990,
        MATCH(TEXT($B990,"0"),TEXT('Daily Sales'!$C$2:$AG$2,"0"),0)
      ),
    ""),
  "")
)</f>
        <v/>
      </c>
      <c r="J990" s="79" t="e">
        <f t="shared" si="15"/>
        <v>#VALUE!</v>
      </c>
      <c r="K990" s="141"/>
      <c r="L990" s="141"/>
      <c r="M990" s="141"/>
      <c r="N990" s="133"/>
      <c r="O990" s="4"/>
      <c r="P990" s="4"/>
      <c r="Q990" s="4"/>
      <c r="R990" s="109"/>
      <c r="S990" s="109"/>
      <c r="T990" s="108"/>
      <c r="U990" s="110"/>
      <c r="V990" s="110"/>
      <c r="W990" s="110"/>
      <c r="X990" s="110"/>
    </row>
    <row r="991" spans="1:24" ht="13.5" customHeight="1">
      <c r="A991" s="110">
        <f>IF(E991="","",MATCH(E991,'Daily Sales'!B$4:B$51,0)+3)</f>
        <v>44</v>
      </c>
      <c r="B991" s="135"/>
      <c r="C991" s="136"/>
      <c r="D991" s="137" t="str">
        <f t="array" ref="D991">IF($A991="","",INDEX('Daily Sales'!A:A,$A991))</f>
        <v>1-1214</v>
      </c>
      <c r="E991" s="138" t="s">
        <v>60</v>
      </c>
      <c r="F991" s="139" t="str">
        <f t="shared" si="22"/>
        <v>Bank BRI CC</v>
      </c>
      <c r="G991" s="140"/>
      <c r="H991" s="138" t="str">
        <f t="array" ref="H991">IF($A991="","",
  IF(
    OR(
      $A991=23,
      AND($A991&gt;=32,$A991&lt;=50)
    ),
    IFERROR(
      INDEX('Daily Sales'!$C:$AG,
        $A991,
        MATCH(TEXT($B991,"0"),TEXT('Daily Sales'!$C$2:$AG$2,"0"),0)
      ),
    ""),
  "")
)</f>
        <v/>
      </c>
      <c r="I991" s="138" t="str">
        <f t="array" ref="I991">IF($A991="","",
  IF(
    OR(
      AND($A991&gt;=4,$A991&lt;=8),
      AND($A991&gt;=12,$A991&lt;=19),
      AND($A991&gt;=28,$A991&lt;=29)
    ),
    IFERROR(
      INDEX('Daily Sales'!$C:$AG,
        $A991,
        MATCH(TEXT($B991,"0"),TEXT('Daily Sales'!$C$2:$AG$2,"0"),0)
      ),
    ""),
  "")
)</f>
        <v/>
      </c>
      <c r="J991" s="79" t="e">
        <f t="shared" si="15"/>
        <v>#VALUE!</v>
      </c>
      <c r="K991" s="141"/>
      <c r="L991" s="141"/>
      <c r="M991" s="141"/>
      <c r="N991" s="133"/>
      <c r="O991" s="4"/>
      <c r="P991" s="4"/>
      <c r="Q991" s="4"/>
      <c r="R991" s="109"/>
      <c r="S991" s="109"/>
      <c r="T991" s="108"/>
      <c r="U991" s="110"/>
      <c r="V991" s="110"/>
      <c r="W991" s="110"/>
      <c r="X991" s="110"/>
    </row>
    <row r="992" spans="1:24" ht="13.5" customHeight="1">
      <c r="A992" s="110">
        <f>IF(E992="","",MATCH(E992,'Daily Sales'!B$4:B$51,0)+3)</f>
        <v>45</v>
      </c>
      <c r="B992" s="135"/>
      <c r="C992" s="136"/>
      <c r="D992" s="137" t="str">
        <f t="array" ref="D992">IF($A992="","",INDEX('Daily Sales'!A:A,$A992))</f>
        <v>1-1214</v>
      </c>
      <c r="E992" s="138" t="s">
        <v>61</v>
      </c>
      <c r="F992" s="139" t="str">
        <f t="shared" si="22"/>
        <v>Bank BRI QR</v>
      </c>
      <c r="G992" s="140"/>
      <c r="H992" s="138" t="str">
        <f t="array" ref="H992">IF($A992="","",
  IF(
    OR(
      $A992=23,
      AND($A992&gt;=32,$A992&lt;=50)
    ),
    IFERROR(
      INDEX('Daily Sales'!$C:$AG,
        $A992,
        MATCH(TEXT($B992,"0"),TEXT('Daily Sales'!$C$2:$AG$2,"0"),0)
      ),
    ""),
  "")
)</f>
        <v/>
      </c>
      <c r="I992" s="138" t="str">
        <f t="array" ref="I992">IF($A992="","",
  IF(
    OR(
      AND($A992&gt;=4,$A992&lt;=8),
      AND($A992&gt;=12,$A992&lt;=19),
      AND($A992&gt;=28,$A992&lt;=29)
    ),
    IFERROR(
      INDEX('Daily Sales'!$C:$AG,
        $A992,
        MATCH(TEXT($B992,"0"),TEXT('Daily Sales'!$C$2:$AG$2,"0"),0)
      ),
    ""),
  "")
)</f>
        <v/>
      </c>
      <c r="J992" s="79" t="e">
        <f t="shared" si="15"/>
        <v>#VALUE!</v>
      </c>
      <c r="K992" s="141"/>
      <c r="L992" s="141"/>
      <c r="M992" s="141"/>
      <c r="N992" s="133"/>
      <c r="O992" s="4"/>
      <c r="P992" s="4"/>
      <c r="Q992" s="4"/>
      <c r="R992" s="109"/>
      <c r="S992" s="109"/>
      <c r="T992" s="108"/>
      <c r="U992" s="110"/>
      <c r="V992" s="110"/>
      <c r="W992" s="110"/>
      <c r="X992" s="110"/>
    </row>
    <row r="993" spans="1:24" ht="13.5" customHeight="1">
      <c r="A993" s="110">
        <f>IF(E993="","",MATCH(E993,'Daily Sales'!B$4:B$51,0)+3)</f>
        <v>46</v>
      </c>
      <c r="B993" s="135"/>
      <c r="C993" s="136"/>
      <c r="D993" s="137" t="str">
        <f t="array" ref="D993">IF($A993="","",INDEX('Daily Sales'!A:A,$A993))</f>
        <v>1-1202</v>
      </c>
      <c r="E993" s="138" t="s">
        <v>64</v>
      </c>
      <c r="F993" s="139" t="str">
        <f t="shared" si="22"/>
        <v>Ledger</v>
      </c>
      <c r="G993" s="140"/>
      <c r="H993" s="138" t="str">
        <f t="array" ref="H993">IF($A993="","",
  IF(
    OR(
      $A993=23,
      AND($A993&gt;=32,$A993&lt;=50)
    ),
    IFERROR(
      INDEX('Daily Sales'!$C:$AG,
        $A993,
        MATCH(TEXT($B993,"0"),TEXT('Daily Sales'!$C$2:$AG$2,"0"),0)
      ),
    ""),
  "")
)</f>
        <v/>
      </c>
      <c r="I993" s="138" t="str">
        <f t="array" ref="I993">IF($A993="","",
  IF(
    OR(
      AND($A993&gt;=4,$A993&lt;=8),
      AND($A993&gt;=12,$A993&lt;=19),
      AND($A993&gt;=28,$A993&lt;=29)
    ),
    IFERROR(
      INDEX('Daily Sales'!$C:$AG,
        $A993,
        MATCH(TEXT($B993,"0"),TEXT('Daily Sales'!$C$2:$AG$2,"0"),0)
      ),
    ""),
  "")
)</f>
        <v/>
      </c>
      <c r="J993" s="79" t="e">
        <f t="shared" si="15"/>
        <v>#VALUE!</v>
      </c>
      <c r="K993" s="141"/>
      <c r="L993" s="141"/>
      <c r="M993" s="141"/>
      <c r="N993" s="133"/>
      <c r="O993" s="4"/>
      <c r="P993" s="4"/>
      <c r="Q993" s="4"/>
      <c r="R993" s="109"/>
      <c r="S993" s="109"/>
      <c r="T993" s="108"/>
      <c r="U993" s="110"/>
      <c r="V993" s="110"/>
      <c r="W993" s="110"/>
      <c r="X993" s="110"/>
    </row>
    <row r="994" spans="1:24" ht="13.5" customHeight="1">
      <c r="A994" s="110">
        <f>IF(E994="","",MATCH(E994,'Daily Sales'!B$4:B$51,0)+3)</f>
        <v>47</v>
      </c>
      <c r="B994" s="135"/>
      <c r="C994" s="136"/>
      <c r="D994" s="137" t="str">
        <f t="array" ref="D994">IF($A994="","",INDEX('Daily Sales'!A:A,$A994))</f>
        <v>1-1129</v>
      </c>
      <c r="E994" s="138" t="s">
        <v>66</v>
      </c>
      <c r="F994" s="139" t="str">
        <f t="shared" si="22"/>
        <v>Star Points</v>
      </c>
      <c r="G994" s="140"/>
      <c r="H994" s="138" t="str">
        <f t="array" ref="H994">IF($A994="","",
  IF(
    OR(
      $A994=23,
      AND($A994&gt;=32,$A994&lt;=50)
    ),
    IFERROR(
      INDEX('Daily Sales'!$C:$AG,
        $A994,
        MATCH(TEXT($B994,"0"),TEXT('Daily Sales'!$C$2:$AG$2,"0"),0)
      ),
    ""),
  "")
)</f>
        <v/>
      </c>
      <c r="I994" s="138" t="str">
        <f t="array" ref="I994">IF($A994="","",
  IF(
    OR(
      AND($A994&gt;=4,$A994&lt;=8),
      AND($A994&gt;=12,$A994&lt;=19),
      AND($A994&gt;=28,$A994&lt;=29)
    ),
    IFERROR(
      INDEX('Daily Sales'!$C:$AG,
        $A994,
        MATCH(TEXT($B994,"0"),TEXT('Daily Sales'!$C$2:$AG$2,"0"),0)
      ),
    ""),
  "")
)</f>
        <v/>
      </c>
      <c r="J994" s="79" t="e">
        <f t="shared" si="15"/>
        <v>#VALUE!</v>
      </c>
      <c r="K994" s="141"/>
      <c r="L994" s="141"/>
      <c r="M994" s="141"/>
      <c r="N994" s="133"/>
      <c r="O994" s="4"/>
      <c r="P994" s="4"/>
      <c r="Q994" s="4"/>
      <c r="R994" s="109"/>
      <c r="S994" s="109"/>
      <c r="T994" s="108"/>
      <c r="U994" s="110"/>
      <c r="V994" s="110"/>
      <c r="W994" s="110"/>
      <c r="X994" s="110"/>
    </row>
    <row r="995" spans="1:24" ht="13.5" customHeight="1">
      <c r="A995" s="110">
        <f>IF(E995="","",MATCH(E995,'Daily Sales'!B$4:B$51,0)+3)</f>
        <v>48</v>
      </c>
      <c r="B995" s="135"/>
      <c r="C995" s="136"/>
      <c r="D995" s="137" t="str">
        <f t="array" ref="D995">IF($A995="","",INDEX('Daily Sales'!A:A,$A995))</f>
        <v>1-1215</v>
      </c>
      <c r="E995" s="138" t="s">
        <v>68</v>
      </c>
      <c r="F995" s="139" t="str">
        <f t="shared" si="22"/>
        <v>Ovo</v>
      </c>
      <c r="G995" s="140"/>
      <c r="H995" s="138" t="str">
        <f t="array" ref="H995">IF($A995="","",
  IF(
    OR(
      $A995=23,
      AND($A995&gt;=32,$A995&lt;=50)
    ),
    IFERROR(
      INDEX('Daily Sales'!$C:$AG,
        $A995,
        MATCH(TEXT($B995,"0"),TEXT('Daily Sales'!$C$2:$AG$2,"0"),0)
      ),
    ""),
  "")
)</f>
        <v/>
      </c>
      <c r="I995" s="138" t="str">
        <f t="array" ref="I995">IF($A995="","",
  IF(
    OR(
      AND($A995&gt;=4,$A995&lt;=8),
      AND($A995&gt;=12,$A995&lt;=19),
      AND($A995&gt;=28,$A995&lt;=29)
    ),
    IFERROR(
      INDEX('Daily Sales'!$C:$AG,
        $A995,
        MATCH(TEXT($B995,"0"),TEXT('Daily Sales'!$C$2:$AG$2,"0"),0)
      ),
    ""),
  "")
)</f>
        <v/>
      </c>
      <c r="J995" s="79" t="e">
        <f t="shared" si="15"/>
        <v>#VALUE!</v>
      </c>
      <c r="K995" s="141"/>
      <c r="L995" s="141"/>
      <c r="M995" s="141"/>
      <c r="N995" s="133"/>
      <c r="O995" s="4"/>
      <c r="P995" s="4"/>
      <c r="Q995" s="4"/>
      <c r="R995" s="109"/>
      <c r="S995" s="109"/>
      <c r="T995" s="108"/>
      <c r="U995" s="110"/>
      <c r="V995" s="110"/>
      <c r="W995" s="110"/>
      <c r="X995" s="110"/>
    </row>
    <row r="996" spans="1:24" ht="13.5" customHeight="1">
      <c r="A996" s="110">
        <f>IF(E996="","",MATCH(E996,'Daily Sales'!B$4:B$51,0)+3)</f>
        <v>49</v>
      </c>
      <c r="B996" s="135"/>
      <c r="C996" s="136"/>
      <c r="D996" s="137" t="str">
        <f t="array" ref="D996">IF($A996="","",INDEX('Daily Sales'!A:A,$A996))</f>
        <v>1-1211</v>
      </c>
      <c r="E996" s="138" t="s">
        <v>70</v>
      </c>
      <c r="F996" s="139" t="str">
        <f t="shared" si="22"/>
        <v>Gopay</v>
      </c>
      <c r="G996" s="140"/>
      <c r="H996" s="138" t="str">
        <f t="array" ref="H996">IF($A996="","",
  IF(
    OR(
      $A996=23,
      AND($A996&gt;=32,$A996&lt;=50)
    ),
    IFERROR(
      INDEX('Daily Sales'!$C:$AG,
        $A996,
        MATCH(TEXT($B996,"0"),TEXT('Daily Sales'!$C$2:$AG$2,"0"),0)
      ),
    ""),
  "")
)</f>
        <v/>
      </c>
      <c r="I996" s="138" t="str">
        <f t="array" ref="I996">IF($A996="","",
  IF(
    OR(
      AND($A996&gt;=4,$A996&lt;=8),
      AND($A996&gt;=12,$A996&lt;=19),
      AND($A996&gt;=28,$A996&lt;=29)
    ),
    IFERROR(
      INDEX('Daily Sales'!$C:$AG,
        $A996,
        MATCH(TEXT($B996,"0"),TEXT('Daily Sales'!$C$2:$AG$2,"0"),0)
      ),
    ""),
  "")
)</f>
        <v/>
      </c>
      <c r="J996" s="79" t="e">
        <f t="shared" si="15"/>
        <v>#VALUE!</v>
      </c>
      <c r="K996" s="141"/>
      <c r="L996" s="141"/>
      <c r="M996" s="141"/>
      <c r="N996" s="133"/>
      <c r="O996" s="4"/>
      <c r="P996" s="4"/>
      <c r="Q996" s="4"/>
      <c r="R996" s="109"/>
      <c r="S996" s="109"/>
      <c r="T996" s="108"/>
      <c r="U996" s="110"/>
      <c r="V996" s="110"/>
      <c r="W996" s="110"/>
      <c r="X996" s="110"/>
    </row>
    <row r="997" spans="1:24" ht="13.5" customHeight="1">
      <c r="A997" s="110">
        <f>IF(E997="","",MATCH(E997,'Daily Sales'!B$4:B$51,0)+3)</f>
        <v>50</v>
      </c>
      <c r="B997" s="135"/>
      <c r="C997" s="136"/>
      <c r="D997" s="137" t="str">
        <f t="array" ref="D997">IF($A997="","",INDEX('Daily Sales'!A:A,$A997))</f>
        <v>2-2110</v>
      </c>
      <c r="E997" s="138" t="s">
        <v>72</v>
      </c>
      <c r="F997" s="139" t="str">
        <f t="shared" si="22"/>
        <v>Cash Short/Over</v>
      </c>
      <c r="G997" s="140"/>
      <c r="H997" s="138" t="str">
        <f t="array" ref="H997">IF($A997="","",
  IF(
    OR(
      $A997=23,
      AND($A997&gt;=32,$A997&lt;=50)
    ),
    IFERROR(
      INDEX('Daily Sales'!$C:$AG,
        $A997,
        MATCH(TEXT($B997,"0"),TEXT('Daily Sales'!$C$2:$AG$2,"0"),0)
      ),
    ""),
  "")
)</f>
        <v/>
      </c>
      <c r="I997" s="138" t="str">
        <f t="array" ref="I997">IF($A997="","",
  IF(
    OR(
      AND($A997&gt;=4,$A997&lt;=8),
      AND($A997&gt;=12,$A997&lt;=19),
      AND($A997&gt;=28,$A997&lt;=29)
    ),
    IFERROR(
      INDEX('Daily Sales'!$C:$AG,
        $A997,
        MATCH(TEXT($B997,"0"),TEXT('Daily Sales'!$C$2:$AG$2,"0"),0)
      ),
    ""),
  "")
)</f>
        <v/>
      </c>
      <c r="J997" s="79" t="e">
        <f t="shared" si="15"/>
        <v>#VALUE!</v>
      </c>
      <c r="K997" s="141"/>
      <c r="L997" s="141"/>
      <c r="M997" s="141"/>
      <c r="N997" s="133"/>
      <c r="O997" s="4"/>
      <c r="P997" s="4"/>
      <c r="Q997" s="4"/>
      <c r="R997" s="109"/>
      <c r="S997" s="109"/>
      <c r="T997" s="108"/>
      <c r="U997" s="110"/>
      <c r="V997" s="110"/>
      <c r="W997" s="110"/>
      <c r="X997" s="110"/>
    </row>
    <row r="998" spans="1:24" ht="14.25" customHeight="1">
      <c r="A998" s="110"/>
      <c r="B998" s="125"/>
      <c r="C998" s="126"/>
      <c r="D998" s="15"/>
      <c r="E998" s="10" t="e">
        <f>TRIM(VLOOKUP(D998,TB!$B$9:$C$1500,2,FALSE))</f>
        <v>#N/A</v>
      </c>
      <c r="F998" s="142"/>
      <c r="G998" s="130"/>
      <c r="H998" s="10"/>
      <c r="I998" s="10"/>
      <c r="J998" s="79" t="e">
        <f t="shared" si="15"/>
        <v>#VALUE!</v>
      </c>
      <c r="K998" s="107"/>
      <c r="L998" s="141"/>
      <c r="M998" s="141"/>
      <c r="N998" s="133"/>
      <c r="O998" s="4"/>
      <c r="P998" s="4"/>
      <c r="Q998" s="4"/>
      <c r="R998" s="134"/>
      <c r="S998" s="109"/>
      <c r="T998" s="108"/>
      <c r="U998" s="110"/>
      <c r="V998" s="110"/>
      <c r="W998" s="110"/>
      <c r="X998" s="110"/>
    </row>
    <row r="999" spans="1:24" ht="14.25" customHeight="1">
      <c r="A999" s="110"/>
      <c r="B999" s="125"/>
      <c r="C999" s="126"/>
      <c r="D999" s="15"/>
      <c r="E999" s="10" t="e">
        <f>TRIM(VLOOKUP(D999,TB!$B$9:$C$1500,2,FALSE))</f>
        <v>#N/A</v>
      </c>
      <c r="F999" s="142"/>
      <c r="G999" s="130"/>
      <c r="H999" s="10"/>
      <c r="I999" s="10"/>
      <c r="J999" s="79" t="e">
        <f t="shared" si="15"/>
        <v>#VALUE!</v>
      </c>
      <c r="K999" s="107"/>
      <c r="L999" s="141"/>
      <c r="M999" s="141"/>
      <c r="N999" s="133"/>
      <c r="O999" s="4"/>
      <c r="P999" s="4"/>
      <c r="Q999" s="4"/>
      <c r="R999" s="134"/>
      <c r="S999" s="109"/>
      <c r="T999" s="108"/>
      <c r="U999" s="110"/>
      <c r="V999" s="110"/>
      <c r="W999" s="110"/>
      <c r="X999" s="110"/>
    </row>
    <row r="1000" spans="1:24" ht="14.25" customHeight="1">
      <c r="A1000" s="110"/>
      <c r="B1000" s="144"/>
      <c r="C1000" s="145"/>
      <c r="D1000" s="146"/>
      <c r="E1000" s="147" t="e">
        <f>TRIM(VLOOKUP(D1000,TB!$B$9:$C$1500,2,FALSE))</f>
        <v>#N/A</v>
      </c>
      <c r="F1000" s="4"/>
      <c r="G1000" s="148"/>
      <c r="H1000" s="147"/>
      <c r="I1000" s="147"/>
      <c r="J1000" s="79" t="e">
        <f t="shared" si="15"/>
        <v>#VALUE!</v>
      </c>
      <c r="K1000" s="107"/>
      <c r="L1000" s="141"/>
      <c r="M1000" s="141"/>
      <c r="N1000" s="133"/>
      <c r="O1000" s="4"/>
      <c r="P1000" s="4"/>
      <c r="Q1000" s="4"/>
      <c r="R1000" s="134"/>
      <c r="S1000" s="109"/>
      <c r="T1000" s="108"/>
      <c r="U1000" s="110"/>
      <c r="V1000" s="110"/>
      <c r="W1000" s="110"/>
      <c r="X1000" s="110"/>
    </row>
    <row r="1001" spans="1:24" ht="14.25" customHeight="1">
      <c r="A1001" s="110"/>
      <c r="B1001" s="149"/>
      <c r="C1001" s="150"/>
      <c r="D1001" s="151"/>
      <c r="E1001" s="152" t="e">
        <f>TRIM(VLOOKUP(D1001,TB!$B$9:$C$1500,2,FALSE))</f>
        <v>#N/A</v>
      </c>
      <c r="F1001" s="153"/>
      <c r="G1001" s="154"/>
      <c r="H1001" s="152"/>
      <c r="I1001" s="152"/>
      <c r="J1001" s="79" t="e">
        <f t="shared" si="15"/>
        <v>#VALUE!</v>
      </c>
      <c r="K1001" s="107"/>
      <c r="L1001" s="141"/>
      <c r="M1001" s="141"/>
      <c r="N1001" s="133"/>
      <c r="O1001" s="4"/>
      <c r="P1001" s="4"/>
      <c r="Q1001" s="4"/>
      <c r="R1001" s="134"/>
      <c r="S1001" s="109"/>
      <c r="T1001" s="108"/>
      <c r="U1001" s="110"/>
      <c r="V1001" s="110"/>
      <c r="W1001" s="110"/>
      <c r="X1001" s="110"/>
    </row>
    <row r="1002" spans="1:24" ht="14.25" customHeight="1">
      <c r="A1002" s="110"/>
      <c r="B1002" s="125">
        <v>46174</v>
      </c>
      <c r="C1002" s="126" t="s">
        <v>121</v>
      </c>
      <c r="D1002" s="68" t="s">
        <v>122</v>
      </c>
      <c r="E1002" s="10" t="str">
        <f>TRIM(VLOOKUP(D1002,TB!$B$9:$C$1500,2,FALSE))</f>
        <v>Cimb Niaga TBB</v>
      </c>
      <c r="F1002" s="155" t="s">
        <v>123</v>
      </c>
      <c r="G1002" s="156"/>
      <c r="H1002" s="157">
        <f>I1004-H1003</f>
        <v>3166930.36</v>
      </c>
      <c r="I1002" s="10"/>
      <c r="J1002" s="79" t="e">
        <f t="shared" si="15"/>
        <v>#VALUE!</v>
      </c>
      <c r="K1002" s="106"/>
      <c r="L1002" s="107"/>
      <c r="M1002" s="106"/>
      <c r="N1002" s="106"/>
      <c r="O1002" s="108"/>
      <c r="P1002" s="108"/>
      <c r="Q1002" s="108"/>
      <c r="R1002" s="109"/>
      <c r="S1002" s="109"/>
      <c r="T1002" s="108"/>
      <c r="U1002" s="110"/>
      <c r="V1002" s="110"/>
      <c r="W1002" s="110"/>
      <c r="X1002" s="110"/>
    </row>
    <row r="1003" spans="1:24" ht="14.25" customHeight="1">
      <c r="A1003" s="110"/>
      <c r="B1003" s="125">
        <v>46174</v>
      </c>
      <c r="C1003" s="126" t="s">
        <v>121</v>
      </c>
      <c r="D1003" s="15" t="s">
        <v>124</v>
      </c>
      <c r="E1003" s="10" t="str">
        <f>TRIM(VLOOKUP(D1003,TB!$B$9:$C$1500,2,FALSE))</f>
        <v>Bank charges</v>
      </c>
      <c r="F1003" s="155" t="s">
        <v>123</v>
      </c>
      <c r="G1003" s="156"/>
      <c r="H1003" s="157">
        <f>I1004*1.8%</f>
        <v>58049.640000000007</v>
      </c>
      <c r="I1003" s="12"/>
      <c r="J1003" s="79" t="e">
        <f t="shared" si="15"/>
        <v>#VALUE!</v>
      </c>
      <c r="K1003" s="106"/>
      <c r="L1003" s="107"/>
      <c r="M1003" s="106"/>
      <c r="N1003" s="106"/>
      <c r="O1003" s="108"/>
      <c r="P1003" s="108"/>
      <c r="Q1003" s="108"/>
      <c r="R1003" s="109"/>
      <c r="S1003" s="109"/>
      <c r="T1003" s="108"/>
      <c r="U1003" s="110"/>
      <c r="V1003" s="110"/>
      <c r="W1003" s="110"/>
      <c r="X1003" s="110"/>
    </row>
    <row r="1004" spans="1:24" ht="14.25" customHeight="1">
      <c r="A1004" s="110"/>
      <c r="B1004" s="125">
        <v>46174</v>
      </c>
      <c r="C1004" s="126" t="s">
        <v>121</v>
      </c>
      <c r="D1004" s="15" t="s">
        <v>45</v>
      </c>
      <c r="E1004" s="10" t="str">
        <f>TRIM(VLOOKUP(D1004,TB!$B$9:$C$1500,2,FALSE))</f>
        <v>Credit Card Cimb Niaga TBB</v>
      </c>
      <c r="F1004" s="155" t="s">
        <v>123</v>
      </c>
      <c r="G1004" s="156"/>
      <c r="H1004" s="10"/>
      <c r="I1004" s="158">
        <v>3224980</v>
      </c>
      <c r="J1004" s="79" t="e">
        <f t="shared" si="15"/>
        <v>#VALUE!</v>
      </c>
      <c r="K1004" s="106"/>
      <c r="L1004" s="107"/>
      <c r="M1004" s="106"/>
      <c r="N1004" s="106"/>
      <c r="O1004" s="108"/>
      <c r="P1004" s="108"/>
      <c r="Q1004" s="108"/>
      <c r="R1004" s="109"/>
      <c r="S1004" s="109"/>
      <c r="T1004" s="108"/>
      <c r="U1004" s="110"/>
      <c r="V1004" s="110"/>
      <c r="W1004" s="110"/>
      <c r="X1004" s="110"/>
    </row>
    <row r="1005" spans="1:24" ht="14.25" customHeight="1">
      <c r="A1005" s="110"/>
      <c r="B1005" s="125"/>
      <c r="C1005" s="126"/>
      <c r="D1005" s="68"/>
      <c r="E1005" s="10" t="e">
        <f>TRIM(VLOOKUP(D1005,TB!$B$9:$C$1500,2,FALSE))</f>
        <v>#N/A</v>
      </c>
      <c r="F1005" s="10"/>
      <c r="G1005" s="156"/>
      <c r="H1005" s="10"/>
      <c r="I1005" s="12"/>
      <c r="J1005" s="79" t="e">
        <f t="shared" si="15"/>
        <v>#VALUE!</v>
      </c>
      <c r="K1005" s="106"/>
      <c r="L1005" s="107"/>
      <c r="M1005" s="106"/>
      <c r="N1005" s="106"/>
      <c r="O1005" s="108"/>
      <c r="P1005" s="108"/>
      <c r="Q1005" s="108"/>
      <c r="R1005" s="109"/>
      <c r="S1005" s="109"/>
      <c r="T1005" s="108"/>
      <c r="U1005" s="110"/>
      <c r="V1005" s="110"/>
      <c r="W1005" s="110"/>
      <c r="X1005" s="110"/>
    </row>
    <row r="1006" spans="1:24" ht="14.25" customHeight="1">
      <c r="A1006" s="110"/>
      <c r="B1006" s="125">
        <v>46174</v>
      </c>
      <c r="C1006" s="126" t="s">
        <v>125</v>
      </c>
      <c r="D1006" s="68" t="s">
        <v>122</v>
      </c>
      <c r="E1006" s="10" t="str">
        <f>TRIM(VLOOKUP(D1006,TB!$B$9:$C$1500,2,FALSE))</f>
        <v>Cimb Niaga TBB</v>
      </c>
      <c r="F1006" s="10" t="s">
        <v>126</v>
      </c>
      <c r="G1006" s="156"/>
      <c r="H1006" s="157">
        <f>I1008-H1007</f>
        <v>18590384.390000001</v>
      </c>
      <c r="I1006" s="12"/>
      <c r="J1006" s="79" t="e">
        <f t="shared" si="15"/>
        <v>#VALUE!</v>
      </c>
      <c r="K1006" s="106"/>
      <c r="L1006" s="107"/>
      <c r="M1006" s="106"/>
      <c r="N1006" s="106"/>
      <c r="O1006" s="108"/>
      <c r="P1006" s="108"/>
      <c r="Q1006" s="108"/>
      <c r="R1006" s="109"/>
      <c r="S1006" s="109"/>
      <c r="T1006" s="108"/>
      <c r="U1006" s="110"/>
      <c r="V1006" s="110"/>
      <c r="W1006" s="110"/>
      <c r="X1006" s="110"/>
    </row>
    <row r="1007" spans="1:24" ht="14.25" customHeight="1">
      <c r="A1007" s="110"/>
      <c r="B1007" s="125">
        <v>46174</v>
      </c>
      <c r="C1007" s="126" t="s">
        <v>125</v>
      </c>
      <c r="D1007" s="15" t="s">
        <v>124</v>
      </c>
      <c r="E1007" s="10" t="str">
        <f>TRIM(VLOOKUP(D1007,TB!$B$9:$C$1500,2,FALSE))</f>
        <v>Bank charges</v>
      </c>
      <c r="F1007" s="10" t="s">
        <v>126</v>
      </c>
      <c r="G1007" s="156"/>
      <c r="H1007" s="157">
        <f>I1008*1.8%</f>
        <v>340760.61000000004</v>
      </c>
      <c r="I1007" s="12"/>
      <c r="J1007" s="79" t="e">
        <f t="shared" si="15"/>
        <v>#VALUE!</v>
      </c>
      <c r="K1007" s="106"/>
      <c r="L1007" s="107"/>
      <c r="M1007" s="106"/>
      <c r="N1007" s="106"/>
      <c r="O1007" s="108"/>
      <c r="P1007" s="108"/>
      <c r="Q1007" s="108"/>
      <c r="R1007" s="109"/>
      <c r="S1007" s="109"/>
      <c r="T1007" s="108"/>
      <c r="U1007" s="110"/>
      <c r="V1007" s="110"/>
      <c r="W1007" s="110"/>
      <c r="X1007" s="110"/>
    </row>
    <row r="1008" spans="1:24" ht="14.25" customHeight="1">
      <c r="A1008" s="110"/>
      <c r="B1008" s="125">
        <v>46174</v>
      </c>
      <c r="C1008" s="126" t="s">
        <v>125</v>
      </c>
      <c r="D1008" s="15" t="s">
        <v>45</v>
      </c>
      <c r="E1008" s="10" t="str">
        <f>TRIM(VLOOKUP(D1008,TB!$B$9:$C$1500,2,FALSE))</f>
        <v>Credit Card Cimb Niaga TBB</v>
      </c>
      <c r="F1008" s="10" t="s">
        <v>126</v>
      </c>
      <c r="G1008" s="156"/>
      <c r="H1008" s="10"/>
      <c r="I1008" s="158">
        <v>18931145</v>
      </c>
      <c r="J1008" s="79" t="e">
        <f t="shared" si="15"/>
        <v>#VALUE!</v>
      </c>
      <c r="K1008" s="106"/>
      <c r="L1008" s="107"/>
      <c r="M1008" s="106"/>
      <c r="N1008" s="106"/>
      <c r="O1008" s="108"/>
      <c r="P1008" s="108"/>
      <c r="Q1008" s="108"/>
      <c r="R1008" s="109"/>
      <c r="S1008" s="109"/>
      <c r="T1008" s="108"/>
      <c r="U1008" s="110"/>
      <c r="V1008" s="110"/>
      <c r="W1008" s="110"/>
      <c r="X1008" s="110"/>
    </row>
    <row r="1009" spans="1:24" ht="14.25" customHeight="1">
      <c r="A1009" s="110"/>
      <c r="B1009" s="125"/>
      <c r="C1009" s="126"/>
      <c r="D1009" s="15"/>
      <c r="E1009" s="10" t="e">
        <f>TRIM(VLOOKUP(D1009,TB!$B$9:$C$1500,2,FALSE))</f>
        <v>#N/A</v>
      </c>
      <c r="F1009" s="10"/>
      <c r="G1009" s="156"/>
      <c r="H1009" s="10"/>
      <c r="I1009" s="12"/>
      <c r="J1009" s="79" t="e">
        <f t="shared" si="15"/>
        <v>#VALUE!</v>
      </c>
      <c r="K1009" s="106"/>
      <c r="L1009" s="107"/>
      <c r="M1009" s="106"/>
      <c r="N1009" s="106"/>
      <c r="O1009" s="108"/>
      <c r="P1009" s="108"/>
      <c r="Q1009" s="108"/>
      <c r="R1009" s="109"/>
      <c r="S1009" s="109"/>
      <c r="T1009" s="108"/>
      <c r="U1009" s="110"/>
      <c r="V1009" s="110"/>
      <c r="W1009" s="110"/>
      <c r="X1009" s="110"/>
    </row>
    <row r="1010" spans="1:24" ht="14.25" customHeight="1">
      <c r="A1010" s="110"/>
      <c r="B1010" s="125">
        <v>46175</v>
      </c>
      <c r="C1010" s="126" t="s">
        <v>127</v>
      </c>
      <c r="D1010" s="68" t="s">
        <v>122</v>
      </c>
      <c r="E1010" s="10" t="str">
        <f>TRIM(VLOOKUP(D1010,TB!$B$9:$C$1500,2,FALSE))</f>
        <v>Cimb Niaga TBB</v>
      </c>
      <c r="F1010" s="10" t="s">
        <v>128</v>
      </c>
      <c r="G1010" s="156"/>
      <c r="H1010" s="157">
        <f>I1012-H1011</f>
        <v>554790.72</v>
      </c>
      <c r="I1010" s="12"/>
      <c r="J1010" s="79" t="e">
        <f t="shared" si="15"/>
        <v>#VALUE!</v>
      </c>
      <c r="K1010" s="106"/>
      <c r="L1010" s="107"/>
      <c r="M1010" s="106"/>
      <c r="N1010" s="106"/>
      <c r="O1010" s="108"/>
      <c r="P1010" s="108"/>
      <c r="Q1010" s="108"/>
      <c r="R1010" s="109"/>
      <c r="S1010" s="109"/>
      <c r="T1010" s="108"/>
      <c r="U1010" s="110"/>
      <c r="V1010" s="110"/>
      <c r="W1010" s="110"/>
      <c r="X1010" s="110"/>
    </row>
    <row r="1011" spans="1:24" ht="14.25" customHeight="1">
      <c r="A1011" s="110"/>
      <c r="B1011" s="125">
        <v>46175</v>
      </c>
      <c r="C1011" s="126" t="s">
        <v>127</v>
      </c>
      <c r="D1011" s="15" t="s">
        <v>124</v>
      </c>
      <c r="E1011" s="10" t="str">
        <f>TRIM(VLOOKUP(D1011,TB!$B$9:$C$1500,2,FALSE))</f>
        <v>Bank charges</v>
      </c>
      <c r="F1011" s="10" t="s">
        <v>128</v>
      </c>
      <c r="G1011" s="156"/>
      <c r="H1011" s="157">
        <f>I1012*1.8%</f>
        <v>10169.280000000001</v>
      </c>
      <c r="I1011" s="12"/>
      <c r="J1011" s="79" t="e">
        <f t="shared" si="15"/>
        <v>#VALUE!</v>
      </c>
      <c r="K1011" s="106"/>
      <c r="L1011" s="107"/>
      <c r="M1011" s="106"/>
      <c r="N1011" s="106"/>
      <c r="O1011" s="108"/>
      <c r="P1011" s="108"/>
      <c r="Q1011" s="108"/>
      <c r="R1011" s="109"/>
      <c r="S1011" s="109"/>
      <c r="T1011" s="108"/>
      <c r="U1011" s="110"/>
      <c r="V1011" s="110"/>
      <c r="W1011" s="110"/>
      <c r="X1011" s="110"/>
    </row>
    <row r="1012" spans="1:24" ht="14.25" customHeight="1">
      <c r="A1012" s="110"/>
      <c r="B1012" s="125">
        <v>46175</v>
      </c>
      <c r="C1012" s="126" t="s">
        <v>127</v>
      </c>
      <c r="D1012" s="15" t="s">
        <v>45</v>
      </c>
      <c r="E1012" s="10" t="str">
        <f>TRIM(VLOOKUP(D1012,TB!$B$9:$C$1500,2,FALSE))</f>
        <v>Credit Card Cimb Niaga TBB</v>
      </c>
      <c r="F1012" s="10" t="s">
        <v>128</v>
      </c>
      <c r="G1012" s="156"/>
      <c r="H1012" s="10"/>
      <c r="I1012" s="158">
        <v>564960</v>
      </c>
      <c r="J1012" s="79" t="e">
        <f t="shared" si="15"/>
        <v>#VALUE!</v>
      </c>
      <c r="K1012" s="106"/>
      <c r="L1012" s="107"/>
      <c r="M1012" s="106"/>
      <c r="N1012" s="106"/>
      <c r="O1012" s="108"/>
      <c r="P1012" s="108"/>
      <c r="Q1012" s="108"/>
      <c r="R1012" s="109"/>
      <c r="S1012" s="109"/>
      <c r="T1012" s="108"/>
      <c r="U1012" s="110"/>
      <c r="V1012" s="110"/>
      <c r="W1012" s="110"/>
      <c r="X1012" s="110"/>
    </row>
    <row r="1013" spans="1:24" ht="14.25" customHeight="1">
      <c r="A1013" s="110"/>
      <c r="B1013" s="125"/>
      <c r="C1013" s="126"/>
      <c r="D1013" s="68"/>
      <c r="E1013" s="10" t="e">
        <f>TRIM(VLOOKUP(D1013,TB!$B$9:$C$1500,2,FALSE))</f>
        <v>#N/A</v>
      </c>
      <c r="F1013" s="10"/>
      <c r="G1013" s="156"/>
      <c r="H1013" s="10"/>
      <c r="I1013" s="12"/>
      <c r="J1013" s="79" t="e">
        <f t="shared" si="15"/>
        <v>#VALUE!</v>
      </c>
      <c r="K1013" s="106"/>
      <c r="L1013" s="107"/>
      <c r="M1013" s="106"/>
      <c r="N1013" s="106"/>
      <c r="O1013" s="108"/>
      <c r="P1013" s="108"/>
      <c r="Q1013" s="108"/>
      <c r="R1013" s="109"/>
      <c r="S1013" s="109"/>
      <c r="T1013" s="108"/>
      <c r="U1013" s="110"/>
      <c r="V1013" s="110"/>
      <c r="W1013" s="110"/>
      <c r="X1013" s="110"/>
    </row>
    <row r="1014" spans="1:24" ht="14.25" customHeight="1">
      <c r="A1014" s="110"/>
      <c r="B1014" s="125">
        <v>46176</v>
      </c>
      <c r="C1014" s="126" t="s">
        <v>129</v>
      </c>
      <c r="D1014" s="68" t="s">
        <v>130</v>
      </c>
      <c r="E1014" s="10" t="str">
        <f>TRIM(VLOOKUP(D1014,TB!$B$9:$C$1500,2,FALSE))</f>
        <v>BCA TBB</v>
      </c>
      <c r="F1014" s="10" t="s">
        <v>131</v>
      </c>
      <c r="G1014" s="156"/>
      <c r="H1014" s="158">
        <v>22500000</v>
      </c>
      <c r="I1014" s="12"/>
      <c r="J1014" s="79" t="e">
        <f t="shared" si="15"/>
        <v>#VALUE!</v>
      </c>
      <c r="K1014" s="106"/>
      <c r="L1014" s="107"/>
      <c r="M1014" s="106"/>
      <c r="N1014" s="106"/>
      <c r="O1014" s="108"/>
      <c r="P1014" s="108"/>
      <c r="Q1014" s="108"/>
      <c r="R1014" s="109"/>
      <c r="S1014" s="109"/>
      <c r="T1014" s="108"/>
      <c r="U1014" s="110"/>
      <c r="V1014" s="110"/>
      <c r="W1014" s="110"/>
      <c r="X1014" s="110"/>
    </row>
    <row r="1015" spans="1:24" ht="14.25" customHeight="1">
      <c r="A1015" s="110"/>
      <c r="B1015" s="125">
        <v>46176</v>
      </c>
      <c r="C1015" s="126" t="s">
        <v>129</v>
      </c>
      <c r="D1015" s="15" t="s">
        <v>124</v>
      </c>
      <c r="E1015" s="10" t="str">
        <f>TRIM(VLOOKUP(D1015,TB!$B$9:$C$1500,2,FALSE))</f>
        <v>Bank charges</v>
      </c>
      <c r="F1015" s="10" t="s">
        <v>131</v>
      </c>
      <c r="G1015" s="156"/>
      <c r="H1015" s="10">
        <v>2500</v>
      </c>
      <c r="I1015" s="12"/>
      <c r="J1015" s="79" t="e">
        <f t="shared" si="15"/>
        <v>#VALUE!</v>
      </c>
      <c r="K1015" s="106"/>
      <c r="L1015" s="107"/>
      <c r="M1015" s="106"/>
      <c r="N1015" s="106"/>
      <c r="O1015" s="108"/>
      <c r="P1015" s="108"/>
      <c r="Q1015" s="108"/>
      <c r="R1015" s="109"/>
      <c r="S1015" s="109"/>
      <c r="T1015" s="108"/>
      <c r="U1015" s="110"/>
      <c r="V1015" s="110"/>
      <c r="W1015" s="110"/>
      <c r="X1015" s="110"/>
    </row>
    <row r="1016" spans="1:24" ht="14.25" customHeight="1">
      <c r="A1016" s="110"/>
      <c r="B1016" s="125">
        <v>46176</v>
      </c>
      <c r="C1016" s="126" t="s">
        <v>129</v>
      </c>
      <c r="D1016" s="68" t="s">
        <v>122</v>
      </c>
      <c r="E1016" s="10" t="str">
        <f>TRIM(VLOOKUP(D1016,TB!$B$9:$C$1500,2,FALSE))</f>
        <v>Cimb Niaga TBB</v>
      </c>
      <c r="F1016" s="10" t="s">
        <v>131</v>
      </c>
      <c r="G1016" s="156"/>
      <c r="H1016" s="10"/>
      <c r="I1016" s="158">
        <f>SUM(H1014:H1015)</f>
        <v>22502500</v>
      </c>
      <c r="J1016" s="79" t="e">
        <f t="shared" si="15"/>
        <v>#VALUE!</v>
      </c>
      <c r="K1016" s="106"/>
      <c r="L1016" s="107"/>
      <c r="M1016" s="106"/>
      <c r="N1016" s="106"/>
      <c r="O1016" s="108"/>
      <c r="P1016" s="108"/>
      <c r="Q1016" s="108"/>
      <c r="R1016" s="109"/>
      <c r="S1016" s="109"/>
      <c r="T1016" s="108"/>
      <c r="U1016" s="110"/>
      <c r="V1016" s="110"/>
      <c r="W1016" s="110"/>
      <c r="X1016" s="110"/>
    </row>
    <row r="1017" spans="1:24" ht="14.25" customHeight="1">
      <c r="A1017" s="110"/>
      <c r="B1017" s="125"/>
      <c r="C1017" s="126"/>
      <c r="D1017" s="159"/>
      <c r="E1017" s="10" t="e">
        <f>TRIM(VLOOKUP(D1017,TB!$B$9:$C$1500,2,FALSE))</f>
        <v>#N/A</v>
      </c>
      <c r="F1017" s="10"/>
      <c r="G1017" s="156"/>
      <c r="H1017" s="10"/>
      <c r="I1017" s="12"/>
      <c r="J1017" s="79" t="e">
        <f t="shared" si="15"/>
        <v>#VALUE!</v>
      </c>
      <c r="K1017" s="106"/>
      <c r="L1017" s="107"/>
      <c r="M1017" s="106"/>
      <c r="N1017" s="106"/>
      <c r="O1017" s="108"/>
      <c r="P1017" s="108"/>
      <c r="Q1017" s="108"/>
      <c r="R1017" s="109"/>
      <c r="S1017" s="109"/>
      <c r="T1017" s="108"/>
      <c r="U1017" s="110"/>
      <c r="V1017" s="110"/>
      <c r="W1017" s="110"/>
      <c r="X1017" s="110"/>
    </row>
    <row r="1018" spans="1:24" ht="14.25" customHeight="1">
      <c r="A1018" s="110"/>
      <c r="B1018" s="125">
        <v>46178</v>
      </c>
      <c r="C1018" s="126" t="s">
        <v>132</v>
      </c>
      <c r="D1018" s="15" t="s">
        <v>124</v>
      </c>
      <c r="E1018" s="10" t="str">
        <f>TRIM(VLOOKUP(D1018,TB!$B$9:$C$1500,2,FALSE))</f>
        <v>Bank charges</v>
      </c>
      <c r="F1018" s="10" t="s">
        <v>133</v>
      </c>
      <c r="G1018" s="156"/>
      <c r="H1018" s="157">
        <v>50000</v>
      </c>
      <c r="I1018" s="12"/>
      <c r="J1018" s="79" t="e">
        <f t="shared" si="15"/>
        <v>#VALUE!</v>
      </c>
      <c r="K1018" s="106"/>
      <c r="L1018" s="107"/>
      <c r="M1018" s="106"/>
      <c r="N1018" s="106"/>
      <c r="O1018" s="108"/>
      <c r="P1018" s="108"/>
      <c r="Q1018" s="108"/>
      <c r="R1018" s="109"/>
      <c r="S1018" s="109"/>
      <c r="T1018" s="108"/>
      <c r="U1018" s="110"/>
      <c r="V1018" s="110"/>
      <c r="W1018" s="110"/>
      <c r="X1018" s="110"/>
    </row>
    <row r="1019" spans="1:24" ht="14.25" customHeight="1">
      <c r="A1019" s="110"/>
      <c r="B1019" s="125">
        <v>46178</v>
      </c>
      <c r="C1019" s="126" t="s">
        <v>132</v>
      </c>
      <c r="D1019" s="68" t="s">
        <v>122</v>
      </c>
      <c r="E1019" s="10" t="str">
        <f>TRIM(VLOOKUP(D1019,TB!$B$9:$C$1500,2,FALSE))</f>
        <v>Cimb Niaga TBB</v>
      </c>
      <c r="F1019" s="10" t="s">
        <v>133</v>
      </c>
      <c r="G1019" s="156"/>
      <c r="H1019" s="157"/>
      <c r="I1019" s="157">
        <v>50000</v>
      </c>
      <c r="J1019" s="79" t="e">
        <f t="shared" si="15"/>
        <v>#VALUE!</v>
      </c>
      <c r="K1019" s="106"/>
      <c r="L1019" s="107"/>
      <c r="M1019" s="106"/>
      <c r="N1019" s="106"/>
      <c r="O1019" s="108"/>
      <c r="P1019" s="108"/>
      <c r="Q1019" s="108"/>
      <c r="R1019" s="109"/>
      <c r="S1019" s="109"/>
      <c r="T1019" s="108"/>
      <c r="U1019" s="110"/>
      <c r="V1019" s="110"/>
      <c r="W1019" s="110"/>
      <c r="X1019" s="110"/>
    </row>
    <row r="1020" spans="1:24" ht="14.25" customHeight="1">
      <c r="A1020" s="110"/>
      <c r="B1020" s="125"/>
      <c r="C1020" s="126"/>
      <c r="D1020" s="159"/>
      <c r="E1020" s="10" t="e">
        <f>TRIM(VLOOKUP(D1020,TB!$B$9:$C$1500,2,FALSE))</f>
        <v>#N/A</v>
      </c>
      <c r="F1020" s="10"/>
      <c r="G1020" s="156"/>
      <c r="H1020" s="157"/>
      <c r="I1020" s="12"/>
      <c r="J1020" s="79" t="e">
        <f t="shared" si="15"/>
        <v>#VALUE!</v>
      </c>
      <c r="K1020" s="106"/>
      <c r="L1020" s="107"/>
      <c r="M1020" s="106"/>
      <c r="N1020" s="106"/>
      <c r="O1020" s="108"/>
      <c r="P1020" s="108"/>
      <c r="Q1020" s="108"/>
      <c r="R1020" s="109"/>
      <c r="S1020" s="109"/>
      <c r="T1020" s="108"/>
      <c r="U1020" s="110"/>
      <c r="V1020" s="110"/>
      <c r="W1020" s="110"/>
      <c r="X1020" s="110"/>
    </row>
    <row r="1021" spans="1:24" ht="14.25" customHeight="1">
      <c r="A1021" s="110"/>
      <c r="B1021" s="125">
        <v>46182</v>
      </c>
      <c r="C1021" s="126" t="s">
        <v>134</v>
      </c>
      <c r="D1021" s="68" t="s">
        <v>122</v>
      </c>
      <c r="E1021" s="10" t="str">
        <f>TRIM(VLOOKUP(D1021,TB!$B$9:$C$1500,2,FALSE))</f>
        <v>Cimb Niaga TBB</v>
      </c>
      <c r="F1021" s="10" t="s">
        <v>135</v>
      </c>
      <c r="G1021" s="156"/>
      <c r="H1021" s="157">
        <f>I1023-H1022</f>
        <v>982441.9</v>
      </c>
      <c r="I1021" s="12"/>
      <c r="J1021" s="79" t="e">
        <f t="shared" si="15"/>
        <v>#VALUE!</v>
      </c>
      <c r="K1021" s="106"/>
      <c r="L1021" s="107"/>
      <c r="M1021" s="106"/>
      <c r="N1021" s="106"/>
      <c r="O1021" s="108"/>
      <c r="P1021" s="108"/>
      <c r="Q1021" s="108"/>
      <c r="R1021" s="109"/>
      <c r="S1021" s="109"/>
      <c r="T1021" s="108"/>
      <c r="U1021" s="110"/>
      <c r="V1021" s="110"/>
      <c r="W1021" s="110"/>
      <c r="X1021" s="110"/>
    </row>
    <row r="1022" spans="1:24" ht="14.25" customHeight="1">
      <c r="A1022" s="110"/>
      <c r="B1022" s="125">
        <v>46182</v>
      </c>
      <c r="C1022" s="126" t="s">
        <v>134</v>
      </c>
      <c r="D1022" s="15" t="s">
        <v>124</v>
      </c>
      <c r="E1022" s="10" t="str">
        <f>TRIM(VLOOKUP(D1022,TB!$B$9:$C$1500,2,FALSE))</f>
        <v>Bank charges</v>
      </c>
      <c r="F1022" s="10" t="s">
        <v>135</v>
      </c>
      <c r="G1022" s="156"/>
      <c r="H1022" s="157">
        <f>I1023*1.8%</f>
        <v>18008.100000000002</v>
      </c>
      <c r="I1022" s="12"/>
      <c r="J1022" s="79" t="e">
        <f t="shared" si="15"/>
        <v>#VALUE!</v>
      </c>
      <c r="K1022" s="106"/>
      <c r="L1022" s="107"/>
      <c r="M1022" s="106"/>
      <c r="N1022" s="106"/>
      <c r="O1022" s="108"/>
      <c r="P1022" s="108"/>
      <c r="Q1022" s="108"/>
      <c r="R1022" s="109"/>
      <c r="S1022" s="109"/>
      <c r="T1022" s="108"/>
      <c r="U1022" s="110"/>
      <c r="V1022" s="110"/>
      <c r="W1022" s="110"/>
      <c r="X1022" s="110"/>
    </row>
    <row r="1023" spans="1:24" ht="14.25" customHeight="1">
      <c r="A1023" s="110"/>
      <c r="B1023" s="125">
        <v>46182</v>
      </c>
      <c r="C1023" s="126" t="s">
        <v>134</v>
      </c>
      <c r="D1023" s="15" t="s">
        <v>45</v>
      </c>
      <c r="E1023" s="10" t="str">
        <f>TRIM(VLOOKUP(D1023,TB!$B$9:$C$1500,2,FALSE))</f>
        <v>Credit Card Cimb Niaga TBB</v>
      </c>
      <c r="F1023" s="10" t="s">
        <v>135</v>
      </c>
      <c r="G1023" s="156"/>
      <c r="H1023" s="10"/>
      <c r="I1023" s="158">
        <v>1000450</v>
      </c>
      <c r="J1023" s="79" t="e">
        <f t="shared" si="15"/>
        <v>#VALUE!</v>
      </c>
      <c r="K1023" s="106"/>
      <c r="L1023" s="107"/>
      <c r="M1023" s="106"/>
      <c r="N1023" s="106"/>
      <c r="O1023" s="108"/>
      <c r="P1023" s="108"/>
      <c r="Q1023" s="108"/>
      <c r="R1023" s="109"/>
      <c r="S1023" s="109"/>
      <c r="T1023" s="108"/>
      <c r="U1023" s="110"/>
      <c r="V1023" s="110"/>
      <c r="W1023" s="110"/>
      <c r="X1023" s="110"/>
    </row>
    <row r="1024" spans="1:24" ht="14.25" customHeight="1">
      <c r="A1024" s="110"/>
      <c r="B1024" s="125"/>
      <c r="C1024" s="126"/>
      <c r="D1024" s="68"/>
      <c r="E1024" s="10" t="e">
        <f>TRIM(VLOOKUP(D1024,TB!$B$9:$C$1500,2,FALSE))</f>
        <v>#N/A</v>
      </c>
      <c r="F1024" s="10"/>
      <c r="G1024" s="156"/>
      <c r="H1024" s="10"/>
      <c r="I1024" s="12"/>
      <c r="J1024" s="79" t="e">
        <f t="shared" si="15"/>
        <v>#VALUE!</v>
      </c>
      <c r="K1024" s="106"/>
      <c r="L1024" s="107"/>
      <c r="M1024" s="106"/>
      <c r="N1024" s="106"/>
      <c r="O1024" s="108"/>
      <c r="P1024" s="108"/>
      <c r="Q1024" s="108"/>
      <c r="R1024" s="109"/>
      <c r="S1024" s="109"/>
      <c r="T1024" s="108"/>
      <c r="U1024" s="110"/>
      <c r="V1024" s="110"/>
      <c r="W1024" s="110"/>
      <c r="X1024" s="110"/>
    </row>
    <row r="1025" spans="1:24" ht="14.25" customHeight="1">
      <c r="A1025" s="110"/>
      <c r="B1025" s="125">
        <v>46182</v>
      </c>
      <c r="C1025" s="126" t="s">
        <v>136</v>
      </c>
      <c r="D1025" s="68" t="s">
        <v>122</v>
      </c>
      <c r="E1025" s="10" t="str">
        <f>TRIM(VLOOKUP(D1025,TB!$B$9:$C$1500,2,FALSE))</f>
        <v>Cimb Niaga TBB</v>
      </c>
      <c r="F1025" s="10" t="s">
        <v>137</v>
      </c>
      <c r="G1025" s="156"/>
      <c r="H1025" s="157">
        <f>I1027-H1026</f>
        <v>23536384.510000002</v>
      </c>
      <c r="I1025" s="12"/>
      <c r="J1025" s="79" t="e">
        <f t="shared" si="15"/>
        <v>#VALUE!</v>
      </c>
      <c r="K1025" s="106"/>
      <c r="L1025" s="107"/>
      <c r="M1025" s="106"/>
      <c r="N1025" s="106"/>
      <c r="O1025" s="108"/>
      <c r="P1025" s="108"/>
      <c r="Q1025" s="108"/>
      <c r="R1025" s="109"/>
      <c r="S1025" s="109"/>
      <c r="T1025" s="108"/>
      <c r="U1025" s="110"/>
      <c r="V1025" s="110"/>
      <c r="W1025" s="110"/>
      <c r="X1025" s="110"/>
    </row>
    <row r="1026" spans="1:24" ht="14.25" customHeight="1">
      <c r="A1026" s="110"/>
      <c r="B1026" s="125">
        <v>46182</v>
      </c>
      <c r="C1026" s="126" t="s">
        <v>136</v>
      </c>
      <c r="D1026" s="15" t="s">
        <v>124</v>
      </c>
      <c r="E1026" s="10" t="str">
        <f>TRIM(VLOOKUP(D1026,TB!$B$9:$C$1500,2,FALSE))</f>
        <v>Bank charges</v>
      </c>
      <c r="F1026" s="10" t="s">
        <v>137</v>
      </c>
      <c r="G1026" s="156"/>
      <c r="H1026" s="157">
        <f>I1027*1.8%</f>
        <v>431420.49000000005</v>
      </c>
      <c r="I1026" s="12"/>
      <c r="J1026" s="79" t="e">
        <f t="shared" si="15"/>
        <v>#VALUE!</v>
      </c>
      <c r="K1026" s="106"/>
      <c r="L1026" s="107"/>
      <c r="M1026" s="106"/>
      <c r="N1026" s="106"/>
      <c r="O1026" s="108"/>
      <c r="P1026" s="108"/>
      <c r="Q1026" s="108"/>
      <c r="R1026" s="109"/>
      <c r="S1026" s="109"/>
      <c r="T1026" s="108"/>
      <c r="U1026" s="110"/>
      <c r="V1026" s="110"/>
      <c r="W1026" s="110"/>
      <c r="X1026" s="110"/>
    </row>
    <row r="1027" spans="1:24" ht="14.25" customHeight="1">
      <c r="A1027" s="110"/>
      <c r="B1027" s="125">
        <v>46182</v>
      </c>
      <c r="C1027" s="126" t="s">
        <v>136</v>
      </c>
      <c r="D1027" s="15" t="s">
        <v>45</v>
      </c>
      <c r="E1027" s="10" t="str">
        <f>TRIM(VLOOKUP(D1027,TB!$B$9:$C$1500,2,FALSE))</f>
        <v>Credit Card Cimb Niaga TBB</v>
      </c>
      <c r="F1027" s="10" t="s">
        <v>137</v>
      </c>
      <c r="G1027" s="156"/>
      <c r="H1027" s="10"/>
      <c r="I1027" s="158">
        <v>23967805</v>
      </c>
      <c r="J1027" s="79" t="e">
        <f t="shared" ref="J1027:J1098" si="23">J1026+H1027-I1027</f>
        <v>#VALUE!</v>
      </c>
      <c r="K1027" s="106"/>
      <c r="L1027" s="107"/>
      <c r="M1027" s="106"/>
      <c r="N1027" s="106"/>
      <c r="O1027" s="108"/>
      <c r="P1027" s="108"/>
      <c r="Q1027" s="108"/>
      <c r="R1027" s="109"/>
      <c r="S1027" s="109"/>
      <c r="T1027" s="108"/>
      <c r="U1027" s="110"/>
      <c r="V1027" s="110"/>
      <c r="W1027" s="110"/>
      <c r="X1027" s="110"/>
    </row>
    <row r="1028" spans="1:24" ht="14.25" customHeight="1">
      <c r="A1028" s="110"/>
      <c r="B1028" s="125"/>
      <c r="C1028" s="126"/>
      <c r="D1028" s="68"/>
      <c r="E1028" s="10" t="e">
        <f>TRIM(VLOOKUP(D1028,TB!$B$9:$C$1500,2,FALSE))</f>
        <v>#N/A</v>
      </c>
      <c r="F1028" s="10"/>
      <c r="G1028" s="156"/>
      <c r="H1028" s="10"/>
      <c r="I1028" s="12"/>
      <c r="J1028" s="79" t="e">
        <f t="shared" si="23"/>
        <v>#VALUE!</v>
      </c>
      <c r="K1028" s="106"/>
      <c r="L1028" s="107"/>
      <c r="M1028" s="106"/>
      <c r="N1028" s="106"/>
      <c r="O1028" s="108"/>
      <c r="P1028" s="108"/>
      <c r="Q1028" s="108"/>
      <c r="R1028" s="109"/>
      <c r="S1028" s="109"/>
      <c r="T1028" s="108"/>
      <c r="U1028" s="110"/>
      <c r="V1028" s="110"/>
      <c r="W1028" s="110"/>
      <c r="X1028" s="110"/>
    </row>
    <row r="1029" spans="1:24" ht="14.25" customHeight="1">
      <c r="A1029" s="110"/>
      <c r="B1029" s="125">
        <v>46182</v>
      </c>
      <c r="C1029" s="126" t="s">
        <v>138</v>
      </c>
      <c r="D1029" s="68" t="s">
        <v>130</v>
      </c>
      <c r="E1029" s="10" t="str">
        <f>TRIM(VLOOKUP(D1029,TB!$B$9:$C$1500,2,FALSE))</f>
        <v>BCA TBB</v>
      </c>
      <c r="F1029" s="10" t="s">
        <v>131</v>
      </c>
      <c r="G1029" s="156"/>
      <c r="H1029" s="158">
        <v>24600000</v>
      </c>
      <c r="I1029" s="12"/>
      <c r="J1029" s="79" t="e">
        <f t="shared" si="23"/>
        <v>#VALUE!</v>
      </c>
      <c r="K1029" s="106"/>
      <c r="L1029" s="107"/>
      <c r="M1029" s="106"/>
      <c r="N1029" s="106"/>
      <c r="O1029" s="108"/>
      <c r="P1029" s="108"/>
      <c r="Q1029" s="108"/>
      <c r="R1029" s="109"/>
      <c r="S1029" s="109"/>
      <c r="T1029" s="108"/>
      <c r="U1029" s="110"/>
      <c r="V1029" s="110"/>
      <c r="W1029" s="110"/>
      <c r="X1029" s="110"/>
    </row>
    <row r="1030" spans="1:24" ht="14.25" customHeight="1">
      <c r="A1030" s="110"/>
      <c r="B1030" s="125">
        <v>46182</v>
      </c>
      <c r="C1030" s="126" t="s">
        <v>138</v>
      </c>
      <c r="D1030" s="15" t="s">
        <v>124</v>
      </c>
      <c r="E1030" s="10" t="str">
        <f>TRIM(VLOOKUP(D1030,TB!$B$9:$C$1500,2,FALSE))</f>
        <v>Bank charges</v>
      </c>
      <c r="F1030" s="10" t="s">
        <v>131</v>
      </c>
      <c r="G1030" s="156"/>
      <c r="H1030" s="10">
        <v>2500</v>
      </c>
      <c r="I1030" s="12"/>
      <c r="J1030" s="79" t="e">
        <f t="shared" si="23"/>
        <v>#VALUE!</v>
      </c>
      <c r="K1030" s="106"/>
      <c r="L1030" s="107"/>
      <c r="M1030" s="106"/>
      <c r="N1030" s="106"/>
      <c r="O1030" s="108"/>
      <c r="P1030" s="108"/>
      <c r="Q1030" s="108"/>
      <c r="R1030" s="109"/>
      <c r="S1030" s="109"/>
      <c r="T1030" s="108"/>
      <c r="U1030" s="110"/>
      <c r="V1030" s="110"/>
      <c r="W1030" s="110"/>
      <c r="X1030" s="110"/>
    </row>
    <row r="1031" spans="1:24" ht="14.25" customHeight="1">
      <c r="A1031" s="110"/>
      <c r="B1031" s="125">
        <v>46182</v>
      </c>
      <c r="C1031" s="126" t="s">
        <v>138</v>
      </c>
      <c r="D1031" s="68" t="s">
        <v>122</v>
      </c>
      <c r="E1031" s="10" t="str">
        <f>TRIM(VLOOKUP(D1031,TB!$B$9:$C$1500,2,FALSE))</f>
        <v>Cimb Niaga TBB</v>
      </c>
      <c r="F1031" s="10" t="s">
        <v>131</v>
      </c>
      <c r="G1031" s="156"/>
      <c r="H1031" s="10"/>
      <c r="I1031" s="158">
        <f>SUM(H1029:H1030)</f>
        <v>24602500</v>
      </c>
      <c r="J1031" s="79" t="e">
        <f t="shared" si="23"/>
        <v>#VALUE!</v>
      </c>
      <c r="K1031" s="106"/>
      <c r="L1031" s="107"/>
      <c r="M1031" s="106"/>
      <c r="N1031" s="106"/>
      <c r="O1031" s="108"/>
      <c r="P1031" s="108"/>
      <c r="Q1031" s="108"/>
      <c r="R1031" s="109"/>
      <c r="S1031" s="109"/>
      <c r="T1031" s="108"/>
      <c r="U1031" s="110"/>
      <c r="V1031" s="110"/>
      <c r="W1031" s="110"/>
      <c r="X1031" s="110"/>
    </row>
    <row r="1032" spans="1:24" ht="14.25" customHeight="1">
      <c r="A1032" s="110"/>
      <c r="B1032" s="125"/>
      <c r="C1032" s="126"/>
      <c r="D1032" s="159"/>
      <c r="E1032" s="10" t="e">
        <f>TRIM(VLOOKUP(D1032,TB!$B$9:$C$1500,2,FALSE))</f>
        <v>#N/A</v>
      </c>
      <c r="F1032" s="10"/>
      <c r="G1032" s="156"/>
      <c r="H1032" s="10"/>
      <c r="I1032" s="12"/>
      <c r="J1032" s="79" t="e">
        <f t="shared" si="23"/>
        <v>#VALUE!</v>
      </c>
      <c r="K1032" s="106"/>
      <c r="L1032" s="107"/>
      <c r="M1032" s="106"/>
      <c r="N1032" s="106"/>
      <c r="O1032" s="108"/>
      <c r="P1032" s="108"/>
      <c r="Q1032" s="108"/>
      <c r="R1032" s="109"/>
      <c r="S1032" s="109"/>
      <c r="T1032" s="108"/>
      <c r="U1032" s="110"/>
      <c r="V1032" s="110"/>
      <c r="W1032" s="110"/>
      <c r="X1032" s="110"/>
    </row>
    <row r="1033" spans="1:24" ht="14.25" customHeight="1">
      <c r="A1033" s="110"/>
      <c r="B1033" s="125">
        <v>46182</v>
      </c>
      <c r="C1033" s="126" t="s">
        <v>139</v>
      </c>
      <c r="D1033" s="15" t="s">
        <v>140</v>
      </c>
      <c r="E1033" s="10" t="str">
        <f>TRIM(VLOOKUP(D1033,TB!$B$9:$C$1500,2,FALSE))</f>
        <v>Prepaid others</v>
      </c>
      <c r="F1033" s="160" t="s">
        <v>141</v>
      </c>
      <c r="G1033" s="156"/>
      <c r="H1033" s="157">
        <v>400000</v>
      </c>
      <c r="I1033" s="12"/>
      <c r="J1033" s="79" t="e">
        <f t="shared" si="23"/>
        <v>#VALUE!</v>
      </c>
      <c r="K1033" s="106"/>
      <c r="L1033" s="107"/>
      <c r="M1033" s="106"/>
      <c r="N1033" s="106"/>
      <c r="O1033" s="108"/>
      <c r="P1033" s="108"/>
      <c r="Q1033" s="108"/>
      <c r="R1033" s="109"/>
      <c r="S1033" s="109"/>
      <c r="T1033" s="108"/>
      <c r="U1033" s="110"/>
      <c r="V1033" s="110"/>
      <c r="W1033" s="110"/>
      <c r="X1033" s="110"/>
    </row>
    <row r="1034" spans="1:24" ht="14.25" customHeight="1">
      <c r="A1034" s="110"/>
      <c r="B1034" s="125">
        <v>46182</v>
      </c>
      <c r="C1034" s="126" t="s">
        <v>139</v>
      </c>
      <c r="D1034" s="15" t="s">
        <v>140</v>
      </c>
      <c r="E1034" s="10" t="str">
        <f>TRIM(VLOOKUP(D1034,TB!$B$9:$C$1500,2,FALSE))</f>
        <v>Prepaid others</v>
      </c>
      <c r="F1034" s="160" t="s">
        <v>142</v>
      </c>
      <c r="G1034" s="156"/>
      <c r="H1034" s="157">
        <v>400000</v>
      </c>
      <c r="I1034" s="12"/>
      <c r="J1034" s="79" t="e">
        <f t="shared" si="23"/>
        <v>#VALUE!</v>
      </c>
      <c r="K1034" s="106"/>
      <c r="L1034" s="107"/>
      <c r="M1034" s="106"/>
      <c r="N1034" s="106"/>
      <c r="O1034" s="108"/>
      <c r="P1034" s="108"/>
      <c r="Q1034" s="108"/>
      <c r="R1034" s="109"/>
      <c r="S1034" s="109"/>
      <c r="T1034" s="108"/>
      <c r="U1034" s="110"/>
      <c r="V1034" s="110"/>
      <c r="W1034" s="110"/>
      <c r="X1034" s="110"/>
    </row>
    <row r="1035" spans="1:24" ht="14.25" customHeight="1">
      <c r="A1035" s="110"/>
      <c r="B1035" s="125">
        <v>46182</v>
      </c>
      <c r="C1035" s="126" t="s">
        <v>139</v>
      </c>
      <c r="D1035" s="68" t="s">
        <v>122</v>
      </c>
      <c r="E1035" s="10" t="str">
        <f>TRIM(VLOOKUP(D1035,TB!$B$9:$C$1500,2,FALSE))</f>
        <v>Cimb Niaga TBB</v>
      </c>
      <c r="F1035" s="160" t="s">
        <v>141</v>
      </c>
      <c r="G1035" s="156"/>
      <c r="H1035" s="157"/>
      <c r="I1035" s="157">
        <v>400000</v>
      </c>
      <c r="J1035" s="79" t="e">
        <f t="shared" si="23"/>
        <v>#VALUE!</v>
      </c>
      <c r="K1035" s="106"/>
      <c r="L1035" s="107"/>
      <c r="M1035" s="106"/>
      <c r="N1035" s="106"/>
      <c r="O1035" s="108"/>
      <c r="P1035" s="108"/>
      <c r="Q1035" s="108"/>
      <c r="R1035" s="109"/>
      <c r="S1035" s="109"/>
      <c r="T1035" s="108"/>
      <c r="U1035" s="110"/>
      <c r="V1035" s="110"/>
      <c r="W1035" s="110"/>
      <c r="X1035" s="110"/>
    </row>
    <row r="1036" spans="1:24" ht="14.25" customHeight="1">
      <c r="A1036" s="110"/>
      <c r="B1036" s="125">
        <v>46182</v>
      </c>
      <c r="C1036" s="126" t="s">
        <v>139</v>
      </c>
      <c r="D1036" s="68" t="s">
        <v>122</v>
      </c>
      <c r="E1036" s="10" t="str">
        <f>TRIM(VLOOKUP(D1036,TB!$B$9:$C$1500,2,FALSE))</f>
        <v>Cimb Niaga TBB</v>
      </c>
      <c r="F1036" s="160" t="s">
        <v>142</v>
      </c>
      <c r="G1036" s="156"/>
      <c r="H1036" s="157"/>
      <c r="I1036" s="157">
        <v>400000</v>
      </c>
      <c r="J1036" s="79" t="e">
        <f t="shared" si="23"/>
        <v>#VALUE!</v>
      </c>
      <c r="K1036" s="106"/>
      <c r="L1036" s="107"/>
      <c r="M1036" s="106"/>
      <c r="N1036" s="106"/>
      <c r="O1036" s="108"/>
      <c r="P1036" s="108"/>
      <c r="Q1036" s="108"/>
      <c r="R1036" s="109"/>
      <c r="S1036" s="109"/>
      <c r="T1036" s="108"/>
      <c r="U1036" s="110"/>
      <c r="V1036" s="110"/>
      <c r="W1036" s="110"/>
      <c r="X1036" s="110"/>
    </row>
    <row r="1037" spans="1:24" ht="14.25" customHeight="1">
      <c r="A1037" s="110"/>
      <c r="B1037" s="125"/>
      <c r="C1037" s="126"/>
      <c r="D1037" s="159"/>
      <c r="E1037" s="10" t="e">
        <f>TRIM(VLOOKUP(D1037,TB!$B$9:$C$1500,2,FALSE))</f>
        <v>#N/A</v>
      </c>
      <c r="F1037" s="10"/>
      <c r="G1037" s="156"/>
      <c r="H1037" s="157"/>
      <c r="I1037" s="12"/>
      <c r="J1037" s="79" t="e">
        <f t="shared" si="23"/>
        <v>#VALUE!</v>
      </c>
      <c r="K1037" s="106"/>
      <c r="L1037" s="107"/>
      <c r="M1037" s="106"/>
      <c r="N1037" s="106"/>
      <c r="O1037" s="108"/>
      <c r="P1037" s="108"/>
      <c r="Q1037" s="108"/>
      <c r="R1037" s="109"/>
      <c r="S1037" s="109"/>
      <c r="T1037" s="108"/>
      <c r="U1037" s="110"/>
      <c r="V1037" s="110"/>
      <c r="W1037" s="110"/>
      <c r="X1037" s="110"/>
    </row>
    <row r="1038" spans="1:24" ht="14.25" customHeight="1">
      <c r="A1038" s="110"/>
      <c r="B1038" s="125">
        <v>46191</v>
      </c>
      <c r="C1038" s="126" t="s">
        <v>143</v>
      </c>
      <c r="D1038" s="68" t="s">
        <v>122</v>
      </c>
      <c r="E1038" s="10" t="str">
        <f>TRIM(VLOOKUP(D1038,TB!$B$9:$C$1500,2,FALSE))</f>
        <v>Cimb Niaga TBB</v>
      </c>
      <c r="F1038" s="10" t="s">
        <v>144</v>
      </c>
      <c r="G1038" s="156"/>
      <c r="H1038" s="157">
        <f>I1040-H1039</f>
        <v>4646373.2620000001</v>
      </c>
      <c r="I1038" s="12"/>
      <c r="J1038" s="79" t="e">
        <f t="shared" si="23"/>
        <v>#VALUE!</v>
      </c>
      <c r="K1038" s="106"/>
      <c r="L1038" s="107"/>
      <c r="M1038" s="106"/>
      <c r="N1038" s="106"/>
      <c r="O1038" s="108"/>
      <c r="P1038" s="108"/>
      <c r="Q1038" s="108"/>
      <c r="R1038" s="109"/>
      <c r="S1038" s="109"/>
      <c r="T1038" s="108"/>
      <c r="U1038" s="110"/>
      <c r="V1038" s="110"/>
      <c r="W1038" s="110"/>
      <c r="X1038" s="110"/>
    </row>
    <row r="1039" spans="1:24" ht="14.25" customHeight="1">
      <c r="A1039" s="110"/>
      <c r="B1039" s="125">
        <v>46191</v>
      </c>
      <c r="C1039" s="126" t="s">
        <v>143</v>
      </c>
      <c r="D1039" s="15" t="s">
        <v>124</v>
      </c>
      <c r="E1039" s="10" t="str">
        <f>TRIM(VLOOKUP(D1039,TB!$B$9:$C$1500,2,FALSE))</f>
        <v>Bank charges</v>
      </c>
      <c r="F1039" s="10" t="s">
        <v>144</v>
      </c>
      <c r="G1039" s="156"/>
      <c r="H1039" s="157">
        <f>I1040*1.8%</f>
        <v>85167.738000000012</v>
      </c>
      <c r="I1039" s="12"/>
      <c r="J1039" s="79" t="e">
        <f t="shared" si="23"/>
        <v>#VALUE!</v>
      </c>
      <c r="K1039" s="106"/>
      <c r="L1039" s="107"/>
      <c r="M1039" s="106"/>
      <c r="N1039" s="106"/>
      <c r="O1039" s="108"/>
      <c r="P1039" s="108"/>
      <c r="Q1039" s="108"/>
      <c r="R1039" s="109"/>
      <c r="S1039" s="109"/>
      <c r="T1039" s="108"/>
      <c r="U1039" s="110"/>
      <c r="V1039" s="110"/>
      <c r="W1039" s="110"/>
      <c r="X1039" s="110"/>
    </row>
    <row r="1040" spans="1:24" ht="14.25" customHeight="1">
      <c r="A1040" s="110"/>
      <c r="B1040" s="125">
        <v>46191</v>
      </c>
      <c r="C1040" s="126" t="s">
        <v>143</v>
      </c>
      <c r="D1040" s="15" t="s">
        <v>45</v>
      </c>
      <c r="E1040" s="10" t="str">
        <f>TRIM(VLOOKUP(D1040,TB!$B$9:$C$1500,2,FALSE))</f>
        <v>Credit Card Cimb Niaga TBB</v>
      </c>
      <c r="F1040" s="10" t="s">
        <v>144</v>
      </c>
      <c r="G1040" s="156"/>
      <c r="H1040" s="10"/>
      <c r="I1040" s="158">
        <v>4731541</v>
      </c>
      <c r="J1040" s="79" t="e">
        <f t="shared" si="23"/>
        <v>#VALUE!</v>
      </c>
      <c r="K1040" s="106"/>
      <c r="L1040" s="107"/>
      <c r="M1040" s="106"/>
      <c r="N1040" s="106"/>
      <c r="O1040" s="108"/>
      <c r="P1040" s="108"/>
      <c r="Q1040" s="108"/>
      <c r="R1040" s="109"/>
      <c r="S1040" s="109"/>
      <c r="T1040" s="108"/>
      <c r="U1040" s="110"/>
      <c r="V1040" s="110"/>
      <c r="W1040" s="110"/>
      <c r="X1040" s="110"/>
    </row>
    <row r="1041" spans="1:24" ht="14.25" customHeight="1">
      <c r="A1041" s="110"/>
      <c r="B1041" s="125"/>
      <c r="C1041" s="126"/>
      <c r="D1041" s="68"/>
      <c r="E1041" s="10" t="e">
        <f>TRIM(VLOOKUP(D1041,TB!$B$9:$C$1500,2,FALSE))</f>
        <v>#N/A</v>
      </c>
      <c r="F1041" s="10"/>
      <c r="G1041" s="156"/>
      <c r="H1041" s="10"/>
      <c r="I1041" s="12"/>
      <c r="J1041" s="79" t="e">
        <f t="shared" si="23"/>
        <v>#VALUE!</v>
      </c>
      <c r="K1041" s="106"/>
      <c r="L1041" s="107"/>
      <c r="M1041" s="106"/>
      <c r="N1041" s="106"/>
      <c r="O1041" s="108"/>
      <c r="P1041" s="108"/>
      <c r="Q1041" s="108"/>
      <c r="R1041" s="109"/>
      <c r="S1041" s="109"/>
      <c r="T1041" s="108"/>
      <c r="U1041" s="110"/>
      <c r="V1041" s="110"/>
      <c r="W1041" s="110"/>
      <c r="X1041" s="110"/>
    </row>
    <row r="1042" spans="1:24" ht="14.25" customHeight="1">
      <c r="A1042" s="110"/>
      <c r="B1042" s="125">
        <v>46191</v>
      </c>
      <c r="C1042" s="126" t="s">
        <v>145</v>
      </c>
      <c r="D1042" s="68" t="s">
        <v>122</v>
      </c>
      <c r="E1042" s="10" t="str">
        <f>TRIM(VLOOKUP(D1042,TB!$B$9:$C$1500,2,FALSE))</f>
        <v>Cimb Niaga TBB</v>
      </c>
      <c r="F1042" s="10" t="s">
        <v>146</v>
      </c>
      <c r="G1042" s="156"/>
      <c r="H1042" s="157">
        <f>I1044-H1043</f>
        <v>5025581.4000000004</v>
      </c>
      <c r="I1042" s="12"/>
      <c r="J1042" s="79" t="e">
        <f t="shared" si="23"/>
        <v>#VALUE!</v>
      </c>
      <c r="K1042" s="106"/>
      <c r="L1042" s="107"/>
      <c r="M1042" s="106"/>
      <c r="N1042" s="106"/>
      <c r="O1042" s="108"/>
      <c r="P1042" s="108"/>
      <c r="Q1042" s="108"/>
      <c r="R1042" s="109"/>
      <c r="S1042" s="109"/>
      <c r="T1042" s="108"/>
      <c r="U1042" s="110"/>
      <c r="V1042" s="110"/>
      <c r="W1042" s="110"/>
      <c r="X1042" s="110"/>
    </row>
    <row r="1043" spans="1:24" ht="14.25" customHeight="1">
      <c r="A1043" s="110"/>
      <c r="B1043" s="125">
        <v>46191</v>
      </c>
      <c r="C1043" s="126" t="s">
        <v>145</v>
      </c>
      <c r="D1043" s="15" t="s">
        <v>124</v>
      </c>
      <c r="E1043" s="10" t="str">
        <f>TRIM(VLOOKUP(D1043,TB!$B$9:$C$1500,2,FALSE))</f>
        <v>Bank charges</v>
      </c>
      <c r="F1043" s="10" t="s">
        <v>146</v>
      </c>
      <c r="G1043" s="156"/>
      <c r="H1043" s="157">
        <f>I1044*1.8%</f>
        <v>92118.6</v>
      </c>
      <c r="I1043" s="12"/>
      <c r="J1043" s="79" t="e">
        <f t="shared" si="23"/>
        <v>#VALUE!</v>
      </c>
      <c r="K1043" s="106"/>
      <c r="L1043" s="107"/>
      <c r="M1043" s="106"/>
      <c r="N1043" s="106"/>
      <c r="O1043" s="108"/>
      <c r="P1043" s="108"/>
      <c r="Q1043" s="108"/>
      <c r="R1043" s="109"/>
      <c r="S1043" s="109"/>
      <c r="T1043" s="108"/>
      <c r="U1043" s="110"/>
      <c r="V1043" s="110"/>
      <c r="W1043" s="110"/>
      <c r="X1043" s="110"/>
    </row>
    <row r="1044" spans="1:24" ht="14.25" customHeight="1">
      <c r="A1044" s="110"/>
      <c r="B1044" s="125">
        <v>46191</v>
      </c>
      <c r="C1044" s="126" t="s">
        <v>145</v>
      </c>
      <c r="D1044" s="15" t="s">
        <v>45</v>
      </c>
      <c r="E1044" s="10" t="str">
        <f>TRIM(VLOOKUP(D1044,TB!$B$9:$C$1500,2,FALSE))</f>
        <v>Credit Card Cimb Niaga TBB</v>
      </c>
      <c r="F1044" s="10" t="s">
        <v>146</v>
      </c>
      <c r="G1044" s="156"/>
      <c r="H1044" s="10"/>
      <c r="I1044" s="158">
        <v>5117700</v>
      </c>
      <c r="J1044" s="79" t="e">
        <f t="shared" si="23"/>
        <v>#VALUE!</v>
      </c>
      <c r="K1044" s="106"/>
      <c r="L1044" s="107"/>
      <c r="M1044" s="106"/>
      <c r="N1044" s="106"/>
      <c r="O1044" s="108"/>
      <c r="P1044" s="108"/>
      <c r="Q1044" s="108"/>
      <c r="R1044" s="109"/>
      <c r="S1044" s="109"/>
      <c r="T1044" s="108"/>
      <c r="U1044" s="110"/>
      <c r="V1044" s="110"/>
      <c r="W1044" s="110"/>
      <c r="X1044" s="110"/>
    </row>
    <row r="1045" spans="1:24" ht="14.25" customHeight="1">
      <c r="A1045" s="110"/>
      <c r="B1045" s="125"/>
      <c r="C1045" s="126"/>
      <c r="D1045" s="159"/>
      <c r="E1045" s="10" t="e">
        <f>TRIM(VLOOKUP(D1045,TB!$B$9:$C$1500,2,FALSE))</f>
        <v>#N/A</v>
      </c>
      <c r="F1045" s="10"/>
      <c r="G1045" s="156"/>
      <c r="H1045" s="10"/>
      <c r="I1045" s="12"/>
      <c r="J1045" s="79" t="e">
        <f t="shared" si="23"/>
        <v>#VALUE!</v>
      </c>
      <c r="K1045" s="106"/>
      <c r="L1045" s="107"/>
      <c r="M1045" s="106"/>
      <c r="N1045" s="106"/>
      <c r="O1045" s="108"/>
      <c r="P1045" s="108"/>
      <c r="Q1045" s="108"/>
      <c r="R1045" s="109"/>
      <c r="S1045" s="109"/>
      <c r="T1045" s="108"/>
      <c r="U1045" s="110"/>
      <c r="V1045" s="110"/>
      <c r="W1045" s="110"/>
      <c r="X1045" s="110"/>
    </row>
    <row r="1046" spans="1:24" ht="14.25" customHeight="1">
      <c r="A1046" s="110"/>
      <c r="B1046" s="125">
        <v>46191</v>
      </c>
      <c r="C1046" s="126" t="s">
        <v>147</v>
      </c>
      <c r="D1046" s="68" t="s">
        <v>122</v>
      </c>
      <c r="E1046" s="10" t="str">
        <f>TRIM(VLOOKUP(D1046,TB!$B$9:$C$1500,2,FALSE))</f>
        <v>Cimb Niaga TBB</v>
      </c>
      <c r="F1046" s="10" t="s">
        <v>148</v>
      </c>
      <c r="G1046" s="156"/>
      <c r="H1046" s="157">
        <f>I1048-H1047</f>
        <v>7297707.4680000003</v>
      </c>
      <c r="I1046" s="12"/>
      <c r="J1046" s="79" t="e">
        <f t="shared" si="23"/>
        <v>#VALUE!</v>
      </c>
      <c r="K1046" s="106"/>
      <c r="L1046" s="107"/>
      <c r="M1046" s="106"/>
      <c r="N1046" s="106"/>
      <c r="O1046" s="108"/>
      <c r="P1046" s="108"/>
      <c r="Q1046" s="108"/>
      <c r="R1046" s="109"/>
      <c r="S1046" s="109"/>
      <c r="T1046" s="108"/>
      <c r="U1046" s="110"/>
      <c r="V1046" s="110"/>
      <c r="W1046" s="110"/>
      <c r="X1046" s="110"/>
    </row>
    <row r="1047" spans="1:24" ht="14.25" customHeight="1">
      <c r="A1047" s="110"/>
      <c r="B1047" s="125">
        <v>46191</v>
      </c>
      <c r="C1047" s="126" t="s">
        <v>147</v>
      </c>
      <c r="D1047" s="15" t="s">
        <v>124</v>
      </c>
      <c r="E1047" s="10" t="str">
        <f>TRIM(VLOOKUP(D1047,TB!$B$9:$C$1500,2,FALSE))</f>
        <v>Bank charges</v>
      </c>
      <c r="F1047" s="10" t="s">
        <v>148</v>
      </c>
      <c r="G1047" s="156"/>
      <c r="H1047" s="157">
        <f>I1048*1.8%</f>
        <v>133766.53200000001</v>
      </c>
      <c r="I1047" s="12"/>
      <c r="J1047" s="79" t="e">
        <f t="shared" si="23"/>
        <v>#VALUE!</v>
      </c>
      <c r="K1047" s="106"/>
      <c r="L1047" s="107"/>
      <c r="M1047" s="106"/>
      <c r="N1047" s="106"/>
      <c r="O1047" s="108"/>
      <c r="P1047" s="108"/>
      <c r="Q1047" s="108"/>
      <c r="R1047" s="109"/>
      <c r="S1047" s="109"/>
      <c r="T1047" s="108"/>
      <c r="U1047" s="110"/>
      <c r="V1047" s="110"/>
      <c r="W1047" s="110"/>
      <c r="X1047" s="110"/>
    </row>
    <row r="1048" spans="1:24" ht="14.25" customHeight="1">
      <c r="A1048" s="110"/>
      <c r="B1048" s="125">
        <v>46191</v>
      </c>
      <c r="C1048" s="126" t="s">
        <v>147</v>
      </c>
      <c r="D1048" s="15" t="s">
        <v>45</v>
      </c>
      <c r="E1048" s="10" t="str">
        <f>TRIM(VLOOKUP(D1048,TB!$B$9:$C$1500,2,FALSE))</f>
        <v>Credit Card Cimb Niaga TBB</v>
      </c>
      <c r="F1048" s="10" t="s">
        <v>148</v>
      </c>
      <c r="G1048" s="156"/>
      <c r="H1048" s="10"/>
      <c r="I1048" s="158">
        <v>7431474</v>
      </c>
      <c r="J1048" s="79" t="e">
        <f t="shared" si="23"/>
        <v>#VALUE!</v>
      </c>
      <c r="K1048" s="106"/>
      <c r="L1048" s="107"/>
      <c r="M1048" s="106"/>
      <c r="N1048" s="106"/>
      <c r="O1048" s="108"/>
      <c r="P1048" s="108"/>
      <c r="Q1048" s="108"/>
      <c r="R1048" s="109"/>
      <c r="S1048" s="109"/>
      <c r="T1048" s="108"/>
      <c r="U1048" s="110"/>
      <c r="V1048" s="110"/>
      <c r="W1048" s="110"/>
      <c r="X1048" s="110"/>
    </row>
    <row r="1049" spans="1:24" ht="14.25" customHeight="1">
      <c r="A1049" s="110"/>
      <c r="B1049" s="125"/>
      <c r="C1049" s="126"/>
      <c r="D1049" s="15"/>
      <c r="E1049" s="10" t="e">
        <f>TRIM(VLOOKUP(D1049,TB!$B$9:$C$1500,2,FALSE))</f>
        <v>#N/A</v>
      </c>
      <c r="F1049" s="10"/>
      <c r="G1049" s="156"/>
      <c r="H1049" s="10"/>
      <c r="I1049" s="12"/>
      <c r="J1049" s="79" t="e">
        <f t="shared" si="23"/>
        <v>#VALUE!</v>
      </c>
      <c r="K1049" s="106"/>
      <c r="L1049" s="107"/>
      <c r="M1049" s="106"/>
      <c r="N1049" s="106"/>
      <c r="O1049" s="108"/>
      <c r="P1049" s="108"/>
      <c r="Q1049" s="108"/>
      <c r="R1049" s="109"/>
      <c r="S1049" s="109"/>
      <c r="T1049" s="108"/>
      <c r="U1049" s="110"/>
      <c r="V1049" s="110"/>
      <c r="W1049" s="110"/>
      <c r="X1049" s="110"/>
    </row>
    <row r="1050" spans="1:24" ht="14.25" customHeight="1">
      <c r="A1050" s="110"/>
      <c r="B1050" s="125">
        <v>46191</v>
      </c>
      <c r="C1050" s="126" t="s">
        <v>149</v>
      </c>
      <c r="D1050" s="68" t="s">
        <v>122</v>
      </c>
      <c r="E1050" s="10" t="str">
        <f>TRIM(VLOOKUP(D1050,TB!$B$9:$C$1500,2,FALSE))</f>
        <v>Cimb Niaga TBB</v>
      </c>
      <c r="F1050" s="10" t="s">
        <v>150</v>
      </c>
      <c r="G1050" s="156"/>
      <c r="H1050" s="157">
        <f>I1052-H1051</f>
        <v>5201163</v>
      </c>
      <c r="I1050" s="12"/>
      <c r="J1050" s="79" t="e">
        <f t="shared" si="23"/>
        <v>#VALUE!</v>
      </c>
      <c r="K1050" s="106"/>
      <c r="L1050" s="107"/>
      <c r="M1050" s="106"/>
      <c r="N1050" s="106"/>
      <c r="O1050" s="108"/>
      <c r="P1050" s="108"/>
      <c r="Q1050" s="108"/>
      <c r="R1050" s="109"/>
      <c r="S1050" s="109"/>
      <c r="T1050" s="108"/>
      <c r="U1050" s="110"/>
      <c r="V1050" s="110"/>
      <c r="W1050" s="110"/>
      <c r="X1050" s="110"/>
    </row>
    <row r="1051" spans="1:24" ht="14.25" customHeight="1">
      <c r="A1051" s="110"/>
      <c r="B1051" s="125">
        <v>46191</v>
      </c>
      <c r="C1051" s="126" t="s">
        <v>149</v>
      </c>
      <c r="D1051" s="15" t="s">
        <v>124</v>
      </c>
      <c r="E1051" s="10" t="str">
        <f>TRIM(VLOOKUP(D1051,TB!$B$9:$C$1500,2,FALSE))</f>
        <v>Bank charges</v>
      </c>
      <c r="F1051" s="10" t="s">
        <v>150</v>
      </c>
      <c r="G1051" s="156"/>
      <c r="H1051" s="157">
        <f>I1052*1.8%</f>
        <v>95337.000000000015</v>
      </c>
      <c r="I1051" s="12"/>
      <c r="J1051" s="79" t="e">
        <f t="shared" si="23"/>
        <v>#VALUE!</v>
      </c>
      <c r="K1051" s="106"/>
      <c r="L1051" s="107"/>
      <c r="M1051" s="106"/>
      <c r="N1051" s="106"/>
      <c r="O1051" s="108"/>
      <c r="P1051" s="108"/>
      <c r="Q1051" s="108"/>
      <c r="R1051" s="109"/>
      <c r="S1051" s="109"/>
      <c r="T1051" s="108"/>
      <c r="U1051" s="110"/>
      <c r="V1051" s="110"/>
      <c r="W1051" s="110"/>
      <c r="X1051" s="110"/>
    </row>
    <row r="1052" spans="1:24" ht="14.25" customHeight="1">
      <c r="A1052" s="110"/>
      <c r="B1052" s="125">
        <v>46191</v>
      </c>
      <c r="C1052" s="126" t="s">
        <v>149</v>
      </c>
      <c r="D1052" s="15" t="s">
        <v>45</v>
      </c>
      <c r="E1052" s="10" t="str">
        <f>TRIM(VLOOKUP(D1052,TB!$B$9:$C$1500,2,FALSE))</f>
        <v>Credit Card Cimb Niaga TBB</v>
      </c>
      <c r="F1052" s="10" t="s">
        <v>150</v>
      </c>
      <c r="G1052" s="156"/>
      <c r="H1052" s="10"/>
      <c r="I1052" s="158">
        <v>5296500</v>
      </c>
      <c r="J1052" s="79" t="e">
        <f t="shared" si="23"/>
        <v>#VALUE!</v>
      </c>
      <c r="K1052" s="106"/>
      <c r="L1052" s="107"/>
      <c r="M1052" s="106"/>
      <c r="N1052" s="106"/>
      <c r="O1052" s="108"/>
      <c r="P1052" s="108"/>
      <c r="Q1052" s="108"/>
      <c r="R1052" s="109"/>
      <c r="S1052" s="109"/>
      <c r="T1052" s="108"/>
      <c r="U1052" s="110"/>
      <c r="V1052" s="110"/>
      <c r="W1052" s="110"/>
      <c r="X1052" s="110"/>
    </row>
    <row r="1053" spans="1:24" ht="14.25" customHeight="1">
      <c r="A1053" s="110"/>
      <c r="B1053" s="125"/>
      <c r="C1053" s="126"/>
      <c r="D1053" s="15"/>
      <c r="E1053" s="10" t="e">
        <f>TRIM(VLOOKUP(D1053,TB!$B$9:$C$1500,2,FALSE))</f>
        <v>#N/A</v>
      </c>
      <c r="F1053" s="10"/>
      <c r="G1053" s="156"/>
      <c r="H1053" s="10"/>
      <c r="I1053" s="12"/>
      <c r="J1053" s="79" t="e">
        <f t="shared" si="23"/>
        <v>#VALUE!</v>
      </c>
      <c r="K1053" s="106"/>
      <c r="L1053" s="107"/>
      <c r="M1053" s="106"/>
      <c r="N1053" s="106"/>
      <c r="O1053" s="108"/>
      <c r="P1053" s="108"/>
      <c r="Q1053" s="108"/>
      <c r="R1053" s="109"/>
      <c r="S1053" s="109"/>
      <c r="T1053" s="108"/>
      <c r="U1053" s="110"/>
      <c r="V1053" s="110"/>
      <c r="W1053" s="110"/>
      <c r="X1053" s="110"/>
    </row>
    <row r="1054" spans="1:24" ht="14.25" customHeight="1">
      <c r="A1054" s="110"/>
      <c r="B1054" s="125">
        <v>46191</v>
      </c>
      <c r="C1054" s="126" t="s">
        <v>151</v>
      </c>
      <c r="D1054" s="68" t="s">
        <v>122</v>
      </c>
      <c r="E1054" s="10" t="str">
        <f>TRIM(VLOOKUP(D1054,TB!$B$9:$C$1500,2,FALSE))</f>
        <v>Cimb Niaga TBB</v>
      </c>
      <c r="F1054" s="10" t="s">
        <v>152</v>
      </c>
      <c r="G1054" s="156"/>
      <c r="H1054" s="157">
        <f>I1056-H1055</f>
        <v>115581.4</v>
      </c>
      <c r="I1054" s="12"/>
      <c r="J1054" s="79" t="e">
        <f t="shared" si="23"/>
        <v>#VALUE!</v>
      </c>
      <c r="K1054" s="106"/>
      <c r="L1054" s="107"/>
      <c r="M1054" s="106"/>
      <c r="N1054" s="106"/>
      <c r="O1054" s="108"/>
      <c r="P1054" s="108"/>
      <c r="Q1054" s="108"/>
      <c r="R1054" s="109"/>
      <c r="S1054" s="109"/>
      <c r="T1054" s="108"/>
      <c r="U1054" s="110"/>
      <c r="V1054" s="110"/>
      <c r="W1054" s="110"/>
      <c r="X1054" s="110"/>
    </row>
    <row r="1055" spans="1:24" ht="14.25" customHeight="1">
      <c r="A1055" s="110"/>
      <c r="B1055" s="125">
        <v>46191</v>
      </c>
      <c r="C1055" s="126" t="s">
        <v>151</v>
      </c>
      <c r="D1055" s="15" t="s">
        <v>124</v>
      </c>
      <c r="E1055" s="10" t="str">
        <f>TRIM(VLOOKUP(D1055,TB!$B$9:$C$1500,2,FALSE))</f>
        <v>Bank charges</v>
      </c>
      <c r="F1055" s="10" t="s">
        <v>152</v>
      </c>
      <c r="G1055" s="156"/>
      <c r="H1055" s="157">
        <f>I1056*1.8%</f>
        <v>2118.6000000000004</v>
      </c>
      <c r="I1055" s="12"/>
      <c r="J1055" s="79" t="e">
        <f t="shared" si="23"/>
        <v>#VALUE!</v>
      </c>
      <c r="K1055" s="106"/>
      <c r="L1055" s="107"/>
      <c r="M1055" s="106"/>
      <c r="N1055" s="106"/>
      <c r="O1055" s="108"/>
      <c r="P1055" s="108"/>
      <c r="Q1055" s="108"/>
      <c r="R1055" s="109"/>
      <c r="S1055" s="109"/>
      <c r="T1055" s="108"/>
      <c r="U1055" s="110"/>
      <c r="V1055" s="110"/>
      <c r="W1055" s="110"/>
      <c r="X1055" s="110"/>
    </row>
    <row r="1056" spans="1:24" ht="14.25" customHeight="1">
      <c r="A1056" s="110"/>
      <c r="B1056" s="125">
        <v>46191</v>
      </c>
      <c r="C1056" s="126" t="s">
        <v>151</v>
      </c>
      <c r="D1056" s="15" t="s">
        <v>45</v>
      </c>
      <c r="E1056" s="10" t="str">
        <f>TRIM(VLOOKUP(D1056,TB!$B$9:$C$1500,2,FALSE))</f>
        <v>Credit Card Cimb Niaga TBB</v>
      </c>
      <c r="F1056" s="10" t="s">
        <v>152</v>
      </c>
      <c r="G1056" s="161"/>
      <c r="H1056" s="10"/>
      <c r="I1056" s="157">
        <v>117700</v>
      </c>
      <c r="J1056" s="79" t="e">
        <f t="shared" si="23"/>
        <v>#VALUE!</v>
      </c>
      <c r="K1056" s="106"/>
      <c r="L1056" s="107"/>
      <c r="M1056" s="106"/>
      <c r="N1056" s="106"/>
      <c r="O1056" s="108"/>
      <c r="P1056" s="108"/>
      <c r="Q1056" s="108"/>
      <c r="R1056" s="109"/>
      <c r="S1056" s="109"/>
      <c r="T1056" s="108"/>
      <c r="U1056" s="110"/>
      <c r="V1056" s="110"/>
      <c r="W1056" s="110"/>
      <c r="X1056" s="110"/>
    </row>
    <row r="1057" spans="1:24" ht="14.25" customHeight="1">
      <c r="A1057" s="110"/>
      <c r="B1057" s="125"/>
      <c r="C1057" s="126"/>
      <c r="D1057" s="159"/>
      <c r="E1057" s="10" t="e">
        <f>TRIM(VLOOKUP(D1057,TB!$B$9:$C$1500,2,FALSE))</f>
        <v>#N/A</v>
      </c>
      <c r="F1057" s="142"/>
      <c r="G1057" s="130"/>
      <c r="H1057" s="10"/>
      <c r="I1057" s="10"/>
      <c r="J1057" s="79" t="e">
        <f t="shared" si="23"/>
        <v>#VALUE!</v>
      </c>
      <c r="K1057" s="106"/>
      <c r="L1057" s="107"/>
      <c r="M1057" s="106"/>
      <c r="N1057" s="106"/>
      <c r="O1057" s="108"/>
      <c r="P1057" s="108"/>
      <c r="Q1057" s="108"/>
      <c r="R1057" s="109"/>
      <c r="S1057" s="109"/>
      <c r="T1057" s="108"/>
      <c r="U1057" s="110"/>
      <c r="V1057" s="110"/>
      <c r="W1057" s="110"/>
      <c r="X1057" s="110"/>
    </row>
    <row r="1058" spans="1:24" ht="14.25" customHeight="1">
      <c r="A1058" s="110"/>
      <c r="B1058" s="125">
        <v>46195</v>
      </c>
      <c r="C1058" s="126" t="s">
        <v>153</v>
      </c>
      <c r="D1058" s="68" t="s">
        <v>122</v>
      </c>
      <c r="E1058" s="10" t="str">
        <f>TRIM(VLOOKUP(D1058,TB!$B$9:$C$1500,2,FALSE))</f>
        <v>Cimb Niaga TBB</v>
      </c>
      <c r="F1058" s="142" t="s">
        <v>154</v>
      </c>
      <c r="G1058" s="130"/>
      <c r="H1058" s="157">
        <f>I1060-H1059</f>
        <v>9106488.6199999992</v>
      </c>
      <c r="I1058" s="10"/>
      <c r="J1058" s="79" t="e">
        <f t="shared" si="23"/>
        <v>#VALUE!</v>
      </c>
      <c r="K1058" s="106"/>
      <c r="L1058" s="107"/>
      <c r="M1058" s="106"/>
      <c r="N1058" s="106"/>
      <c r="O1058" s="108"/>
      <c r="P1058" s="108"/>
      <c r="Q1058" s="108"/>
      <c r="R1058" s="109"/>
      <c r="S1058" s="109"/>
      <c r="T1058" s="108"/>
      <c r="U1058" s="110"/>
      <c r="V1058" s="110"/>
      <c r="W1058" s="110"/>
      <c r="X1058" s="110"/>
    </row>
    <row r="1059" spans="1:24" ht="14.25" customHeight="1">
      <c r="A1059" s="110"/>
      <c r="B1059" s="125">
        <v>46195</v>
      </c>
      <c r="C1059" s="126" t="s">
        <v>153</v>
      </c>
      <c r="D1059" s="15" t="s">
        <v>124</v>
      </c>
      <c r="E1059" s="10" t="str">
        <f>TRIM(VLOOKUP(D1059,TB!$B$9:$C$1500,2,FALSE))</f>
        <v>Bank charges</v>
      </c>
      <c r="F1059" s="142" t="s">
        <v>154</v>
      </c>
      <c r="G1059" s="130"/>
      <c r="H1059" s="157">
        <f>I1060*1.8%</f>
        <v>166921.38000000003</v>
      </c>
      <c r="I1059" s="10"/>
      <c r="J1059" s="79" t="e">
        <f t="shared" si="23"/>
        <v>#VALUE!</v>
      </c>
      <c r="K1059" s="106"/>
      <c r="L1059" s="107"/>
      <c r="M1059" s="106"/>
      <c r="N1059" s="106"/>
      <c r="O1059" s="108"/>
      <c r="P1059" s="108"/>
      <c r="Q1059" s="108"/>
      <c r="R1059" s="109"/>
      <c r="S1059" s="109"/>
      <c r="T1059" s="108"/>
      <c r="U1059" s="110"/>
      <c r="V1059" s="110"/>
      <c r="W1059" s="110"/>
      <c r="X1059" s="110"/>
    </row>
    <row r="1060" spans="1:24" ht="14.25" customHeight="1">
      <c r="A1060" s="110"/>
      <c r="B1060" s="125">
        <v>46195</v>
      </c>
      <c r="C1060" s="126" t="s">
        <v>153</v>
      </c>
      <c r="D1060" s="15" t="s">
        <v>45</v>
      </c>
      <c r="E1060" s="10" t="str">
        <f>TRIM(VLOOKUP(D1060,TB!$B$9:$C$1500,2,FALSE))</f>
        <v>Credit Card Cimb Niaga TBB</v>
      </c>
      <c r="F1060" s="142" t="s">
        <v>154</v>
      </c>
      <c r="G1060" s="130"/>
      <c r="H1060" s="10"/>
      <c r="I1060" s="10">
        <v>9273410</v>
      </c>
      <c r="J1060" s="79" t="e">
        <f t="shared" si="23"/>
        <v>#VALUE!</v>
      </c>
      <c r="K1060" s="106"/>
      <c r="L1060" s="107"/>
      <c r="M1060" s="106"/>
      <c r="N1060" s="106"/>
      <c r="O1060" s="108"/>
      <c r="P1060" s="108"/>
      <c r="Q1060" s="108"/>
      <c r="R1060" s="109"/>
      <c r="S1060" s="109"/>
      <c r="T1060" s="108"/>
      <c r="U1060" s="110"/>
      <c r="V1060" s="110"/>
      <c r="W1060" s="110"/>
      <c r="X1060" s="110"/>
    </row>
    <row r="1061" spans="1:24" ht="14.25" customHeight="1">
      <c r="A1061" s="110"/>
      <c r="B1061" s="125"/>
      <c r="C1061" s="126"/>
      <c r="D1061" s="15"/>
      <c r="E1061" s="10" t="e">
        <f>TRIM(VLOOKUP(D1061,TB!$B$9:$C$1500,2,FALSE))</f>
        <v>#N/A</v>
      </c>
      <c r="F1061" s="142"/>
      <c r="G1061" s="130"/>
      <c r="H1061" s="10"/>
      <c r="I1061" s="10"/>
      <c r="J1061" s="79" t="e">
        <f t="shared" si="23"/>
        <v>#VALUE!</v>
      </c>
      <c r="K1061" s="132"/>
      <c r="L1061" s="133"/>
      <c r="M1061" s="106"/>
      <c r="N1061" s="106"/>
      <c r="O1061" s="108"/>
      <c r="P1061" s="108"/>
      <c r="Q1061" s="108"/>
      <c r="R1061" s="109"/>
      <c r="S1061" s="109"/>
      <c r="T1061" s="108"/>
      <c r="U1061" s="110"/>
      <c r="V1061" s="110"/>
      <c r="W1061" s="110"/>
      <c r="X1061" s="110"/>
    </row>
    <row r="1062" spans="1:24" ht="14.25" customHeight="1">
      <c r="A1062" s="110"/>
      <c r="B1062" s="125">
        <v>46196</v>
      </c>
      <c r="C1062" s="126" t="s">
        <v>155</v>
      </c>
      <c r="D1062" s="68" t="s">
        <v>122</v>
      </c>
      <c r="E1062" s="10" t="str">
        <f>TRIM(VLOOKUP(D1062,TB!$B$9:$C$1500,2,FALSE))</f>
        <v>Cimb Niaga TBB</v>
      </c>
      <c r="F1062" s="142" t="s">
        <v>156</v>
      </c>
      <c r="G1062" s="130"/>
      <c r="H1062" s="157">
        <f>I1064-H1063</f>
        <v>13756430.470000001</v>
      </c>
      <c r="I1062" s="10"/>
      <c r="J1062" s="79" t="e">
        <f t="shared" si="23"/>
        <v>#VALUE!</v>
      </c>
      <c r="K1062" s="132"/>
      <c r="L1062" s="133"/>
      <c r="M1062" s="106"/>
      <c r="N1062" s="106"/>
      <c r="O1062" s="108"/>
      <c r="P1062" s="108"/>
      <c r="Q1062" s="108"/>
      <c r="R1062" s="109"/>
      <c r="S1062" s="109"/>
      <c r="T1062" s="108"/>
      <c r="U1062" s="110"/>
      <c r="V1062" s="110"/>
      <c r="W1062" s="110"/>
      <c r="X1062" s="110"/>
    </row>
    <row r="1063" spans="1:24" ht="14.25" customHeight="1">
      <c r="A1063" s="110"/>
      <c r="B1063" s="125">
        <v>46196</v>
      </c>
      <c r="C1063" s="126" t="s">
        <v>155</v>
      </c>
      <c r="D1063" s="15" t="s">
        <v>124</v>
      </c>
      <c r="E1063" s="10" t="str">
        <f>TRIM(VLOOKUP(D1063,TB!$B$9:$C$1500,2,FALSE))</f>
        <v>Bank charges</v>
      </c>
      <c r="F1063" s="142" t="s">
        <v>156</v>
      </c>
      <c r="G1063" s="130"/>
      <c r="H1063" s="157">
        <f>I1064*1.8%</f>
        <v>252154.53000000003</v>
      </c>
      <c r="I1063" s="10"/>
      <c r="J1063" s="79" t="e">
        <f t="shared" si="23"/>
        <v>#VALUE!</v>
      </c>
      <c r="K1063" s="132"/>
      <c r="L1063" s="133"/>
      <c r="M1063" s="106"/>
      <c r="N1063" s="106"/>
      <c r="O1063" s="108"/>
      <c r="P1063" s="108"/>
      <c r="Q1063" s="108"/>
      <c r="R1063" s="109"/>
      <c r="S1063" s="109"/>
      <c r="T1063" s="108"/>
      <c r="U1063" s="110"/>
      <c r="V1063" s="110"/>
      <c r="W1063" s="110"/>
      <c r="X1063" s="110"/>
    </row>
    <row r="1064" spans="1:24" ht="14.25" customHeight="1">
      <c r="A1064" s="110"/>
      <c r="B1064" s="125">
        <v>46196</v>
      </c>
      <c r="C1064" s="126" t="s">
        <v>155</v>
      </c>
      <c r="D1064" s="15" t="s">
        <v>45</v>
      </c>
      <c r="E1064" s="10" t="str">
        <f>TRIM(VLOOKUP(D1064,TB!$B$9:$C$1500,2,FALSE))</f>
        <v>Credit Card Cimb Niaga TBB</v>
      </c>
      <c r="F1064" s="142" t="s">
        <v>156</v>
      </c>
      <c r="G1064" s="130"/>
      <c r="H1064" s="10"/>
      <c r="I1064" s="10">
        <v>14008585</v>
      </c>
      <c r="J1064" s="79" t="e">
        <f t="shared" si="23"/>
        <v>#VALUE!</v>
      </c>
      <c r="K1064" s="132"/>
      <c r="L1064" s="133"/>
      <c r="M1064" s="106"/>
      <c r="N1064" s="106"/>
      <c r="O1064" s="108"/>
      <c r="P1064" s="108"/>
      <c r="Q1064" s="108"/>
      <c r="R1064" s="109"/>
      <c r="S1064" s="109"/>
      <c r="T1064" s="108"/>
      <c r="U1064" s="110"/>
      <c r="V1064" s="110"/>
      <c r="W1064" s="110"/>
      <c r="X1064" s="110"/>
    </row>
    <row r="1065" spans="1:24" ht="14.25" customHeight="1">
      <c r="A1065" s="110"/>
      <c r="B1065" s="125"/>
      <c r="C1065" s="126"/>
      <c r="D1065" s="159"/>
      <c r="E1065" s="10" t="e">
        <f>TRIM(VLOOKUP(D1065,TB!$B$9:$C$1500,2,FALSE))</f>
        <v>#N/A</v>
      </c>
      <c r="F1065" s="142"/>
      <c r="G1065" s="130"/>
      <c r="H1065" s="10"/>
      <c r="I1065" s="10"/>
      <c r="J1065" s="79" t="e">
        <f t="shared" si="23"/>
        <v>#VALUE!</v>
      </c>
      <c r="K1065" s="132"/>
      <c r="L1065" s="133"/>
      <c r="M1065" s="106"/>
      <c r="N1065" s="106"/>
      <c r="O1065" s="108"/>
      <c r="P1065" s="108"/>
      <c r="Q1065" s="108"/>
      <c r="R1065" s="109"/>
      <c r="S1065" s="109"/>
      <c r="T1065" s="108"/>
      <c r="U1065" s="110"/>
      <c r="V1065" s="110"/>
      <c r="W1065" s="110"/>
      <c r="X1065" s="110"/>
    </row>
    <row r="1066" spans="1:24" ht="14.25" customHeight="1">
      <c r="A1066" s="110"/>
      <c r="B1066" s="125">
        <v>46199</v>
      </c>
      <c r="C1066" s="126" t="s">
        <v>157</v>
      </c>
      <c r="D1066" s="68" t="s">
        <v>158</v>
      </c>
      <c r="E1066" s="10" t="str">
        <f>TRIM(VLOOKUP(D1066,TB!$B$9:$C$1500,2,FALSE))</f>
        <v>Mandiri TBB IDR</v>
      </c>
      <c r="F1066" s="142" t="s">
        <v>159</v>
      </c>
      <c r="G1066" s="130"/>
      <c r="H1066" s="10">
        <v>44670000</v>
      </c>
      <c r="I1066" s="10"/>
      <c r="J1066" s="79" t="e">
        <f t="shared" si="23"/>
        <v>#VALUE!</v>
      </c>
      <c r="K1066" s="132"/>
      <c r="L1066" s="133"/>
      <c r="M1066" s="106"/>
      <c r="N1066" s="106"/>
      <c r="O1066" s="108"/>
      <c r="P1066" s="108"/>
      <c r="Q1066" s="108"/>
      <c r="R1066" s="109"/>
      <c r="S1066" s="109"/>
      <c r="T1066" s="108"/>
      <c r="U1066" s="110"/>
      <c r="V1066" s="110"/>
      <c r="W1066" s="110"/>
      <c r="X1066" s="110"/>
    </row>
    <row r="1067" spans="1:24" ht="14.25" customHeight="1">
      <c r="A1067" s="110"/>
      <c r="B1067" s="125">
        <v>46199</v>
      </c>
      <c r="C1067" s="126" t="s">
        <v>157</v>
      </c>
      <c r="D1067" s="15" t="s">
        <v>124</v>
      </c>
      <c r="E1067" s="10" t="str">
        <f>TRIM(VLOOKUP(D1067,TB!$B$9:$C$1500,2,FALSE))</f>
        <v>Bank charges</v>
      </c>
      <c r="F1067" s="142" t="s">
        <v>159</v>
      </c>
      <c r="G1067" s="130"/>
      <c r="H1067" s="10">
        <v>2500</v>
      </c>
      <c r="I1067" s="12"/>
      <c r="J1067" s="79" t="e">
        <f t="shared" si="23"/>
        <v>#VALUE!</v>
      </c>
      <c r="K1067" s="132"/>
      <c r="L1067" s="133"/>
      <c r="M1067" s="106"/>
      <c r="N1067" s="106"/>
      <c r="O1067" s="108"/>
      <c r="P1067" s="108"/>
      <c r="Q1067" s="108"/>
      <c r="R1067" s="109"/>
      <c r="S1067" s="109"/>
      <c r="T1067" s="108"/>
      <c r="U1067" s="110"/>
      <c r="V1067" s="110"/>
      <c r="W1067" s="110"/>
      <c r="X1067" s="110"/>
    </row>
    <row r="1068" spans="1:24" ht="14.25" customHeight="1">
      <c r="A1068" s="110"/>
      <c r="B1068" s="125">
        <v>46199</v>
      </c>
      <c r="C1068" s="126" t="s">
        <v>157</v>
      </c>
      <c r="D1068" s="68" t="s">
        <v>122</v>
      </c>
      <c r="E1068" s="10" t="str">
        <f>TRIM(VLOOKUP(D1068,TB!$B$9:$C$1500,2,FALSE))</f>
        <v>Cimb Niaga TBB</v>
      </c>
      <c r="F1068" s="142" t="s">
        <v>159</v>
      </c>
      <c r="G1068" s="130"/>
      <c r="H1068" s="10"/>
      <c r="I1068" s="158">
        <f>SUM(H1066:H1067)</f>
        <v>44672500</v>
      </c>
      <c r="J1068" s="79" t="e">
        <f t="shared" si="23"/>
        <v>#VALUE!</v>
      </c>
      <c r="K1068" s="106"/>
      <c r="L1068" s="107"/>
      <c r="M1068" s="106"/>
      <c r="N1068" s="106"/>
      <c r="O1068" s="108"/>
      <c r="P1068" s="108"/>
      <c r="Q1068" s="108"/>
      <c r="R1068" s="109"/>
      <c r="S1068" s="109"/>
      <c r="T1068" s="108"/>
      <c r="U1068" s="110"/>
      <c r="V1068" s="110"/>
      <c r="W1068" s="110"/>
      <c r="X1068" s="110"/>
    </row>
    <row r="1069" spans="1:24" ht="14.25" customHeight="1">
      <c r="A1069" s="110"/>
      <c r="B1069" s="125"/>
      <c r="C1069" s="126"/>
      <c r="D1069" s="15"/>
      <c r="E1069" s="10" t="e">
        <f>TRIM(VLOOKUP(D1069,TB!$B$9:$C$1500,2,FALSE))</f>
        <v>#N/A</v>
      </c>
      <c r="F1069" s="142"/>
      <c r="G1069" s="130"/>
      <c r="H1069" s="10"/>
      <c r="I1069" s="10"/>
      <c r="J1069" s="79" t="e">
        <f t="shared" si="23"/>
        <v>#VALUE!</v>
      </c>
      <c r="K1069" s="106"/>
      <c r="L1069" s="107"/>
      <c r="M1069" s="106"/>
      <c r="N1069" s="106"/>
      <c r="O1069" s="108"/>
      <c r="P1069" s="108"/>
      <c r="Q1069" s="108"/>
      <c r="R1069" s="109"/>
      <c r="S1069" s="109"/>
      <c r="T1069" s="108"/>
      <c r="U1069" s="110"/>
      <c r="V1069" s="110"/>
      <c r="W1069" s="110"/>
      <c r="X1069" s="110"/>
    </row>
    <row r="1070" spans="1:24" ht="14.25" customHeight="1">
      <c r="A1070" s="110"/>
      <c r="B1070" s="125">
        <v>46199</v>
      </c>
      <c r="C1070" s="126" t="s">
        <v>160</v>
      </c>
      <c r="D1070" s="68" t="s">
        <v>122</v>
      </c>
      <c r="E1070" s="10" t="str">
        <f>TRIM(VLOOKUP(D1070,TB!$B$9:$C$1500,2,FALSE))</f>
        <v>Cimb Niaga TBB</v>
      </c>
      <c r="F1070" s="142" t="s">
        <v>161</v>
      </c>
      <c r="G1070" s="130"/>
      <c r="H1070" s="157">
        <f>I1072-H1071</f>
        <v>3779511.78</v>
      </c>
      <c r="I1070" s="10"/>
      <c r="J1070" s="79" t="e">
        <f t="shared" si="23"/>
        <v>#VALUE!</v>
      </c>
      <c r="K1070" s="106"/>
      <c r="L1070" s="107"/>
      <c r="M1070" s="106"/>
      <c r="N1070" s="106"/>
      <c r="O1070" s="108"/>
      <c r="P1070" s="108"/>
      <c r="Q1070" s="108"/>
      <c r="R1070" s="109"/>
      <c r="S1070" s="109"/>
      <c r="T1070" s="108"/>
      <c r="U1070" s="110"/>
      <c r="V1070" s="110"/>
      <c r="W1070" s="110"/>
      <c r="X1070" s="110"/>
    </row>
    <row r="1071" spans="1:24" ht="14.25" customHeight="1">
      <c r="A1071" s="110"/>
      <c r="B1071" s="125">
        <v>46199</v>
      </c>
      <c r="C1071" s="126" t="s">
        <v>160</v>
      </c>
      <c r="D1071" s="15" t="s">
        <v>124</v>
      </c>
      <c r="E1071" s="10" t="str">
        <f>TRIM(VLOOKUP(D1071,TB!$B$9:$C$1500,2,FALSE))</f>
        <v>Bank charges</v>
      </c>
      <c r="F1071" s="142" t="s">
        <v>161</v>
      </c>
      <c r="G1071" s="130"/>
      <c r="H1071" s="157">
        <f>I1072*1.8%</f>
        <v>69278.22</v>
      </c>
      <c r="I1071" s="10"/>
      <c r="J1071" s="79" t="e">
        <f t="shared" si="23"/>
        <v>#VALUE!</v>
      </c>
      <c r="K1071" s="106"/>
      <c r="L1071" s="107"/>
      <c r="M1071" s="106"/>
      <c r="N1071" s="106"/>
      <c r="O1071" s="108"/>
      <c r="P1071" s="108"/>
      <c r="Q1071" s="108"/>
      <c r="R1071" s="109"/>
      <c r="S1071" s="109"/>
      <c r="T1071" s="108"/>
      <c r="U1071" s="110"/>
      <c r="V1071" s="110"/>
      <c r="W1071" s="110"/>
      <c r="X1071" s="110"/>
    </row>
    <row r="1072" spans="1:24" ht="14.25" customHeight="1">
      <c r="A1072" s="110"/>
      <c r="B1072" s="125">
        <v>46199</v>
      </c>
      <c r="C1072" s="126" t="s">
        <v>160</v>
      </c>
      <c r="D1072" s="15" t="s">
        <v>45</v>
      </c>
      <c r="E1072" s="10" t="str">
        <f>TRIM(VLOOKUP(D1072,TB!$B$9:$C$1500,2,FALSE))</f>
        <v>Credit Card Cimb Niaga TBB</v>
      </c>
      <c r="F1072" s="142" t="s">
        <v>161</v>
      </c>
      <c r="G1072" s="130"/>
      <c r="H1072" s="10"/>
      <c r="I1072" s="10">
        <v>3848790</v>
      </c>
      <c r="J1072" s="79" t="e">
        <f t="shared" si="23"/>
        <v>#VALUE!</v>
      </c>
      <c r="K1072" s="106"/>
      <c r="L1072" s="107"/>
      <c r="M1072" s="106"/>
      <c r="N1072" s="106"/>
      <c r="O1072" s="108"/>
      <c r="P1072" s="108"/>
      <c r="Q1072" s="108"/>
      <c r="R1072" s="109"/>
      <c r="S1072" s="109"/>
      <c r="T1072" s="108"/>
      <c r="U1072" s="110"/>
      <c r="V1072" s="110"/>
      <c r="W1072" s="110"/>
      <c r="X1072" s="110"/>
    </row>
    <row r="1073" spans="1:24" ht="14.25" customHeight="1">
      <c r="A1073" s="110"/>
      <c r="B1073" s="125"/>
      <c r="C1073" s="126"/>
      <c r="D1073" s="15"/>
      <c r="E1073" s="10" t="e">
        <f>TRIM(VLOOKUP(D1073,TB!$B$9:$C$1500,2,FALSE))</f>
        <v>#N/A</v>
      </c>
      <c r="F1073" s="142"/>
      <c r="G1073" s="130"/>
      <c r="H1073" s="10"/>
      <c r="I1073" s="10"/>
      <c r="J1073" s="79" t="e">
        <f t="shared" si="23"/>
        <v>#VALUE!</v>
      </c>
      <c r="K1073" s="106"/>
      <c r="L1073" s="107"/>
      <c r="M1073" s="106"/>
      <c r="N1073" s="106"/>
      <c r="O1073" s="108"/>
      <c r="P1073" s="108"/>
      <c r="Q1073" s="108"/>
      <c r="R1073" s="109"/>
      <c r="S1073" s="109"/>
      <c r="T1073" s="108"/>
      <c r="U1073" s="110"/>
      <c r="V1073" s="110"/>
      <c r="W1073" s="110"/>
      <c r="X1073" s="110"/>
    </row>
    <row r="1074" spans="1:24" ht="14.25" customHeight="1">
      <c r="A1074" s="110"/>
      <c r="B1074" s="125">
        <v>46202</v>
      </c>
      <c r="C1074" s="126" t="s">
        <v>162</v>
      </c>
      <c r="D1074" s="68" t="s">
        <v>122</v>
      </c>
      <c r="E1074" s="10" t="str">
        <f>TRIM(VLOOKUP(D1074,TB!$B$9:$C$1500,2,FALSE))</f>
        <v>Cimb Niaga TBB</v>
      </c>
      <c r="F1074" s="142" t="s">
        <v>163</v>
      </c>
      <c r="G1074" s="130"/>
      <c r="H1074" s="157">
        <f>I1076-H1075</f>
        <v>4188544.24</v>
      </c>
      <c r="I1074" s="10"/>
      <c r="J1074" s="79" t="e">
        <f t="shared" si="23"/>
        <v>#VALUE!</v>
      </c>
      <c r="K1074" s="106"/>
      <c r="L1074" s="107"/>
      <c r="M1074" s="106"/>
      <c r="N1074" s="106"/>
      <c r="O1074" s="108"/>
      <c r="P1074" s="108"/>
      <c r="Q1074" s="108"/>
      <c r="R1074" s="109"/>
      <c r="S1074" s="109"/>
      <c r="T1074" s="108"/>
      <c r="U1074" s="110"/>
      <c r="V1074" s="110"/>
      <c r="W1074" s="110"/>
      <c r="X1074" s="110"/>
    </row>
    <row r="1075" spans="1:24" ht="14.25" customHeight="1">
      <c r="A1075" s="110"/>
      <c r="B1075" s="125">
        <v>46202</v>
      </c>
      <c r="C1075" s="126" t="s">
        <v>162</v>
      </c>
      <c r="D1075" s="15" t="s">
        <v>124</v>
      </c>
      <c r="E1075" s="10" t="str">
        <f>TRIM(VLOOKUP(D1075,TB!$B$9:$C$1500,2,FALSE))</f>
        <v>Bank charges</v>
      </c>
      <c r="F1075" s="142" t="s">
        <v>163</v>
      </c>
      <c r="G1075" s="130"/>
      <c r="H1075" s="157">
        <f>I1076*1.8%</f>
        <v>76775.760000000009</v>
      </c>
      <c r="I1075" s="10"/>
      <c r="J1075" s="79" t="e">
        <f t="shared" si="23"/>
        <v>#VALUE!</v>
      </c>
      <c r="K1075" s="106"/>
      <c r="L1075" s="107"/>
      <c r="M1075" s="106"/>
      <c r="N1075" s="106"/>
      <c r="O1075" s="108"/>
      <c r="P1075" s="108"/>
      <c r="Q1075" s="108"/>
      <c r="R1075" s="109"/>
      <c r="S1075" s="109"/>
      <c r="T1075" s="108"/>
      <c r="U1075" s="110"/>
      <c r="V1075" s="110"/>
      <c r="W1075" s="110"/>
      <c r="X1075" s="110"/>
    </row>
    <row r="1076" spans="1:24" ht="14.25" customHeight="1">
      <c r="A1076" s="110"/>
      <c r="B1076" s="125">
        <v>46202</v>
      </c>
      <c r="C1076" s="126" t="s">
        <v>162</v>
      </c>
      <c r="D1076" s="15" t="s">
        <v>45</v>
      </c>
      <c r="E1076" s="10" t="str">
        <f>TRIM(VLOOKUP(D1076,TB!$B$9:$C$1500,2,FALSE))</f>
        <v>Credit Card Cimb Niaga TBB</v>
      </c>
      <c r="F1076" s="142" t="s">
        <v>163</v>
      </c>
      <c r="G1076" s="130"/>
      <c r="H1076" s="10"/>
      <c r="I1076" s="10">
        <v>4265320</v>
      </c>
      <c r="J1076" s="79" t="e">
        <f t="shared" si="23"/>
        <v>#VALUE!</v>
      </c>
      <c r="K1076" s="106"/>
      <c r="L1076" s="107"/>
      <c r="M1076" s="106"/>
      <c r="N1076" s="106"/>
      <c r="O1076" s="108"/>
      <c r="P1076" s="108"/>
      <c r="Q1076" s="108"/>
      <c r="R1076" s="109"/>
      <c r="S1076" s="109"/>
      <c r="T1076" s="108"/>
      <c r="U1076" s="110"/>
      <c r="V1076" s="110"/>
      <c r="W1076" s="110"/>
      <c r="X1076" s="110"/>
    </row>
    <row r="1077" spans="1:24" ht="14.25" customHeight="1">
      <c r="A1077" s="110"/>
      <c r="B1077" s="125"/>
      <c r="C1077" s="126"/>
      <c r="D1077" s="159"/>
      <c r="E1077" s="10" t="e">
        <f>TRIM(VLOOKUP(D1077,TB!$B$9:$C$1500,2,FALSE))</f>
        <v>#N/A</v>
      </c>
      <c r="F1077" s="142"/>
      <c r="G1077" s="130"/>
      <c r="H1077" s="10"/>
      <c r="I1077" s="10"/>
      <c r="J1077" s="79" t="e">
        <f t="shared" si="23"/>
        <v>#VALUE!</v>
      </c>
      <c r="K1077" s="106"/>
      <c r="L1077" s="107"/>
      <c r="M1077" s="106"/>
      <c r="N1077" s="106"/>
      <c r="O1077" s="108"/>
      <c r="P1077" s="108"/>
      <c r="Q1077" s="108"/>
      <c r="R1077" s="109"/>
      <c r="S1077" s="109"/>
      <c r="T1077" s="108"/>
      <c r="U1077" s="110"/>
      <c r="V1077" s="110"/>
      <c r="W1077" s="110"/>
      <c r="X1077" s="110"/>
    </row>
    <row r="1078" spans="1:24" ht="14.25" customHeight="1">
      <c r="A1078" s="110"/>
      <c r="B1078" s="125">
        <v>46202</v>
      </c>
      <c r="C1078" s="126" t="s">
        <v>164</v>
      </c>
      <c r="D1078" s="68" t="s">
        <v>122</v>
      </c>
      <c r="E1078" s="10" t="str">
        <f>TRIM(VLOOKUP(D1078,TB!$B$9:$C$1500,2,FALSE))</f>
        <v>Cimb Niaga TBB</v>
      </c>
      <c r="F1078" s="142" t="s">
        <v>165</v>
      </c>
      <c r="G1078" s="130"/>
      <c r="H1078" s="157">
        <f>I1080-H1079</f>
        <v>1525674.48</v>
      </c>
      <c r="I1078" s="10"/>
      <c r="J1078" s="79" t="e">
        <f t="shared" si="23"/>
        <v>#VALUE!</v>
      </c>
      <c r="K1078" s="106"/>
      <c r="L1078" s="107"/>
      <c r="M1078" s="106"/>
      <c r="N1078" s="106"/>
      <c r="O1078" s="108"/>
      <c r="P1078" s="108"/>
      <c r="Q1078" s="108"/>
      <c r="R1078" s="109"/>
      <c r="S1078" s="109"/>
      <c r="T1078" s="108"/>
      <c r="U1078" s="110"/>
      <c r="V1078" s="110"/>
      <c r="W1078" s="110"/>
      <c r="X1078" s="110"/>
    </row>
    <row r="1079" spans="1:24" ht="14.25" customHeight="1">
      <c r="A1079" s="110"/>
      <c r="B1079" s="125">
        <v>46202</v>
      </c>
      <c r="C1079" s="126" t="s">
        <v>164</v>
      </c>
      <c r="D1079" s="15" t="s">
        <v>124</v>
      </c>
      <c r="E1079" s="10" t="str">
        <f>TRIM(VLOOKUP(D1079,TB!$B$9:$C$1500,2,FALSE))</f>
        <v>Bank charges</v>
      </c>
      <c r="F1079" s="142" t="s">
        <v>165</v>
      </c>
      <c r="G1079" s="130"/>
      <c r="H1079" s="157">
        <f>I1080*1.8%</f>
        <v>27965.520000000004</v>
      </c>
      <c r="I1079" s="10"/>
      <c r="J1079" s="79" t="e">
        <f t="shared" si="23"/>
        <v>#VALUE!</v>
      </c>
      <c r="K1079" s="106"/>
      <c r="L1079" s="107"/>
      <c r="M1079" s="106"/>
      <c r="N1079" s="106"/>
      <c r="O1079" s="108"/>
      <c r="P1079" s="108"/>
      <c r="Q1079" s="108"/>
      <c r="R1079" s="109"/>
      <c r="S1079" s="109"/>
      <c r="T1079" s="108"/>
      <c r="U1079" s="110"/>
      <c r="V1079" s="110"/>
      <c r="W1079" s="110"/>
      <c r="X1079" s="110"/>
    </row>
    <row r="1080" spans="1:24" ht="14.25" customHeight="1">
      <c r="A1080" s="110"/>
      <c r="B1080" s="125">
        <v>46202</v>
      </c>
      <c r="C1080" s="126" t="s">
        <v>164</v>
      </c>
      <c r="D1080" s="15" t="s">
        <v>45</v>
      </c>
      <c r="E1080" s="10" t="str">
        <f>TRIM(VLOOKUP(D1080,TB!$B$9:$C$1500,2,FALSE))</f>
        <v>Credit Card Cimb Niaga TBB</v>
      </c>
      <c r="F1080" s="142" t="s">
        <v>165</v>
      </c>
      <c r="G1080" s="130"/>
      <c r="H1080" s="10"/>
      <c r="I1080" s="10">
        <v>1553640</v>
      </c>
      <c r="J1080" s="79" t="e">
        <f t="shared" si="23"/>
        <v>#VALUE!</v>
      </c>
      <c r="K1080" s="106"/>
      <c r="L1080" s="107"/>
      <c r="M1080" s="106"/>
      <c r="N1080" s="106"/>
      <c r="O1080" s="108"/>
      <c r="P1080" s="108"/>
      <c r="Q1080" s="108"/>
      <c r="R1080" s="109"/>
      <c r="S1080" s="109"/>
      <c r="T1080" s="108"/>
      <c r="U1080" s="110"/>
      <c r="V1080" s="110"/>
      <c r="W1080" s="110"/>
      <c r="X1080" s="110"/>
    </row>
    <row r="1081" spans="1:24" ht="14.25" customHeight="1">
      <c r="A1081" s="110"/>
      <c r="B1081" s="125"/>
      <c r="C1081" s="126"/>
      <c r="D1081" s="159"/>
      <c r="E1081" s="10" t="e">
        <f>TRIM(VLOOKUP(D1081,TB!$B$9:$C$1500,2,FALSE))</f>
        <v>#N/A</v>
      </c>
      <c r="F1081" s="142"/>
      <c r="G1081" s="130"/>
      <c r="H1081" s="10"/>
      <c r="I1081" s="10"/>
      <c r="J1081" s="79" t="e">
        <f t="shared" si="23"/>
        <v>#VALUE!</v>
      </c>
      <c r="K1081" s="106"/>
      <c r="L1081" s="107"/>
      <c r="M1081" s="106"/>
      <c r="N1081" s="106"/>
      <c r="O1081" s="108"/>
      <c r="P1081" s="108"/>
      <c r="Q1081" s="108"/>
      <c r="R1081" s="109"/>
      <c r="S1081" s="109"/>
      <c r="T1081" s="108"/>
      <c r="U1081" s="110"/>
      <c r="V1081" s="110"/>
      <c r="W1081" s="110"/>
      <c r="X1081" s="110"/>
    </row>
    <row r="1082" spans="1:24" ht="14.25" customHeight="1">
      <c r="A1082" s="110"/>
      <c r="B1082" s="125">
        <v>46203</v>
      </c>
      <c r="C1082" s="126" t="s">
        <v>166</v>
      </c>
      <c r="D1082" s="68" t="s">
        <v>158</v>
      </c>
      <c r="E1082" s="10" t="str">
        <f>TRIM(VLOOKUP(D1082,TB!$B$9:$C$1500,2,FALSE))</f>
        <v>Mandiri TBB IDR</v>
      </c>
      <c r="F1082" s="142" t="s">
        <v>159</v>
      </c>
      <c r="G1082" s="130"/>
      <c r="H1082" s="10">
        <v>9500000</v>
      </c>
      <c r="I1082" s="10"/>
      <c r="J1082" s="79" t="e">
        <f t="shared" si="23"/>
        <v>#VALUE!</v>
      </c>
      <c r="K1082" s="106"/>
      <c r="L1082" s="107"/>
      <c r="M1082" s="106"/>
      <c r="N1082" s="106"/>
      <c r="O1082" s="108"/>
      <c r="P1082" s="108"/>
      <c r="Q1082" s="108"/>
      <c r="R1082" s="109"/>
      <c r="S1082" s="109"/>
      <c r="T1082" s="108"/>
      <c r="U1082" s="110"/>
      <c r="V1082" s="110"/>
      <c r="W1082" s="110"/>
      <c r="X1082" s="110"/>
    </row>
    <row r="1083" spans="1:24" ht="14.25" customHeight="1">
      <c r="A1083" s="110"/>
      <c r="B1083" s="125">
        <v>46203</v>
      </c>
      <c r="C1083" s="126" t="s">
        <v>166</v>
      </c>
      <c r="D1083" s="68" t="s">
        <v>122</v>
      </c>
      <c r="E1083" s="10" t="str">
        <f>TRIM(VLOOKUP(D1083,TB!$B$9:$C$1500,2,FALSE))</f>
        <v>Cimb Niaga TBB</v>
      </c>
      <c r="F1083" s="142" t="s">
        <v>159</v>
      </c>
      <c r="G1083" s="130"/>
      <c r="H1083" s="10"/>
      <c r="I1083" s="10">
        <v>9500000</v>
      </c>
      <c r="J1083" s="79" t="e">
        <f t="shared" si="23"/>
        <v>#VALUE!</v>
      </c>
      <c r="K1083" s="106"/>
      <c r="L1083" s="107"/>
      <c r="M1083" s="106"/>
      <c r="N1083" s="106"/>
      <c r="O1083" s="108"/>
      <c r="P1083" s="108"/>
      <c r="Q1083" s="108"/>
      <c r="R1083" s="109"/>
      <c r="S1083" s="109"/>
      <c r="T1083" s="108"/>
      <c r="U1083" s="110"/>
      <c r="V1083" s="110"/>
      <c r="W1083" s="110"/>
      <c r="X1083" s="110"/>
    </row>
    <row r="1084" spans="1:24" ht="14.25" customHeight="1">
      <c r="A1084" s="110"/>
      <c r="B1084" s="125"/>
      <c r="C1084" s="126"/>
      <c r="D1084" s="15"/>
      <c r="E1084" s="10" t="e">
        <f>TRIM(VLOOKUP(D1084,TB!$B$9:$C$1500,2,FALSE))</f>
        <v>#N/A</v>
      </c>
      <c r="F1084" s="142"/>
      <c r="G1084" s="130"/>
      <c r="H1084" s="10"/>
      <c r="I1084" s="10"/>
      <c r="J1084" s="79" t="e">
        <f t="shared" si="23"/>
        <v>#VALUE!</v>
      </c>
      <c r="K1084" s="106"/>
      <c r="L1084" s="107"/>
      <c r="M1084" s="106"/>
      <c r="N1084" s="106"/>
      <c r="O1084" s="108"/>
      <c r="P1084" s="108"/>
      <c r="Q1084" s="108"/>
      <c r="R1084" s="109"/>
      <c r="S1084" s="109"/>
      <c r="T1084" s="108"/>
      <c r="U1084" s="110"/>
      <c r="V1084" s="110"/>
      <c r="W1084" s="110"/>
      <c r="X1084" s="110"/>
    </row>
    <row r="1085" spans="1:24" ht="14.25" customHeight="1">
      <c r="A1085" s="110"/>
      <c r="B1085" s="125">
        <v>46203</v>
      </c>
      <c r="C1085" s="126" t="s">
        <v>167</v>
      </c>
      <c r="D1085" s="15" t="s">
        <v>124</v>
      </c>
      <c r="E1085" s="10" t="str">
        <f>TRIM(VLOOKUP(D1085,TB!$B$9:$C$1500,2,FALSE))</f>
        <v>Bank charges</v>
      </c>
      <c r="F1085" s="142" t="s">
        <v>168</v>
      </c>
      <c r="G1085" s="130"/>
      <c r="H1085" s="10">
        <v>30000</v>
      </c>
      <c r="I1085" s="10"/>
      <c r="J1085" s="79" t="e">
        <f t="shared" si="23"/>
        <v>#VALUE!</v>
      </c>
      <c r="K1085" s="106"/>
      <c r="L1085" s="107"/>
      <c r="M1085" s="106"/>
      <c r="N1085" s="106"/>
      <c r="O1085" s="108"/>
      <c r="P1085" s="108"/>
      <c r="Q1085" s="108"/>
      <c r="R1085" s="109"/>
      <c r="S1085" s="109"/>
      <c r="T1085" s="108"/>
      <c r="U1085" s="110"/>
      <c r="V1085" s="110"/>
      <c r="W1085" s="110"/>
      <c r="X1085" s="110"/>
    </row>
    <row r="1086" spans="1:24" ht="14.25" customHeight="1">
      <c r="A1086" s="110"/>
      <c r="B1086" s="125">
        <v>46203</v>
      </c>
      <c r="C1086" s="126" t="s">
        <v>167</v>
      </c>
      <c r="D1086" s="68" t="s">
        <v>122</v>
      </c>
      <c r="E1086" s="10" t="str">
        <f>TRIM(VLOOKUP(D1086,TB!$B$9:$C$1500,2,FALSE))</f>
        <v>Cimb Niaga TBB</v>
      </c>
      <c r="F1086" s="142" t="s">
        <v>168</v>
      </c>
      <c r="G1086" s="130"/>
      <c r="H1086" s="10"/>
      <c r="I1086" s="10">
        <v>30000</v>
      </c>
      <c r="J1086" s="79" t="e">
        <f t="shared" si="23"/>
        <v>#VALUE!</v>
      </c>
      <c r="K1086" s="106"/>
      <c r="L1086" s="107"/>
      <c r="M1086" s="106"/>
      <c r="N1086" s="106"/>
      <c r="O1086" s="108"/>
      <c r="P1086" s="108"/>
      <c r="Q1086" s="108"/>
      <c r="R1086" s="109"/>
      <c r="S1086" s="109"/>
      <c r="T1086" s="108"/>
      <c r="U1086" s="110"/>
      <c r="V1086" s="110"/>
      <c r="W1086" s="110"/>
      <c r="X1086" s="110"/>
    </row>
    <row r="1087" spans="1:24" ht="14.25" customHeight="1">
      <c r="A1087" s="110"/>
      <c r="B1087" s="125"/>
      <c r="C1087" s="126"/>
      <c r="D1087" s="15"/>
      <c r="E1087" s="10" t="e">
        <f>TRIM(VLOOKUP(D1087,TB!$B$9:$C$1500,2,FALSE))</f>
        <v>#N/A</v>
      </c>
      <c r="F1087" s="142"/>
      <c r="G1087" s="130"/>
      <c r="H1087" s="10"/>
      <c r="I1087" s="10"/>
      <c r="J1087" s="79" t="e">
        <f t="shared" si="23"/>
        <v>#VALUE!</v>
      </c>
      <c r="K1087" s="106"/>
      <c r="L1087" s="107"/>
      <c r="M1087" s="106"/>
      <c r="N1087" s="106"/>
      <c r="O1087" s="108"/>
      <c r="P1087" s="108"/>
      <c r="Q1087" s="108"/>
      <c r="R1087" s="109"/>
      <c r="S1087" s="109"/>
      <c r="T1087" s="108"/>
      <c r="U1087" s="110"/>
      <c r="V1087" s="110"/>
      <c r="W1087" s="110"/>
      <c r="X1087" s="110"/>
    </row>
    <row r="1088" spans="1:24" ht="14.25" customHeight="1">
      <c r="A1088" s="110"/>
      <c r="B1088" s="125">
        <v>46203</v>
      </c>
      <c r="C1088" s="126" t="s">
        <v>169</v>
      </c>
      <c r="D1088" s="68" t="s">
        <v>122</v>
      </c>
      <c r="E1088" s="10" t="str">
        <f>TRIM(VLOOKUP(D1088,TB!$B$9:$C$1500,2,FALSE))</f>
        <v>Cimb Niaga TBB</v>
      </c>
      <c r="F1088" s="142" t="s">
        <v>170</v>
      </c>
      <c r="G1088" s="130"/>
      <c r="H1088" s="10">
        <f>680092</f>
        <v>680092</v>
      </c>
      <c r="I1088" s="10"/>
      <c r="J1088" s="79" t="e">
        <f t="shared" si="23"/>
        <v>#VALUE!</v>
      </c>
      <c r="K1088" s="106"/>
      <c r="L1088" s="107"/>
      <c r="M1088" s="106"/>
      <c r="N1088" s="106"/>
      <c r="O1088" s="108"/>
      <c r="P1088" s="108"/>
      <c r="Q1088" s="108"/>
      <c r="R1088" s="109"/>
      <c r="S1088" s="109"/>
      <c r="T1088" s="108"/>
      <c r="U1088" s="110"/>
      <c r="V1088" s="110"/>
      <c r="W1088" s="110"/>
      <c r="X1088" s="110"/>
    </row>
    <row r="1089" spans="1:24" ht="14.25" customHeight="1">
      <c r="A1089" s="110"/>
      <c r="B1089" s="125">
        <v>46203</v>
      </c>
      <c r="C1089" s="126" t="s">
        <v>169</v>
      </c>
      <c r="D1089" s="15" t="s">
        <v>124</v>
      </c>
      <c r="E1089" s="10" t="str">
        <f>TRIM(VLOOKUP(D1089,TB!$B$9:$C$1500,2,FALSE))</f>
        <v>Bank charges</v>
      </c>
      <c r="F1089" s="142" t="s">
        <v>170</v>
      </c>
      <c r="G1089" s="130"/>
      <c r="H1089" s="10"/>
      <c r="I1089" s="10">
        <f>680092</f>
        <v>680092</v>
      </c>
      <c r="J1089" s="79" t="e">
        <f t="shared" si="23"/>
        <v>#VALUE!</v>
      </c>
      <c r="K1089" s="106"/>
      <c r="L1089" s="107"/>
      <c r="M1089" s="106"/>
      <c r="N1089" s="106"/>
      <c r="O1089" s="108"/>
      <c r="P1089" s="108"/>
      <c r="Q1089" s="108"/>
      <c r="R1089" s="109"/>
      <c r="S1089" s="109"/>
      <c r="T1089" s="108"/>
      <c r="U1089" s="110"/>
      <c r="V1089" s="110"/>
      <c r="W1089" s="110"/>
      <c r="X1089" s="110"/>
    </row>
    <row r="1090" spans="1:24" ht="14.25" customHeight="1">
      <c r="A1090" s="110"/>
      <c r="B1090" s="125"/>
      <c r="C1090" s="126"/>
      <c r="D1090" s="15"/>
      <c r="E1090" s="10" t="e">
        <f>TRIM(VLOOKUP(D1090,TB!$B$9:$C$1500,2,FALSE))</f>
        <v>#N/A</v>
      </c>
      <c r="F1090" s="142"/>
      <c r="G1090" s="130"/>
      <c r="H1090" s="10"/>
      <c r="I1090" s="10"/>
      <c r="J1090" s="79" t="e">
        <f t="shared" si="23"/>
        <v>#VALUE!</v>
      </c>
      <c r="K1090" s="106"/>
      <c r="L1090" s="107"/>
      <c r="M1090" s="106"/>
      <c r="N1090" s="106"/>
      <c r="O1090" s="108"/>
      <c r="P1090" s="108"/>
      <c r="Q1090" s="108"/>
      <c r="R1090" s="109"/>
      <c r="S1090" s="109"/>
      <c r="T1090" s="108"/>
      <c r="U1090" s="110"/>
      <c r="V1090" s="110"/>
      <c r="W1090" s="110"/>
      <c r="X1090" s="110"/>
    </row>
    <row r="1091" spans="1:24" ht="14.25" customHeight="1">
      <c r="A1091" s="110"/>
      <c r="B1091" s="125"/>
      <c r="C1091" s="126"/>
      <c r="D1091" s="15"/>
      <c r="E1091" s="10" t="e">
        <f>TRIM(VLOOKUP(D1091,TB!$B$9:$C$1500,2,FALSE))</f>
        <v>#N/A</v>
      </c>
      <c r="F1091" s="142"/>
      <c r="G1091" s="130"/>
      <c r="H1091" s="10"/>
      <c r="I1091" s="10"/>
      <c r="J1091" s="79" t="e">
        <f t="shared" si="23"/>
        <v>#VALUE!</v>
      </c>
      <c r="K1091" s="106"/>
      <c r="L1091" s="107"/>
      <c r="M1091" s="106"/>
      <c r="N1091" s="106"/>
      <c r="O1091" s="108"/>
      <c r="P1091" s="108"/>
      <c r="Q1091" s="108"/>
      <c r="R1091" s="109"/>
      <c r="S1091" s="109"/>
      <c r="T1091" s="108"/>
      <c r="U1091" s="110"/>
      <c r="V1091" s="110"/>
      <c r="W1091" s="110"/>
      <c r="X1091" s="110"/>
    </row>
    <row r="1092" spans="1:24" ht="14.25" customHeight="1">
      <c r="A1092" s="110"/>
      <c r="B1092" s="125"/>
      <c r="C1092" s="126"/>
      <c r="D1092" s="15"/>
      <c r="E1092" s="10" t="e">
        <f>TRIM(VLOOKUP(D1092,TB!$B$9:$C$1500,2,FALSE))</f>
        <v>#N/A</v>
      </c>
      <c r="F1092" s="142"/>
      <c r="G1092" s="130"/>
      <c r="H1092" s="10"/>
      <c r="I1092" s="10"/>
      <c r="J1092" s="79" t="e">
        <f t="shared" si="23"/>
        <v>#VALUE!</v>
      </c>
      <c r="K1092" s="106"/>
      <c r="L1092" s="107"/>
      <c r="M1092" s="106"/>
      <c r="N1092" s="106"/>
      <c r="O1092" s="108"/>
      <c r="P1092" s="108"/>
      <c r="Q1092" s="108"/>
      <c r="R1092" s="109"/>
      <c r="S1092" s="109"/>
      <c r="T1092" s="108"/>
      <c r="U1092" s="110"/>
      <c r="V1092" s="110"/>
      <c r="W1092" s="110"/>
      <c r="X1092" s="110"/>
    </row>
    <row r="1093" spans="1:24" ht="14.25" customHeight="1">
      <c r="A1093" s="110"/>
      <c r="B1093" s="125"/>
      <c r="C1093" s="126"/>
      <c r="D1093" s="15"/>
      <c r="E1093" s="10" t="e">
        <f>TRIM(VLOOKUP(D1093,TB!$B$9:$C$1500,2,FALSE))</f>
        <v>#N/A</v>
      </c>
      <c r="F1093" s="142"/>
      <c r="G1093" s="130"/>
      <c r="H1093" s="10"/>
      <c r="I1093" s="10"/>
      <c r="J1093" s="79" t="e">
        <f t="shared" si="23"/>
        <v>#VALUE!</v>
      </c>
      <c r="K1093" s="106"/>
      <c r="L1093" s="107"/>
      <c r="M1093" s="106"/>
      <c r="N1093" s="106"/>
      <c r="O1093" s="108"/>
      <c r="P1093" s="108"/>
      <c r="Q1093" s="108"/>
      <c r="R1093" s="109"/>
      <c r="S1093" s="109"/>
      <c r="T1093" s="108"/>
      <c r="U1093" s="110"/>
      <c r="V1093" s="110"/>
      <c r="W1093" s="110"/>
      <c r="X1093" s="110"/>
    </row>
    <row r="1094" spans="1:24" ht="14.25" customHeight="1">
      <c r="A1094" s="110"/>
      <c r="B1094" s="125"/>
      <c r="C1094" s="126"/>
      <c r="D1094" s="15"/>
      <c r="E1094" s="10" t="e">
        <f>TRIM(VLOOKUP(D1094,TB!$B$9:$C$1500,2,FALSE))</f>
        <v>#N/A</v>
      </c>
      <c r="F1094" s="142"/>
      <c r="G1094" s="130"/>
      <c r="H1094" s="10"/>
      <c r="I1094" s="10"/>
      <c r="J1094" s="79" t="e">
        <f t="shared" si="23"/>
        <v>#VALUE!</v>
      </c>
      <c r="K1094" s="106"/>
      <c r="L1094" s="107"/>
      <c r="M1094" s="106"/>
      <c r="N1094" s="106"/>
      <c r="O1094" s="108"/>
      <c r="P1094" s="108"/>
      <c r="Q1094" s="108"/>
      <c r="R1094" s="109"/>
      <c r="S1094" s="109"/>
      <c r="T1094" s="108"/>
      <c r="U1094" s="110"/>
      <c r="V1094" s="110"/>
      <c r="W1094" s="110"/>
      <c r="X1094" s="110"/>
    </row>
    <row r="1095" spans="1:24" ht="14.25" customHeight="1">
      <c r="A1095" s="110"/>
      <c r="B1095" s="125"/>
      <c r="C1095" s="126"/>
      <c r="D1095" s="15"/>
      <c r="E1095" s="10" t="e">
        <f>TRIM(VLOOKUP(D1095,TB!$B$9:$C$1500,2,FALSE))</f>
        <v>#N/A</v>
      </c>
      <c r="F1095" s="142"/>
      <c r="G1095" s="130"/>
      <c r="H1095" s="10"/>
      <c r="I1095" s="10"/>
      <c r="J1095" s="79" t="e">
        <f t="shared" si="23"/>
        <v>#VALUE!</v>
      </c>
      <c r="K1095" s="106"/>
      <c r="L1095" s="107"/>
      <c r="M1095" s="106"/>
      <c r="N1095" s="106"/>
      <c r="O1095" s="108"/>
      <c r="P1095" s="108"/>
      <c r="Q1095" s="108"/>
      <c r="R1095" s="109"/>
      <c r="S1095" s="109"/>
      <c r="T1095" s="108"/>
      <c r="U1095" s="110"/>
      <c r="V1095" s="110"/>
      <c r="W1095" s="110"/>
      <c r="X1095" s="110"/>
    </row>
    <row r="1096" spans="1:24" ht="14.25" customHeight="1">
      <c r="A1096" s="110"/>
      <c r="B1096" s="125"/>
      <c r="C1096" s="126"/>
      <c r="D1096" s="15"/>
      <c r="E1096" s="10" t="e">
        <f>TRIM(VLOOKUP(D1096,TB!$B$9:$C$1500,2,FALSE))</f>
        <v>#N/A</v>
      </c>
      <c r="F1096" s="142"/>
      <c r="G1096" s="130"/>
      <c r="H1096" s="10"/>
      <c r="I1096" s="10"/>
      <c r="J1096" s="79" t="e">
        <f t="shared" si="23"/>
        <v>#VALUE!</v>
      </c>
      <c r="K1096" s="106"/>
      <c r="L1096" s="107"/>
      <c r="M1096" s="106"/>
      <c r="N1096" s="106"/>
      <c r="O1096" s="108"/>
      <c r="P1096" s="108"/>
      <c r="Q1096" s="108"/>
      <c r="R1096" s="109"/>
      <c r="S1096" s="109"/>
      <c r="T1096" s="108"/>
      <c r="U1096" s="110"/>
      <c r="V1096" s="110"/>
      <c r="W1096" s="110"/>
      <c r="X1096" s="110"/>
    </row>
    <row r="1097" spans="1:24" ht="14.25" customHeight="1">
      <c r="A1097" s="110"/>
      <c r="B1097" s="125"/>
      <c r="C1097" s="126"/>
      <c r="D1097" s="15"/>
      <c r="E1097" s="10" t="e">
        <f>TRIM(VLOOKUP(D1097,TB!$B$9:$C$1500,2,FALSE))</f>
        <v>#N/A</v>
      </c>
      <c r="F1097" s="142"/>
      <c r="G1097" s="130"/>
      <c r="H1097" s="10"/>
      <c r="I1097" s="10"/>
      <c r="J1097" s="79" t="e">
        <f t="shared" si="23"/>
        <v>#VALUE!</v>
      </c>
      <c r="K1097" s="106"/>
      <c r="L1097" s="107"/>
      <c r="M1097" s="106"/>
      <c r="N1097" s="106"/>
      <c r="O1097" s="108"/>
      <c r="P1097" s="108"/>
      <c r="Q1097" s="108"/>
      <c r="R1097" s="109"/>
      <c r="S1097" s="109"/>
      <c r="T1097" s="108"/>
      <c r="U1097" s="110"/>
      <c r="V1097" s="110"/>
      <c r="W1097" s="110"/>
      <c r="X1097" s="110"/>
    </row>
    <row r="1098" spans="1:24" ht="14.25" customHeight="1">
      <c r="A1098" s="110"/>
      <c r="B1098" s="125"/>
      <c r="C1098" s="126"/>
      <c r="D1098" s="15"/>
      <c r="E1098" s="10" t="e">
        <f>TRIM(VLOOKUP(D1098,TB!$B$9:$C$1500,2,FALSE))</f>
        <v>#N/A</v>
      </c>
      <c r="F1098" s="142"/>
      <c r="G1098" s="130"/>
      <c r="H1098" s="10"/>
      <c r="I1098" s="10"/>
      <c r="J1098" s="79" t="e">
        <f t="shared" si="23"/>
        <v>#VALUE!</v>
      </c>
      <c r="K1098" s="106"/>
      <c r="L1098" s="107"/>
      <c r="M1098" s="106"/>
      <c r="N1098" s="106"/>
      <c r="O1098" s="108"/>
      <c r="P1098" s="108"/>
      <c r="Q1098" s="108"/>
      <c r="R1098" s="109"/>
      <c r="S1098" s="109"/>
      <c r="T1098" s="108"/>
      <c r="U1098" s="110"/>
      <c r="V1098" s="110"/>
      <c r="W1098" s="110"/>
      <c r="X1098" s="110"/>
    </row>
    <row r="1099" spans="1:24" ht="14.25" customHeight="1">
      <c r="A1099" s="110"/>
      <c r="B1099" s="125"/>
      <c r="C1099" s="126"/>
      <c r="D1099" s="15"/>
      <c r="E1099" s="10" t="e">
        <f>TRIM(VLOOKUP(D1099,TB!$B$9:$C$1500,2,FALSE))</f>
        <v>#N/A</v>
      </c>
      <c r="F1099" s="142"/>
      <c r="G1099" s="130"/>
      <c r="H1099" s="10"/>
      <c r="I1099" s="10"/>
      <c r="J1099" s="79" t="e">
        <f>J1069+H1099-I1099</f>
        <v>#VALUE!</v>
      </c>
      <c r="K1099" s="106"/>
      <c r="L1099" s="107"/>
      <c r="M1099" s="106"/>
      <c r="N1099" s="106"/>
      <c r="O1099" s="108"/>
      <c r="P1099" s="108"/>
      <c r="Q1099" s="108"/>
      <c r="R1099" s="109"/>
      <c r="S1099" s="109"/>
      <c r="T1099" s="108"/>
      <c r="U1099" s="110"/>
      <c r="V1099" s="110"/>
      <c r="W1099" s="110"/>
      <c r="X1099" s="110"/>
    </row>
    <row r="1100" spans="1:24" ht="14.25" customHeight="1">
      <c r="A1100" s="110"/>
      <c r="B1100" s="162"/>
      <c r="C1100" s="163"/>
      <c r="D1100" s="164"/>
      <c r="E1100" s="165" t="e">
        <f>TRIM(VLOOKUP(D1100,TB!$B$9:$C$1500,2,FALSE))</f>
        <v>#N/A</v>
      </c>
      <c r="F1100" s="166"/>
      <c r="G1100" s="167"/>
      <c r="H1100" s="165"/>
      <c r="I1100" s="165"/>
      <c r="J1100" s="79" t="e">
        <f t="shared" ref="J1100:J1354" si="24">J1099+H1100-I1100</f>
        <v>#VALUE!</v>
      </c>
      <c r="K1100" s="106"/>
      <c r="L1100" s="107"/>
      <c r="M1100" s="106"/>
      <c r="N1100" s="106"/>
      <c r="O1100" s="108"/>
      <c r="P1100" s="108"/>
      <c r="Q1100" s="108"/>
      <c r="R1100" s="109"/>
      <c r="S1100" s="109"/>
      <c r="T1100" s="108"/>
      <c r="U1100" s="110"/>
      <c r="V1100" s="110"/>
      <c r="W1100" s="110"/>
      <c r="X1100" s="110"/>
    </row>
    <row r="1101" spans="1:24" ht="14.25" customHeight="1">
      <c r="A1101" s="110"/>
      <c r="B1101" s="125"/>
      <c r="C1101" s="126"/>
      <c r="D1101" s="168"/>
      <c r="E1101" s="10" t="e">
        <f>TRIM(VLOOKUP(D1101,TB!$B$9:$C$1500,2,FALSE))</f>
        <v>#N/A</v>
      </c>
      <c r="F1101" s="142"/>
      <c r="G1101" s="130"/>
      <c r="H1101" s="10"/>
      <c r="I1101" s="10"/>
      <c r="J1101" s="79" t="e">
        <f t="shared" si="24"/>
        <v>#VALUE!</v>
      </c>
      <c r="K1101" s="106"/>
      <c r="L1101" s="107"/>
      <c r="M1101" s="106"/>
      <c r="N1101" s="106"/>
      <c r="O1101" s="108"/>
      <c r="P1101" s="108"/>
      <c r="Q1101" s="108"/>
      <c r="R1101" s="109"/>
      <c r="S1101" s="109"/>
      <c r="T1101" s="108"/>
      <c r="U1101" s="110"/>
      <c r="V1101" s="110"/>
      <c r="W1101" s="110"/>
      <c r="X1101" s="110"/>
    </row>
    <row r="1102" spans="1:24" ht="14.25" customHeight="1">
      <c r="A1102" s="110"/>
      <c r="B1102" s="125">
        <v>46178</v>
      </c>
      <c r="C1102" s="126" t="s">
        <v>171</v>
      </c>
      <c r="D1102" s="68" t="s">
        <v>172</v>
      </c>
      <c r="E1102" s="10" t="str">
        <f>TRIM(VLOOKUP(D1102,TB!$B$9:$C$1500,2,FALSE))</f>
        <v>BANK BRI</v>
      </c>
      <c r="F1102" s="142" t="s">
        <v>173</v>
      </c>
      <c r="G1102" s="130"/>
      <c r="H1102" s="157">
        <f>I1104-H1103</f>
        <v>242720.94</v>
      </c>
      <c r="I1102" s="10"/>
      <c r="J1102" s="79" t="e">
        <f t="shared" si="24"/>
        <v>#VALUE!</v>
      </c>
      <c r="K1102" s="106"/>
      <c r="L1102" s="107"/>
      <c r="M1102" s="106"/>
      <c r="N1102" s="106"/>
      <c r="O1102" s="108"/>
      <c r="P1102" s="108"/>
      <c r="Q1102" s="108"/>
      <c r="R1102" s="109"/>
      <c r="S1102" s="109"/>
      <c r="T1102" s="108"/>
      <c r="U1102" s="110"/>
      <c r="V1102" s="110"/>
      <c r="W1102" s="110"/>
      <c r="X1102" s="110"/>
    </row>
    <row r="1103" spans="1:24" ht="14.25" customHeight="1">
      <c r="A1103" s="110"/>
      <c r="B1103" s="125">
        <v>46178</v>
      </c>
      <c r="C1103" s="126" t="s">
        <v>171</v>
      </c>
      <c r="D1103" s="15" t="s">
        <v>124</v>
      </c>
      <c r="E1103" s="10" t="str">
        <f>TRIM(VLOOKUP(D1103,TB!$B$9:$C$1500,2,FALSE))</f>
        <v>Bank charges</v>
      </c>
      <c r="F1103" s="142" t="s">
        <v>173</v>
      </c>
      <c r="G1103" s="130"/>
      <c r="H1103" s="157">
        <f>I1104*1.8%</f>
        <v>4449.0600000000004</v>
      </c>
      <c r="I1103" s="10"/>
      <c r="J1103" s="79" t="e">
        <f t="shared" si="24"/>
        <v>#VALUE!</v>
      </c>
      <c r="K1103" s="106"/>
      <c r="L1103" s="107"/>
      <c r="M1103" s="106"/>
      <c r="N1103" s="106"/>
      <c r="O1103" s="108"/>
      <c r="P1103" s="108"/>
      <c r="Q1103" s="108"/>
      <c r="R1103" s="109"/>
      <c r="S1103" s="109"/>
      <c r="T1103" s="108"/>
      <c r="U1103" s="110"/>
      <c r="V1103" s="110"/>
      <c r="W1103" s="110"/>
      <c r="X1103" s="110"/>
    </row>
    <row r="1104" spans="1:24" ht="14.25" customHeight="1">
      <c r="A1104" s="110"/>
      <c r="B1104" s="125">
        <v>46178</v>
      </c>
      <c r="C1104" s="126" t="s">
        <v>171</v>
      </c>
      <c r="D1104" s="15" t="s">
        <v>58</v>
      </c>
      <c r="E1104" s="10" t="str">
        <f>TRIM(VLOOKUP(D1104,TB!$B$9:$C$1500,2,FALSE))</f>
        <v>BRI CARD CC</v>
      </c>
      <c r="F1104" s="142" t="s">
        <v>173</v>
      </c>
      <c r="G1104" s="130"/>
      <c r="H1104" s="10"/>
      <c r="I1104" s="10">
        <v>247170</v>
      </c>
      <c r="J1104" s="79" t="e">
        <f t="shared" si="24"/>
        <v>#VALUE!</v>
      </c>
      <c r="K1104" s="106"/>
      <c r="L1104" s="107"/>
      <c r="M1104" s="106"/>
      <c r="N1104" s="106"/>
      <c r="O1104" s="108"/>
      <c r="P1104" s="108"/>
      <c r="Q1104" s="108"/>
      <c r="R1104" s="109"/>
      <c r="S1104" s="109"/>
      <c r="T1104" s="108"/>
      <c r="U1104" s="110"/>
      <c r="V1104" s="110"/>
      <c r="W1104" s="110"/>
      <c r="X1104" s="110"/>
    </row>
    <row r="1105" spans="1:24" ht="14.25" customHeight="1">
      <c r="A1105" s="110"/>
      <c r="B1105" s="125"/>
      <c r="C1105" s="126"/>
      <c r="D1105" s="15"/>
      <c r="E1105" s="10" t="e">
        <f>TRIM(VLOOKUP(D1105,TB!$B$9:$C$1500,2,FALSE))</f>
        <v>#N/A</v>
      </c>
      <c r="F1105" s="142"/>
      <c r="G1105" s="130"/>
      <c r="H1105" s="10"/>
      <c r="I1105" s="10"/>
      <c r="J1105" s="79" t="e">
        <f t="shared" si="24"/>
        <v>#VALUE!</v>
      </c>
      <c r="K1105" s="106"/>
      <c r="L1105" s="107"/>
      <c r="M1105" s="106"/>
      <c r="N1105" s="106"/>
      <c r="O1105" s="108"/>
      <c r="P1105" s="108"/>
      <c r="Q1105" s="108"/>
      <c r="R1105" s="109"/>
      <c r="S1105" s="109"/>
      <c r="T1105" s="108"/>
      <c r="U1105" s="110"/>
      <c r="V1105" s="110"/>
      <c r="W1105" s="110"/>
      <c r="X1105" s="110"/>
    </row>
    <row r="1106" spans="1:24" ht="14.25" customHeight="1">
      <c r="A1106" s="110"/>
      <c r="B1106" s="125">
        <v>46178</v>
      </c>
      <c r="C1106" s="126" t="s">
        <v>174</v>
      </c>
      <c r="D1106" s="68" t="s">
        <v>175</v>
      </c>
      <c r="E1106" s="10" t="str">
        <f>TRIM(VLOOKUP(D1106,TB!$B$9:$C$1500,2,FALSE))</f>
        <v>Intercompany Receivable – Treasury StarPOINTS</v>
      </c>
      <c r="F1106" s="142" t="s">
        <v>176</v>
      </c>
      <c r="G1106" s="130"/>
      <c r="H1106" s="10">
        <v>1500000</v>
      </c>
      <c r="I1106" s="10"/>
      <c r="J1106" s="79" t="e">
        <f t="shared" si="24"/>
        <v>#VALUE!</v>
      </c>
      <c r="K1106" s="106"/>
      <c r="L1106" s="107"/>
      <c r="M1106" s="106"/>
      <c r="N1106" s="106"/>
      <c r="O1106" s="108"/>
      <c r="P1106" s="108"/>
      <c r="Q1106" s="108"/>
      <c r="R1106" s="109"/>
      <c r="S1106" s="109"/>
      <c r="T1106" s="108"/>
      <c r="U1106" s="110"/>
      <c r="V1106" s="110"/>
      <c r="W1106" s="110"/>
      <c r="X1106" s="110"/>
    </row>
    <row r="1107" spans="1:24" ht="14.25" customHeight="1">
      <c r="A1107" s="110"/>
      <c r="B1107" s="125">
        <v>46178</v>
      </c>
      <c r="C1107" s="126" t="s">
        <v>174</v>
      </c>
      <c r="D1107" s="15" t="s">
        <v>124</v>
      </c>
      <c r="E1107" s="10" t="str">
        <f>TRIM(VLOOKUP(D1107,TB!$B$9:$C$1500,2,FALSE))</f>
        <v>Bank charges</v>
      </c>
      <c r="F1107" s="142" t="s">
        <v>176</v>
      </c>
      <c r="G1107" s="130"/>
      <c r="H1107" s="10">
        <v>2500</v>
      </c>
      <c r="I1107" s="10"/>
      <c r="J1107" s="79" t="e">
        <f t="shared" si="24"/>
        <v>#VALUE!</v>
      </c>
      <c r="K1107" s="106"/>
      <c r="L1107" s="107"/>
      <c r="M1107" s="106"/>
      <c r="N1107" s="106"/>
      <c r="O1107" s="108"/>
      <c r="P1107" s="108"/>
      <c r="Q1107" s="108"/>
      <c r="R1107" s="109"/>
      <c r="S1107" s="109"/>
      <c r="T1107" s="108"/>
      <c r="U1107" s="110"/>
      <c r="V1107" s="110"/>
      <c r="W1107" s="110"/>
      <c r="X1107" s="110"/>
    </row>
    <row r="1108" spans="1:24" ht="14.25" customHeight="1">
      <c r="A1108" s="110"/>
      <c r="B1108" s="125">
        <v>46178</v>
      </c>
      <c r="C1108" s="126" t="s">
        <v>174</v>
      </c>
      <c r="D1108" s="68" t="s">
        <v>172</v>
      </c>
      <c r="E1108" s="10" t="str">
        <f>TRIM(VLOOKUP(D1108,TB!$B$9:$C$1500,2,FALSE))</f>
        <v>BANK BRI</v>
      </c>
      <c r="F1108" s="142" t="s">
        <v>176</v>
      </c>
      <c r="G1108" s="130"/>
      <c r="H1108" s="10"/>
      <c r="I1108" s="10">
        <v>1502500</v>
      </c>
      <c r="J1108" s="79" t="e">
        <f t="shared" si="24"/>
        <v>#VALUE!</v>
      </c>
      <c r="K1108" s="106"/>
      <c r="L1108" s="107"/>
      <c r="M1108" s="106"/>
      <c r="N1108" s="106"/>
      <c r="O1108" s="108"/>
      <c r="P1108" s="108"/>
      <c r="Q1108" s="108"/>
      <c r="R1108" s="109"/>
      <c r="S1108" s="109"/>
      <c r="T1108" s="108"/>
      <c r="U1108" s="110"/>
      <c r="V1108" s="110"/>
      <c r="W1108" s="110"/>
      <c r="X1108" s="110"/>
    </row>
    <row r="1109" spans="1:24" ht="14.25" customHeight="1">
      <c r="A1109" s="110"/>
      <c r="B1109" s="125"/>
      <c r="C1109" s="126"/>
      <c r="D1109" s="15"/>
      <c r="E1109" s="10" t="e">
        <f>TRIM(VLOOKUP(D1109,TB!$B$9:$C$1500,2,FALSE))</f>
        <v>#N/A</v>
      </c>
      <c r="F1109" s="142"/>
      <c r="G1109" s="130"/>
      <c r="H1109" s="10"/>
      <c r="I1109" s="10"/>
      <c r="J1109" s="79" t="e">
        <f t="shared" si="24"/>
        <v>#VALUE!</v>
      </c>
      <c r="K1109" s="106"/>
      <c r="L1109" s="107"/>
      <c r="M1109" s="106"/>
      <c r="N1109" s="106"/>
      <c r="O1109" s="108"/>
      <c r="P1109" s="108"/>
      <c r="Q1109" s="108"/>
      <c r="R1109" s="109"/>
      <c r="S1109" s="109"/>
      <c r="T1109" s="108"/>
      <c r="U1109" s="110"/>
      <c r="V1109" s="110"/>
      <c r="W1109" s="110"/>
      <c r="X1109" s="110"/>
    </row>
    <row r="1110" spans="1:24" ht="14.25" customHeight="1">
      <c r="A1110" s="110"/>
      <c r="B1110" s="125">
        <v>46182</v>
      </c>
      <c r="C1110" s="126" t="s">
        <v>177</v>
      </c>
      <c r="D1110" s="68" t="s">
        <v>130</v>
      </c>
      <c r="E1110" s="10" t="str">
        <f>TRIM(VLOOKUP(D1110,TB!$B$9:$C$1500,2,FALSE))</f>
        <v>BCA TBB</v>
      </c>
      <c r="F1110" s="142" t="s">
        <v>178</v>
      </c>
      <c r="G1110" s="130"/>
      <c r="H1110" s="158">
        <v>1750000</v>
      </c>
      <c r="I1110" s="12"/>
      <c r="J1110" s="79" t="e">
        <f t="shared" si="24"/>
        <v>#VALUE!</v>
      </c>
      <c r="K1110" s="106"/>
      <c r="L1110" s="107"/>
      <c r="M1110" s="106"/>
      <c r="N1110" s="106"/>
      <c r="O1110" s="108"/>
      <c r="P1110" s="108"/>
      <c r="Q1110" s="108"/>
      <c r="R1110" s="109"/>
      <c r="S1110" s="109"/>
      <c r="T1110" s="108"/>
      <c r="U1110" s="110"/>
      <c r="V1110" s="110"/>
      <c r="W1110" s="110"/>
      <c r="X1110" s="110"/>
    </row>
    <row r="1111" spans="1:24" ht="14.25" customHeight="1">
      <c r="A1111" s="110"/>
      <c r="B1111" s="125">
        <v>46182</v>
      </c>
      <c r="C1111" s="126" t="s">
        <v>177</v>
      </c>
      <c r="D1111" s="15" t="s">
        <v>124</v>
      </c>
      <c r="E1111" s="10" t="str">
        <f>TRIM(VLOOKUP(D1111,TB!$B$9:$C$1500,2,FALSE))</f>
        <v>Bank charges</v>
      </c>
      <c r="F1111" s="142" t="s">
        <v>178</v>
      </c>
      <c r="G1111" s="130"/>
      <c r="H1111" s="10">
        <v>2500</v>
      </c>
      <c r="I1111" s="12"/>
      <c r="J1111" s="79" t="e">
        <f t="shared" si="24"/>
        <v>#VALUE!</v>
      </c>
      <c r="K1111" s="106"/>
      <c r="L1111" s="107"/>
      <c r="M1111" s="106"/>
      <c r="N1111" s="106"/>
      <c r="O1111" s="108"/>
      <c r="P1111" s="108"/>
      <c r="Q1111" s="108"/>
      <c r="R1111" s="109"/>
      <c r="S1111" s="109"/>
      <c r="T1111" s="108"/>
      <c r="U1111" s="110"/>
      <c r="V1111" s="110"/>
      <c r="W1111" s="110"/>
      <c r="X1111" s="110"/>
    </row>
    <row r="1112" spans="1:24" ht="14.25" customHeight="1">
      <c r="A1112" s="110"/>
      <c r="B1112" s="125">
        <v>46182</v>
      </c>
      <c r="C1112" s="126" t="s">
        <v>177</v>
      </c>
      <c r="D1112" s="68" t="s">
        <v>172</v>
      </c>
      <c r="E1112" s="10" t="str">
        <f>TRIM(VLOOKUP(D1112,TB!$B$9:$C$1500,2,FALSE))</f>
        <v>BANK BRI</v>
      </c>
      <c r="F1112" s="142" t="s">
        <v>178</v>
      </c>
      <c r="G1112" s="130"/>
      <c r="H1112" s="10"/>
      <c r="I1112" s="158">
        <f>SUM(H1110:H1111)</f>
        <v>1752500</v>
      </c>
      <c r="J1112" s="79" t="e">
        <f t="shared" si="24"/>
        <v>#VALUE!</v>
      </c>
      <c r="K1112" s="106"/>
      <c r="L1112" s="107"/>
      <c r="M1112" s="106"/>
      <c r="N1112" s="106"/>
      <c r="O1112" s="108"/>
      <c r="P1112" s="108"/>
      <c r="Q1112" s="108"/>
      <c r="R1112" s="109"/>
      <c r="S1112" s="109"/>
      <c r="T1112" s="108"/>
      <c r="U1112" s="110"/>
      <c r="V1112" s="110"/>
      <c r="W1112" s="110"/>
      <c r="X1112" s="110"/>
    </row>
    <row r="1113" spans="1:24" ht="14.25" customHeight="1">
      <c r="A1113" s="110"/>
      <c r="B1113" s="125"/>
      <c r="C1113" s="126"/>
      <c r="D1113" s="68"/>
      <c r="E1113" s="10" t="e">
        <f>TRIM(VLOOKUP(D1113,TB!$B$9:$C$1500,2,FALSE))</f>
        <v>#N/A</v>
      </c>
      <c r="F1113" s="142"/>
      <c r="G1113" s="130"/>
      <c r="H1113" s="10"/>
      <c r="I1113" s="10"/>
      <c r="J1113" s="79" t="e">
        <f t="shared" si="24"/>
        <v>#VALUE!</v>
      </c>
      <c r="K1113" s="106"/>
      <c r="L1113" s="107"/>
      <c r="M1113" s="106"/>
      <c r="N1113" s="106"/>
      <c r="O1113" s="108"/>
      <c r="P1113" s="108"/>
      <c r="Q1113" s="108"/>
      <c r="R1113" s="109"/>
      <c r="S1113" s="109"/>
      <c r="T1113" s="108"/>
      <c r="U1113" s="110"/>
      <c r="V1113" s="110"/>
      <c r="W1113" s="110"/>
      <c r="X1113" s="110"/>
    </row>
    <row r="1114" spans="1:24" ht="14.25" customHeight="1">
      <c r="A1114" s="110"/>
      <c r="B1114" s="125">
        <v>46183</v>
      </c>
      <c r="C1114" s="126" t="s">
        <v>179</v>
      </c>
      <c r="D1114" s="68" t="s">
        <v>172</v>
      </c>
      <c r="E1114" s="10" t="str">
        <f>TRIM(VLOOKUP(D1114,TB!$B$9:$C$1500,2,FALSE))</f>
        <v>BANK BRI</v>
      </c>
      <c r="F1114" s="142" t="s">
        <v>180</v>
      </c>
      <c r="G1114" s="130"/>
      <c r="H1114" s="157">
        <f>I1116-H1115</f>
        <v>497000.02</v>
      </c>
      <c r="I1114" s="10"/>
      <c r="J1114" s="79" t="e">
        <f t="shared" si="24"/>
        <v>#VALUE!</v>
      </c>
      <c r="K1114" s="106"/>
      <c r="L1114" s="107"/>
      <c r="M1114" s="106"/>
      <c r="N1114" s="106"/>
      <c r="O1114" s="108"/>
      <c r="P1114" s="108"/>
      <c r="Q1114" s="108"/>
      <c r="R1114" s="109"/>
      <c r="S1114" s="109"/>
      <c r="T1114" s="108"/>
      <c r="U1114" s="110"/>
      <c r="V1114" s="110"/>
      <c r="W1114" s="110"/>
      <c r="X1114" s="110"/>
    </row>
    <row r="1115" spans="1:24" ht="14.25" customHeight="1">
      <c r="A1115" s="110"/>
      <c r="B1115" s="125">
        <v>46183</v>
      </c>
      <c r="C1115" s="126" t="s">
        <v>179</v>
      </c>
      <c r="D1115" s="15" t="s">
        <v>124</v>
      </c>
      <c r="E1115" s="10" t="str">
        <f>TRIM(VLOOKUP(D1115,TB!$B$9:$C$1500,2,FALSE))</f>
        <v>Bank charges</v>
      </c>
      <c r="F1115" s="142" t="s">
        <v>180</v>
      </c>
      <c r="G1115" s="130"/>
      <c r="H1115" s="157">
        <f>I1116*1.8%</f>
        <v>9109.9800000000014</v>
      </c>
      <c r="I1115" s="10"/>
      <c r="J1115" s="79" t="e">
        <f t="shared" si="24"/>
        <v>#VALUE!</v>
      </c>
      <c r="K1115" s="106"/>
      <c r="L1115" s="107"/>
      <c r="M1115" s="106"/>
      <c r="N1115" s="106"/>
      <c r="O1115" s="108"/>
      <c r="P1115" s="108"/>
      <c r="Q1115" s="108"/>
      <c r="R1115" s="109"/>
      <c r="S1115" s="109"/>
      <c r="T1115" s="108"/>
      <c r="U1115" s="110"/>
      <c r="V1115" s="110"/>
      <c r="W1115" s="110"/>
      <c r="X1115" s="110"/>
    </row>
    <row r="1116" spans="1:24" ht="14.25" customHeight="1">
      <c r="A1116" s="110"/>
      <c r="B1116" s="125">
        <v>46183</v>
      </c>
      <c r="C1116" s="126" t="s">
        <v>179</v>
      </c>
      <c r="D1116" s="15" t="s">
        <v>58</v>
      </c>
      <c r="E1116" s="10" t="str">
        <f>TRIM(VLOOKUP(D1116,TB!$B$9:$C$1500,2,FALSE))</f>
        <v>BRI CARD CC</v>
      </c>
      <c r="F1116" s="142" t="s">
        <v>180</v>
      </c>
      <c r="G1116" s="130"/>
      <c r="H1116" s="10"/>
      <c r="I1116" s="10">
        <v>506110</v>
      </c>
      <c r="J1116" s="79" t="e">
        <f t="shared" si="24"/>
        <v>#VALUE!</v>
      </c>
      <c r="K1116" s="106"/>
      <c r="L1116" s="107"/>
      <c r="M1116" s="106"/>
      <c r="N1116" s="106"/>
      <c r="O1116" s="108"/>
      <c r="P1116" s="108"/>
      <c r="Q1116" s="108"/>
      <c r="R1116" s="109"/>
      <c r="S1116" s="109"/>
      <c r="T1116" s="108"/>
      <c r="U1116" s="110"/>
      <c r="V1116" s="110"/>
      <c r="W1116" s="110"/>
      <c r="X1116" s="110"/>
    </row>
    <row r="1117" spans="1:24" ht="14.25" customHeight="1">
      <c r="A1117" s="110"/>
      <c r="B1117" s="125"/>
      <c r="C1117" s="126"/>
      <c r="D1117" s="68"/>
      <c r="E1117" s="10" t="e">
        <f>TRIM(VLOOKUP(D1117,TB!$B$9:$C$1500,2,FALSE))</f>
        <v>#N/A</v>
      </c>
      <c r="F1117" s="142"/>
      <c r="G1117" s="130"/>
      <c r="H1117" s="10"/>
      <c r="I1117" s="10"/>
      <c r="J1117" s="79" t="e">
        <f t="shared" si="24"/>
        <v>#VALUE!</v>
      </c>
      <c r="K1117" s="106"/>
      <c r="L1117" s="107"/>
      <c r="M1117" s="106"/>
      <c r="N1117" s="106"/>
      <c r="O1117" s="108"/>
      <c r="P1117" s="108"/>
      <c r="Q1117" s="108"/>
      <c r="R1117" s="109"/>
      <c r="S1117" s="109"/>
      <c r="T1117" s="108"/>
      <c r="U1117" s="110"/>
      <c r="V1117" s="110"/>
      <c r="W1117" s="110"/>
      <c r="X1117" s="110"/>
    </row>
    <row r="1118" spans="1:24" ht="14.25" customHeight="1">
      <c r="A1118" s="110"/>
      <c r="B1118" s="125">
        <v>46183</v>
      </c>
      <c r="C1118" s="126" t="s">
        <v>181</v>
      </c>
      <c r="D1118" s="68" t="s">
        <v>172</v>
      </c>
      <c r="E1118" s="10" t="str">
        <f>TRIM(VLOOKUP(D1118,TB!$B$9:$C$1500,2,FALSE))</f>
        <v>BANK BRI</v>
      </c>
      <c r="F1118" s="142" t="s">
        <v>182</v>
      </c>
      <c r="G1118" s="130"/>
      <c r="H1118" s="157">
        <f>I1120-H1119</f>
        <v>144476.75</v>
      </c>
      <c r="I1118" s="10"/>
      <c r="J1118" s="79" t="e">
        <f t="shared" si="24"/>
        <v>#VALUE!</v>
      </c>
      <c r="K1118" s="106"/>
      <c r="L1118" s="107"/>
      <c r="M1118" s="106"/>
      <c r="N1118" s="106"/>
      <c r="O1118" s="108"/>
      <c r="P1118" s="108"/>
      <c r="Q1118" s="108"/>
      <c r="R1118" s="109"/>
      <c r="S1118" s="109"/>
      <c r="T1118" s="108"/>
      <c r="U1118" s="110"/>
      <c r="V1118" s="110"/>
      <c r="W1118" s="110"/>
      <c r="X1118" s="110"/>
    </row>
    <row r="1119" spans="1:24" ht="14.25" customHeight="1">
      <c r="A1119" s="110"/>
      <c r="B1119" s="125">
        <v>46183</v>
      </c>
      <c r="C1119" s="126" t="s">
        <v>181</v>
      </c>
      <c r="D1119" s="15" t="s">
        <v>124</v>
      </c>
      <c r="E1119" s="10" t="str">
        <f>TRIM(VLOOKUP(D1119,TB!$B$9:$C$1500,2,FALSE))</f>
        <v>Bank charges</v>
      </c>
      <c r="F1119" s="142" t="s">
        <v>182</v>
      </c>
      <c r="G1119" s="130"/>
      <c r="H1119" s="157">
        <f>I1120*1.8%</f>
        <v>2648.2500000000005</v>
      </c>
      <c r="I1119" s="10"/>
      <c r="J1119" s="79" t="e">
        <f t="shared" si="24"/>
        <v>#VALUE!</v>
      </c>
      <c r="K1119" s="106"/>
      <c r="L1119" s="107"/>
      <c r="M1119" s="106"/>
      <c r="N1119" s="106"/>
      <c r="O1119" s="108"/>
      <c r="P1119" s="108"/>
      <c r="Q1119" s="108"/>
      <c r="R1119" s="109"/>
      <c r="S1119" s="109"/>
      <c r="T1119" s="108"/>
      <c r="U1119" s="110"/>
      <c r="V1119" s="110"/>
      <c r="W1119" s="110"/>
      <c r="X1119" s="110"/>
    </row>
    <row r="1120" spans="1:24" ht="14.25" customHeight="1">
      <c r="A1120" s="110"/>
      <c r="B1120" s="125">
        <v>46183</v>
      </c>
      <c r="C1120" s="126" t="s">
        <v>181</v>
      </c>
      <c r="D1120" s="15" t="s">
        <v>58</v>
      </c>
      <c r="E1120" s="10" t="str">
        <f>TRIM(VLOOKUP(D1120,TB!$B$9:$C$1500,2,FALSE))</f>
        <v>BRI CARD CC</v>
      </c>
      <c r="F1120" s="142" t="s">
        <v>182</v>
      </c>
      <c r="G1120" s="130"/>
      <c r="H1120" s="10"/>
      <c r="I1120" s="10">
        <v>147125</v>
      </c>
      <c r="J1120" s="79" t="e">
        <f t="shared" si="24"/>
        <v>#VALUE!</v>
      </c>
      <c r="K1120" s="106"/>
      <c r="L1120" s="107"/>
      <c r="M1120" s="106"/>
      <c r="N1120" s="106"/>
      <c r="O1120" s="108"/>
      <c r="P1120" s="108"/>
      <c r="Q1120" s="108"/>
      <c r="R1120" s="109"/>
      <c r="S1120" s="109"/>
      <c r="T1120" s="108"/>
      <c r="U1120" s="110"/>
      <c r="V1120" s="110"/>
      <c r="W1120" s="110"/>
      <c r="X1120" s="110"/>
    </row>
    <row r="1121" spans="1:24" ht="14.25" customHeight="1">
      <c r="A1121" s="110"/>
      <c r="B1121" s="125"/>
      <c r="C1121" s="126"/>
      <c r="D1121" s="159"/>
      <c r="E1121" s="10" t="e">
        <f>TRIM(VLOOKUP(D1121,TB!$B$9:$C$1500,2,FALSE))</f>
        <v>#N/A</v>
      </c>
      <c r="F1121" s="142"/>
      <c r="G1121" s="130"/>
      <c r="H1121" s="10"/>
      <c r="I1121" s="10"/>
      <c r="J1121" s="79" t="e">
        <f t="shared" si="24"/>
        <v>#VALUE!</v>
      </c>
      <c r="K1121" s="106"/>
      <c r="L1121" s="107"/>
      <c r="M1121" s="106"/>
      <c r="N1121" s="106"/>
      <c r="O1121" s="108"/>
      <c r="P1121" s="108"/>
      <c r="Q1121" s="108"/>
      <c r="R1121" s="109"/>
      <c r="S1121" s="109"/>
      <c r="T1121" s="108"/>
      <c r="U1121" s="110"/>
      <c r="V1121" s="110"/>
      <c r="W1121" s="110"/>
      <c r="X1121" s="110"/>
    </row>
    <row r="1122" spans="1:24" ht="14.25" customHeight="1">
      <c r="A1122" s="110"/>
      <c r="B1122" s="125">
        <v>46183</v>
      </c>
      <c r="C1122" s="126" t="s">
        <v>183</v>
      </c>
      <c r="D1122" s="68" t="s">
        <v>172</v>
      </c>
      <c r="E1122" s="10" t="str">
        <f>TRIM(VLOOKUP(D1122,TB!$B$9:$C$1500,2,FALSE))</f>
        <v>BANK BRI</v>
      </c>
      <c r="F1122" s="142" t="s">
        <v>184</v>
      </c>
      <c r="G1122" s="130"/>
      <c r="H1122" s="157">
        <f>I1124-H1123</f>
        <v>468104.67</v>
      </c>
      <c r="I1122" s="10"/>
      <c r="J1122" s="79" t="e">
        <f t="shared" si="24"/>
        <v>#VALUE!</v>
      </c>
      <c r="K1122" s="106"/>
      <c r="L1122" s="107"/>
      <c r="M1122" s="106"/>
      <c r="N1122" s="106"/>
      <c r="O1122" s="108"/>
      <c r="P1122" s="108"/>
      <c r="Q1122" s="108"/>
      <c r="R1122" s="109"/>
      <c r="S1122" s="109"/>
      <c r="T1122" s="108"/>
      <c r="U1122" s="110"/>
      <c r="V1122" s="110"/>
      <c r="W1122" s="110"/>
      <c r="X1122" s="110"/>
    </row>
    <row r="1123" spans="1:24" ht="14.25" customHeight="1">
      <c r="A1123" s="110"/>
      <c r="B1123" s="125">
        <v>46183</v>
      </c>
      <c r="C1123" s="126" t="s">
        <v>183</v>
      </c>
      <c r="D1123" s="15" t="s">
        <v>124</v>
      </c>
      <c r="E1123" s="10" t="str">
        <f>TRIM(VLOOKUP(D1123,TB!$B$9:$C$1500,2,FALSE))</f>
        <v>Bank charges</v>
      </c>
      <c r="F1123" s="142" t="s">
        <v>184</v>
      </c>
      <c r="G1123" s="130"/>
      <c r="H1123" s="157">
        <f>I1124*1.8%</f>
        <v>8580.3300000000017</v>
      </c>
      <c r="I1123" s="10"/>
      <c r="J1123" s="79" t="e">
        <f t="shared" si="24"/>
        <v>#VALUE!</v>
      </c>
      <c r="K1123" s="106"/>
      <c r="L1123" s="107"/>
      <c r="M1123" s="106"/>
      <c r="N1123" s="106"/>
      <c r="O1123" s="108"/>
      <c r="P1123" s="108"/>
      <c r="Q1123" s="108"/>
      <c r="R1123" s="109"/>
      <c r="S1123" s="109"/>
      <c r="T1123" s="108"/>
      <c r="U1123" s="110"/>
      <c r="V1123" s="110"/>
      <c r="W1123" s="110"/>
      <c r="X1123" s="110"/>
    </row>
    <row r="1124" spans="1:24" ht="14.25" customHeight="1">
      <c r="A1124" s="110"/>
      <c r="B1124" s="125">
        <v>46183</v>
      </c>
      <c r="C1124" s="126" t="s">
        <v>183</v>
      </c>
      <c r="D1124" s="15" t="s">
        <v>58</v>
      </c>
      <c r="E1124" s="10" t="str">
        <f>TRIM(VLOOKUP(D1124,TB!$B$9:$C$1500,2,FALSE))</f>
        <v>BRI CARD CC</v>
      </c>
      <c r="F1124" s="142" t="s">
        <v>184</v>
      </c>
      <c r="G1124" s="130"/>
      <c r="H1124" s="10"/>
      <c r="I1124" s="10">
        <v>476685</v>
      </c>
      <c r="J1124" s="79" t="e">
        <f t="shared" si="24"/>
        <v>#VALUE!</v>
      </c>
      <c r="K1124" s="106"/>
      <c r="L1124" s="107"/>
      <c r="M1124" s="106"/>
      <c r="N1124" s="106"/>
      <c r="O1124" s="108"/>
      <c r="P1124" s="108"/>
      <c r="Q1124" s="108"/>
      <c r="R1124" s="109"/>
      <c r="S1124" s="109"/>
      <c r="T1124" s="108"/>
      <c r="U1124" s="110"/>
      <c r="V1124" s="110"/>
      <c r="W1124" s="110"/>
      <c r="X1124" s="110"/>
    </row>
    <row r="1125" spans="1:24" ht="14.25" customHeight="1">
      <c r="A1125" s="110"/>
      <c r="B1125" s="125"/>
      <c r="C1125" s="126"/>
      <c r="D1125" s="159"/>
      <c r="E1125" s="10" t="e">
        <f>TRIM(VLOOKUP(D1125,TB!$B$9:$C$1500,2,FALSE))</f>
        <v>#N/A</v>
      </c>
      <c r="F1125" s="142"/>
      <c r="G1125" s="130"/>
      <c r="H1125" s="10"/>
      <c r="I1125" s="10"/>
      <c r="J1125" s="79" t="e">
        <f t="shared" si="24"/>
        <v>#VALUE!</v>
      </c>
      <c r="K1125" s="106"/>
      <c r="L1125" s="107"/>
      <c r="M1125" s="106"/>
      <c r="N1125" s="106"/>
      <c r="O1125" s="108"/>
      <c r="P1125" s="108"/>
      <c r="Q1125" s="108"/>
      <c r="R1125" s="109"/>
      <c r="S1125" s="109"/>
      <c r="T1125" s="108"/>
      <c r="U1125" s="110"/>
      <c r="V1125" s="110"/>
      <c r="W1125" s="110"/>
      <c r="X1125" s="110"/>
    </row>
    <row r="1126" spans="1:24" ht="14.25" customHeight="1">
      <c r="A1126" s="110"/>
      <c r="B1126" s="125">
        <v>46183</v>
      </c>
      <c r="C1126" s="126" t="s">
        <v>185</v>
      </c>
      <c r="D1126" s="68" t="s">
        <v>172</v>
      </c>
      <c r="E1126" s="10" t="str">
        <f>TRIM(VLOOKUP(D1126,TB!$B$9:$C$1500,2,FALSE))</f>
        <v>BANK BRI</v>
      </c>
      <c r="F1126" s="142" t="s">
        <v>186</v>
      </c>
      <c r="G1126" s="130"/>
      <c r="H1126" s="158">
        <v>11100000</v>
      </c>
      <c r="I1126" s="12"/>
      <c r="J1126" s="79" t="e">
        <f t="shared" si="24"/>
        <v>#VALUE!</v>
      </c>
      <c r="K1126" s="106"/>
      <c r="L1126" s="107"/>
      <c r="M1126" s="106"/>
      <c r="N1126" s="106"/>
      <c r="O1126" s="108"/>
      <c r="P1126" s="108"/>
      <c r="Q1126" s="108"/>
      <c r="R1126" s="109"/>
      <c r="S1126" s="109"/>
      <c r="T1126" s="108"/>
      <c r="U1126" s="110"/>
      <c r="V1126" s="110"/>
      <c r="W1126" s="110"/>
      <c r="X1126" s="110"/>
    </row>
    <row r="1127" spans="1:24" ht="14.25" customHeight="1">
      <c r="A1127" s="110"/>
      <c r="B1127" s="125">
        <v>46183</v>
      </c>
      <c r="C1127" s="126" t="s">
        <v>185</v>
      </c>
      <c r="D1127" s="15" t="s">
        <v>124</v>
      </c>
      <c r="E1127" s="10" t="str">
        <f>TRIM(VLOOKUP(D1127,TB!$B$9:$C$1500,2,FALSE))</f>
        <v>Bank charges</v>
      </c>
      <c r="F1127" s="142" t="s">
        <v>186</v>
      </c>
      <c r="G1127" s="130"/>
      <c r="H1127" s="10">
        <v>2500</v>
      </c>
      <c r="I1127" s="12"/>
      <c r="J1127" s="79" t="e">
        <f t="shared" si="24"/>
        <v>#VALUE!</v>
      </c>
      <c r="K1127" s="106"/>
      <c r="L1127" s="107"/>
      <c r="M1127" s="106"/>
      <c r="N1127" s="106"/>
      <c r="O1127" s="108"/>
      <c r="P1127" s="108"/>
      <c r="Q1127" s="108"/>
      <c r="R1127" s="109"/>
      <c r="S1127" s="109"/>
      <c r="T1127" s="108"/>
      <c r="U1127" s="110"/>
      <c r="V1127" s="110"/>
      <c r="W1127" s="110"/>
      <c r="X1127" s="110"/>
    </row>
    <row r="1128" spans="1:24" ht="14.25" customHeight="1">
      <c r="A1128" s="110"/>
      <c r="B1128" s="125">
        <v>46183</v>
      </c>
      <c r="C1128" s="126" t="s">
        <v>185</v>
      </c>
      <c r="D1128" s="68" t="s">
        <v>130</v>
      </c>
      <c r="E1128" s="10" t="str">
        <f>TRIM(VLOOKUP(D1128,TB!$B$9:$C$1500,2,FALSE))</f>
        <v>BCA TBB</v>
      </c>
      <c r="F1128" s="142" t="s">
        <v>186</v>
      </c>
      <c r="G1128" s="130"/>
      <c r="H1128" s="10"/>
      <c r="I1128" s="158">
        <f>SUM(H1126:H1127)</f>
        <v>11102500</v>
      </c>
      <c r="J1128" s="79" t="e">
        <f t="shared" si="24"/>
        <v>#VALUE!</v>
      </c>
      <c r="K1128" s="106"/>
      <c r="L1128" s="107"/>
      <c r="M1128" s="106"/>
      <c r="N1128" s="106"/>
      <c r="O1128" s="108"/>
      <c r="P1128" s="108"/>
      <c r="Q1128" s="108"/>
      <c r="R1128" s="109"/>
      <c r="S1128" s="109"/>
      <c r="T1128" s="108"/>
      <c r="U1128" s="110"/>
      <c r="V1128" s="110"/>
      <c r="W1128" s="110"/>
      <c r="X1128" s="110"/>
    </row>
    <row r="1129" spans="1:24" ht="14.25" customHeight="1">
      <c r="A1129" s="110"/>
      <c r="B1129" s="125"/>
      <c r="C1129" s="126"/>
      <c r="D1129" s="15"/>
      <c r="E1129" s="10" t="e">
        <f>TRIM(VLOOKUP(D1129,TB!$B$9:$C$1500,2,FALSE))</f>
        <v>#N/A</v>
      </c>
      <c r="F1129" s="142"/>
      <c r="G1129" s="130"/>
      <c r="H1129" s="155"/>
      <c r="I1129" s="10"/>
      <c r="J1129" s="79" t="e">
        <f t="shared" si="24"/>
        <v>#VALUE!</v>
      </c>
      <c r="K1129" s="106"/>
      <c r="L1129" s="107"/>
      <c r="M1129" s="106"/>
      <c r="N1129" s="106"/>
      <c r="O1129" s="108"/>
      <c r="P1129" s="108"/>
      <c r="Q1129" s="108"/>
      <c r="R1129" s="109"/>
      <c r="S1129" s="109"/>
      <c r="T1129" s="108"/>
      <c r="U1129" s="110"/>
      <c r="V1129" s="110"/>
      <c r="W1129" s="110"/>
      <c r="X1129" s="110"/>
    </row>
    <row r="1130" spans="1:24" ht="14.25" customHeight="1">
      <c r="A1130" s="110"/>
      <c r="B1130" s="125">
        <v>46183</v>
      </c>
      <c r="C1130" s="126" t="s">
        <v>187</v>
      </c>
      <c r="D1130" s="15" t="s">
        <v>188</v>
      </c>
      <c r="E1130" s="10" t="str">
        <f>TRIM(VLOOKUP(D1130,TB!$B$9:$C$1500,2,FALSE))</f>
        <v>Advertising Costs</v>
      </c>
      <c r="F1130" s="142" t="s">
        <v>189</v>
      </c>
      <c r="G1130" s="130"/>
      <c r="H1130" s="10">
        <v>11100000</v>
      </c>
      <c r="I1130" s="10"/>
      <c r="J1130" s="79" t="e">
        <f t="shared" si="24"/>
        <v>#VALUE!</v>
      </c>
      <c r="K1130" s="106"/>
      <c r="L1130" s="107"/>
      <c r="M1130" s="106"/>
      <c r="N1130" s="106"/>
      <c r="O1130" s="108"/>
      <c r="P1130" s="108"/>
      <c r="Q1130" s="108"/>
      <c r="R1130" s="109"/>
      <c r="S1130" s="109"/>
      <c r="T1130" s="108"/>
      <c r="U1130" s="110"/>
      <c r="V1130" s="110"/>
      <c r="W1130" s="110"/>
      <c r="X1130" s="110"/>
    </row>
    <row r="1131" spans="1:24" ht="14.25" customHeight="1">
      <c r="A1131" s="110"/>
      <c r="B1131" s="125">
        <v>46183</v>
      </c>
      <c r="C1131" s="126" t="s">
        <v>187</v>
      </c>
      <c r="D1131" s="68" t="s">
        <v>172</v>
      </c>
      <c r="E1131" s="10" t="str">
        <f>TRIM(VLOOKUP(D1131,TB!$B$9:$C$1500,2,FALSE))</f>
        <v>BANK BRI</v>
      </c>
      <c r="F1131" s="142" t="s">
        <v>189</v>
      </c>
      <c r="G1131" s="130"/>
      <c r="H1131" s="10"/>
      <c r="I1131" s="158">
        <f>SUM(H1130)</f>
        <v>11100000</v>
      </c>
      <c r="J1131" s="79" t="e">
        <f t="shared" si="24"/>
        <v>#VALUE!</v>
      </c>
      <c r="K1131" s="106"/>
      <c r="L1131" s="107"/>
      <c r="M1131" s="106"/>
      <c r="N1131" s="106"/>
      <c r="O1131" s="108"/>
      <c r="P1131" s="108"/>
      <c r="Q1131" s="108"/>
      <c r="R1131" s="109"/>
      <c r="S1131" s="109"/>
      <c r="T1131" s="108"/>
      <c r="U1131" s="110"/>
      <c r="V1131" s="110"/>
      <c r="W1131" s="110"/>
      <c r="X1131" s="110"/>
    </row>
    <row r="1132" spans="1:24" ht="14.25" customHeight="1">
      <c r="A1132" s="110"/>
      <c r="B1132" s="125"/>
      <c r="C1132" s="126"/>
      <c r="D1132" s="15"/>
      <c r="E1132" s="10" t="e">
        <f>TRIM(VLOOKUP(D1132,TB!$B$9:$C$1500,2,FALSE))</f>
        <v>#N/A</v>
      </c>
      <c r="F1132" s="142"/>
      <c r="G1132" s="130"/>
      <c r="H1132" s="10"/>
      <c r="I1132" s="10"/>
      <c r="J1132" s="79" t="e">
        <f t="shared" si="24"/>
        <v>#VALUE!</v>
      </c>
      <c r="K1132" s="106"/>
      <c r="L1132" s="107"/>
      <c r="M1132" s="106"/>
      <c r="N1132" s="106"/>
      <c r="O1132" s="108"/>
      <c r="P1132" s="108"/>
      <c r="Q1132" s="108"/>
      <c r="R1132" s="109"/>
      <c r="S1132" s="109"/>
      <c r="T1132" s="108"/>
      <c r="U1132" s="110"/>
      <c r="V1132" s="110"/>
      <c r="W1132" s="110"/>
      <c r="X1132" s="110"/>
    </row>
    <row r="1133" spans="1:24" ht="14.25" customHeight="1">
      <c r="A1133" s="110"/>
      <c r="B1133" s="125">
        <v>46191</v>
      </c>
      <c r="C1133" s="126" t="s">
        <v>190</v>
      </c>
      <c r="D1133" s="68" t="s">
        <v>172</v>
      </c>
      <c r="E1133" s="10" t="str">
        <f>TRIM(VLOOKUP(D1133,TB!$B$9:$C$1500,2,FALSE))</f>
        <v>BANK BRI</v>
      </c>
      <c r="F1133" s="142" t="s">
        <v>191</v>
      </c>
      <c r="G1133" s="130"/>
      <c r="H1133" s="157">
        <f>I1135-H1134</f>
        <v>312069.78000000003</v>
      </c>
      <c r="I1133" s="10"/>
      <c r="J1133" s="79" t="e">
        <f t="shared" si="24"/>
        <v>#VALUE!</v>
      </c>
      <c r="K1133" s="106"/>
      <c r="L1133" s="107"/>
      <c r="M1133" s="106"/>
      <c r="N1133" s="106"/>
      <c r="O1133" s="108"/>
      <c r="P1133" s="108"/>
      <c r="Q1133" s="108"/>
      <c r="R1133" s="109"/>
      <c r="S1133" s="109"/>
      <c r="T1133" s="108"/>
      <c r="U1133" s="110"/>
      <c r="V1133" s="110"/>
      <c r="W1133" s="110"/>
      <c r="X1133" s="110"/>
    </row>
    <row r="1134" spans="1:24" ht="14.25" customHeight="1">
      <c r="A1134" s="110"/>
      <c r="B1134" s="125">
        <v>46191</v>
      </c>
      <c r="C1134" s="126" t="s">
        <v>190</v>
      </c>
      <c r="D1134" s="15" t="s">
        <v>124</v>
      </c>
      <c r="E1134" s="10" t="str">
        <f>TRIM(VLOOKUP(D1134,TB!$B$9:$C$1500,2,FALSE))</f>
        <v>Bank charges</v>
      </c>
      <c r="F1134" s="142" t="s">
        <v>191</v>
      </c>
      <c r="G1134" s="130"/>
      <c r="H1134" s="157">
        <f>I1135*1.8%</f>
        <v>5720.22</v>
      </c>
      <c r="I1134" s="10"/>
      <c r="J1134" s="79" t="e">
        <f t="shared" si="24"/>
        <v>#VALUE!</v>
      </c>
      <c r="K1134" s="106"/>
      <c r="L1134" s="107"/>
      <c r="M1134" s="106"/>
      <c r="N1134" s="106"/>
      <c r="O1134" s="108"/>
      <c r="P1134" s="108"/>
      <c r="Q1134" s="108"/>
      <c r="R1134" s="109"/>
      <c r="S1134" s="109"/>
      <c r="T1134" s="108"/>
      <c r="U1134" s="110"/>
      <c r="V1134" s="110"/>
      <c r="W1134" s="110"/>
      <c r="X1134" s="110"/>
    </row>
    <row r="1135" spans="1:24" ht="14.25" customHeight="1">
      <c r="A1135" s="110"/>
      <c r="B1135" s="125">
        <v>46191</v>
      </c>
      <c r="C1135" s="126" t="s">
        <v>190</v>
      </c>
      <c r="D1135" s="15" t="s">
        <v>58</v>
      </c>
      <c r="E1135" s="10" t="str">
        <f>TRIM(VLOOKUP(D1135,TB!$B$9:$C$1500,2,FALSE))</f>
        <v>BRI CARD CC</v>
      </c>
      <c r="F1135" s="142" t="s">
        <v>191</v>
      </c>
      <c r="G1135" s="130"/>
      <c r="H1135" s="10"/>
      <c r="I1135" s="10">
        <v>317790</v>
      </c>
      <c r="J1135" s="79" t="e">
        <f t="shared" si="24"/>
        <v>#VALUE!</v>
      </c>
      <c r="K1135" s="106"/>
      <c r="L1135" s="107"/>
      <c r="M1135" s="106"/>
      <c r="N1135" s="106"/>
      <c r="O1135" s="108"/>
      <c r="P1135" s="108"/>
      <c r="Q1135" s="108"/>
      <c r="R1135" s="109"/>
      <c r="S1135" s="109"/>
      <c r="T1135" s="108"/>
      <c r="U1135" s="110"/>
      <c r="V1135" s="110"/>
      <c r="W1135" s="110"/>
      <c r="X1135" s="110"/>
    </row>
    <row r="1136" spans="1:24" ht="14.25" customHeight="1">
      <c r="A1136" s="110"/>
      <c r="B1136" s="125"/>
      <c r="C1136" s="126"/>
      <c r="D1136" s="68"/>
      <c r="E1136" s="10" t="e">
        <f>TRIM(VLOOKUP(D1136,TB!$B$9:$C$1500,2,FALSE))</f>
        <v>#N/A</v>
      </c>
      <c r="F1136" s="142"/>
      <c r="G1136" s="130"/>
      <c r="H1136" s="10"/>
      <c r="I1136" s="10"/>
      <c r="J1136" s="79" t="e">
        <f t="shared" si="24"/>
        <v>#VALUE!</v>
      </c>
      <c r="K1136" s="106"/>
      <c r="L1136" s="107"/>
      <c r="M1136" s="106"/>
      <c r="N1136" s="106"/>
      <c r="O1136" s="108"/>
      <c r="P1136" s="108"/>
      <c r="Q1136" s="108"/>
      <c r="R1136" s="109"/>
      <c r="S1136" s="109"/>
      <c r="T1136" s="108"/>
      <c r="U1136" s="110"/>
      <c r="V1136" s="110"/>
      <c r="W1136" s="110"/>
      <c r="X1136" s="110"/>
    </row>
    <row r="1137" spans="1:24" ht="14.25" customHeight="1">
      <c r="A1137" s="110"/>
      <c r="B1137" s="125">
        <v>46191</v>
      </c>
      <c r="C1137" s="126" t="s">
        <v>192</v>
      </c>
      <c r="D1137" s="68" t="s">
        <v>172</v>
      </c>
      <c r="E1137" s="10" t="str">
        <f>TRIM(VLOOKUP(D1137,TB!$B$9:$C$1500,2,FALSE))</f>
        <v>BANK BRI</v>
      </c>
      <c r="F1137" s="142" t="s">
        <v>193</v>
      </c>
      <c r="G1137" s="130"/>
      <c r="H1137" s="157">
        <f>I1139-H1138</f>
        <v>138697.68</v>
      </c>
      <c r="I1137" s="10"/>
      <c r="J1137" s="79" t="e">
        <f t="shared" si="24"/>
        <v>#VALUE!</v>
      </c>
      <c r="K1137" s="106"/>
      <c r="L1137" s="107"/>
      <c r="M1137" s="106"/>
      <c r="N1137" s="106"/>
      <c r="O1137" s="108"/>
      <c r="P1137" s="108"/>
      <c r="Q1137" s="108"/>
      <c r="R1137" s="109"/>
      <c r="S1137" s="109"/>
      <c r="T1137" s="108"/>
      <c r="U1137" s="110"/>
      <c r="V1137" s="110"/>
      <c r="W1137" s="110"/>
      <c r="X1137" s="110"/>
    </row>
    <row r="1138" spans="1:24" ht="14.25" customHeight="1">
      <c r="A1138" s="110"/>
      <c r="B1138" s="125">
        <v>46191</v>
      </c>
      <c r="C1138" s="126" t="s">
        <v>192</v>
      </c>
      <c r="D1138" s="15" t="s">
        <v>124</v>
      </c>
      <c r="E1138" s="10" t="str">
        <f>TRIM(VLOOKUP(D1138,TB!$B$9:$C$1500,2,FALSE))</f>
        <v>Bank charges</v>
      </c>
      <c r="F1138" s="142" t="s">
        <v>193</v>
      </c>
      <c r="G1138" s="130"/>
      <c r="H1138" s="157">
        <f>I1139*1.8%</f>
        <v>2542.3200000000002</v>
      </c>
      <c r="I1138" s="10"/>
      <c r="J1138" s="79" t="e">
        <f t="shared" si="24"/>
        <v>#VALUE!</v>
      </c>
      <c r="K1138" s="106"/>
      <c r="L1138" s="107"/>
      <c r="M1138" s="106"/>
      <c r="N1138" s="106"/>
      <c r="O1138" s="108"/>
      <c r="P1138" s="108"/>
      <c r="Q1138" s="108"/>
      <c r="R1138" s="109"/>
      <c r="S1138" s="109"/>
      <c r="T1138" s="108"/>
      <c r="U1138" s="110"/>
      <c r="V1138" s="110"/>
      <c r="W1138" s="110"/>
      <c r="X1138" s="110"/>
    </row>
    <row r="1139" spans="1:24" ht="14.25" customHeight="1">
      <c r="A1139" s="110"/>
      <c r="B1139" s="125">
        <v>46191</v>
      </c>
      <c r="C1139" s="126" t="s">
        <v>192</v>
      </c>
      <c r="D1139" s="15" t="s">
        <v>58</v>
      </c>
      <c r="E1139" s="10" t="str">
        <f>TRIM(VLOOKUP(D1139,TB!$B$9:$C$1500,2,FALSE))</f>
        <v>BRI CARD CC</v>
      </c>
      <c r="F1139" s="142" t="s">
        <v>193</v>
      </c>
      <c r="G1139" s="130"/>
      <c r="H1139" s="10"/>
      <c r="I1139" s="10">
        <v>141240</v>
      </c>
      <c r="J1139" s="79" t="e">
        <f t="shared" si="24"/>
        <v>#VALUE!</v>
      </c>
      <c r="K1139" s="106"/>
      <c r="L1139" s="107"/>
      <c r="M1139" s="106"/>
      <c r="N1139" s="106"/>
      <c r="O1139" s="108"/>
      <c r="P1139" s="108"/>
      <c r="Q1139" s="108"/>
      <c r="R1139" s="109"/>
      <c r="S1139" s="109"/>
      <c r="T1139" s="108"/>
      <c r="U1139" s="110"/>
      <c r="V1139" s="110"/>
      <c r="W1139" s="110"/>
      <c r="X1139" s="110"/>
    </row>
    <row r="1140" spans="1:24" ht="14.25" customHeight="1">
      <c r="A1140" s="110"/>
      <c r="B1140" s="125"/>
      <c r="C1140" s="126"/>
      <c r="D1140" s="159"/>
      <c r="E1140" s="10" t="e">
        <f>TRIM(VLOOKUP(D1140,TB!$B$9:$C$1500,2,FALSE))</f>
        <v>#N/A</v>
      </c>
      <c r="F1140" s="142"/>
      <c r="G1140" s="130"/>
      <c r="H1140" s="10"/>
      <c r="I1140" s="10"/>
      <c r="J1140" s="79" t="e">
        <f t="shared" si="24"/>
        <v>#VALUE!</v>
      </c>
      <c r="K1140" s="106"/>
      <c r="L1140" s="107"/>
      <c r="M1140" s="106"/>
      <c r="N1140" s="106"/>
      <c r="O1140" s="108"/>
      <c r="P1140" s="108"/>
      <c r="Q1140" s="108"/>
      <c r="R1140" s="109"/>
      <c r="S1140" s="109"/>
      <c r="T1140" s="108"/>
      <c r="U1140" s="110"/>
      <c r="V1140" s="110"/>
      <c r="W1140" s="110"/>
      <c r="X1140" s="110"/>
    </row>
    <row r="1141" spans="1:24" ht="14.25" customHeight="1">
      <c r="A1141" s="110"/>
      <c r="B1141" s="125">
        <v>46191</v>
      </c>
      <c r="C1141" s="126" t="s">
        <v>194</v>
      </c>
      <c r="D1141" s="68" t="s">
        <v>172</v>
      </c>
      <c r="E1141" s="10" t="str">
        <f>TRIM(VLOOKUP(D1141,TB!$B$9:$C$1500,2,FALSE))</f>
        <v>BANK BRI</v>
      </c>
      <c r="F1141" s="142" t="s">
        <v>195</v>
      </c>
      <c r="G1141" s="130"/>
      <c r="H1141" s="157">
        <f>I1143-H1142</f>
        <v>994000.04</v>
      </c>
      <c r="I1141" s="10"/>
      <c r="J1141" s="79" t="e">
        <f t="shared" si="24"/>
        <v>#VALUE!</v>
      </c>
      <c r="K1141" s="106"/>
      <c r="L1141" s="107"/>
      <c r="M1141" s="106"/>
      <c r="N1141" s="106"/>
      <c r="O1141" s="108"/>
      <c r="P1141" s="108"/>
      <c r="Q1141" s="108"/>
      <c r="R1141" s="109"/>
      <c r="S1141" s="109"/>
      <c r="T1141" s="108"/>
      <c r="U1141" s="110"/>
      <c r="V1141" s="110"/>
      <c r="W1141" s="110"/>
      <c r="X1141" s="110"/>
    </row>
    <row r="1142" spans="1:24" ht="14.25" customHeight="1">
      <c r="A1142" s="110"/>
      <c r="B1142" s="125">
        <v>46191</v>
      </c>
      <c r="C1142" s="126" t="s">
        <v>194</v>
      </c>
      <c r="D1142" s="15" t="s">
        <v>124</v>
      </c>
      <c r="E1142" s="10" t="str">
        <f>TRIM(VLOOKUP(D1142,TB!$B$9:$C$1500,2,FALSE))</f>
        <v>Bank charges</v>
      </c>
      <c r="F1142" s="142" t="s">
        <v>195</v>
      </c>
      <c r="G1142" s="130"/>
      <c r="H1142" s="169">
        <v>18219.960000000003</v>
      </c>
      <c r="I1142" s="10"/>
      <c r="J1142" s="79" t="e">
        <f t="shared" si="24"/>
        <v>#VALUE!</v>
      </c>
      <c r="K1142" s="106"/>
      <c r="L1142" s="107"/>
      <c r="M1142" s="106"/>
      <c r="N1142" s="106"/>
      <c r="O1142" s="108"/>
      <c r="P1142" s="108"/>
      <c r="Q1142" s="108"/>
      <c r="R1142" s="109"/>
      <c r="S1142" s="109"/>
      <c r="T1142" s="108"/>
      <c r="U1142" s="110"/>
      <c r="V1142" s="110"/>
      <c r="W1142" s="110"/>
      <c r="X1142" s="110"/>
    </row>
    <row r="1143" spans="1:24" ht="14.25" customHeight="1">
      <c r="A1143" s="110"/>
      <c r="B1143" s="125">
        <v>46191</v>
      </c>
      <c r="C1143" s="126" t="s">
        <v>194</v>
      </c>
      <c r="D1143" s="15" t="s">
        <v>58</v>
      </c>
      <c r="E1143" s="10" t="str">
        <f>TRIM(VLOOKUP(D1143,TB!$B$9:$C$1500,2,FALSE))</f>
        <v>BRI CARD CC</v>
      </c>
      <c r="F1143" s="142" t="s">
        <v>195</v>
      </c>
      <c r="G1143" s="130"/>
      <c r="H1143" s="157"/>
      <c r="I1143" s="10">
        <v>1012220</v>
      </c>
      <c r="J1143" s="79" t="e">
        <f t="shared" si="24"/>
        <v>#VALUE!</v>
      </c>
      <c r="K1143" s="106"/>
      <c r="L1143" s="107"/>
      <c r="M1143" s="106"/>
      <c r="N1143" s="106"/>
      <c r="O1143" s="108"/>
      <c r="P1143" s="108"/>
      <c r="Q1143" s="108"/>
      <c r="R1143" s="109"/>
      <c r="S1143" s="109"/>
      <c r="T1143" s="108"/>
      <c r="U1143" s="110"/>
      <c r="V1143" s="110"/>
      <c r="W1143" s="110"/>
      <c r="X1143" s="110"/>
    </row>
    <row r="1144" spans="1:24" ht="14.25" customHeight="1">
      <c r="A1144" s="110"/>
      <c r="B1144" s="125"/>
      <c r="C1144" s="126"/>
      <c r="D1144" s="159"/>
      <c r="E1144" s="10" t="e">
        <f>TRIM(VLOOKUP(D1144,TB!$B$9:$C$1500,2,FALSE))</f>
        <v>#N/A</v>
      </c>
      <c r="F1144" s="142"/>
      <c r="G1144" s="130"/>
      <c r="H1144" s="157"/>
      <c r="I1144" s="10"/>
      <c r="J1144" s="79" t="e">
        <f t="shared" si="24"/>
        <v>#VALUE!</v>
      </c>
      <c r="K1144" s="106"/>
      <c r="L1144" s="107"/>
      <c r="M1144" s="106"/>
      <c r="N1144" s="106"/>
      <c r="O1144" s="108"/>
      <c r="P1144" s="108"/>
      <c r="Q1144" s="108"/>
      <c r="R1144" s="109"/>
      <c r="S1144" s="109"/>
      <c r="T1144" s="108"/>
      <c r="U1144" s="110"/>
      <c r="V1144" s="110"/>
      <c r="W1144" s="110"/>
      <c r="X1144" s="110"/>
    </row>
    <row r="1145" spans="1:24" ht="14.25" customHeight="1">
      <c r="A1145" s="110"/>
      <c r="B1145" s="125">
        <v>46191</v>
      </c>
      <c r="C1145" s="126" t="s">
        <v>196</v>
      </c>
      <c r="D1145" s="68" t="s">
        <v>172</v>
      </c>
      <c r="E1145" s="10" t="str">
        <f>TRIM(VLOOKUP(D1145,TB!$B$9:$C$1500,2,FALSE))</f>
        <v>BANK BRI</v>
      </c>
      <c r="F1145" s="142" t="s">
        <v>197</v>
      </c>
      <c r="G1145" s="130"/>
      <c r="H1145" s="157">
        <f>I1147-H1146</f>
        <v>1751069.0120000001</v>
      </c>
      <c r="I1145" s="10"/>
      <c r="J1145" s="79" t="e">
        <f t="shared" si="24"/>
        <v>#VALUE!</v>
      </c>
      <c r="K1145" s="106"/>
      <c r="L1145" s="107"/>
      <c r="M1145" s="106"/>
      <c r="N1145" s="106"/>
      <c r="O1145" s="108"/>
      <c r="P1145" s="108"/>
      <c r="Q1145" s="108"/>
      <c r="R1145" s="109"/>
      <c r="S1145" s="109"/>
      <c r="T1145" s="108"/>
      <c r="U1145" s="110"/>
      <c r="V1145" s="110"/>
      <c r="W1145" s="110"/>
      <c r="X1145" s="110"/>
    </row>
    <row r="1146" spans="1:24" ht="14.25" customHeight="1">
      <c r="A1146" s="110"/>
      <c r="B1146" s="125">
        <v>46191</v>
      </c>
      <c r="C1146" s="126" t="s">
        <v>196</v>
      </c>
      <c r="D1146" s="15" t="s">
        <v>124</v>
      </c>
      <c r="E1146" s="10" t="str">
        <f>TRIM(VLOOKUP(D1146,TB!$B$9:$C$1500,2,FALSE))</f>
        <v>Bank charges</v>
      </c>
      <c r="F1146" s="142" t="s">
        <v>197</v>
      </c>
      <c r="G1146" s="130"/>
      <c r="H1146" s="169">
        <v>32096.988000000005</v>
      </c>
      <c r="I1146" s="10"/>
      <c r="J1146" s="79" t="e">
        <f t="shared" si="24"/>
        <v>#VALUE!</v>
      </c>
      <c r="K1146" s="106"/>
      <c r="L1146" s="107"/>
      <c r="M1146" s="106"/>
      <c r="N1146" s="106"/>
      <c r="O1146" s="108"/>
      <c r="P1146" s="108"/>
      <c r="Q1146" s="108"/>
      <c r="R1146" s="109"/>
      <c r="S1146" s="109"/>
      <c r="T1146" s="108"/>
      <c r="U1146" s="110"/>
      <c r="V1146" s="110"/>
      <c r="W1146" s="110"/>
      <c r="X1146" s="110"/>
    </row>
    <row r="1147" spans="1:24" ht="14.25" customHeight="1">
      <c r="A1147" s="110"/>
      <c r="B1147" s="125">
        <v>46191</v>
      </c>
      <c r="C1147" s="126" t="s">
        <v>196</v>
      </c>
      <c r="D1147" s="15" t="s">
        <v>58</v>
      </c>
      <c r="E1147" s="10" t="str">
        <f>TRIM(VLOOKUP(D1147,TB!$B$9:$C$1500,2,FALSE))</f>
        <v>BRI CARD CC</v>
      </c>
      <c r="F1147" s="142" t="s">
        <v>197</v>
      </c>
      <c r="G1147" s="130"/>
      <c r="H1147" s="157"/>
      <c r="I1147" s="10">
        <v>1783166</v>
      </c>
      <c r="J1147" s="79" t="e">
        <f t="shared" si="24"/>
        <v>#VALUE!</v>
      </c>
      <c r="K1147" s="106"/>
      <c r="L1147" s="107"/>
      <c r="M1147" s="106"/>
      <c r="N1147" s="106"/>
      <c r="O1147" s="108"/>
      <c r="P1147" s="108"/>
      <c r="Q1147" s="108"/>
      <c r="R1147" s="109"/>
      <c r="S1147" s="109"/>
      <c r="T1147" s="108"/>
      <c r="U1147" s="110"/>
      <c r="V1147" s="110"/>
      <c r="W1147" s="110"/>
      <c r="X1147" s="110"/>
    </row>
    <row r="1148" spans="1:24" ht="14.25" customHeight="1">
      <c r="A1148" s="110"/>
      <c r="B1148" s="125"/>
      <c r="C1148" s="126"/>
      <c r="D1148" s="159"/>
      <c r="E1148" s="10" t="e">
        <f>TRIM(VLOOKUP(D1148,TB!$B$9:$C$1500,2,FALSE))</f>
        <v>#N/A</v>
      </c>
      <c r="F1148" s="142"/>
      <c r="G1148" s="130"/>
      <c r="H1148" s="157"/>
      <c r="I1148" s="10"/>
      <c r="J1148" s="79" t="e">
        <f t="shared" si="24"/>
        <v>#VALUE!</v>
      </c>
      <c r="K1148" s="106"/>
      <c r="L1148" s="107"/>
      <c r="M1148" s="106"/>
      <c r="N1148" s="106"/>
      <c r="O1148" s="108"/>
      <c r="P1148" s="108"/>
      <c r="Q1148" s="108"/>
      <c r="R1148" s="109"/>
      <c r="S1148" s="109"/>
      <c r="T1148" s="108"/>
      <c r="U1148" s="110"/>
      <c r="V1148" s="110"/>
      <c r="W1148" s="110"/>
      <c r="X1148" s="110"/>
    </row>
    <row r="1149" spans="1:24" ht="14.25" customHeight="1">
      <c r="A1149" s="110"/>
      <c r="B1149" s="125">
        <v>46191</v>
      </c>
      <c r="C1149" s="126" t="s">
        <v>198</v>
      </c>
      <c r="D1149" s="68" t="s">
        <v>172</v>
      </c>
      <c r="E1149" s="10" t="str">
        <f>TRIM(VLOOKUP(D1149,TB!$B$9:$C$1500,2,FALSE))</f>
        <v>BANK BRI</v>
      </c>
      <c r="F1149" s="142" t="s">
        <v>199</v>
      </c>
      <c r="G1149" s="130"/>
      <c r="H1149" s="157">
        <f>I1151-H1150</f>
        <v>277395.36</v>
      </c>
      <c r="I1149" s="10"/>
      <c r="J1149" s="79" t="e">
        <f t="shared" si="24"/>
        <v>#VALUE!</v>
      </c>
      <c r="K1149" s="106"/>
      <c r="L1149" s="107"/>
      <c r="M1149" s="106"/>
      <c r="N1149" s="106"/>
      <c r="O1149" s="108"/>
      <c r="P1149" s="108"/>
      <c r="Q1149" s="108"/>
      <c r="R1149" s="109"/>
      <c r="S1149" s="109"/>
      <c r="T1149" s="108"/>
      <c r="U1149" s="110"/>
      <c r="V1149" s="110"/>
      <c r="W1149" s="110"/>
      <c r="X1149" s="110"/>
    </row>
    <row r="1150" spans="1:24" ht="14.25" customHeight="1">
      <c r="A1150" s="110"/>
      <c r="B1150" s="125">
        <v>46191</v>
      </c>
      <c r="C1150" s="126" t="s">
        <v>198</v>
      </c>
      <c r="D1150" s="15" t="s">
        <v>124</v>
      </c>
      <c r="E1150" s="10" t="str">
        <f>TRIM(VLOOKUP(D1150,TB!$B$9:$C$1500,2,FALSE))</f>
        <v>Bank charges</v>
      </c>
      <c r="F1150" s="142" t="s">
        <v>199</v>
      </c>
      <c r="G1150" s="130"/>
      <c r="H1150" s="157">
        <f>I1151*1.8%</f>
        <v>5084.6400000000003</v>
      </c>
      <c r="I1150" s="10"/>
      <c r="J1150" s="79" t="e">
        <f t="shared" si="24"/>
        <v>#VALUE!</v>
      </c>
      <c r="K1150" s="106"/>
      <c r="L1150" s="107"/>
      <c r="M1150" s="106"/>
      <c r="N1150" s="106"/>
      <c r="O1150" s="108"/>
      <c r="P1150" s="108"/>
      <c r="Q1150" s="108"/>
      <c r="R1150" s="109"/>
      <c r="S1150" s="109"/>
      <c r="T1150" s="108"/>
      <c r="U1150" s="110"/>
      <c r="V1150" s="110"/>
      <c r="W1150" s="110"/>
      <c r="X1150" s="110"/>
    </row>
    <row r="1151" spans="1:24" ht="14.25" customHeight="1">
      <c r="A1151" s="110"/>
      <c r="B1151" s="125">
        <v>46191</v>
      </c>
      <c r="C1151" s="126" t="s">
        <v>198</v>
      </c>
      <c r="D1151" s="15" t="s">
        <v>58</v>
      </c>
      <c r="E1151" s="10" t="str">
        <f>TRIM(VLOOKUP(D1151,TB!$B$9:$C$1500,2,FALSE))</f>
        <v>BRI CARD CC</v>
      </c>
      <c r="F1151" s="142" t="s">
        <v>199</v>
      </c>
      <c r="G1151" s="130"/>
      <c r="H1151" s="10"/>
      <c r="I1151" s="10">
        <v>282480</v>
      </c>
      <c r="J1151" s="79" t="e">
        <f t="shared" si="24"/>
        <v>#VALUE!</v>
      </c>
      <c r="K1151" s="106"/>
      <c r="L1151" s="107"/>
      <c r="M1151" s="106"/>
      <c r="N1151" s="106"/>
      <c r="O1151" s="108"/>
      <c r="P1151" s="108"/>
      <c r="Q1151" s="108"/>
      <c r="R1151" s="109"/>
      <c r="S1151" s="109"/>
      <c r="T1151" s="108"/>
      <c r="U1151" s="110"/>
      <c r="V1151" s="110"/>
      <c r="W1151" s="110"/>
      <c r="X1151" s="110"/>
    </row>
    <row r="1152" spans="1:24" ht="14.25" customHeight="1">
      <c r="A1152" s="110"/>
      <c r="B1152" s="125"/>
      <c r="C1152" s="126"/>
      <c r="D1152" s="15"/>
      <c r="E1152" s="10" t="e">
        <f>TRIM(VLOOKUP(D1152,TB!$B$9:$C$1500,2,FALSE))</f>
        <v>#N/A</v>
      </c>
      <c r="F1152" s="142"/>
      <c r="G1152" s="130"/>
      <c r="H1152" s="10"/>
      <c r="I1152" s="10"/>
      <c r="J1152" s="79" t="e">
        <f t="shared" si="24"/>
        <v>#VALUE!</v>
      </c>
      <c r="K1152" s="106"/>
      <c r="L1152" s="107"/>
      <c r="M1152" s="106"/>
      <c r="N1152" s="106"/>
      <c r="O1152" s="108"/>
      <c r="P1152" s="108"/>
      <c r="Q1152" s="108"/>
      <c r="R1152" s="109"/>
      <c r="S1152" s="109"/>
      <c r="T1152" s="108"/>
      <c r="U1152" s="110"/>
      <c r="V1152" s="110"/>
      <c r="W1152" s="110"/>
      <c r="X1152" s="110"/>
    </row>
    <row r="1153" spans="1:24" ht="14.25" customHeight="1">
      <c r="A1153" s="110"/>
      <c r="B1153" s="125">
        <v>46191</v>
      </c>
      <c r="C1153" s="126" t="s">
        <v>200</v>
      </c>
      <c r="D1153" s="68" t="s">
        <v>172</v>
      </c>
      <c r="E1153" s="10" t="str">
        <f>TRIM(VLOOKUP(D1153,TB!$B$9:$C$1500,2,FALSE))</f>
        <v>BANK BRI</v>
      </c>
      <c r="F1153" s="142" t="s">
        <v>201</v>
      </c>
      <c r="G1153" s="130"/>
      <c r="H1153" s="157">
        <f>I1155-H1154</f>
        <v>69348.84</v>
      </c>
      <c r="I1153" s="10"/>
      <c r="J1153" s="79" t="e">
        <f t="shared" si="24"/>
        <v>#VALUE!</v>
      </c>
      <c r="K1153" s="106"/>
      <c r="L1153" s="107"/>
      <c r="M1153" s="106"/>
      <c r="N1153" s="106"/>
      <c r="O1153" s="108"/>
      <c r="P1153" s="108"/>
      <c r="Q1153" s="108"/>
      <c r="R1153" s="109"/>
      <c r="S1153" s="109"/>
      <c r="T1153" s="108"/>
      <c r="U1153" s="110"/>
      <c r="V1153" s="110"/>
      <c r="W1153" s="110"/>
      <c r="X1153" s="110"/>
    </row>
    <row r="1154" spans="1:24" ht="14.25" customHeight="1">
      <c r="A1154" s="110"/>
      <c r="B1154" s="125">
        <v>46191</v>
      </c>
      <c r="C1154" s="126" t="s">
        <v>200</v>
      </c>
      <c r="D1154" s="15" t="s">
        <v>124</v>
      </c>
      <c r="E1154" s="10" t="str">
        <f>TRIM(VLOOKUP(D1154,TB!$B$9:$C$1500,2,FALSE))</f>
        <v>Bank charges</v>
      </c>
      <c r="F1154" s="142" t="s">
        <v>201</v>
      </c>
      <c r="G1154" s="130"/>
      <c r="H1154" s="157">
        <f>I1155*1.8%</f>
        <v>1271.1600000000001</v>
      </c>
      <c r="I1154" s="10"/>
      <c r="J1154" s="79" t="e">
        <f t="shared" si="24"/>
        <v>#VALUE!</v>
      </c>
      <c r="K1154" s="106"/>
      <c r="L1154" s="107"/>
      <c r="M1154" s="106"/>
      <c r="N1154" s="106"/>
      <c r="O1154" s="108"/>
      <c r="P1154" s="108"/>
      <c r="Q1154" s="108"/>
      <c r="R1154" s="109"/>
      <c r="S1154" s="109"/>
      <c r="T1154" s="108"/>
      <c r="U1154" s="110"/>
      <c r="V1154" s="110"/>
      <c r="W1154" s="110"/>
      <c r="X1154" s="110"/>
    </row>
    <row r="1155" spans="1:24" ht="14.25" customHeight="1">
      <c r="A1155" s="110"/>
      <c r="B1155" s="125">
        <v>46191</v>
      </c>
      <c r="C1155" s="126" t="s">
        <v>200</v>
      </c>
      <c r="D1155" s="15" t="s">
        <v>58</v>
      </c>
      <c r="E1155" s="10" t="str">
        <f>TRIM(VLOOKUP(D1155,TB!$B$9:$C$1500,2,FALSE))</f>
        <v>BRI CARD CC</v>
      </c>
      <c r="F1155" s="142" t="s">
        <v>201</v>
      </c>
      <c r="G1155" s="130"/>
      <c r="H1155" s="155"/>
      <c r="I1155" s="10">
        <v>70620</v>
      </c>
      <c r="J1155" s="79" t="e">
        <f t="shared" si="24"/>
        <v>#VALUE!</v>
      </c>
      <c r="K1155" s="106"/>
      <c r="L1155" s="107"/>
      <c r="M1155" s="106"/>
      <c r="N1155" s="106"/>
      <c r="O1155" s="108"/>
      <c r="P1155" s="108"/>
      <c r="Q1155" s="108"/>
      <c r="R1155" s="109"/>
      <c r="S1155" s="109"/>
      <c r="T1155" s="108"/>
      <c r="U1155" s="110"/>
      <c r="V1155" s="110"/>
      <c r="W1155" s="110"/>
      <c r="X1155" s="110"/>
    </row>
    <row r="1156" spans="1:24" ht="14.25" customHeight="1">
      <c r="A1156" s="110"/>
      <c r="B1156" s="125"/>
      <c r="C1156" s="126"/>
      <c r="D1156" s="15"/>
      <c r="E1156" s="10" t="e">
        <f>TRIM(VLOOKUP(D1156,TB!$B$9:$C$1500,2,FALSE))</f>
        <v>#N/A</v>
      </c>
      <c r="F1156" s="142"/>
      <c r="G1156" s="130"/>
      <c r="H1156" s="155"/>
      <c r="I1156" s="10"/>
      <c r="J1156" s="79" t="e">
        <f t="shared" si="24"/>
        <v>#VALUE!</v>
      </c>
      <c r="K1156" s="106"/>
      <c r="L1156" s="107"/>
      <c r="M1156" s="106"/>
      <c r="N1156" s="106"/>
      <c r="O1156" s="108"/>
      <c r="P1156" s="108"/>
      <c r="Q1156" s="108"/>
      <c r="R1156" s="109"/>
      <c r="S1156" s="109"/>
      <c r="T1156" s="108"/>
      <c r="U1156" s="110"/>
      <c r="V1156" s="110"/>
      <c r="W1156" s="110"/>
      <c r="X1156" s="110"/>
    </row>
    <row r="1157" spans="1:24" ht="14.25" customHeight="1">
      <c r="A1157" s="110"/>
      <c r="B1157" s="125">
        <v>46191</v>
      </c>
      <c r="C1157" s="126" t="s">
        <v>202</v>
      </c>
      <c r="D1157" s="68" t="s">
        <v>172</v>
      </c>
      <c r="E1157" s="10" t="str">
        <f>TRIM(VLOOKUP(D1157,TB!$B$9:$C$1500,2,FALSE))</f>
        <v>BANK BRI</v>
      </c>
      <c r="F1157" s="142" t="s">
        <v>203</v>
      </c>
      <c r="G1157" s="130"/>
      <c r="H1157" s="157">
        <f>I1159-H1158</f>
        <v>134074.424</v>
      </c>
      <c r="I1157" s="10"/>
      <c r="J1157" s="79" t="e">
        <f t="shared" si="24"/>
        <v>#VALUE!</v>
      </c>
      <c r="K1157" s="106"/>
      <c r="L1157" s="107"/>
      <c r="M1157" s="106"/>
      <c r="N1157" s="106"/>
      <c r="O1157" s="108"/>
      <c r="P1157" s="108"/>
      <c r="Q1157" s="108"/>
      <c r="R1157" s="109"/>
      <c r="S1157" s="109"/>
      <c r="T1157" s="108"/>
      <c r="U1157" s="110"/>
      <c r="V1157" s="110"/>
      <c r="W1157" s="110"/>
      <c r="X1157" s="110"/>
    </row>
    <row r="1158" spans="1:24" ht="14.25" customHeight="1">
      <c r="A1158" s="110"/>
      <c r="B1158" s="125">
        <v>46191</v>
      </c>
      <c r="C1158" s="126" t="s">
        <v>202</v>
      </c>
      <c r="D1158" s="15" t="s">
        <v>124</v>
      </c>
      <c r="E1158" s="10" t="str">
        <f>TRIM(VLOOKUP(D1158,TB!$B$9:$C$1500,2,FALSE))</f>
        <v>Bank charges</v>
      </c>
      <c r="F1158" s="142" t="s">
        <v>203</v>
      </c>
      <c r="G1158" s="130"/>
      <c r="H1158" s="157">
        <f>I1159*1.8%</f>
        <v>2457.5760000000005</v>
      </c>
      <c r="I1158" s="10"/>
      <c r="J1158" s="79" t="e">
        <f t="shared" si="24"/>
        <v>#VALUE!</v>
      </c>
      <c r="K1158" s="106"/>
      <c r="L1158" s="107"/>
      <c r="M1158" s="106"/>
      <c r="N1158" s="106"/>
      <c r="O1158" s="108"/>
      <c r="P1158" s="108"/>
      <c r="Q1158" s="108"/>
      <c r="R1158" s="109"/>
      <c r="S1158" s="109"/>
      <c r="T1158" s="108"/>
      <c r="U1158" s="110"/>
      <c r="V1158" s="110"/>
      <c r="W1158" s="110"/>
      <c r="X1158" s="110"/>
    </row>
    <row r="1159" spans="1:24" ht="14.25" customHeight="1">
      <c r="A1159" s="110"/>
      <c r="B1159" s="125">
        <v>46191</v>
      </c>
      <c r="C1159" s="126" t="s">
        <v>202</v>
      </c>
      <c r="D1159" s="15" t="s">
        <v>58</v>
      </c>
      <c r="E1159" s="10" t="str">
        <f>TRIM(VLOOKUP(D1159,TB!$B$9:$C$1500,2,FALSE))</f>
        <v>BRI CARD CC</v>
      </c>
      <c r="F1159" s="142" t="s">
        <v>203</v>
      </c>
      <c r="G1159" s="130"/>
      <c r="H1159" s="155"/>
      <c r="I1159" s="10">
        <v>136532</v>
      </c>
      <c r="J1159" s="79" t="e">
        <f t="shared" si="24"/>
        <v>#VALUE!</v>
      </c>
      <c r="K1159" s="106"/>
      <c r="L1159" s="107"/>
      <c r="M1159" s="106"/>
      <c r="N1159" s="106"/>
      <c r="O1159" s="108"/>
      <c r="P1159" s="108"/>
      <c r="Q1159" s="108"/>
      <c r="R1159" s="109"/>
      <c r="S1159" s="109"/>
      <c r="T1159" s="108"/>
      <c r="U1159" s="110"/>
      <c r="V1159" s="110"/>
      <c r="W1159" s="110"/>
      <c r="X1159" s="110"/>
    </row>
    <row r="1160" spans="1:24" ht="14.25" customHeight="1">
      <c r="A1160" s="110"/>
      <c r="B1160" s="125"/>
      <c r="C1160" s="126"/>
      <c r="D1160" s="15"/>
      <c r="E1160" s="10" t="e">
        <f>TRIM(VLOOKUP(D1160,TB!$B$9:$C$1500,2,FALSE))</f>
        <v>#N/A</v>
      </c>
      <c r="F1160" s="142"/>
      <c r="G1160" s="130"/>
      <c r="H1160" s="155"/>
      <c r="I1160" s="10"/>
      <c r="J1160" s="79" t="e">
        <f t="shared" si="24"/>
        <v>#VALUE!</v>
      </c>
      <c r="K1160" s="106"/>
      <c r="L1160" s="107"/>
      <c r="M1160" s="106"/>
      <c r="N1160" s="106"/>
      <c r="O1160" s="108"/>
      <c r="P1160" s="108"/>
      <c r="Q1160" s="108"/>
      <c r="R1160" s="109"/>
      <c r="S1160" s="109"/>
      <c r="T1160" s="108"/>
      <c r="U1160" s="110"/>
      <c r="V1160" s="110"/>
      <c r="W1160" s="110"/>
      <c r="X1160" s="110"/>
    </row>
    <row r="1161" spans="1:24" ht="14.25" customHeight="1">
      <c r="A1161" s="110"/>
      <c r="B1161" s="125">
        <v>46197</v>
      </c>
      <c r="C1161" s="126" t="s">
        <v>204</v>
      </c>
      <c r="D1161" s="68" t="s">
        <v>172</v>
      </c>
      <c r="E1161" s="10" t="str">
        <f>TRIM(VLOOKUP(D1161,TB!$B$9:$C$1500,2,FALSE))</f>
        <v>BANK BRI</v>
      </c>
      <c r="F1161" s="142" t="s">
        <v>205</v>
      </c>
      <c r="G1161" s="130"/>
      <c r="H1161" s="157">
        <f>I1163-H1162</f>
        <v>271616.28999999998</v>
      </c>
      <c r="I1161" s="10"/>
      <c r="J1161" s="79" t="e">
        <f t="shared" si="24"/>
        <v>#VALUE!</v>
      </c>
      <c r="K1161" s="106"/>
      <c r="L1161" s="107"/>
      <c r="M1161" s="106"/>
      <c r="N1161" s="106"/>
      <c r="O1161" s="108"/>
      <c r="P1161" s="108"/>
      <c r="Q1161" s="108"/>
      <c r="R1161" s="109"/>
      <c r="S1161" s="109"/>
      <c r="T1161" s="108"/>
      <c r="U1161" s="110"/>
      <c r="V1161" s="110"/>
      <c r="W1161" s="110"/>
      <c r="X1161" s="110"/>
    </row>
    <row r="1162" spans="1:24" ht="14.25" customHeight="1">
      <c r="A1162" s="110"/>
      <c r="B1162" s="125">
        <v>46197</v>
      </c>
      <c r="C1162" s="126" t="s">
        <v>204</v>
      </c>
      <c r="D1162" s="15" t="s">
        <v>124</v>
      </c>
      <c r="E1162" s="10" t="str">
        <f>TRIM(VLOOKUP(D1162,TB!$B$9:$C$1500,2,FALSE))</f>
        <v>Bank charges</v>
      </c>
      <c r="F1162" s="142" t="s">
        <v>205</v>
      </c>
      <c r="G1162" s="130"/>
      <c r="H1162" s="157">
        <f>I1163*1.8%</f>
        <v>4978.7100000000009</v>
      </c>
      <c r="I1162" s="10"/>
      <c r="J1162" s="79" t="e">
        <f t="shared" si="24"/>
        <v>#VALUE!</v>
      </c>
      <c r="K1162" s="106"/>
      <c r="L1162" s="107"/>
      <c r="M1162" s="106"/>
      <c r="N1162" s="106"/>
      <c r="O1162" s="108"/>
      <c r="P1162" s="108"/>
      <c r="Q1162" s="108"/>
      <c r="R1162" s="109"/>
      <c r="S1162" s="109"/>
      <c r="T1162" s="108"/>
      <c r="U1162" s="110"/>
      <c r="V1162" s="110"/>
      <c r="W1162" s="110"/>
      <c r="X1162" s="110"/>
    </row>
    <row r="1163" spans="1:24" ht="14.25" customHeight="1">
      <c r="A1163" s="110"/>
      <c r="B1163" s="125">
        <v>46197</v>
      </c>
      <c r="C1163" s="126" t="s">
        <v>204</v>
      </c>
      <c r="D1163" s="15" t="s">
        <v>58</v>
      </c>
      <c r="E1163" s="10" t="str">
        <f>TRIM(VLOOKUP(D1163,TB!$B$9:$C$1500,2,FALSE))</f>
        <v>BRI CARD CC</v>
      </c>
      <c r="F1163" s="142" t="s">
        <v>205</v>
      </c>
      <c r="G1163" s="130"/>
      <c r="H1163" s="155"/>
      <c r="I1163" s="10">
        <v>276595</v>
      </c>
      <c r="J1163" s="79" t="e">
        <f t="shared" si="24"/>
        <v>#VALUE!</v>
      </c>
      <c r="K1163" s="106"/>
      <c r="L1163" s="107"/>
      <c r="M1163" s="106"/>
      <c r="N1163" s="106"/>
      <c r="O1163" s="108"/>
      <c r="P1163" s="108"/>
      <c r="Q1163" s="108"/>
      <c r="R1163" s="109"/>
      <c r="S1163" s="109"/>
      <c r="T1163" s="108"/>
      <c r="U1163" s="110"/>
      <c r="V1163" s="110"/>
      <c r="W1163" s="110"/>
      <c r="X1163" s="110"/>
    </row>
    <row r="1164" spans="1:24" ht="14.25" customHeight="1">
      <c r="A1164" s="110"/>
      <c r="B1164" s="125"/>
      <c r="C1164" s="126"/>
      <c r="D1164" s="15"/>
      <c r="E1164" s="10" t="e">
        <f>TRIM(VLOOKUP(D1164,TB!$B$9:$C$1500,2,FALSE))</f>
        <v>#N/A</v>
      </c>
      <c r="F1164" s="142"/>
      <c r="G1164" s="130"/>
      <c r="H1164" s="155"/>
      <c r="I1164" s="10"/>
      <c r="J1164" s="79" t="e">
        <f t="shared" si="24"/>
        <v>#VALUE!</v>
      </c>
      <c r="K1164" s="106"/>
      <c r="L1164" s="107"/>
      <c r="M1164" s="106"/>
      <c r="N1164" s="106"/>
      <c r="O1164" s="108"/>
      <c r="P1164" s="108"/>
      <c r="Q1164" s="108"/>
      <c r="R1164" s="109"/>
      <c r="S1164" s="109"/>
      <c r="T1164" s="108"/>
      <c r="U1164" s="110"/>
      <c r="V1164" s="110"/>
      <c r="W1164" s="110"/>
      <c r="X1164" s="110"/>
    </row>
    <row r="1165" spans="1:24" ht="14.25" customHeight="1">
      <c r="A1165" s="110"/>
      <c r="B1165" s="125">
        <v>46197</v>
      </c>
      <c r="C1165" s="126" t="s">
        <v>206</v>
      </c>
      <c r="D1165" s="68" t="s">
        <v>172</v>
      </c>
      <c r="E1165" s="10" t="str">
        <f>TRIM(VLOOKUP(D1165,TB!$B$9:$C$1500,2,FALSE))</f>
        <v>BANK BRI</v>
      </c>
      <c r="F1165" s="142" t="s">
        <v>207</v>
      </c>
      <c r="G1165" s="130"/>
      <c r="H1165" s="157">
        <f>I1167-H1166</f>
        <v>135798.81599999999</v>
      </c>
      <c r="I1165" s="10"/>
      <c r="J1165" s="79" t="e">
        <f t="shared" si="24"/>
        <v>#VALUE!</v>
      </c>
      <c r="K1165" s="106"/>
      <c r="L1165" s="107"/>
      <c r="M1165" s="106"/>
      <c r="N1165" s="106"/>
      <c r="O1165" s="108"/>
      <c r="P1165" s="108"/>
      <c r="Q1165" s="108"/>
      <c r="R1165" s="109"/>
      <c r="S1165" s="109"/>
      <c r="T1165" s="108"/>
      <c r="U1165" s="110"/>
      <c r="V1165" s="110"/>
      <c r="W1165" s="110"/>
      <c r="X1165" s="110"/>
    </row>
    <row r="1166" spans="1:24" ht="14.25" customHeight="1">
      <c r="A1166" s="110"/>
      <c r="B1166" s="125">
        <v>46197</v>
      </c>
      <c r="C1166" s="126" t="s">
        <v>206</v>
      </c>
      <c r="D1166" s="15" t="s">
        <v>124</v>
      </c>
      <c r="E1166" s="10" t="str">
        <f>TRIM(VLOOKUP(D1166,TB!$B$9:$C$1500,2,FALSE))</f>
        <v>Bank charges</v>
      </c>
      <c r="F1166" s="142" t="s">
        <v>207</v>
      </c>
      <c r="G1166" s="130"/>
      <c r="H1166" s="157">
        <f>I1167*1.8%</f>
        <v>2489.1840000000002</v>
      </c>
      <c r="I1166" s="10"/>
      <c r="J1166" s="79" t="e">
        <f t="shared" si="24"/>
        <v>#VALUE!</v>
      </c>
      <c r="K1166" s="106"/>
      <c r="L1166" s="107"/>
      <c r="M1166" s="106"/>
      <c r="N1166" s="106"/>
      <c r="O1166" s="108"/>
      <c r="P1166" s="108"/>
      <c r="Q1166" s="108"/>
      <c r="R1166" s="109"/>
      <c r="S1166" s="109"/>
      <c r="T1166" s="108"/>
      <c r="U1166" s="110"/>
      <c r="V1166" s="110"/>
      <c r="W1166" s="110"/>
      <c r="X1166" s="110"/>
    </row>
    <row r="1167" spans="1:24" ht="14.25" customHeight="1">
      <c r="A1167" s="110"/>
      <c r="B1167" s="125">
        <v>46197</v>
      </c>
      <c r="C1167" s="126" t="s">
        <v>206</v>
      </c>
      <c r="D1167" s="15" t="s">
        <v>58</v>
      </c>
      <c r="E1167" s="10" t="str">
        <f>TRIM(VLOOKUP(D1167,TB!$B$9:$C$1500,2,FALSE))</f>
        <v>BRI CARD CC</v>
      </c>
      <c r="F1167" s="142" t="s">
        <v>207</v>
      </c>
      <c r="G1167" s="130"/>
      <c r="H1167" s="10"/>
      <c r="I1167" s="10">
        <v>138288</v>
      </c>
      <c r="J1167" s="79" t="e">
        <f t="shared" si="24"/>
        <v>#VALUE!</v>
      </c>
      <c r="K1167" s="106"/>
      <c r="L1167" s="107"/>
      <c r="M1167" s="106"/>
      <c r="N1167" s="106"/>
      <c r="O1167" s="108"/>
      <c r="P1167" s="108"/>
      <c r="Q1167" s="108"/>
      <c r="R1167" s="109"/>
      <c r="S1167" s="109"/>
      <c r="T1167" s="108"/>
      <c r="U1167" s="110"/>
      <c r="V1167" s="110"/>
      <c r="W1167" s="110"/>
      <c r="X1167" s="110"/>
    </row>
    <row r="1168" spans="1:24" ht="14.25" customHeight="1">
      <c r="A1168" s="110"/>
      <c r="B1168" s="125"/>
      <c r="C1168" s="126"/>
      <c r="D1168" s="15"/>
      <c r="E1168" s="10" t="e">
        <f>TRIM(VLOOKUP(D1168,TB!$B$9:$C$1500,2,FALSE))</f>
        <v>#N/A</v>
      </c>
      <c r="F1168" s="142"/>
      <c r="G1168" s="130"/>
      <c r="H1168" s="10"/>
      <c r="I1168" s="10"/>
      <c r="J1168" s="79" t="e">
        <f t="shared" si="24"/>
        <v>#VALUE!</v>
      </c>
      <c r="K1168" s="106"/>
      <c r="L1168" s="107"/>
      <c r="M1168" s="106"/>
      <c r="N1168" s="106"/>
      <c r="O1168" s="108"/>
      <c r="P1168" s="108"/>
      <c r="Q1168" s="108"/>
      <c r="R1168" s="109"/>
      <c r="S1168" s="109"/>
      <c r="T1168" s="108"/>
      <c r="U1168" s="110"/>
      <c r="V1168" s="110"/>
      <c r="W1168" s="110"/>
      <c r="X1168" s="110"/>
    </row>
    <row r="1169" spans="1:24" ht="14.25" customHeight="1">
      <c r="A1169" s="110"/>
      <c r="B1169" s="125">
        <v>46199</v>
      </c>
      <c r="C1169" s="126" t="s">
        <v>208</v>
      </c>
      <c r="D1169" s="68" t="s">
        <v>172</v>
      </c>
      <c r="E1169" s="10" t="str">
        <f>TRIM(VLOOKUP(D1169,TB!$B$9:$C$1500,2,FALSE))</f>
        <v>BANK BRI</v>
      </c>
      <c r="F1169" s="142" t="s">
        <v>209</v>
      </c>
      <c r="G1169" s="130"/>
      <c r="H1169" s="157">
        <f>I1171-H1170</f>
        <v>115581.4</v>
      </c>
      <c r="I1169" s="10"/>
      <c r="J1169" s="79" t="e">
        <f t="shared" si="24"/>
        <v>#VALUE!</v>
      </c>
      <c r="K1169" s="106"/>
      <c r="L1169" s="107"/>
      <c r="M1169" s="106"/>
      <c r="N1169" s="106"/>
      <c r="O1169" s="108"/>
      <c r="P1169" s="108"/>
      <c r="Q1169" s="108"/>
      <c r="R1169" s="109"/>
      <c r="S1169" s="109"/>
      <c r="T1169" s="108"/>
      <c r="U1169" s="110"/>
      <c r="V1169" s="110"/>
      <c r="W1169" s="110"/>
      <c r="X1169" s="110"/>
    </row>
    <row r="1170" spans="1:24" ht="14.25" customHeight="1">
      <c r="A1170" s="110"/>
      <c r="B1170" s="125">
        <v>46199</v>
      </c>
      <c r="C1170" s="126" t="s">
        <v>208</v>
      </c>
      <c r="D1170" s="15" t="s">
        <v>124</v>
      </c>
      <c r="E1170" s="10" t="str">
        <f>TRIM(VLOOKUP(D1170,TB!$B$9:$C$1500,2,FALSE))</f>
        <v>Bank charges</v>
      </c>
      <c r="F1170" s="142" t="s">
        <v>209</v>
      </c>
      <c r="G1170" s="130"/>
      <c r="H1170" s="157">
        <f>I1171*1.8%</f>
        <v>2118.6000000000004</v>
      </c>
      <c r="I1170" s="10"/>
      <c r="J1170" s="79" t="e">
        <f t="shared" si="24"/>
        <v>#VALUE!</v>
      </c>
      <c r="K1170" s="106"/>
      <c r="L1170" s="107"/>
      <c r="M1170" s="106"/>
      <c r="N1170" s="106"/>
      <c r="O1170" s="108"/>
      <c r="P1170" s="108"/>
      <c r="Q1170" s="108"/>
      <c r="R1170" s="109"/>
      <c r="S1170" s="109"/>
      <c r="T1170" s="108"/>
      <c r="U1170" s="110"/>
      <c r="V1170" s="110"/>
      <c r="W1170" s="110"/>
      <c r="X1170" s="110"/>
    </row>
    <row r="1171" spans="1:24" ht="14.25" customHeight="1">
      <c r="A1171" s="110"/>
      <c r="B1171" s="125">
        <v>46199</v>
      </c>
      <c r="C1171" s="126" t="s">
        <v>208</v>
      </c>
      <c r="D1171" s="15" t="s">
        <v>58</v>
      </c>
      <c r="E1171" s="10" t="str">
        <f>TRIM(VLOOKUP(D1171,TB!$B$9:$C$1500,2,FALSE))</f>
        <v>BRI CARD CC</v>
      </c>
      <c r="F1171" s="142" t="s">
        <v>209</v>
      </c>
      <c r="G1171" s="130"/>
      <c r="H1171" s="10"/>
      <c r="I1171" s="10">
        <v>117700</v>
      </c>
      <c r="J1171" s="79" t="e">
        <f t="shared" si="24"/>
        <v>#VALUE!</v>
      </c>
      <c r="K1171" s="106"/>
      <c r="L1171" s="107"/>
      <c r="M1171" s="106"/>
      <c r="N1171" s="106"/>
      <c r="O1171" s="108"/>
      <c r="P1171" s="108"/>
      <c r="Q1171" s="108"/>
      <c r="R1171" s="109"/>
      <c r="S1171" s="109"/>
      <c r="T1171" s="108"/>
      <c r="U1171" s="110"/>
      <c r="V1171" s="110"/>
      <c r="W1171" s="110"/>
      <c r="X1171" s="110"/>
    </row>
    <row r="1172" spans="1:24" ht="14.25" customHeight="1">
      <c r="A1172" s="110"/>
      <c r="B1172" s="125"/>
      <c r="C1172" s="126"/>
      <c r="D1172" s="15"/>
      <c r="E1172" s="10" t="e">
        <f>TRIM(VLOOKUP(D1172,TB!$B$9:$C$1500,2,FALSE))</f>
        <v>#N/A</v>
      </c>
      <c r="F1172" s="142"/>
      <c r="G1172" s="130"/>
      <c r="H1172" s="128"/>
      <c r="I1172" s="10"/>
      <c r="J1172" s="79" t="e">
        <f t="shared" si="24"/>
        <v>#VALUE!</v>
      </c>
      <c r="K1172" s="106"/>
      <c r="L1172" s="107"/>
      <c r="M1172" s="106"/>
      <c r="N1172" s="106"/>
      <c r="O1172" s="108"/>
      <c r="P1172" s="108"/>
      <c r="Q1172" s="108"/>
      <c r="R1172" s="109"/>
      <c r="S1172" s="109"/>
      <c r="T1172" s="108"/>
      <c r="U1172" s="110"/>
      <c r="V1172" s="110"/>
      <c r="W1172" s="110"/>
      <c r="X1172" s="110"/>
    </row>
    <row r="1173" spans="1:24" ht="14.25" customHeight="1">
      <c r="A1173" s="110"/>
      <c r="B1173" s="125">
        <v>46199</v>
      </c>
      <c r="C1173" s="126" t="s">
        <v>210</v>
      </c>
      <c r="D1173" s="68" t="s">
        <v>158</v>
      </c>
      <c r="E1173" s="10" t="str">
        <f>TRIM(VLOOKUP(D1173,TB!$B$9:$C$1500,2,FALSE))</f>
        <v>Mandiri TBB IDR</v>
      </c>
      <c r="F1173" s="142" t="s">
        <v>211</v>
      </c>
      <c r="G1173" s="130"/>
      <c r="H1173" s="10">
        <v>4150000</v>
      </c>
      <c r="I1173" s="10"/>
      <c r="J1173" s="79" t="e">
        <f t="shared" si="24"/>
        <v>#VALUE!</v>
      </c>
      <c r="K1173" s="106"/>
      <c r="L1173" s="107"/>
      <c r="M1173" s="106"/>
      <c r="N1173" s="106"/>
      <c r="O1173" s="108"/>
      <c r="P1173" s="108"/>
      <c r="Q1173" s="108"/>
      <c r="R1173" s="109"/>
      <c r="S1173" s="109"/>
      <c r="T1173" s="108"/>
      <c r="U1173" s="110"/>
      <c r="V1173" s="110"/>
      <c r="W1173" s="110"/>
      <c r="X1173" s="110"/>
    </row>
    <row r="1174" spans="1:24" ht="14.25" customHeight="1">
      <c r="A1174" s="110"/>
      <c r="B1174" s="125">
        <v>46199</v>
      </c>
      <c r="C1174" s="126" t="s">
        <v>210</v>
      </c>
      <c r="D1174" s="15" t="s">
        <v>124</v>
      </c>
      <c r="E1174" s="10" t="str">
        <f>TRIM(VLOOKUP(D1174,TB!$B$9:$C$1500,2,FALSE))</f>
        <v>Bank charges</v>
      </c>
      <c r="F1174" s="142" t="s">
        <v>211</v>
      </c>
      <c r="G1174" s="130"/>
      <c r="H1174" s="10">
        <v>2500</v>
      </c>
      <c r="I1174" s="12"/>
      <c r="J1174" s="79" t="e">
        <f t="shared" si="24"/>
        <v>#VALUE!</v>
      </c>
      <c r="K1174" s="106"/>
      <c r="L1174" s="107"/>
      <c r="M1174" s="106"/>
      <c r="N1174" s="106"/>
      <c r="O1174" s="108"/>
      <c r="P1174" s="108"/>
      <c r="Q1174" s="108"/>
      <c r="R1174" s="109"/>
      <c r="S1174" s="109"/>
      <c r="T1174" s="108"/>
      <c r="U1174" s="110"/>
      <c r="V1174" s="110"/>
      <c r="W1174" s="110"/>
      <c r="X1174" s="110"/>
    </row>
    <row r="1175" spans="1:24" ht="14.25" customHeight="1">
      <c r="A1175" s="110"/>
      <c r="B1175" s="125">
        <v>46199</v>
      </c>
      <c r="C1175" s="126" t="s">
        <v>210</v>
      </c>
      <c r="D1175" s="68" t="s">
        <v>172</v>
      </c>
      <c r="E1175" s="10" t="str">
        <f>TRIM(VLOOKUP(D1175,TB!$B$9:$C$1500,2,FALSE))</f>
        <v>BANK BRI</v>
      </c>
      <c r="F1175" s="142" t="s">
        <v>211</v>
      </c>
      <c r="G1175" s="130"/>
      <c r="H1175" s="10"/>
      <c r="I1175" s="158">
        <f>SUM(H1173:H1174)</f>
        <v>4152500</v>
      </c>
      <c r="J1175" s="79" t="e">
        <f t="shared" si="24"/>
        <v>#VALUE!</v>
      </c>
      <c r="K1175" s="106"/>
      <c r="L1175" s="107"/>
      <c r="M1175" s="106"/>
      <c r="N1175" s="106"/>
      <c r="O1175" s="108"/>
      <c r="P1175" s="108"/>
      <c r="Q1175" s="108"/>
      <c r="R1175" s="109"/>
      <c r="S1175" s="109"/>
      <c r="T1175" s="108"/>
      <c r="U1175" s="110"/>
      <c r="V1175" s="110"/>
      <c r="W1175" s="110"/>
      <c r="X1175" s="110"/>
    </row>
    <row r="1176" spans="1:24" ht="14.25" customHeight="1">
      <c r="A1176" s="110"/>
      <c r="B1176" s="125"/>
      <c r="C1176" s="126"/>
      <c r="D1176" s="68"/>
      <c r="E1176" s="10" t="e">
        <f>TRIM(VLOOKUP(D1176,TB!$B$9:$C$1500,2,FALSE))</f>
        <v>#N/A</v>
      </c>
      <c r="F1176" s="142"/>
      <c r="G1176" s="130"/>
      <c r="H1176" s="10"/>
      <c r="I1176" s="10"/>
      <c r="J1176" s="79" t="e">
        <f t="shared" si="24"/>
        <v>#VALUE!</v>
      </c>
      <c r="K1176" s="106"/>
      <c r="L1176" s="107"/>
      <c r="M1176" s="106"/>
      <c r="N1176" s="106"/>
      <c r="O1176" s="108"/>
      <c r="P1176" s="108"/>
      <c r="Q1176" s="108"/>
      <c r="R1176" s="109"/>
      <c r="S1176" s="109"/>
      <c r="T1176" s="108"/>
      <c r="U1176" s="110"/>
      <c r="V1176" s="110"/>
      <c r="W1176" s="110"/>
      <c r="X1176" s="110"/>
    </row>
    <row r="1177" spans="1:24" ht="14.25" customHeight="1">
      <c r="A1177" s="110"/>
      <c r="B1177" s="125">
        <v>46202</v>
      </c>
      <c r="C1177" s="126" t="s">
        <v>212</v>
      </c>
      <c r="D1177" s="68" t="s">
        <v>172</v>
      </c>
      <c r="E1177" s="10" t="str">
        <f>TRIM(VLOOKUP(D1177,TB!$B$9:$C$1500,2,FALSE))</f>
        <v>BANK BRI</v>
      </c>
      <c r="F1177" s="142" t="s">
        <v>213</v>
      </c>
      <c r="G1177" s="130"/>
      <c r="H1177" s="157">
        <f>I1179-H1178</f>
        <v>219604.66</v>
      </c>
      <c r="I1177" s="10"/>
      <c r="J1177" s="79" t="e">
        <f t="shared" si="24"/>
        <v>#VALUE!</v>
      </c>
      <c r="K1177" s="106"/>
      <c r="L1177" s="107"/>
      <c r="M1177" s="106"/>
      <c r="N1177" s="106"/>
      <c r="O1177" s="108"/>
      <c r="P1177" s="108"/>
      <c r="Q1177" s="108"/>
      <c r="R1177" s="109"/>
      <c r="S1177" s="109"/>
      <c r="T1177" s="108"/>
      <c r="U1177" s="110"/>
      <c r="V1177" s="110"/>
      <c r="W1177" s="110"/>
      <c r="X1177" s="110"/>
    </row>
    <row r="1178" spans="1:24" ht="14.25" customHeight="1">
      <c r="A1178" s="110"/>
      <c r="B1178" s="125">
        <v>46202</v>
      </c>
      <c r="C1178" s="126" t="s">
        <v>212</v>
      </c>
      <c r="D1178" s="15" t="s">
        <v>124</v>
      </c>
      <c r="E1178" s="10" t="str">
        <f>TRIM(VLOOKUP(D1178,TB!$B$9:$C$1500,2,FALSE))</f>
        <v>Bank charges</v>
      </c>
      <c r="F1178" s="142" t="s">
        <v>213</v>
      </c>
      <c r="G1178" s="130"/>
      <c r="H1178" s="157">
        <f>I1179*1.8%</f>
        <v>4025.3400000000006</v>
      </c>
      <c r="I1178" s="10"/>
      <c r="J1178" s="79" t="e">
        <f t="shared" si="24"/>
        <v>#VALUE!</v>
      </c>
      <c r="K1178" s="106"/>
      <c r="L1178" s="107"/>
      <c r="M1178" s="106"/>
      <c r="N1178" s="106"/>
      <c r="O1178" s="108"/>
      <c r="P1178" s="108"/>
      <c r="Q1178" s="108"/>
      <c r="R1178" s="109"/>
      <c r="S1178" s="109"/>
      <c r="T1178" s="108"/>
      <c r="U1178" s="110"/>
      <c r="V1178" s="110"/>
      <c r="W1178" s="110"/>
      <c r="X1178" s="110"/>
    </row>
    <row r="1179" spans="1:24" ht="14.25" customHeight="1">
      <c r="A1179" s="110"/>
      <c r="B1179" s="125">
        <v>46202</v>
      </c>
      <c r="C1179" s="126" t="s">
        <v>212</v>
      </c>
      <c r="D1179" s="15" t="s">
        <v>58</v>
      </c>
      <c r="E1179" s="10" t="str">
        <f>TRIM(VLOOKUP(D1179,TB!$B$9:$C$1500,2,FALSE))</f>
        <v>BRI CARD CC</v>
      </c>
      <c r="F1179" s="142" t="s">
        <v>213</v>
      </c>
      <c r="G1179" s="130"/>
      <c r="H1179" s="10"/>
      <c r="I1179" s="10">
        <v>223630</v>
      </c>
      <c r="J1179" s="79" t="e">
        <f t="shared" si="24"/>
        <v>#VALUE!</v>
      </c>
      <c r="K1179" s="106"/>
      <c r="L1179" s="107"/>
      <c r="M1179" s="106"/>
      <c r="N1179" s="106"/>
      <c r="O1179" s="108"/>
      <c r="P1179" s="108"/>
      <c r="Q1179" s="108"/>
      <c r="R1179" s="109"/>
      <c r="S1179" s="109"/>
      <c r="T1179" s="108"/>
      <c r="U1179" s="110"/>
      <c r="V1179" s="110"/>
      <c r="W1179" s="110"/>
      <c r="X1179" s="110"/>
    </row>
    <row r="1180" spans="1:24" ht="14.25" customHeight="1">
      <c r="A1180" s="110"/>
      <c r="B1180" s="125"/>
      <c r="C1180" s="126"/>
      <c r="D1180" s="15"/>
      <c r="E1180" s="10" t="e">
        <f>TRIM(VLOOKUP(D1180,TB!$B$9:$C$1500,2,FALSE))</f>
        <v>#N/A</v>
      </c>
      <c r="F1180" s="142"/>
      <c r="G1180" s="130"/>
      <c r="H1180" s="10"/>
      <c r="I1180" s="10"/>
      <c r="J1180" s="79" t="e">
        <f t="shared" si="24"/>
        <v>#VALUE!</v>
      </c>
      <c r="K1180" s="106"/>
      <c r="L1180" s="107"/>
      <c r="M1180" s="106"/>
      <c r="N1180" s="106"/>
      <c r="O1180" s="108"/>
      <c r="P1180" s="108"/>
      <c r="Q1180" s="108"/>
      <c r="R1180" s="109"/>
      <c r="S1180" s="109"/>
      <c r="T1180" s="108"/>
      <c r="U1180" s="110"/>
      <c r="V1180" s="110"/>
      <c r="W1180" s="110"/>
      <c r="X1180" s="110"/>
    </row>
    <row r="1181" spans="1:24" ht="14.25" customHeight="1">
      <c r="A1181" s="110"/>
      <c r="B1181" s="125">
        <v>46196</v>
      </c>
      <c r="C1181" s="126" t="s">
        <v>214</v>
      </c>
      <c r="D1181" s="15" t="s">
        <v>124</v>
      </c>
      <c r="E1181" s="10" t="str">
        <f>TRIM(VLOOKUP(D1181,TB!$B$9:$C$1500,2,FALSE))</f>
        <v>Bank charges</v>
      </c>
      <c r="F1181" s="142" t="s">
        <v>215</v>
      </c>
      <c r="G1181" s="130"/>
      <c r="H1181" s="10">
        <v>50000</v>
      </c>
      <c r="I1181" s="10"/>
      <c r="J1181" s="79" t="e">
        <f t="shared" si="24"/>
        <v>#VALUE!</v>
      </c>
      <c r="K1181" s="106"/>
      <c r="L1181" s="107"/>
      <c r="M1181" s="106"/>
      <c r="N1181" s="106"/>
      <c r="O1181" s="108"/>
      <c r="P1181" s="108"/>
      <c r="Q1181" s="108"/>
      <c r="R1181" s="109"/>
      <c r="S1181" s="109"/>
      <c r="T1181" s="108"/>
      <c r="U1181" s="110"/>
      <c r="V1181" s="110"/>
      <c r="W1181" s="110"/>
      <c r="X1181" s="110"/>
    </row>
    <row r="1182" spans="1:24" ht="14.25" customHeight="1">
      <c r="A1182" s="110"/>
      <c r="B1182" s="125">
        <v>46196</v>
      </c>
      <c r="C1182" s="126" t="s">
        <v>214</v>
      </c>
      <c r="D1182" s="68" t="s">
        <v>172</v>
      </c>
      <c r="E1182" s="10" t="str">
        <f>TRIM(VLOOKUP(D1182,TB!$B$9:$C$1500,2,FALSE))</f>
        <v>BANK BRI</v>
      </c>
      <c r="F1182" s="142" t="s">
        <v>215</v>
      </c>
      <c r="G1182" s="130"/>
      <c r="H1182" s="10"/>
      <c r="I1182" s="10">
        <v>50000</v>
      </c>
      <c r="J1182" s="79" t="e">
        <f t="shared" si="24"/>
        <v>#VALUE!</v>
      </c>
      <c r="K1182" s="106"/>
      <c r="L1182" s="107"/>
      <c r="M1182" s="106"/>
      <c r="N1182" s="106"/>
      <c r="O1182" s="108"/>
      <c r="P1182" s="108"/>
      <c r="Q1182" s="108"/>
      <c r="R1182" s="109"/>
      <c r="S1182" s="109"/>
      <c r="T1182" s="108"/>
      <c r="U1182" s="110"/>
      <c r="V1182" s="110"/>
      <c r="W1182" s="110"/>
      <c r="X1182" s="110"/>
    </row>
    <row r="1183" spans="1:24" ht="14.25" customHeight="1">
      <c r="A1183" s="110"/>
      <c r="B1183" s="125"/>
      <c r="C1183" s="126"/>
      <c r="D1183" s="68"/>
      <c r="E1183" s="10" t="e">
        <f>TRIM(VLOOKUP(D1183,TB!$B$9:$C$1500,2,FALSE))</f>
        <v>#N/A</v>
      </c>
      <c r="F1183" s="142"/>
      <c r="G1183" s="130"/>
      <c r="H1183" s="10"/>
      <c r="I1183" s="10"/>
      <c r="J1183" s="79" t="e">
        <f t="shared" si="24"/>
        <v>#VALUE!</v>
      </c>
      <c r="K1183" s="106"/>
      <c r="L1183" s="107"/>
      <c r="M1183" s="106"/>
      <c r="N1183" s="106"/>
      <c r="O1183" s="108"/>
      <c r="P1183" s="108"/>
      <c r="Q1183" s="108"/>
      <c r="R1183" s="109"/>
      <c r="S1183" s="109"/>
      <c r="T1183" s="108"/>
      <c r="U1183" s="110"/>
      <c r="V1183" s="110"/>
      <c r="W1183" s="110"/>
      <c r="X1183" s="110"/>
    </row>
    <row r="1184" spans="1:24" ht="14.25" customHeight="1">
      <c r="A1184" s="110"/>
      <c r="B1184" s="125">
        <v>46203</v>
      </c>
      <c r="C1184" s="126" t="s">
        <v>216</v>
      </c>
      <c r="D1184" s="68" t="s">
        <v>172</v>
      </c>
      <c r="E1184" s="10" t="str">
        <f>TRIM(VLOOKUP(D1184,TB!$B$9:$C$1500,2,FALSE))</f>
        <v>BANK BRI</v>
      </c>
      <c r="F1184" s="142" t="s">
        <v>217</v>
      </c>
      <c r="G1184" s="130"/>
      <c r="H1184" s="10">
        <f>27116.32</f>
        <v>27116.32</v>
      </c>
      <c r="I1184" s="10"/>
      <c r="J1184" s="79" t="e">
        <f t="shared" si="24"/>
        <v>#VALUE!</v>
      </c>
      <c r="K1184" s="106"/>
      <c r="L1184" s="107"/>
      <c r="M1184" s="106"/>
      <c r="N1184" s="106"/>
      <c r="O1184" s="108"/>
      <c r="P1184" s="108"/>
      <c r="Q1184" s="108"/>
      <c r="R1184" s="109"/>
      <c r="S1184" s="109"/>
      <c r="T1184" s="108"/>
      <c r="U1184" s="110"/>
      <c r="V1184" s="110"/>
      <c r="W1184" s="110"/>
      <c r="X1184" s="110"/>
    </row>
    <row r="1185" spans="1:24" ht="14.25" customHeight="1">
      <c r="A1185" s="110"/>
      <c r="B1185" s="125">
        <v>46203</v>
      </c>
      <c r="C1185" s="126" t="s">
        <v>216</v>
      </c>
      <c r="D1185" s="15" t="s">
        <v>124</v>
      </c>
      <c r="E1185" s="10" t="str">
        <f>TRIM(VLOOKUP(D1185,TB!$B$9:$C$1500,2,FALSE))</f>
        <v>Bank charges</v>
      </c>
      <c r="F1185" s="142" t="s">
        <v>217</v>
      </c>
      <c r="G1185" s="130"/>
      <c r="H1185" s="10"/>
      <c r="I1185" s="10">
        <f>27116.32</f>
        <v>27116.32</v>
      </c>
      <c r="J1185" s="79" t="e">
        <f t="shared" si="24"/>
        <v>#VALUE!</v>
      </c>
      <c r="K1185" s="106"/>
      <c r="L1185" s="107"/>
      <c r="M1185" s="106"/>
      <c r="N1185" s="106"/>
      <c r="O1185" s="108"/>
      <c r="P1185" s="108"/>
      <c r="Q1185" s="108"/>
      <c r="R1185" s="109"/>
      <c r="S1185" s="109"/>
      <c r="T1185" s="108"/>
      <c r="U1185" s="110"/>
      <c r="V1185" s="110"/>
      <c r="W1185" s="110"/>
      <c r="X1185" s="110"/>
    </row>
    <row r="1186" spans="1:24" ht="14.25" customHeight="1">
      <c r="A1186" s="110"/>
      <c r="B1186" s="125"/>
      <c r="C1186" s="126"/>
      <c r="D1186" s="68"/>
      <c r="E1186" s="10" t="e">
        <f>TRIM(VLOOKUP(D1186,TB!$B$9:$C$1500,2,FALSE))</f>
        <v>#N/A</v>
      </c>
      <c r="F1186" s="142"/>
      <c r="G1186" s="130"/>
      <c r="H1186" s="10"/>
      <c r="I1186" s="10"/>
      <c r="J1186" s="79" t="e">
        <f t="shared" si="24"/>
        <v>#VALUE!</v>
      </c>
      <c r="K1186" s="106"/>
      <c r="L1186" s="107"/>
      <c r="M1186" s="106"/>
      <c r="N1186" s="106"/>
      <c r="O1186" s="108"/>
      <c r="P1186" s="108"/>
      <c r="Q1186" s="108"/>
      <c r="R1186" s="109"/>
      <c r="S1186" s="109"/>
      <c r="T1186" s="108"/>
      <c r="U1186" s="110"/>
      <c r="V1186" s="110"/>
      <c r="W1186" s="110"/>
      <c r="X1186" s="110"/>
    </row>
    <row r="1187" spans="1:24" ht="14.25" customHeight="1">
      <c r="A1187" s="110"/>
      <c r="B1187" s="125"/>
      <c r="C1187" s="126"/>
      <c r="D1187" s="68"/>
      <c r="E1187" s="10" t="e">
        <f>TRIM(VLOOKUP(D1187,TB!$B$9:$C$1500,2,FALSE))</f>
        <v>#N/A</v>
      </c>
      <c r="F1187" s="142"/>
      <c r="G1187" s="130"/>
      <c r="H1187" s="10"/>
      <c r="I1187" s="10"/>
      <c r="J1187" s="79" t="e">
        <f t="shared" si="24"/>
        <v>#VALUE!</v>
      </c>
      <c r="K1187" s="106"/>
      <c r="L1187" s="107"/>
      <c r="M1187" s="106"/>
      <c r="N1187" s="106"/>
      <c r="O1187" s="108"/>
      <c r="P1187" s="108"/>
      <c r="Q1187" s="108"/>
      <c r="R1187" s="109"/>
      <c r="S1187" s="109"/>
      <c r="T1187" s="108"/>
      <c r="U1187" s="110"/>
      <c r="V1187" s="110"/>
      <c r="W1187" s="110"/>
      <c r="X1187" s="110"/>
    </row>
    <row r="1188" spans="1:24" ht="14.25" customHeight="1">
      <c r="A1188" s="110"/>
      <c r="B1188" s="125"/>
      <c r="C1188" s="126"/>
      <c r="D1188" s="68"/>
      <c r="E1188" s="10" t="e">
        <f>TRIM(VLOOKUP(D1188,TB!$B$9:$C$1500,2,FALSE))</f>
        <v>#N/A</v>
      </c>
      <c r="F1188" s="142"/>
      <c r="G1188" s="130"/>
      <c r="H1188" s="10"/>
      <c r="I1188" s="10"/>
      <c r="J1188" s="79" t="e">
        <f t="shared" si="24"/>
        <v>#VALUE!</v>
      </c>
      <c r="K1188" s="106"/>
      <c r="L1188" s="107"/>
      <c r="M1188" s="106"/>
      <c r="N1188" s="106"/>
      <c r="O1188" s="108"/>
      <c r="P1188" s="108"/>
      <c r="Q1188" s="108"/>
      <c r="R1188" s="109"/>
      <c r="S1188" s="109"/>
      <c r="T1188" s="108"/>
      <c r="U1188" s="110"/>
      <c r="V1188" s="110"/>
      <c r="W1188" s="110"/>
      <c r="X1188" s="110"/>
    </row>
    <row r="1189" spans="1:24" ht="14.25" customHeight="1">
      <c r="A1189" s="110"/>
      <c r="B1189" s="125"/>
      <c r="C1189" s="126"/>
      <c r="D1189" s="68"/>
      <c r="E1189" s="10" t="e">
        <f>TRIM(VLOOKUP(D1189,TB!$B$9:$C$1500,2,FALSE))</f>
        <v>#N/A</v>
      </c>
      <c r="F1189" s="142"/>
      <c r="G1189" s="130"/>
      <c r="H1189" s="10"/>
      <c r="I1189" s="10"/>
      <c r="J1189" s="79" t="e">
        <f t="shared" si="24"/>
        <v>#VALUE!</v>
      </c>
      <c r="K1189" s="106"/>
      <c r="L1189" s="107"/>
      <c r="M1189" s="106"/>
      <c r="N1189" s="106"/>
      <c r="O1189" s="108"/>
      <c r="P1189" s="108"/>
      <c r="Q1189" s="108"/>
      <c r="R1189" s="109"/>
      <c r="S1189" s="109"/>
      <c r="T1189" s="108"/>
      <c r="U1189" s="110"/>
      <c r="V1189" s="110"/>
      <c r="W1189" s="110"/>
      <c r="X1189" s="110"/>
    </row>
    <row r="1190" spans="1:24" ht="14.25" customHeight="1">
      <c r="A1190" s="110"/>
      <c r="B1190" s="125"/>
      <c r="C1190" s="126"/>
      <c r="D1190" s="68"/>
      <c r="E1190" s="10" t="e">
        <f>TRIM(VLOOKUP(D1190,TB!$B$9:$C$1500,2,FALSE))</f>
        <v>#N/A</v>
      </c>
      <c r="F1190" s="142"/>
      <c r="G1190" s="130"/>
      <c r="H1190" s="10"/>
      <c r="I1190" s="10"/>
      <c r="J1190" s="79" t="e">
        <f t="shared" si="24"/>
        <v>#VALUE!</v>
      </c>
      <c r="K1190" s="106"/>
      <c r="L1190" s="107"/>
      <c r="M1190" s="106"/>
      <c r="N1190" s="106"/>
      <c r="O1190" s="108"/>
      <c r="P1190" s="108"/>
      <c r="Q1190" s="108"/>
      <c r="R1190" s="109"/>
      <c r="S1190" s="109"/>
      <c r="T1190" s="108"/>
      <c r="U1190" s="110"/>
      <c r="V1190" s="110"/>
      <c r="W1190" s="110"/>
      <c r="X1190" s="110"/>
    </row>
    <row r="1191" spans="1:24" ht="14.25" customHeight="1">
      <c r="A1191" s="110"/>
      <c r="B1191" s="125"/>
      <c r="C1191" s="126"/>
      <c r="D1191" s="68"/>
      <c r="E1191" s="10" t="e">
        <f>TRIM(VLOOKUP(D1191,TB!$B$9:$C$1500,2,FALSE))</f>
        <v>#N/A</v>
      </c>
      <c r="F1191" s="142"/>
      <c r="G1191" s="130"/>
      <c r="H1191" s="10"/>
      <c r="I1191" s="10"/>
      <c r="J1191" s="79" t="e">
        <f t="shared" si="24"/>
        <v>#VALUE!</v>
      </c>
      <c r="K1191" s="106"/>
      <c r="L1191" s="107"/>
      <c r="M1191" s="106"/>
      <c r="N1191" s="106"/>
      <c r="O1191" s="108"/>
      <c r="P1191" s="108"/>
      <c r="Q1191" s="108"/>
      <c r="R1191" s="109"/>
      <c r="S1191" s="109"/>
      <c r="T1191" s="108"/>
      <c r="U1191" s="110"/>
      <c r="V1191" s="110"/>
      <c r="W1191" s="110"/>
      <c r="X1191" s="110"/>
    </row>
    <row r="1192" spans="1:24" ht="14.25" customHeight="1">
      <c r="A1192" s="110"/>
      <c r="B1192" s="125"/>
      <c r="C1192" s="126"/>
      <c r="D1192" s="68"/>
      <c r="E1192" s="10" t="e">
        <f>TRIM(VLOOKUP(D1192,TB!$B$9:$C$1500,2,FALSE))</f>
        <v>#N/A</v>
      </c>
      <c r="F1192" s="142"/>
      <c r="G1192" s="130"/>
      <c r="H1192" s="10"/>
      <c r="I1192" s="10"/>
      <c r="J1192" s="79" t="e">
        <f t="shared" si="24"/>
        <v>#VALUE!</v>
      </c>
      <c r="K1192" s="106"/>
      <c r="L1192" s="107"/>
      <c r="M1192" s="106"/>
      <c r="N1192" s="106"/>
      <c r="O1192" s="108"/>
      <c r="P1192" s="108"/>
      <c r="Q1192" s="108"/>
      <c r="R1192" s="109"/>
      <c r="S1192" s="109"/>
      <c r="T1192" s="108"/>
      <c r="U1192" s="110"/>
      <c r="V1192" s="110"/>
      <c r="W1192" s="110"/>
      <c r="X1192" s="110"/>
    </row>
    <row r="1193" spans="1:24" ht="14.25" customHeight="1">
      <c r="A1193" s="110"/>
      <c r="B1193" s="125"/>
      <c r="C1193" s="126"/>
      <c r="D1193" s="68"/>
      <c r="E1193" s="10" t="e">
        <f>TRIM(VLOOKUP(D1193,TB!$B$9:$C$1500,2,FALSE))</f>
        <v>#N/A</v>
      </c>
      <c r="F1193" s="142"/>
      <c r="G1193" s="130"/>
      <c r="H1193" s="10"/>
      <c r="I1193" s="10"/>
      <c r="J1193" s="79" t="e">
        <f t="shared" si="24"/>
        <v>#VALUE!</v>
      </c>
      <c r="K1193" s="106"/>
      <c r="L1193" s="107"/>
      <c r="M1193" s="106"/>
      <c r="N1193" s="106"/>
      <c r="O1193" s="108"/>
      <c r="P1193" s="108"/>
      <c r="Q1193" s="108"/>
      <c r="R1193" s="109"/>
      <c r="S1193" s="109"/>
      <c r="T1193" s="108"/>
      <c r="U1193" s="110"/>
      <c r="V1193" s="110"/>
      <c r="W1193" s="110"/>
      <c r="X1193" s="110"/>
    </row>
    <row r="1194" spans="1:24" ht="14.25" customHeight="1">
      <c r="A1194" s="110"/>
      <c r="B1194" s="125"/>
      <c r="C1194" s="126"/>
      <c r="D1194" s="68"/>
      <c r="E1194" s="10" t="e">
        <f>TRIM(VLOOKUP(D1194,TB!$B$9:$C$1500,2,FALSE))</f>
        <v>#N/A</v>
      </c>
      <c r="F1194" s="142"/>
      <c r="G1194" s="130"/>
      <c r="H1194" s="10"/>
      <c r="I1194" s="10"/>
      <c r="J1194" s="79" t="e">
        <f t="shared" si="24"/>
        <v>#VALUE!</v>
      </c>
      <c r="K1194" s="106"/>
      <c r="L1194" s="107"/>
      <c r="M1194" s="106"/>
      <c r="N1194" s="106"/>
      <c r="O1194" s="108"/>
      <c r="P1194" s="108"/>
      <c r="Q1194" s="108"/>
      <c r="R1194" s="109"/>
      <c r="S1194" s="109"/>
      <c r="T1194" s="108"/>
      <c r="U1194" s="110"/>
      <c r="V1194" s="110"/>
      <c r="W1194" s="110"/>
      <c r="X1194" s="110"/>
    </row>
    <row r="1195" spans="1:24" ht="14.25" customHeight="1">
      <c r="A1195" s="110"/>
      <c r="B1195" s="125"/>
      <c r="C1195" s="126"/>
      <c r="D1195" s="159"/>
      <c r="E1195" s="10" t="e">
        <f>TRIM(VLOOKUP(D1195,TB!$B$9:$C$1500,2,FALSE))</f>
        <v>#N/A</v>
      </c>
      <c r="F1195" s="142"/>
      <c r="G1195" s="130"/>
      <c r="H1195" s="10"/>
      <c r="I1195" s="10"/>
      <c r="J1195" s="79" t="e">
        <f t="shared" si="24"/>
        <v>#VALUE!</v>
      </c>
      <c r="K1195" s="106"/>
      <c r="L1195" s="107"/>
      <c r="M1195" s="106"/>
      <c r="N1195" s="106"/>
      <c r="O1195" s="108"/>
      <c r="P1195" s="108"/>
      <c r="Q1195" s="108"/>
      <c r="R1195" s="109"/>
      <c r="S1195" s="109"/>
      <c r="T1195" s="108"/>
      <c r="U1195" s="110"/>
      <c r="V1195" s="110"/>
      <c r="W1195" s="110"/>
      <c r="X1195" s="110"/>
    </row>
    <row r="1196" spans="1:24" ht="14.25" customHeight="1">
      <c r="A1196" s="110"/>
      <c r="B1196" s="125"/>
      <c r="C1196" s="126"/>
      <c r="D1196" s="159"/>
      <c r="E1196" s="10" t="e">
        <f>TRIM(VLOOKUP(D1196,TB!$B$9:$C$1500,2,FALSE))</f>
        <v>#N/A</v>
      </c>
      <c r="F1196" s="142"/>
      <c r="G1196" s="130"/>
      <c r="H1196" s="10"/>
      <c r="I1196" s="10"/>
      <c r="J1196" s="79" t="e">
        <f t="shared" si="24"/>
        <v>#VALUE!</v>
      </c>
      <c r="K1196" s="106"/>
      <c r="L1196" s="107"/>
      <c r="M1196" s="106"/>
      <c r="N1196" s="106"/>
      <c r="O1196" s="108"/>
      <c r="P1196" s="108"/>
      <c r="Q1196" s="108"/>
      <c r="R1196" s="109"/>
      <c r="S1196" s="109"/>
      <c r="T1196" s="108"/>
      <c r="U1196" s="110"/>
      <c r="V1196" s="110"/>
      <c r="W1196" s="110"/>
      <c r="X1196" s="110"/>
    </row>
    <row r="1197" spans="1:24" ht="14.25" customHeight="1">
      <c r="A1197" s="110"/>
      <c r="B1197" s="125"/>
      <c r="C1197" s="126"/>
      <c r="D1197" s="159"/>
      <c r="E1197" s="10" t="e">
        <f>TRIM(VLOOKUP(D1197,TB!$B$9:$C$1500,2,FALSE))</f>
        <v>#N/A</v>
      </c>
      <c r="F1197" s="142"/>
      <c r="G1197" s="130"/>
      <c r="H1197" s="170"/>
      <c r="I1197" s="10"/>
      <c r="J1197" s="79" t="e">
        <f t="shared" si="24"/>
        <v>#VALUE!</v>
      </c>
      <c r="K1197" s="106"/>
      <c r="L1197" s="107"/>
      <c r="M1197" s="106"/>
      <c r="N1197" s="106"/>
      <c r="O1197" s="108"/>
      <c r="P1197" s="108"/>
      <c r="Q1197" s="108"/>
      <c r="R1197" s="109"/>
      <c r="S1197" s="109"/>
      <c r="T1197" s="108"/>
      <c r="U1197" s="110"/>
      <c r="V1197" s="110"/>
      <c r="W1197" s="110"/>
      <c r="X1197" s="110"/>
    </row>
    <row r="1198" spans="1:24" ht="14.25" customHeight="1">
      <c r="A1198" s="110"/>
      <c r="B1198" s="162"/>
      <c r="C1198" s="163"/>
      <c r="D1198" s="171"/>
      <c r="E1198" s="165" t="e">
        <f>TRIM(VLOOKUP(D1198,TB!$B$9:$C$1500,2,FALSE))</f>
        <v>#N/A</v>
      </c>
      <c r="F1198" s="166"/>
      <c r="G1198" s="167"/>
      <c r="H1198" s="165"/>
      <c r="I1198" s="165"/>
      <c r="J1198" s="79" t="e">
        <f t="shared" si="24"/>
        <v>#VALUE!</v>
      </c>
      <c r="K1198" s="106"/>
      <c r="L1198" s="107"/>
      <c r="M1198" s="106"/>
      <c r="N1198" s="106"/>
      <c r="O1198" s="108"/>
      <c r="P1198" s="108"/>
      <c r="Q1198" s="108"/>
      <c r="R1198" s="109"/>
      <c r="S1198" s="109"/>
      <c r="T1198" s="108"/>
      <c r="U1198" s="110"/>
      <c r="V1198" s="110"/>
      <c r="W1198" s="110"/>
      <c r="X1198" s="110"/>
    </row>
    <row r="1199" spans="1:24" ht="14.25" customHeight="1">
      <c r="A1199" s="110"/>
      <c r="B1199" s="125"/>
      <c r="C1199" s="126"/>
      <c r="D1199" s="172"/>
      <c r="E1199" s="10" t="e">
        <f>TRIM(VLOOKUP(D1199,TB!$B$9:$C$1500,2,FALSE))</f>
        <v>#N/A</v>
      </c>
      <c r="F1199" s="142"/>
      <c r="G1199" s="130"/>
      <c r="H1199" s="10"/>
      <c r="I1199" s="10"/>
      <c r="J1199" s="79" t="e">
        <f t="shared" si="24"/>
        <v>#VALUE!</v>
      </c>
      <c r="K1199" s="106"/>
      <c r="L1199" s="107"/>
      <c r="M1199" s="106"/>
      <c r="N1199" s="106"/>
      <c r="O1199" s="108"/>
      <c r="P1199" s="108"/>
      <c r="Q1199" s="108"/>
      <c r="R1199" s="109"/>
      <c r="S1199" s="109"/>
      <c r="T1199" s="108"/>
      <c r="U1199" s="110"/>
      <c r="V1199" s="110"/>
      <c r="W1199" s="110"/>
      <c r="X1199" s="110"/>
    </row>
    <row r="1200" spans="1:24" ht="14.25" customHeight="1">
      <c r="A1200" s="110"/>
      <c r="B1200" s="125">
        <v>46271</v>
      </c>
      <c r="C1200" s="126" t="s">
        <v>218</v>
      </c>
      <c r="D1200" s="68" t="s">
        <v>219</v>
      </c>
      <c r="E1200" s="10" t="str">
        <f>TRIM(VLOOKUP(D1200,TB!$B$9:$C$1500,2,FALSE))</f>
        <v>Mandiri GRAB</v>
      </c>
      <c r="F1200" s="142" t="s">
        <v>220</v>
      </c>
      <c r="G1200" s="130"/>
      <c r="H1200" s="157">
        <f>I1202-H1201</f>
        <v>150000</v>
      </c>
      <c r="I1200" s="10"/>
      <c r="J1200" s="79" t="e">
        <f t="shared" si="24"/>
        <v>#VALUE!</v>
      </c>
      <c r="K1200" s="106"/>
      <c r="L1200" s="107"/>
      <c r="M1200" s="106"/>
      <c r="N1200" s="106"/>
      <c r="O1200" s="108"/>
      <c r="P1200" s="108"/>
      <c r="Q1200" s="108"/>
      <c r="R1200" s="109"/>
      <c r="S1200" s="109"/>
      <c r="T1200" s="108"/>
      <c r="U1200" s="110"/>
      <c r="V1200" s="110"/>
      <c r="W1200" s="110"/>
      <c r="X1200" s="110"/>
    </row>
    <row r="1201" spans="1:24" ht="14.25" customHeight="1">
      <c r="A1201" s="110"/>
      <c r="B1201" s="125">
        <v>46271</v>
      </c>
      <c r="C1201" s="126" t="s">
        <v>218</v>
      </c>
      <c r="D1201" s="15" t="s">
        <v>221</v>
      </c>
      <c r="E1201" s="10" t="str">
        <f>TRIM(VLOOKUP(D1201,TB!$B$9:$C$1500,2,FALSE))</f>
        <v>COS - Promotor Fees Other</v>
      </c>
      <c r="F1201" s="142" t="s">
        <v>220</v>
      </c>
      <c r="G1201" s="130"/>
      <c r="H1201" s="157">
        <f>I1202*20%</f>
        <v>37500</v>
      </c>
      <c r="I1201" s="10"/>
      <c r="J1201" s="79" t="e">
        <f t="shared" si="24"/>
        <v>#VALUE!</v>
      </c>
      <c r="K1201" s="106"/>
      <c r="L1201" s="107"/>
      <c r="M1201" s="106"/>
      <c r="N1201" s="106"/>
      <c r="O1201" s="108"/>
      <c r="P1201" s="108"/>
      <c r="Q1201" s="108"/>
      <c r="R1201" s="109"/>
      <c r="S1201" s="109"/>
      <c r="T1201" s="108"/>
      <c r="U1201" s="110"/>
      <c r="V1201" s="110"/>
      <c r="W1201" s="110"/>
      <c r="X1201" s="110"/>
    </row>
    <row r="1202" spans="1:24" ht="14.25" customHeight="1">
      <c r="A1202" s="110"/>
      <c r="B1202" s="125">
        <v>46271</v>
      </c>
      <c r="C1202" s="126" t="s">
        <v>218</v>
      </c>
      <c r="D1202" s="15" t="s">
        <v>67</v>
      </c>
      <c r="E1202" s="10" t="str">
        <f>TRIM(VLOOKUP(D1202,TB!$B$9:$C$1500,2,FALSE))</f>
        <v>GRAB / OVO</v>
      </c>
      <c r="F1202" s="142" t="s">
        <v>220</v>
      </c>
      <c r="G1202" s="130"/>
      <c r="H1202" s="10"/>
      <c r="I1202" s="10">
        <v>187500</v>
      </c>
      <c r="J1202" s="79" t="e">
        <f t="shared" si="24"/>
        <v>#VALUE!</v>
      </c>
      <c r="K1202" s="106"/>
      <c r="L1202" s="107"/>
      <c r="M1202" s="106"/>
      <c r="N1202" s="106"/>
      <c r="O1202" s="108"/>
      <c r="P1202" s="108"/>
      <c r="Q1202" s="108"/>
      <c r="R1202" s="109"/>
      <c r="S1202" s="109"/>
      <c r="T1202" s="108"/>
      <c r="U1202" s="110"/>
      <c r="V1202" s="110"/>
      <c r="W1202" s="110"/>
      <c r="X1202" s="110"/>
    </row>
    <row r="1203" spans="1:24" ht="14.25" customHeight="1">
      <c r="A1203" s="110"/>
      <c r="B1203" s="125"/>
      <c r="C1203" s="126"/>
      <c r="D1203" s="159"/>
      <c r="E1203" s="10" t="e">
        <f>TRIM(VLOOKUP(D1203,TB!$B$9:$C$1500,2,FALSE))</f>
        <v>#N/A</v>
      </c>
      <c r="F1203" s="142"/>
      <c r="G1203" s="130"/>
      <c r="H1203" s="10"/>
      <c r="I1203" s="10"/>
      <c r="J1203" s="79" t="e">
        <f t="shared" si="24"/>
        <v>#VALUE!</v>
      </c>
      <c r="K1203" s="106"/>
      <c r="L1203" s="107"/>
      <c r="M1203" s="106"/>
      <c r="N1203" s="106"/>
      <c r="O1203" s="108"/>
      <c r="P1203" s="108"/>
      <c r="Q1203" s="108"/>
      <c r="R1203" s="109"/>
      <c r="S1203" s="109"/>
      <c r="T1203" s="108"/>
      <c r="U1203" s="110"/>
      <c r="V1203" s="110"/>
      <c r="W1203" s="110"/>
      <c r="X1203" s="110"/>
    </row>
    <row r="1204" spans="1:24" ht="14.25" customHeight="1">
      <c r="A1204" s="110"/>
      <c r="B1204" s="125">
        <v>46182</v>
      </c>
      <c r="C1204" s="126" t="s">
        <v>222</v>
      </c>
      <c r="D1204" s="68" t="s">
        <v>158</v>
      </c>
      <c r="E1204" s="10" t="str">
        <f>TRIM(VLOOKUP(D1204,TB!$B$9:$C$1500,2,FALSE))</f>
        <v>Mandiri TBB IDR</v>
      </c>
      <c r="F1204" s="142" t="s">
        <v>223</v>
      </c>
      <c r="G1204" s="130"/>
      <c r="H1204" s="10">
        <v>2000000</v>
      </c>
      <c r="I1204" s="10"/>
      <c r="J1204" s="79" t="e">
        <f t="shared" si="24"/>
        <v>#VALUE!</v>
      </c>
      <c r="K1204" s="106"/>
      <c r="L1204" s="107"/>
      <c r="M1204" s="106"/>
      <c r="N1204" s="106"/>
      <c r="O1204" s="108"/>
      <c r="P1204" s="108"/>
      <c r="Q1204" s="108"/>
      <c r="R1204" s="109"/>
      <c r="S1204" s="109"/>
      <c r="T1204" s="108"/>
      <c r="U1204" s="110"/>
      <c r="V1204" s="110"/>
      <c r="W1204" s="110"/>
      <c r="X1204" s="110"/>
    </row>
    <row r="1205" spans="1:24" ht="14.25" customHeight="1">
      <c r="A1205" s="110"/>
      <c r="B1205" s="125">
        <v>46182</v>
      </c>
      <c r="C1205" s="126" t="s">
        <v>222</v>
      </c>
      <c r="D1205" s="68" t="s">
        <v>219</v>
      </c>
      <c r="E1205" s="10" t="str">
        <f>TRIM(VLOOKUP(D1205,TB!$B$9:$C$1500,2,FALSE))</f>
        <v>Mandiri GRAB</v>
      </c>
      <c r="F1205" s="142" t="s">
        <v>223</v>
      </c>
      <c r="G1205" s="130"/>
      <c r="H1205" s="10"/>
      <c r="I1205" s="10">
        <v>2000000</v>
      </c>
      <c r="J1205" s="79" t="e">
        <f t="shared" si="24"/>
        <v>#VALUE!</v>
      </c>
      <c r="K1205" s="106"/>
      <c r="L1205" s="107"/>
      <c r="M1205" s="106"/>
      <c r="N1205" s="106"/>
      <c r="O1205" s="108"/>
      <c r="P1205" s="108"/>
      <c r="Q1205" s="108"/>
      <c r="R1205" s="109"/>
      <c r="S1205" s="109"/>
      <c r="T1205" s="108"/>
      <c r="U1205" s="110"/>
      <c r="V1205" s="110"/>
      <c r="W1205" s="110"/>
      <c r="X1205" s="110"/>
    </row>
    <row r="1206" spans="1:24" ht="14.25" customHeight="1">
      <c r="A1206" s="110"/>
      <c r="B1206" s="125"/>
      <c r="C1206" s="126"/>
      <c r="D1206" s="15"/>
      <c r="E1206" s="10" t="e">
        <f>TRIM(VLOOKUP(D1206,TB!$B$9:$C$1500,2,FALSE))</f>
        <v>#N/A</v>
      </c>
      <c r="F1206" s="142"/>
      <c r="G1206" s="130"/>
      <c r="H1206" s="10"/>
      <c r="I1206" s="10"/>
      <c r="J1206" s="79" t="e">
        <f t="shared" si="24"/>
        <v>#VALUE!</v>
      </c>
      <c r="K1206" s="106"/>
      <c r="L1206" s="107"/>
      <c r="M1206" s="106"/>
      <c r="N1206" s="106"/>
      <c r="O1206" s="108"/>
      <c r="P1206" s="108"/>
      <c r="Q1206" s="108"/>
      <c r="R1206" s="109"/>
      <c r="S1206" s="109"/>
      <c r="T1206" s="108"/>
      <c r="U1206" s="110"/>
      <c r="V1206" s="110"/>
      <c r="W1206" s="110"/>
      <c r="X1206" s="110"/>
    </row>
    <row r="1207" spans="1:24" ht="14.25" customHeight="1">
      <c r="A1207" s="110"/>
      <c r="B1207" s="125">
        <v>46182</v>
      </c>
      <c r="C1207" s="126" t="s">
        <v>224</v>
      </c>
      <c r="D1207" s="68" t="s">
        <v>130</v>
      </c>
      <c r="E1207" s="10" t="str">
        <f>TRIM(VLOOKUP(D1207,TB!$B$9:$C$1500,2,FALSE))</f>
        <v>BCA TBB</v>
      </c>
      <c r="F1207" s="142" t="s">
        <v>225</v>
      </c>
      <c r="G1207" s="130"/>
      <c r="H1207" s="158">
        <v>1600000</v>
      </c>
      <c r="I1207" s="12"/>
      <c r="J1207" s="79" t="e">
        <f t="shared" si="24"/>
        <v>#VALUE!</v>
      </c>
      <c r="K1207" s="106"/>
      <c r="L1207" s="107"/>
      <c r="M1207" s="106"/>
      <c r="N1207" s="106"/>
      <c r="O1207" s="108"/>
      <c r="P1207" s="108"/>
      <c r="Q1207" s="108"/>
      <c r="R1207" s="109"/>
      <c r="S1207" s="109"/>
      <c r="T1207" s="108"/>
      <c r="U1207" s="110"/>
      <c r="V1207" s="110"/>
      <c r="W1207" s="110"/>
      <c r="X1207" s="110"/>
    </row>
    <row r="1208" spans="1:24" ht="14.25" customHeight="1">
      <c r="A1208" s="110"/>
      <c r="B1208" s="125">
        <v>46182</v>
      </c>
      <c r="C1208" s="126" t="s">
        <v>224</v>
      </c>
      <c r="D1208" s="15" t="s">
        <v>124</v>
      </c>
      <c r="E1208" s="10" t="str">
        <f>TRIM(VLOOKUP(D1208,TB!$B$9:$C$1500,2,FALSE))</f>
        <v>Bank charges</v>
      </c>
      <c r="F1208" s="142" t="s">
        <v>225</v>
      </c>
      <c r="G1208" s="130"/>
      <c r="H1208" s="10">
        <v>2500</v>
      </c>
      <c r="I1208" s="12"/>
      <c r="J1208" s="79" t="e">
        <f t="shared" si="24"/>
        <v>#VALUE!</v>
      </c>
      <c r="K1208" s="106"/>
      <c r="L1208" s="107"/>
      <c r="M1208" s="106"/>
      <c r="N1208" s="106"/>
      <c r="O1208" s="108"/>
      <c r="P1208" s="108"/>
      <c r="Q1208" s="108"/>
      <c r="R1208" s="109"/>
      <c r="S1208" s="109"/>
      <c r="T1208" s="108"/>
      <c r="U1208" s="110"/>
      <c r="V1208" s="110"/>
      <c r="W1208" s="110"/>
      <c r="X1208" s="110"/>
    </row>
    <row r="1209" spans="1:24" ht="14.25" customHeight="1">
      <c r="A1209" s="110"/>
      <c r="B1209" s="125">
        <v>46182</v>
      </c>
      <c r="C1209" s="126" t="s">
        <v>224</v>
      </c>
      <c r="D1209" s="68" t="s">
        <v>219</v>
      </c>
      <c r="E1209" s="10" t="str">
        <f>TRIM(VLOOKUP(D1209,TB!$B$9:$C$1500,2,FALSE))</f>
        <v>Mandiri GRAB</v>
      </c>
      <c r="F1209" s="142" t="s">
        <v>225</v>
      </c>
      <c r="G1209" s="130"/>
      <c r="H1209" s="10"/>
      <c r="I1209" s="158">
        <f>SUM(H1207:H1208)</f>
        <v>1602500</v>
      </c>
      <c r="J1209" s="79" t="e">
        <f t="shared" si="24"/>
        <v>#VALUE!</v>
      </c>
      <c r="K1209" s="106"/>
      <c r="L1209" s="107"/>
      <c r="M1209" s="106"/>
      <c r="N1209" s="106"/>
      <c r="O1209" s="108"/>
      <c r="P1209" s="108"/>
      <c r="Q1209" s="108"/>
      <c r="R1209" s="109"/>
      <c r="S1209" s="109"/>
      <c r="T1209" s="108"/>
      <c r="U1209" s="110"/>
      <c r="V1209" s="110"/>
      <c r="W1209" s="110"/>
      <c r="X1209" s="110"/>
    </row>
    <row r="1210" spans="1:24" ht="14.25" customHeight="1">
      <c r="A1210" s="110"/>
      <c r="B1210" s="125"/>
      <c r="C1210" s="126"/>
      <c r="D1210" s="68"/>
      <c r="E1210" s="10" t="e">
        <f>TRIM(VLOOKUP(D1210,TB!$B$9:$C$1500,2,FALSE))</f>
        <v>#N/A</v>
      </c>
      <c r="F1210" s="142"/>
      <c r="G1210" s="130"/>
      <c r="H1210" s="10"/>
      <c r="I1210" s="10"/>
      <c r="J1210" s="79" t="e">
        <f t="shared" si="24"/>
        <v>#VALUE!</v>
      </c>
      <c r="K1210" s="106"/>
      <c r="L1210" s="107"/>
      <c r="M1210" s="106"/>
      <c r="N1210" s="106"/>
      <c r="O1210" s="108"/>
      <c r="P1210" s="108"/>
      <c r="Q1210" s="108"/>
      <c r="R1210" s="109"/>
      <c r="S1210" s="109"/>
      <c r="T1210" s="108"/>
      <c r="U1210" s="110"/>
      <c r="V1210" s="110"/>
      <c r="W1210" s="110"/>
      <c r="X1210" s="110"/>
    </row>
    <row r="1211" spans="1:24" ht="14.25" customHeight="1">
      <c r="A1211" s="110"/>
      <c r="B1211" s="125">
        <v>46183</v>
      </c>
      <c r="C1211" s="126" t="s">
        <v>226</v>
      </c>
      <c r="D1211" s="68" t="s">
        <v>219</v>
      </c>
      <c r="E1211" s="10" t="str">
        <f>TRIM(VLOOKUP(D1211,TB!$B$9:$C$1500,2,FALSE))</f>
        <v>Mandiri GRAB</v>
      </c>
      <c r="F1211" s="142" t="s">
        <v>227</v>
      </c>
      <c r="G1211" s="130"/>
      <c r="H1211" s="157">
        <f>I1213-H1212</f>
        <v>644000</v>
      </c>
      <c r="I1211" s="10"/>
      <c r="J1211" s="79" t="e">
        <f t="shared" si="24"/>
        <v>#VALUE!</v>
      </c>
      <c r="K1211" s="106"/>
      <c r="L1211" s="107"/>
      <c r="M1211" s="106"/>
      <c r="N1211" s="106"/>
      <c r="O1211" s="108"/>
      <c r="P1211" s="108"/>
      <c r="Q1211" s="108"/>
      <c r="R1211" s="109"/>
      <c r="S1211" s="109"/>
      <c r="T1211" s="108"/>
      <c r="U1211" s="110"/>
      <c r="V1211" s="110"/>
      <c r="W1211" s="110"/>
      <c r="X1211" s="110"/>
    </row>
    <row r="1212" spans="1:24" ht="14.25" customHeight="1">
      <c r="A1212" s="110"/>
      <c r="B1212" s="125">
        <v>46183</v>
      </c>
      <c r="C1212" s="126" t="s">
        <v>226</v>
      </c>
      <c r="D1212" s="15" t="s">
        <v>221</v>
      </c>
      <c r="E1212" s="10" t="str">
        <f>TRIM(VLOOKUP(D1212,TB!$B$9:$C$1500,2,FALSE))</f>
        <v>COS - Promotor Fees Other</v>
      </c>
      <c r="F1212" s="142" t="s">
        <v>227</v>
      </c>
      <c r="G1212" s="130"/>
      <c r="H1212" s="157">
        <f>I1213*20%</f>
        <v>161000</v>
      </c>
      <c r="I1212" s="10"/>
      <c r="J1212" s="79" t="e">
        <f t="shared" si="24"/>
        <v>#VALUE!</v>
      </c>
      <c r="K1212" s="106"/>
      <c r="L1212" s="107"/>
      <c r="M1212" s="106"/>
      <c r="N1212" s="106"/>
      <c r="O1212" s="108"/>
      <c r="P1212" s="108"/>
      <c r="Q1212" s="108"/>
      <c r="R1212" s="109"/>
      <c r="S1212" s="109"/>
      <c r="T1212" s="108"/>
      <c r="U1212" s="110"/>
      <c r="V1212" s="110"/>
      <c r="W1212" s="110"/>
      <c r="X1212" s="110"/>
    </row>
    <row r="1213" spans="1:24" ht="14.25" customHeight="1">
      <c r="A1213" s="110"/>
      <c r="B1213" s="125">
        <v>46183</v>
      </c>
      <c r="C1213" s="126" t="s">
        <v>226</v>
      </c>
      <c r="D1213" s="15" t="s">
        <v>67</v>
      </c>
      <c r="E1213" s="10" t="str">
        <f>TRIM(VLOOKUP(D1213,TB!$B$9:$C$1500,2,FALSE))</f>
        <v>GRAB / OVO</v>
      </c>
      <c r="F1213" s="142" t="s">
        <v>227</v>
      </c>
      <c r="G1213" s="130"/>
      <c r="H1213" s="10"/>
      <c r="I1213" s="10">
        <v>805000</v>
      </c>
      <c r="J1213" s="79" t="e">
        <f t="shared" si="24"/>
        <v>#VALUE!</v>
      </c>
      <c r="K1213" s="106"/>
      <c r="L1213" s="107"/>
      <c r="M1213" s="106"/>
      <c r="N1213" s="106"/>
      <c r="O1213" s="108"/>
      <c r="P1213" s="108"/>
      <c r="Q1213" s="108"/>
      <c r="R1213" s="109"/>
      <c r="S1213" s="109"/>
      <c r="T1213" s="108"/>
      <c r="U1213" s="110"/>
      <c r="V1213" s="110"/>
      <c r="W1213" s="110"/>
      <c r="X1213" s="110"/>
    </row>
    <row r="1214" spans="1:24" ht="14.25" customHeight="1">
      <c r="A1214" s="110"/>
      <c r="B1214" s="125"/>
      <c r="C1214" s="126"/>
      <c r="D1214" s="159"/>
      <c r="E1214" s="10" t="e">
        <f>TRIM(VLOOKUP(D1214,TB!$B$9:$C$1500,2,FALSE))</f>
        <v>#N/A</v>
      </c>
      <c r="F1214" s="142"/>
      <c r="G1214" s="130"/>
      <c r="H1214" s="10"/>
      <c r="I1214" s="10"/>
      <c r="J1214" s="79" t="e">
        <f t="shared" si="24"/>
        <v>#VALUE!</v>
      </c>
      <c r="K1214" s="106"/>
      <c r="L1214" s="107"/>
      <c r="M1214" s="106"/>
      <c r="N1214" s="106"/>
      <c r="O1214" s="108"/>
      <c r="P1214" s="108"/>
      <c r="Q1214" s="108"/>
      <c r="R1214" s="109"/>
      <c r="S1214" s="109"/>
      <c r="T1214" s="108"/>
      <c r="U1214" s="110"/>
      <c r="V1214" s="110"/>
      <c r="W1214" s="110"/>
      <c r="X1214" s="110"/>
    </row>
    <row r="1215" spans="1:24" ht="14.25" customHeight="1">
      <c r="A1215" s="110"/>
      <c r="B1215" s="125">
        <v>46188</v>
      </c>
      <c r="C1215" s="126" t="s">
        <v>228</v>
      </c>
      <c r="D1215" s="68" t="s">
        <v>229</v>
      </c>
      <c r="E1215" s="10" t="str">
        <f>TRIM(VLOOKUP(D1215,TB!$B$9:$C$1500,2,FALSE))</f>
        <v>Mandiri TBB USD</v>
      </c>
      <c r="F1215" s="173" t="s">
        <v>230</v>
      </c>
      <c r="G1215" s="130"/>
      <c r="H1215" s="10">
        <v>630000</v>
      </c>
      <c r="I1215" s="10"/>
      <c r="J1215" s="79" t="e">
        <f t="shared" si="24"/>
        <v>#VALUE!</v>
      </c>
      <c r="K1215" s="106"/>
      <c r="L1215" s="107"/>
      <c r="M1215" s="106"/>
      <c r="N1215" s="106"/>
      <c r="O1215" s="108"/>
      <c r="P1215" s="108"/>
      <c r="Q1215" s="108"/>
      <c r="R1215" s="109"/>
      <c r="S1215" s="109"/>
      <c r="T1215" s="108"/>
      <c r="U1215" s="110"/>
      <c r="V1215" s="110"/>
      <c r="W1215" s="110"/>
      <c r="X1215" s="110"/>
    </row>
    <row r="1216" spans="1:24" ht="14.25" customHeight="1">
      <c r="A1216" s="110"/>
      <c r="B1216" s="125">
        <v>46188</v>
      </c>
      <c r="C1216" s="126" t="s">
        <v>228</v>
      </c>
      <c r="D1216" s="68" t="s">
        <v>219</v>
      </c>
      <c r="E1216" s="10" t="str">
        <f>TRIM(VLOOKUP(D1216,TB!$B$9:$C$1500,2,FALSE))</f>
        <v>Mandiri GRAB</v>
      </c>
      <c r="F1216" s="173" t="s">
        <v>230</v>
      </c>
      <c r="G1216" s="130"/>
      <c r="H1216" s="10"/>
      <c r="I1216" s="10">
        <v>630000</v>
      </c>
      <c r="J1216" s="79" t="e">
        <f t="shared" si="24"/>
        <v>#VALUE!</v>
      </c>
      <c r="K1216" s="106"/>
      <c r="L1216" s="107"/>
      <c r="M1216" s="106"/>
      <c r="N1216" s="106"/>
      <c r="O1216" s="108"/>
      <c r="P1216" s="108"/>
      <c r="Q1216" s="108"/>
      <c r="R1216" s="109"/>
      <c r="S1216" s="109"/>
      <c r="T1216" s="108"/>
      <c r="U1216" s="110"/>
      <c r="V1216" s="110"/>
      <c r="W1216" s="110"/>
      <c r="X1216" s="110"/>
    </row>
    <row r="1217" spans="1:24" ht="14.25" customHeight="1">
      <c r="A1217" s="110"/>
      <c r="B1217" s="125"/>
      <c r="C1217" s="126"/>
      <c r="D1217" s="15"/>
      <c r="E1217" s="10" t="e">
        <f>TRIM(VLOOKUP(D1217,TB!$B$9:$C$1500,2,FALSE))</f>
        <v>#N/A</v>
      </c>
      <c r="F1217" s="142"/>
      <c r="G1217" s="130"/>
      <c r="H1217" s="10"/>
      <c r="I1217" s="10"/>
      <c r="J1217" s="79" t="e">
        <f t="shared" si="24"/>
        <v>#VALUE!</v>
      </c>
      <c r="K1217" s="106"/>
      <c r="L1217" s="107"/>
      <c r="M1217" s="106"/>
      <c r="N1217" s="106"/>
      <c r="O1217" s="108"/>
      <c r="P1217" s="108"/>
      <c r="Q1217" s="108"/>
      <c r="R1217" s="109"/>
      <c r="S1217" s="109"/>
      <c r="T1217" s="108"/>
      <c r="U1217" s="110"/>
      <c r="V1217" s="110"/>
      <c r="W1217" s="110"/>
      <c r="X1217" s="110"/>
    </row>
    <row r="1218" spans="1:24" ht="14.25" customHeight="1">
      <c r="A1218" s="110"/>
      <c r="B1218" s="125">
        <v>46191</v>
      </c>
      <c r="C1218" s="126" t="s">
        <v>231</v>
      </c>
      <c r="D1218" s="68" t="s">
        <v>219</v>
      </c>
      <c r="E1218" s="10" t="str">
        <f>TRIM(VLOOKUP(D1218,TB!$B$9:$C$1500,2,FALSE))</f>
        <v>Mandiri GRAB</v>
      </c>
      <c r="F1218" s="173" t="s">
        <v>232</v>
      </c>
      <c r="G1218" s="130"/>
      <c r="H1218" s="157">
        <f>I1220-H1219</f>
        <v>487800</v>
      </c>
      <c r="I1218" s="10"/>
      <c r="J1218" s="79" t="e">
        <f t="shared" si="24"/>
        <v>#VALUE!</v>
      </c>
      <c r="K1218" s="106"/>
      <c r="L1218" s="107"/>
      <c r="M1218" s="106"/>
      <c r="N1218" s="106"/>
      <c r="O1218" s="108"/>
      <c r="P1218" s="108"/>
      <c r="Q1218" s="108"/>
      <c r="R1218" s="109"/>
      <c r="S1218" s="109"/>
      <c r="T1218" s="108"/>
      <c r="U1218" s="110"/>
      <c r="V1218" s="110"/>
      <c r="W1218" s="110"/>
      <c r="X1218" s="110"/>
    </row>
    <row r="1219" spans="1:24" ht="14.25" customHeight="1">
      <c r="A1219" s="110"/>
      <c r="B1219" s="125">
        <v>46191</v>
      </c>
      <c r="C1219" s="126" t="s">
        <v>231</v>
      </c>
      <c r="D1219" s="15" t="s">
        <v>221</v>
      </c>
      <c r="E1219" s="10" t="str">
        <f>TRIM(VLOOKUP(D1219,TB!$B$9:$C$1500,2,FALSE))</f>
        <v>COS - Promotor Fees Other</v>
      </c>
      <c r="F1219" s="173" t="s">
        <v>232</v>
      </c>
      <c r="G1219" s="130"/>
      <c r="H1219" s="157">
        <f>I1220*20%</f>
        <v>121950</v>
      </c>
      <c r="I1219" s="10"/>
      <c r="J1219" s="79" t="e">
        <f t="shared" si="24"/>
        <v>#VALUE!</v>
      </c>
      <c r="K1219" s="106"/>
      <c r="L1219" s="107"/>
      <c r="M1219" s="106"/>
      <c r="N1219" s="106"/>
      <c r="O1219" s="108"/>
      <c r="P1219" s="108"/>
      <c r="Q1219" s="108"/>
      <c r="R1219" s="109"/>
      <c r="S1219" s="109"/>
      <c r="T1219" s="108"/>
      <c r="U1219" s="110"/>
      <c r="V1219" s="110"/>
      <c r="W1219" s="110"/>
      <c r="X1219" s="110"/>
    </row>
    <row r="1220" spans="1:24" ht="14.25" customHeight="1">
      <c r="A1220" s="110"/>
      <c r="B1220" s="125">
        <v>46191</v>
      </c>
      <c r="C1220" s="126" t="s">
        <v>231</v>
      </c>
      <c r="D1220" s="15" t="s">
        <v>67</v>
      </c>
      <c r="E1220" s="10" t="str">
        <f>TRIM(VLOOKUP(D1220,TB!$B$9:$C$1500,2,FALSE))</f>
        <v>GRAB / OVO</v>
      </c>
      <c r="F1220" s="173" t="s">
        <v>232</v>
      </c>
      <c r="G1220" s="130"/>
      <c r="H1220" s="10"/>
      <c r="I1220" s="10">
        <v>609750</v>
      </c>
      <c r="J1220" s="79" t="e">
        <f t="shared" si="24"/>
        <v>#VALUE!</v>
      </c>
      <c r="K1220" s="106"/>
      <c r="L1220" s="107"/>
      <c r="M1220" s="106"/>
      <c r="N1220" s="106"/>
      <c r="O1220" s="108"/>
      <c r="P1220" s="108"/>
      <c r="Q1220" s="108"/>
      <c r="R1220" s="109"/>
      <c r="S1220" s="109"/>
      <c r="T1220" s="108"/>
      <c r="U1220" s="110"/>
      <c r="V1220" s="110"/>
      <c r="W1220" s="110"/>
      <c r="X1220" s="110"/>
    </row>
    <row r="1221" spans="1:24" ht="14.25" customHeight="1">
      <c r="A1221" s="110"/>
      <c r="B1221" s="125"/>
      <c r="C1221" s="126"/>
      <c r="D1221" s="15"/>
      <c r="E1221" s="10" t="e">
        <f>TRIM(VLOOKUP(D1221,TB!$B$9:$C$1500,2,FALSE))</f>
        <v>#N/A</v>
      </c>
      <c r="F1221" s="173"/>
      <c r="G1221" s="130"/>
      <c r="H1221" s="10"/>
      <c r="I1221" s="10"/>
      <c r="J1221" s="79" t="e">
        <f t="shared" si="24"/>
        <v>#VALUE!</v>
      </c>
      <c r="K1221" s="106"/>
      <c r="L1221" s="107"/>
      <c r="M1221" s="106"/>
      <c r="N1221" s="106"/>
      <c r="O1221" s="108"/>
      <c r="P1221" s="108"/>
      <c r="Q1221" s="108"/>
      <c r="R1221" s="109"/>
      <c r="S1221" s="109"/>
      <c r="T1221" s="108"/>
      <c r="U1221" s="110"/>
      <c r="V1221" s="110"/>
      <c r="W1221" s="110"/>
      <c r="X1221" s="110"/>
    </row>
    <row r="1222" spans="1:24" ht="14.25" customHeight="1">
      <c r="A1222" s="110"/>
      <c r="B1222" s="125">
        <v>46191</v>
      </c>
      <c r="C1222" s="126" t="s">
        <v>233</v>
      </c>
      <c r="D1222" s="68" t="s">
        <v>219</v>
      </c>
      <c r="E1222" s="10" t="str">
        <f>TRIM(VLOOKUP(D1222,TB!$B$9:$C$1500,2,FALSE))</f>
        <v>Mandiri GRAB</v>
      </c>
      <c r="F1222" s="142" t="s">
        <v>234</v>
      </c>
      <c r="G1222" s="130"/>
      <c r="H1222" s="157">
        <f>I1224-H1223</f>
        <v>1096700</v>
      </c>
      <c r="I1222" s="10"/>
      <c r="J1222" s="79" t="e">
        <f t="shared" si="24"/>
        <v>#VALUE!</v>
      </c>
      <c r="K1222" s="106"/>
      <c r="L1222" s="107"/>
      <c r="M1222" s="106"/>
      <c r="N1222" s="106"/>
      <c r="O1222" s="108"/>
      <c r="P1222" s="108"/>
      <c r="Q1222" s="108"/>
      <c r="R1222" s="109"/>
      <c r="S1222" s="109"/>
      <c r="T1222" s="108"/>
      <c r="U1222" s="110"/>
      <c r="V1222" s="110"/>
      <c r="W1222" s="110"/>
      <c r="X1222" s="110"/>
    </row>
    <row r="1223" spans="1:24" ht="14.25" customHeight="1">
      <c r="A1223" s="110"/>
      <c r="B1223" s="125">
        <v>46191</v>
      </c>
      <c r="C1223" s="126" t="s">
        <v>233</v>
      </c>
      <c r="D1223" s="15" t="s">
        <v>221</v>
      </c>
      <c r="E1223" s="10" t="str">
        <f>TRIM(VLOOKUP(D1223,TB!$B$9:$C$1500,2,FALSE))</f>
        <v>COS - Promotor Fees Other</v>
      </c>
      <c r="F1223" s="142" t="s">
        <v>234</v>
      </c>
      <c r="G1223" s="130"/>
      <c r="H1223" s="157">
        <f>I1224*20%</f>
        <v>274175</v>
      </c>
      <c r="I1223" s="10"/>
      <c r="J1223" s="79" t="e">
        <f t="shared" si="24"/>
        <v>#VALUE!</v>
      </c>
      <c r="K1223" s="106"/>
      <c r="L1223" s="107"/>
      <c r="M1223" s="106"/>
      <c r="N1223" s="106"/>
      <c r="O1223" s="108"/>
      <c r="P1223" s="108"/>
      <c r="Q1223" s="108"/>
      <c r="R1223" s="109"/>
      <c r="S1223" s="109"/>
      <c r="T1223" s="108"/>
      <c r="U1223" s="110"/>
      <c r="V1223" s="110"/>
      <c r="W1223" s="110"/>
      <c r="X1223" s="110"/>
    </row>
    <row r="1224" spans="1:24" ht="14.25" customHeight="1">
      <c r="A1224" s="110"/>
      <c r="B1224" s="125">
        <v>46191</v>
      </c>
      <c r="C1224" s="126" t="s">
        <v>233</v>
      </c>
      <c r="D1224" s="15" t="s">
        <v>67</v>
      </c>
      <c r="E1224" s="10" t="str">
        <f>TRIM(VLOOKUP(D1224,TB!$B$9:$C$1500,2,FALSE))</f>
        <v>GRAB / OVO</v>
      </c>
      <c r="F1224" s="142" t="s">
        <v>234</v>
      </c>
      <c r="G1224" s="130"/>
      <c r="H1224" s="10"/>
      <c r="I1224" s="10">
        <v>1370875</v>
      </c>
      <c r="J1224" s="79" t="e">
        <f t="shared" si="24"/>
        <v>#VALUE!</v>
      </c>
      <c r="K1224" s="106"/>
      <c r="L1224" s="107"/>
      <c r="M1224" s="106"/>
      <c r="N1224" s="106"/>
      <c r="O1224" s="108"/>
      <c r="P1224" s="108"/>
      <c r="Q1224" s="108"/>
      <c r="R1224" s="109"/>
      <c r="S1224" s="109"/>
      <c r="T1224" s="108"/>
      <c r="U1224" s="110"/>
      <c r="V1224" s="110"/>
      <c r="W1224" s="110"/>
      <c r="X1224" s="110"/>
    </row>
    <row r="1225" spans="1:24" ht="14.25" customHeight="1">
      <c r="A1225" s="110"/>
      <c r="B1225" s="125"/>
      <c r="C1225" s="126"/>
      <c r="D1225" s="159"/>
      <c r="E1225" s="10" t="e">
        <f>TRIM(VLOOKUP(D1225,TB!$B$9:$C$1500,2,FALSE))</f>
        <v>#N/A</v>
      </c>
      <c r="F1225" s="142"/>
      <c r="G1225" s="130"/>
      <c r="H1225" s="10"/>
      <c r="I1225" s="10"/>
      <c r="J1225" s="79" t="e">
        <f t="shared" si="24"/>
        <v>#VALUE!</v>
      </c>
      <c r="K1225" s="106"/>
      <c r="L1225" s="107"/>
      <c r="M1225" s="106"/>
      <c r="N1225" s="106"/>
      <c r="O1225" s="108"/>
      <c r="P1225" s="108"/>
      <c r="Q1225" s="108"/>
      <c r="R1225" s="109"/>
      <c r="S1225" s="109"/>
      <c r="T1225" s="108"/>
      <c r="U1225" s="110"/>
      <c r="V1225" s="110"/>
      <c r="W1225" s="110"/>
      <c r="X1225" s="110"/>
    </row>
    <row r="1226" spans="1:24" ht="14.25" customHeight="1">
      <c r="A1226" s="110"/>
      <c r="B1226" s="125">
        <v>46195</v>
      </c>
      <c r="C1226" s="126" t="s">
        <v>235</v>
      </c>
      <c r="D1226" s="68" t="s">
        <v>219</v>
      </c>
      <c r="E1226" s="10" t="str">
        <f>TRIM(VLOOKUP(D1226,TB!$B$9:$C$1500,2,FALSE))</f>
        <v>Mandiri GRAB</v>
      </c>
      <c r="F1226" s="142" t="s">
        <v>236</v>
      </c>
      <c r="G1226" s="130"/>
      <c r="H1226" s="157">
        <f>I1228-H1227</f>
        <v>134400</v>
      </c>
      <c r="I1226" s="10"/>
      <c r="J1226" s="79" t="e">
        <f t="shared" si="24"/>
        <v>#VALUE!</v>
      </c>
      <c r="K1226" s="106"/>
      <c r="L1226" s="107"/>
      <c r="M1226" s="106"/>
      <c r="N1226" s="106"/>
      <c r="O1226" s="108"/>
      <c r="P1226" s="108"/>
      <c r="Q1226" s="108"/>
      <c r="R1226" s="109"/>
      <c r="S1226" s="109"/>
      <c r="T1226" s="108"/>
      <c r="U1226" s="110"/>
      <c r="V1226" s="110"/>
      <c r="W1226" s="110"/>
      <c r="X1226" s="110"/>
    </row>
    <row r="1227" spans="1:24" ht="14.25" customHeight="1">
      <c r="A1227" s="110"/>
      <c r="B1227" s="125">
        <v>46195</v>
      </c>
      <c r="C1227" s="126" t="s">
        <v>235</v>
      </c>
      <c r="D1227" s="15" t="s">
        <v>221</v>
      </c>
      <c r="E1227" s="10" t="str">
        <f>TRIM(VLOOKUP(D1227,TB!$B$9:$C$1500,2,FALSE))</f>
        <v>COS - Promotor Fees Other</v>
      </c>
      <c r="F1227" s="142" t="s">
        <v>236</v>
      </c>
      <c r="G1227" s="130"/>
      <c r="H1227" s="157">
        <f>I1228*20%</f>
        <v>33600</v>
      </c>
      <c r="I1227" s="10"/>
      <c r="J1227" s="79" t="e">
        <f t="shared" si="24"/>
        <v>#VALUE!</v>
      </c>
      <c r="K1227" s="106"/>
      <c r="L1227" s="107"/>
      <c r="M1227" s="106"/>
      <c r="N1227" s="106"/>
      <c r="O1227" s="108"/>
      <c r="P1227" s="108"/>
      <c r="Q1227" s="108"/>
      <c r="R1227" s="109"/>
      <c r="S1227" s="109"/>
      <c r="T1227" s="108"/>
      <c r="U1227" s="110"/>
      <c r="V1227" s="110"/>
      <c r="W1227" s="110"/>
      <c r="X1227" s="110"/>
    </row>
    <row r="1228" spans="1:24" ht="14.25" customHeight="1">
      <c r="A1228" s="110"/>
      <c r="B1228" s="125">
        <v>46195</v>
      </c>
      <c r="C1228" s="126" t="s">
        <v>235</v>
      </c>
      <c r="D1228" s="15" t="s">
        <v>67</v>
      </c>
      <c r="E1228" s="10" t="str">
        <f>TRIM(VLOOKUP(D1228,TB!$B$9:$C$1500,2,FALSE))</f>
        <v>GRAB / OVO</v>
      </c>
      <c r="F1228" s="142" t="s">
        <v>236</v>
      </c>
      <c r="G1228" s="130"/>
      <c r="H1228" s="10"/>
      <c r="I1228" s="10">
        <v>168000</v>
      </c>
      <c r="J1228" s="79" t="e">
        <f t="shared" si="24"/>
        <v>#VALUE!</v>
      </c>
      <c r="K1228" s="106"/>
      <c r="L1228" s="107"/>
      <c r="M1228" s="106"/>
      <c r="N1228" s="106"/>
      <c r="O1228" s="108"/>
      <c r="P1228" s="108"/>
      <c r="Q1228" s="108"/>
      <c r="R1228" s="109"/>
      <c r="S1228" s="109"/>
      <c r="T1228" s="108"/>
      <c r="U1228" s="110"/>
      <c r="V1228" s="110"/>
      <c r="W1228" s="110"/>
      <c r="X1228" s="110"/>
    </row>
    <row r="1229" spans="1:24" ht="14.25" customHeight="1">
      <c r="A1229" s="110"/>
      <c r="B1229" s="125"/>
      <c r="C1229" s="126"/>
      <c r="D1229" s="15"/>
      <c r="E1229" s="10" t="e">
        <f>TRIM(VLOOKUP(D1229,TB!$B$9:$C$1500,2,FALSE))</f>
        <v>#N/A</v>
      </c>
      <c r="F1229" s="173"/>
      <c r="G1229" s="130"/>
      <c r="H1229" s="10"/>
      <c r="I1229" s="10"/>
      <c r="J1229" s="79" t="e">
        <f t="shared" si="24"/>
        <v>#VALUE!</v>
      </c>
      <c r="K1229" s="106"/>
      <c r="L1229" s="107"/>
      <c r="M1229" s="106"/>
      <c r="N1229" s="106"/>
      <c r="O1229" s="108"/>
      <c r="P1229" s="108"/>
      <c r="Q1229" s="108"/>
      <c r="R1229" s="109"/>
      <c r="S1229" s="109"/>
      <c r="T1229" s="108"/>
      <c r="U1229" s="110"/>
      <c r="V1229" s="110"/>
      <c r="W1229" s="110"/>
      <c r="X1229" s="110"/>
    </row>
    <row r="1230" spans="1:24" ht="14.25" customHeight="1">
      <c r="A1230" s="110"/>
      <c r="B1230" s="125">
        <v>46195</v>
      </c>
      <c r="C1230" s="126" t="s">
        <v>237</v>
      </c>
      <c r="D1230" s="68" t="s">
        <v>219</v>
      </c>
      <c r="E1230" s="10" t="str">
        <f>TRIM(VLOOKUP(D1230,TB!$B$9:$C$1500,2,FALSE))</f>
        <v>Mandiri GRAB</v>
      </c>
      <c r="F1230" s="173" t="s">
        <v>238</v>
      </c>
      <c r="G1230" s="130"/>
      <c r="H1230" s="157">
        <f>I1232-H1231</f>
        <v>211200</v>
      </c>
      <c r="I1230" s="10"/>
      <c r="J1230" s="79" t="e">
        <f t="shared" si="24"/>
        <v>#VALUE!</v>
      </c>
      <c r="K1230" s="106"/>
      <c r="L1230" s="107"/>
      <c r="M1230" s="106"/>
      <c r="N1230" s="106"/>
      <c r="O1230" s="108"/>
      <c r="P1230" s="108"/>
      <c r="Q1230" s="108"/>
      <c r="R1230" s="109"/>
      <c r="S1230" s="109"/>
      <c r="T1230" s="108"/>
      <c r="U1230" s="110"/>
      <c r="V1230" s="110"/>
      <c r="W1230" s="110"/>
      <c r="X1230" s="110"/>
    </row>
    <row r="1231" spans="1:24" ht="14.25" customHeight="1">
      <c r="A1231" s="110"/>
      <c r="B1231" s="125">
        <v>46195</v>
      </c>
      <c r="C1231" s="126" t="s">
        <v>237</v>
      </c>
      <c r="D1231" s="15" t="s">
        <v>221</v>
      </c>
      <c r="E1231" s="10" t="str">
        <f>TRIM(VLOOKUP(D1231,TB!$B$9:$C$1500,2,FALSE))</f>
        <v>COS - Promotor Fees Other</v>
      </c>
      <c r="F1231" s="173" t="s">
        <v>238</v>
      </c>
      <c r="G1231" s="130"/>
      <c r="H1231" s="157">
        <f>I1232*20%</f>
        <v>52800</v>
      </c>
      <c r="I1231" s="10"/>
      <c r="J1231" s="79" t="e">
        <f t="shared" si="24"/>
        <v>#VALUE!</v>
      </c>
      <c r="K1231" s="106"/>
      <c r="L1231" s="107"/>
      <c r="M1231" s="106"/>
      <c r="N1231" s="106"/>
      <c r="O1231" s="108"/>
      <c r="P1231" s="108"/>
      <c r="Q1231" s="108"/>
      <c r="R1231" s="109"/>
      <c r="S1231" s="109"/>
      <c r="T1231" s="108"/>
      <c r="U1231" s="110"/>
      <c r="V1231" s="110"/>
      <c r="W1231" s="110"/>
      <c r="X1231" s="110"/>
    </row>
    <row r="1232" spans="1:24" ht="14.25" customHeight="1">
      <c r="A1232" s="110"/>
      <c r="B1232" s="125">
        <v>46195</v>
      </c>
      <c r="C1232" s="126" t="s">
        <v>237</v>
      </c>
      <c r="D1232" s="15" t="s">
        <v>67</v>
      </c>
      <c r="E1232" s="10" t="str">
        <f>TRIM(VLOOKUP(D1232,TB!$B$9:$C$1500,2,FALSE))</f>
        <v>GRAB / OVO</v>
      </c>
      <c r="F1232" s="173" t="s">
        <v>238</v>
      </c>
      <c r="G1232" s="130"/>
      <c r="H1232" s="10"/>
      <c r="I1232" s="10">
        <v>264000</v>
      </c>
      <c r="J1232" s="79" t="e">
        <f t="shared" si="24"/>
        <v>#VALUE!</v>
      </c>
      <c r="K1232" s="106"/>
      <c r="L1232" s="107"/>
      <c r="M1232" s="106"/>
      <c r="N1232" s="106"/>
      <c r="O1232" s="108"/>
      <c r="P1232" s="108"/>
      <c r="Q1232" s="108"/>
      <c r="R1232" s="109"/>
      <c r="S1232" s="109"/>
      <c r="T1232" s="108"/>
      <c r="U1232" s="110"/>
      <c r="V1232" s="110"/>
      <c r="W1232" s="110"/>
      <c r="X1232" s="110"/>
    </row>
    <row r="1233" spans="1:24" ht="14.25" customHeight="1">
      <c r="A1233" s="110"/>
      <c r="B1233" s="125"/>
      <c r="C1233" s="126"/>
      <c r="D1233" s="159"/>
      <c r="E1233" s="10" t="e">
        <f>TRIM(VLOOKUP(D1233,TB!$B$9:$C$1500,2,FALSE))</f>
        <v>#N/A</v>
      </c>
      <c r="F1233" s="173"/>
      <c r="G1233" s="130"/>
      <c r="H1233" s="10"/>
      <c r="I1233" s="10"/>
      <c r="J1233" s="79" t="e">
        <f t="shared" si="24"/>
        <v>#VALUE!</v>
      </c>
      <c r="K1233" s="106"/>
      <c r="L1233" s="107"/>
      <c r="M1233" s="106"/>
      <c r="N1233" s="106"/>
      <c r="O1233" s="108"/>
      <c r="P1233" s="108"/>
      <c r="Q1233" s="108"/>
      <c r="R1233" s="109"/>
      <c r="S1233" s="109"/>
      <c r="T1233" s="108"/>
      <c r="U1233" s="110"/>
      <c r="V1233" s="110"/>
      <c r="W1233" s="110"/>
      <c r="X1233" s="110"/>
    </row>
    <row r="1234" spans="1:24" ht="14.25" customHeight="1">
      <c r="A1234" s="110"/>
      <c r="B1234" s="125">
        <v>46199</v>
      </c>
      <c r="C1234" s="126" t="s">
        <v>239</v>
      </c>
      <c r="D1234" s="68" t="s">
        <v>158</v>
      </c>
      <c r="E1234" s="10" t="str">
        <f>TRIM(VLOOKUP(D1234,TB!$B$9:$C$1500,2,FALSE))</f>
        <v>Mandiri TBB IDR</v>
      </c>
      <c r="F1234" s="173" t="s">
        <v>240</v>
      </c>
      <c r="G1234" s="130"/>
      <c r="H1234" s="10">
        <v>3720000</v>
      </c>
      <c r="I1234" s="10"/>
      <c r="J1234" s="79" t="e">
        <f t="shared" si="24"/>
        <v>#VALUE!</v>
      </c>
      <c r="K1234" s="106"/>
      <c r="L1234" s="107"/>
      <c r="M1234" s="106"/>
      <c r="N1234" s="106"/>
      <c r="O1234" s="108"/>
      <c r="P1234" s="108"/>
      <c r="Q1234" s="108"/>
      <c r="R1234" s="109"/>
      <c r="S1234" s="109"/>
      <c r="T1234" s="108"/>
      <c r="U1234" s="110"/>
      <c r="V1234" s="110"/>
      <c r="W1234" s="110"/>
      <c r="X1234" s="110"/>
    </row>
    <row r="1235" spans="1:24" ht="14.25" customHeight="1">
      <c r="A1235" s="110"/>
      <c r="B1235" s="125">
        <v>46199</v>
      </c>
      <c r="C1235" s="126" t="s">
        <v>239</v>
      </c>
      <c r="D1235" s="68" t="s">
        <v>219</v>
      </c>
      <c r="E1235" s="10" t="str">
        <f>TRIM(VLOOKUP(D1235,TB!$B$9:$C$1500,2,FALSE))</f>
        <v>Mandiri GRAB</v>
      </c>
      <c r="F1235" s="173" t="s">
        <v>240</v>
      </c>
      <c r="G1235" s="130"/>
      <c r="H1235" s="10"/>
      <c r="I1235" s="10">
        <v>3720000</v>
      </c>
      <c r="J1235" s="79" t="e">
        <f t="shared" si="24"/>
        <v>#VALUE!</v>
      </c>
      <c r="K1235" s="106"/>
      <c r="L1235" s="107"/>
      <c r="M1235" s="106"/>
      <c r="N1235" s="106"/>
      <c r="O1235" s="108"/>
      <c r="P1235" s="108"/>
      <c r="Q1235" s="108"/>
      <c r="R1235" s="109"/>
      <c r="S1235" s="109"/>
      <c r="T1235" s="108"/>
      <c r="U1235" s="110"/>
      <c r="V1235" s="110"/>
      <c r="W1235" s="110"/>
      <c r="X1235" s="110"/>
    </row>
    <row r="1236" spans="1:24" ht="14.25" customHeight="1">
      <c r="A1236" s="110"/>
      <c r="B1236" s="125"/>
      <c r="C1236" s="126"/>
      <c r="D1236" s="174"/>
      <c r="E1236" s="10" t="e">
        <f>TRIM(VLOOKUP(D1236,TB!$B$9:$C$1500,2,FALSE))</f>
        <v>#N/A</v>
      </c>
      <c r="F1236" s="173"/>
      <c r="G1236" s="130"/>
      <c r="H1236" s="10"/>
      <c r="I1236" s="10"/>
      <c r="J1236" s="79" t="e">
        <f t="shared" si="24"/>
        <v>#VALUE!</v>
      </c>
      <c r="K1236" s="106"/>
      <c r="L1236" s="107"/>
      <c r="M1236" s="106"/>
      <c r="N1236" s="106"/>
      <c r="O1236" s="108"/>
      <c r="P1236" s="108"/>
      <c r="Q1236" s="108"/>
      <c r="R1236" s="109"/>
      <c r="S1236" s="109"/>
      <c r="T1236" s="108"/>
      <c r="U1236" s="110"/>
      <c r="V1236" s="110"/>
      <c r="W1236" s="110"/>
      <c r="X1236" s="110"/>
    </row>
    <row r="1237" spans="1:24" ht="14.25" customHeight="1">
      <c r="A1237" s="110"/>
      <c r="B1237" s="125">
        <v>46202</v>
      </c>
      <c r="C1237" s="126" t="s">
        <v>241</v>
      </c>
      <c r="D1237" s="68" t="s">
        <v>219</v>
      </c>
      <c r="E1237" s="10" t="str">
        <f>TRIM(VLOOKUP(D1237,TB!$B$9:$C$1500,2,FALSE))</f>
        <v>Mandiri GRAB</v>
      </c>
      <c r="F1237" s="173" t="s">
        <v>242</v>
      </c>
      <c r="G1237" s="130"/>
      <c r="H1237" s="157">
        <f>I1239-H1238</f>
        <v>90000</v>
      </c>
      <c r="I1237" s="10"/>
      <c r="J1237" s="79" t="e">
        <f t="shared" si="24"/>
        <v>#VALUE!</v>
      </c>
      <c r="K1237" s="106"/>
      <c r="L1237" s="107"/>
      <c r="M1237" s="106"/>
      <c r="N1237" s="106"/>
      <c r="O1237" s="108"/>
      <c r="P1237" s="108"/>
      <c r="Q1237" s="108"/>
      <c r="R1237" s="109"/>
      <c r="S1237" s="109"/>
      <c r="T1237" s="108"/>
      <c r="U1237" s="110"/>
      <c r="V1237" s="110"/>
      <c r="W1237" s="110"/>
      <c r="X1237" s="110"/>
    </row>
    <row r="1238" spans="1:24" ht="14.25" customHeight="1">
      <c r="A1238" s="110"/>
      <c r="B1238" s="125">
        <v>46202</v>
      </c>
      <c r="C1238" s="126" t="s">
        <v>241</v>
      </c>
      <c r="D1238" s="15" t="s">
        <v>221</v>
      </c>
      <c r="E1238" s="10" t="str">
        <f>TRIM(VLOOKUP(D1238,TB!$B$9:$C$1500,2,FALSE))</f>
        <v>COS - Promotor Fees Other</v>
      </c>
      <c r="F1238" s="173" t="s">
        <v>242</v>
      </c>
      <c r="G1238" s="130"/>
      <c r="H1238" s="157">
        <f>I1239*20%</f>
        <v>22500</v>
      </c>
      <c r="I1238" s="10"/>
      <c r="J1238" s="79" t="e">
        <f t="shared" si="24"/>
        <v>#VALUE!</v>
      </c>
      <c r="K1238" s="106"/>
      <c r="L1238" s="107"/>
      <c r="M1238" s="106"/>
      <c r="N1238" s="106"/>
      <c r="O1238" s="108"/>
      <c r="P1238" s="108"/>
      <c r="Q1238" s="108"/>
      <c r="R1238" s="109"/>
      <c r="S1238" s="109"/>
      <c r="T1238" s="108"/>
      <c r="U1238" s="110"/>
      <c r="V1238" s="110"/>
      <c r="W1238" s="110"/>
      <c r="X1238" s="110"/>
    </row>
    <row r="1239" spans="1:24" ht="14.25" customHeight="1">
      <c r="A1239" s="110"/>
      <c r="B1239" s="125">
        <v>46202</v>
      </c>
      <c r="C1239" s="126" t="s">
        <v>241</v>
      </c>
      <c r="D1239" s="15" t="s">
        <v>67</v>
      </c>
      <c r="E1239" s="10" t="str">
        <f>TRIM(VLOOKUP(D1239,TB!$B$9:$C$1500,2,FALSE))</f>
        <v>GRAB / OVO</v>
      </c>
      <c r="F1239" s="173" t="s">
        <v>242</v>
      </c>
      <c r="G1239" s="130"/>
      <c r="H1239" s="10"/>
      <c r="I1239" s="10">
        <v>112500</v>
      </c>
      <c r="J1239" s="79" t="e">
        <f t="shared" si="24"/>
        <v>#VALUE!</v>
      </c>
      <c r="K1239" s="106"/>
      <c r="L1239" s="107"/>
      <c r="M1239" s="106"/>
      <c r="N1239" s="106"/>
      <c r="O1239" s="108"/>
      <c r="P1239" s="108"/>
      <c r="Q1239" s="108"/>
      <c r="R1239" s="109"/>
      <c r="S1239" s="109"/>
      <c r="T1239" s="108"/>
      <c r="U1239" s="110"/>
      <c r="V1239" s="110"/>
      <c r="W1239" s="110"/>
      <c r="X1239" s="110"/>
    </row>
    <row r="1240" spans="1:24" ht="14.25" customHeight="1">
      <c r="A1240" s="110"/>
      <c r="B1240" s="125"/>
      <c r="C1240" s="126"/>
      <c r="D1240" s="15"/>
      <c r="E1240" s="10" t="e">
        <f>TRIM(VLOOKUP(D1240,TB!$B$9:$C$1500,2,FALSE))</f>
        <v>#N/A</v>
      </c>
      <c r="F1240" s="173"/>
      <c r="G1240" s="130"/>
      <c r="H1240" s="10"/>
      <c r="I1240" s="10"/>
      <c r="J1240" s="79" t="e">
        <f t="shared" si="24"/>
        <v>#VALUE!</v>
      </c>
      <c r="K1240" s="106"/>
      <c r="L1240" s="107"/>
      <c r="M1240" s="106"/>
      <c r="N1240" s="106"/>
      <c r="O1240" s="108"/>
      <c r="P1240" s="108"/>
      <c r="Q1240" s="108"/>
      <c r="R1240" s="109"/>
      <c r="S1240" s="109"/>
      <c r="T1240" s="108"/>
      <c r="U1240" s="110"/>
      <c r="V1240" s="110"/>
      <c r="W1240" s="110"/>
      <c r="X1240" s="110"/>
    </row>
    <row r="1241" spans="1:24" ht="14.25" customHeight="1">
      <c r="A1241" s="110"/>
      <c r="B1241" s="125">
        <v>46202</v>
      </c>
      <c r="C1241" s="126" t="s">
        <v>243</v>
      </c>
      <c r="D1241" s="68" t="s">
        <v>219</v>
      </c>
      <c r="E1241" s="10" t="str">
        <f>TRIM(VLOOKUP(D1241,TB!$B$9:$C$1500,2,FALSE))</f>
        <v>Mandiri GRAB</v>
      </c>
      <c r="F1241" s="173" t="s">
        <v>244</v>
      </c>
      <c r="G1241" s="130"/>
      <c r="H1241" s="157">
        <f>I1243-H1242</f>
        <v>195600</v>
      </c>
      <c r="I1241" s="10"/>
      <c r="J1241" s="79" t="e">
        <f t="shared" si="24"/>
        <v>#VALUE!</v>
      </c>
      <c r="K1241" s="106"/>
      <c r="L1241" s="107"/>
      <c r="M1241" s="106"/>
      <c r="N1241" s="106"/>
      <c r="O1241" s="108"/>
      <c r="P1241" s="108"/>
      <c r="Q1241" s="108"/>
      <c r="R1241" s="109"/>
      <c r="S1241" s="109"/>
      <c r="T1241" s="108"/>
      <c r="U1241" s="110"/>
      <c r="V1241" s="110"/>
      <c r="W1241" s="110"/>
      <c r="X1241" s="110"/>
    </row>
    <row r="1242" spans="1:24" ht="14.25" customHeight="1">
      <c r="A1242" s="110"/>
      <c r="B1242" s="125">
        <v>46202</v>
      </c>
      <c r="C1242" s="126" t="s">
        <v>243</v>
      </c>
      <c r="D1242" s="15" t="s">
        <v>221</v>
      </c>
      <c r="E1242" s="10" t="str">
        <f>TRIM(VLOOKUP(D1242,TB!$B$9:$C$1500,2,FALSE))</f>
        <v>COS - Promotor Fees Other</v>
      </c>
      <c r="F1242" s="173" t="s">
        <v>244</v>
      </c>
      <c r="G1242" s="130"/>
      <c r="H1242" s="157">
        <f>I1243*20%</f>
        <v>48900</v>
      </c>
      <c r="I1242" s="10"/>
      <c r="J1242" s="79" t="e">
        <f t="shared" si="24"/>
        <v>#VALUE!</v>
      </c>
      <c r="K1242" s="106"/>
      <c r="L1242" s="107"/>
      <c r="M1242" s="106"/>
      <c r="N1242" s="106"/>
      <c r="O1242" s="108"/>
      <c r="P1242" s="108"/>
      <c r="Q1242" s="108"/>
      <c r="R1242" s="109"/>
      <c r="S1242" s="109"/>
      <c r="T1242" s="108"/>
      <c r="U1242" s="110"/>
      <c r="V1242" s="110"/>
      <c r="W1242" s="110"/>
      <c r="X1242" s="110"/>
    </row>
    <row r="1243" spans="1:24" ht="14.25" customHeight="1">
      <c r="A1243" s="110"/>
      <c r="B1243" s="125">
        <v>46202</v>
      </c>
      <c r="C1243" s="126" t="s">
        <v>243</v>
      </c>
      <c r="D1243" s="15" t="s">
        <v>67</v>
      </c>
      <c r="E1243" s="10" t="str">
        <f>TRIM(VLOOKUP(D1243,TB!$B$9:$C$1500,2,FALSE))</f>
        <v>GRAB / OVO</v>
      </c>
      <c r="F1243" s="173" t="s">
        <v>244</v>
      </c>
      <c r="G1243" s="130"/>
      <c r="H1243" s="10"/>
      <c r="I1243" s="10">
        <v>244500</v>
      </c>
      <c r="J1243" s="79" t="e">
        <f t="shared" si="24"/>
        <v>#VALUE!</v>
      </c>
      <c r="K1243" s="106"/>
      <c r="L1243" s="107"/>
      <c r="M1243" s="106"/>
      <c r="N1243" s="106"/>
      <c r="O1243" s="108"/>
      <c r="P1243" s="108"/>
      <c r="Q1243" s="108"/>
      <c r="R1243" s="109"/>
      <c r="S1243" s="109"/>
      <c r="T1243" s="108"/>
      <c r="U1243" s="110"/>
      <c r="V1243" s="110"/>
      <c r="W1243" s="110"/>
      <c r="X1243" s="110"/>
    </row>
    <row r="1244" spans="1:24" ht="14.25" customHeight="1">
      <c r="A1244" s="110"/>
      <c r="B1244" s="125"/>
      <c r="C1244" s="126"/>
      <c r="D1244" s="159"/>
      <c r="E1244" s="10" t="e">
        <f>TRIM(VLOOKUP(D1244,TB!$B$9:$C$1500,2,FALSE))</f>
        <v>#N/A</v>
      </c>
      <c r="F1244" s="173"/>
      <c r="G1244" s="130"/>
      <c r="H1244" s="10"/>
      <c r="I1244" s="10"/>
      <c r="J1244" s="79" t="e">
        <f t="shared" si="24"/>
        <v>#VALUE!</v>
      </c>
      <c r="K1244" s="106"/>
      <c r="L1244" s="107"/>
      <c r="M1244" s="106"/>
      <c r="N1244" s="106"/>
      <c r="O1244" s="108"/>
      <c r="P1244" s="108"/>
      <c r="Q1244" s="108"/>
      <c r="R1244" s="109"/>
      <c r="S1244" s="109"/>
      <c r="T1244" s="108"/>
      <c r="U1244" s="110"/>
      <c r="V1244" s="110"/>
      <c r="W1244" s="110"/>
      <c r="X1244" s="110"/>
    </row>
    <row r="1245" spans="1:24" ht="14.25" customHeight="1">
      <c r="A1245" s="110"/>
      <c r="B1245" s="125">
        <v>46202</v>
      </c>
      <c r="C1245" s="126" t="s">
        <v>245</v>
      </c>
      <c r="D1245" s="68" t="s">
        <v>219</v>
      </c>
      <c r="E1245" s="10" t="str">
        <f>TRIM(VLOOKUP(D1245,TB!$B$9:$C$1500,2,FALSE))</f>
        <v>Mandiri GRAB</v>
      </c>
      <c r="F1245" s="173" t="s">
        <v>246</v>
      </c>
      <c r="G1245" s="130"/>
      <c r="H1245" s="157">
        <f>I1247-H1246</f>
        <v>331000</v>
      </c>
      <c r="I1245" s="10"/>
      <c r="J1245" s="79" t="e">
        <f t="shared" si="24"/>
        <v>#VALUE!</v>
      </c>
      <c r="K1245" s="106"/>
      <c r="L1245" s="107"/>
      <c r="M1245" s="106"/>
      <c r="N1245" s="106"/>
      <c r="O1245" s="108"/>
      <c r="P1245" s="108"/>
      <c r="Q1245" s="108"/>
      <c r="R1245" s="109"/>
      <c r="S1245" s="109"/>
      <c r="T1245" s="108"/>
      <c r="U1245" s="110"/>
      <c r="V1245" s="110"/>
      <c r="W1245" s="110"/>
      <c r="X1245" s="110"/>
    </row>
    <row r="1246" spans="1:24" ht="14.25" customHeight="1">
      <c r="A1246" s="110"/>
      <c r="B1246" s="125">
        <v>46202</v>
      </c>
      <c r="C1246" s="126" t="s">
        <v>245</v>
      </c>
      <c r="D1246" s="15" t="s">
        <v>221</v>
      </c>
      <c r="E1246" s="10" t="str">
        <f>TRIM(VLOOKUP(D1246,TB!$B$9:$C$1500,2,FALSE))</f>
        <v>COS - Promotor Fees Other</v>
      </c>
      <c r="F1246" s="173" t="s">
        <v>246</v>
      </c>
      <c r="G1246" s="130"/>
      <c r="H1246" s="157">
        <f>I1247*20%</f>
        <v>82750</v>
      </c>
      <c r="I1246" s="10"/>
      <c r="J1246" s="79" t="e">
        <f t="shared" si="24"/>
        <v>#VALUE!</v>
      </c>
      <c r="K1246" s="106"/>
      <c r="L1246" s="107"/>
      <c r="M1246" s="106"/>
      <c r="N1246" s="106"/>
      <c r="O1246" s="108"/>
      <c r="P1246" s="108"/>
      <c r="Q1246" s="108"/>
      <c r="R1246" s="109"/>
      <c r="S1246" s="109"/>
      <c r="T1246" s="108"/>
      <c r="U1246" s="110"/>
      <c r="V1246" s="110"/>
      <c r="W1246" s="110"/>
      <c r="X1246" s="110"/>
    </row>
    <row r="1247" spans="1:24" ht="14.25" customHeight="1">
      <c r="A1247" s="110"/>
      <c r="B1247" s="125">
        <v>46202</v>
      </c>
      <c r="C1247" s="126" t="s">
        <v>245</v>
      </c>
      <c r="D1247" s="15" t="s">
        <v>67</v>
      </c>
      <c r="E1247" s="10" t="str">
        <f>TRIM(VLOOKUP(D1247,TB!$B$9:$C$1500,2,FALSE))</f>
        <v>GRAB / OVO</v>
      </c>
      <c r="F1247" s="173" t="s">
        <v>246</v>
      </c>
      <c r="G1247" s="130"/>
      <c r="H1247" s="10"/>
      <c r="I1247" s="10">
        <v>413750</v>
      </c>
      <c r="J1247" s="79" t="e">
        <f t="shared" si="24"/>
        <v>#VALUE!</v>
      </c>
      <c r="K1247" s="106"/>
      <c r="L1247" s="107"/>
      <c r="M1247" s="106"/>
      <c r="N1247" s="106"/>
      <c r="O1247" s="108"/>
      <c r="P1247" s="108"/>
      <c r="Q1247" s="108"/>
      <c r="R1247" s="109"/>
      <c r="S1247" s="109"/>
      <c r="T1247" s="108"/>
      <c r="U1247" s="110"/>
      <c r="V1247" s="110"/>
      <c r="W1247" s="110"/>
      <c r="X1247" s="110"/>
    </row>
    <row r="1248" spans="1:24" ht="14.25" customHeight="1">
      <c r="A1248" s="110"/>
      <c r="B1248" s="125"/>
      <c r="C1248" s="126"/>
      <c r="D1248" s="15"/>
      <c r="E1248" s="10" t="e">
        <f>TRIM(VLOOKUP(D1248,TB!$B$9:$C$1500,2,FALSE))</f>
        <v>#N/A</v>
      </c>
      <c r="F1248" s="173"/>
      <c r="G1248" s="130"/>
      <c r="H1248" s="10"/>
      <c r="I1248" s="10"/>
      <c r="J1248" s="79" t="e">
        <f t="shared" si="24"/>
        <v>#VALUE!</v>
      </c>
      <c r="K1248" s="106"/>
      <c r="L1248" s="107"/>
      <c r="M1248" s="106"/>
      <c r="N1248" s="106"/>
      <c r="O1248" s="108"/>
      <c r="P1248" s="108"/>
      <c r="Q1248" s="108"/>
      <c r="R1248" s="109"/>
      <c r="S1248" s="109"/>
      <c r="T1248" s="108"/>
      <c r="U1248" s="110"/>
      <c r="V1248" s="110"/>
      <c r="W1248" s="110"/>
      <c r="X1248" s="110"/>
    </row>
    <row r="1249" spans="1:24" ht="14.25" customHeight="1">
      <c r="A1249" s="110"/>
      <c r="B1249" s="125">
        <v>46202</v>
      </c>
      <c r="C1249" s="126" t="s">
        <v>247</v>
      </c>
      <c r="D1249" s="68" t="s">
        <v>219</v>
      </c>
      <c r="E1249" s="10" t="str">
        <f>TRIM(VLOOKUP(D1249,TB!$B$9:$C$1500,2,FALSE))</f>
        <v>Mandiri GRAB</v>
      </c>
      <c r="F1249" s="173" t="s">
        <v>248</v>
      </c>
      <c r="G1249" s="130"/>
      <c r="H1249" s="157">
        <f>I1251-H1250</f>
        <v>238400</v>
      </c>
      <c r="I1249" s="10"/>
      <c r="J1249" s="79" t="e">
        <f t="shared" si="24"/>
        <v>#VALUE!</v>
      </c>
      <c r="K1249" s="106"/>
      <c r="L1249" s="107"/>
      <c r="M1249" s="106"/>
      <c r="N1249" s="106"/>
      <c r="O1249" s="108"/>
      <c r="P1249" s="108"/>
      <c r="Q1249" s="108"/>
      <c r="R1249" s="109"/>
      <c r="S1249" s="109"/>
      <c r="T1249" s="108"/>
      <c r="U1249" s="110"/>
      <c r="V1249" s="110"/>
      <c r="W1249" s="110"/>
      <c r="X1249" s="110"/>
    </row>
    <row r="1250" spans="1:24" ht="14.25" customHeight="1">
      <c r="A1250" s="110"/>
      <c r="B1250" s="125">
        <v>46202</v>
      </c>
      <c r="C1250" s="126" t="s">
        <v>247</v>
      </c>
      <c r="D1250" s="15" t="s">
        <v>221</v>
      </c>
      <c r="E1250" s="10" t="str">
        <f>TRIM(VLOOKUP(D1250,TB!$B$9:$C$1500,2,FALSE))</f>
        <v>COS - Promotor Fees Other</v>
      </c>
      <c r="F1250" s="173" t="s">
        <v>248</v>
      </c>
      <c r="G1250" s="130"/>
      <c r="H1250" s="157">
        <f>I1251*20%</f>
        <v>59600</v>
      </c>
      <c r="I1250" s="10"/>
      <c r="J1250" s="79" t="e">
        <f t="shared" si="24"/>
        <v>#VALUE!</v>
      </c>
      <c r="K1250" s="106"/>
      <c r="L1250" s="107"/>
      <c r="M1250" s="106"/>
      <c r="N1250" s="106"/>
      <c r="O1250" s="108"/>
      <c r="P1250" s="108"/>
      <c r="Q1250" s="108"/>
      <c r="R1250" s="109"/>
      <c r="S1250" s="109"/>
      <c r="T1250" s="108"/>
      <c r="U1250" s="110"/>
      <c r="V1250" s="110"/>
      <c r="W1250" s="110"/>
      <c r="X1250" s="110"/>
    </row>
    <row r="1251" spans="1:24" ht="14.25" customHeight="1">
      <c r="A1251" s="110"/>
      <c r="B1251" s="125">
        <v>46202</v>
      </c>
      <c r="C1251" s="126" t="s">
        <v>247</v>
      </c>
      <c r="D1251" s="15" t="s">
        <v>67</v>
      </c>
      <c r="E1251" s="10" t="str">
        <f>TRIM(VLOOKUP(D1251,TB!$B$9:$C$1500,2,FALSE))</f>
        <v>GRAB / OVO</v>
      </c>
      <c r="F1251" s="173" t="s">
        <v>248</v>
      </c>
      <c r="G1251" s="130"/>
      <c r="H1251" s="10"/>
      <c r="I1251" s="10">
        <v>298000</v>
      </c>
      <c r="J1251" s="79" t="e">
        <f t="shared" si="24"/>
        <v>#VALUE!</v>
      </c>
      <c r="K1251" s="106"/>
      <c r="L1251" s="107"/>
      <c r="M1251" s="106"/>
      <c r="N1251" s="106"/>
      <c r="O1251" s="108"/>
      <c r="P1251" s="108"/>
      <c r="Q1251" s="108"/>
      <c r="R1251" s="109"/>
      <c r="S1251" s="109"/>
      <c r="T1251" s="108"/>
      <c r="U1251" s="110"/>
      <c r="V1251" s="110"/>
      <c r="W1251" s="110"/>
      <c r="X1251" s="110"/>
    </row>
    <row r="1252" spans="1:24" ht="14.25" customHeight="1">
      <c r="A1252" s="110"/>
      <c r="B1252" s="125"/>
      <c r="C1252" s="126"/>
      <c r="D1252" s="174"/>
      <c r="E1252" s="10" t="e">
        <f>TRIM(VLOOKUP(D1252,TB!$B$9:$C$1500,2,FALSE))</f>
        <v>#N/A</v>
      </c>
      <c r="F1252" s="173"/>
      <c r="G1252" s="130"/>
      <c r="H1252" s="10"/>
      <c r="I1252" s="10"/>
      <c r="J1252" s="79" t="e">
        <f t="shared" si="24"/>
        <v>#VALUE!</v>
      </c>
      <c r="K1252" s="106"/>
      <c r="L1252" s="107"/>
      <c r="M1252" s="106"/>
      <c r="N1252" s="106"/>
      <c r="O1252" s="108"/>
      <c r="P1252" s="108"/>
      <c r="Q1252" s="108"/>
      <c r="R1252" s="109"/>
      <c r="S1252" s="109"/>
      <c r="T1252" s="108"/>
      <c r="U1252" s="110"/>
      <c r="V1252" s="110"/>
      <c r="W1252" s="110"/>
      <c r="X1252" s="110"/>
    </row>
    <row r="1253" spans="1:24" ht="14.25" customHeight="1">
      <c r="A1253" s="110"/>
      <c r="B1253" s="125">
        <v>46203</v>
      </c>
      <c r="C1253" s="126" t="s">
        <v>249</v>
      </c>
      <c r="D1253" s="68" t="s">
        <v>158</v>
      </c>
      <c r="E1253" s="10" t="str">
        <f>TRIM(VLOOKUP(D1253,TB!$B$9:$C$1500,2,FALSE))</f>
        <v>Mandiri TBB IDR</v>
      </c>
      <c r="F1253" s="142" t="s">
        <v>223</v>
      </c>
      <c r="G1253" s="130"/>
      <c r="H1253" s="10">
        <v>1000000</v>
      </c>
      <c r="I1253" s="10"/>
      <c r="J1253" s="79" t="e">
        <f t="shared" si="24"/>
        <v>#VALUE!</v>
      </c>
      <c r="K1253" s="106"/>
      <c r="L1253" s="107"/>
      <c r="M1253" s="106"/>
      <c r="N1253" s="106"/>
      <c r="O1253" s="108"/>
      <c r="P1253" s="108"/>
      <c r="Q1253" s="108"/>
      <c r="R1253" s="109"/>
      <c r="S1253" s="109"/>
      <c r="T1253" s="108"/>
      <c r="U1253" s="110"/>
      <c r="V1253" s="110"/>
      <c r="W1253" s="110"/>
      <c r="X1253" s="110"/>
    </row>
    <row r="1254" spans="1:24" ht="14.25" customHeight="1">
      <c r="A1254" s="110"/>
      <c r="B1254" s="125">
        <v>46203</v>
      </c>
      <c r="C1254" s="126" t="s">
        <v>249</v>
      </c>
      <c r="D1254" s="68" t="s">
        <v>219</v>
      </c>
      <c r="E1254" s="10" t="str">
        <f>TRIM(VLOOKUP(D1254,TB!$B$9:$C$1500,2,FALSE))</f>
        <v>Mandiri GRAB</v>
      </c>
      <c r="F1254" s="142" t="s">
        <v>223</v>
      </c>
      <c r="G1254" s="130"/>
      <c r="H1254" s="10"/>
      <c r="I1254" s="10">
        <v>1000000</v>
      </c>
      <c r="J1254" s="79" t="e">
        <f t="shared" si="24"/>
        <v>#VALUE!</v>
      </c>
      <c r="K1254" s="106"/>
      <c r="L1254" s="107"/>
      <c r="M1254" s="106"/>
      <c r="N1254" s="106"/>
      <c r="O1254" s="108"/>
      <c r="P1254" s="108"/>
      <c r="Q1254" s="108"/>
      <c r="R1254" s="109"/>
      <c r="S1254" s="109"/>
      <c r="T1254" s="108"/>
      <c r="U1254" s="110"/>
      <c r="V1254" s="110"/>
      <c r="W1254" s="110"/>
      <c r="X1254" s="110"/>
    </row>
    <row r="1255" spans="1:24" ht="14.25" customHeight="1">
      <c r="A1255" s="110"/>
      <c r="B1255" s="125"/>
      <c r="C1255" s="126"/>
      <c r="D1255" s="15"/>
      <c r="E1255" s="10" t="e">
        <f>TRIM(VLOOKUP(D1255,TB!$B$9:$C$1500,2,FALSE))</f>
        <v>#N/A</v>
      </c>
      <c r="F1255" s="173"/>
      <c r="G1255" s="130"/>
      <c r="H1255" s="10"/>
      <c r="I1255" s="10"/>
      <c r="J1255" s="79" t="e">
        <f t="shared" si="24"/>
        <v>#VALUE!</v>
      </c>
      <c r="K1255" s="106"/>
      <c r="L1255" s="107"/>
      <c r="M1255" s="106"/>
      <c r="N1255" s="106"/>
      <c r="O1255" s="108"/>
      <c r="P1255" s="108"/>
      <c r="Q1255" s="108"/>
      <c r="R1255" s="109"/>
      <c r="S1255" s="109"/>
      <c r="T1255" s="108"/>
      <c r="U1255" s="110"/>
      <c r="V1255" s="110"/>
      <c r="W1255" s="110"/>
      <c r="X1255" s="110"/>
    </row>
    <row r="1256" spans="1:24" ht="14.25" customHeight="1">
      <c r="A1256" s="110"/>
      <c r="B1256" s="125">
        <v>46203</v>
      </c>
      <c r="C1256" s="126" t="s">
        <v>250</v>
      </c>
      <c r="D1256" s="68" t="s">
        <v>219</v>
      </c>
      <c r="E1256" s="10" t="str">
        <f>TRIM(VLOOKUP(D1256,TB!$B$9:$C$1500,2,FALSE))</f>
        <v>Mandiri GRAB</v>
      </c>
      <c r="F1256" s="173" t="s">
        <v>251</v>
      </c>
      <c r="G1256" s="130"/>
      <c r="H1256" s="10">
        <v>873450</v>
      </c>
      <c r="I1256" s="10"/>
      <c r="J1256" s="79" t="e">
        <f t="shared" si="24"/>
        <v>#VALUE!</v>
      </c>
      <c r="K1256" s="106"/>
      <c r="L1256" s="107"/>
      <c r="M1256" s="106"/>
      <c r="N1256" s="106"/>
      <c r="O1256" s="108"/>
      <c r="P1256" s="108"/>
      <c r="Q1256" s="108"/>
      <c r="R1256" s="109"/>
      <c r="S1256" s="109"/>
      <c r="T1256" s="108"/>
      <c r="U1256" s="110"/>
      <c r="V1256" s="110"/>
      <c r="W1256" s="110"/>
      <c r="X1256" s="110"/>
    </row>
    <row r="1257" spans="1:24" ht="14.25" customHeight="1">
      <c r="A1257" s="110"/>
      <c r="B1257" s="125">
        <v>46203</v>
      </c>
      <c r="C1257" s="126" t="s">
        <v>250</v>
      </c>
      <c r="D1257" s="68" t="s">
        <v>219</v>
      </c>
      <c r="E1257" s="10" t="str">
        <f>TRIM(VLOOKUP(D1257,TB!$B$9:$C$1500,2,FALSE))</f>
        <v>Mandiri GRAB</v>
      </c>
      <c r="F1257" s="173" t="s">
        <v>252</v>
      </c>
      <c r="G1257" s="130"/>
      <c r="H1257" s="10">
        <v>41505</v>
      </c>
      <c r="I1257" s="10"/>
      <c r="J1257" s="79" t="e">
        <f t="shared" si="24"/>
        <v>#VALUE!</v>
      </c>
      <c r="K1257" s="106"/>
      <c r="L1257" s="107"/>
      <c r="M1257" s="106"/>
      <c r="N1257" s="106"/>
      <c r="O1257" s="108"/>
      <c r="P1257" s="108"/>
      <c r="Q1257" s="108"/>
      <c r="R1257" s="109"/>
      <c r="S1257" s="109"/>
      <c r="T1257" s="108"/>
      <c r="U1257" s="110"/>
      <c r="V1257" s="110"/>
      <c r="W1257" s="110"/>
      <c r="X1257" s="110"/>
    </row>
    <row r="1258" spans="1:24" ht="14.25" customHeight="1">
      <c r="A1258" s="110"/>
      <c r="B1258" s="125">
        <v>46203</v>
      </c>
      <c r="C1258" s="126" t="s">
        <v>250</v>
      </c>
      <c r="D1258" s="68" t="s">
        <v>219</v>
      </c>
      <c r="E1258" s="10" t="str">
        <f>TRIM(VLOOKUP(D1258,TB!$B$9:$C$1500,2,FALSE))</f>
        <v>Mandiri GRAB</v>
      </c>
      <c r="F1258" s="173" t="s">
        <v>253</v>
      </c>
      <c r="G1258" s="130"/>
      <c r="H1258" s="10">
        <v>170632</v>
      </c>
      <c r="I1258" s="10"/>
      <c r="J1258" s="79" t="e">
        <f t="shared" si="24"/>
        <v>#VALUE!</v>
      </c>
      <c r="K1258" s="106"/>
      <c r="L1258" s="107"/>
      <c r="M1258" s="106"/>
      <c r="N1258" s="106"/>
      <c r="O1258" s="108"/>
      <c r="P1258" s="108"/>
      <c r="Q1258" s="108"/>
      <c r="R1258" s="109"/>
      <c r="S1258" s="109"/>
      <c r="T1258" s="108"/>
      <c r="U1258" s="110"/>
      <c r="V1258" s="110"/>
      <c r="W1258" s="110"/>
      <c r="X1258" s="110"/>
    </row>
    <row r="1259" spans="1:24" ht="14.25" customHeight="1">
      <c r="A1259" s="110"/>
      <c r="B1259" s="125">
        <v>46203</v>
      </c>
      <c r="C1259" s="126" t="s">
        <v>250</v>
      </c>
      <c r="D1259" s="68" t="s">
        <v>219</v>
      </c>
      <c r="E1259" s="10" t="str">
        <f>TRIM(VLOOKUP(D1259,TB!$B$9:$C$1500,2,FALSE))</f>
        <v>Mandiri GRAB</v>
      </c>
      <c r="F1259" s="173" t="s">
        <v>254</v>
      </c>
      <c r="G1259" s="130"/>
      <c r="H1259" s="10">
        <v>1977722</v>
      </c>
      <c r="I1259" s="10"/>
      <c r="J1259" s="79" t="e">
        <f t="shared" si="24"/>
        <v>#VALUE!</v>
      </c>
      <c r="K1259" s="106"/>
      <c r="L1259" s="107"/>
      <c r="M1259" s="106"/>
      <c r="N1259" s="106"/>
      <c r="O1259" s="108"/>
      <c r="P1259" s="108"/>
      <c r="Q1259" s="108"/>
      <c r="R1259" s="109"/>
      <c r="S1259" s="109"/>
      <c r="T1259" s="108"/>
      <c r="U1259" s="110"/>
      <c r="V1259" s="110"/>
      <c r="W1259" s="110"/>
      <c r="X1259" s="110"/>
    </row>
    <row r="1260" spans="1:24" ht="14.25" customHeight="1">
      <c r="A1260" s="110"/>
      <c r="B1260" s="125">
        <v>46203</v>
      </c>
      <c r="C1260" s="126" t="s">
        <v>250</v>
      </c>
      <c r="D1260" s="68" t="s">
        <v>219</v>
      </c>
      <c r="E1260" s="10" t="str">
        <f>TRIM(VLOOKUP(D1260,TB!$B$9:$C$1500,2,FALSE))</f>
        <v>Mandiri GRAB</v>
      </c>
      <c r="F1260" s="173" t="s">
        <v>255</v>
      </c>
      <c r="G1260" s="130"/>
      <c r="H1260" s="10">
        <v>353254</v>
      </c>
      <c r="I1260" s="10"/>
      <c r="J1260" s="79" t="e">
        <f t="shared" si="24"/>
        <v>#VALUE!</v>
      </c>
      <c r="K1260" s="106"/>
      <c r="L1260" s="107"/>
      <c r="M1260" s="106"/>
      <c r="N1260" s="106"/>
      <c r="O1260" s="108"/>
      <c r="P1260" s="108"/>
      <c r="Q1260" s="108"/>
      <c r="R1260" s="109"/>
      <c r="S1260" s="109"/>
      <c r="T1260" s="108"/>
      <c r="U1260" s="110"/>
      <c r="V1260" s="110"/>
      <c r="W1260" s="110"/>
      <c r="X1260" s="110"/>
    </row>
    <row r="1261" spans="1:24" ht="14.25" customHeight="1">
      <c r="A1261" s="110"/>
      <c r="B1261" s="125">
        <v>46203</v>
      </c>
      <c r="C1261" s="126" t="s">
        <v>250</v>
      </c>
      <c r="D1261" s="68" t="s">
        <v>219</v>
      </c>
      <c r="E1261" s="10" t="str">
        <f>TRIM(VLOOKUP(D1261,TB!$B$9:$C$1500,2,FALSE))</f>
        <v>Mandiri GRAB</v>
      </c>
      <c r="F1261" s="173" t="s">
        <v>256</v>
      </c>
      <c r="G1261" s="130"/>
      <c r="H1261" s="10">
        <v>720343</v>
      </c>
      <c r="I1261" s="10"/>
      <c r="J1261" s="79" t="e">
        <f t="shared" si="24"/>
        <v>#VALUE!</v>
      </c>
      <c r="K1261" s="106"/>
      <c r="L1261" s="107"/>
      <c r="M1261" s="106"/>
      <c r="N1261" s="106"/>
      <c r="O1261" s="108"/>
      <c r="P1261" s="108"/>
      <c r="Q1261" s="108"/>
      <c r="R1261" s="109"/>
      <c r="S1261" s="109"/>
      <c r="T1261" s="108"/>
      <c r="U1261" s="110"/>
      <c r="V1261" s="110"/>
      <c r="W1261" s="110"/>
      <c r="X1261" s="110"/>
    </row>
    <row r="1262" spans="1:24" ht="14.25" customHeight="1">
      <c r="A1262" s="110"/>
      <c r="B1262" s="125">
        <v>46203</v>
      </c>
      <c r="C1262" s="126" t="s">
        <v>250</v>
      </c>
      <c r="D1262" s="68" t="s">
        <v>219</v>
      </c>
      <c r="E1262" s="10" t="str">
        <f>TRIM(VLOOKUP(D1262,TB!$B$9:$C$1500,2,FALSE))</f>
        <v>Mandiri GRAB</v>
      </c>
      <c r="F1262" s="173" t="s">
        <v>257</v>
      </c>
      <c r="G1262" s="130"/>
      <c r="H1262" s="10">
        <v>242574</v>
      </c>
      <c r="I1262" s="10"/>
      <c r="J1262" s="79" t="e">
        <f t="shared" si="24"/>
        <v>#VALUE!</v>
      </c>
      <c r="K1262" s="106"/>
      <c r="L1262" s="107"/>
      <c r="M1262" s="106"/>
      <c r="N1262" s="106"/>
      <c r="O1262" s="108"/>
      <c r="P1262" s="108"/>
      <c r="Q1262" s="108"/>
      <c r="R1262" s="109"/>
      <c r="S1262" s="109"/>
      <c r="T1262" s="108"/>
      <c r="U1262" s="110"/>
      <c r="V1262" s="110"/>
      <c r="W1262" s="110"/>
      <c r="X1262" s="110"/>
    </row>
    <row r="1263" spans="1:24" ht="14.25" customHeight="1">
      <c r="A1263" s="110"/>
      <c r="B1263" s="125">
        <v>46203</v>
      </c>
      <c r="C1263" s="126" t="s">
        <v>250</v>
      </c>
      <c r="D1263" s="68" t="s">
        <v>219</v>
      </c>
      <c r="E1263" s="10" t="str">
        <f>TRIM(VLOOKUP(D1263,TB!$B$9:$C$1500,2,FALSE))</f>
        <v>Mandiri GRAB</v>
      </c>
      <c r="F1263" s="173" t="s">
        <v>258</v>
      </c>
      <c r="G1263" s="130"/>
      <c r="H1263" s="10">
        <v>409600</v>
      </c>
      <c r="I1263" s="10"/>
      <c r="J1263" s="79" t="e">
        <f t="shared" si="24"/>
        <v>#VALUE!</v>
      </c>
      <c r="K1263" s="106"/>
      <c r="L1263" s="107"/>
      <c r="M1263" s="106"/>
      <c r="N1263" s="106"/>
      <c r="O1263" s="108"/>
      <c r="P1263" s="108"/>
      <c r="Q1263" s="108"/>
      <c r="R1263" s="109"/>
      <c r="S1263" s="109"/>
      <c r="T1263" s="108"/>
      <c r="U1263" s="110"/>
      <c r="V1263" s="110"/>
      <c r="W1263" s="110"/>
      <c r="X1263" s="110"/>
    </row>
    <row r="1264" spans="1:24" ht="14.25" customHeight="1">
      <c r="A1264" s="110"/>
      <c r="B1264" s="125">
        <v>46203</v>
      </c>
      <c r="C1264" s="126" t="s">
        <v>250</v>
      </c>
      <c r="D1264" s="68" t="s">
        <v>219</v>
      </c>
      <c r="E1264" s="10" t="str">
        <f>TRIM(VLOOKUP(D1264,TB!$B$9:$C$1500,2,FALSE))</f>
        <v>Mandiri GRAB</v>
      </c>
      <c r="F1264" s="173" t="s">
        <v>259</v>
      </c>
      <c r="G1264" s="130"/>
      <c r="H1264" s="10">
        <v>181493</v>
      </c>
      <c r="I1264" s="10"/>
      <c r="J1264" s="79" t="e">
        <f t="shared" si="24"/>
        <v>#VALUE!</v>
      </c>
      <c r="K1264" s="106"/>
      <c r="L1264" s="107"/>
      <c r="M1264" s="106"/>
      <c r="N1264" s="106"/>
      <c r="O1264" s="108"/>
      <c r="P1264" s="108"/>
      <c r="Q1264" s="108"/>
      <c r="R1264" s="109"/>
      <c r="S1264" s="109"/>
      <c r="T1264" s="108"/>
      <c r="U1264" s="110"/>
      <c r="V1264" s="110"/>
      <c r="W1264" s="110"/>
      <c r="X1264" s="110"/>
    </row>
    <row r="1265" spans="1:24" ht="14.25" customHeight="1">
      <c r="A1265" s="110"/>
      <c r="B1265" s="125">
        <v>46203</v>
      </c>
      <c r="C1265" s="126" t="s">
        <v>250</v>
      </c>
      <c r="D1265" s="68" t="s">
        <v>175</v>
      </c>
      <c r="E1265" s="10" t="str">
        <f>TRIM(VLOOKUP(D1265,TB!$B$9:$C$1500,2,FALSE))</f>
        <v>Intercompany Receivable – Treasury StarPOINTS</v>
      </c>
      <c r="F1265" s="173" t="s">
        <v>260</v>
      </c>
      <c r="G1265" s="130"/>
      <c r="H1265" s="10"/>
      <c r="I1265" s="10">
        <v>873450</v>
      </c>
      <c r="J1265" s="79" t="e">
        <f t="shared" si="24"/>
        <v>#VALUE!</v>
      </c>
      <c r="K1265" s="106"/>
      <c r="L1265" s="107"/>
      <c r="M1265" s="106"/>
      <c r="N1265" s="106"/>
      <c r="O1265" s="108"/>
      <c r="P1265" s="108"/>
      <c r="Q1265" s="108"/>
      <c r="R1265" s="109"/>
      <c r="S1265" s="109"/>
      <c r="T1265" s="108"/>
      <c r="U1265" s="110"/>
      <c r="V1265" s="110"/>
      <c r="W1265" s="110"/>
      <c r="X1265" s="110"/>
    </row>
    <row r="1266" spans="1:24" ht="14.25" customHeight="1">
      <c r="A1266" s="110"/>
      <c r="B1266" s="125">
        <v>46203</v>
      </c>
      <c r="C1266" s="126" t="s">
        <v>250</v>
      </c>
      <c r="D1266" s="68" t="s">
        <v>175</v>
      </c>
      <c r="E1266" s="10" t="str">
        <f>TRIM(VLOOKUP(D1266,TB!$B$9:$C$1500,2,FALSE))</f>
        <v>Intercompany Receivable – Treasury StarPOINTS</v>
      </c>
      <c r="F1266" s="173" t="s">
        <v>261</v>
      </c>
      <c r="G1266" s="130"/>
      <c r="H1266" s="10"/>
      <c r="I1266" s="10">
        <v>41505</v>
      </c>
      <c r="J1266" s="79" t="e">
        <f t="shared" si="24"/>
        <v>#VALUE!</v>
      </c>
      <c r="K1266" s="106"/>
      <c r="L1266" s="107"/>
      <c r="M1266" s="106"/>
      <c r="N1266" s="106"/>
      <c r="O1266" s="108"/>
      <c r="P1266" s="108"/>
      <c r="Q1266" s="108"/>
      <c r="R1266" s="109"/>
      <c r="S1266" s="109"/>
      <c r="T1266" s="108"/>
      <c r="U1266" s="110"/>
      <c r="V1266" s="110"/>
      <c r="W1266" s="110"/>
      <c r="X1266" s="110"/>
    </row>
    <row r="1267" spans="1:24" ht="14.25" customHeight="1">
      <c r="A1267" s="110"/>
      <c r="B1267" s="125">
        <v>46203</v>
      </c>
      <c r="C1267" s="126" t="s">
        <v>250</v>
      </c>
      <c r="D1267" s="68" t="s">
        <v>175</v>
      </c>
      <c r="E1267" s="10" t="str">
        <f>TRIM(VLOOKUP(D1267,TB!$B$9:$C$1500,2,FALSE))</f>
        <v>Intercompany Receivable – Treasury StarPOINTS</v>
      </c>
      <c r="F1267" s="173" t="s">
        <v>262</v>
      </c>
      <c r="G1267" s="130"/>
      <c r="H1267" s="10"/>
      <c r="I1267" s="10">
        <v>170632</v>
      </c>
      <c r="J1267" s="79" t="e">
        <f t="shared" si="24"/>
        <v>#VALUE!</v>
      </c>
      <c r="K1267" s="106"/>
      <c r="L1267" s="107"/>
      <c r="M1267" s="106"/>
      <c r="N1267" s="106"/>
      <c r="O1267" s="108"/>
      <c r="P1267" s="108"/>
      <c r="Q1267" s="108"/>
      <c r="R1267" s="109"/>
      <c r="S1267" s="109"/>
      <c r="T1267" s="108"/>
      <c r="U1267" s="110"/>
      <c r="V1267" s="110"/>
      <c r="W1267" s="110"/>
      <c r="X1267" s="110"/>
    </row>
    <row r="1268" spans="1:24" ht="14.25" customHeight="1">
      <c r="A1268" s="110"/>
      <c r="B1268" s="125">
        <v>46203</v>
      </c>
      <c r="C1268" s="126" t="s">
        <v>250</v>
      </c>
      <c r="D1268" s="68" t="s">
        <v>175</v>
      </c>
      <c r="E1268" s="10" t="str">
        <f>TRIM(VLOOKUP(D1268,TB!$B$9:$C$1500,2,FALSE))</f>
        <v>Intercompany Receivable – Treasury StarPOINTS</v>
      </c>
      <c r="F1268" s="173" t="s">
        <v>263</v>
      </c>
      <c r="G1268" s="130"/>
      <c r="H1268" s="10"/>
      <c r="I1268" s="10">
        <v>1977722</v>
      </c>
      <c r="J1268" s="79" t="e">
        <f t="shared" si="24"/>
        <v>#VALUE!</v>
      </c>
      <c r="K1268" s="106"/>
      <c r="L1268" s="107"/>
      <c r="M1268" s="106"/>
      <c r="N1268" s="106"/>
      <c r="O1268" s="108"/>
      <c r="P1268" s="108"/>
      <c r="Q1268" s="108"/>
      <c r="R1268" s="109"/>
      <c r="S1268" s="109"/>
      <c r="T1268" s="108"/>
      <c r="U1268" s="110"/>
      <c r="V1268" s="110"/>
      <c r="W1268" s="110"/>
      <c r="X1268" s="110"/>
    </row>
    <row r="1269" spans="1:24" ht="14.25" customHeight="1">
      <c r="A1269" s="110"/>
      <c r="B1269" s="125">
        <v>46203</v>
      </c>
      <c r="C1269" s="126" t="s">
        <v>250</v>
      </c>
      <c r="D1269" s="68" t="s">
        <v>175</v>
      </c>
      <c r="E1269" s="10" t="str">
        <f>TRIM(VLOOKUP(D1269,TB!$B$9:$C$1500,2,FALSE))</f>
        <v>Intercompany Receivable – Treasury StarPOINTS</v>
      </c>
      <c r="F1269" s="173" t="s">
        <v>264</v>
      </c>
      <c r="G1269" s="130"/>
      <c r="H1269" s="10"/>
      <c r="I1269" s="10">
        <v>353254</v>
      </c>
      <c r="J1269" s="79" t="e">
        <f t="shared" si="24"/>
        <v>#VALUE!</v>
      </c>
      <c r="K1269" s="106"/>
      <c r="L1269" s="107"/>
      <c r="M1269" s="106"/>
      <c r="N1269" s="106"/>
      <c r="O1269" s="108"/>
      <c r="P1269" s="108"/>
      <c r="Q1269" s="108"/>
      <c r="R1269" s="109"/>
      <c r="S1269" s="109"/>
      <c r="T1269" s="108"/>
      <c r="U1269" s="110"/>
      <c r="V1269" s="110"/>
      <c r="W1269" s="110"/>
      <c r="X1269" s="110"/>
    </row>
    <row r="1270" spans="1:24" ht="14.25" customHeight="1">
      <c r="A1270" s="110"/>
      <c r="B1270" s="125">
        <v>46203</v>
      </c>
      <c r="C1270" s="126" t="s">
        <v>250</v>
      </c>
      <c r="D1270" s="68" t="s">
        <v>175</v>
      </c>
      <c r="E1270" s="10" t="str">
        <f>TRIM(VLOOKUP(D1270,TB!$B$9:$C$1500,2,FALSE))</f>
        <v>Intercompany Receivable – Treasury StarPOINTS</v>
      </c>
      <c r="F1270" s="173" t="s">
        <v>265</v>
      </c>
      <c r="G1270" s="130"/>
      <c r="H1270" s="10"/>
      <c r="I1270" s="10">
        <v>720343</v>
      </c>
      <c r="J1270" s="79" t="e">
        <f t="shared" si="24"/>
        <v>#VALUE!</v>
      </c>
      <c r="K1270" s="106"/>
      <c r="L1270" s="107"/>
      <c r="M1270" s="106"/>
      <c r="N1270" s="106"/>
      <c r="O1270" s="108"/>
      <c r="P1270" s="108"/>
      <c r="Q1270" s="108"/>
      <c r="R1270" s="109"/>
      <c r="S1270" s="109"/>
      <c r="T1270" s="108"/>
      <c r="U1270" s="110"/>
      <c r="V1270" s="110"/>
      <c r="W1270" s="110"/>
      <c r="X1270" s="110"/>
    </row>
    <row r="1271" spans="1:24" ht="14.25" customHeight="1">
      <c r="A1271" s="110"/>
      <c r="B1271" s="125">
        <v>46203</v>
      </c>
      <c r="C1271" s="126" t="s">
        <v>250</v>
      </c>
      <c r="D1271" s="68" t="s">
        <v>175</v>
      </c>
      <c r="E1271" s="10" t="str">
        <f>TRIM(VLOOKUP(D1271,TB!$B$9:$C$1500,2,FALSE))</f>
        <v>Intercompany Receivable – Treasury StarPOINTS</v>
      </c>
      <c r="F1271" s="173" t="s">
        <v>266</v>
      </c>
      <c r="G1271" s="130"/>
      <c r="H1271" s="10"/>
      <c r="I1271" s="10">
        <v>242574</v>
      </c>
      <c r="J1271" s="79" t="e">
        <f t="shared" si="24"/>
        <v>#VALUE!</v>
      </c>
      <c r="K1271" s="106"/>
      <c r="L1271" s="107"/>
      <c r="M1271" s="106"/>
      <c r="N1271" s="106"/>
      <c r="O1271" s="108"/>
      <c r="P1271" s="108"/>
      <c r="Q1271" s="108"/>
      <c r="R1271" s="109"/>
      <c r="S1271" s="109"/>
      <c r="T1271" s="108"/>
      <c r="U1271" s="110"/>
      <c r="V1271" s="110"/>
      <c r="W1271" s="110"/>
      <c r="X1271" s="110"/>
    </row>
    <row r="1272" spans="1:24" ht="14.25" customHeight="1">
      <c r="A1272" s="110"/>
      <c r="B1272" s="125">
        <v>46203</v>
      </c>
      <c r="C1272" s="126" t="s">
        <v>250</v>
      </c>
      <c r="D1272" s="68" t="s">
        <v>175</v>
      </c>
      <c r="E1272" s="10" t="str">
        <f>TRIM(VLOOKUP(D1272,TB!$B$9:$C$1500,2,FALSE))</f>
        <v>Intercompany Receivable – Treasury StarPOINTS</v>
      </c>
      <c r="F1272" s="173" t="s">
        <v>267</v>
      </c>
      <c r="G1272" s="130"/>
      <c r="H1272" s="10"/>
      <c r="I1272" s="10">
        <v>409600</v>
      </c>
      <c r="J1272" s="79" t="e">
        <f t="shared" si="24"/>
        <v>#VALUE!</v>
      </c>
      <c r="K1272" s="106"/>
      <c r="L1272" s="107"/>
      <c r="M1272" s="106"/>
      <c r="N1272" s="106"/>
      <c r="O1272" s="108"/>
      <c r="P1272" s="108"/>
      <c r="Q1272" s="108"/>
      <c r="R1272" s="109"/>
      <c r="S1272" s="109"/>
      <c r="T1272" s="108"/>
      <c r="U1272" s="110"/>
      <c r="V1272" s="110"/>
      <c r="W1272" s="110"/>
      <c r="X1272" s="110"/>
    </row>
    <row r="1273" spans="1:24" ht="14.25" customHeight="1">
      <c r="A1273" s="110"/>
      <c r="B1273" s="125">
        <v>46203</v>
      </c>
      <c r="C1273" s="126" t="s">
        <v>250</v>
      </c>
      <c r="D1273" s="68" t="s">
        <v>175</v>
      </c>
      <c r="E1273" s="10" t="str">
        <f>TRIM(VLOOKUP(D1273,TB!$B$9:$C$1500,2,FALSE))</f>
        <v>Intercompany Receivable – Treasury StarPOINTS</v>
      </c>
      <c r="F1273" s="173" t="s">
        <v>268</v>
      </c>
      <c r="G1273" s="130"/>
      <c r="H1273" s="10"/>
      <c r="I1273" s="10">
        <v>181493</v>
      </c>
      <c r="J1273" s="79" t="e">
        <f t="shared" si="24"/>
        <v>#VALUE!</v>
      </c>
      <c r="K1273" s="106"/>
      <c r="L1273" s="107"/>
      <c r="M1273" s="106"/>
      <c r="N1273" s="106"/>
      <c r="O1273" s="108"/>
      <c r="P1273" s="108"/>
      <c r="Q1273" s="108"/>
      <c r="R1273" s="109"/>
      <c r="S1273" s="109"/>
      <c r="T1273" s="108"/>
      <c r="U1273" s="110"/>
      <c r="V1273" s="110"/>
      <c r="W1273" s="110"/>
      <c r="X1273" s="110"/>
    </row>
    <row r="1274" spans="1:24" ht="14.25" customHeight="1">
      <c r="A1274" s="110"/>
      <c r="B1274" s="125"/>
      <c r="C1274" s="126"/>
      <c r="D1274" s="15"/>
      <c r="E1274" s="10" t="e">
        <f>TRIM(VLOOKUP(D1274,TB!$B$9:$C$1500,2,FALSE))</f>
        <v>#N/A</v>
      </c>
      <c r="F1274" s="173"/>
      <c r="G1274" s="130"/>
      <c r="H1274" s="10"/>
      <c r="I1274" s="10"/>
      <c r="J1274" s="79" t="e">
        <f t="shared" si="24"/>
        <v>#VALUE!</v>
      </c>
      <c r="K1274" s="106"/>
      <c r="L1274" s="107"/>
      <c r="M1274" s="106"/>
      <c r="N1274" s="106"/>
      <c r="O1274" s="108"/>
      <c r="P1274" s="108"/>
      <c r="Q1274" s="108"/>
      <c r="R1274" s="109"/>
      <c r="S1274" s="109"/>
      <c r="T1274" s="108"/>
      <c r="U1274" s="110"/>
      <c r="V1274" s="110"/>
      <c r="W1274" s="110"/>
      <c r="X1274" s="110"/>
    </row>
    <row r="1275" spans="1:24" ht="14.25" customHeight="1">
      <c r="A1275" s="110"/>
      <c r="B1275" s="125">
        <v>46203</v>
      </c>
      <c r="C1275" s="126" t="s">
        <v>269</v>
      </c>
      <c r="D1275" s="15" t="s">
        <v>124</v>
      </c>
      <c r="E1275" s="10" t="str">
        <f>TRIM(VLOOKUP(D1275,TB!$B$9:$C$1500,2,FALSE))</f>
        <v>Bank charges</v>
      </c>
      <c r="F1275" s="173" t="s">
        <v>270</v>
      </c>
      <c r="G1275" s="130"/>
      <c r="H1275" s="10">
        <v>25000</v>
      </c>
      <c r="I1275" s="10"/>
      <c r="J1275" s="79" t="e">
        <f t="shared" si="24"/>
        <v>#VALUE!</v>
      </c>
      <c r="K1275" s="106"/>
      <c r="L1275" s="107"/>
      <c r="M1275" s="106"/>
      <c r="N1275" s="106"/>
      <c r="O1275" s="108"/>
      <c r="P1275" s="108"/>
      <c r="Q1275" s="108"/>
      <c r="R1275" s="109"/>
      <c r="S1275" s="109"/>
      <c r="T1275" s="108"/>
      <c r="U1275" s="110"/>
      <c r="V1275" s="110"/>
      <c r="W1275" s="110"/>
      <c r="X1275" s="110"/>
    </row>
    <row r="1276" spans="1:24" ht="14.25" customHeight="1">
      <c r="A1276" s="110"/>
      <c r="B1276" s="125">
        <v>46203</v>
      </c>
      <c r="C1276" s="126" t="s">
        <v>269</v>
      </c>
      <c r="D1276" s="68" t="s">
        <v>219</v>
      </c>
      <c r="E1276" s="10" t="str">
        <f>TRIM(VLOOKUP(D1276,TB!$B$9:$C$1500,2,FALSE))</f>
        <v>Mandiri GRAB</v>
      </c>
      <c r="F1276" s="173" t="s">
        <v>270</v>
      </c>
      <c r="G1276" s="130"/>
      <c r="H1276" s="10"/>
      <c r="I1276" s="10">
        <v>25000</v>
      </c>
      <c r="J1276" s="79" t="e">
        <f t="shared" si="24"/>
        <v>#VALUE!</v>
      </c>
      <c r="K1276" s="106"/>
      <c r="L1276" s="107"/>
      <c r="M1276" s="106"/>
      <c r="N1276" s="106"/>
      <c r="O1276" s="108"/>
      <c r="P1276" s="108"/>
      <c r="Q1276" s="108"/>
      <c r="R1276" s="109"/>
      <c r="S1276" s="109"/>
      <c r="T1276" s="108"/>
      <c r="U1276" s="110"/>
      <c r="V1276" s="110"/>
      <c r="W1276" s="110"/>
      <c r="X1276" s="110"/>
    </row>
    <row r="1277" spans="1:24" ht="14.25" customHeight="1">
      <c r="A1277" s="110"/>
      <c r="B1277" s="125"/>
      <c r="C1277" s="126"/>
      <c r="D1277" s="15"/>
      <c r="E1277" s="10" t="e">
        <f>TRIM(VLOOKUP(D1277,TB!$B$9:$C$1500,2,FALSE))</f>
        <v>#N/A</v>
      </c>
      <c r="F1277" s="173"/>
      <c r="G1277" s="130"/>
      <c r="H1277" s="10"/>
      <c r="I1277" s="10"/>
      <c r="J1277" s="79" t="e">
        <f t="shared" si="24"/>
        <v>#VALUE!</v>
      </c>
      <c r="K1277" s="106"/>
      <c r="L1277" s="107"/>
      <c r="M1277" s="106"/>
      <c r="N1277" s="106"/>
      <c r="O1277" s="108"/>
      <c r="P1277" s="108"/>
      <c r="Q1277" s="108"/>
      <c r="R1277" s="109"/>
      <c r="S1277" s="109"/>
      <c r="T1277" s="108"/>
      <c r="U1277" s="110"/>
      <c r="V1277" s="110"/>
      <c r="W1277" s="110"/>
      <c r="X1277" s="110"/>
    </row>
    <row r="1278" spans="1:24" ht="14.25" customHeight="1">
      <c r="A1278" s="110"/>
      <c r="B1278" s="125"/>
      <c r="C1278" s="126"/>
      <c r="D1278" s="15"/>
      <c r="E1278" s="10" t="e">
        <f>TRIM(VLOOKUP(D1278,TB!$B$9:$C$1500,2,FALSE))</f>
        <v>#N/A</v>
      </c>
      <c r="F1278" s="173"/>
      <c r="G1278" s="130"/>
      <c r="H1278" s="10"/>
      <c r="I1278" s="10"/>
      <c r="J1278" s="79" t="e">
        <f t="shared" si="24"/>
        <v>#VALUE!</v>
      </c>
      <c r="K1278" s="106"/>
      <c r="L1278" s="107"/>
      <c r="M1278" s="106"/>
      <c r="N1278" s="106"/>
      <c r="O1278" s="108"/>
      <c r="P1278" s="108"/>
      <c r="Q1278" s="108"/>
      <c r="R1278" s="109"/>
      <c r="S1278" s="109"/>
      <c r="T1278" s="108"/>
      <c r="U1278" s="110"/>
      <c r="V1278" s="110"/>
      <c r="W1278" s="110"/>
      <c r="X1278" s="110"/>
    </row>
    <row r="1279" spans="1:24" ht="14.25" customHeight="1">
      <c r="A1279" s="110"/>
      <c r="B1279" s="125"/>
      <c r="C1279" s="126"/>
      <c r="D1279" s="15"/>
      <c r="E1279" s="10" t="e">
        <f>TRIM(VLOOKUP(D1279,TB!$B$9:$C$1500,2,FALSE))</f>
        <v>#N/A</v>
      </c>
      <c r="F1279" s="173"/>
      <c r="G1279" s="130"/>
      <c r="H1279" s="10"/>
      <c r="I1279" s="10"/>
      <c r="J1279" s="79" t="e">
        <f t="shared" si="24"/>
        <v>#VALUE!</v>
      </c>
      <c r="K1279" s="106"/>
      <c r="L1279" s="107"/>
      <c r="M1279" s="106"/>
      <c r="N1279" s="106"/>
      <c r="O1279" s="108"/>
      <c r="P1279" s="108"/>
      <c r="Q1279" s="108"/>
      <c r="R1279" s="109"/>
      <c r="S1279" s="109"/>
      <c r="T1279" s="108"/>
      <c r="U1279" s="110"/>
      <c r="V1279" s="110"/>
      <c r="W1279" s="110"/>
      <c r="X1279" s="110"/>
    </row>
    <row r="1280" spans="1:24" ht="14.25" customHeight="1">
      <c r="A1280" s="110"/>
      <c r="B1280" s="162"/>
      <c r="C1280" s="163"/>
      <c r="D1280" s="164"/>
      <c r="E1280" s="165" t="e">
        <f>TRIM(VLOOKUP(D1280,TB!$B$9:$C$1500,2,FALSE))</f>
        <v>#N/A</v>
      </c>
      <c r="F1280" s="175"/>
      <c r="G1280" s="167"/>
      <c r="H1280" s="165"/>
      <c r="I1280" s="165"/>
      <c r="J1280" s="79" t="e">
        <f t="shared" si="24"/>
        <v>#VALUE!</v>
      </c>
      <c r="K1280" s="106"/>
      <c r="L1280" s="107"/>
      <c r="M1280" s="106"/>
      <c r="N1280" s="106"/>
      <c r="O1280" s="108"/>
      <c r="P1280" s="108"/>
      <c r="Q1280" s="108"/>
      <c r="R1280" s="109"/>
      <c r="S1280" s="109"/>
      <c r="T1280" s="108"/>
      <c r="U1280" s="110"/>
      <c r="V1280" s="110"/>
      <c r="W1280" s="110"/>
      <c r="X1280" s="110"/>
    </row>
    <row r="1281" spans="1:24" ht="14.25" customHeight="1">
      <c r="A1281" s="110"/>
      <c r="B1281" s="125"/>
      <c r="C1281" s="126"/>
      <c r="D1281" s="168"/>
      <c r="E1281" s="10" t="e">
        <f>TRIM(VLOOKUP(D1281,TB!$B$9:$C$1500,2,FALSE))</f>
        <v>#N/A</v>
      </c>
      <c r="F1281" s="173"/>
      <c r="G1281" s="130"/>
      <c r="H1281" s="10"/>
      <c r="I1281" s="10"/>
      <c r="J1281" s="79" t="e">
        <f t="shared" si="24"/>
        <v>#VALUE!</v>
      </c>
      <c r="K1281" s="106"/>
      <c r="L1281" s="107"/>
      <c r="M1281" s="106"/>
      <c r="N1281" s="106"/>
      <c r="O1281" s="108"/>
      <c r="P1281" s="108"/>
      <c r="Q1281" s="108"/>
      <c r="R1281" s="109"/>
      <c r="S1281" s="109"/>
      <c r="T1281" s="108"/>
      <c r="U1281" s="110"/>
      <c r="V1281" s="110"/>
      <c r="W1281" s="110"/>
      <c r="X1281" s="110"/>
    </row>
    <row r="1282" spans="1:24" ht="14.25" customHeight="1">
      <c r="A1282" s="110"/>
      <c r="B1282" s="125">
        <v>46174</v>
      </c>
      <c r="C1282" s="126" t="s">
        <v>271</v>
      </c>
      <c r="D1282" s="68" t="s">
        <v>130</v>
      </c>
      <c r="E1282" s="10" t="str">
        <f>TRIM(VLOOKUP(D1282,TB!$B$9:$C$1500,2,FALSE))</f>
        <v>BCA TBB</v>
      </c>
      <c r="F1282" s="173" t="s">
        <v>272</v>
      </c>
      <c r="G1282" s="130"/>
      <c r="H1282" s="157">
        <f>I1284-H1283</f>
        <v>25519489.32</v>
      </c>
      <c r="I1282" s="10"/>
      <c r="J1282" s="79" t="e">
        <f t="shared" si="24"/>
        <v>#VALUE!</v>
      </c>
      <c r="K1282" s="106"/>
      <c r="L1282" s="107"/>
      <c r="M1282" s="106"/>
      <c r="N1282" s="106"/>
      <c r="O1282" s="108"/>
      <c r="P1282" s="108"/>
      <c r="Q1282" s="108"/>
      <c r="R1282" s="109"/>
      <c r="S1282" s="109"/>
      <c r="T1282" s="108"/>
      <c r="U1282" s="110"/>
      <c r="V1282" s="110"/>
      <c r="W1282" s="110"/>
      <c r="X1282" s="110"/>
    </row>
    <row r="1283" spans="1:24" ht="14.25" customHeight="1">
      <c r="A1283" s="110"/>
      <c r="B1283" s="125">
        <v>46174</v>
      </c>
      <c r="C1283" s="126" t="s">
        <v>271</v>
      </c>
      <c r="D1283" s="15" t="s">
        <v>124</v>
      </c>
      <c r="E1283" s="10" t="str">
        <f>TRIM(VLOOKUP(D1283,TB!$B$9:$C$1500,2,FALSE))</f>
        <v>Bank charges</v>
      </c>
      <c r="F1283" s="173" t="s">
        <v>272</v>
      </c>
      <c r="G1283" s="130"/>
      <c r="H1283" s="157">
        <f>I1284*1.8%</f>
        <v>467770.68000000005</v>
      </c>
      <c r="I1283" s="10"/>
      <c r="J1283" s="79" t="e">
        <f t="shared" si="24"/>
        <v>#VALUE!</v>
      </c>
      <c r="K1283" s="106"/>
      <c r="L1283" s="107"/>
      <c r="M1283" s="106"/>
      <c r="N1283" s="106"/>
      <c r="O1283" s="108"/>
      <c r="P1283" s="108"/>
      <c r="Q1283" s="108"/>
      <c r="R1283" s="109"/>
      <c r="S1283" s="109"/>
      <c r="T1283" s="108"/>
      <c r="U1283" s="110"/>
      <c r="V1283" s="110"/>
      <c r="W1283" s="110"/>
      <c r="X1283" s="110"/>
    </row>
    <row r="1284" spans="1:24" ht="14.25" customHeight="1">
      <c r="A1284" s="110"/>
      <c r="B1284" s="125">
        <v>46174</v>
      </c>
      <c r="C1284" s="126" t="s">
        <v>271</v>
      </c>
      <c r="D1284" s="15" t="s">
        <v>42</v>
      </c>
      <c r="E1284" s="10" t="str">
        <f>TRIM(VLOOKUP(D1284,TB!$B$9:$C$1500,2,FALSE))</f>
        <v>BCA Card TBB</v>
      </c>
      <c r="F1284" s="173" t="s">
        <v>272</v>
      </c>
      <c r="G1284" s="130"/>
      <c r="H1284" s="10"/>
      <c r="I1284" s="10">
        <v>25987260</v>
      </c>
      <c r="J1284" s="79" t="e">
        <f t="shared" si="24"/>
        <v>#VALUE!</v>
      </c>
      <c r="K1284" s="106"/>
      <c r="L1284" s="107"/>
      <c r="M1284" s="106"/>
      <c r="N1284" s="106"/>
      <c r="O1284" s="108"/>
      <c r="P1284" s="108"/>
      <c r="Q1284" s="108"/>
      <c r="R1284" s="109"/>
      <c r="S1284" s="109"/>
      <c r="T1284" s="108"/>
      <c r="U1284" s="110"/>
      <c r="V1284" s="110"/>
      <c r="W1284" s="110"/>
      <c r="X1284" s="110"/>
    </row>
    <row r="1285" spans="1:24" ht="14.25" customHeight="1">
      <c r="A1285" s="110"/>
      <c r="B1285" s="125"/>
      <c r="C1285" s="126"/>
      <c r="D1285" s="15"/>
      <c r="E1285" s="10" t="e">
        <f>TRIM(VLOOKUP(D1285,TB!$B$9:$C$1500,2,FALSE))</f>
        <v>#N/A</v>
      </c>
      <c r="F1285" s="173"/>
      <c r="G1285" s="130"/>
      <c r="H1285" s="10"/>
      <c r="I1285" s="10"/>
      <c r="J1285" s="79" t="e">
        <f t="shared" si="24"/>
        <v>#VALUE!</v>
      </c>
      <c r="K1285" s="106"/>
      <c r="L1285" s="107"/>
      <c r="M1285" s="106"/>
      <c r="N1285" s="106"/>
      <c r="O1285" s="108"/>
      <c r="P1285" s="108"/>
      <c r="Q1285" s="108"/>
      <c r="R1285" s="109"/>
      <c r="S1285" s="109"/>
      <c r="T1285" s="108"/>
      <c r="U1285" s="110"/>
      <c r="V1285" s="110"/>
      <c r="W1285" s="110"/>
      <c r="X1285" s="110"/>
    </row>
    <row r="1286" spans="1:24" ht="14.25" customHeight="1">
      <c r="A1286" s="110"/>
      <c r="B1286" s="125">
        <v>46174</v>
      </c>
      <c r="C1286" s="126" t="s">
        <v>273</v>
      </c>
      <c r="D1286" s="68" t="s">
        <v>130</v>
      </c>
      <c r="E1286" s="10" t="str">
        <f>TRIM(VLOOKUP(D1286,TB!$B$9:$C$1500,2,FALSE))</f>
        <v>BCA TBB</v>
      </c>
      <c r="F1286" s="142" t="s">
        <v>274</v>
      </c>
      <c r="G1286" s="130"/>
      <c r="H1286" s="157">
        <f>I1288-H1287</f>
        <v>878418.64</v>
      </c>
      <c r="I1286" s="10"/>
      <c r="J1286" s="79" t="e">
        <f t="shared" si="24"/>
        <v>#VALUE!</v>
      </c>
      <c r="K1286" s="106"/>
      <c r="L1286" s="107"/>
      <c r="M1286" s="106"/>
      <c r="N1286" s="106"/>
      <c r="O1286" s="108"/>
      <c r="P1286" s="108"/>
      <c r="Q1286" s="108"/>
      <c r="R1286" s="109"/>
      <c r="S1286" s="109"/>
      <c r="T1286" s="108"/>
      <c r="U1286" s="110"/>
      <c r="V1286" s="110"/>
      <c r="W1286" s="110"/>
      <c r="X1286" s="110"/>
    </row>
    <row r="1287" spans="1:24" ht="14.25" customHeight="1">
      <c r="A1287" s="110"/>
      <c r="B1287" s="125">
        <v>46174</v>
      </c>
      <c r="C1287" s="126" t="s">
        <v>273</v>
      </c>
      <c r="D1287" s="15" t="s">
        <v>124</v>
      </c>
      <c r="E1287" s="10" t="str">
        <f>TRIM(VLOOKUP(D1287,TB!$B$9:$C$1500,2,FALSE))</f>
        <v>Bank charges</v>
      </c>
      <c r="F1287" s="142" t="s">
        <v>274</v>
      </c>
      <c r="G1287" s="130"/>
      <c r="H1287" s="157">
        <f>I1288*1.8%</f>
        <v>16101.360000000002</v>
      </c>
      <c r="I1287" s="10"/>
      <c r="J1287" s="79" t="e">
        <f t="shared" si="24"/>
        <v>#VALUE!</v>
      </c>
      <c r="K1287" s="106"/>
      <c r="L1287" s="107"/>
      <c r="M1287" s="106"/>
      <c r="N1287" s="106"/>
      <c r="O1287" s="108"/>
      <c r="P1287" s="108"/>
      <c r="Q1287" s="108"/>
      <c r="R1287" s="109"/>
      <c r="S1287" s="109"/>
      <c r="T1287" s="108"/>
      <c r="U1287" s="110"/>
      <c r="V1287" s="110"/>
      <c r="W1287" s="110"/>
      <c r="X1287" s="110"/>
    </row>
    <row r="1288" spans="1:24" ht="14.25" customHeight="1">
      <c r="A1288" s="110"/>
      <c r="B1288" s="125">
        <v>46174</v>
      </c>
      <c r="C1288" s="126" t="s">
        <v>273</v>
      </c>
      <c r="D1288" s="15" t="s">
        <v>42</v>
      </c>
      <c r="E1288" s="10" t="str">
        <f>TRIM(VLOOKUP(D1288,TB!$B$9:$C$1500,2,FALSE))</f>
        <v>BCA Card TBB</v>
      </c>
      <c r="F1288" s="142" t="s">
        <v>274</v>
      </c>
      <c r="G1288" s="130"/>
      <c r="H1288" s="10"/>
      <c r="I1288" s="10">
        <v>894520</v>
      </c>
      <c r="J1288" s="79" t="e">
        <f t="shared" si="24"/>
        <v>#VALUE!</v>
      </c>
      <c r="K1288" s="106"/>
      <c r="L1288" s="107"/>
      <c r="M1288" s="106"/>
      <c r="N1288" s="106"/>
      <c r="O1288" s="108"/>
      <c r="P1288" s="108"/>
      <c r="Q1288" s="108"/>
      <c r="R1288" s="109"/>
      <c r="S1288" s="109"/>
      <c r="T1288" s="108"/>
      <c r="U1288" s="110"/>
      <c r="V1288" s="110"/>
      <c r="W1288" s="110"/>
      <c r="X1288" s="110"/>
    </row>
    <row r="1289" spans="1:24" ht="14.25" customHeight="1">
      <c r="A1289" s="110"/>
      <c r="B1289" s="125"/>
      <c r="C1289" s="126"/>
      <c r="D1289" s="15"/>
      <c r="E1289" s="10" t="e">
        <f>TRIM(VLOOKUP(D1289,TB!$B$9:$C$1500,2,FALSE))</f>
        <v>#N/A</v>
      </c>
      <c r="F1289" s="173"/>
      <c r="G1289" s="130"/>
      <c r="H1289" s="10"/>
      <c r="I1289" s="10"/>
      <c r="J1289" s="79" t="e">
        <f t="shared" si="24"/>
        <v>#VALUE!</v>
      </c>
      <c r="K1289" s="106"/>
      <c r="L1289" s="107"/>
      <c r="M1289" s="106"/>
      <c r="N1289" s="106"/>
      <c r="O1289" s="108"/>
      <c r="P1289" s="108"/>
      <c r="Q1289" s="108"/>
      <c r="R1289" s="109"/>
      <c r="S1289" s="109"/>
      <c r="T1289" s="108"/>
      <c r="U1289" s="110"/>
      <c r="V1289" s="110"/>
      <c r="W1289" s="110"/>
      <c r="X1289" s="110"/>
    </row>
    <row r="1290" spans="1:24" ht="14.25" customHeight="1">
      <c r="A1290" s="110"/>
      <c r="B1290" s="125">
        <v>46174</v>
      </c>
      <c r="C1290" s="126" t="s">
        <v>275</v>
      </c>
      <c r="D1290" s="68" t="s">
        <v>130</v>
      </c>
      <c r="E1290" s="10" t="str">
        <f>TRIM(VLOOKUP(D1290,TB!$B$9:$C$1500,2,FALSE))</f>
        <v>BCA TBB</v>
      </c>
      <c r="F1290" s="173" t="s">
        <v>276</v>
      </c>
      <c r="G1290" s="130"/>
      <c r="H1290" s="157">
        <f>I1292-H1291</f>
        <v>11887105.09</v>
      </c>
      <c r="I1290" s="10"/>
      <c r="J1290" s="79" t="e">
        <f t="shared" si="24"/>
        <v>#VALUE!</v>
      </c>
      <c r="K1290" s="106"/>
      <c r="L1290" s="107"/>
      <c r="M1290" s="106"/>
      <c r="N1290" s="106"/>
      <c r="O1290" s="108"/>
      <c r="P1290" s="108"/>
      <c r="Q1290" s="108"/>
      <c r="R1290" s="109"/>
      <c r="S1290" s="109"/>
      <c r="T1290" s="108"/>
      <c r="U1290" s="110"/>
      <c r="V1290" s="110"/>
      <c r="W1290" s="110"/>
      <c r="X1290" s="110"/>
    </row>
    <row r="1291" spans="1:24" ht="14.25" customHeight="1">
      <c r="A1291" s="110"/>
      <c r="B1291" s="125">
        <v>46174</v>
      </c>
      <c r="C1291" s="126" t="s">
        <v>275</v>
      </c>
      <c r="D1291" s="15" t="s">
        <v>124</v>
      </c>
      <c r="E1291" s="10" t="str">
        <f>TRIM(VLOOKUP(D1291,TB!$B$9:$C$1500,2,FALSE))</f>
        <v>Bank charges</v>
      </c>
      <c r="F1291" s="173" t="s">
        <v>276</v>
      </c>
      <c r="G1291" s="130"/>
      <c r="H1291" s="157">
        <f>I1292*1.8%</f>
        <v>217889.91000000003</v>
      </c>
      <c r="I1291" s="10"/>
      <c r="J1291" s="79" t="e">
        <f t="shared" si="24"/>
        <v>#VALUE!</v>
      </c>
      <c r="K1291" s="106"/>
      <c r="L1291" s="107"/>
      <c r="M1291" s="106"/>
      <c r="N1291" s="106"/>
      <c r="O1291" s="108"/>
      <c r="P1291" s="108"/>
      <c r="Q1291" s="108"/>
      <c r="R1291" s="109"/>
      <c r="S1291" s="109"/>
      <c r="T1291" s="108"/>
      <c r="U1291" s="110"/>
      <c r="V1291" s="110"/>
      <c r="W1291" s="110"/>
      <c r="X1291" s="110"/>
    </row>
    <row r="1292" spans="1:24" ht="14.25" customHeight="1">
      <c r="A1292" s="110"/>
      <c r="B1292" s="125">
        <v>46174</v>
      </c>
      <c r="C1292" s="126" t="s">
        <v>275</v>
      </c>
      <c r="D1292" s="15" t="s">
        <v>42</v>
      </c>
      <c r="E1292" s="10" t="str">
        <f>TRIM(VLOOKUP(D1292,TB!$B$9:$C$1500,2,FALSE))</f>
        <v>BCA Card TBB</v>
      </c>
      <c r="F1292" s="173" t="s">
        <v>276</v>
      </c>
      <c r="G1292" s="130"/>
      <c r="H1292" s="10"/>
      <c r="I1292" s="10">
        <v>12104995</v>
      </c>
      <c r="J1292" s="79" t="e">
        <f t="shared" si="24"/>
        <v>#VALUE!</v>
      </c>
      <c r="K1292" s="106"/>
      <c r="L1292" s="107"/>
      <c r="M1292" s="106"/>
      <c r="N1292" s="106"/>
      <c r="O1292" s="108"/>
      <c r="P1292" s="108"/>
      <c r="Q1292" s="108"/>
      <c r="R1292" s="109"/>
      <c r="S1292" s="109"/>
      <c r="T1292" s="108"/>
      <c r="U1292" s="110"/>
      <c r="V1292" s="110"/>
      <c r="W1292" s="110"/>
      <c r="X1292" s="110"/>
    </row>
    <row r="1293" spans="1:24" ht="14.25" customHeight="1">
      <c r="A1293" s="110"/>
      <c r="B1293" s="125"/>
      <c r="C1293" s="126"/>
      <c r="D1293" s="15"/>
      <c r="E1293" s="10" t="e">
        <f>TRIM(VLOOKUP(D1293,TB!$B$9:$C$1500,2,FALSE))</f>
        <v>#N/A</v>
      </c>
      <c r="F1293" s="173"/>
      <c r="G1293" s="130"/>
      <c r="H1293" s="10"/>
      <c r="I1293" s="10"/>
      <c r="J1293" s="79" t="e">
        <f t="shared" si="24"/>
        <v>#VALUE!</v>
      </c>
      <c r="K1293" s="106"/>
      <c r="L1293" s="107"/>
      <c r="M1293" s="106"/>
      <c r="N1293" s="106"/>
      <c r="O1293" s="108"/>
      <c r="P1293" s="108"/>
      <c r="Q1293" s="108"/>
      <c r="R1293" s="109"/>
      <c r="S1293" s="109"/>
      <c r="T1293" s="108"/>
      <c r="U1293" s="110"/>
      <c r="V1293" s="110"/>
      <c r="W1293" s="110"/>
      <c r="X1293" s="110"/>
    </row>
    <row r="1294" spans="1:24" ht="14.25" customHeight="1">
      <c r="A1294" s="110"/>
      <c r="B1294" s="125">
        <v>46175</v>
      </c>
      <c r="C1294" s="126" t="s">
        <v>277</v>
      </c>
      <c r="D1294" s="68" t="s">
        <v>130</v>
      </c>
      <c r="E1294" s="10" t="str">
        <f>TRIM(VLOOKUP(D1294,TB!$B$9:$C$1500,2,FALSE))</f>
        <v>BCA TBB</v>
      </c>
      <c r="F1294" s="173" t="s">
        <v>278</v>
      </c>
      <c r="G1294" s="130"/>
      <c r="H1294" s="157">
        <f>I1296-H1295</f>
        <v>624139.56000000006</v>
      </c>
      <c r="I1294" s="10"/>
      <c r="J1294" s="79" t="e">
        <f t="shared" si="24"/>
        <v>#VALUE!</v>
      </c>
      <c r="K1294" s="106"/>
      <c r="L1294" s="107"/>
      <c r="M1294" s="106"/>
      <c r="N1294" s="106"/>
      <c r="O1294" s="108"/>
      <c r="P1294" s="108"/>
      <c r="Q1294" s="108"/>
      <c r="R1294" s="109"/>
      <c r="S1294" s="109"/>
      <c r="T1294" s="108"/>
      <c r="U1294" s="110"/>
      <c r="V1294" s="110"/>
      <c r="W1294" s="110"/>
      <c r="X1294" s="110"/>
    </row>
    <row r="1295" spans="1:24" ht="14.25" customHeight="1">
      <c r="A1295" s="110"/>
      <c r="B1295" s="125">
        <v>46175</v>
      </c>
      <c r="C1295" s="126" t="s">
        <v>277</v>
      </c>
      <c r="D1295" s="15" t="s">
        <v>124</v>
      </c>
      <c r="E1295" s="10" t="str">
        <f>TRIM(VLOOKUP(D1295,TB!$B$9:$C$1500,2,FALSE))</f>
        <v>Bank charges</v>
      </c>
      <c r="F1295" s="173" t="s">
        <v>278</v>
      </c>
      <c r="G1295" s="130"/>
      <c r="H1295" s="157">
        <f>I1296*1.8%</f>
        <v>11440.44</v>
      </c>
      <c r="I1295" s="10"/>
      <c r="J1295" s="79" t="e">
        <f t="shared" si="24"/>
        <v>#VALUE!</v>
      </c>
      <c r="K1295" s="106"/>
      <c r="L1295" s="107"/>
      <c r="M1295" s="106"/>
      <c r="N1295" s="106"/>
      <c r="O1295" s="108"/>
      <c r="P1295" s="108"/>
      <c r="Q1295" s="108"/>
      <c r="R1295" s="109"/>
      <c r="S1295" s="109"/>
      <c r="T1295" s="108"/>
      <c r="U1295" s="110"/>
      <c r="V1295" s="110"/>
      <c r="W1295" s="110"/>
      <c r="X1295" s="110"/>
    </row>
    <row r="1296" spans="1:24" ht="14.25" customHeight="1">
      <c r="A1296" s="110"/>
      <c r="B1296" s="125">
        <v>46175</v>
      </c>
      <c r="C1296" s="126" t="s">
        <v>277</v>
      </c>
      <c r="D1296" s="15" t="s">
        <v>42</v>
      </c>
      <c r="E1296" s="10" t="str">
        <f>TRIM(VLOOKUP(D1296,TB!$B$9:$C$1500,2,FALSE))</f>
        <v>BCA Card TBB</v>
      </c>
      <c r="F1296" s="173" t="s">
        <v>278</v>
      </c>
      <c r="G1296" s="130"/>
      <c r="H1296" s="10"/>
      <c r="I1296" s="10">
        <v>635580</v>
      </c>
      <c r="J1296" s="79" t="e">
        <f t="shared" si="24"/>
        <v>#VALUE!</v>
      </c>
      <c r="K1296" s="106"/>
      <c r="L1296" s="107"/>
      <c r="M1296" s="106"/>
      <c r="N1296" s="106"/>
      <c r="O1296" s="108"/>
      <c r="P1296" s="108"/>
      <c r="Q1296" s="108"/>
      <c r="R1296" s="109"/>
      <c r="S1296" s="109"/>
      <c r="T1296" s="108"/>
      <c r="U1296" s="110"/>
      <c r="V1296" s="110"/>
      <c r="W1296" s="110"/>
      <c r="X1296" s="110"/>
    </row>
    <row r="1297" spans="1:24" ht="14.25" customHeight="1">
      <c r="A1297" s="110"/>
      <c r="B1297" s="125"/>
      <c r="C1297" s="126"/>
      <c r="D1297" s="15"/>
      <c r="E1297" s="10" t="e">
        <f>TRIM(VLOOKUP(D1297,TB!$B$9:$C$1500,2,FALSE))</f>
        <v>#N/A</v>
      </c>
      <c r="F1297" s="173"/>
      <c r="G1297" s="130"/>
      <c r="H1297" s="10"/>
      <c r="I1297" s="10"/>
      <c r="J1297" s="79" t="e">
        <f t="shared" si="24"/>
        <v>#VALUE!</v>
      </c>
      <c r="K1297" s="106"/>
      <c r="L1297" s="107"/>
      <c r="M1297" s="106"/>
      <c r="N1297" s="106"/>
      <c r="O1297" s="108"/>
      <c r="P1297" s="108"/>
      <c r="Q1297" s="108"/>
      <c r="R1297" s="109"/>
      <c r="S1297" s="109"/>
      <c r="T1297" s="108"/>
      <c r="U1297" s="110"/>
      <c r="V1297" s="110"/>
      <c r="W1297" s="110"/>
      <c r="X1297" s="110"/>
    </row>
    <row r="1298" spans="1:24" ht="14.25" customHeight="1">
      <c r="A1298" s="110"/>
      <c r="B1298" s="125">
        <v>46175</v>
      </c>
      <c r="C1298" s="126" t="s">
        <v>279</v>
      </c>
      <c r="D1298" s="68" t="s">
        <v>130</v>
      </c>
      <c r="E1298" s="10" t="str">
        <f>TRIM(VLOOKUP(D1298,TB!$B$9:$C$1500,2,FALSE))</f>
        <v>BCA TBB</v>
      </c>
      <c r="F1298" s="142" t="s">
        <v>280</v>
      </c>
      <c r="G1298" s="130"/>
      <c r="H1298" s="157">
        <f>I1300-H1299</f>
        <v>7547465.4199999999</v>
      </c>
      <c r="I1298" s="10"/>
      <c r="J1298" s="79" t="e">
        <f t="shared" si="24"/>
        <v>#VALUE!</v>
      </c>
      <c r="K1298" s="106"/>
      <c r="L1298" s="107"/>
      <c r="M1298" s="106"/>
      <c r="N1298" s="106"/>
      <c r="O1298" s="108"/>
      <c r="P1298" s="108"/>
      <c r="Q1298" s="108"/>
      <c r="R1298" s="109"/>
      <c r="S1298" s="109"/>
      <c r="T1298" s="108"/>
      <c r="U1298" s="110"/>
      <c r="V1298" s="110"/>
      <c r="W1298" s="110"/>
      <c r="X1298" s="110"/>
    </row>
    <row r="1299" spans="1:24" ht="14.25" customHeight="1">
      <c r="A1299" s="110"/>
      <c r="B1299" s="125">
        <v>46175</v>
      </c>
      <c r="C1299" s="126" t="s">
        <v>279</v>
      </c>
      <c r="D1299" s="15" t="s">
        <v>124</v>
      </c>
      <c r="E1299" s="10" t="str">
        <f>TRIM(VLOOKUP(D1299,TB!$B$9:$C$1500,2,FALSE))</f>
        <v>Bank charges</v>
      </c>
      <c r="F1299" s="142" t="s">
        <v>280</v>
      </c>
      <c r="G1299" s="130"/>
      <c r="H1299" s="157">
        <f>I1300*1.8%</f>
        <v>138344.58000000002</v>
      </c>
      <c r="I1299" s="10"/>
      <c r="J1299" s="79" t="e">
        <f t="shared" si="24"/>
        <v>#VALUE!</v>
      </c>
      <c r="K1299" s="106"/>
      <c r="L1299" s="107"/>
      <c r="M1299" s="106"/>
      <c r="N1299" s="106"/>
      <c r="O1299" s="108"/>
      <c r="P1299" s="108"/>
      <c r="Q1299" s="108"/>
      <c r="R1299" s="109"/>
      <c r="S1299" s="109"/>
      <c r="T1299" s="108"/>
      <c r="U1299" s="110"/>
      <c r="V1299" s="110"/>
      <c r="W1299" s="110"/>
      <c r="X1299" s="110"/>
    </row>
    <row r="1300" spans="1:24" ht="14.25" customHeight="1">
      <c r="A1300" s="110"/>
      <c r="B1300" s="125">
        <v>46175</v>
      </c>
      <c r="C1300" s="126" t="s">
        <v>279</v>
      </c>
      <c r="D1300" s="15" t="s">
        <v>42</v>
      </c>
      <c r="E1300" s="10" t="str">
        <f>TRIM(VLOOKUP(D1300,TB!$B$9:$C$1500,2,FALSE))</f>
        <v>BCA Card TBB</v>
      </c>
      <c r="F1300" s="142" t="s">
        <v>280</v>
      </c>
      <c r="G1300" s="130"/>
      <c r="H1300" s="10"/>
      <c r="I1300" s="10">
        <v>7685810</v>
      </c>
      <c r="J1300" s="79" t="e">
        <f t="shared" si="24"/>
        <v>#VALUE!</v>
      </c>
      <c r="K1300" s="106"/>
      <c r="L1300" s="107"/>
      <c r="M1300" s="106"/>
      <c r="N1300" s="106"/>
      <c r="O1300" s="108"/>
      <c r="P1300" s="108"/>
      <c r="Q1300" s="108"/>
      <c r="R1300" s="109"/>
      <c r="S1300" s="109"/>
      <c r="T1300" s="108"/>
      <c r="U1300" s="110"/>
      <c r="V1300" s="110"/>
      <c r="W1300" s="110"/>
      <c r="X1300" s="110"/>
    </row>
    <row r="1301" spans="1:24" ht="14.25" customHeight="1">
      <c r="A1301" s="110"/>
      <c r="B1301" s="125"/>
      <c r="C1301" s="126"/>
      <c r="D1301" s="15"/>
      <c r="E1301" s="10" t="e">
        <f>TRIM(VLOOKUP(D1301,TB!$B$9:$C$1500,2,FALSE))</f>
        <v>#N/A</v>
      </c>
      <c r="F1301" s="173"/>
      <c r="G1301" s="130"/>
      <c r="H1301" s="10"/>
      <c r="I1301" s="10"/>
      <c r="J1301" s="79" t="e">
        <f t="shared" si="24"/>
        <v>#VALUE!</v>
      </c>
      <c r="K1301" s="106"/>
      <c r="L1301" s="107"/>
      <c r="M1301" s="106"/>
      <c r="N1301" s="106"/>
      <c r="O1301" s="108"/>
      <c r="P1301" s="108"/>
      <c r="Q1301" s="108"/>
      <c r="R1301" s="109"/>
      <c r="S1301" s="109"/>
      <c r="T1301" s="108"/>
      <c r="U1301" s="110"/>
      <c r="V1301" s="110"/>
      <c r="W1301" s="110"/>
      <c r="X1301" s="110"/>
    </row>
    <row r="1302" spans="1:24" ht="14.25" customHeight="1">
      <c r="A1302" s="110"/>
      <c r="B1302" s="125">
        <v>46175</v>
      </c>
      <c r="C1302" s="126" t="s">
        <v>281</v>
      </c>
      <c r="D1302" s="68" t="s">
        <v>130</v>
      </c>
      <c r="E1302" s="10" t="str">
        <f>TRIM(VLOOKUP(D1302,TB!$B$9:$C$1500,2,FALSE))</f>
        <v>BCA TBB</v>
      </c>
      <c r="F1302" s="173" t="s">
        <v>282</v>
      </c>
      <c r="G1302" s="130"/>
      <c r="H1302" s="157">
        <v>50000000</v>
      </c>
      <c r="I1302" s="12"/>
      <c r="J1302" s="79" t="e">
        <f t="shared" si="24"/>
        <v>#VALUE!</v>
      </c>
      <c r="K1302" s="106"/>
      <c r="L1302" s="107"/>
      <c r="M1302" s="106"/>
      <c r="N1302" s="106"/>
      <c r="O1302" s="108"/>
      <c r="P1302" s="108"/>
      <c r="Q1302" s="108"/>
      <c r="R1302" s="109"/>
      <c r="S1302" s="109"/>
      <c r="T1302" s="108"/>
      <c r="U1302" s="110"/>
      <c r="V1302" s="110"/>
      <c r="W1302" s="110"/>
      <c r="X1302" s="110"/>
    </row>
    <row r="1303" spans="1:24" ht="14.25" customHeight="1">
      <c r="A1303" s="110"/>
      <c r="B1303" s="125">
        <v>46175</v>
      </c>
      <c r="C1303" s="126" t="s">
        <v>281</v>
      </c>
      <c r="D1303" s="15" t="s">
        <v>124</v>
      </c>
      <c r="E1303" s="10" t="str">
        <f>TRIM(VLOOKUP(D1303,TB!$B$9:$C$1500,2,FALSE))</f>
        <v>Bank charges</v>
      </c>
      <c r="F1303" s="173" t="s">
        <v>282</v>
      </c>
      <c r="G1303" s="130"/>
      <c r="H1303" s="157">
        <v>2500</v>
      </c>
      <c r="I1303" s="12"/>
      <c r="J1303" s="79" t="e">
        <f t="shared" si="24"/>
        <v>#VALUE!</v>
      </c>
      <c r="K1303" s="106"/>
      <c r="L1303" s="107"/>
      <c r="M1303" s="106"/>
      <c r="N1303" s="106"/>
      <c r="O1303" s="108"/>
      <c r="P1303" s="108"/>
      <c r="Q1303" s="108"/>
      <c r="R1303" s="109"/>
      <c r="S1303" s="109"/>
      <c r="T1303" s="108"/>
      <c r="U1303" s="110"/>
      <c r="V1303" s="110"/>
      <c r="W1303" s="110"/>
      <c r="X1303" s="110"/>
    </row>
    <row r="1304" spans="1:24" ht="14.25" customHeight="1">
      <c r="A1304" s="110"/>
      <c r="B1304" s="125">
        <v>46175</v>
      </c>
      <c r="C1304" s="126" t="s">
        <v>281</v>
      </c>
      <c r="D1304" s="68" t="s">
        <v>158</v>
      </c>
      <c r="E1304" s="10" t="str">
        <f>TRIM(VLOOKUP(D1304,TB!$B$9:$C$1500,2,FALSE))</f>
        <v>Mandiri TBB IDR</v>
      </c>
      <c r="F1304" s="173" t="s">
        <v>282</v>
      </c>
      <c r="G1304" s="130"/>
      <c r="H1304" s="10"/>
      <c r="I1304" s="158">
        <f>SUM(H1302:H1303)</f>
        <v>50002500</v>
      </c>
      <c r="J1304" s="79" t="e">
        <f t="shared" si="24"/>
        <v>#VALUE!</v>
      </c>
      <c r="K1304" s="106"/>
      <c r="L1304" s="107"/>
      <c r="M1304" s="106"/>
      <c r="N1304" s="106"/>
      <c r="O1304" s="108"/>
      <c r="P1304" s="108"/>
      <c r="Q1304" s="108"/>
      <c r="R1304" s="109"/>
      <c r="S1304" s="109"/>
      <c r="T1304" s="108"/>
      <c r="U1304" s="110"/>
      <c r="V1304" s="110"/>
      <c r="W1304" s="110"/>
      <c r="X1304" s="110"/>
    </row>
    <row r="1305" spans="1:24" ht="14.25" customHeight="1">
      <c r="A1305" s="110"/>
      <c r="B1305" s="125"/>
      <c r="C1305" s="126"/>
      <c r="D1305" s="159"/>
      <c r="E1305" s="10" t="e">
        <f>TRIM(VLOOKUP(D1305,TB!$B$9:$C$1500,2,FALSE))</f>
        <v>#N/A</v>
      </c>
      <c r="F1305" s="142"/>
      <c r="G1305" s="130"/>
      <c r="H1305" s="10"/>
      <c r="I1305" s="10"/>
      <c r="J1305" s="79" t="e">
        <f t="shared" si="24"/>
        <v>#VALUE!</v>
      </c>
      <c r="K1305" s="106"/>
      <c r="L1305" s="107"/>
      <c r="M1305" s="106"/>
      <c r="N1305" s="106"/>
      <c r="O1305" s="108"/>
      <c r="P1305" s="108"/>
      <c r="Q1305" s="108"/>
      <c r="R1305" s="109"/>
      <c r="S1305" s="109"/>
      <c r="T1305" s="108"/>
      <c r="U1305" s="110"/>
      <c r="V1305" s="110"/>
      <c r="W1305" s="110"/>
      <c r="X1305" s="110"/>
    </row>
    <row r="1306" spans="1:24" ht="14.25" customHeight="1">
      <c r="A1306" s="110"/>
      <c r="B1306" s="125">
        <v>46175</v>
      </c>
      <c r="C1306" s="126" t="s">
        <v>283</v>
      </c>
      <c r="D1306" s="68" t="s">
        <v>130</v>
      </c>
      <c r="E1306" s="10" t="str">
        <f>TRIM(VLOOKUP(D1306,TB!$B$9:$C$1500,2,FALSE))</f>
        <v>BCA TBB</v>
      </c>
      <c r="F1306" s="173" t="s">
        <v>282</v>
      </c>
      <c r="G1306" s="130"/>
      <c r="H1306" s="158">
        <v>43400000</v>
      </c>
      <c r="I1306" s="12"/>
      <c r="J1306" s="79" t="e">
        <f t="shared" si="24"/>
        <v>#VALUE!</v>
      </c>
      <c r="K1306" s="106"/>
      <c r="L1306" s="107"/>
      <c r="M1306" s="106"/>
      <c r="N1306" s="106"/>
      <c r="O1306" s="108"/>
      <c r="P1306" s="108"/>
      <c r="Q1306" s="108"/>
      <c r="R1306" s="109"/>
      <c r="S1306" s="109"/>
      <c r="T1306" s="108"/>
      <c r="U1306" s="110"/>
      <c r="V1306" s="110"/>
      <c r="W1306" s="110"/>
      <c r="X1306" s="110"/>
    </row>
    <row r="1307" spans="1:24" ht="14.25" customHeight="1">
      <c r="A1307" s="110"/>
      <c r="B1307" s="125">
        <v>46175</v>
      </c>
      <c r="C1307" s="126" t="s">
        <v>283</v>
      </c>
      <c r="D1307" s="15" t="s">
        <v>124</v>
      </c>
      <c r="E1307" s="10" t="str">
        <f>TRIM(VLOOKUP(D1307,TB!$B$9:$C$1500,2,FALSE))</f>
        <v>Bank charges</v>
      </c>
      <c r="F1307" s="173" t="s">
        <v>282</v>
      </c>
      <c r="G1307" s="130"/>
      <c r="H1307" s="157">
        <v>6500</v>
      </c>
      <c r="I1307" s="12"/>
      <c r="J1307" s="79" t="e">
        <f t="shared" si="24"/>
        <v>#VALUE!</v>
      </c>
      <c r="K1307" s="106"/>
      <c r="L1307" s="107"/>
      <c r="M1307" s="106"/>
      <c r="N1307" s="106"/>
      <c r="O1307" s="108"/>
      <c r="P1307" s="108"/>
      <c r="Q1307" s="108"/>
      <c r="R1307" s="109"/>
      <c r="S1307" s="109"/>
      <c r="T1307" s="108"/>
      <c r="U1307" s="110"/>
      <c r="V1307" s="110"/>
      <c r="W1307" s="110"/>
      <c r="X1307" s="110"/>
    </row>
    <row r="1308" spans="1:24" ht="14.25" customHeight="1">
      <c r="A1308" s="110"/>
      <c r="B1308" s="125">
        <v>46175</v>
      </c>
      <c r="C1308" s="126" t="s">
        <v>283</v>
      </c>
      <c r="D1308" s="68" t="s">
        <v>158</v>
      </c>
      <c r="E1308" s="10" t="str">
        <f>TRIM(VLOOKUP(D1308,TB!$B$9:$C$1500,2,FALSE))</f>
        <v>Mandiri TBB IDR</v>
      </c>
      <c r="F1308" s="173" t="s">
        <v>282</v>
      </c>
      <c r="G1308" s="130"/>
      <c r="H1308" s="10"/>
      <c r="I1308" s="158">
        <f>SUM(H1306:H1307)</f>
        <v>43406500</v>
      </c>
      <c r="J1308" s="79" t="e">
        <f t="shared" si="24"/>
        <v>#VALUE!</v>
      </c>
      <c r="K1308" s="106"/>
      <c r="L1308" s="107"/>
      <c r="M1308" s="106"/>
      <c r="N1308" s="106"/>
      <c r="O1308" s="108"/>
      <c r="P1308" s="108"/>
      <c r="Q1308" s="108"/>
      <c r="R1308" s="109"/>
      <c r="S1308" s="109"/>
      <c r="T1308" s="108"/>
      <c r="U1308" s="110"/>
      <c r="V1308" s="110"/>
      <c r="W1308" s="110"/>
      <c r="X1308" s="110"/>
    </row>
    <row r="1309" spans="1:24" ht="14.25" customHeight="1">
      <c r="A1309" s="110"/>
      <c r="B1309" s="125"/>
      <c r="C1309" s="126"/>
      <c r="D1309" s="15"/>
      <c r="E1309" s="10" t="e">
        <f>TRIM(VLOOKUP(D1309,TB!$B$9:$C$1500,2,FALSE))</f>
        <v>#N/A</v>
      </c>
      <c r="F1309" s="173"/>
      <c r="G1309" s="130"/>
      <c r="H1309" s="10"/>
      <c r="I1309" s="10"/>
      <c r="J1309" s="79" t="e">
        <f t="shared" si="24"/>
        <v>#VALUE!</v>
      </c>
      <c r="K1309" s="106"/>
      <c r="L1309" s="107"/>
      <c r="M1309" s="106"/>
      <c r="N1309" s="106"/>
      <c r="O1309" s="108"/>
      <c r="P1309" s="108"/>
      <c r="Q1309" s="108"/>
      <c r="R1309" s="109"/>
      <c r="S1309" s="109"/>
      <c r="T1309" s="108"/>
      <c r="U1309" s="110"/>
      <c r="V1309" s="110"/>
      <c r="W1309" s="110"/>
      <c r="X1309" s="110"/>
    </row>
    <row r="1310" spans="1:24" ht="14.25" customHeight="1">
      <c r="A1310" s="110"/>
      <c r="B1310" s="125">
        <v>46175</v>
      </c>
      <c r="C1310" s="126" t="s">
        <v>284</v>
      </c>
      <c r="D1310" s="68" t="s">
        <v>285</v>
      </c>
      <c r="E1310" s="10" t="str">
        <f>TRIM(VLOOKUP(D1310,TB!$B$9:$C$1500,2,FALSE))</f>
        <v>Misc Cash Purchase</v>
      </c>
      <c r="F1310" s="173" t="s">
        <v>286</v>
      </c>
      <c r="G1310" s="130"/>
      <c r="H1310" s="10">
        <v>2000000</v>
      </c>
      <c r="I1310" s="10"/>
      <c r="J1310" s="79" t="e">
        <f t="shared" si="24"/>
        <v>#VALUE!</v>
      </c>
      <c r="K1310" s="106"/>
      <c r="L1310" s="107"/>
      <c r="M1310" s="106"/>
      <c r="N1310" s="106"/>
      <c r="O1310" s="108"/>
      <c r="P1310" s="108"/>
      <c r="Q1310" s="108"/>
      <c r="R1310" s="109"/>
      <c r="S1310" s="109"/>
      <c r="T1310" s="108"/>
      <c r="U1310" s="110"/>
      <c r="V1310" s="110"/>
      <c r="W1310" s="110"/>
      <c r="X1310" s="110"/>
    </row>
    <row r="1311" spans="1:24" ht="14.25" customHeight="1">
      <c r="A1311" s="110"/>
      <c r="B1311" s="125">
        <v>46175</v>
      </c>
      <c r="C1311" s="126" t="s">
        <v>284</v>
      </c>
      <c r="D1311" s="68" t="s">
        <v>130</v>
      </c>
      <c r="E1311" s="10" t="str">
        <f>TRIM(VLOOKUP(D1311,TB!$B$9:$C$1500,2,FALSE))</f>
        <v>BCA TBB</v>
      </c>
      <c r="F1311" s="173" t="s">
        <v>286</v>
      </c>
      <c r="G1311" s="130"/>
      <c r="H1311" s="10"/>
      <c r="I1311" s="10">
        <f>SUM(H1310)</f>
        <v>2000000</v>
      </c>
      <c r="J1311" s="79" t="e">
        <f t="shared" si="24"/>
        <v>#VALUE!</v>
      </c>
      <c r="K1311" s="106"/>
      <c r="L1311" s="107"/>
      <c r="M1311" s="106"/>
      <c r="N1311" s="106"/>
      <c r="O1311" s="108"/>
      <c r="P1311" s="108"/>
      <c r="Q1311" s="108"/>
      <c r="R1311" s="109"/>
      <c r="S1311" s="109"/>
      <c r="T1311" s="108"/>
      <c r="U1311" s="110"/>
      <c r="V1311" s="110"/>
      <c r="W1311" s="110"/>
      <c r="X1311" s="110"/>
    </row>
    <row r="1312" spans="1:24" ht="14.25" customHeight="1">
      <c r="A1312" s="110"/>
      <c r="B1312" s="125"/>
      <c r="C1312" s="126"/>
      <c r="D1312" s="15"/>
      <c r="E1312" s="10" t="e">
        <f>TRIM(VLOOKUP(D1312,TB!$B$9:$C$1500,2,FALSE))</f>
        <v>#N/A</v>
      </c>
      <c r="F1312" s="173"/>
      <c r="G1312" s="130"/>
      <c r="H1312" s="10"/>
      <c r="I1312" s="10"/>
      <c r="J1312" s="79" t="e">
        <f t="shared" si="24"/>
        <v>#VALUE!</v>
      </c>
      <c r="K1312" s="106"/>
      <c r="L1312" s="107"/>
      <c r="M1312" s="106"/>
      <c r="N1312" s="106"/>
      <c r="O1312" s="108"/>
      <c r="P1312" s="108"/>
      <c r="Q1312" s="108"/>
      <c r="R1312" s="109"/>
      <c r="S1312" s="109"/>
      <c r="T1312" s="108"/>
      <c r="U1312" s="110"/>
      <c r="V1312" s="110"/>
      <c r="W1312" s="110"/>
      <c r="X1312" s="110"/>
    </row>
    <row r="1313" spans="1:24" ht="14.25" customHeight="1">
      <c r="A1313" s="110"/>
      <c r="B1313" s="125">
        <v>46175</v>
      </c>
      <c r="C1313" s="126" t="s">
        <v>287</v>
      </c>
      <c r="D1313" s="68" t="s">
        <v>285</v>
      </c>
      <c r="E1313" s="10" t="str">
        <f>TRIM(VLOOKUP(D1313,TB!$B$9:$C$1500,2,FALSE))</f>
        <v>Misc Cash Purchase</v>
      </c>
      <c r="F1313" s="173" t="s">
        <v>288</v>
      </c>
      <c r="G1313" s="130"/>
      <c r="H1313" s="10">
        <v>2000000</v>
      </c>
      <c r="I1313" s="10"/>
      <c r="J1313" s="79" t="e">
        <f t="shared" si="24"/>
        <v>#VALUE!</v>
      </c>
      <c r="K1313" s="106"/>
      <c r="L1313" s="107"/>
      <c r="M1313" s="106"/>
      <c r="N1313" s="106"/>
      <c r="O1313" s="108"/>
      <c r="P1313" s="108"/>
      <c r="Q1313" s="108"/>
      <c r="R1313" s="109"/>
      <c r="S1313" s="109"/>
      <c r="T1313" s="108"/>
      <c r="U1313" s="110"/>
      <c r="V1313" s="110"/>
      <c r="W1313" s="110"/>
      <c r="X1313" s="110"/>
    </row>
    <row r="1314" spans="1:24" ht="14.25" customHeight="1">
      <c r="A1314" s="110"/>
      <c r="B1314" s="125">
        <v>46175</v>
      </c>
      <c r="C1314" s="126" t="s">
        <v>287</v>
      </c>
      <c r="D1314" s="68" t="s">
        <v>130</v>
      </c>
      <c r="E1314" s="10" t="str">
        <f>TRIM(VLOOKUP(D1314,TB!$B$9:$C$1500,2,FALSE))</f>
        <v>BCA TBB</v>
      </c>
      <c r="F1314" s="173" t="s">
        <v>288</v>
      </c>
      <c r="G1314" s="130"/>
      <c r="H1314" s="10"/>
      <c r="I1314" s="10">
        <f>SUM(H1313)</f>
        <v>2000000</v>
      </c>
      <c r="J1314" s="79" t="e">
        <f t="shared" si="24"/>
        <v>#VALUE!</v>
      </c>
      <c r="K1314" s="106"/>
      <c r="L1314" s="107"/>
      <c r="M1314" s="106"/>
      <c r="N1314" s="106"/>
      <c r="O1314" s="108"/>
      <c r="P1314" s="108"/>
      <c r="Q1314" s="108"/>
      <c r="R1314" s="109"/>
      <c r="S1314" s="109"/>
      <c r="T1314" s="108"/>
      <c r="U1314" s="110"/>
      <c r="V1314" s="110"/>
      <c r="W1314" s="110"/>
      <c r="X1314" s="110"/>
    </row>
    <row r="1315" spans="1:24" ht="14.25" customHeight="1">
      <c r="A1315" s="110"/>
      <c r="B1315" s="125"/>
      <c r="C1315" s="126"/>
      <c r="D1315" s="15"/>
      <c r="E1315" s="10" t="e">
        <f>TRIM(VLOOKUP(D1315,TB!$B$9:$C$1500,2,FALSE))</f>
        <v>#N/A</v>
      </c>
      <c r="F1315" s="173"/>
      <c r="G1315" s="130"/>
      <c r="H1315" s="10"/>
      <c r="I1315" s="10"/>
      <c r="J1315" s="79" t="e">
        <f t="shared" si="24"/>
        <v>#VALUE!</v>
      </c>
      <c r="K1315" s="106"/>
      <c r="L1315" s="107"/>
      <c r="M1315" s="106"/>
      <c r="N1315" s="106"/>
      <c r="O1315" s="108"/>
      <c r="P1315" s="108"/>
      <c r="Q1315" s="108"/>
      <c r="R1315" s="109"/>
      <c r="S1315" s="109"/>
      <c r="T1315" s="108"/>
      <c r="U1315" s="110"/>
      <c r="V1315" s="110"/>
      <c r="W1315" s="110"/>
      <c r="X1315" s="110"/>
    </row>
    <row r="1316" spans="1:24" ht="14.25" customHeight="1">
      <c r="A1316" s="110"/>
      <c r="B1316" s="125">
        <v>46175</v>
      </c>
      <c r="C1316" s="126" t="s">
        <v>289</v>
      </c>
      <c r="D1316" s="68" t="s">
        <v>285</v>
      </c>
      <c r="E1316" s="10" t="str">
        <f>TRIM(VLOOKUP(D1316,TB!$B$9:$C$1500,2,FALSE))</f>
        <v>Misc Cash Purchase</v>
      </c>
      <c r="F1316" s="173" t="s">
        <v>290</v>
      </c>
      <c r="G1316" s="130"/>
      <c r="H1316" s="10">
        <v>11828000</v>
      </c>
      <c r="I1316" s="10"/>
      <c r="J1316" s="79" t="e">
        <f t="shared" si="24"/>
        <v>#VALUE!</v>
      </c>
      <c r="K1316" s="106"/>
      <c r="L1316" s="107"/>
      <c r="M1316" s="106"/>
      <c r="N1316" s="106"/>
      <c r="O1316" s="108"/>
      <c r="P1316" s="108"/>
      <c r="Q1316" s="108"/>
      <c r="R1316" s="109"/>
      <c r="S1316" s="109"/>
      <c r="T1316" s="108"/>
      <c r="U1316" s="110"/>
      <c r="V1316" s="110"/>
      <c r="W1316" s="110"/>
      <c r="X1316" s="110"/>
    </row>
    <row r="1317" spans="1:24" ht="14.25" customHeight="1">
      <c r="A1317" s="110"/>
      <c r="B1317" s="125">
        <v>46175</v>
      </c>
      <c r="C1317" s="126" t="s">
        <v>289</v>
      </c>
      <c r="D1317" s="68" t="s">
        <v>130</v>
      </c>
      <c r="E1317" s="10" t="str">
        <f>TRIM(VLOOKUP(D1317,TB!$B$9:$C$1500,2,FALSE))</f>
        <v>BCA TBB</v>
      </c>
      <c r="F1317" s="173" t="s">
        <v>290</v>
      </c>
      <c r="G1317" s="130"/>
      <c r="H1317" s="10"/>
      <c r="I1317" s="10">
        <f>SUM(H1316)</f>
        <v>11828000</v>
      </c>
      <c r="J1317" s="79" t="e">
        <f t="shared" si="24"/>
        <v>#VALUE!</v>
      </c>
      <c r="K1317" s="106"/>
      <c r="L1317" s="107"/>
      <c r="M1317" s="106"/>
      <c r="N1317" s="106"/>
      <c r="O1317" s="108"/>
      <c r="P1317" s="108"/>
      <c r="Q1317" s="108"/>
      <c r="R1317" s="109"/>
      <c r="S1317" s="109"/>
      <c r="T1317" s="108"/>
      <c r="U1317" s="110"/>
      <c r="V1317" s="110"/>
      <c r="W1317" s="110"/>
      <c r="X1317" s="110"/>
    </row>
    <row r="1318" spans="1:24" ht="14.25" customHeight="1">
      <c r="A1318" s="110"/>
      <c r="B1318" s="125"/>
      <c r="C1318" s="126"/>
      <c r="D1318" s="15"/>
      <c r="E1318" s="10" t="e">
        <f>TRIM(VLOOKUP(D1318,TB!$B$9:$C$1500,2,FALSE))</f>
        <v>#N/A</v>
      </c>
      <c r="F1318" s="173"/>
      <c r="G1318" s="130"/>
      <c r="H1318" s="10"/>
      <c r="I1318" s="10"/>
      <c r="J1318" s="79" t="e">
        <f t="shared" si="24"/>
        <v>#VALUE!</v>
      </c>
      <c r="K1318" s="106"/>
      <c r="L1318" s="107"/>
      <c r="M1318" s="106"/>
      <c r="N1318" s="106"/>
      <c r="O1318" s="108"/>
      <c r="P1318" s="108"/>
      <c r="Q1318" s="108"/>
      <c r="R1318" s="109"/>
      <c r="S1318" s="109"/>
      <c r="T1318" s="108"/>
      <c r="U1318" s="110"/>
      <c r="V1318" s="110"/>
      <c r="W1318" s="110"/>
      <c r="X1318" s="110"/>
    </row>
    <row r="1319" spans="1:24" ht="14.25" customHeight="1">
      <c r="A1319" s="110"/>
      <c r="B1319" s="125">
        <v>46175</v>
      </c>
      <c r="C1319" s="126" t="s">
        <v>291</v>
      </c>
      <c r="D1319" s="68" t="s">
        <v>285</v>
      </c>
      <c r="E1319" s="10" t="str">
        <f>TRIM(VLOOKUP(D1319,TB!$B$9:$C$1500,2,FALSE))</f>
        <v>Misc Cash Purchase</v>
      </c>
      <c r="F1319" s="173" t="s">
        <v>292</v>
      </c>
      <c r="G1319" s="130"/>
      <c r="H1319" s="10">
        <v>14688000</v>
      </c>
      <c r="I1319" s="10"/>
      <c r="J1319" s="79" t="e">
        <f t="shared" si="24"/>
        <v>#VALUE!</v>
      </c>
      <c r="K1319" s="106"/>
      <c r="L1319" s="107"/>
      <c r="M1319" s="106"/>
      <c r="N1319" s="106"/>
      <c r="O1319" s="108"/>
      <c r="P1319" s="108"/>
      <c r="Q1319" s="108"/>
      <c r="R1319" s="109"/>
      <c r="S1319" s="109"/>
      <c r="T1319" s="108"/>
      <c r="U1319" s="110"/>
      <c r="V1319" s="110"/>
      <c r="W1319" s="110"/>
      <c r="X1319" s="110"/>
    </row>
    <row r="1320" spans="1:24" ht="14.25" customHeight="1">
      <c r="A1320" s="110"/>
      <c r="B1320" s="125">
        <v>46175</v>
      </c>
      <c r="C1320" s="126" t="s">
        <v>291</v>
      </c>
      <c r="D1320" s="68" t="s">
        <v>285</v>
      </c>
      <c r="E1320" s="10" t="str">
        <f>TRIM(VLOOKUP(D1320,TB!$B$9:$C$1500,2,FALSE))</f>
        <v>Misc Cash Purchase</v>
      </c>
      <c r="F1320" s="173" t="s">
        <v>293</v>
      </c>
      <c r="G1320" s="130"/>
      <c r="H1320" s="10">
        <v>19335017</v>
      </c>
      <c r="I1320" s="10"/>
      <c r="J1320" s="79" t="e">
        <f t="shared" si="24"/>
        <v>#VALUE!</v>
      </c>
      <c r="K1320" s="106"/>
      <c r="L1320" s="107"/>
      <c r="M1320" s="106"/>
      <c r="N1320" s="106"/>
      <c r="O1320" s="108"/>
      <c r="P1320" s="108"/>
      <c r="Q1320" s="108"/>
      <c r="R1320" s="109"/>
      <c r="S1320" s="109"/>
      <c r="T1320" s="108"/>
      <c r="U1320" s="110"/>
      <c r="V1320" s="110"/>
      <c r="W1320" s="110"/>
      <c r="X1320" s="110"/>
    </row>
    <row r="1321" spans="1:24" ht="14.25" customHeight="1">
      <c r="A1321" s="110"/>
      <c r="B1321" s="125">
        <v>46175</v>
      </c>
      <c r="C1321" s="126" t="s">
        <v>291</v>
      </c>
      <c r="D1321" s="68" t="s">
        <v>285</v>
      </c>
      <c r="E1321" s="10" t="str">
        <f>TRIM(VLOOKUP(D1321,TB!$B$9:$C$1500,2,FALSE))</f>
        <v>Misc Cash Purchase</v>
      </c>
      <c r="F1321" s="173" t="s">
        <v>294</v>
      </c>
      <c r="G1321" s="130"/>
      <c r="H1321" s="10">
        <v>12240000</v>
      </c>
      <c r="I1321" s="10"/>
      <c r="J1321" s="79" t="e">
        <f t="shared" si="24"/>
        <v>#VALUE!</v>
      </c>
      <c r="K1321" s="106"/>
      <c r="L1321" s="107"/>
      <c r="M1321" s="106"/>
      <c r="N1321" s="106"/>
      <c r="O1321" s="108"/>
      <c r="P1321" s="108"/>
      <c r="Q1321" s="108"/>
      <c r="R1321" s="109"/>
      <c r="S1321" s="109"/>
      <c r="T1321" s="108"/>
      <c r="U1321" s="110"/>
      <c r="V1321" s="110"/>
      <c r="W1321" s="110"/>
      <c r="X1321" s="110"/>
    </row>
    <row r="1322" spans="1:24" ht="14.25" customHeight="1">
      <c r="A1322" s="110"/>
      <c r="B1322" s="125">
        <v>46175</v>
      </c>
      <c r="C1322" s="126" t="s">
        <v>291</v>
      </c>
      <c r="D1322" s="68" t="s">
        <v>285</v>
      </c>
      <c r="E1322" s="10" t="str">
        <f>TRIM(VLOOKUP(D1322,TB!$B$9:$C$1500,2,FALSE))</f>
        <v>Misc Cash Purchase</v>
      </c>
      <c r="F1322" s="173" t="s">
        <v>295</v>
      </c>
      <c r="G1322" s="130"/>
      <c r="H1322" s="10">
        <v>1562834</v>
      </c>
      <c r="I1322" s="10"/>
      <c r="J1322" s="79" t="e">
        <f t="shared" si="24"/>
        <v>#VALUE!</v>
      </c>
      <c r="K1322" s="106"/>
      <c r="L1322" s="107"/>
      <c r="M1322" s="106"/>
      <c r="N1322" s="106"/>
      <c r="O1322" s="108"/>
      <c r="P1322" s="108"/>
      <c r="Q1322" s="108"/>
      <c r="R1322" s="109"/>
      <c r="S1322" s="109"/>
      <c r="T1322" s="108"/>
      <c r="U1322" s="110"/>
      <c r="V1322" s="110"/>
      <c r="W1322" s="110"/>
      <c r="X1322" s="110"/>
    </row>
    <row r="1323" spans="1:24" ht="14.25" customHeight="1">
      <c r="A1323" s="110"/>
      <c r="B1323" s="125">
        <v>46175</v>
      </c>
      <c r="C1323" s="126" t="s">
        <v>291</v>
      </c>
      <c r="D1323" s="68" t="s">
        <v>285</v>
      </c>
      <c r="E1323" s="10" t="str">
        <f>TRIM(VLOOKUP(D1323,TB!$B$9:$C$1500,2,FALSE))</f>
        <v>Misc Cash Purchase</v>
      </c>
      <c r="F1323" s="173" t="s">
        <v>296</v>
      </c>
      <c r="G1323" s="130"/>
      <c r="H1323" s="10">
        <v>12240000</v>
      </c>
      <c r="I1323" s="10"/>
      <c r="J1323" s="79" t="e">
        <f t="shared" si="24"/>
        <v>#VALUE!</v>
      </c>
      <c r="K1323" s="106"/>
      <c r="L1323" s="107"/>
      <c r="M1323" s="106"/>
      <c r="N1323" s="106"/>
      <c r="O1323" s="108"/>
      <c r="P1323" s="108"/>
      <c r="Q1323" s="108"/>
      <c r="R1323" s="109"/>
      <c r="S1323" s="109"/>
      <c r="T1323" s="108"/>
      <c r="U1323" s="110"/>
      <c r="V1323" s="110"/>
      <c r="W1323" s="110"/>
      <c r="X1323" s="110"/>
    </row>
    <row r="1324" spans="1:24" ht="14.25" customHeight="1">
      <c r="A1324" s="110"/>
      <c r="B1324" s="125">
        <v>46175</v>
      </c>
      <c r="C1324" s="126" t="s">
        <v>291</v>
      </c>
      <c r="D1324" s="68" t="s">
        <v>130</v>
      </c>
      <c r="E1324" s="10" t="str">
        <f>TRIM(VLOOKUP(D1324,TB!$B$9:$C$1500,2,FALSE))</f>
        <v>BCA TBB</v>
      </c>
      <c r="F1324" s="173" t="s">
        <v>297</v>
      </c>
      <c r="G1324" s="130"/>
      <c r="H1324" s="10"/>
      <c r="I1324" s="10">
        <v>60065851</v>
      </c>
      <c r="J1324" s="79" t="e">
        <f t="shared" si="24"/>
        <v>#VALUE!</v>
      </c>
      <c r="K1324" s="106"/>
      <c r="L1324" s="107"/>
      <c r="M1324" s="106"/>
      <c r="N1324" s="106"/>
      <c r="O1324" s="108"/>
      <c r="P1324" s="108"/>
      <c r="Q1324" s="108"/>
      <c r="R1324" s="109"/>
      <c r="S1324" s="109"/>
      <c r="T1324" s="108"/>
      <c r="U1324" s="110"/>
      <c r="V1324" s="110"/>
      <c r="W1324" s="110"/>
      <c r="X1324" s="110"/>
    </row>
    <row r="1325" spans="1:24" ht="14.25" customHeight="1">
      <c r="A1325" s="110"/>
      <c r="B1325" s="125"/>
      <c r="C1325" s="126"/>
      <c r="D1325" s="159"/>
      <c r="E1325" s="10" t="e">
        <f>TRIM(VLOOKUP(D1325,TB!$B$9:$C$1500,2,FALSE))</f>
        <v>#N/A</v>
      </c>
      <c r="F1325" s="173"/>
      <c r="G1325" s="130"/>
      <c r="H1325" s="10"/>
      <c r="I1325" s="10"/>
      <c r="J1325" s="79" t="e">
        <f t="shared" si="24"/>
        <v>#VALUE!</v>
      </c>
      <c r="K1325" s="106"/>
      <c r="L1325" s="107"/>
      <c r="M1325" s="106"/>
      <c r="N1325" s="106"/>
      <c r="O1325" s="108"/>
      <c r="P1325" s="108"/>
      <c r="Q1325" s="108"/>
      <c r="R1325" s="109"/>
      <c r="S1325" s="109"/>
      <c r="T1325" s="108"/>
      <c r="U1325" s="110"/>
      <c r="V1325" s="110"/>
      <c r="W1325" s="110"/>
      <c r="X1325" s="110"/>
    </row>
    <row r="1326" spans="1:24" ht="14.25" customHeight="1">
      <c r="A1326" s="110"/>
      <c r="B1326" s="125">
        <v>46175</v>
      </c>
      <c r="C1326" s="126" t="s">
        <v>298</v>
      </c>
      <c r="D1326" s="68" t="s">
        <v>285</v>
      </c>
      <c r="E1326" s="10" t="str">
        <f>TRIM(VLOOKUP(D1326,TB!$B$9:$C$1500,2,FALSE))</f>
        <v>Misc Cash Purchase</v>
      </c>
      <c r="F1326" s="142" t="s">
        <v>299</v>
      </c>
      <c r="G1326" s="130"/>
      <c r="H1326" s="10">
        <v>10760000</v>
      </c>
      <c r="I1326" s="10"/>
      <c r="J1326" s="79" t="e">
        <f t="shared" si="24"/>
        <v>#VALUE!</v>
      </c>
      <c r="K1326" s="106"/>
      <c r="L1326" s="107"/>
      <c r="M1326" s="106"/>
      <c r="N1326" s="106"/>
      <c r="O1326" s="108"/>
      <c r="P1326" s="108"/>
      <c r="Q1326" s="108"/>
      <c r="R1326" s="109"/>
      <c r="S1326" s="109"/>
      <c r="T1326" s="108"/>
      <c r="U1326" s="110"/>
      <c r="V1326" s="110"/>
      <c r="W1326" s="110"/>
      <c r="X1326" s="110"/>
    </row>
    <row r="1327" spans="1:24" ht="14.25" customHeight="1">
      <c r="A1327" s="110"/>
      <c r="B1327" s="125">
        <v>46175</v>
      </c>
      <c r="C1327" s="126" t="str">
        <f>C1326</f>
        <v>BCA26-06032</v>
      </c>
      <c r="D1327" s="68" t="s">
        <v>130</v>
      </c>
      <c r="E1327" s="10" t="str">
        <f>TRIM(VLOOKUP(D1327,TB!$B$9:$C$1500,2,FALSE))</f>
        <v>BCA TBB</v>
      </c>
      <c r="F1327" s="142" t="s">
        <v>299</v>
      </c>
      <c r="G1327" s="130"/>
      <c r="H1327" s="10"/>
      <c r="I1327" s="10">
        <f>SUM(H1326)</f>
        <v>10760000</v>
      </c>
      <c r="J1327" s="79" t="e">
        <f t="shared" si="24"/>
        <v>#VALUE!</v>
      </c>
      <c r="K1327" s="106"/>
      <c r="L1327" s="107"/>
      <c r="M1327" s="106"/>
      <c r="N1327" s="106"/>
      <c r="O1327" s="108"/>
      <c r="P1327" s="108"/>
      <c r="Q1327" s="108"/>
      <c r="R1327" s="109"/>
      <c r="S1327" s="109"/>
      <c r="T1327" s="108"/>
      <c r="U1327" s="110"/>
      <c r="V1327" s="110"/>
      <c r="W1327" s="110"/>
      <c r="X1327" s="110"/>
    </row>
    <row r="1328" spans="1:24" ht="14.25" customHeight="1">
      <c r="A1328" s="110"/>
      <c r="B1328" s="125"/>
      <c r="C1328" s="126"/>
      <c r="D1328" s="15"/>
      <c r="E1328" s="10" t="e">
        <f>TRIM(VLOOKUP(D1328,TB!$B$9:$C$1500,2,FALSE))</f>
        <v>#N/A</v>
      </c>
      <c r="F1328" s="173"/>
      <c r="G1328" s="130"/>
      <c r="H1328" s="10"/>
      <c r="I1328" s="10"/>
      <c r="J1328" s="79" t="e">
        <f t="shared" si="24"/>
        <v>#VALUE!</v>
      </c>
      <c r="K1328" s="106"/>
      <c r="L1328" s="107"/>
      <c r="M1328" s="106"/>
      <c r="N1328" s="106"/>
      <c r="O1328" s="108"/>
      <c r="P1328" s="108"/>
      <c r="Q1328" s="108"/>
      <c r="R1328" s="109"/>
      <c r="S1328" s="109"/>
      <c r="T1328" s="108"/>
      <c r="U1328" s="110"/>
      <c r="V1328" s="110"/>
      <c r="W1328" s="110"/>
      <c r="X1328" s="110"/>
    </row>
    <row r="1329" spans="1:24" ht="14.25" customHeight="1">
      <c r="A1329" s="110"/>
      <c r="B1329" s="125">
        <v>46175</v>
      </c>
      <c r="C1329" s="126" t="s">
        <v>300</v>
      </c>
      <c r="D1329" s="68" t="s">
        <v>285</v>
      </c>
      <c r="E1329" s="10" t="str">
        <f>TRIM(VLOOKUP(D1329,TB!$B$9:$C$1500,2,FALSE))</f>
        <v>Misc Cash Purchase</v>
      </c>
      <c r="F1329" s="173" t="s">
        <v>301</v>
      </c>
      <c r="G1329" s="130"/>
      <c r="H1329" s="10">
        <v>695517</v>
      </c>
      <c r="I1329" s="10"/>
      <c r="J1329" s="79" t="e">
        <f t="shared" si="24"/>
        <v>#VALUE!</v>
      </c>
      <c r="K1329" s="106"/>
      <c r="L1329" s="107"/>
      <c r="M1329" s="106"/>
      <c r="N1329" s="106"/>
      <c r="O1329" s="108"/>
      <c r="P1329" s="108"/>
      <c r="Q1329" s="108"/>
      <c r="R1329" s="109"/>
      <c r="S1329" s="109"/>
      <c r="T1329" s="108"/>
      <c r="U1329" s="110"/>
      <c r="V1329" s="110"/>
      <c r="W1329" s="110"/>
      <c r="X1329" s="110"/>
    </row>
    <row r="1330" spans="1:24" ht="14.25" customHeight="1">
      <c r="A1330" s="110"/>
      <c r="B1330" s="125">
        <v>46175</v>
      </c>
      <c r="C1330" s="126" t="str">
        <f>C1329</f>
        <v>BCA26-06033</v>
      </c>
      <c r="D1330" s="68" t="s">
        <v>130</v>
      </c>
      <c r="E1330" s="10" t="str">
        <f>TRIM(VLOOKUP(D1330,TB!$B$9:$C$1500,2,FALSE))</f>
        <v>BCA TBB</v>
      </c>
      <c r="F1330" s="173" t="s">
        <v>301</v>
      </c>
      <c r="G1330" s="130"/>
      <c r="H1330" s="10"/>
      <c r="I1330" s="10">
        <f>SUM(H1329)</f>
        <v>695517</v>
      </c>
      <c r="J1330" s="79" t="e">
        <f t="shared" si="24"/>
        <v>#VALUE!</v>
      </c>
      <c r="K1330" s="106"/>
      <c r="L1330" s="107"/>
      <c r="M1330" s="106"/>
      <c r="N1330" s="106"/>
      <c r="O1330" s="108"/>
      <c r="P1330" s="108"/>
      <c r="Q1330" s="108"/>
      <c r="R1330" s="109"/>
      <c r="S1330" s="109"/>
      <c r="T1330" s="108"/>
      <c r="U1330" s="110"/>
      <c r="V1330" s="110"/>
      <c r="W1330" s="110"/>
      <c r="X1330" s="110"/>
    </row>
    <row r="1331" spans="1:24" ht="14.25" customHeight="1">
      <c r="A1331" s="110"/>
      <c r="B1331" s="125"/>
      <c r="C1331" s="126"/>
      <c r="D1331" s="15"/>
      <c r="E1331" s="10" t="e">
        <f>TRIM(VLOOKUP(D1331,TB!$B$9:$C$1500,2,FALSE))</f>
        <v>#N/A</v>
      </c>
      <c r="F1331" s="173"/>
      <c r="G1331" s="130"/>
      <c r="H1331" s="10"/>
      <c r="I1331" s="10"/>
      <c r="J1331" s="79" t="e">
        <f t="shared" si="24"/>
        <v>#VALUE!</v>
      </c>
      <c r="K1331" s="106"/>
      <c r="L1331" s="107"/>
      <c r="M1331" s="106"/>
      <c r="N1331" s="106"/>
      <c r="O1331" s="108"/>
      <c r="P1331" s="108"/>
      <c r="Q1331" s="108"/>
      <c r="R1331" s="109"/>
      <c r="S1331" s="109"/>
      <c r="T1331" s="108"/>
      <c r="U1331" s="110"/>
      <c r="V1331" s="110"/>
      <c r="W1331" s="110"/>
      <c r="X1331" s="110"/>
    </row>
    <row r="1332" spans="1:24" ht="14.25" customHeight="1">
      <c r="A1332" s="110"/>
      <c r="B1332" s="125">
        <v>46175</v>
      </c>
      <c r="C1332" s="126" t="s">
        <v>302</v>
      </c>
      <c r="D1332" s="68" t="s">
        <v>285</v>
      </c>
      <c r="E1332" s="10" t="str">
        <f>TRIM(VLOOKUP(D1332,TB!$B$9:$C$1500,2,FALSE))</f>
        <v>Misc Cash Purchase</v>
      </c>
      <c r="F1332" s="173" t="s">
        <v>303</v>
      </c>
      <c r="G1332" s="130"/>
      <c r="H1332" s="10">
        <v>1963000</v>
      </c>
      <c r="I1332" s="10"/>
      <c r="J1332" s="79" t="e">
        <f t="shared" si="24"/>
        <v>#VALUE!</v>
      </c>
      <c r="K1332" s="106"/>
      <c r="L1332" s="107"/>
      <c r="M1332" s="106"/>
      <c r="N1332" s="106"/>
      <c r="O1332" s="108"/>
      <c r="P1332" s="108"/>
      <c r="Q1332" s="108"/>
      <c r="R1332" s="109"/>
      <c r="S1332" s="109"/>
      <c r="T1332" s="108"/>
      <c r="U1332" s="110"/>
      <c r="V1332" s="110"/>
      <c r="W1332" s="110"/>
      <c r="X1332" s="110"/>
    </row>
    <row r="1333" spans="1:24" ht="14.25" customHeight="1">
      <c r="A1333" s="110"/>
      <c r="B1333" s="125">
        <v>46175</v>
      </c>
      <c r="C1333" s="126" t="str">
        <f>C1332</f>
        <v>BCA26-06034</v>
      </c>
      <c r="D1333" s="68" t="s">
        <v>130</v>
      </c>
      <c r="E1333" s="10" t="str">
        <f>TRIM(VLOOKUP(D1333,TB!$B$9:$C$1500,2,FALSE))</f>
        <v>BCA TBB</v>
      </c>
      <c r="F1333" s="173" t="s">
        <v>303</v>
      </c>
      <c r="G1333" s="130"/>
      <c r="H1333" s="10"/>
      <c r="I1333" s="10">
        <f>SUM(H1332)</f>
        <v>1963000</v>
      </c>
      <c r="J1333" s="79" t="e">
        <f t="shared" si="24"/>
        <v>#VALUE!</v>
      </c>
      <c r="K1333" s="106"/>
      <c r="L1333" s="107"/>
      <c r="M1333" s="106"/>
      <c r="N1333" s="106"/>
      <c r="O1333" s="108"/>
      <c r="P1333" s="108"/>
      <c r="Q1333" s="108"/>
      <c r="R1333" s="109"/>
      <c r="S1333" s="109"/>
      <c r="T1333" s="108"/>
      <c r="U1333" s="110"/>
      <c r="V1333" s="110"/>
      <c r="W1333" s="110"/>
      <c r="X1333" s="110"/>
    </row>
    <row r="1334" spans="1:24" ht="14.25" customHeight="1">
      <c r="A1334" s="110"/>
      <c r="B1334" s="125"/>
      <c r="C1334" s="126"/>
      <c r="D1334" s="15"/>
      <c r="E1334" s="10" t="e">
        <f>TRIM(VLOOKUP(D1334,TB!$B$9:$C$1500,2,FALSE))</f>
        <v>#N/A</v>
      </c>
      <c r="F1334" s="173"/>
      <c r="G1334" s="130"/>
      <c r="H1334" s="10"/>
      <c r="I1334" s="10"/>
      <c r="J1334" s="79" t="e">
        <f t="shared" si="24"/>
        <v>#VALUE!</v>
      </c>
      <c r="K1334" s="106"/>
      <c r="L1334" s="107"/>
      <c r="M1334" s="106"/>
      <c r="N1334" s="106"/>
      <c r="O1334" s="108"/>
      <c r="P1334" s="108"/>
      <c r="Q1334" s="108"/>
      <c r="R1334" s="109"/>
      <c r="S1334" s="109"/>
      <c r="T1334" s="108"/>
      <c r="U1334" s="110"/>
      <c r="V1334" s="110"/>
      <c r="W1334" s="110"/>
      <c r="X1334" s="110"/>
    </row>
    <row r="1335" spans="1:24" ht="14.25" customHeight="1">
      <c r="A1335" s="110"/>
      <c r="B1335" s="125">
        <v>46175</v>
      </c>
      <c r="C1335" s="126" t="s">
        <v>304</v>
      </c>
      <c r="D1335" s="68" t="s">
        <v>285</v>
      </c>
      <c r="E1335" s="10" t="str">
        <f>TRIM(VLOOKUP(D1335,TB!$B$9:$C$1500,2,FALSE))</f>
        <v>Misc Cash Purchase</v>
      </c>
      <c r="F1335" s="142" t="s">
        <v>305</v>
      </c>
      <c r="G1335" s="130"/>
      <c r="H1335" s="10">
        <v>2418000</v>
      </c>
      <c r="I1335" s="10"/>
      <c r="J1335" s="79" t="e">
        <f t="shared" si="24"/>
        <v>#VALUE!</v>
      </c>
      <c r="K1335" s="106"/>
      <c r="L1335" s="107"/>
      <c r="M1335" s="106"/>
      <c r="N1335" s="106"/>
      <c r="O1335" s="108"/>
      <c r="P1335" s="108"/>
      <c r="Q1335" s="108"/>
      <c r="R1335" s="109"/>
      <c r="S1335" s="109"/>
      <c r="T1335" s="108"/>
      <c r="U1335" s="110"/>
      <c r="V1335" s="110"/>
      <c r="W1335" s="110"/>
      <c r="X1335" s="110"/>
    </row>
    <row r="1336" spans="1:24" ht="14.25" customHeight="1">
      <c r="A1336" s="110"/>
      <c r="B1336" s="125">
        <v>46175</v>
      </c>
      <c r="C1336" s="126" t="str">
        <f>C1335</f>
        <v>BCA26-06035</v>
      </c>
      <c r="D1336" s="68" t="s">
        <v>130</v>
      </c>
      <c r="E1336" s="10" t="str">
        <f>TRIM(VLOOKUP(D1336,TB!$B$9:$C$1500,2,FALSE))</f>
        <v>BCA TBB</v>
      </c>
      <c r="F1336" s="142" t="s">
        <v>305</v>
      </c>
      <c r="G1336" s="130"/>
      <c r="H1336" s="10"/>
      <c r="I1336" s="10">
        <f>SUM(H1335)</f>
        <v>2418000</v>
      </c>
      <c r="J1336" s="79" t="e">
        <f t="shared" si="24"/>
        <v>#VALUE!</v>
      </c>
      <c r="K1336" s="106"/>
      <c r="L1336" s="107"/>
      <c r="M1336" s="106"/>
      <c r="N1336" s="106"/>
      <c r="O1336" s="108"/>
      <c r="P1336" s="108"/>
      <c r="Q1336" s="108"/>
      <c r="R1336" s="109"/>
      <c r="S1336" s="109"/>
      <c r="T1336" s="108"/>
      <c r="U1336" s="110"/>
      <c r="V1336" s="110"/>
      <c r="W1336" s="110"/>
      <c r="X1336" s="110"/>
    </row>
    <row r="1337" spans="1:24" ht="14.25" customHeight="1">
      <c r="A1337" s="110"/>
      <c r="B1337" s="125"/>
      <c r="C1337" s="126"/>
      <c r="D1337" s="15"/>
      <c r="E1337" s="10" t="e">
        <f>TRIM(VLOOKUP(D1337,TB!$B$9:$C$1500,2,FALSE))</f>
        <v>#N/A</v>
      </c>
      <c r="F1337" s="173"/>
      <c r="G1337" s="130"/>
      <c r="H1337" s="10"/>
      <c r="I1337" s="10"/>
      <c r="J1337" s="79" t="e">
        <f t="shared" si="24"/>
        <v>#VALUE!</v>
      </c>
      <c r="K1337" s="106"/>
      <c r="L1337" s="107"/>
      <c r="M1337" s="106"/>
      <c r="N1337" s="106"/>
      <c r="O1337" s="108"/>
      <c r="P1337" s="108"/>
      <c r="Q1337" s="108"/>
      <c r="R1337" s="109"/>
      <c r="S1337" s="109"/>
      <c r="T1337" s="108"/>
      <c r="U1337" s="110"/>
      <c r="V1337" s="110"/>
      <c r="W1337" s="110"/>
      <c r="X1337" s="110"/>
    </row>
    <row r="1338" spans="1:24" ht="14.25" customHeight="1">
      <c r="A1338" s="110"/>
      <c r="B1338" s="125">
        <v>46175</v>
      </c>
      <c r="C1338" s="126" t="s">
        <v>306</v>
      </c>
      <c r="D1338" s="68" t="s">
        <v>285</v>
      </c>
      <c r="E1338" s="10" t="str">
        <f>TRIM(VLOOKUP(D1338,TB!$B$9:$C$1500,2,FALSE))</f>
        <v>Misc Cash Purchase</v>
      </c>
      <c r="F1338" s="173" t="s">
        <v>307</v>
      </c>
      <c r="G1338" s="130"/>
      <c r="H1338" s="10">
        <v>2740000</v>
      </c>
      <c r="I1338" s="10"/>
      <c r="J1338" s="79" t="e">
        <f t="shared" si="24"/>
        <v>#VALUE!</v>
      </c>
      <c r="K1338" s="106"/>
      <c r="L1338" s="107"/>
      <c r="M1338" s="106"/>
      <c r="N1338" s="106"/>
      <c r="O1338" s="108"/>
      <c r="P1338" s="108"/>
      <c r="Q1338" s="108"/>
      <c r="R1338" s="109"/>
      <c r="S1338" s="109"/>
      <c r="T1338" s="108"/>
      <c r="U1338" s="110"/>
      <c r="V1338" s="110"/>
      <c r="W1338" s="110"/>
      <c r="X1338" s="110"/>
    </row>
    <row r="1339" spans="1:24" ht="14.25" customHeight="1">
      <c r="A1339" s="110"/>
      <c r="B1339" s="125">
        <v>46175</v>
      </c>
      <c r="C1339" s="126" t="str">
        <f>C1338</f>
        <v>BCA26-06036</v>
      </c>
      <c r="D1339" s="68" t="s">
        <v>130</v>
      </c>
      <c r="E1339" s="10" t="str">
        <f>TRIM(VLOOKUP(D1339,TB!$B$9:$C$1500,2,FALSE))</f>
        <v>BCA TBB</v>
      </c>
      <c r="F1339" s="173" t="s">
        <v>307</v>
      </c>
      <c r="G1339" s="130"/>
      <c r="H1339" s="10"/>
      <c r="I1339" s="10">
        <f>SUM(H1338)</f>
        <v>2740000</v>
      </c>
      <c r="J1339" s="79" t="e">
        <f t="shared" si="24"/>
        <v>#VALUE!</v>
      </c>
      <c r="K1339" s="106"/>
      <c r="L1339" s="107"/>
      <c r="M1339" s="106"/>
      <c r="N1339" s="106"/>
      <c r="O1339" s="108"/>
      <c r="P1339" s="108"/>
      <c r="Q1339" s="108"/>
      <c r="R1339" s="109"/>
      <c r="S1339" s="109"/>
      <c r="T1339" s="108"/>
      <c r="U1339" s="110"/>
      <c r="V1339" s="110"/>
      <c r="W1339" s="110"/>
      <c r="X1339" s="110"/>
    </row>
    <row r="1340" spans="1:24" ht="14.25" customHeight="1">
      <c r="A1340" s="110"/>
      <c r="B1340" s="125"/>
      <c r="C1340" s="126"/>
      <c r="D1340" s="15"/>
      <c r="E1340" s="10" t="e">
        <f>TRIM(VLOOKUP(D1340,TB!$B$9:$C$1500,2,FALSE))</f>
        <v>#N/A</v>
      </c>
      <c r="F1340" s="173"/>
      <c r="G1340" s="130"/>
      <c r="H1340" s="10"/>
      <c r="I1340" s="10"/>
      <c r="J1340" s="79" t="e">
        <f t="shared" si="24"/>
        <v>#VALUE!</v>
      </c>
      <c r="K1340" s="106"/>
      <c r="L1340" s="107"/>
      <c r="M1340" s="106"/>
      <c r="N1340" s="106"/>
      <c r="O1340" s="108"/>
      <c r="P1340" s="108"/>
      <c r="Q1340" s="108"/>
      <c r="R1340" s="109"/>
      <c r="S1340" s="109"/>
      <c r="T1340" s="108"/>
      <c r="U1340" s="110"/>
      <c r="V1340" s="110"/>
      <c r="W1340" s="110"/>
      <c r="X1340" s="110"/>
    </row>
    <row r="1341" spans="1:24" ht="14.25" customHeight="1">
      <c r="A1341" s="110"/>
      <c r="B1341" s="125">
        <v>46175</v>
      </c>
      <c r="C1341" s="126" t="s">
        <v>308</v>
      </c>
      <c r="D1341" s="68" t="s">
        <v>285</v>
      </c>
      <c r="E1341" s="10" t="str">
        <f>TRIM(VLOOKUP(D1341,TB!$B$9:$C$1500,2,FALSE))</f>
        <v>Misc Cash Purchase</v>
      </c>
      <c r="F1341" s="173" t="s">
        <v>309</v>
      </c>
      <c r="G1341" s="130"/>
      <c r="H1341" s="10">
        <v>2019090</v>
      </c>
      <c r="I1341" s="10"/>
      <c r="J1341" s="79" t="e">
        <f t="shared" si="24"/>
        <v>#VALUE!</v>
      </c>
      <c r="K1341" s="106"/>
      <c r="L1341" s="107"/>
      <c r="M1341" s="106"/>
      <c r="N1341" s="106"/>
      <c r="O1341" s="108"/>
      <c r="P1341" s="108"/>
      <c r="Q1341" s="108"/>
      <c r="R1341" s="109"/>
      <c r="S1341" s="109"/>
      <c r="T1341" s="108"/>
      <c r="U1341" s="110"/>
      <c r="V1341" s="110"/>
      <c r="W1341" s="110"/>
      <c r="X1341" s="110"/>
    </row>
    <row r="1342" spans="1:24" ht="14.25" customHeight="1">
      <c r="A1342" s="110"/>
      <c r="B1342" s="125">
        <v>46175</v>
      </c>
      <c r="C1342" s="126" t="str">
        <f>C1341</f>
        <v>BCA26-06037</v>
      </c>
      <c r="D1342" s="68" t="s">
        <v>130</v>
      </c>
      <c r="E1342" s="10" t="str">
        <f>TRIM(VLOOKUP(D1342,TB!$B$9:$C$1500,2,FALSE))</f>
        <v>BCA TBB</v>
      </c>
      <c r="F1342" s="173" t="s">
        <v>309</v>
      </c>
      <c r="G1342" s="130"/>
      <c r="H1342" s="10"/>
      <c r="I1342" s="10">
        <f>SUM(H1341)</f>
        <v>2019090</v>
      </c>
      <c r="J1342" s="79" t="e">
        <f t="shared" si="24"/>
        <v>#VALUE!</v>
      </c>
      <c r="K1342" s="106"/>
      <c r="L1342" s="107"/>
      <c r="M1342" s="106"/>
      <c r="N1342" s="106"/>
      <c r="O1342" s="108"/>
      <c r="P1342" s="108"/>
      <c r="Q1342" s="108"/>
      <c r="R1342" s="109"/>
      <c r="S1342" s="109"/>
      <c r="T1342" s="108"/>
      <c r="U1342" s="110"/>
      <c r="V1342" s="110"/>
      <c r="W1342" s="110"/>
      <c r="X1342" s="110"/>
    </row>
    <row r="1343" spans="1:24" ht="14.25" customHeight="1">
      <c r="A1343" s="110"/>
      <c r="B1343" s="125"/>
      <c r="C1343" s="126"/>
      <c r="D1343" s="15"/>
      <c r="E1343" s="10" t="e">
        <f>TRIM(VLOOKUP(D1343,TB!$B$9:$C$1500,2,FALSE))</f>
        <v>#N/A</v>
      </c>
      <c r="F1343" s="142"/>
      <c r="G1343" s="130"/>
      <c r="H1343" s="10"/>
      <c r="I1343" s="10"/>
      <c r="J1343" s="79" t="e">
        <f t="shared" si="24"/>
        <v>#VALUE!</v>
      </c>
      <c r="K1343" s="106"/>
      <c r="L1343" s="107"/>
      <c r="M1343" s="106"/>
      <c r="N1343" s="106"/>
      <c r="O1343" s="108"/>
      <c r="P1343" s="108"/>
      <c r="Q1343" s="108"/>
      <c r="R1343" s="109"/>
      <c r="S1343" s="109"/>
      <c r="T1343" s="108"/>
      <c r="U1343" s="110"/>
      <c r="V1343" s="110"/>
      <c r="W1343" s="110"/>
      <c r="X1343" s="110"/>
    </row>
    <row r="1344" spans="1:24" ht="14.25" customHeight="1">
      <c r="A1344" s="110"/>
      <c r="B1344" s="125">
        <v>46175</v>
      </c>
      <c r="C1344" s="126" t="s">
        <v>310</v>
      </c>
      <c r="D1344" s="68" t="s">
        <v>285</v>
      </c>
      <c r="E1344" s="10" t="str">
        <f>TRIM(VLOOKUP(D1344,TB!$B$9:$C$1500,2,FALSE))</f>
        <v>Misc Cash Purchase</v>
      </c>
      <c r="F1344" s="142" t="s">
        <v>311</v>
      </c>
      <c r="G1344" s="130"/>
      <c r="H1344" s="10">
        <v>4675000</v>
      </c>
      <c r="I1344" s="10"/>
      <c r="J1344" s="79" t="e">
        <f t="shared" si="24"/>
        <v>#VALUE!</v>
      </c>
      <c r="K1344" s="106"/>
      <c r="L1344" s="107"/>
      <c r="M1344" s="106"/>
      <c r="N1344" s="106"/>
      <c r="O1344" s="108"/>
      <c r="P1344" s="108"/>
      <c r="Q1344" s="108"/>
      <c r="R1344" s="109"/>
      <c r="S1344" s="109"/>
      <c r="T1344" s="108"/>
      <c r="U1344" s="110"/>
      <c r="V1344" s="110"/>
      <c r="W1344" s="110"/>
      <c r="X1344" s="110"/>
    </row>
    <row r="1345" spans="1:24" ht="14.25" customHeight="1">
      <c r="A1345" s="110"/>
      <c r="B1345" s="125">
        <v>46175</v>
      </c>
      <c r="C1345" s="126" t="str">
        <f>C1344</f>
        <v>BCA26-06038</v>
      </c>
      <c r="D1345" s="68" t="s">
        <v>130</v>
      </c>
      <c r="E1345" s="10" t="str">
        <f>TRIM(VLOOKUP(D1345,TB!$B$9:$C$1500,2,FALSE))</f>
        <v>BCA TBB</v>
      </c>
      <c r="F1345" s="142" t="s">
        <v>311</v>
      </c>
      <c r="G1345" s="130"/>
      <c r="H1345" s="10"/>
      <c r="I1345" s="10">
        <f>SUM(H1344)</f>
        <v>4675000</v>
      </c>
      <c r="J1345" s="79" t="e">
        <f t="shared" si="24"/>
        <v>#VALUE!</v>
      </c>
      <c r="K1345" s="106"/>
      <c r="L1345" s="107"/>
      <c r="M1345" s="106"/>
      <c r="N1345" s="106"/>
      <c r="O1345" s="108"/>
      <c r="P1345" s="108"/>
      <c r="Q1345" s="108"/>
      <c r="R1345" s="109"/>
      <c r="S1345" s="109"/>
      <c r="T1345" s="108"/>
      <c r="U1345" s="110"/>
      <c r="V1345" s="110"/>
      <c r="W1345" s="110"/>
      <c r="X1345" s="110"/>
    </row>
    <row r="1346" spans="1:24" ht="14.25" customHeight="1">
      <c r="A1346" s="110"/>
      <c r="B1346" s="125"/>
      <c r="C1346" s="126"/>
      <c r="D1346" s="15"/>
      <c r="E1346" s="10" t="e">
        <f>TRIM(VLOOKUP(D1346,TB!$B$9:$C$1500,2,FALSE))</f>
        <v>#N/A</v>
      </c>
      <c r="F1346" s="173"/>
      <c r="G1346" s="130"/>
      <c r="H1346" s="10"/>
      <c r="I1346" s="10"/>
      <c r="J1346" s="79" t="e">
        <f t="shared" si="24"/>
        <v>#VALUE!</v>
      </c>
      <c r="K1346" s="106"/>
      <c r="L1346" s="107"/>
      <c r="M1346" s="106"/>
      <c r="N1346" s="106"/>
      <c r="O1346" s="108"/>
      <c r="P1346" s="108"/>
      <c r="Q1346" s="108"/>
      <c r="R1346" s="109"/>
      <c r="S1346" s="109"/>
      <c r="T1346" s="108"/>
      <c r="U1346" s="110"/>
      <c r="V1346" s="110"/>
      <c r="W1346" s="110"/>
      <c r="X1346" s="110"/>
    </row>
    <row r="1347" spans="1:24" ht="14.25" customHeight="1">
      <c r="A1347" s="110"/>
      <c r="B1347" s="125">
        <v>46175</v>
      </c>
      <c r="C1347" s="126" t="s">
        <v>312</v>
      </c>
      <c r="D1347" s="68" t="s">
        <v>285</v>
      </c>
      <c r="E1347" s="10" t="str">
        <f>TRIM(VLOOKUP(D1347,TB!$B$9:$C$1500,2,FALSE))</f>
        <v>Misc Cash Purchase</v>
      </c>
      <c r="F1347" s="173" t="s">
        <v>313</v>
      </c>
      <c r="G1347" s="130"/>
      <c r="H1347" s="10">
        <v>1835000</v>
      </c>
      <c r="I1347" s="10"/>
      <c r="J1347" s="79" t="e">
        <f t="shared" si="24"/>
        <v>#VALUE!</v>
      </c>
      <c r="K1347" s="106"/>
      <c r="L1347" s="107"/>
      <c r="M1347" s="106"/>
      <c r="N1347" s="106"/>
      <c r="O1347" s="108"/>
      <c r="P1347" s="108"/>
      <c r="Q1347" s="108"/>
      <c r="R1347" s="109"/>
      <c r="S1347" s="109"/>
      <c r="T1347" s="108"/>
      <c r="U1347" s="110"/>
      <c r="V1347" s="110"/>
      <c r="W1347" s="110"/>
      <c r="X1347" s="110"/>
    </row>
    <row r="1348" spans="1:24" ht="14.25" customHeight="1">
      <c r="A1348" s="110"/>
      <c r="B1348" s="125">
        <v>46175</v>
      </c>
      <c r="C1348" s="126" t="str">
        <f>C1347</f>
        <v>BCA26-06039</v>
      </c>
      <c r="D1348" s="68" t="s">
        <v>130</v>
      </c>
      <c r="E1348" s="10" t="str">
        <f>TRIM(VLOOKUP(D1348,TB!$B$9:$C$1500,2,FALSE))</f>
        <v>BCA TBB</v>
      </c>
      <c r="F1348" s="173" t="s">
        <v>313</v>
      </c>
      <c r="G1348" s="130"/>
      <c r="H1348" s="10"/>
      <c r="I1348" s="10">
        <f>SUM(H1347)</f>
        <v>1835000</v>
      </c>
      <c r="J1348" s="79" t="e">
        <f t="shared" si="24"/>
        <v>#VALUE!</v>
      </c>
      <c r="K1348" s="106"/>
      <c r="L1348" s="107"/>
      <c r="M1348" s="106"/>
      <c r="N1348" s="106"/>
      <c r="O1348" s="108"/>
      <c r="P1348" s="108"/>
      <c r="Q1348" s="108"/>
      <c r="R1348" s="109"/>
      <c r="S1348" s="109"/>
      <c r="T1348" s="108"/>
      <c r="U1348" s="110"/>
      <c r="V1348" s="110"/>
      <c r="W1348" s="110"/>
      <c r="X1348" s="110"/>
    </row>
    <row r="1349" spans="1:24" ht="14.25" customHeight="1">
      <c r="A1349" s="110"/>
      <c r="B1349" s="125"/>
      <c r="C1349" s="126"/>
      <c r="D1349" s="15"/>
      <c r="E1349" s="10" t="e">
        <f>TRIM(VLOOKUP(D1349,TB!$B$9:$C$1500,2,FALSE))</f>
        <v>#N/A</v>
      </c>
      <c r="F1349" s="173"/>
      <c r="G1349" s="130"/>
      <c r="H1349" s="10"/>
      <c r="I1349" s="10"/>
      <c r="J1349" s="79" t="e">
        <f t="shared" si="24"/>
        <v>#VALUE!</v>
      </c>
      <c r="K1349" s="106"/>
      <c r="L1349" s="107"/>
      <c r="M1349" s="106"/>
      <c r="N1349" s="106"/>
      <c r="O1349" s="108"/>
      <c r="P1349" s="108"/>
      <c r="Q1349" s="108"/>
      <c r="R1349" s="109"/>
      <c r="S1349" s="109"/>
      <c r="T1349" s="108"/>
      <c r="U1349" s="110"/>
      <c r="V1349" s="110"/>
      <c r="W1349" s="110"/>
      <c r="X1349" s="110"/>
    </row>
    <row r="1350" spans="1:24" ht="14.25" customHeight="1">
      <c r="A1350" s="110"/>
      <c r="B1350" s="125">
        <v>46175</v>
      </c>
      <c r="C1350" s="126" t="s">
        <v>314</v>
      </c>
      <c r="D1350" s="68" t="s">
        <v>285</v>
      </c>
      <c r="E1350" s="10" t="str">
        <f>TRIM(VLOOKUP(D1350,TB!$B$9:$C$1500,2,FALSE))</f>
        <v>Misc Cash Purchase</v>
      </c>
      <c r="F1350" s="173" t="s">
        <v>315</v>
      </c>
      <c r="G1350" s="130"/>
      <c r="H1350" s="10">
        <v>10160000</v>
      </c>
      <c r="I1350" s="10"/>
      <c r="J1350" s="79" t="e">
        <f t="shared" si="24"/>
        <v>#VALUE!</v>
      </c>
      <c r="K1350" s="106"/>
      <c r="L1350" s="107"/>
      <c r="M1350" s="106"/>
      <c r="N1350" s="106"/>
      <c r="O1350" s="108"/>
      <c r="P1350" s="108"/>
      <c r="Q1350" s="108"/>
      <c r="R1350" s="109"/>
      <c r="S1350" s="109"/>
      <c r="T1350" s="108"/>
      <c r="U1350" s="110"/>
      <c r="V1350" s="110"/>
      <c r="W1350" s="110"/>
      <c r="X1350" s="110"/>
    </row>
    <row r="1351" spans="1:24" ht="14.25" customHeight="1">
      <c r="A1351" s="110"/>
      <c r="B1351" s="125">
        <v>46175</v>
      </c>
      <c r="C1351" s="126" t="str">
        <f>C1350</f>
        <v>BCA26-06040</v>
      </c>
      <c r="D1351" s="68" t="s">
        <v>130</v>
      </c>
      <c r="E1351" s="10" t="str">
        <f>TRIM(VLOOKUP(D1351,TB!$B$9:$C$1500,2,FALSE))</f>
        <v>BCA TBB</v>
      </c>
      <c r="F1351" s="173" t="s">
        <v>315</v>
      </c>
      <c r="G1351" s="130"/>
      <c r="H1351" s="10"/>
      <c r="I1351" s="10">
        <f>SUM(H1350)</f>
        <v>10160000</v>
      </c>
      <c r="J1351" s="79" t="e">
        <f t="shared" si="24"/>
        <v>#VALUE!</v>
      </c>
      <c r="K1351" s="106"/>
      <c r="L1351" s="107"/>
      <c r="M1351" s="106"/>
      <c r="N1351" s="106"/>
      <c r="O1351" s="108"/>
      <c r="P1351" s="108"/>
      <c r="Q1351" s="108"/>
      <c r="R1351" s="109"/>
      <c r="S1351" s="109"/>
      <c r="T1351" s="108"/>
      <c r="U1351" s="110"/>
      <c r="V1351" s="110"/>
      <c r="W1351" s="110"/>
      <c r="X1351" s="110"/>
    </row>
    <row r="1352" spans="1:24" ht="14.25" customHeight="1">
      <c r="A1352" s="110"/>
      <c r="B1352" s="125"/>
      <c r="C1352" s="126"/>
      <c r="D1352" s="15"/>
      <c r="E1352" s="10" t="e">
        <f>TRIM(VLOOKUP(D1352,TB!$B$9:$C$1500,2,FALSE))</f>
        <v>#N/A</v>
      </c>
      <c r="F1352" s="173"/>
      <c r="G1352" s="130"/>
      <c r="H1352" s="10"/>
      <c r="I1352" s="10"/>
      <c r="J1352" s="79" t="e">
        <f t="shared" si="24"/>
        <v>#VALUE!</v>
      </c>
      <c r="K1352" s="106"/>
      <c r="L1352" s="107"/>
      <c r="M1352" s="106"/>
      <c r="N1352" s="106"/>
      <c r="O1352" s="108"/>
      <c r="P1352" s="108"/>
      <c r="Q1352" s="108"/>
      <c r="R1352" s="109"/>
      <c r="S1352" s="109"/>
      <c r="T1352" s="108"/>
      <c r="U1352" s="110"/>
      <c r="V1352" s="110"/>
      <c r="W1352" s="110"/>
      <c r="X1352" s="110"/>
    </row>
    <row r="1353" spans="1:24" ht="14.25" customHeight="1">
      <c r="A1353" s="110"/>
      <c r="B1353" s="125">
        <v>46175</v>
      </c>
      <c r="C1353" s="126" t="s">
        <v>316</v>
      </c>
      <c r="D1353" s="176" t="s">
        <v>285</v>
      </c>
      <c r="E1353" s="10" t="str">
        <f>TRIM(VLOOKUP(D1353,TB!$B$9:$C$1500,2,FALSE))</f>
        <v>Misc Cash Purchase</v>
      </c>
      <c r="F1353" s="173" t="s">
        <v>317</v>
      </c>
      <c r="G1353" s="130"/>
      <c r="H1353" s="10">
        <v>1402500</v>
      </c>
      <c r="I1353" s="10"/>
      <c r="J1353" s="79" t="e">
        <f t="shared" si="24"/>
        <v>#VALUE!</v>
      </c>
      <c r="K1353" s="106"/>
      <c r="L1353" s="107"/>
      <c r="M1353" s="106"/>
      <c r="N1353" s="106"/>
      <c r="O1353" s="108"/>
      <c r="P1353" s="108"/>
      <c r="Q1353" s="108"/>
      <c r="R1353" s="109"/>
      <c r="S1353" s="109"/>
      <c r="T1353" s="108"/>
      <c r="U1353" s="110"/>
      <c r="V1353" s="110"/>
      <c r="W1353" s="110"/>
      <c r="X1353" s="110"/>
    </row>
    <row r="1354" spans="1:24" ht="14.25" customHeight="1">
      <c r="A1354" s="110"/>
      <c r="B1354" s="125">
        <v>46175</v>
      </c>
      <c r="C1354" s="126" t="str">
        <f>C1353</f>
        <v>BCA26-06041</v>
      </c>
      <c r="D1354" s="68" t="s">
        <v>130</v>
      </c>
      <c r="E1354" s="10" t="str">
        <f>TRIM(VLOOKUP(D1354,TB!$B$9:$C$1500,2,FALSE))</f>
        <v>BCA TBB</v>
      </c>
      <c r="F1354" s="173" t="s">
        <v>317</v>
      </c>
      <c r="G1354" s="130"/>
      <c r="H1354" s="10"/>
      <c r="I1354" s="10">
        <f>SUM(H1353)</f>
        <v>1402500</v>
      </c>
      <c r="J1354" s="79" t="e">
        <f t="shared" si="24"/>
        <v>#VALUE!</v>
      </c>
      <c r="K1354" s="106"/>
      <c r="L1354" s="107"/>
      <c r="M1354" s="106"/>
      <c r="N1354" s="106"/>
      <c r="O1354" s="108"/>
      <c r="P1354" s="108"/>
      <c r="Q1354" s="108"/>
      <c r="R1354" s="109"/>
      <c r="S1354" s="109"/>
      <c r="T1354" s="108"/>
      <c r="U1354" s="110"/>
      <c r="V1354" s="110"/>
      <c r="W1354" s="110"/>
      <c r="X1354" s="110"/>
    </row>
    <row r="1355" spans="1:24" ht="14.25" customHeight="1">
      <c r="A1355" s="110"/>
      <c r="B1355" s="125"/>
      <c r="C1355" s="126"/>
      <c r="D1355" s="15"/>
      <c r="E1355" s="10" t="e">
        <f>TRIM(VLOOKUP(D1355,TB!$B$9:$C$1500,2,FALSE))</f>
        <v>#N/A</v>
      </c>
      <c r="F1355" s="173"/>
      <c r="G1355" s="130"/>
      <c r="H1355" s="10"/>
      <c r="I1355" s="10"/>
      <c r="J1355" s="79" t="e">
        <f t="shared" ref="J1355:J1547" si="25">J1354+H1355-I1355</f>
        <v>#VALUE!</v>
      </c>
      <c r="K1355" s="106"/>
      <c r="L1355" s="107"/>
      <c r="M1355" s="106"/>
      <c r="N1355" s="106"/>
      <c r="O1355" s="108"/>
      <c r="P1355" s="108"/>
      <c r="Q1355" s="108"/>
      <c r="R1355" s="109"/>
      <c r="S1355" s="109"/>
      <c r="T1355" s="108"/>
      <c r="U1355" s="110"/>
      <c r="V1355" s="110"/>
      <c r="W1355" s="110"/>
      <c r="X1355" s="110"/>
    </row>
    <row r="1356" spans="1:24" ht="14.25" customHeight="1">
      <c r="A1356" s="110"/>
      <c r="B1356" s="125">
        <v>46175</v>
      </c>
      <c r="C1356" s="126" t="s">
        <v>318</v>
      </c>
      <c r="D1356" s="68" t="s">
        <v>285</v>
      </c>
      <c r="E1356" s="10" t="str">
        <f>TRIM(VLOOKUP(D1356,TB!$B$9:$C$1500,2,FALSE))</f>
        <v>Misc Cash Purchase</v>
      </c>
      <c r="F1356" s="173" t="s">
        <v>319</v>
      </c>
      <c r="G1356" s="130"/>
      <c r="H1356" s="10">
        <v>1000000</v>
      </c>
      <c r="I1356" s="10"/>
      <c r="J1356" s="79" t="e">
        <f t="shared" si="25"/>
        <v>#VALUE!</v>
      </c>
      <c r="K1356" s="106"/>
      <c r="L1356" s="107"/>
      <c r="M1356" s="106"/>
      <c r="N1356" s="106"/>
      <c r="O1356" s="108"/>
      <c r="P1356" s="108"/>
      <c r="Q1356" s="108"/>
      <c r="R1356" s="109"/>
      <c r="S1356" s="109"/>
      <c r="T1356" s="108"/>
      <c r="U1356" s="110"/>
      <c r="V1356" s="110"/>
      <c r="W1356" s="110"/>
      <c r="X1356" s="110"/>
    </row>
    <row r="1357" spans="1:24" ht="14.25" customHeight="1">
      <c r="A1357" s="110"/>
      <c r="B1357" s="125">
        <v>46175</v>
      </c>
      <c r="C1357" s="126" t="str">
        <f>C1356</f>
        <v>BCA26-06042</v>
      </c>
      <c r="D1357" s="68" t="s">
        <v>130</v>
      </c>
      <c r="E1357" s="10" t="str">
        <f>TRIM(VLOOKUP(D1357,TB!$B$9:$C$1500,2,FALSE))</f>
        <v>BCA TBB</v>
      </c>
      <c r="F1357" s="173" t="s">
        <v>319</v>
      </c>
      <c r="G1357" s="130"/>
      <c r="H1357" s="10"/>
      <c r="I1357" s="10">
        <f>SUM(H1356)</f>
        <v>1000000</v>
      </c>
      <c r="J1357" s="79" t="e">
        <f t="shared" si="25"/>
        <v>#VALUE!</v>
      </c>
      <c r="K1357" s="106"/>
      <c r="L1357" s="107"/>
      <c r="M1357" s="106"/>
      <c r="N1357" s="106"/>
      <c r="O1357" s="108"/>
      <c r="P1357" s="108"/>
      <c r="Q1357" s="108"/>
      <c r="R1357" s="109"/>
      <c r="S1357" s="109"/>
      <c r="T1357" s="108"/>
      <c r="U1357" s="110"/>
      <c r="V1357" s="110"/>
      <c r="W1357" s="110"/>
      <c r="X1357" s="110"/>
    </row>
    <row r="1358" spans="1:24" ht="14.25" customHeight="1">
      <c r="A1358" s="110"/>
      <c r="B1358" s="125"/>
      <c r="C1358" s="126"/>
      <c r="D1358" s="15"/>
      <c r="E1358" s="10" t="e">
        <f>TRIM(VLOOKUP(D1358,TB!$B$9:$C$1500,2,FALSE))</f>
        <v>#N/A</v>
      </c>
      <c r="F1358" s="173"/>
      <c r="G1358" s="130"/>
      <c r="H1358" s="10"/>
      <c r="I1358" s="10"/>
      <c r="J1358" s="79" t="e">
        <f t="shared" si="25"/>
        <v>#VALUE!</v>
      </c>
      <c r="K1358" s="106"/>
      <c r="L1358" s="107"/>
      <c r="M1358" s="106"/>
      <c r="N1358" s="106"/>
      <c r="O1358" s="108"/>
      <c r="P1358" s="108"/>
      <c r="Q1358" s="108"/>
      <c r="R1358" s="109"/>
      <c r="S1358" s="109"/>
      <c r="T1358" s="108"/>
      <c r="U1358" s="110"/>
      <c r="V1358" s="110"/>
      <c r="W1358" s="110"/>
      <c r="X1358" s="110"/>
    </row>
    <row r="1359" spans="1:24" ht="14.25" customHeight="1">
      <c r="A1359" s="110"/>
      <c r="B1359" s="125">
        <v>46175</v>
      </c>
      <c r="C1359" s="126" t="s">
        <v>320</v>
      </c>
      <c r="D1359" s="68" t="s">
        <v>285</v>
      </c>
      <c r="E1359" s="10" t="str">
        <f>TRIM(VLOOKUP(D1359,TB!$B$9:$C$1500,2,FALSE))</f>
        <v>Misc Cash Purchase</v>
      </c>
      <c r="F1359" s="173" t="s">
        <v>321</v>
      </c>
      <c r="G1359" s="130"/>
      <c r="H1359" s="10">
        <v>2191050</v>
      </c>
      <c r="I1359" s="10"/>
      <c r="J1359" s="79" t="e">
        <f t="shared" si="25"/>
        <v>#VALUE!</v>
      </c>
      <c r="K1359" s="106"/>
      <c r="L1359" s="107"/>
      <c r="M1359" s="106"/>
      <c r="N1359" s="106"/>
      <c r="O1359" s="108"/>
      <c r="P1359" s="108"/>
      <c r="Q1359" s="108"/>
      <c r="R1359" s="109"/>
      <c r="S1359" s="109"/>
      <c r="T1359" s="108"/>
      <c r="U1359" s="110"/>
      <c r="V1359" s="110"/>
      <c r="W1359" s="110"/>
      <c r="X1359" s="110"/>
    </row>
    <row r="1360" spans="1:24" ht="14.25" customHeight="1">
      <c r="A1360" s="110"/>
      <c r="B1360" s="125">
        <v>46175</v>
      </c>
      <c r="C1360" s="126" t="str">
        <f>C1359</f>
        <v>BCA26-060343</v>
      </c>
      <c r="D1360" s="68" t="s">
        <v>130</v>
      </c>
      <c r="E1360" s="10" t="str">
        <f>TRIM(VLOOKUP(D1360,TB!$B$9:$C$1500,2,FALSE))</f>
        <v>BCA TBB</v>
      </c>
      <c r="F1360" s="173" t="s">
        <v>321</v>
      </c>
      <c r="G1360" s="130"/>
      <c r="H1360" s="10"/>
      <c r="I1360" s="10">
        <f>SUM(H1359)</f>
        <v>2191050</v>
      </c>
      <c r="J1360" s="79" t="e">
        <f t="shared" si="25"/>
        <v>#VALUE!</v>
      </c>
      <c r="K1360" s="106"/>
      <c r="L1360" s="107"/>
      <c r="M1360" s="106"/>
      <c r="N1360" s="106"/>
      <c r="O1360" s="108"/>
      <c r="P1360" s="108"/>
      <c r="Q1360" s="108"/>
      <c r="R1360" s="109"/>
      <c r="S1360" s="109"/>
      <c r="T1360" s="108"/>
      <c r="U1360" s="110"/>
      <c r="V1360" s="110"/>
      <c r="W1360" s="110"/>
      <c r="X1360" s="110"/>
    </row>
    <row r="1361" spans="1:24" ht="14.25" customHeight="1">
      <c r="A1361" s="110"/>
      <c r="B1361" s="125"/>
      <c r="C1361" s="126"/>
      <c r="D1361" s="15"/>
      <c r="E1361" s="10" t="e">
        <f>TRIM(VLOOKUP(D1361,TB!$B$9:$C$1500,2,FALSE))</f>
        <v>#N/A</v>
      </c>
      <c r="F1361" s="173"/>
      <c r="G1361" s="130"/>
      <c r="H1361" s="10"/>
      <c r="I1361" s="10"/>
      <c r="J1361" s="79" t="e">
        <f t="shared" si="25"/>
        <v>#VALUE!</v>
      </c>
      <c r="K1361" s="106"/>
      <c r="L1361" s="107"/>
      <c r="M1361" s="106"/>
      <c r="N1361" s="106"/>
      <c r="O1361" s="108"/>
      <c r="P1361" s="108"/>
      <c r="Q1361" s="108"/>
      <c r="R1361" s="109"/>
      <c r="S1361" s="109"/>
      <c r="T1361" s="108"/>
      <c r="U1361" s="110"/>
      <c r="V1361" s="110"/>
      <c r="W1361" s="110"/>
      <c r="X1361" s="110"/>
    </row>
    <row r="1362" spans="1:24" ht="14.25" customHeight="1">
      <c r="A1362" s="110"/>
      <c r="B1362" s="125">
        <v>46175</v>
      </c>
      <c r="C1362" s="126" t="s">
        <v>322</v>
      </c>
      <c r="D1362" s="68" t="s">
        <v>285</v>
      </c>
      <c r="E1362" s="10" t="str">
        <f>TRIM(VLOOKUP(D1362,TB!$B$9:$C$1500,2,FALSE))</f>
        <v>Misc Cash Purchase</v>
      </c>
      <c r="F1362" s="142" t="s">
        <v>323</v>
      </c>
      <c r="G1362" s="130"/>
      <c r="H1362" s="10">
        <v>1760000</v>
      </c>
      <c r="I1362" s="10"/>
      <c r="J1362" s="79" t="e">
        <f t="shared" si="25"/>
        <v>#VALUE!</v>
      </c>
      <c r="K1362" s="106"/>
      <c r="L1362" s="107"/>
      <c r="M1362" s="106"/>
      <c r="N1362" s="106"/>
      <c r="O1362" s="108"/>
      <c r="P1362" s="108"/>
      <c r="Q1362" s="108"/>
      <c r="R1362" s="109"/>
      <c r="S1362" s="109"/>
      <c r="T1362" s="108"/>
      <c r="U1362" s="110"/>
      <c r="V1362" s="110"/>
      <c r="W1362" s="110"/>
      <c r="X1362" s="110"/>
    </row>
    <row r="1363" spans="1:24" ht="14.25" customHeight="1">
      <c r="A1363" s="110"/>
      <c r="B1363" s="125">
        <v>46175</v>
      </c>
      <c r="C1363" s="126" t="str">
        <f>C1362</f>
        <v>BCA26-06044</v>
      </c>
      <c r="D1363" s="68" t="s">
        <v>130</v>
      </c>
      <c r="E1363" s="10" t="str">
        <f>TRIM(VLOOKUP(D1363,TB!$B$9:$C$1500,2,FALSE))</f>
        <v>BCA TBB</v>
      </c>
      <c r="F1363" s="142" t="s">
        <v>323</v>
      </c>
      <c r="G1363" s="130"/>
      <c r="H1363" s="10"/>
      <c r="I1363" s="10">
        <f>SUM(H1362)</f>
        <v>1760000</v>
      </c>
      <c r="J1363" s="79" t="e">
        <f t="shared" si="25"/>
        <v>#VALUE!</v>
      </c>
      <c r="K1363" s="106"/>
      <c r="L1363" s="107"/>
      <c r="M1363" s="106"/>
      <c r="N1363" s="106"/>
      <c r="O1363" s="108"/>
      <c r="P1363" s="108"/>
      <c r="Q1363" s="108"/>
      <c r="R1363" s="109"/>
      <c r="S1363" s="109"/>
      <c r="T1363" s="108"/>
      <c r="U1363" s="110"/>
      <c r="V1363" s="110"/>
      <c r="W1363" s="110"/>
      <c r="X1363" s="110"/>
    </row>
    <row r="1364" spans="1:24" ht="14.25" customHeight="1">
      <c r="A1364" s="110"/>
      <c r="B1364" s="125"/>
      <c r="C1364" s="126"/>
      <c r="D1364" s="15"/>
      <c r="E1364" s="10" t="e">
        <f>TRIM(VLOOKUP(D1364,TB!$B$9:$C$1500,2,FALSE))</f>
        <v>#N/A</v>
      </c>
      <c r="F1364" s="173"/>
      <c r="G1364" s="130"/>
      <c r="H1364" s="10"/>
      <c r="I1364" s="10"/>
      <c r="J1364" s="79" t="e">
        <f t="shared" si="25"/>
        <v>#VALUE!</v>
      </c>
      <c r="K1364" s="106"/>
      <c r="L1364" s="107"/>
      <c r="M1364" s="106"/>
      <c r="N1364" s="106"/>
      <c r="O1364" s="108"/>
      <c r="P1364" s="108"/>
      <c r="Q1364" s="108"/>
      <c r="R1364" s="109"/>
      <c r="S1364" s="109"/>
      <c r="T1364" s="108"/>
      <c r="U1364" s="110"/>
      <c r="V1364" s="110"/>
      <c r="W1364" s="110"/>
      <c r="X1364" s="110"/>
    </row>
    <row r="1365" spans="1:24" ht="14.25" customHeight="1">
      <c r="A1365" s="110"/>
      <c r="B1365" s="125">
        <v>46175</v>
      </c>
      <c r="C1365" s="126" t="s">
        <v>324</v>
      </c>
      <c r="D1365" s="68" t="s">
        <v>285</v>
      </c>
      <c r="E1365" s="10" t="str">
        <f>TRIM(VLOOKUP(D1365,TB!$B$9:$C$1500,2,FALSE))</f>
        <v>Misc Cash Purchase</v>
      </c>
      <c r="F1365" s="173" t="s">
        <v>325</v>
      </c>
      <c r="G1365" s="130"/>
      <c r="H1365" s="10">
        <v>3028000</v>
      </c>
      <c r="I1365" s="10"/>
      <c r="J1365" s="79" t="e">
        <f t="shared" si="25"/>
        <v>#VALUE!</v>
      </c>
      <c r="K1365" s="106"/>
      <c r="L1365" s="107"/>
      <c r="M1365" s="106"/>
      <c r="N1365" s="106"/>
      <c r="O1365" s="108"/>
      <c r="P1365" s="108"/>
      <c r="Q1365" s="108"/>
      <c r="R1365" s="109"/>
      <c r="S1365" s="109"/>
      <c r="T1365" s="108"/>
      <c r="U1365" s="110"/>
      <c r="V1365" s="110"/>
      <c r="W1365" s="110"/>
      <c r="X1365" s="110"/>
    </row>
    <row r="1366" spans="1:24" ht="14.25" customHeight="1">
      <c r="A1366" s="110"/>
      <c r="B1366" s="125">
        <v>46175</v>
      </c>
      <c r="C1366" s="126" t="str">
        <f>C1365</f>
        <v>BCA26-06045</v>
      </c>
      <c r="D1366" s="68" t="s">
        <v>130</v>
      </c>
      <c r="E1366" s="10" t="str">
        <f>TRIM(VLOOKUP(D1366,TB!$B$9:$C$1500,2,FALSE))</f>
        <v>BCA TBB</v>
      </c>
      <c r="F1366" s="173" t="s">
        <v>325</v>
      </c>
      <c r="G1366" s="130"/>
      <c r="H1366" s="10"/>
      <c r="I1366" s="10">
        <f>SUM(H1365)</f>
        <v>3028000</v>
      </c>
      <c r="J1366" s="79" t="e">
        <f t="shared" si="25"/>
        <v>#VALUE!</v>
      </c>
      <c r="K1366" s="106"/>
      <c r="L1366" s="107"/>
      <c r="M1366" s="106"/>
      <c r="N1366" s="106"/>
      <c r="O1366" s="108"/>
      <c r="P1366" s="108"/>
      <c r="Q1366" s="108"/>
      <c r="R1366" s="109"/>
      <c r="S1366" s="109"/>
      <c r="T1366" s="108"/>
      <c r="U1366" s="110"/>
      <c r="V1366" s="110"/>
      <c r="W1366" s="110"/>
      <c r="X1366" s="110"/>
    </row>
    <row r="1367" spans="1:24" ht="14.25" customHeight="1">
      <c r="A1367" s="110"/>
      <c r="B1367" s="125"/>
      <c r="C1367" s="126"/>
      <c r="D1367" s="15"/>
      <c r="E1367" s="10" t="e">
        <f>TRIM(VLOOKUP(D1367,TB!$B$9:$C$1500,2,FALSE))</f>
        <v>#N/A</v>
      </c>
      <c r="F1367" s="173"/>
      <c r="G1367" s="130"/>
      <c r="H1367" s="10"/>
      <c r="I1367" s="10"/>
      <c r="J1367" s="79" t="e">
        <f t="shared" si="25"/>
        <v>#VALUE!</v>
      </c>
      <c r="K1367" s="106"/>
      <c r="L1367" s="107"/>
      <c r="M1367" s="106"/>
      <c r="N1367" s="106"/>
      <c r="O1367" s="108"/>
      <c r="P1367" s="108"/>
      <c r="Q1367" s="108"/>
      <c r="R1367" s="109"/>
      <c r="S1367" s="109"/>
      <c r="T1367" s="108"/>
      <c r="U1367" s="110"/>
      <c r="V1367" s="110"/>
      <c r="W1367" s="110"/>
      <c r="X1367" s="110"/>
    </row>
    <row r="1368" spans="1:24" ht="14.25" customHeight="1">
      <c r="A1368" s="110"/>
      <c r="B1368" s="125">
        <v>46175</v>
      </c>
      <c r="C1368" s="126" t="s">
        <v>326</v>
      </c>
      <c r="D1368" s="68" t="s">
        <v>285</v>
      </c>
      <c r="E1368" s="10" t="str">
        <f>TRIM(VLOOKUP(D1368,TB!$B$9:$C$1500,2,FALSE))</f>
        <v>Misc Cash Purchase</v>
      </c>
      <c r="F1368" s="173" t="s">
        <v>327</v>
      </c>
      <c r="G1368" s="130"/>
      <c r="H1368" s="10">
        <v>19246100</v>
      </c>
      <c r="I1368" s="10"/>
      <c r="J1368" s="79" t="e">
        <f t="shared" si="25"/>
        <v>#VALUE!</v>
      </c>
      <c r="K1368" s="106"/>
      <c r="L1368" s="107"/>
      <c r="M1368" s="106"/>
      <c r="N1368" s="106"/>
      <c r="O1368" s="108"/>
      <c r="P1368" s="108"/>
      <c r="Q1368" s="108"/>
      <c r="R1368" s="109"/>
      <c r="S1368" s="109"/>
      <c r="T1368" s="108"/>
      <c r="U1368" s="110"/>
      <c r="V1368" s="110"/>
      <c r="W1368" s="110"/>
      <c r="X1368" s="110"/>
    </row>
    <row r="1369" spans="1:24" ht="14.25" customHeight="1">
      <c r="A1369" s="110"/>
      <c r="B1369" s="125">
        <v>46175</v>
      </c>
      <c r="C1369" s="126" t="str">
        <f>C1368</f>
        <v>BCA26-06046</v>
      </c>
      <c r="D1369" s="68" t="s">
        <v>130</v>
      </c>
      <c r="E1369" s="10" t="str">
        <f>TRIM(VLOOKUP(D1369,TB!$B$9:$C$1500,2,FALSE))</f>
        <v>BCA TBB</v>
      </c>
      <c r="F1369" s="173" t="s">
        <v>327</v>
      </c>
      <c r="G1369" s="130"/>
      <c r="H1369" s="10"/>
      <c r="I1369" s="10">
        <f>SUM(H1368)</f>
        <v>19246100</v>
      </c>
      <c r="J1369" s="79" t="e">
        <f t="shared" si="25"/>
        <v>#VALUE!</v>
      </c>
      <c r="K1369" s="106"/>
      <c r="L1369" s="107"/>
      <c r="M1369" s="106"/>
      <c r="N1369" s="106"/>
      <c r="O1369" s="108"/>
      <c r="P1369" s="108"/>
      <c r="Q1369" s="108"/>
      <c r="R1369" s="109"/>
      <c r="S1369" s="109"/>
      <c r="T1369" s="108"/>
      <c r="U1369" s="110"/>
      <c r="V1369" s="110"/>
      <c r="W1369" s="110"/>
      <c r="X1369" s="110"/>
    </row>
    <row r="1370" spans="1:24" ht="14.25" customHeight="1">
      <c r="A1370" s="110"/>
      <c r="B1370" s="125"/>
      <c r="C1370" s="126"/>
      <c r="D1370" s="15"/>
      <c r="E1370" s="10" t="e">
        <f>TRIM(VLOOKUP(D1370,TB!$B$9:$C$1500,2,FALSE))</f>
        <v>#N/A</v>
      </c>
      <c r="F1370" s="142"/>
      <c r="G1370" s="130"/>
      <c r="H1370" s="10"/>
      <c r="I1370" s="10"/>
      <c r="J1370" s="79" t="e">
        <f t="shared" si="25"/>
        <v>#VALUE!</v>
      </c>
      <c r="K1370" s="106"/>
      <c r="L1370" s="107"/>
      <c r="M1370" s="106"/>
      <c r="N1370" s="106"/>
      <c r="O1370" s="108"/>
      <c r="P1370" s="108"/>
      <c r="Q1370" s="108"/>
      <c r="R1370" s="109"/>
      <c r="S1370" s="109"/>
      <c r="T1370" s="108"/>
      <c r="U1370" s="110"/>
      <c r="V1370" s="110"/>
      <c r="W1370" s="110"/>
      <c r="X1370" s="110"/>
    </row>
    <row r="1371" spans="1:24" ht="14.25" customHeight="1">
      <c r="A1371" s="110"/>
      <c r="B1371" s="125">
        <v>46175</v>
      </c>
      <c r="C1371" s="126" t="s">
        <v>328</v>
      </c>
      <c r="D1371" s="68" t="s">
        <v>285</v>
      </c>
      <c r="E1371" s="10" t="str">
        <f>TRIM(VLOOKUP(D1371,TB!$B$9:$C$1500,2,FALSE))</f>
        <v>Misc Cash Purchase</v>
      </c>
      <c r="F1371" s="173" t="s">
        <v>329</v>
      </c>
      <c r="G1371" s="130"/>
      <c r="H1371" s="10">
        <v>562600</v>
      </c>
      <c r="I1371" s="10"/>
      <c r="J1371" s="79" t="e">
        <f t="shared" si="25"/>
        <v>#VALUE!</v>
      </c>
      <c r="K1371" s="106"/>
      <c r="L1371" s="107"/>
      <c r="M1371" s="106"/>
      <c r="N1371" s="106"/>
      <c r="O1371" s="108"/>
      <c r="P1371" s="108"/>
      <c r="Q1371" s="108"/>
      <c r="R1371" s="109"/>
      <c r="S1371" s="109"/>
      <c r="T1371" s="108"/>
      <c r="U1371" s="110"/>
      <c r="V1371" s="110"/>
      <c r="W1371" s="110"/>
      <c r="X1371" s="110"/>
    </row>
    <row r="1372" spans="1:24" ht="14.25" customHeight="1">
      <c r="A1372" s="110"/>
      <c r="B1372" s="125">
        <v>46175</v>
      </c>
      <c r="C1372" s="126" t="str">
        <f>C1371</f>
        <v>BCA26-06047</v>
      </c>
      <c r="D1372" s="68" t="s">
        <v>130</v>
      </c>
      <c r="E1372" s="10" t="str">
        <f>TRIM(VLOOKUP(D1372,TB!$B$9:$C$1500,2,FALSE))</f>
        <v>BCA TBB</v>
      </c>
      <c r="F1372" s="173" t="s">
        <v>329</v>
      </c>
      <c r="G1372" s="130"/>
      <c r="H1372" s="10"/>
      <c r="I1372" s="10">
        <f>SUM(H1371)</f>
        <v>562600</v>
      </c>
      <c r="J1372" s="79" t="e">
        <f t="shared" si="25"/>
        <v>#VALUE!</v>
      </c>
      <c r="K1372" s="106"/>
      <c r="L1372" s="107"/>
      <c r="M1372" s="106"/>
      <c r="N1372" s="106"/>
      <c r="O1372" s="108"/>
      <c r="P1372" s="108"/>
      <c r="Q1372" s="108"/>
      <c r="R1372" s="109"/>
      <c r="S1372" s="109"/>
      <c r="T1372" s="108"/>
      <c r="U1372" s="110"/>
      <c r="V1372" s="110"/>
      <c r="W1372" s="110"/>
      <c r="X1372" s="110"/>
    </row>
    <row r="1373" spans="1:24" ht="14.25" customHeight="1">
      <c r="A1373" s="110"/>
      <c r="B1373" s="125"/>
      <c r="C1373" s="126"/>
      <c r="D1373" s="15"/>
      <c r="E1373" s="10" t="e">
        <f>TRIM(VLOOKUP(D1373,TB!$B$9:$C$1500,2,FALSE))</f>
        <v>#N/A</v>
      </c>
      <c r="F1373" s="173"/>
      <c r="G1373" s="130"/>
      <c r="H1373" s="10"/>
      <c r="I1373" s="10"/>
      <c r="J1373" s="79" t="e">
        <f t="shared" si="25"/>
        <v>#VALUE!</v>
      </c>
      <c r="K1373" s="106"/>
      <c r="L1373" s="107"/>
      <c r="M1373" s="106"/>
      <c r="N1373" s="106"/>
      <c r="O1373" s="108"/>
      <c r="P1373" s="108"/>
      <c r="Q1373" s="108"/>
      <c r="R1373" s="109"/>
      <c r="S1373" s="109"/>
      <c r="T1373" s="108"/>
      <c r="U1373" s="110"/>
      <c r="V1373" s="110"/>
      <c r="W1373" s="110"/>
      <c r="X1373" s="110"/>
    </row>
    <row r="1374" spans="1:24" ht="14.25" customHeight="1">
      <c r="A1374" s="110"/>
      <c r="B1374" s="125">
        <v>46175</v>
      </c>
      <c r="C1374" s="126" t="s">
        <v>330</v>
      </c>
      <c r="D1374" s="68" t="s">
        <v>285</v>
      </c>
      <c r="E1374" s="10" t="str">
        <f>TRIM(VLOOKUP(D1374,TB!$B$9:$C$1500,2,FALSE))</f>
        <v>Misc Cash Purchase</v>
      </c>
      <c r="F1374" s="173" t="s">
        <v>331</v>
      </c>
      <c r="G1374" s="130"/>
      <c r="H1374" s="10">
        <v>9270498</v>
      </c>
      <c r="I1374" s="10"/>
      <c r="J1374" s="79" t="e">
        <f t="shared" si="25"/>
        <v>#VALUE!</v>
      </c>
      <c r="K1374" s="106"/>
      <c r="L1374" s="107"/>
      <c r="M1374" s="106"/>
      <c r="N1374" s="106"/>
      <c r="O1374" s="108"/>
      <c r="P1374" s="108"/>
      <c r="Q1374" s="108"/>
      <c r="R1374" s="109"/>
      <c r="S1374" s="109"/>
      <c r="T1374" s="108"/>
      <c r="U1374" s="110"/>
      <c r="V1374" s="110"/>
      <c r="W1374" s="110"/>
      <c r="X1374" s="110"/>
    </row>
    <row r="1375" spans="1:24" ht="14.25" customHeight="1">
      <c r="A1375" s="110"/>
      <c r="B1375" s="125">
        <v>46175</v>
      </c>
      <c r="C1375" s="126" t="str">
        <f>C1374</f>
        <v>BCA26-06048</v>
      </c>
      <c r="D1375" s="68" t="s">
        <v>130</v>
      </c>
      <c r="E1375" s="10" t="str">
        <f>TRIM(VLOOKUP(D1375,TB!$B$9:$C$1500,2,FALSE))</f>
        <v>BCA TBB</v>
      </c>
      <c r="F1375" s="173" t="s">
        <v>331</v>
      </c>
      <c r="G1375" s="130"/>
      <c r="H1375" s="10"/>
      <c r="I1375" s="10">
        <f>SUM(H1374)</f>
        <v>9270498</v>
      </c>
      <c r="J1375" s="79" t="e">
        <f t="shared" si="25"/>
        <v>#VALUE!</v>
      </c>
      <c r="K1375" s="106"/>
      <c r="L1375" s="107"/>
      <c r="M1375" s="106"/>
      <c r="N1375" s="106"/>
      <c r="O1375" s="108"/>
      <c r="P1375" s="108"/>
      <c r="Q1375" s="108"/>
      <c r="R1375" s="109"/>
      <c r="S1375" s="109"/>
      <c r="T1375" s="108"/>
      <c r="U1375" s="110"/>
      <c r="V1375" s="110"/>
      <c r="W1375" s="110"/>
      <c r="X1375" s="110"/>
    </row>
    <row r="1376" spans="1:24" ht="14.25" customHeight="1">
      <c r="A1376" s="110"/>
      <c r="B1376" s="125"/>
      <c r="C1376" s="126"/>
      <c r="D1376" s="15"/>
      <c r="E1376" s="10" t="e">
        <f>TRIM(VLOOKUP(D1376,TB!$B$9:$C$1500,2,FALSE))</f>
        <v>#N/A</v>
      </c>
      <c r="F1376" s="173"/>
      <c r="G1376" s="130"/>
      <c r="H1376" s="10"/>
      <c r="I1376" s="10"/>
      <c r="J1376" s="79" t="e">
        <f t="shared" si="25"/>
        <v>#VALUE!</v>
      </c>
      <c r="K1376" s="106"/>
      <c r="L1376" s="107"/>
      <c r="M1376" s="106"/>
      <c r="N1376" s="106"/>
      <c r="O1376" s="108"/>
      <c r="P1376" s="108"/>
      <c r="Q1376" s="108"/>
      <c r="R1376" s="109"/>
      <c r="S1376" s="109"/>
      <c r="T1376" s="108"/>
      <c r="U1376" s="110"/>
      <c r="V1376" s="110"/>
      <c r="W1376" s="110"/>
      <c r="X1376" s="110"/>
    </row>
    <row r="1377" spans="1:24" ht="14.25" customHeight="1">
      <c r="A1377" s="110"/>
      <c r="B1377" s="125">
        <v>46175</v>
      </c>
      <c r="C1377" s="126" t="s">
        <v>332</v>
      </c>
      <c r="D1377" s="68" t="s">
        <v>285</v>
      </c>
      <c r="E1377" s="10" t="str">
        <f>TRIM(VLOOKUP(D1377,TB!$B$9:$C$1500,2,FALSE))</f>
        <v>Misc Cash Purchase</v>
      </c>
      <c r="F1377" s="173" t="s">
        <v>333</v>
      </c>
      <c r="G1377" s="130"/>
      <c r="H1377" s="10">
        <v>12000000</v>
      </c>
      <c r="I1377" s="10"/>
      <c r="J1377" s="79" t="e">
        <f t="shared" si="25"/>
        <v>#VALUE!</v>
      </c>
      <c r="K1377" s="106"/>
      <c r="L1377" s="107"/>
      <c r="M1377" s="106"/>
      <c r="N1377" s="106"/>
      <c r="O1377" s="108"/>
      <c r="P1377" s="108"/>
      <c r="Q1377" s="108"/>
      <c r="R1377" s="109"/>
      <c r="S1377" s="109"/>
      <c r="T1377" s="108"/>
      <c r="U1377" s="110"/>
      <c r="V1377" s="110"/>
      <c r="W1377" s="110"/>
      <c r="X1377" s="110"/>
    </row>
    <row r="1378" spans="1:24" ht="14.25" customHeight="1">
      <c r="A1378" s="110"/>
      <c r="B1378" s="125">
        <v>46175</v>
      </c>
      <c r="C1378" s="126" t="s">
        <v>332</v>
      </c>
      <c r="D1378" s="15" t="s">
        <v>124</v>
      </c>
      <c r="E1378" s="10" t="str">
        <f>TRIM(VLOOKUP(D1378,TB!$B$9:$C$1500,2,FALSE))</f>
        <v>Bank charges</v>
      </c>
      <c r="F1378" s="173" t="s">
        <v>333</v>
      </c>
      <c r="G1378" s="130"/>
      <c r="H1378" s="10">
        <v>2500</v>
      </c>
      <c r="I1378" s="10"/>
      <c r="J1378" s="79" t="e">
        <f t="shared" si="25"/>
        <v>#VALUE!</v>
      </c>
      <c r="K1378" s="106"/>
      <c r="L1378" s="107"/>
      <c r="M1378" s="106"/>
      <c r="N1378" s="106"/>
      <c r="O1378" s="108"/>
      <c r="P1378" s="108"/>
      <c r="Q1378" s="108"/>
      <c r="R1378" s="109"/>
      <c r="S1378" s="109"/>
      <c r="T1378" s="108"/>
      <c r="U1378" s="110"/>
      <c r="V1378" s="110"/>
      <c r="W1378" s="110"/>
      <c r="X1378" s="110"/>
    </row>
    <row r="1379" spans="1:24" ht="14.25" customHeight="1">
      <c r="A1379" s="110"/>
      <c r="B1379" s="125">
        <v>46175</v>
      </c>
      <c r="C1379" s="126" t="str">
        <f>C1377</f>
        <v>BCA26-06049</v>
      </c>
      <c r="D1379" s="68" t="s">
        <v>130</v>
      </c>
      <c r="E1379" s="10" t="str">
        <f>TRIM(VLOOKUP(D1379,TB!$B$9:$C$1500,2,FALSE))</f>
        <v>BCA TBB</v>
      </c>
      <c r="F1379" s="173" t="s">
        <v>333</v>
      </c>
      <c r="G1379" s="130"/>
      <c r="H1379" s="10"/>
      <c r="I1379" s="10">
        <v>12002500</v>
      </c>
      <c r="J1379" s="79" t="e">
        <f t="shared" si="25"/>
        <v>#VALUE!</v>
      </c>
      <c r="K1379" s="106"/>
      <c r="L1379" s="107"/>
      <c r="M1379" s="106"/>
      <c r="N1379" s="106"/>
      <c r="O1379" s="108"/>
      <c r="P1379" s="108"/>
      <c r="Q1379" s="108"/>
      <c r="R1379" s="109"/>
      <c r="S1379" s="109"/>
      <c r="T1379" s="108"/>
      <c r="U1379" s="110"/>
      <c r="V1379" s="110"/>
      <c r="W1379" s="110"/>
      <c r="X1379" s="110"/>
    </row>
    <row r="1380" spans="1:24" ht="14.25" customHeight="1">
      <c r="A1380" s="110"/>
      <c r="B1380" s="125"/>
      <c r="C1380" s="126"/>
      <c r="D1380" s="15"/>
      <c r="E1380" s="10" t="e">
        <f>TRIM(VLOOKUP(D1380,TB!$B$9:$C$1500,2,FALSE))</f>
        <v>#N/A</v>
      </c>
      <c r="F1380" s="173"/>
      <c r="G1380" s="130"/>
      <c r="H1380" s="10"/>
      <c r="I1380" s="10"/>
      <c r="J1380" s="79" t="e">
        <f t="shared" si="25"/>
        <v>#VALUE!</v>
      </c>
      <c r="K1380" s="106"/>
      <c r="L1380" s="107"/>
      <c r="M1380" s="106"/>
      <c r="N1380" s="106"/>
      <c r="O1380" s="108"/>
      <c r="P1380" s="108"/>
      <c r="Q1380" s="108"/>
      <c r="R1380" s="109"/>
      <c r="S1380" s="109"/>
      <c r="T1380" s="108"/>
      <c r="U1380" s="110"/>
      <c r="V1380" s="110"/>
      <c r="W1380" s="110"/>
      <c r="X1380" s="110"/>
    </row>
    <row r="1381" spans="1:24" ht="14.25" customHeight="1">
      <c r="A1381" s="110"/>
      <c r="B1381" s="125">
        <v>46175</v>
      </c>
      <c r="C1381" s="126" t="s">
        <v>334</v>
      </c>
      <c r="D1381" s="68" t="s">
        <v>285</v>
      </c>
      <c r="E1381" s="10" t="str">
        <f>TRIM(VLOOKUP(D1381,TB!$B$9:$C$1500,2,FALSE))</f>
        <v>Misc Cash Purchase</v>
      </c>
      <c r="F1381" s="173" t="s">
        <v>335</v>
      </c>
      <c r="G1381" s="130"/>
      <c r="H1381" s="10">
        <v>1000000</v>
      </c>
      <c r="I1381" s="10"/>
      <c r="J1381" s="79" t="e">
        <f t="shared" si="25"/>
        <v>#VALUE!</v>
      </c>
      <c r="K1381" s="106"/>
      <c r="L1381" s="107"/>
      <c r="M1381" s="106"/>
      <c r="N1381" s="106"/>
      <c r="O1381" s="108"/>
      <c r="P1381" s="108"/>
      <c r="Q1381" s="108"/>
      <c r="R1381" s="109"/>
      <c r="S1381" s="109"/>
      <c r="T1381" s="108"/>
      <c r="U1381" s="110"/>
      <c r="V1381" s="110"/>
      <c r="W1381" s="110"/>
      <c r="X1381" s="110"/>
    </row>
    <row r="1382" spans="1:24" ht="14.25" customHeight="1">
      <c r="A1382" s="110"/>
      <c r="B1382" s="125">
        <v>46175</v>
      </c>
      <c r="C1382" s="126" t="s">
        <v>334</v>
      </c>
      <c r="D1382" s="15" t="s">
        <v>124</v>
      </c>
      <c r="E1382" s="10" t="str">
        <f>TRIM(VLOOKUP(D1382,TB!$B$9:$C$1500,2,FALSE))</f>
        <v>Bank charges</v>
      </c>
      <c r="F1382" s="173" t="s">
        <v>335</v>
      </c>
      <c r="G1382" s="130"/>
      <c r="H1382" s="10">
        <v>2500</v>
      </c>
      <c r="I1382" s="10"/>
      <c r="J1382" s="79" t="e">
        <f t="shared" si="25"/>
        <v>#VALUE!</v>
      </c>
      <c r="K1382" s="106"/>
      <c r="L1382" s="107"/>
      <c r="M1382" s="106"/>
      <c r="N1382" s="106"/>
      <c r="O1382" s="108"/>
      <c r="P1382" s="108"/>
      <c r="Q1382" s="108"/>
      <c r="R1382" s="109"/>
      <c r="S1382" s="109"/>
      <c r="T1382" s="108"/>
      <c r="U1382" s="110"/>
      <c r="V1382" s="110"/>
      <c r="W1382" s="110"/>
      <c r="X1382" s="110"/>
    </row>
    <row r="1383" spans="1:24" ht="14.25" customHeight="1">
      <c r="A1383" s="110"/>
      <c r="B1383" s="125">
        <v>46175</v>
      </c>
      <c r="C1383" s="126" t="str">
        <f>C1381</f>
        <v>BCA26-06050</v>
      </c>
      <c r="D1383" s="68" t="s">
        <v>130</v>
      </c>
      <c r="E1383" s="10" t="str">
        <f>TRIM(VLOOKUP(D1383,TB!$B$9:$C$1500,2,FALSE))</f>
        <v>BCA TBB</v>
      </c>
      <c r="F1383" s="173" t="str">
        <f>F1381</f>
        <v>See Balichronicles - Adv. April 2026</v>
      </c>
      <c r="G1383" s="130"/>
      <c r="H1383" s="10"/>
      <c r="I1383" s="10">
        <v>1002500</v>
      </c>
      <c r="J1383" s="79" t="e">
        <f t="shared" si="25"/>
        <v>#VALUE!</v>
      </c>
      <c r="K1383" s="106"/>
      <c r="L1383" s="107"/>
      <c r="M1383" s="106"/>
      <c r="N1383" s="106"/>
      <c r="O1383" s="108"/>
      <c r="P1383" s="108"/>
      <c r="Q1383" s="108"/>
      <c r="R1383" s="109"/>
      <c r="S1383" s="109"/>
      <c r="T1383" s="108"/>
      <c r="U1383" s="110"/>
      <c r="V1383" s="110"/>
      <c r="W1383" s="110"/>
      <c r="X1383" s="110"/>
    </row>
    <row r="1384" spans="1:24" ht="14.25" customHeight="1">
      <c r="A1384" s="110"/>
      <c r="B1384" s="125"/>
      <c r="C1384" s="126"/>
      <c r="D1384" s="15"/>
      <c r="E1384" s="10" t="e">
        <f>TRIM(VLOOKUP(D1384,TB!$B$9:$C$1500,2,FALSE))</f>
        <v>#N/A</v>
      </c>
      <c r="F1384" s="173"/>
      <c r="G1384" s="130"/>
      <c r="H1384" s="10"/>
      <c r="I1384" s="10"/>
      <c r="J1384" s="79" t="e">
        <f t="shared" si="25"/>
        <v>#VALUE!</v>
      </c>
      <c r="K1384" s="106"/>
      <c r="L1384" s="107"/>
      <c r="M1384" s="106"/>
      <c r="N1384" s="106"/>
      <c r="O1384" s="108"/>
      <c r="P1384" s="108"/>
      <c r="Q1384" s="108"/>
      <c r="R1384" s="109"/>
      <c r="S1384" s="109"/>
      <c r="T1384" s="108"/>
      <c r="U1384" s="110"/>
      <c r="V1384" s="110"/>
      <c r="W1384" s="110"/>
      <c r="X1384" s="110"/>
    </row>
    <row r="1385" spans="1:24" ht="14.25" customHeight="1">
      <c r="A1385" s="110"/>
      <c r="B1385" s="125">
        <v>46175</v>
      </c>
      <c r="C1385" s="126" t="s">
        <v>336</v>
      </c>
      <c r="D1385" s="68" t="s">
        <v>285</v>
      </c>
      <c r="E1385" s="10" t="str">
        <f>TRIM(VLOOKUP(D1385,TB!$B$9:$C$1500,2,FALSE))</f>
        <v>Misc Cash Purchase</v>
      </c>
      <c r="F1385" s="173" t="s">
        <v>337</v>
      </c>
      <c r="G1385" s="130"/>
      <c r="H1385" s="10">
        <v>1400000</v>
      </c>
      <c r="I1385" s="10"/>
      <c r="J1385" s="79" t="e">
        <f t="shared" si="25"/>
        <v>#VALUE!</v>
      </c>
      <c r="K1385" s="106"/>
      <c r="L1385" s="107"/>
      <c r="M1385" s="106"/>
      <c r="N1385" s="106"/>
      <c r="O1385" s="108"/>
      <c r="P1385" s="108"/>
      <c r="Q1385" s="108"/>
      <c r="R1385" s="109"/>
      <c r="S1385" s="109"/>
      <c r="T1385" s="108"/>
      <c r="U1385" s="110"/>
      <c r="V1385" s="110"/>
      <c r="W1385" s="110"/>
      <c r="X1385" s="110"/>
    </row>
    <row r="1386" spans="1:24" ht="14.25" customHeight="1">
      <c r="A1386" s="110"/>
      <c r="B1386" s="125">
        <v>46175</v>
      </c>
      <c r="C1386" s="126" t="str">
        <f>C1385</f>
        <v>BCA26-06051</v>
      </c>
      <c r="D1386" s="68" t="s">
        <v>130</v>
      </c>
      <c r="E1386" s="10" t="str">
        <f>TRIM(VLOOKUP(D1386,TB!$B$9:$C$1500,2,FALSE))</f>
        <v>BCA TBB</v>
      </c>
      <c r="F1386" s="173" t="str">
        <f>F1385</f>
        <v>Jamal - Fee Salsa 14 Mei 26</v>
      </c>
      <c r="G1386" s="130"/>
      <c r="H1386" s="10"/>
      <c r="I1386" s="10">
        <f>SUM(H1385)</f>
        <v>1400000</v>
      </c>
      <c r="J1386" s="79" t="e">
        <f t="shared" si="25"/>
        <v>#VALUE!</v>
      </c>
      <c r="K1386" s="106"/>
      <c r="L1386" s="107"/>
      <c r="M1386" s="106"/>
      <c r="N1386" s="106"/>
      <c r="O1386" s="108"/>
      <c r="P1386" s="108"/>
      <c r="Q1386" s="108"/>
      <c r="R1386" s="109"/>
      <c r="S1386" s="109"/>
      <c r="T1386" s="108"/>
      <c r="U1386" s="110"/>
      <c r="V1386" s="110"/>
      <c r="W1386" s="110"/>
      <c r="X1386" s="110"/>
    </row>
    <row r="1387" spans="1:24" ht="14.25" customHeight="1">
      <c r="A1387" s="110"/>
      <c r="B1387" s="125"/>
      <c r="C1387" s="126"/>
      <c r="D1387" s="15"/>
      <c r="E1387" s="10" t="e">
        <f>TRIM(VLOOKUP(D1387,TB!$B$9:$C$1500,2,FALSE))</f>
        <v>#N/A</v>
      </c>
      <c r="F1387" s="173"/>
      <c r="G1387" s="130"/>
      <c r="H1387" s="10"/>
      <c r="I1387" s="10"/>
      <c r="J1387" s="79" t="e">
        <f t="shared" si="25"/>
        <v>#VALUE!</v>
      </c>
      <c r="K1387" s="106"/>
      <c r="L1387" s="107"/>
      <c r="M1387" s="106"/>
      <c r="N1387" s="106"/>
      <c r="O1387" s="108"/>
      <c r="P1387" s="108"/>
      <c r="Q1387" s="108"/>
      <c r="R1387" s="109"/>
      <c r="S1387" s="109"/>
      <c r="T1387" s="108"/>
      <c r="U1387" s="110"/>
      <c r="V1387" s="110"/>
      <c r="W1387" s="110"/>
      <c r="X1387" s="110"/>
    </row>
    <row r="1388" spans="1:24" ht="14.25" customHeight="1">
      <c r="A1388" s="110"/>
      <c r="B1388" s="125">
        <v>46175</v>
      </c>
      <c r="C1388" s="126" t="s">
        <v>338</v>
      </c>
      <c r="D1388" s="68" t="s">
        <v>285</v>
      </c>
      <c r="E1388" s="10" t="str">
        <f>TRIM(VLOOKUP(D1388,TB!$B$9:$C$1500,2,FALSE))</f>
        <v>Misc Cash Purchase</v>
      </c>
      <c r="F1388" s="173" t="s">
        <v>339</v>
      </c>
      <c r="G1388" s="130"/>
      <c r="H1388" s="10">
        <v>35000000</v>
      </c>
      <c r="I1388" s="10"/>
      <c r="J1388" s="79" t="e">
        <f t="shared" si="25"/>
        <v>#VALUE!</v>
      </c>
      <c r="K1388" s="106"/>
      <c r="L1388" s="107"/>
      <c r="M1388" s="106"/>
      <c r="N1388" s="106"/>
      <c r="O1388" s="108"/>
      <c r="P1388" s="108"/>
      <c r="Q1388" s="108"/>
      <c r="R1388" s="109"/>
      <c r="S1388" s="109"/>
      <c r="T1388" s="108"/>
      <c r="U1388" s="110"/>
      <c r="V1388" s="110"/>
      <c r="W1388" s="110"/>
      <c r="X1388" s="110"/>
    </row>
    <row r="1389" spans="1:24" ht="14.25" customHeight="1">
      <c r="A1389" s="110"/>
      <c r="B1389" s="125">
        <v>46175</v>
      </c>
      <c r="C1389" s="126" t="str">
        <f>C1388</f>
        <v>BCA26-06052</v>
      </c>
      <c r="D1389" s="68" t="s">
        <v>130</v>
      </c>
      <c r="E1389" s="10" t="str">
        <f>TRIM(VLOOKUP(D1389,TB!$B$9:$C$1500,2,FALSE))</f>
        <v>BCA TBB</v>
      </c>
      <c r="F1389" s="173" t="str">
        <f>F1388</f>
        <v xml:space="preserve">Bowo - Fee Regular May 2026 </v>
      </c>
      <c r="G1389" s="130"/>
      <c r="H1389" s="10"/>
      <c r="I1389" s="10">
        <f>SUM(H1388)</f>
        <v>35000000</v>
      </c>
      <c r="J1389" s="79" t="e">
        <f t="shared" si="25"/>
        <v>#VALUE!</v>
      </c>
      <c r="K1389" s="106"/>
      <c r="L1389" s="107"/>
      <c r="M1389" s="106"/>
      <c r="N1389" s="106"/>
      <c r="O1389" s="108"/>
      <c r="P1389" s="108"/>
      <c r="Q1389" s="108"/>
      <c r="R1389" s="109"/>
      <c r="S1389" s="109"/>
      <c r="T1389" s="108"/>
      <c r="U1389" s="110"/>
      <c r="V1389" s="110"/>
      <c r="W1389" s="110"/>
      <c r="X1389" s="110"/>
    </row>
    <row r="1390" spans="1:24" ht="14.25" customHeight="1">
      <c r="A1390" s="110"/>
      <c r="B1390" s="125"/>
      <c r="C1390" s="126"/>
      <c r="D1390" s="15"/>
      <c r="E1390" s="10" t="e">
        <f>TRIM(VLOOKUP(D1390,TB!$B$9:$C$1500,2,FALSE))</f>
        <v>#N/A</v>
      </c>
      <c r="F1390" s="173"/>
      <c r="G1390" s="130"/>
      <c r="H1390" s="10"/>
      <c r="I1390" s="10"/>
      <c r="J1390" s="79" t="e">
        <f t="shared" si="25"/>
        <v>#VALUE!</v>
      </c>
      <c r="K1390" s="106"/>
      <c r="L1390" s="107"/>
      <c r="M1390" s="106"/>
      <c r="N1390" s="106"/>
      <c r="O1390" s="108"/>
      <c r="P1390" s="108"/>
      <c r="Q1390" s="108"/>
      <c r="R1390" s="109"/>
      <c r="S1390" s="109"/>
      <c r="T1390" s="108"/>
      <c r="U1390" s="110"/>
      <c r="V1390" s="110"/>
      <c r="W1390" s="110"/>
      <c r="X1390" s="110"/>
    </row>
    <row r="1391" spans="1:24" ht="14.25" customHeight="1">
      <c r="A1391" s="110"/>
      <c r="B1391" s="125">
        <v>46175</v>
      </c>
      <c r="C1391" s="126" t="s">
        <v>340</v>
      </c>
      <c r="D1391" s="68" t="s">
        <v>285</v>
      </c>
      <c r="E1391" s="10" t="str">
        <f>TRIM(VLOOKUP(D1391,TB!$B$9:$C$1500,2,FALSE))</f>
        <v>Misc Cash Purchase</v>
      </c>
      <c r="F1391" s="142" t="s">
        <v>341</v>
      </c>
      <c r="G1391" s="130"/>
      <c r="H1391" s="10">
        <v>2000000</v>
      </c>
      <c r="I1391" s="10"/>
      <c r="J1391" s="79" t="e">
        <f t="shared" si="25"/>
        <v>#VALUE!</v>
      </c>
      <c r="K1391" s="106"/>
      <c r="L1391" s="107"/>
      <c r="M1391" s="106"/>
      <c r="N1391" s="106"/>
      <c r="O1391" s="108"/>
      <c r="P1391" s="108"/>
      <c r="Q1391" s="108"/>
      <c r="R1391" s="109"/>
      <c r="S1391" s="109"/>
      <c r="T1391" s="108"/>
      <c r="U1391" s="110"/>
      <c r="V1391" s="110"/>
      <c r="W1391" s="110"/>
      <c r="X1391" s="110"/>
    </row>
    <row r="1392" spans="1:24" ht="14.25" customHeight="1">
      <c r="A1392" s="110"/>
      <c r="B1392" s="125">
        <v>46175</v>
      </c>
      <c r="C1392" s="126" t="str">
        <f>C1391</f>
        <v>BCA26-06053</v>
      </c>
      <c r="D1392" s="68" t="s">
        <v>130</v>
      </c>
      <c r="E1392" s="10" t="str">
        <f>TRIM(VLOOKUP(D1392,TB!$B$9:$C$1500,2,FALSE))</f>
        <v>BCA TBB</v>
      </c>
      <c r="F1392" s="173" t="str">
        <f>F1391</f>
        <v>Pak Kaling - Fee Regular May 2026</v>
      </c>
      <c r="G1392" s="130"/>
      <c r="H1392" s="10"/>
      <c r="I1392" s="10">
        <f>SUM(H1391)</f>
        <v>2000000</v>
      </c>
      <c r="J1392" s="79" t="e">
        <f t="shared" si="25"/>
        <v>#VALUE!</v>
      </c>
      <c r="K1392" s="106"/>
      <c r="L1392" s="107"/>
      <c r="M1392" s="106"/>
      <c r="N1392" s="106"/>
      <c r="O1392" s="108"/>
      <c r="P1392" s="108"/>
      <c r="Q1392" s="108"/>
      <c r="R1392" s="109"/>
      <c r="S1392" s="109"/>
      <c r="T1392" s="108"/>
      <c r="U1392" s="110"/>
      <c r="V1392" s="110"/>
      <c r="W1392" s="110"/>
      <c r="X1392" s="110"/>
    </row>
    <row r="1393" spans="1:24" ht="14.25" customHeight="1">
      <c r="A1393" s="110"/>
      <c r="B1393" s="125"/>
      <c r="C1393" s="126"/>
      <c r="D1393" s="15"/>
      <c r="E1393" s="10" t="e">
        <f>TRIM(VLOOKUP(D1393,TB!$B$9:$C$1500,2,FALSE))</f>
        <v>#N/A</v>
      </c>
      <c r="F1393" s="173"/>
      <c r="G1393" s="130"/>
      <c r="H1393" s="10"/>
      <c r="I1393" s="10"/>
      <c r="J1393" s="79" t="e">
        <f t="shared" si="25"/>
        <v>#VALUE!</v>
      </c>
      <c r="K1393" s="106"/>
      <c r="L1393" s="107"/>
      <c r="M1393" s="106"/>
      <c r="N1393" s="106"/>
      <c r="O1393" s="108"/>
      <c r="P1393" s="108"/>
      <c r="Q1393" s="108"/>
      <c r="R1393" s="109"/>
      <c r="S1393" s="109"/>
      <c r="T1393" s="108"/>
      <c r="U1393" s="110"/>
      <c r="V1393" s="110"/>
      <c r="W1393" s="110"/>
      <c r="X1393" s="110"/>
    </row>
    <row r="1394" spans="1:24" ht="14.25" customHeight="1">
      <c r="A1394" s="110"/>
      <c r="B1394" s="125">
        <v>46175</v>
      </c>
      <c r="C1394" s="126" t="s">
        <v>342</v>
      </c>
      <c r="D1394" s="68" t="s">
        <v>71</v>
      </c>
      <c r="E1394" s="10" t="str">
        <f>TRIM(VLOOKUP(D1394,TB!$B$9:$C$1500,2,FALSE))</f>
        <v>Guest Typing Charges Payable to Staff</v>
      </c>
      <c r="F1394" s="173" t="s">
        <v>343</v>
      </c>
      <c r="G1394" s="130"/>
      <c r="H1394" s="10">
        <v>5000000</v>
      </c>
      <c r="I1394" s="10"/>
      <c r="J1394" s="79" t="e">
        <f t="shared" si="25"/>
        <v>#VALUE!</v>
      </c>
      <c r="K1394" s="106"/>
      <c r="L1394" s="107"/>
      <c r="M1394" s="106"/>
      <c r="N1394" s="106"/>
      <c r="O1394" s="108"/>
      <c r="P1394" s="108"/>
      <c r="Q1394" s="108"/>
      <c r="R1394" s="109"/>
      <c r="S1394" s="109"/>
      <c r="T1394" s="108"/>
      <c r="U1394" s="110"/>
      <c r="V1394" s="110"/>
      <c r="W1394" s="110"/>
      <c r="X1394" s="110"/>
    </row>
    <row r="1395" spans="1:24" ht="14.25" customHeight="1">
      <c r="A1395" s="110"/>
      <c r="B1395" s="125">
        <v>46175</v>
      </c>
      <c r="C1395" s="126" t="s">
        <v>342</v>
      </c>
      <c r="D1395" s="15" t="s">
        <v>124</v>
      </c>
      <c r="E1395" s="10" t="str">
        <f>TRIM(VLOOKUP(D1395,TB!$B$9:$C$1500,2,FALSE))</f>
        <v>Bank charges</v>
      </c>
      <c r="F1395" s="173" t="s">
        <v>343</v>
      </c>
      <c r="G1395" s="130"/>
      <c r="H1395" s="10">
        <v>2500</v>
      </c>
      <c r="I1395" s="10"/>
      <c r="J1395" s="79" t="e">
        <f t="shared" si="25"/>
        <v>#VALUE!</v>
      </c>
      <c r="K1395" s="106"/>
      <c r="L1395" s="107"/>
      <c r="M1395" s="106"/>
      <c r="N1395" s="106"/>
      <c r="O1395" s="108"/>
      <c r="P1395" s="108"/>
      <c r="Q1395" s="108"/>
      <c r="R1395" s="109"/>
      <c r="S1395" s="109"/>
      <c r="T1395" s="108"/>
      <c r="U1395" s="110"/>
      <c r="V1395" s="110"/>
      <c r="W1395" s="110"/>
      <c r="X1395" s="110"/>
    </row>
    <row r="1396" spans="1:24" ht="14.25" customHeight="1">
      <c r="A1396" s="110"/>
      <c r="B1396" s="125">
        <v>46175</v>
      </c>
      <c r="C1396" s="126" t="str">
        <f>C1394</f>
        <v>BCA26-06054</v>
      </c>
      <c r="D1396" s="68" t="s">
        <v>130</v>
      </c>
      <c r="E1396" s="10" t="str">
        <f>TRIM(VLOOKUP(D1396,TB!$B$9:$C$1500,2,FALSE))</f>
        <v>BCA TBB</v>
      </c>
      <c r="F1396" s="173" t="str">
        <f>F1394</f>
        <v>Refund to Florian (Over Payment) DP TGL 29 MAY DI EDC BCA</v>
      </c>
      <c r="G1396" s="130"/>
      <c r="H1396" s="10"/>
      <c r="I1396" s="10">
        <v>5002500</v>
      </c>
      <c r="J1396" s="79" t="e">
        <f t="shared" si="25"/>
        <v>#VALUE!</v>
      </c>
      <c r="K1396" s="106"/>
      <c r="L1396" s="107"/>
      <c r="M1396" s="106"/>
      <c r="N1396" s="106"/>
      <c r="O1396" s="108"/>
      <c r="P1396" s="108"/>
      <c r="Q1396" s="108"/>
      <c r="R1396" s="109"/>
      <c r="S1396" s="109"/>
      <c r="T1396" s="108"/>
      <c r="U1396" s="110"/>
      <c r="V1396" s="110"/>
      <c r="W1396" s="110"/>
      <c r="X1396" s="110"/>
    </row>
    <row r="1397" spans="1:24" ht="14.25" customHeight="1">
      <c r="A1397" s="110"/>
      <c r="B1397" s="125"/>
      <c r="C1397" s="126"/>
      <c r="D1397" s="15"/>
      <c r="E1397" s="10" t="e">
        <f>TRIM(VLOOKUP(D1397,TB!$B$9:$C$1500,2,FALSE))</f>
        <v>#N/A</v>
      </c>
      <c r="F1397" s="173"/>
      <c r="G1397" s="130"/>
      <c r="H1397" s="10"/>
      <c r="I1397" s="10"/>
      <c r="J1397" s="79" t="e">
        <f t="shared" si="25"/>
        <v>#VALUE!</v>
      </c>
      <c r="K1397" s="106"/>
      <c r="L1397" s="107"/>
      <c r="M1397" s="106"/>
      <c r="N1397" s="106"/>
      <c r="O1397" s="108"/>
      <c r="P1397" s="108"/>
      <c r="Q1397" s="108"/>
      <c r="R1397" s="109"/>
      <c r="S1397" s="109"/>
      <c r="T1397" s="108"/>
      <c r="U1397" s="110"/>
      <c r="V1397" s="110"/>
      <c r="W1397" s="110"/>
      <c r="X1397" s="110"/>
    </row>
    <row r="1398" spans="1:24" ht="14.25" customHeight="1">
      <c r="A1398" s="110"/>
      <c r="B1398" s="125">
        <v>46175</v>
      </c>
      <c r="C1398" s="126" t="s">
        <v>344</v>
      </c>
      <c r="D1398" s="15" t="s">
        <v>188</v>
      </c>
      <c r="E1398" s="10" t="str">
        <f>TRIM(VLOOKUP(D1398,TB!$B$9:$C$1500,2,FALSE))</f>
        <v>Advertising Costs</v>
      </c>
      <c r="F1398" s="173" t="s">
        <v>345</v>
      </c>
      <c r="G1398" s="130"/>
      <c r="H1398" s="10">
        <v>700000</v>
      </c>
      <c r="I1398" s="10"/>
      <c r="J1398" s="79" t="e">
        <f t="shared" si="25"/>
        <v>#VALUE!</v>
      </c>
      <c r="K1398" s="106"/>
      <c r="L1398" s="107"/>
      <c r="M1398" s="106"/>
      <c r="N1398" s="106"/>
      <c r="O1398" s="108"/>
      <c r="P1398" s="108"/>
      <c r="Q1398" s="108"/>
      <c r="R1398" s="109"/>
      <c r="S1398" s="109"/>
      <c r="T1398" s="108"/>
      <c r="U1398" s="110"/>
      <c r="V1398" s="110"/>
      <c r="W1398" s="110"/>
      <c r="X1398" s="110"/>
    </row>
    <row r="1399" spans="1:24" ht="14.25" customHeight="1">
      <c r="A1399" s="110"/>
      <c r="B1399" s="125">
        <v>46175</v>
      </c>
      <c r="C1399" s="126" t="str">
        <f>C1398</f>
        <v>BCA26-06055</v>
      </c>
      <c r="D1399" s="68" t="s">
        <v>130</v>
      </c>
      <c r="E1399" s="10" t="str">
        <f>TRIM(VLOOKUP(D1399,TB!$B$9:$C$1500,2,FALSE))</f>
        <v>BCA TBB</v>
      </c>
      <c r="F1399" s="173" t="str">
        <f>F1398</f>
        <v>Top ads sos med 01 June 2026 (Reimburse to Angga)</v>
      </c>
      <c r="G1399" s="130"/>
      <c r="H1399" s="10"/>
      <c r="I1399" s="10">
        <f>SUM(H1398)</f>
        <v>700000</v>
      </c>
      <c r="J1399" s="79" t="e">
        <f t="shared" si="25"/>
        <v>#VALUE!</v>
      </c>
      <c r="K1399" s="106"/>
      <c r="L1399" s="107"/>
      <c r="M1399" s="106"/>
      <c r="N1399" s="106"/>
      <c r="O1399" s="108"/>
      <c r="P1399" s="108"/>
      <c r="Q1399" s="108"/>
      <c r="R1399" s="109"/>
      <c r="S1399" s="109"/>
      <c r="T1399" s="108"/>
      <c r="U1399" s="110"/>
      <c r="V1399" s="110"/>
      <c r="W1399" s="110"/>
      <c r="X1399" s="110"/>
    </row>
    <row r="1400" spans="1:24" ht="14.25" customHeight="1">
      <c r="A1400" s="110"/>
      <c r="B1400" s="125"/>
      <c r="C1400" s="126"/>
      <c r="D1400" s="15"/>
      <c r="E1400" s="10" t="e">
        <f>TRIM(VLOOKUP(D1400,TB!$B$9:$C$1500,2,FALSE))</f>
        <v>#N/A</v>
      </c>
      <c r="F1400" s="173"/>
      <c r="G1400" s="130"/>
      <c r="H1400" s="10"/>
      <c r="I1400" s="10"/>
      <c r="J1400" s="79" t="e">
        <f t="shared" si="25"/>
        <v>#VALUE!</v>
      </c>
      <c r="K1400" s="106"/>
      <c r="L1400" s="107"/>
      <c r="M1400" s="106"/>
      <c r="N1400" s="106"/>
      <c r="O1400" s="108"/>
      <c r="P1400" s="108"/>
      <c r="Q1400" s="108"/>
      <c r="R1400" s="109"/>
      <c r="S1400" s="109"/>
      <c r="T1400" s="108"/>
      <c r="U1400" s="110"/>
      <c r="V1400" s="110"/>
      <c r="W1400" s="110"/>
      <c r="X1400" s="110"/>
    </row>
    <row r="1401" spans="1:24" ht="14.25" customHeight="1">
      <c r="A1401" s="110"/>
      <c r="B1401" s="125">
        <v>46175</v>
      </c>
      <c r="C1401" s="126" t="s">
        <v>346</v>
      </c>
      <c r="D1401" s="15" t="s">
        <v>188</v>
      </c>
      <c r="E1401" s="10" t="str">
        <f>TRIM(VLOOKUP(D1401,TB!$B$9:$C$1500,2,FALSE))</f>
        <v>Advertising Costs</v>
      </c>
      <c r="F1401" s="173" t="s">
        <v>347</v>
      </c>
      <c r="G1401" s="130"/>
      <c r="H1401" s="10">
        <v>1400000</v>
      </c>
      <c r="I1401" s="10"/>
      <c r="J1401" s="79" t="e">
        <f t="shared" si="25"/>
        <v>#VALUE!</v>
      </c>
      <c r="K1401" s="106"/>
      <c r="L1401" s="107"/>
      <c r="M1401" s="106"/>
      <c r="N1401" s="106"/>
      <c r="O1401" s="108"/>
      <c r="P1401" s="108"/>
      <c r="Q1401" s="108"/>
      <c r="R1401" s="109"/>
      <c r="S1401" s="109"/>
      <c r="T1401" s="108"/>
      <c r="U1401" s="110"/>
      <c r="V1401" s="110"/>
      <c r="W1401" s="110"/>
      <c r="X1401" s="110"/>
    </row>
    <row r="1402" spans="1:24" ht="14.25" customHeight="1">
      <c r="A1402" s="110"/>
      <c r="B1402" s="125">
        <v>46175</v>
      </c>
      <c r="C1402" s="126" t="s">
        <v>346</v>
      </c>
      <c r="D1402" s="15" t="s">
        <v>124</v>
      </c>
      <c r="E1402" s="10" t="str">
        <f>TRIM(VLOOKUP(D1402,TB!$B$9:$C$1500,2,FALSE))</f>
        <v>Bank charges</v>
      </c>
      <c r="F1402" s="173" t="s">
        <v>347</v>
      </c>
      <c r="G1402" s="130"/>
      <c r="H1402" s="10">
        <v>1000</v>
      </c>
      <c r="I1402" s="10"/>
      <c r="J1402" s="79" t="e">
        <f t="shared" si="25"/>
        <v>#VALUE!</v>
      </c>
      <c r="K1402" s="106"/>
      <c r="L1402" s="107"/>
      <c r="M1402" s="106"/>
      <c r="N1402" s="106"/>
      <c r="O1402" s="108"/>
      <c r="P1402" s="108"/>
      <c r="Q1402" s="108"/>
      <c r="R1402" s="109"/>
      <c r="S1402" s="109"/>
      <c r="T1402" s="108"/>
      <c r="U1402" s="110"/>
      <c r="V1402" s="110"/>
      <c r="W1402" s="110"/>
      <c r="X1402" s="110"/>
    </row>
    <row r="1403" spans="1:24" ht="14.25" customHeight="1">
      <c r="A1403" s="110"/>
      <c r="B1403" s="125">
        <v>46175</v>
      </c>
      <c r="C1403" s="126" t="str">
        <f>C1401</f>
        <v>BCA26-06056</v>
      </c>
      <c r="D1403" s="68" t="s">
        <v>130</v>
      </c>
      <c r="E1403" s="10" t="str">
        <f>TRIM(VLOOKUP(D1403,TB!$B$9:$C$1500,2,FALSE))</f>
        <v>BCA TBB</v>
      </c>
      <c r="F1403" s="173" t="str">
        <f>F1401</f>
        <v>Top ads sos med 02 June 2026</v>
      </c>
      <c r="G1403" s="130"/>
      <c r="H1403" s="10"/>
      <c r="I1403" s="10">
        <v>1401000</v>
      </c>
      <c r="J1403" s="79" t="e">
        <f t="shared" si="25"/>
        <v>#VALUE!</v>
      </c>
      <c r="K1403" s="106"/>
      <c r="L1403" s="107"/>
      <c r="M1403" s="106"/>
      <c r="N1403" s="106"/>
      <c r="O1403" s="108"/>
      <c r="P1403" s="108"/>
      <c r="Q1403" s="108"/>
      <c r="R1403" s="109"/>
      <c r="S1403" s="109"/>
      <c r="T1403" s="108"/>
      <c r="U1403" s="110"/>
      <c r="V1403" s="110"/>
      <c r="W1403" s="110"/>
      <c r="X1403" s="110"/>
    </row>
    <row r="1404" spans="1:24" ht="14.25" customHeight="1">
      <c r="A1404" s="110"/>
      <c r="B1404" s="125"/>
      <c r="C1404" s="126"/>
      <c r="D1404" s="15"/>
      <c r="E1404" s="10" t="e">
        <f>TRIM(VLOOKUP(D1404,TB!$B$9:$C$1500,2,FALSE))</f>
        <v>#N/A</v>
      </c>
      <c r="F1404" s="173"/>
      <c r="G1404" s="130"/>
      <c r="H1404" s="10"/>
      <c r="I1404" s="10"/>
      <c r="J1404" s="79" t="e">
        <f t="shared" si="25"/>
        <v>#VALUE!</v>
      </c>
      <c r="K1404" s="106"/>
      <c r="L1404" s="107"/>
      <c r="M1404" s="106"/>
      <c r="N1404" s="106"/>
      <c r="O1404" s="108"/>
      <c r="P1404" s="108"/>
      <c r="Q1404" s="108"/>
      <c r="R1404" s="109"/>
      <c r="S1404" s="109"/>
      <c r="T1404" s="108"/>
      <c r="U1404" s="110"/>
      <c r="V1404" s="110"/>
      <c r="W1404" s="110"/>
      <c r="X1404" s="110"/>
    </row>
    <row r="1405" spans="1:24" ht="14.25" customHeight="1">
      <c r="A1405" s="110"/>
      <c r="B1405" s="125">
        <v>46175</v>
      </c>
      <c r="C1405" s="126" t="s">
        <v>348</v>
      </c>
      <c r="D1405" s="68" t="s">
        <v>130</v>
      </c>
      <c r="E1405" s="10" t="str">
        <f>TRIM(VLOOKUP(D1405,TB!$B$9:$C$1500,2,FALSE))</f>
        <v>BCA TBB</v>
      </c>
      <c r="F1405" s="173" t="s">
        <v>349</v>
      </c>
      <c r="G1405" s="130"/>
      <c r="H1405" s="10">
        <v>7000000</v>
      </c>
      <c r="I1405" s="10"/>
      <c r="J1405" s="79" t="e">
        <f t="shared" si="25"/>
        <v>#VALUE!</v>
      </c>
      <c r="K1405" s="106"/>
      <c r="L1405" s="107"/>
      <c r="M1405" s="106"/>
      <c r="N1405" s="106"/>
      <c r="O1405" s="108"/>
      <c r="P1405" s="108"/>
      <c r="Q1405" s="108"/>
      <c r="R1405" s="109"/>
      <c r="S1405" s="109"/>
      <c r="T1405" s="108"/>
      <c r="U1405" s="110"/>
      <c r="V1405" s="110"/>
      <c r="W1405" s="110"/>
      <c r="X1405" s="110"/>
    </row>
    <row r="1406" spans="1:24" ht="14.25" customHeight="1">
      <c r="A1406" s="110"/>
      <c r="B1406" s="125">
        <v>46175</v>
      </c>
      <c r="C1406" s="126" t="str">
        <f>C1405</f>
        <v>BCA26-06057</v>
      </c>
      <c r="D1406" s="15" t="s">
        <v>42</v>
      </c>
      <c r="E1406" s="10" t="str">
        <f>TRIM(VLOOKUP(D1406,TB!$B$9:$C$1500,2,FALSE))</f>
        <v>BCA Card TBB</v>
      </c>
      <c r="F1406" s="173" t="s">
        <v>349</v>
      </c>
      <c r="G1406" s="130"/>
      <c r="H1406" s="10"/>
      <c r="I1406" s="10">
        <v>7000000</v>
      </c>
      <c r="J1406" s="79" t="e">
        <f t="shared" si="25"/>
        <v>#VALUE!</v>
      </c>
      <c r="K1406" s="106"/>
      <c r="L1406" s="107"/>
      <c r="M1406" s="106"/>
      <c r="N1406" s="106"/>
      <c r="O1406" s="108"/>
      <c r="P1406" s="108"/>
      <c r="Q1406" s="108"/>
      <c r="R1406" s="109"/>
      <c r="S1406" s="109"/>
      <c r="T1406" s="108"/>
      <c r="U1406" s="110"/>
      <c r="V1406" s="110"/>
      <c r="W1406" s="110"/>
      <c r="X1406" s="110"/>
    </row>
    <row r="1407" spans="1:24" ht="14.25" customHeight="1">
      <c r="A1407" s="110"/>
      <c r="B1407" s="125"/>
      <c r="C1407" s="126"/>
      <c r="D1407" s="15"/>
      <c r="E1407" s="10" t="e">
        <f>TRIM(VLOOKUP(D1407,TB!$B$9:$C$1500,2,FALSE))</f>
        <v>#N/A</v>
      </c>
      <c r="F1407" s="173"/>
      <c r="G1407" s="130"/>
      <c r="H1407" s="10"/>
      <c r="I1407" s="10"/>
      <c r="J1407" s="79" t="e">
        <f t="shared" si="25"/>
        <v>#VALUE!</v>
      </c>
      <c r="K1407" s="106"/>
      <c r="L1407" s="107"/>
      <c r="M1407" s="106"/>
      <c r="N1407" s="106"/>
      <c r="O1407" s="108"/>
      <c r="P1407" s="108"/>
      <c r="Q1407" s="108"/>
      <c r="R1407" s="109"/>
      <c r="S1407" s="109"/>
      <c r="T1407" s="108"/>
      <c r="U1407" s="110"/>
      <c r="V1407" s="110"/>
      <c r="W1407" s="110"/>
      <c r="X1407" s="110"/>
    </row>
    <row r="1408" spans="1:24" ht="14.25" customHeight="1">
      <c r="A1408" s="110"/>
      <c r="B1408" s="125">
        <v>46175</v>
      </c>
      <c r="C1408" s="126" t="s">
        <v>350</v>
      </c>
      <c r="D1408" s="15" t="s">
        <v>351</v>
      </c>
      <c r="E1408" s="10" t="str">
        <f>TRIM(VLOOKUP(D1408,TB!$B$9:$C$1500,2,FALSE))</f>
        <v>Tomato Peeled</v>
      </c>
      <c r="F1408" s="142" t="s">
        <v>352</v>
      </c>
      <c r="G1408" s="130">
        <v>6</v>
      </c>
      <c r="H1408" s="157">
        <v>574358</v>
      </c>
      <c r="I1408" s="10"/>
      <c r="J1408" s="79" t="e">
        <f t="shared" si="25"/>
        <v>#VALUE!</v>
      </c>
      <c r="K1408" s="106"/>
      <c r="L1408" s="107"/>
      <c r="M1408" s="106"/>
      <c r="N1408" s="106"/>
      <c r="O1408" s="108"/>
      <c r="P1408" s="108"/>
      <c r="Q1408" s="108"/>
      <c r="R1408" s="109"/>
      <c r="S1408" s="109"/>
      <c r="T1408" s="108"/>
      <c r="U1408" s="110"/>
      <c r="V1408" s="110"/>
      <c r="W1408" s="110"/>
      <c r="X1408" s="110"/>
    </row>
    <row r="1409" spans="1:24" ht="14.25" customHeight="1">
      <c r="A1409" s="110"/>
      <c r="B1409" s="125">
        <v>46175</v>
      </c>
      <c r="C1409" s="126" t="s">
        <v>350</v>
      </c>
      <c r="D1409" s="68" t="s">
        <v>130</v>
      </c>
      <c r="E1409" s="10" t="str">
        <f>TRIM(VLOOKUP(D1409,TB!$B$9:$C$1500,2,FALSE))</f>
        <v>BCA TBB</v>
      </c>
      <c r="F1409" s="142" t="s">
        <v>353</v>
      </c>
      <c r="G1409" s="130"/>
      <c r="H1409" s="157"/>
      <c r="I1409" s="157">
        <v>574358</v>
      </c>
      <c r="J1409" s="79" t="e">
        <f t="shared" si="25"/>
        <v>#VALUE!</v>
      </c>
      <c r="K1409" s="106"/>
      <c r="L1409" s="107"/>
      <c r="M1409" s="106"/>
      <c r="N1409" s="106"/>
      <c r="O1409" s="108"/>
      <c r="P1409" s="108"/>
      <c r="Q1409" s="108"/>
      <c r="R1409" s="109"/>
      <c r="S1409" s="109"/>
      <c r="T1409" s="108"/>
      <c r="U1409" s="110"/>
      <c r="V1409" s="110"/>
      <c r="W1409" s="110"/>
      <c r="X1409" s="110"/>
    </row>
    <row r="1410" spans="1:24" ht="14.25" customHeight="1">
      <c r="A1410" s="110"/>
      <c r="B1410" s="125"/>
      <c r="C1410" s="126"/>
      <c r="D1410" s="68"/>
      <c r="E1410" s="10" t="e">
        <f>TRIM(VLOOKUP(D1410,TB!$B$9:$C$1500,2,FALSE))</f>
        <v>#N/A</v>
      </c>
      <c r="F1410" s="173"/>
      <c r="G1410" s="130"/>
      <c r="H1410" s="157"/>
      <c r="I1410" s="10"/>
      <c r="J1410" s="79" t="e">
        <f t="shared" si="25"/>
        <v>#VALUE!</v>
      </c>
      <c r="K1410" s="106"/>
      <c r="L1410" s="107"/>
      <c r="M1410" s="106"/>
      <c r="N1410" s="106"/>
      <c r="O1410" s="108"/>
      <c r="P1410" s="108"/>
      <c r="Q1410" s="108"/>
      <c r="R1410" s="109"/>
      <c r="S1410" s="109"/>
      <c r="T1410" s="108"/>
      <c r="U1410" s="110"/>
      <c r="V1410" s="110"/>
      <c r="W1410" s="110"/>
      <c r="X1410" s="110"/>
    </row>
    <row r="1411" spans="1:24" ht="14.25" customHeight="1">
      <c r="A1411" s="110"/>
      <c r="B1411" s="125">
        <v>46176</v>
      </c>
      <c r="C1411" s="126" t="s">
        <v>354</v>
      </c>
      <c r="D1411" s="68" t="s">
        <v>130</v>
      </c>
      <c r="E1411" s="10" t="str">
        <f>TRIM(VLOOKUP(D1411,TB!$B$9:$C$1500,2,FALSE))</f>
        <v>BCA TBB</v>
      </c>
      <c r="F1411" s="173" t="s">
        <v>355</v>
      </c>
      <c r="G1411" s="130"/>
      <c r="H1411" s="157">
        <f>I1413-H1412</f>
        <v>6460911.8799999999</v>
      </c>
      <c r="I1411" s="10"/>
      <c r="J1411" s="79" t="e">
        <f t="shared" si="25"/>
        <v>#VALUE!</v>
      </c>
      <c r="K1411" s="106"/>
      <c r="L1411" s="107"/>
      <c r="M1411" s="106"/>
      <c r="N1411" s="106"/>
      <c r="O1411" s="108"/>
      <c r="P1411" s="108"/>
      <c r="Q1411" s="108"/>
      <c r="R1411" s="109"/>
      <c r="S1411" s="109"/>
      <c r="T1411" s="108"/>
      <c r="U1411" s="110"/>
      <c r="V1411" s="110"/>
      <c r="W1411" s="110"/>
      <c r="X1411" s="110"/>
    </row>
    <row r="1412" spans="1:24" ht="14.25" customHeight="1">
      <c r="A1412" s="110"/>
      <c r="B1412" s="125">
        <f t="shared" ref="B1412:C1412" si="26">B1411</f>
        <v>46176</v>
      </c>
      <c r="C1412" s="126" t="str">
        <f t="shared" si="26"/>
        <v>BCA26-06058</v>
      </c>
      <c r="D1412" s="15" t="s">
        <v>124</v>
      </c>
      <c r="E1412" s="10" t="str">
        <f>TRIM(VLOOKUP(D1412,TB!$B$9:$C$1500,2,FALSE))</f>
        <v>Bank charges</v>
      </c>
      <c r="F1412" s="173" t="str">
        <f t="shared" ref="F1412:F1413" si="27">F1411</f>
        <v>BCA CC  01-06-2026</v>
      </c>
      <c r="G1412" s="130"/>
      <c r="H1412" s="157">
        <f>I1413*1.8%</f>
        <v>118428.12000000001</v>
      </c>
      <c r="I1412" s="10"/>
      <c r="J1412" s="79" t="e">
        <f t="shared" si="25"/>
        <v>#VALUE!</v>
      </c>
      <c r="K1412" s="106"/>
      <c r="L1412" s="107"/>
      <c r="M1412" s="106"/>
      <c r="N1412" s="106"/>
      <c r="O1412" s="108"/>
      <c r="P1412" s="108"/>
      <c r="Q1412" s="108"/>
      <c r="R1412" s="109"/>
      <c r="S1412" s="109"/>
      <c r="T1412" s="108"/>
      <c r="U1412" s="110"/>
      <c r="V1412" s="110"/>
      <c r="W1412" s="110"/>
      <c r="X1412" s="110"/>
    </row>
    <row r="1413" spans="1:24" ht="14.25" customHeight="1">
      <c r="A1413" s="110"/>
      <c r="B1413" s="125">
        <f t="shared" ref="B1413:C1413" si="28">B1412</f>
        <v>46176</v>
      </c>
      <c r="C1413" s="126" t="str">
        <f t="shared" si="28"/>
        <v>BCA26-06058</v>
      </c>
      <c r="D1413" s="15" t="s">
        <v>42</v>
      </c>
      <c r="E1413" s="10" t="str">
        <f>TRIM(VLOOKUP(D1413,TB!$B$9:$C$1500,2,FALSE))</f>
        <v>BCA Card TBB</v>
      </c>
      <c r="F1413" s="173" t="str">
        <f t="shared" si="27"/>
        <v>BCA CC  01-06-2026</v>
      </c>
      <c r="G1413" s="130"/>
      <c r="H1413" s="10"/>
      <c r="I1413" s="10">
        <v>6579340</v>
      </c>
      <c r="J1413" s="79" t="e">
        <f t="shared" si="25"/>
        <v>#VALUE!</v>
      </c>
      <c r="K1413" s="106"/>
      <c r="L1413" s="107"/>
      <c r="M1413" s="106"/>
      <c r="N1413" s="106"/>
      <c r="O1413" s="108"/>
      <c r="P1413" s="108"/>
      <c r="Q1413" s="108"/>
      <c r="R1413" s="109"/>
      <c r="S1413" s="109"/>
      <c r="T1413" s="108"/>
      <c r="U1413" s="110"/>
      <c r="V1413" s="110"/>
      <c r="W1413" s="110"/>
      <c r="X1413" s="110"/>
    </row>
    <row r="1414" spans="1:24" ht="14.25" customHeight="1">
      <c r="A1414" s="110"/>
      <c r="B1414" s="125"/>
      <c r="C1414" s="126"/>
      <c r="D1414" s="15"/>
      <c r="E1414" s="10" t="e">
        <f>TRIM(VLOOKUP(D1414,TB!$B$9:$C$1500,2,FALSE))</f>
        <v>#N/A</v>
      </c>
      <c r="F1414" s="142"/>
      <c r="G1414" s="130"/>
      <c r="H1414" s="10"/>
      <c r="I1414" s="10"/>
      <c r="J1414" s="79" t="e">
        <f t="shared" si="25"/>
        <v>#VALUE!</v>
      </c>
      <c r="K1414" s="106"/>
      <c r="L1414" s="107"/>
      <c r="M1414" s="106"/>
      <c r="N1414" s="106"/>
      <c r="O1414" s="108"/>
      <c r="P1414" s="108"/>
      <c r="Q1414" s="108"/>
      <c r="R1414" s="109"/>
      <c r="S1414" s="109"/>
      <c r="T1414" s="108"/>
      <c r="U1414" s="110"/>
      <c r="V1414" s="110"/>
      <c r="W1414" s="110"/>
      <c r="X1414" s="110"/>
    </row>
    <row r="1415" spans="1:24" ht="14.25" customHeight="1">
      <c r="A1415" s="110"/>
      <c r="B1415" s="125">
        <v>46176</v>
      </c>
      <c r="C1415" s="126" t="s">
        <v>356</v>
      </c>
      <c r="D1415" s="68" t="s">
        <v>130</v>
      </c>
      <c r="E1415" s="10" t="str">
        <f>TRIM(VLOOKUP(D1415,TB!$B$9:$C$1500,2,FALSE))</f>
        <v>BCA TBB</v>
      </c>
      <c r="F1415" s="173" t="s">
        <v>357</v>
      </c>
      <c r="G1415" s="130"/>
      <c r="H1415" s="157">
        <f>I1417-H1416</f>
        <v>161813.96</v>
      </c>
      <c r="I1415" s="10"/>
      <c r="J1415" s="79" t="e">
        <f t="shared" si="25"/>
        <v>#VALUE!</v>
      </c>
      <c r="K1415" s="106"/>
      <c r="L1415" s="107"/>
      <c r="M1415" s="106"/>
      <c r="N1415" s="106"/>
      <c r="O1415" s="108"/>
      <c r="P1415" s="108"/>
      <c r="Q1415" s="108"/>
      <c r="R1415" s="109"/>
      <c r="S1415" s="109"/>
      <c r="T1415" s="108"/>
      <c r="U1415" s="110"/>
      <c r="V1415" s="110"/>
      <c r="W1415" s="110"/>
      <c r="X1415" s="110"/>
    </row>
    <row r="1416" spans="1:24" ht="14.25" customHeight="1">
      <c r="A1416" s="110"/>
      <c r="B1416" s="125">
        <f t="shared" ref="B1416:C1416" si="29">B1415</f>
        <v>46176</v>
      </c>
      <c r="C1416" s="126" t="str">
        <f t="shared" si="29"/>
        <v>BCA26-06059</v>
      </c>
      <c r="D1416" s="15" t="s">
        <v>124</v>
      </c>
      <c r="E1416" s="10" t="str">
        <f>TRIM(VLOOKUP(D1416,TB!$B$9:$C$1500,2,FALSE))</f>
        <v>Bank charges</v>
      </c>
      <c r="F1416" s="173" t="str">
        <f t="shared" ref="F1416:F1417" si="30">F1415</f>
        <v>BCA DEBT 01-06-2026</v>
      </c>
      <c r="G1416" s="130"/>
      <c r="H1416" s="157">
        <f>I1417*1.8%</f>
        <v>2966.0400000000004</v>
      </c>
      <c r="I1416" s="10"/>
      <c r="J1416" s="79" t="e">
        <f t="shared" si="25"/>
        <v>#VALUE!</v>
      </c>
      <c r="K1416" s="106"/>
      <c r="L1416" s="107"/>
      <c r="M1416" s="106"/>
      <c r="N1416" s="106"/>
      <c r="O1416" s="108"/>
      <c r="P1416" s="108"/>
      <c r="Q1416" s="108"/>
      <c r="R1416" s="109"/>
      <c r="S1416" s="109"/>
      <c r="T1416" s="108"/>
      <c r="U1416" s="110"/>
      <c r="V1416" s="110"/>
      <c r="W1416" s="110"/>
      <c r="X1416" s="110"/>
    </row>
    <row r="1417" spans="1:24" ht="14.25" customHeight="1">
      <c r="A1417" s="110"/>
      <c r="B1417" s="125">
        <f t="shared" ref="B1417:C1417" si="31">B1416</f>
        <v>46176</v>
      </c>
      <c r="C1417" s="126" t="str">
        <f t="shared" si="31"/>
        <v>BCA26-06059</v>
      </c>
      <c r="D1417" s="15" t="s">
        <v>42</v>
      </c>
      <c r="E1417" s="10" t="str">
        <f>TRIM(VLOOKUP(D1417,TB!$B$9:$C$1500,2,FALSE))</f>
        <v>BCA Card TBB</v>
      </c>
      <c r="F1417" s="173" t="str">
        <f t="shared" si="30"/>
        <v>BCA DEBT 01-06-2026</v>
      </c>
      <c r="G1417" s="130"/>
      <c r="H1417" s="10"/>
      <c r="I1417" s="10">
        <v>164780</v>
      </c>
      <c r="J1417" s="79" t="e">
        <f t="shared" si="25"/>
        <v>#VALUE!</v>
      </c>
      <c r="K1417" s="106"/>
      <c r="L1417" s="107"/>
      <c r="M1417" s="106"/>
      <c r="N1417" s="106"/>
      <c r="O1417" s="108"/>
      <c r="P1417" s="108"/>
      <c r="Q1417" s="108"/>
      <c r="R1417" s="109"/>
      <c r="S1417" s="109"/>
      <c r="T1417" s="108"/>
      <c r="U1417" s="110"/>
      <c r="V1417" s="110"/>
      <c r="W1417" s="110"/>
      <c r="X1417" s="110"/>
    </row>
    <row r="1418" spans="1:24" ht="14.25" customHeight="1">
      <c r="A1418" s="110"/>
      <c r="B1418" s="125"/>
      <c r="C1418" s="126"/>
      <c r="D1418" s="15"/>
      <c r="E1418" s="10" t="e">
        <f>TRIM(VLOOKUP(D1418,TB!$B$9:$C$1500,2,FALSE))</f>
        <v>#N/A</v>
      </c>
      <c r="F1418" s="173"/>
      <c r="G1418" s="130"/>
      <c r="H1418" s="157"/>
      <c r="I1418" s="10"/>
      <c r="J1418" s="79" t="e">
        <f t="shared" si="25"/>
        <v>#VALUE!</v>
      </c>
      <c r="K1418" s="106"/>
      <c r="L1418" s="107"/>
      <c r="M1418" s="106"/>
      <c r="N1418" s="106"/>
      <c r="O1418" s="108"/>
      <c r="P1418" s="108"/>
      <c r="Q1418" s="108"/>
      <c r="R1418" s="109"/>
      <c r="S1418" s="109"/>
      <c r="T1418" s="108"/>
      <c r="U1418" s="110"/>
      <c r="V1418" s="110"/>
      <c r="W1418" s="110"/>
      <c r="X1418" s="110"/>
    </row>
    <row r="1419" spans="1:24" ht="14.25" customHeight="1">
      <c r="A1419" s="110"/>
      <c r="B1419" s="125">
        <v>46176</v>
      </c>
      <c r="C1419" s="126" t="s">
        <v>358</v>
      </c>
      <c r="D1419" s="68" t="s">
        <v>130</v>
      </c>
      <c r="E1419" s="10" t="str">
        <f>TRIM(VLOOKUP(D1419,TB!$B$9:$C$1500,2,FALSE))</f>
        <v>BCA TBB</v>
      </c>
      <c r="F1419" s="173" t="s">
        <v>359</v>
      </c>
      <c r="G1419" s="130"/>
      <c r="H1419" s="157">
        <f>I1421-H1420</f>
        <v>288953.5</v>
      </c>
      <c r="I1419" s="10"/>
      <c r="J1419" s="79" t="e">
        <f t="shared" si="25"/>
        <v>#VALUE!</v>
      </c>
      <c r="K1419" s="106"/>
      <c r="L1419" s="107"/>
      <c r="M1419" s="106"/>
      <c r="N1419" s="106"/>
      <c r="O1419" s="108"/>
      <c r="P1419" s="108"/>
      <c r="Q1419" s="108"/>
      <c r="R1419" s="109"/>
      <c r="S1419" s="109"/>
      <c r="T1419" s="108"/>
      <c r="U1419" s="110"/>
      <c r="V1419" s="110"/>
      <c r="W1419" s="110"/>
      <c r="X1419" s="110"/>
    </row>
    <row r="1420" spans="1:24" ht="14.25" customHeight="1">
      <c r="A1420" s="110"/>
      <c r="B1420" s="125">
        <f t="shared" ref="B1420:C1420" si="32">B1419</f>
        <v>46176</v>
      </c>
      <c r="C1420" s="126" t="str">
        <f t="shared" si="32"/>
        <v>BCA26-06060</v>
      </c>
      <c r="D1420" s="15" t="s">
        <v>124</v>
      </c>
      <c r="E1420" s="10" t="str">
        <f>TRIM(VLOOKUP(D1420,TB!$B$9:$C$1500,2,FALSE))</f>
        <v>Bank charges</v>
      </c>
      <c r="F1420" s="173" t="str">
        <f t="shared" ref="F1420:F1421" si="33">F1419</f>
        <v>BCA QR  01-06-2026</v>
      </c>
      <c r="G1420" s="130"/>
      <c r="H1420" s="157">
        <f>I1421*1.8%</f>
        <v>5296.5000000000009</v>
      </c>
      <c r="I1420" s="10"/>
      <c r="J1420" s="79" t="e">
        <f t="shared" si="25"/>
        <v>#VALUE!</v>
      </c>
      <c r="K1420" s="106"/>
      <c r="L1420" s="107"/>
      <c r="M1420" s="106"/>
      <c r="N1420" s="106"/>
      <c r="O1420" s="108"/>
      <c r="P1420" s="108"/>
      <c r="Q1420" s="108"/>
      <c r="R1420" s="109"/>
      <c r="S1420" s="109"/>
      <c r="T1420" s="108"/>
      <c r="U1420" s="110"/>
      <c r="V1420" s="110"/>
      <c r="W1420" s="110"/>
      <c r="X1420" s="110"/>
    </row>
    <row r="1421" spans="1:24" ht="14.25" customHeight="1">
      <c r="A1421" s="110"/>
      <c r="B1421" s="125">
        <f t="shared" ref="B1421:C1421" si="34">B1420</f>
        <v>46176</v>
      </c>
      <c r="C1421" s="126" t="str">
        <f t="shared" si="34"/>
        <v>BCA26-06060</v>
      </c>
      <c r="D1421" s="15" t="s">
        <v>42</v>
      </c>
      <c r="E1421" s="10" t="str">
        <f>TRIM(VLOOKUP(D1421,TB!$B$9:$C$1500,2,FALSE))</f>
        <v>BCA Card TBB</v>
      </c>
      <c r="F1421" s="173" t="str">
        <f t="shared" si="33"/>
        <v>BCA QR  01-06-2026</v>
      </c>
      <c r="G1421" s="130"/>
      <c r="H1421" s="10"/>
      <c r="I1421" s="10">
        <v>294250</v>
      </c>
      <c r="J1421" s="79" t="e">
        <f t="shared" si="25"/>
        <v>#VALUE!</v>
      </c>
      <c r="K1421" s="106"/>
      <c r="L1421" s="107"/>
      <c r="M1421" s="106"/>
      <c r="N1421" s="106"/>
      <c r="O1421" s="108"/>
      <c r="P1421" s="108"/>
      <c r="Q1421" s="108"/>
      <c r="R1421" s="109"/>
      <c r="S1421" s="109"/>
      <c r="T1421" s="108"/>
      <c r="U1421" s="110"/>
      <c r="V1421" s="110"/>
      <c r="W1421" s="110"/>
      <c r="X1421" s="110"/>
    </row>
    <row r="1422" spans="1:24" ht="14.25" customHeight="1">
      <c r="A1422" s="110"/>
      <c r="B1422" s="125"/>
      <c r="C1422" s="126"/>
      <c r="D1422" s="15"/>
      <c r="E1422" s="10" t="e">
        <f>TRIM(VLOOKUP(D1422,TB!$B$9:$C$1500,2,FALSE))</f>
        <v>#N/A</v>
      </c>
      <c r="F1422" s="173"/>
      <c r="G1422" s="130"/>
      <c r="H1422" s="10"/>
      <c r="I1422" s="10"/>
      <c r="J1422" s="79" t="e">
        <f t="shared" si="25"/>
        <v>#VALUE!</v>
      </c>
      <c r="K1422" s="106"/>
      <c r="L1422" s="107"/>
      <c r="M1422" s="106"/>
      <c r="N1422" s="106"/>
      <c r="O1422" s="108"/>
      <c r="P1422" s="108"/>
      <c r="Q1422" s="108"/>
      <c r="R1422" s="109"/>
      <c r="S1422" s="109"/>
      <c r="T1422" s="108"/>
      <c r="U1422" s="110"/>
      <c r="V1422" s="110"/>
      <c r="W1422" s="110"/>
      <c r="X1422" s="110"/>
    </row>
    <row r="1423" spans="1:24" ht="14.25" customHeight="1">
      <c r="A1423" s="110"/>
      <c r="B1423" s="125">
        <v>46176</v>
      </c>
      <c r="C1423" s="126" t="s">
        <v>360</v>
      </c>
      <c r="D1423" s="68" t="s">
        <v>285</v>
      </c>
      <c r="E1423" s="10" t="str">
        <f>TRIM(VLOOKUP(D1423,TB!$B$9:$C$1500,2,FALSE))</f>
        <v>Misc Cash Purchase</v>
      </c>
      <c r="F1423" s="173" t="s">
        <v>361</v>
      </c>
      <c r="G1423" s="130"/>
      <c r="H1423" s="10">
        <v>12065000</v>
      </c>
      <c r="I1423" s="10"/>
      <c r="J1423" s="79" t="e">
        <f t="shared" si="25"/>
        <v>#VALUE!</v>
      </c>
      <c r="K1423" s="106"/>
      <c r="L1423" s="107"/>
      <c r="M1423" s="106"/>
      <c r="N1423" s="106"/>
      <c r="O1423" s="108"/>
      <c r="P1423" s="108"/>
      <c r="Q1423" s="108"/>
      <c r="R1423" s="109"/>
      <c r="S1423" s="109"/>
      <c r="T1423" s="108"/>
      <c r="U1423" s="110"/>
      <c r="V1423" s="110"/>
      <c r="W1423" s="110"/>
      <c r="X1423" s="110"/>
    </row>
    <row r="1424" spans="1:24" ht="14.25" customHeight="1">
      <c r="A1424" s="110"/>
      <c r="B1424" s="125">
        <f t="shared" ref="B1424:C1424" si="35">B1423</f>
        <v>46176</v>
      </c>
      <c r="C1424" s="126" t="str">
        <f t="shared" si="35"/>
        <v>BCA26-06061</v>
      </c>
      <c r="D1424" s="68" t="s">
        <v>130</v>
      </c>
      <c r="E1424" s="10" t="str">
        <f>TRIM(VLOOKUP(D1424,TB!$B$9:$C$1500,2,FALSE))</f>
        <v>BCA TBB</v>
      </c>
      <c r="F1424" s="173" t="str">
        <f>F1423</f>
        <v>Pt. Buana Graha Satelit - Inv. 6455 - 10 April 26</v>
      </c>
      <c r="G1424" s="130"/>
      <c r="H1424" s="10"/>
      <c r="I1424" s="10">
        <f>H1423</f>
        <v>12065000</v>
      </c>
      <c r="J1424" s="79" t="e">
        <f t="shared" si="25"/>
        <v>#VALUE!</v>
      </c>
      <c r="K1424" s="106"/>
      <c r="L1424" s="107"/>
      <c r="M1424" s="106"/>
      <c r="N1424" s="106"/>
      <c r="O1424" s="108"/>
      <c r="P1424" s="108"/>
      <c r="Q1424" s="108"/>
      <c r="R1424" s="109"/>
      <c r="S1424" s="109"/>
      <c r="T1424" s="108"/>
      <c r="U1424" s="110"/>
      <c r="V1424" s="110"/>
      <c r="W1424" s="110"/>
      <c r="X1424" s="110"/>
    </row>
    <row r="1425" spans="1:24" ht="14.25" customHeight="1">
      <c r="A1425" s="110"/>
      <c r="B1425" s="125"/>
      <c r="C1425" s="126"/>
      <c r="D1425" s="15"/>
      <c r="E1425" s="10" t="e">
        <f>TRIM(VLOOKUP(D1425,TB!$B$9:$C$1500,2,FALSE))</f>
        <v>#N/A</v>
      </c>
      <c r="F1425" s="173"/>
      <c r="G1425" s="130"/>
      <c r="H1425" s="10"/>
      <c r="I1425" s="10"/>
      <c r="J1425" s="79" t="e">
        <f t="shared" si="25"/>
        <v>#VALUE!</v>
      </c>
      <c r="K1425" s="106"/>
      <c r="L1425" s="107"/>
      <c r="M1425" s="106"/>
      <c r="N1425" s="106"/>
      <c r="O1425" s="108"/>
      <c r="P1425" s="108"/>
      <c r="Q1425" s="108"/>
      <c r="R1425" s="109"/>
      <c r="S1425" s="109"/>
      <c r="T1425" s="108"/>
      <c r="U1425" s="110"/>
      <c r="V1425" s="110"/>
      <c r="W1425" s="110"/>
      <c r="X1425" s="110"/>
    </row>
    <row r="1426" spans="1:24" ht="14.25" customHeight="1">
      <c r="A1426" s="110"/>
      <c r="B1426" s="125">
        <v>46176</v>
      </c>
      <c r="C1426" s="126" t="s">
        <v>362</v>
      </c>
      <c r="D1426" s="68" t="s">
        <v>285</v>
      </c>
      <c r="E1426" s="10" t="str">
        <f>TRIM(VLOOKUP(D1426,TB!$B$9:$C$1500,2,FALSE))</f>
        <v>Misc Cash Purchase</v>
      </c>
      <c r="F1426" s="173" t="s">
        <v>363</v>
      </c>
      <c r="G1426" s="130"/>
      <c r="H1426" s="10">
        <v>5274335</v>
      </c>
      <c r="I1426" s="10"/>
      <c r="J1426" s="79" t="e">
        <f t="shared" si="25"/>
        <v>#VALUE!</v>
      </c>
      <c r="K1426" s="106"/>
      <c r="L1426" s="107"/>
      <c r="M1426" s="106"/>
      <c r="N1426" s="106"/>
      <c r="O1426" s="108"/>
      <c r="P1426" s="108"/>
      <c r="Q1426" s="108"/>
      <c r="R1426" s="109"/>
      <c r="S1426" s="109"/>
      <c r="T1426" s="108"/>
      <c r="U1426" s="110"/>
      <c r="V1426" s="110"/>
      <c r="W1426" s="110"/>
      <c r="X1426" s="110"/>
    </row>
    <row r="1427" spans="1:24" ht="14.25" customHeight="1">
      <c r="A1427" s="110"/>
      <c r="B1427" s="125">
        <f t="shared" ref="B1427:C1427" si="36">B1426</f>
        <v>46176</v>
      </c>
      <c r="C1427" s="126" t="str">
        <f t="shared" si="36"/>
        <v>BCA26-06062</v>
      </c>
      <c r="D1427" s="68" t="s">
        <v>130</v>
      </c>
      <c r="E1427" s="10" t="str">
        <f>TRIM(VLOOKUP(D1427,TB!$B$9:$C$1500,2,FALSE))</f>
        <v>BCA TBB</v>
      </c>
      <c r="F1427" s="173" t="str">
        <f>F1426</f>
        <v>Dineta Jaya - Inv. 3120, 2637 - 05 May  26,7152 - 12 May  26,8142 - 13 May  26</v>
      </c>
      <c r="G1427" s="130"/>
      <c r="H1427" s="10"/>
      <c r="I1427" s="10">
        <f>H1426</f>
        <v>5274335</v>
      </c>
      <c r="J1427" s="79" t="e">
        <f t="shared" si="25"/>
        <v>#VALUE!</v>
      </c>
      <c r="K1427" s="106"/>
      <c r="L1427" s="107"/>
      <c r="M1427" s="106"/>
      <c r="N1427" s="106"/>
      <c r="O1427" s="108"/>
      <c r="P1427" s="108"/>
      <c r="Q1427" s="108"/>
      <c r="R1427" s="109"/>
      <c r="S1427" s="109"/>
      <c r="T1427" s="108"/>
      <c r="U1427" s="110"/>
      <c r="V1427" s="110"/>
      <c r="W1427" s="110"/>
      <c r="X1427" s="110"/>
    </row>
    <row r="1428" spans="1:24" ht="14.25" customHeight="1">
      <c r="A1428" s="110"/>
      <c r="B1428" s="125"/>
      <c r="C1428" s="126"/>
      <c r="D1428" s="15"/>
      <c r="E1428" s="10" t="e">
        <f>TRIM(VLOOKUP(D1428,TB!$B$9:$C$1500,2,FALSE))</f>
        <v>#N/A</v>
      </c>
      <c r="F1428" s="173"/>
      <c r="G1428" s="130"/>
      <c r="H1428" s="10"/>
      <c r="I1428" s="10"/>
      <c r="J1428" s="79" t="e">
        <f t="shared" si="25"/>
        <v>#VALUE!</v>
      </c>
      <c r="K1428" s="106"/>
      <c r="L1428" s="107"/>
      <c r="M1428" s="106"/>
      <c r="N1428" s="106"/>
      <c r="O1428" s="108"/>
      <c r="P1428" s="108"/>
      <c r="Q1428" s="108"/>
      <c r="R1428" s="109"/>
      <c r="S1428" s="109"/>
      <c r="T1428" s="108"/>
      <c r="U1428" s="110"/>
      <c r="V1428" s="110"/>
      <c r="W1428" s="110"/>
      <c r="X1428" s="110"/>
    </row>
    <row r="1429" spans="1:24" ht="14.25" customHeight="1">
      <c r="A1429" s="110"/>
      <c r="B1429" s="125">
        <v>46176</v>
      </c>
      <c r="C1429" s="126" t="s">
        <v>364</v>
      </c>
      <c r="D1429" s="68" t="s">
        <v>285</v>
      </c>
      <c r="E1429" s="10" t="str">
        <f>TRIM(VLOOKUP(D1429,TB!$B$9:$C$1500,2,FALSE))</f>
        <v>Misc Cash Purchase</v>
      </c>
      <c r="F1429" s="173" t="s">
        <v>365</v>
      </c>
      <c r="G1429" s="130"/>
      <c r="H1429" s="10">
        <v>660450</v>
      </c>
      <c r="I1429" s="10"/>
      <c r="J1429" s="79" t="e">
        <f t="shared" si="25"/>
        <v>#VALUE!</v>
      </c>
      <c r="K1429" s="106"/>
      <c r="L1429" s="107"/>
      <c r="M1429" s="106"/>
      <c r="N1429" s="106"/>
      <c r="O1429" s="108"/>
      <c r="P1429" s="108"/>
      <c r="Q1429" s="108"/>
      <c r="R1429" s="109"/>
      <c r="S1429" s="109"/>
      <c r="T1429" s="108"/>
      <c r="U1429" s="110"/>
      <c r="V1429" s="110"/>
      <c r="W1429" s="110"/>
      <c r="X1429" s="110"/>
    </row>
    <row r="1430" spans="1:24" ht="14.25" customHeight="1">
      <c r="A1430" s="110"/>
      <c r="B1430" s="125">
        <f t="shared" ref="B1430:C1430" si="37">B1429</f>
        <v>46176</v>
      </c>
      <c r="C1430" s="126" t="str">
        <f t="shared" si="37"/>
        <v>BCA26-06063</v>
      </c>
      <c r="D1430" s="68" t="s">
        <v>130</v>
      </c>
      <c r="E1430" s="10" t="str">
        <f>TRIM(VLOOKUP(D1430,TB!$B$9:$C$1500,2,FALSE))</f>
        <v>BCA TBB</v>
      </c>
      <c r="F1430" s="173" t="str">
        <f>F1429</f>
        <v>Mahkota Jaya Barokah - Inv. 0038 - 05 May 26</v>
      </c>
      <c r="G1430" s="130"/>
      <c r="H1430" s="10"/>
      <c r="I1430" s="10">
        <f>H1429</f>
        <v>660450</v>
      </c>
      <c r="J1430" s="79" t="e">
        <f t="shared" si="25"/>
        <v>#VALUE!</v>
      </c>
      <c r="K1430" s="106"/>
      <c r="L1430" s="107"/>
      <c r="M1430" s="106"/>
      <c r="N1430" s="106"/>
      <c r="O1430" s="108"/>
      <c r="P1430" s="108"/>
      <c r="Q1430" s="108"/>
      <c r="R1430" s="109"/>
      <c r="S1430" s="109"/>
      <c r="T1430" s="108"/>
      <c r="U1430" s="110"/>
      <c r="V1430" s="110"/>
      <c r="W1430" s="110"/>
      <c r="X1430" s="110"/>
    </row>
    <row r="1431" spans="1:24" ht="14.25" customHeight="1">
      <c r="A1431" s="110"/>
      <c r="B1431" s="125"/>
      <c r="C1431" s="126"/>
      <c r="D1431" s="15"/>
      <c r="E1431" s="10" t="e">
        <f>TRIM(VLOOKUP(D1431,TB!$B$9:$C$1500,2,FALSE))</f>
        <v>#N/A</v>
      </c>
      <c r="F1431" s="173"/>
      <c r="G1431" s="130"/>
      <c r="H1431" s="10"/>
      <c r="I1431" s="10"/>
      <c r="J1431" s="79" t="e">
        <f t="shared" si="25"/>
        <v>#VALUE!</v>
      </c>
      <c r="K1431" s="106"/>
      <c r="L1431" s="107"/>
      <c r="M1431" s="106"/>
      <c r="N1431" s="106"/>
      <c r="O1431" s="108"/>
      <c r="P1431" s="108"/>
      <c r="Q1431" s="108"/>
      <c r="R1431" s="109"/>
      <c r="S1431" s="109"/>
      <c r="T1431" s="108"/>
      <c r="U1431" s="110"/>
      <c r="V1431" s="110"/>
      <c r="W1431" s="110"/>
      <c r="X1431" s="110"/>
    </row>
    <row r="1432" spans="1:24" ht="14.25" customHeight="1">
      <c r="A1432" s="110"/>
      <c r="B1432" s="125">
        <v>46176</v>
      </c>
      <c r="C1432" s="126" t="s">
        <v>366</v>
      </c>
      <c r="D1432" s="68" t="s">
        <v>285</v>
      </c>
      <c r="E1432" s="10" t="str">
        <f>TRIM(VLOOKUP(D1432,TB!$B$9:$C$1500,2,FALSE))</f>
        <v>Misc Cash Purchase</v>
      </c>
      <c r="F1432" s="173" t="s">
        <v>367</v>
      </c>
      <c r="G1432" s="130"/>
      <c r="H1432" s="10">
        <v>420936</v>
      </c>
      <c r="I1432" s="10"/>
      <c r="J1432" s="79" t="e">
        <f t="shared" si="25"/>
        <v>#VALUE!</v>
      </c>
      <c r="K1432" s="106"/>
      <c r="L1432" s="107"/>
      <c r="M1432" s="106"/>
      <c r="N1432" s="106"/>
      <c r="O1432" s="108"/>
      <c r="P1432" s="108"/>
      <c r="Q1432" s="108"/>
      <c r="R1432" s="109"/>
      <c r="S1432" s="109"/>
      <c r="T1432" s="108"/>
      <c r="U1432" s="110"/>
      <c r="V1432" s="110"/>
      <c r="W1432" s="110"/>
      <c r="X1432" s="110"/>
    </row>
    <row r="1433" spans="1:24" ht="14.25" customHeight="1">
      <c r="A1433" s="110"/>
      <c r="B1433" s="125">
        <f t="shared" ref="B1433:C1433" si="38">B1432</f>
        <v>46176</v>
      </c>
      <c r="C1433" s="126" t="str">
        <f t="shared" si="38"/>
        <v>BCA26-06064</v>
      </c>
      <c r="D1433" s="68" t="s">
        <v>130</v>
      </c>
      <c r="E1433" s="10" t="str">
        <f>TRIM(VLOOKUP(D1433,TB!$B$9:$C$1500,2,FALSE))</f>
        <v>BCA TBB</v>
      </c>
      <c r="F1433" s="173" t="str">
        <f>F1432</f>
        <v>Sukanda Djaya - Inv.8582 - 12 May, 8093 - 12 May 26</v>
      </c>
      <c r="G1433" s="130"/>
      <c r="H1433" s="10"/>
      <c r="I1433" s="10">
        <f>H1432</f>
        <v>420936</v>
      </c>
      <c r="J1433" s="79" t="e">
        <f t="shared" si="25"/>
        <v>#VALUE!</v>
      </c>
      <c r="K1433" s="106"/>
      <c r="L1433" s="107"/>
      <c r="M1433" s="106"/>
      <c r="N1433" s="106"/>
      <c r="O1433" s="108"/>
      <c r="P1433" s="108"/>
      <c r="Q1433" s="108"/>
      <c r="R1433" s="109"/>
      <c r="S1433" s="109"/>
      <c r="T1433" s="108"/>
      <c r="U1433" s="110"/>
      <c r="V1433" s="110"/>
      <c r="W1433" s="110"/>
      <c r="X1433" s="110"/>
    </row>
    <row r="1434" spans="1:24" ht="14.25" customHeight="1">
      <c r="A1434" s="110"/>
      <c r="B1434" s="125"/>
      <c r="C1434" s="126"/>
      <c r="D1434" s="15"/>
      <c r="E1434" s="10" t="e">
        <f>TRIM(VLOOKUP(D1434,TB!$B$9:$C$1500,2,FALSE))</f>
        <v>#N/A</v>
      </c>
      <c r="F1434" s="173"/>
      <c r="G1434" s="130"/>
      <c r="H1434" s="10"/>
      <c r="I1434" s="10"/>
      <c r="J1434" s="79" t="e">
        <f t="shared" si="25"/>
        <v>#VALUE!</v>
      </c>
      <c r="K1434" s="106"/>
      <c r="L1434" s="107"/>
      <c r="M1434" s="106"/>
      <c r="N1434" s="106"/>
      <c r="O1434" s="108"/>
      <c r="P1434" s="108"/>
      <c r="Q1434" s="108"/>
      <c r="R1434" s="109"/>
      <c r="S1434" s="109"/>
      <c r="T1434" s="108"/>
      <c r="U1434" s="110"/>
      <c r="V1434" s="110"/>
      <c r="W1434" s="110"/>
      <c r="X1434" s="110"/>
    </row>
    <row r="1435" spans="1:24" ht="14.25" customHeight="1">
      <c r="A1435" s="110"/>
      <c r="B1435" s="125">
        <v>46176</v>
      </c>
      <c r="C1435" s="126" t="s">
        <v>368</v>
      </c>
      <c r="D1435" s="68" t="s">
        <v>285</v>
      </c>
      <c r="E1435" s="10" t="str">
        <f>TRIM(VLOOKUP(D1435,TB!$B$9:$C$1500,2,FALSE))</f>
        <v>Misc Cash Purchase</v>
      </c>
      <c r="F1435" s="173" t="s">
        <v>369</v>
      </c>
      <c r="G1435" s="130"/>
      <c r="H1435" s="10">
        <v>850000</v>
      </c>
      <c r="I1435" s="10"/>
      <c r="J1435" s="79" t="e">
        <f t="shared" si="25"/>
        <v>#VALUE!</v>
      </c>
      <c r="K1435" s="106"/>
      <c r="L1435" s="107"/>
      <c r="M1435" s="106"/>
      <c r="N1435" s="106"/>
      <c r="O1435" s="108"/>
      <c r="P1435" s="108"/>
      <c r="Q1435" s="108"/>
      <c r="R1435" s="109"/>
      <c r="S1435" s="109"/>
      <c r="T1435" s="108"/>
      <c r="U1435" s="110"/>
      <c r="V1435" s="110"/>
      <c r="W1435" s="110"/>
      <c r="X1435" s="110"/>
    </row>
    <row r="1436" spans="1:24" ht="14.25" customHeight="1">
      <c r="A1436" s="110"/>
      <c r="B1436" s="125">
        <v>46176</v>
      </c>
      <c r="C1436" s="126" t="s">
        <v>368</v>
      </c>
      <c r="D1436" s="15" t="s">
        <v>124</v>
      </c>
      <c r="E1436" s="10" t="str">
        <f>TRIM(VLOOKUP(D1436,TB!$B$9:$C$1500,2,FALSE))</f>
        <v>Bank charges</v>
      </c>
      <c r="F1436" s="173" t="s">
        <v>369</v>
      </c>
      <c r="G1436" s="130"/>
      <c r="H1436" s="10">
        <v>2500</v>
      </c>
      <c r="I1436" s="10"/>
      <c r="J1436" s="79" t="e">
        <f t="shared" si="25"/>
        <v>#VALUE!</v>
      </c>
      <c r="K1436" s="106"/>
      <c r="L1436" s="107"/>
      <c r="M1436" s="106"/>
      <c r="N1436" s="106"/>
      <c r="O1436" s="108"/>
      <c r="P1436" s="108"/>
      <c r="Q1436" s="108"/>
      <c r="R1436" s="109"/>
      <c r="S1436" s="109"/>
      <c r="T1436" s="108"/>
      <c r="U1436" s="110"/>
      <c r="V1436" s="110"/>
      <c r="W1436" s="110"/>
      <c r="X1436" s="110"/>
    </row>
    <row r="1437" spans="1:24" ht="14.25" customHeight="1">
      <c r="A1437" s="110"/>
      <c r="B1437" s="125">
        <f t="shared" ref="B1437:C1437" si="39">B1435</f>
        <v>46176</v>
      </c>
      <c r="C1437" s="126" t="str">
        <f t="shared" si="39"/>
        <v>BCA26-06065</v>
      </c>
      <c r="D1437" s="68" t="s">
        <v>130</v>
      </c>
      <c r="E1437" s="10" t="str">
        <f>TRIM(VLOOKUP(D1437,TB!$B$9:$C$1500,2,FALSE))</f>
        <v>BCA TBB</v>
      </c>
      <c r="F1437" s="173" t="str">
        <f>F1435</f>
        <v>Wildan Fresh - Inv. 17 May 26</v>
      </c>
      <c r="G1437" s="130"/>
      <c r="H1437" s="10"/>
      <c r="I1437" s="10">
        <v>852500</v>
      </c>
      <c r="J1437" s="79" t="e">
        <f t="shared" si="25"/>
        <v>#VALUE!</v>
      </c>
      <c r="K1437" s="106"/>
      <c r="L1437" s="107"/>
      <c r="M1437" s="106"/>
      <c r="N1437" s="106"/>
      <c r="O1437" s="108"/>
      <c r="P1437" s="108"/>
      <c r="Q1437" s="108"/>
      <c r="R1437" s="109"/>
      <c r="S1437" s="109"/>
      <c r="T1437" s="108"/>
      <c r="U1437" s="110"/>
      <c r="V1437" s="110"/>
      <c r="W1437" s="110"/>
      <c r="X1437" s="110"/>
    </row>
    <row r="1438" spans="1:24" ht="14.25" customHeight="1">
      <c r="A1438" s="110"/>
      <c r="B1438" s="125"/>
      <c r="C1438" s="126"/>
      <c r="D1438" s="15"/>
      <c r="E1438" s="10" t="e">
        <f>TRIM(VLOOKUP(D1438,TB!$B$9:$C$1500,2,FALSE))</f>
        <v>#N/A</v>
      </c>
      <c r="F1438" s="173"/>
      <c r="G1438" s="130"/>
      <c r="H1438" s="10"/>
      <c r="I1438" s="10"/>
      <c r="J1438" s="79" t="e">
        <f t="shared" si="25"/>
        <v>#VALUE!</v>
      </c>
      <c r="K1438" s="106"/>
      <c r="L1438" s="107"/>
      <c r="M1438" s="106"/>
      <c r="N1438" s="106"/>
      <c r="O1438" s="108"/>
      <c r="P1438" s="108"/>
      <c r="Q1438" s="108"/>
      <c r="R1438" s="109"/>
      <c r="S1438" s="109"/>
      <c r="T1438" s="108"/>
      <c r="U1438" s="110"/>
      <c r="V1438" s="110"/>
      <c r="W1438" s="110"/>
      <c r="X1438" s="110"/>
    </row>
    <row r="1439" spans="1:24" ht="14.25" customHeight="1">
      <c r="A1439" s="110"/>
      <c r="B1439" s="125">
        <v>46176</v>
      </c>
      <c r="C1439" s="126" t="s">
        <v>370</v>
      </c>
      <c r="D1439" s="68" t="s">
        <v>285</v>
      </c>
      <c r="E1439" s="10" t="str">
        <f>TRIM(VLOOKUP(D1439,TB!$B$9:$C$1500,2,FALSE))</f>
        <v>Misc Cash Purchase</v>
      </c>
      <c r="F1439" s="173" t="s">
        <v>371</v>
      </c>
      <c r="G1439" s="130"/>
      <c r="H1439" s="10">
        <v>1500000</v>
      </c>
      <c r="I1439" s="10"/>
      <c r="J1439" s="79" t="e">
        <f t="shared" si="25"/>
        <v>#VALUE!</v>
      </c>
      <c r="K1439" s="106"/>
      <c r="L1439" s="107"/>
      <c r="M1439" s="106"/>
      <c r="N1439" s="106"/>
      <c r="O1439" s="108"/>
      <c r="P1439" s="108"/>
      <c r="Q1439" s="108"/>
      <c r="R1439" s="109"/>
      <c r="S1439" s="109"/>
      <c r="T1439" s="108"/>
      <c r="U1439" s="110"/>
      <c r="V1439" s="110"/>
      <c r="W1439" s="110"/>
      <c r="X1439" s="110"/>
    </row>
    <row r="1440" spans="1:24" ht="14.25" customHeight="1">
      <c r="A1440" s="110"/>
      <c r="B1440" s="125">
        <v>46176</v>
      </c>
      <c r="C1440" s="126" t="s">
        <v>370</v>
      </c>
      <c r="D1440" s="15" t="s">
        <v>124</v>
      </c>
      <c r="E1440" s="10" t="str">
        <f>TRIM(VLOOKUP(D1440,TB!$B$9:$C$1500,2,FALSE))</f>
        <v>Bank charges</v>
      </c>
      <c r="F1440" s="173" t="s">
        <v>371</v>
      </c>
      <c r="G1440" s="130"/>
      <c r="H1440" s="10">
        <v>2500</v>
      </c>
      <c r="I1440" s="10"/>
      <c r="J1440" s="79" t="e">
        <f t="shared" si="25"/>
        <v>#VALUE!</v>
      </c>
      <c r="K1440" s="106"/>
      <c r="L1440" s="107"/>
      <c r="M1440" s="106"/>
      <c r="N1440" s="106"/>
      <c r="O1440" s="108"/>
      <c r="P1440" s="108"/>
      <c r="Q1440" s="108"/>
      <c r="R1440" s="109"/>
      <c r="S1440" s="109"/>
      <c r="T1440" s="108"/>
      <c r="U1440" s="110"/>
      <c r="V1440" s="110"/>
      <c r="W1440" s="110"/>
      <c r="X1440" s="110"/>
    </row>
    <row r="1441" spans="1:24" ht="14.25" customHeight="1">
      <c r="A1441" s="110"/>
      <c r="B1441" s="125">
        <f t="shared" ref="B1441:C1441" si="40">B1439</f>
        <v>46176</v>
      </c>
      <c r="C1441" s="126" t="str">
        <f t="shared" si="40"/>
        <v>BCA26-06066</v>
      </c>
      <c r="D1441" s="68" t="s">
        <v>130</v>
      </c>
      <c r="E1441" s="10" t="str">
        <f>TRIM(VLOOKUP(D1441,TB!$B$9:$C$1500,2,FALSE))</f>
        <v>BCA TBB</v>
      </c>
      <c r="F1441" s="173" t="str">
        <f>F1439</f>
        <v>Michael Vagas - Fee Dj 12 May 26</v>
      </c>
      <c r="G1441" s="130"/>
      <c r="H1441" s="10"/>
      <c r="I1441" s="10">
        <v>1502500</v>
      </c>
      <c r="J1441" s="79" t="e">
        <f t="shared" si="25"/>
        <v>#VALUE!</v>
      </c>
      <c r="K1441" s="106"/>
      <c r="L1441" s="107"/>
      <c r="M1441" s="106"/>
      <c r="N1441" s="106"/>
      <c r="O1441" s="108"/>
      <c r="P1441" s="108"/>
      <c r="Q1441" s="108"/>
      <c r="R1441" s="109"/>
      <c r="S1441" s="109"/>
      <c r="T1441" s="108"/>
      <c r="U1441" s="110"/>
      <c r="V1441" s="110"/>
      <c r="W1441" s="110"/>
      <c r="X1441" s="110"/>
    </row>
    <row r="1442" spans="1:24" ht="14.25" customHeight="1">
      <c r="A1442" s="110"/>
      <c r="B1442" s="125"/>
      <c r="C1442" s="126"/>
      <c r="D1442" s="15"/>
      <c r="E1442" s="10" t="e">
        <f>TRIM(VLOOKUP(D1442,TB!$B$9:$C$1500,2,FALSE))</f>
        <v>#N/A</v>
      </c>
      <c r="F1442" s="173"/>
      <c r="G1442" s="130"/>
      <c r="H1442" s="10"/>
      <c r="I1442" s="10"/>
      <c r="J1442" s="79" t="e">
        <f t="shared" si="25"/>
        <v>#VALUE!</v>
      </c>
      <c r="K1442" s="106"/>
      <c r="L1442" s="107"/>
      <c r="M1442" s="106"/>
      <c r="N1442" s="106"/>
      <c r="O1442" s="108"/>
      <c r="P1442" s="108"/>
      <c r="Q1442" s="108"/>
      <c r="R1442" s="109"/>
      <c r="S1442" s="109"/>
      <c r="T1442" s="108"/>
      <c r="U1442" s="110"/>
      <c r="V1442" s="110"/>
      <c r="W1442" s="110"/>
      <c r="X1442" s="110"/>
    </row>
    <row r="1443" spans="1:24" ht="14.25" customHeight="1">
      <c r="A1443" s="110"/>
      <c r="B1443" s="125">
        <v>46176</v>
      </c>
      <c r="C1443" s="126" t="s">
        <v>372</v>
      </c>
      <c r="D1443" s="68" t="s">
        <v>285</v>
      </c>
      <c r="E1443" s="10" t="str">
        <f>TRIM(VLOOKUP(D1443,TB!$B$9:$C$1500,2,FALSE))</f>
        <v>Misc Cash Purchase</v>
      </c>
      <c r="F1443" s="173" t="s">
        <v>373</v>
      </c>
      <c r="G1443" s="130"/>
      <c r="H1443" s="10">
        <v>4000000</v>
      </c>
      <c r="I1443" s="10"/>
      <c r="J1443" s="79" t="e">
        <f t="shared" si="25"/>
        <v>#VALUE!</v>
      </c>
      <c r="K1443" s="106"/>
      <c r="L1443" s="107"/>
      <c r="M1443" s="106"/>
      <c r="N1443" s="106"/>
      <c r="O1443" s="108"/>
      <c r="P1443" s="108"/>
      <c r="Q1443" s="108"/>
      <c r="R1443" s="109"/>
      <c r="S1443" s="109"/>
      <c r="T1443" s="108"/>
      <c r="U1443" s="110"/>
      <c r="V1443" s="110"/>
      <c r="W1443" s="110"/>
      <c r="X1443" s="110"/>
    </row>
    <row r="1444" spans="1:24" ht="14.25" customHeight="1">
      <c r="A1444" s="110"/>
      <c r="B1444" s="125">
        <v>46176</v>
      </c>
      <c r="C1444" s="126" t="s">
        <v>372</v>
      </c>
      <c r="D1444" s="15" t="s">
        <v>124</v>
      </c>
      <c r="E1444" s="10" t="str">
        <f>TRIM(VLOOKUP(D1444,TB!$B$9:$C$1500,2,FALSE))</f>
        <v>Bank charges</v>
      </c>
      <c r="F1444" s="173" t="s">
        <v>373</v>
      </c>
      <c r="G1444" s="130"/>
      <c r="H1444" s="10">
        <v>2500</v>
      </c>
      <c r="I1444" s="10"/>
      <c r="J1444" s="79" t="e">
        <f t="shared" si="25"/>
        <v>#VALUE!</v>
      </c>
      <c r="K1444" s="106"/>
      <c r="L1444" s="107"/>
      <c r="M1444" s="106"/>
      <c r="N1444" s="106"/>
      <c r="O1444" s="108"/>
      <c r="P1444" s="108"/>
      <c r="Q1444" s="108"/>
      <c r="R1444" s="109"/>
      <c r="S1444" s="109"/>
      <c r="T1444" s="108"/>
      <c r="U1444" s="110"/>
      <c r="V1444" s="110"/>
      <c r="W1444" s="110"/>
      <c r="X1444" s="110"/>
    </row>
    <row r="1445" spans="1:24" ht="14.25" customHeight="1">
      <c r="A1445" s="110"/>
      <c r="B1445" s="125">
        <f t="shared" ref="B1445:C1445" si="41">B1443</f>
        <v>46176</v>
      </c>
      <c r="C1445" s="126" t="str">
        <f t="shared" si="41"/>
        <v>BCA26-06067</v>
      </c>
      <c r="D1445" s="68" t="s">
        <v>130</v>
      </c>
      <c r="E1445" s="10" t="str">
        <f>TRIM(VLOOKUP(D1445,TB!$B$9:$C$1500,2,FALSE))</f>
        <v>BCA TBB</v>
      </c>
      <c r="F1445" s="173" t="str">
        <f>F1443</f>
        <v>Venuto - Fee Dj 13,15 May 26</v>
      </c>
      <c r="G1445" s="130"/>
      <c r="H1445" s="10"/>
      <c r="I1445" s="10">
        <v>4002500</v>
      </c>
      <c r="J1445" s="79" t="e">
        <f t="shared" si="25"/>
        <v>#VALUE!</v>
      </c>
      <c r="K1445" s="106"/>
      <c r="L1445" s="107"/>
      <c r="M1445" s="106"/>
      <c r="N1445" s="106"/>
      <c r="O1445" s="108"/>
      <c r="P1445" s="108"/>
      <c r="Q1445" s="108"/>
      <c r="R1445" s="109"/>
      <c r="S1445" s="109"/>
      <c r="T1445" s="108"/>
      <c r="U1445" s="110"/>
      <c r="V1445" s="110"/>
      <c r="W1445" s="110"/>
      <c r="X1445" s="110"/>
    </row>
    <row r="1446" spans="1:24" ht="14.25" customHeight="1">
      <c r="A1446" s="110"/>
      <c r="B1446" s="125"/>
      <c r="C1446" s="126"/>
      <c r="D1446" s="15"/>
      <c r="E1446" s="10" t="e">
        <f>TRIM(VLOOKUP(D1446,TB!$B$9:$C$1500,2,FALSE))</f>
        <v>#N/A</v>
      </c>
      <c r="F1446" s="173"/>
      <c r="G1446" s="130"/>
      <c r="H1446" s="10"/>
      <c r="I1446" s="10"/>
      <c r="J1446" s="79" t="e">
        <f t="shared" si="25"/>
        <v>#VALUE!</v>
      </c>
      <c r="K1446" s="106"/>
      <c r="L1446" s="107"/>
      <c r="M1446" s="106"/>
      <c r="N1446" s="106"/>
      <c r="O1446" s="108"/>
      <c r="P1446" s="108"/>
      <c r="Q1446" s="108"/>
      <c r="R1446" s="109"/>
      <c r="S1446" s="109"/>
      <c r="T1446" s="108"/>
      <c r="U1446" s="110"/>
      <c r="V1446" s="110"/>
      <c r="W1446" s="110"/>
      <c r="X1446" s="110"/>
    </row>
    <row r="1447" spans="1:24" ht="14.25" customHeight="1">
      <c r="A1447" s="110"/>
      <c r="B1447" s="125">
        <v>46176</v>
      </c>
      <c r="C1447" s="126" t="s">
        <v>374</v>
      </c>
      <c r="D1447" s="68" t="s">
        <v>285</v>
      </c>
      <c r="E1447" s="10" t="str">
        <f>TRIM(VLOOKUP(D1447,TB!$B$9:$C$1500,2,FALSE))</f>
        <v>Misc Cash Purchase</v>
      </c>
      <c r="F1447" s="173" t="s">
        <v>375</v>
      </c>
      <c r="G1447" s="130"/>
      <c r="H1447" s="10">
        <v>2000000</v>
      </c>
      <c r="I1447" s="10"/>
      <c r="J1447" s="79" t="e">
        <f t="shared" si="25"/>
        <v>#VALUE!</v>
      </c>
      <c r="K1447" s="106"/>
      <c r="L1447" s="107"/>
      <c r="M1447" s="106"/>
      <c r="N1447" s="106"/>
      <c r="O1447" s="108"/>
      <c r="P1447" s="108"/>
      <c r="Q1447" s="108"/>
      <c r="R1447" s="109"/>
      <c r="S1447" s="109"/>
      <c r="T1447" s="108"/>
      <c r="U1447" s="110"/>
      <c r="V1447" s="110"/>
      <c r="W1447" s="110"/>
      <c r="X1447" s="110"/>
    </row>
    <row r="1448" spans="1:24" ht="14.25" customHeight="1">
      <c r="A1448" s="110"/>
      <c r="B1448" s="125">
        <v>46176</v>
      </c>
      <c r="C1448" s="126" t="s">
        <v>374</v>
      </c>
      <c r="D1448" s="15" t="s">
        <v>124</v>
      </c>
      <c r="E1448" s="10" t="str">
        <f>TRIM(VLOOKUP(D1448,TB!$B$9:$C$1500,2,FALSE))</f>
        <v>Bank charges</v>
      </c>
      <c r="F1448" s="173" t="s">
        <v>375</v>
      </c>
      <c r="G1448" s="130"/>
      <c r="H1448" s="10">
        <v>2500</v>
      </c>
      <c r="I1448" s="10"/>
      <c r="J1448" s="79" t="e">
        <f t="shared" si="25"/>
        <v>#VALUE!</v>
      </c>
      <c r="K1448" s="106"/>
      <c r="L1448" s="107"/>
      <c r="M1448" s="106"/>
      <c r="N1448" s="106"/>
      <c r="O1448" s="108"/>
      <c r="P1448" s="108"/>
      <c r="Q1448" s="108"/>
      <c r="R1448" s="109"/>
      <c r="S1448" s="109"/>
      <c r="T1448" s="108"/>
      <c r="U1448" s="110"/>
      <c r="V1448" s="110"/>
      <c r="W1448" s="110"/>
      <c r="X1448" s="110"/>
    </row>
    <row r="1449" spans="1:24" ht="14.25" customHeight="1">
      <c r="A1449" s="110"/>
      <c r="B1449" s="125">
        <f t="shared" ref="B1449:C1449" si="42">B1447</f>
        <v>46176</v>
      </c>
      <c r="C1449" s="126" t="str">
        <f t="shared" si="42"/>
        <v>BCA26-06068</v>
      </c>
      <c r="D1449" s="68" t="s">
        <v>130</v>
      </c>
      <c r="E1449" s="10" t="str">
        <f>TRIM(VLOOKUP(D1449,TB!$B$9:$C$1500,2,FALSE))</f>
        <v>BCA TBB</v>
      </c>
      <c r="F1449" s="173" t="str">
        <f>F1447</f>
        <v>Met Musik - Fee Dj 14 May 26</v>
      </c>
      <c r="G1449" s="130"/>
      <c r="H1449" s="10"/>
      <c r="I1449" s="10">
        <v>2002500</v>
      </c>
      <c r="J1449" s="79" t="e">
        <f t="shared" si="25"/>
        <v>#VALUE!</v>
      </c>
      <c r="K1449" s="106"/>
      <c r="L1449" s="107"/>
      <c r="M1449" s="106"/>
      <c r="N1449" s="106"/>
      <c r="O1449" s="108"/>
      <c r="P1449" s="108"/>
      <c r="Q1449" s="108"/>
      <c r="R1449" s="109"/>
      <c r="S1449" s="109"/>
      <c r="T1449" s="108"/>
      <c r="U1449" s="110"/>
      <c r="V1449" s="110"/>
      <c r="W1449" s="110"/>
      <c r="X1449" s="110"/>
    </row>
    <row r="1450" spans="1:24" ht="14.25" customHeight="1">
      <c r="A1450" s="110"/>
      <c r="B1450" s="125"/>
      <c r="C1450" s="126"/>
      <c r="D1450" s="15"/>
      <c r="E1450" s="10" t="e">
        <f>TRIM(VLOOKUP(D1450,TB!$B$9:$C$1500,2,FALSE))</f>
        <v>#N/A</v>
      </c>
      <c r="F1450" s="173"/>
      <c r="G1450" s="130"/>
      <c r="H1450" s="10"/>
      <c r="I1450" s="10"/>
      <c r="J1450" s="79" t="e">
        <f t="shared" si="25"/>
        <v>#VALUE!</v>
      </c>
      <c r="K1450" s="106"/>
      <c r="L1450" s="107"/>
      <c r="M1450" s="106"/>
      <c r="N1450" s="106"/>
      <c r="O1450" s="108"/>
      <c r="P1450" s="108"/>
      <c r="Q1450" s="108"/>
      <c r="R1450" s="109"/>
      <c r="S1450" s="109"/>
      <c r="T1450" s="108"/>
      <c r="U1450" s="110"/>
      <c r="V1450" s="110"/>
      <c r="W1450" s="110"/>
      <c r="X1450" s="110"/>
    </row>
    <row r="1451" spans="1:24" ht="14.25" customHeight="1">
      <c r="A1451" s="110"/>
      <c r="B1451" s="125">
        <v>46176</v>
      </c>
      <c r="C1451" s="126" t="s">
        <v>376</v>
      </c>
      <c r="D1451" s="68" t="s">
        <v>285</v>
      </c>
      <c r="E1451" s="10" t="str">
        <f>TRIM(VLOOKUP(D1451,TB!$B$9:$C$1500,2,FALSE))</f>
        <v>Misc Cash Purchase</v>
      </c>
      <c r="F1451" s="173" t="s">
        <v>377</v>
      </c>
      <c r="G1451" s="130"/>
      <c r="H1451" s="10">
        <v>1058400</v>
      </c>
      <c r="I1451" s="10"/>
      <c r="J1451" s="79" t="e">
        <f t="shared" si="25"/>
        <v>#VALUE!</v>
      </c>
      <c r="K1451" s="106"/>
      <c r="L1451" s="107"/>
      <c r="M1451" s="106"/>
      <c r="N1451" s="106"/>
      <c r="O1451" s="108"/>
      <c r="P1451" s="108"/>
      <c r="Q1451" s="108"/>
      <c r="R1451" s="109"/>
      <c r="S1451" s="109"/>
      <c r="T1451" s="108"/>
      <c r="U1451" s="110"/>
      <c r="V1451" s="110"/>
      <c r="W1451" s="110"/>
      <c r="X1451" s="110"/>
    </row>
    <row r="1452" spans="1:24" ht="14.25" customHeight="1">
      <c r="A1452" s="110"/>
      <c r="B1452" s="125">
        <f t="shared" ref="B1452:C1452" si="43">B1451</f>
        <v>46176</v>
      </c>
      <c r="C1452" s="126" t="str">
        <f t="shared" si="43"/>
        <v>BCA26-06069</v>
      </c>
      <c r="D1452" s="68" t="s">
        <v>130</v>
      </c>
      <c r="E1452" s="10" t="str">
        <f>TRIM(VLOOKUP(D1452,TB!$B$9:$C$1500,2,FALSE))</f>
        <v>BCA TBB</v>
      </c>
      <c r="F1452" s="173" t="str">
        <f>F1451</f>
        <v>Xjane -  Fee Dj 14 May 26  (Deduct Ledger  09 May 800.360, 16 May 141.240</v>
      </c>
      <c r="G1452" s="130"/>
      <c r="H1452" s="10"/>
      <c r="I1452" s="10">
        <f>H1451</f>
        <v>1058400</v>
      </c>
      <c r="J1452" s="79" t="e">
        <f t="shared" si="25"/>
        <v>#VALUE!</v>
      </c>
      <c r="K1452" s="106"/>
      <c r="L1452" s="107"/>
      <c r="M1452" s="106"/>
      <c r="N1452" s="106"/>
      <c r="O1452" s="108"/>
      <c r="P1452" s="108"/>
      <c r="Q1452" s="108"/>
      <c r="R1452" s="109"/>
      <c r="S1452" s="109"/>
      <c r="T1452" s="108"/>
      <c r="U1452" s="110"/>
      <c r="V1452" s="110"/>
      <c r="W1452" s="110"/>
      <c r="X1452" s="110"/>
    </row>
    <row r="1453" spans="1:24" ht="14.25" customHeight="1">
      <c r="A1453" s="110"/>
      <c r="B1453" s="125"/>
      <c r="C1453" s="126"/>
      <c r="D1453" s="15"/>
      <c r="E1453" s="10" t="e">
        <f>TRIM(VLOOKUP(D1453,TB!$B$9:$C$1500,2,FALSE))</f>
        <v>#N/A</v>
      </c>
      <c r="F1453" s="173"/>
      <c r="G1453" s="130"/>
      <c r="H1453" s="10"/>
      <c r="I1453" s="10"/>
      <c r="J1453" s="79" t="e">
        <f t="shared" si="25"/>
        <v>#VALUE!</v>
      </c>
      <c r="K1453" s="106"/>
      <c r="L1453" s="107"/>
      <c r="M1453" s="106"/>
      <c r="N1453" s="106"/>
      <c r="O1453" s="108"/>
      <c r="P1453" s="108"/>
      <c r="Q1453" s="108"/>
      <c r="R1453" s="109"/>
      <c r="S1453" s="109"/>
      <c r="T1453" s="108"/>
      <c r="U1453" s="110"/>
      <c r="V1453" s="110"/>
      <c r="W1453" s="110"/>
      <c r="X1453" s="110"/>
    </row>
    <row r="1454" spans="1:24" ht="14.25" customHeight="1">
      <c r="A1454" s="110"/>
      <c r="B1454" s="125">
        <v>46176</v>
      </c>
      <c r="C1454" s="126" t="s">
        <v>378</v>
      </c>
      <c r="D1454" s="68" t="s">
        <v>285</v>
      </c>
      <c r="E1454" s="10" t="str">
        <f>TRIM(VLOOKUP(D1454,TB!$B$9:$C$1500,2,FALSE))</f>
        <v>Misc Cash Purchase</v>
      </c>
      <c r="F1454" s="173" t="s">
        <v>379</v>
      </c>
      <c r="G1454" s="130"/>
      <c r="H1454" s="10">
        <v>1000000</v>
      </c>
      <c r="I1454" s="10"/>
      <c r="J1454" s="79" t="e">
        <f t="shared" si="25"/>
        <v>#VALUE!</v>
      </c>
      <c r="K1454" s="106"/>
      <c r="L1454" s="107"/>
      <c r="M1454" s="106"/>
      <c r="N1454" s="106"/>
      <c r="O1454" s="108"/>
      <c r="P1454" s="108"/>
      <c r="Q1454" s="108"/>
      <c r="R1454" s="109"/>
      <c r="S1454" s="109"/>
      <c r="T1454" s="108"/>
      <c r="U1454" s="110"/>
      <c r="V1454" s="110"/>
      <c r="W1454" s="110"/>
      <c r="X1454" s="110"/>
    </row>
    <row r="1455" spans="1:24" ht="14.25" customHeight="1">
      <c r="A1455" s="110"/>
      <c r="B1455" s="125">
        <f t="shared" ref="B1455:C1455" si="44">B1454</f>
        <v>46176</v>
      </c>
      <c r="C1455" s="126" t="str">
        <f t="shared" si="44"/>
        <v>BCA26-06070</v>
      </c>
      <c r="D1455" s="68" t="s">
        <v>130</v>
      </c>
      <c r="E1455" s="10" t="str">
        <f>TRIM(VLOOKUP(D1455,TB!$B$9:$C$1500,2,FALSE))</f>
        <v>BCA TBB</v>
      </c>
      <c r="F1455" s="173" t="str">
        <f>F1454</f>
        <v>Drummer - Fee 14 May 2026</v>
      </c>
      <c r="G1455" s="130"/>
      <c r="H1455" s="10"/>
      <c r="I1455" s="10">
        <f>H1454</f>
        <v>1000000</v>
      </c>
      <c r="J1455" s="79" t="e">
        <f t="shared" si="25"/>
        <v>#VALUE!</v>
      </c>
      <c r="K1455" s="106"/>
      <c r="L1455" s="107"/>
      <c r="M1455" s="106"/>
      <c r="N1455" s="106"/>
      <c r="O1455" s="108"/>
      <c r="P1455" s="108"/>
      <c r="Q1455" s="108"/>
      <c r="R1455" s="109"/>
      <c r="S1455" s="109"/>
      <c r="T1455" s="108"/>
      <c r="U1455" s="110"/>
      <c r="V1455" s="110"/>
      <c r="W1455" s="110"/>
      <c r="X1455" s="110"/>
    </row>
    <row r="1456" spans="1:24" ht="14.25" customHeight="1">
      <c r="A1456" s="110"/>
      <c r="B1456" s="125"/>
      <c r="C1456" s="126"/>
      <c r="D1456" s="15"/>
      <c r="E1456" s="10" t="e">
        <f>TRIM(VLOOKUP(D1456,TB!$B$9:$C$1500,2,FALSE))</f>
        <v>#N/A</v>
      </c>
      <c r="F1456" s="173"/>
      <c r="G1456" s="130"/>
      <c r="H1456" s="10"/>
      <c r="I1456" s="10"/>
      <c r="J1456" s="79" t="e">
        <f t="shared" si="25"/>
        <v>#VALUE!</v>
      </c>
      <c r="K1456" s="106"/>
      <c r="L1456" s="107"/>
      <c r="M1456" s="106"/>
      <c r="N1456" s="106"/>
      <c r="O1456" s="108"/>
      <c r="P1456" s="108"/>
      <c r="Q1456" s="108"/>
      <c r="R1456" s="109"/>
      <c r="S1456" s="109"/>
      <c r="T1456" s="108"/>
      <c r="U1456" s="110"/>
      <c r="V1456" s="110"/>
      <c r="W1456" s="110"/>
      <c r="X1456" s="110"/>
    </row>
    <row r="1457" spans="1:24" ht="14.25" customHeight="1">
      <c r="A1457" s="110"/>
      <c r="B1457" s="125">
        <v>46176</v>
      </c>
      <c r="C1457" s="126" t="s">
        <v>380</v>
      </c>
      <c r="D1457" s="68" t="s">
        <v>285</v>
      </c>
      <c r="E1457" s="10" t="str">
        <f>TRIM(VLOOKUP(D1457,TB!$B$9:$C$1500,2,FALSE))</f>
        <v>Misc Cash Purchase</v>
      </c>
      <c r="F1457" s="173" t="s">
        <v>381</v>
      </c>
      <c r="G1457" s="130"/>
      <c r="H1457" s="10">
        <v>4000000</v>
      </c>
      <c r="I1457" s="10"/>
      <c r="J1457" s="79" t="e">
        <f t="shared" si="25"/>
        <v>#VALUE!</v>
      </c>
      <c r="K1457" s="106"/>
      <c r="L1457" s="107"/>
      <c r="M1457" s="106"/>
      <c r="N1457" s="106"/>
      <c r="O1457" s="108"/>
      <c r="P1457" s="108"/>
      <c r="Q1457" s="108"/>
      <c r="R1457" s="109"/>
      <c r="S1457" s="109"/>
      <c r="T1457" s="108"/>
      <c r="U1457" s="110"/>
      <c r="V1457" s="110"/>
      <c r="W1457" s="110"/>
      <c r="X1457" s="110"/>
    </row>
    <row r="1458" spans="1:24" ht="14.25" customHeight="1">
      <c r="A1458" s="110"/>
      <c r="B1458" s="125">
        <f t="shared" ref="B1458:C1458" si="45">B1457</f>
        <v>46176</v>
      </c>
      <c r="C1458" s="126" t="str">
        <f t="shared" si="45"/>
        <v>BCA26-06071</v>
      </c>
      <c r="D1458" s="68" t="s">
        <v>130</v>
      </c>
      <c r="E1458" s="10" t="str">
        <f>TRIM(VLOOKUP(D1458,TB!$B$9:$C$1500,2,FALSE))</f>
        <v>BCA TBB</v>
      </c>
      <c r="F1458" s="173" t="str">
        <f>F1457</f>
        <v xml:space="preserve">Shammui - Fee Dj 13,16 May 26 </v>
      </c>
      <c r="G1458" s="130"/>
      <c r="H1458" s="10"/>
      <c r="I1458" s="10">
        <f>H1457</f>
        <v>4000000</v>
      </c>
      <c r="J1458" s="79" t="e">
        <f t="shared" si="25"/>
        <v>#VALUE!</v>
      </c>
      <c r="K1458" s="106"/>
      <c r="L1458" s="107"/>
      <c r="M1458" s="106"/>
      <c r="N1458" s="106"/>
      <c r="O1458" s="108"/>
      <c r="P1458" s="108"/>
      <c r="Q1458" s="108"/>
      <c r="R1458" s="109"/>
      <c r="S1458" s="109"/>
      <c r="T1458" s="108"/>
      <c r="U1458" s="110"/>
      <c r="V1458" s="110"/>
      <c r="W1458" s="110"/>
      <c r="X1458" s="110"/>
    </row>
    <row r="1459" spans="1:24" ht="14.25" customHeight="1">
      <c r="A1459" s="110"/>
      <c r="B1459" s="125"/>
      <c r="C1459" s="126"/>
      <c r="D1459" s="15"/>
      <c r="E1459" s="10" t="e">
        <f>TRIM(VLOOKUP(D1459,TB!$B$9:$C$1500,2,FALSE))</f>
        <v>#N/A</v>
      </c>
      <c r="F1459" s="173"/>
      <c r="G1459" s="130"/>
      <c r="H1459" s="10"/>
      <c r="I1459" s="10"/>
      <c r="J1459" s="79" t="e">
        <f t="shared" si="25"/>
        <v>#VALUE!</v>
      </c>
      <c r="K1459" s="106"/>
      <c r="L1459" s="107"/>
      <c r="M1459" s="106"/>
      <c r="N1459" s="106"/>
      <c r="O1459" s="108"/>
      <c r="P1459" s="108"/>
      <c r="Q1459" s="108"/>
      <c r="R1459" s="109"/>
      <c r="S1459" s="109"/>
      <c r="T1459" s="108"/>
      <c r="U1459" s="110"/>
      <c r="V1459" s="110"/>
      <c r="W1459" s="110"/>
      <c r="X1459" s="110"/>
    </row>
    <row r="1460" spans="1:24" ht="14.25" customHeight="1">
      <c r="A1460" s="110"/>
      <c r="B1460" s="125">
        <v>46176</v>
      </c>
      <c r="C1460" s="126" t="s">
        <v>382</v>
      </c>
      <c r="D1460" s="68" t="s">
        <v>285</v>
      </c>
      <c r="E1460" s="10" t="str">
        <f>TRIM(VLOOKUP(D1460,TB!$B$9:$C$1500,2,FALSE))</f>
        <v>Misc Cash Purchase</v>
      </c>
      <c r="F1460" s="173" t="s">
        <v>383</v>
      </c>
      <c r="G1460" s="130"/>
      <c r="H1460" s="10">
        <v>1500000</v>
      </c>
      <c r="I1460" s="10"/>
      <c r="J1460" s="79" t="e">
        <f t="shared" si="25"/>
        <v>#VALUE!</v>
      </c>
      <c r="K1460" s="106"/>
      <c r="L1460" s="107"/>
      <c r="M1460" s="106"/>
      <c r="N1460" s="106"/>
      <c r="O1460" s="108"/>
      <c r="P1460" s="108"/>
      <c r="Q1460" s="108"/>
      <c r="R1460" s="109"/>
      <c r="S1460" s="109"/>
      <c r="T1460" s="108"/>
      <c r="U1460" s="110"/>
      <c r="V1460" s="110"/>
      <c r="W1460" s="110"/>
      <c r="X1460" s="110"/>
    </row>
    <row r="1461" spans="1:24" ht="14.25" customHeight="1">
      <c r="A1461" s="110"/>
      <c r="B1461" s="125">
        <f t="shared" ref="B1461:C1461" si="46">B1460</f>
        <v>46176</v>
      </c>
      <c r="C1461" s="126" t="str">
        <f t="shared" si="46"/>
        <v>BCA26-06072</v>
      </c>
      <c r="D1461" s="68" t="s">
        <v>130</v>
      </c>
      <c r="E1461" s="10" t="str">
        <f>TRIM(VLOOKUP(D1461,TB!$B$9:$C$1500,2,FALSE))</f>
        <v>BCA TBB</v>
      </c>
      <c r="F1461" s="173" t="str">
        <f>F1460</f>
        <v>Mvnv - (New Dj Name - Soulmantra) - Fee Dj  12 May 26</v>
      </c>
      <c r="G1461" s="130"/>
      <c r="H1461" s="10"/>
      <c r="I1461" s="10">
        <f>H1460</f>
        <v>1500000</v>
      </c>
      <c r="J1461" s="79" t="e">
        <f t="shared" si="25"/>
        <v>#VALUE!</v>
      </c>
      <c r="K1461" s="106"/>
      <c r="L1461" s="107"/>
      <c r="M1461" s="106"/>
      <c r="N1461" s="106"/>
      <c r="O1461" s="108"/>
      <c r="P1461" s="108"/>
      <c r="Q1461" s="108"/>
      <c r="R1461" s="109"/>
      <c r="S1461" s="109"/>
      <c r="T1461" s="108"/>
      <c r="U1461" s="110"/>
      <c r="V1461" s="110"/>
      <c r="W1461" s="110"/>
      <c r="X1461" s="110"/>
    </row>
    <row r="1462" spans="1:24" ht="14.25" customHeight="1">
      <c r="A1462" s="110"/>
      <c r="B1462" s="125"/>
      <c r="C1462" s="126"/>
      <c r="D1462" s="15"/>
      <c r="E1462" s="10" t="e">
        <f>TRIM(VLOOKUP(D1462,TB!$B$9:$C$1500,2,FALSE))</f>
        <v>#N/A</v>
      </c>
      <c r="F1462" s="173"/>
      <c r="G1462" s="130"/>
      <c r="H1462" s="10"/>
      <c r="I1462" s="10"/>
      <c r="J1462" s="79" t="e">
        <f t="shared" si="25"/>
        <v>#VALUE!</v>
      </c>
      <c r="K1462" s="106"/>
      <c r="L1462" s="107"/>
      <c r="M1462" s="106"/>
      <c r="N1462" s="106"/>
      <c r="O1462" s="108"/>
      <c r="P1462" s="108"/>
      <c r="Q1462" s="108"/>
      <c r="R1462" s="109"/>
      <c r="S1462" s="109"/>
      <c r="T1462" s="108"/>
      <c r="U1462" s="110"/>
      <c r="V1462" s="110"/>
      <c r="W1462" s="110"/>
      <c r="X1462" s="110"/>
    </row>
    <row r="1463" spans="1:24" ht="14.25" customHeight="1">
      <c r="A1463" s="110"/>
      <c r="B1463" s="125">
        <v>46176</v>
      </c>
      <c r="C1463" s="126" t="s">
        <v>384</v>
      </c>
      <c r="D1463" s="68" t="s">
        <v>285</v>
      </c>
      <c r="E1463" s="10" t="str">
        <f>TRIM(VLOOKUP(D1463,TB!$B$9:$C$1500,2,FALSE))</f>
        <v>Misc Cash Purchase</v>
      </c>
      <c r="F1463" s="173" t="s">
        <v>385</v>
      </c>
      <c r="G1463" s="130"/>
      <c r="H1463" s="10">
        <v>1500000</v>
      </c>
      <c r="I1463" s="10"/>
      <c r="J1463" s="79" t="e">
        <f t="shared" si="25"/>
        <v>#VALUE!</v>
      </c>
      <c r="K1463" s="106"/>
      <c r="L1463" s="107"/>
      <c r="M1463" s="106"/>
      <c r="N1463" s="106"/>
      <c r="O1463" s="108"/>
      <c r="P1463" s="108"/>
      <c r="Q1463" s="108"/>
      <c r="R1463" s="109"/>
      <c r="S1463" s="109"/>
      <c r="T1463" s="108"/>
      <c r="U1463" s="110"/>
      <c r="V1463" s="110"/>
      <c r="W1463" s="110"/>
      <c r="X1463" s="110"/>
    </row>
    <row r="1464" spans="1:24" ht="14.25" customHeight="1">
      <c r="A1464" s="110"/>
      <c r="B1464" s="125">
        <f t="shared" ref="B1464:C1464" si="47">B1463</f>
        <v>46176</v>
      </c>
      <c r="C1464" s="126" t="str">
        <f t="shared" si="47"/>
        <v>BCA26-06073</v>
      </c>
      <c r="D1464" s="68" t="s">
        <v>130</v>
      </c>
      <c r="E1464" s="10" t="str">
        <f>TRIM(VLOOKUP(D1464,TB!$B$9:$C$1500,2,FALSE))</f>
        <v>BCA TBB</v>
      </c>
      <c r="F1464" s="173" t="str">
        <f>F1463</f>
        <v>Arash - Fee Dj  12 May 26</v>
      </c>
      <c r="G1464" s="130"/>
      <c r="H1464" s="10"/>
      <c r="I1464" s="10">
        <f>H1463</f>
        <v>1500000</v>
      </c>
      <c r="J1464" s="79" t="e">
        <f t="shared" si="25"/>
        <v>#VALUE!</v>
      </c>
      <c r="K1464" s="106"/>
      <c r="L1464" s="107"/>
      <c r="M1464" s="106"/>
      <c r="N1464" s="106"/>
      <c r="O1464" s="108"/>
      <c r="P1464" s="108"/>
      <c r="Q1464" s="108"/>
      <c r="R1464" s="109"/>
      <c r="S1464" s="109"/>
      <c r="T1464" s="108"/>
      <c r="U1464" s="110"/>
      <c r="V1464" s="110"/>
      <c r="W1464" s="110"/>
      <c r="X1464" s="110"/>
    </row>
    <row r="1465" spans="1:24" ht="14.25" customHeight="1">
      <c r="A1465" s="110"/>
      <c r="B1465" s="125"/>
      <c r="C1465" s="126"/>
      <c r="D1465" s="15"/>
      <c r="E1465" s="10" t="e">
        <f>TRIM(VLOOKUP(D1465,TB!$B$9:$C$1500,2,FALSE))</f>
        <v>#N/A</v>
      </c>
      <c r="F1465" s="173"/>
      <c r="G1465" s="130"/>
      <c r="H1465" s="10"/>
      <c r="I1465" s="10"/>
      <c r="J1465" s="79" t="e">
        <f t="shared" si="25"/>
        <v>#VALUE!</v>
      </c>
      <c r="K1465" s="106"/>
      <c r="L1465" s="107"/>
      <c r="M1465" s="106"/>
      <c r="N1465" s="106"/>
      <c r="O1465" s="108"/>
      <c r="P1465" s="108"/>
      <c r="Q1465" s="108"/>
      <c r="R1465" s="109"/>
      <c r="S1465" s="109"/>
      <c r="T1465" s="108"/>
      <c r="U1465" s="110"/>
      <c r="V1465" s="110"/>
      <c r="W1465" s="110"/>
      <c r="X1465" s="110"/>
    </row>
    <row r="1466" spans="1:24" ht="14.25" customHeight="1">
      <c r="A1466" s="110"/>
      <c r="B1466" s="125">
        <v>46176</v>
      </c>
      <c r="C1466" s="126" t="s">
        <v>386</v>
      </c>
      <c r="D1466" s="68" t="s">
        <v>285</v>
      </c>
      <c r="E1466" s="10" t="str">
        <f>TRIM(VLOOKUP(D1466,TB!$B$9:$C$1500,2,FALSE))</f>
        <v>Misc Cash Purchase</v>
      </c>
      <c r="F1466" s="173" t="s">
        <v>387</v>
      </c>
      <c r="G1466" s="130"/>
      <c r="H1466" s="10">
        <v>2000000</v>
      </c>
      <c r="I1466" s="10"/>
      <c r="J1466" s="79" t="e">
        <f t="shared" si="25"/>
        <v>#VALUE!</v>
      </c>
      <c r="K1466" s="106"/>
      <c r="L1466" s="107"/>
      <c r="M1466" s="106"/>
      <c r="N1466" s="106"/>
      <c r="O1466" s="108"/>
      <c r="P1466" s="108"/>
      <c r="Q1466" s="108"/>
      <c r="R1466" s="109"/>
      <c r="S1466" s="109"/>
      <c r="T1466" s="108"/>
      <c r="U1466" s="110"/>
      <c r="V1466" s="110"/>
      <c r="W1466" s="110"/>
      <c r="X1466" s="110"/>
    </row>
    <row r="1467" spans="1:24" ht="14.25" customHeight="1">
      <c r="A1467" s="110"/>
      <c r="B1467" s="125">
        <f t="shared" ref="B1467:C1467" si="48">B1466</f>
        <v>46176</v>
      </c>
      <c r="C1467" s="126" t="str">
        <f t="shared" si="48"/>
        <v>BCA26-06074</v>
      </c>
      <c r="D1467" s="68" t="s">
        <v>130</v>
      </c>
      <c r="E1467" s="10" t="str">
        <f>TRIM(VLOOKUP(D1467,TB!$B$9:$C$1500,2,FALSE))</f>
        <v>BCA TBB</v>
      </c>
      <c r="F1467" s="173" t="str">
        <f>F1466</f>
        <v>Manu - L - Fee Dj  15 May 26</v>
      </c>
      <c r="G1467" s="130"/>
      <c r="H1467" s="10"/>
      <c r="I1467" s="10">
        <f>H1466</f>
        <v>2000000</v>
      </c>
      <c r="J1467" s="79" t="e">
        <f t="shared" si="25"/>
        <v>#VALUE!</v>
      </c>
      <c r="K1467" s="106"/>
      <c r="L1467" s="107"/>
      <c r="M1467" s="106"/>
      <c r="N1467" s="106"/>
      <c r="O1467" s="108"/>
      <c r="P1467" s="108"/>
      <c r="Q1467" s="108"/>
      <c r="R1467" s="109"/>
      <c r="S1467" s="109"/>
      <c r="T1467" s="108"/>
      <c r="U1467" s="110"/>
      <c r="V1467" s="110"/>
      <c r="W1467" s="110"/>
      <c r="X1467" s="110"/>
    </row>
    <row r="1468" spans="1:24" ht="14.25" customHeight="1">
      <c r="A1468" s="110"/>
      <c r="B1468" s="125"/>
      <c r="C1468" s="126"/>
      <c r="D1468" s="159"/>
      <c r="E1468" s="10" t="e">
        <f>TRIM(VLOOKUP(D1468,TB!$B$9:$C$1500,2,FALSE))</f>
        <v>#N/A</v>
      </c>
      <c r="F1468" s="173"/>
      <c r="G1468" s="130"/>
      <c r="H1468" s="10"/>
      <c r="I1468" s="10"/>
      <c r="J1468" s="79" t="e">
        <f t="shared" si="25"/>
        <v>#VALUE!</v>
      </c>
      <c r="K1468" s="106"/>
      <c r="L1468" s="107"/>
      <c r="M1468" s="106"/>
      <c r="N1468" s="106"/>
      <c r="O1468" s="108"/>
      <c r="P1468" s="108"/>
      <c r="Q1468" s="108"/>
      <c r="R1468" s="109"/>
      <c r="S1468" s="109"/>
      <c r="T1468" s="108"/>
      <c r="U1468" s="110"/>
      <c r="V1468" s="110"/>
      <c r="W1468" s="110"/>
      <c r="X1468" s="110"/>
    </row>
    <row r="1469" spans="1:24" ht="14.25" customHeight="1">
      <c r="A1469" s="110"/>
      <c r="B1469" s="125">
        <v>46176</v>
      </c>
      <c r="C1469" s="126" t="s">
        <v>388</v>
      </c>
      <c r="D1469" s="68" t="s">
        <v>285</v>
      </c>
      <c r="E1469" s="10" t="str">
        <f>TRIM(VLOOKUP(D1469,TB!$B$9:$C$1500,2,FALSE))</f>
        <v>Misc Cash Purchase</v>
      </c>
      <c r="F1469" s="173" t="s">
        <v>389</v>
      </c>
      <c r="G1469" s="130"/>
      <c r="H1469" s="10">
        <v>2000000</v>
      </c>
      <c r="I1469" s="10"/>
      <c r="J1469" s="79" t="e">
        <f t="shared" si="25"/>
        <v>#VALUE!</v>
      </c>
      <c r="K1469" s="106"/>
      <c r="L1469" s="107"/>
      <c r="M1469" s="106"/>
      <c r="N1469" s="106"/>
      <c r="O1469" s="108"/>
      <c r="P1469" s="108"/>
      <c r="Q1469" s="108"/>
      <c r="R1469" s="109"/>
      <c r="S1469" s="109"/>
      <c r="T1469" s="108"/>
      <c r="U1469" s="110"/>
      <c r="V1469" s="110"/>
      <c r="W1469" s="110"/>
      <c r="X1469" s="110"/>
    </row>
    <row r="1470" spans="1:24" ht="14.25" customHeight="1">
      <c r="A1470" s="110"/>
      <c r="B1470" s="125">
        <f t="shared" ref="B1470:C1470" si="49">B1469</f>
        <v>46176</v>
      </c>
      <c r="C1470" s="126" t="str">
        <f t="shared" si="49"/>
        <v>BCA26-06075</v>
      </c>
      <c r="D1470" s="68" t="s">
        <v>130</v>
      </c>
      <c r="E1470" s="10" t="str">
        <f>TRIM(VLOOKUP(D1470,TB!$B$9:$C$1500,2,FALSE))</f>
        <v>BCA TBB</v>
      </c>
      <c r="F1470" s="173" t="str">
        <f>F1469</f>
        <v>Vadm - Fee Dj 16 May 26</v>
      </c>
      <c r="G1470" s="130"/>
      <c r="H1470" s="10"/>
      <c r="I1470" s="10">
        <f>H1469</f>
        <v>2000000</v>
      </c>
      <c r="J1470" s="79" t="e">
        <f t="shared" si="25"/>
        <v>#VALUE!</v>
      </c>
      <c r="K1470" s="106"/>
      <c r="L1470" s="107"/>
      <c r="M1470" s="106"/>
      <c r="N1470" s="106"/>
      <c r="O1470" s="108"/>
      <c r="P1470" s="108"/>
      <c r="Q1470" s="108"/>
      <c r="R1470" s="109"/>
      <c r="S1470" s="109"/>
      <c r="T1470" s="108"/>
      <c r="U1470" s="110"/>
      <c r="V1470" s="110"/>
      <c r="W1470" s="110"/>
      <c r="X1470" s="110"/>
    </row>
    <row r="1471" spans="1:24" ht="14.25" customHeight="1">
      <c r="A1471" s="110"/>
      <c r="B1471" s="125"/>
      <c r="C1471" s="126"/>
      <c r="D1471" s="15"/>
      <c r="E1471" s="10" t="e">
        <f>TRIM(VLOOKUP(D1471,TB!$B$9:$C$1500,2,FALSE))</f>
        <v>#N/A</v>
      </c>
      <c r="F1471" s="173"/>
      <c r="G1471" s="130"/>
      <c r="H1471" s="10"/>
      <c r="I1471" s="10"/>
      <c r="J1471" s="79" t="e">
        <f t="shared" si="25"/>
        <v>#VALUE!</v>
      </c>
      <c r="K1471" s="106"/>
      <c r="L1471" s="107"/>
      <c r="M1471" s="106"/>
      <c r="N1471" s="106"/>
      <c r="O1471" s="108"/>
      <c r="P1471" s="108"/>
      <c r="Q1471" s="108"/>
      <c r="R1471" s="109"/>
      <c r="S1471" s="109"/>
      <c r="T1471" s="108"/>
      <c r="U1471" s="110"/>
      <c r="V1471" s="110"/>
      <c r="W1471" s="110"/>
      <c r="X1471" s="110"/>
    </row>
    <row r="1472" spans="1:24" ht="14.25" customHeight="1">
      <c r="A1472" s="110"/>
      <c r="B1472" s="125">
        <v>46176</v>
      </c>
      <c r="C1472" s="126" t="s">
        <v>390</v>
      </c>
      <c r="D1472" s="68" t="s">
        <v>285</v>
      </c>
      <c r="E1472" s="10" t="str">
        <f>TRIM(VLOOKUP(D1472,TB!$B$9:$C$1500,2,FALSE))</f>
        <v>Misc Cash Purchase</v>
      </c>
      <c r="F1472" s="173" t="s">
        <v>391</v>
      </c>
      <c r="G1472" s="130"/>
      <c r="H1472" s="10">
        <v>2000000</v>
      </c>
      <c r="I1472" s="10"/>
      <c r="J1472" s="79" t="e">
        <f t="shared" si="25"/>
        <v>#VALUE!</v>
      </c>
      <c r="K1472" s="106"/>
      <c r="L1472" s="107"/>
      <c r="M1472" s="106"/>
      <c r="N1472" s="106"/>
      <c r="O1472" s="108"/>
      <c r="P1472" s="108"/>
      <c r="Q1472" s="108"/>
      <c r="R1472" s="109"/>
      <c r="S1472" s="109"/>
      <c r="T1472" s="108"/>
      <c r="U1472" s="110"/>
      <c r="V1472" s="110"/>
      <c r="W1472" s="110"/>
      <c r="X1472" s="110"/>
    </row>
    <row r="1473" spans="1:24" ht="14.25" customHeight="1">
      <c r="A1473" s="110"/>
      <c r="B1473" s="125">
        <v>46176</v>
      </c>
      <c r="C1473" s="126" t="s">
        <v>390</v>
      </c>
      <c r="D1473" s="15" t="s">
        <v>124</v>
      </c>
      <c r="E1473" s="10" t="str">
        <f>TRIM(VLOOKUP(D1473,TB!$B$9:$C$1500,2,FALSE))</f>
        <v>Bank charges</v>
      </c>
      <c r="F1473" s="173" t="s">
        <v>391</v>
      </c>
      <c r="G1473" s="130"/>
      <c r="H1473" s="10">
        <v>2500</v>
      </c>
      <c r="I1473" s="10"/>
      <c r="J1473" s="79" t="e">
        <f t="shared" si="25"/>
        <v>#VALUE!</v>
      </c>
      <c r="K1473" s="106"/>
      <c r="L1473" s="107"/>
      <c r="M1473" s="106"/>
      <c r="N1473" s="106"/>
      <c r="O1473" s="108"/>
      <c r="P1473" s="108"/>
      <c r="Q1473" s="108"/>
      <c r="R1473" s="109"/>
      <c r="S1473" s="109"/>
      <c r="T1473" s="108"/>
      <c r="U1473" s="110"/>
      <c r="V1473" s="110"/>
      <c r="W1473" s="110"/>
      <c r="X1473" s="110"/>
    </row>
    <row r="1474" spans="1:24" ht="14.25" customHeight="1">
      <c r="A1474" s="110"/>
      <c r="B1474" s="125">
        <f t="shared" ref="B1474:C1474" si="50">B1472</f>
        <v>46176</v>
      </c>
      <c r="C1474" s="126" t="str">
        <f t="shared" si="50"/>
        <v>BCA26-06076</v>
      </c>
      <c r="D1474" s="68" t="s">
        <v>130</v>
      </c>
      <c r="E1474" s="10" t="str">
        <f>TRIM(VLOOKUP(D1474,TB!$B$9:$C$1500,2,FALSE))</f>
        <v>BCA TBB</v>
      </c>
      <c r="F1474" s="173" t="str">
        <f>F1472</f>
        <v>Lukeybagus- Fee Dj  17 May 26</v>
      </c>
      <c r="G1474" s="130"/>
      <c r="H1474" s="10"/>
      <c r="I1474" s="10">
        <v>2002500</v>
      </c>
      <c r="J1474" s="79" t="e">
        <f t="shared" si="25"/>
        <v>#VALUE!</v>
      </c>
      <c r="K1474" s="106"/>
      <c r="L1474" s="107"/>
      <c r="M1474" s="106"/>
      <c r="N1474" s="106"/>
      <c r="O1474" s="108"/>
      <c r="P1474" s="108"/>
      <c r="Q1474" s="108"/>
      <c r="R1474" s="109"/>
      <c r="S1474" s="109"/>
      <c r="T1474" s="108"/>
      <c r="U1474" s="110"/>
      <c r="V1474" s="110"/>
      <c r="W1474" s="110"/>
      <c r="X1474" s="110"/>
    </row>
    <row r="1475" spans="1:24" ht="14.25" customHeight="1">
      <c r="A1475" s="110"/>
      <c r="B1475" s="125"/>
      <c r="C1475" s="126"/>
      <c r="D1475" s="15"/>
      <c r="E1475" s="10" t="e">
        <f>TRIM(VLOOKUP(D1475,TB!$B$9:$C$1500,2,FALSE))</f>
        <v>#N/A</v>
      </c>
      <c r="F1475" s="173"/>
      <c r="G1475" s="130"/>
      <c r="H1475" s="10"/>
      <c r="I1475" s="10"/>
      <c r="J1475" s="79" t="e">
        <f t="shared" si="25"/>
        <v>#VALUE!</v>
      </c>
      <c r="K1475" s="106"/>
      <c r="L1475" s="107"/>
      <c r="M1475" s="106"/>
      <c r="N1475" s="106"/>
      <c r="O1475" s="108"/>
      <c r="P1475" s="108"/>
      <c r="Q1475" s="108"/>
      <c r="R1475" s="109"/>
      <c r="S1475" s="109"/>
      <c r="T1475" s="108"/>
      <c r="U1475" s="110"/>
      <c r="V1475" s="110"/>
      <c r="W1475" s="110"/>
      <c r="X1475" s="110"/>
    </row>
    <row r="1476" spans="1:24" ht="14.25" customHeight="1">
      <c r="A1476" s="110"/>
      <c r="B1476" s="125">
        <v>46176</v>
      </c>
      <c r="C1476" s="126" t="s">
        <v>392</v>
      </c>
      <c r="D1476" s="68" t="s">
        <v>285</v>
      </c>
      <c r="E1476" s="10" t="str">
        <f>TRIM(VLOOKUP(D1476,TB!$B$9:$C$1500,2,FALSE))</f>
        <v>Misc Cash Purchase</v>
      </c>
      <c r="F1476" s="173" t="s">
        <v>393</v>
      </c>
      <c r="G1476" s="130"/>
      <c r="H1476" s="10">
        <v>1720192</v>
      </c>
      <c r="I1476" s="10"/>
      <c r="J1476" s="79" t="e">
        <f t="shared" si="25"/>
        <v>#VALUE!</v>
      </c>
      <c r="K1476" s="106"/>
      <c r="L1476" s="107"/>
      <c r="M1476" s="106"/>
      <c r="N1476" s="106"/>
      <c r="O1476" s="108"/>
      <c r="P1476" s="108"/>
      <c r="Q1476" s="108"/>
      <c r="R1476" s="109"/>
      <c r="S1476" s="109"/>
      <c r="T1476" s="108"/>
      <c r="U1476" s="110"/>
      <c r="V1476" s="110"/>
      <c r="W1476" s="110"/>
      <c r="X1476" s="110"/>
    </row>
    <row r="1477" spans="1:24" ht="14.25" customHeight="1">
      <c r="A1477" s="110"/>
      <c r="B1477" s="125">
        <v>46176</v>
      </c>
      <c r="C1477" s="126" t="s">
        <v>392</v>
      </c>
      <c r="D1477" s="15" t="s">
        <v>124</v>
      </c>
      <c r="E1477" s="10" t="str">
        <f>TRIM(VLOOKUP(D1477,TB!$B$9:$C$1500,2,FALSE))</f>
        <v>Bank charges</v>
      </c>
      <c r="F1477" s="173" t="s">
        <v>393</v>
      </c>
      <c r="G1477" s="130"/>
      <c r="H1477" s="10">
        <v>2500</v>
      </c>
      <c r="I1477" s="10"/>
      <c r="J1477" s="79" t="e">
        <f t="shared" si="25"/>
        <v>#VALUE!</v>
      </c>
      <c r="K1477" s="106"/>
      <c r="L1477" s="107"/>
      <c r="M1477" s="106"/>
      <c r="N1477" s="106"/>
      <c r="O1477" s="108"/>
      <c r="P1477" s="108"/>
      <c r="Q1477" s="108"/>
      <c r="R1477" s="109"/>
      <c r="S1477" s="109"/>
      <c r="T1477" s="108"/>
      <c r="U1477" s="110"/>
      <c r="V1477" s="110"/>
      <c r="W1477" s="110"/>
      <c r="X1477" s="110"/>
    </row>
    <row r="1478" spans="1:24" ht="14.25" customHeight="1">
      <c r="A1478" s="110"/>
      <c r="B1478" s="125">
        <f t="shared" ref="B1478:C1478" si="51">B1476</f>
        <v>46176</v>
      </c>
      <c r="C1478" s="126" t="str">
        <f t="shared" si="51"/>
        <v>BCA26-06077</v>
      </c>
      <c r="D1478" s="68" t="s">
        <v>130</v>
      </c>
      <c r="E1478" s="10" t="str">
        <f>TRIM(VLOOKUP(D1478,TB!$B$9:$C$1500,2,FALSE))</f>
        <v>BCA TBB</v>
      </c>
      <c r="F1478" s="173" t="str">
        <f>F1476</f>
        <v>Onyx - Inv. 002 - 26 May 26 (Meta Ads, Videograpgher, Talent, Merchandise Topi, NAUFAL EDITOR C1 + FLYER 28 April)</v>
      </c>
      <c r="G1478" s="130"/>
      <c r="H1478" s="10"/>
      <c r="I1478" s="10">
        <v>1722692</v>
      </c>
      <c r="J1478" s="79" t="e">
        <f t="shared" si="25"/>
        <v>#VALUE!</v>
      </c>
      <c r="K1478" s="106"/>
      <c r="L1478" s="107"/>
      <c r="M1478" s="106"/>
      <c r="N1478" s="106"/>
      <c r="O1478" s="108"/>
      <c r="P1478" s="108"/>
      <c r="Q1478" s="108"/>
      <c r="R1478" s="109"/>
      <c r="S1478" s="109"/>
      <c r="T1478" s="108"/>
      <c r="U1478" s="110"/>
      <c r="V1478" s="110"/>
      <c r="W1478" s="110"/>
      <c r="X1478" s="110"/>
    </row>
    <row r="1479" spans="1:24" ht="14.25" customHeight="1">
      <c r="A1479" s="110"/>
      <c r="B1479" s="125"/>
      <c r="C1479" s="126"/>
      <c r="D1479" s="15"/>
      <c r="E1479" s="10" t="e">
        <f>TRIM(VLOOKUP(D1479,TB!$B$9:$C$1500,2,FALSE))</f>
        <v>#N/A</v>
      </c>
      <c r="F1479" s="173"/>
      <c r="G1479" s="130"/>
      <c r="H1479" s="10"/>
      <c r="I1479" s="10"/>
      <c r="J1479" s="79" t="e">
        <f t="shared" si="25"/>
        <v>#VALUE!</v>
      </c>
      <c r="K1479" s="106"/>
      <c r="L1479" s="107"/>
      <c r="M1479" s="106"/>
      <c r="N1479" s="106"/>
      <c r="O1479" s="108"/>
      <c r="P1479" s="108"/>
      <c r="Q1479" s="108"/>
      <c r="R1479" s="109"/>
      <c r="S1479" s="109"/>
      <c r="T1479" s="108"/>
      <c r="U1479" s="110"/>
      <c r="V1479" s="110"/>
      <c r="W1479" s="110"/>
      <c r="X1479" s="110"/>
    </row>
    <row r="1480" spans="1:24" ht="14.25" customHeight="1">
      <c r="A1480" s="110"/>
      <c r="B1480" s="125">
        <v>46176</v>
      </c>
      <c r="C1480" s="126" t="s">
        <v>394</v>
      </c>
      <c r="D1480" s="68" t="s">
        <v>285</v>
      </c>
      <c r="E1480" s="10" t="str">
        <f>TRIM(VLOOKUP(D1480,TB!$B$9:$C$1500,2,FALSE))</f>
        <v>Misc Cash Purchase</v>
      </c>
      <c r="F1480" s="173" t="s">
        <v>395</v>
      </c>
      <c r="G1480" s="130"/>
      <c r="H1480" s="10">
        <v>139887</v>
      </c>
      <c r="I1480" s="10"/>
      <c r="J1480" s="79" t="e">
        <f t="shared" si="25"/>
        <v>#VALUE!</v>
      </c>
      <c r="K1480" s="106"/>
      <c r="L1480" s="107"/>
      <c r="M1480" s="106"/>
      <c r="N1480" s="106"/>
      <c r="O1480" s="108"/>
      <c r="P1480" s="108"/>
      <c r="Q1480" s="108"/>
      <c r="R1480" s="109"/>
      <c r="S1480" s="109"/>
      <c r="T1480" s="108"/>
      <c r="U1480" s="110"/>
      <c r="V1480" s="110"/>
      <c r="W1480" s="110"/>
      <c r="X1480" s="110"/>
    </row>
    <row r="1481" spans="1:24" ht="14.25" customHeight="1">
      <c r="A1481" s="110"/>
      <c r="B1481" s="125">
        <f t="shared" ref="B1481:C1481" si="52">B1480</f>
        <v>46176</v>
      </c>
      <c r="C1481" s="126" t="str">
        <f t="shared" si="52"/>
        <v>BCA26-06078</v>
      </c>
      <c r="D1481" s="68" t="s">
        <v>130</v>
      </c>
      <c r="E1481" s="10" t="str">
        <f>TRIM(VLOOKUP(D1481,TB!$B$9:$C$1500,2,FALSE))</f>
        <v>BCA TBB</v>
      </c>
      <c r="F1481" s="173" t="str">
        <f>F1480</f>
        <v>Onyx - Tuesday 28 April 2026 (Delvino)</v>
      </c>
      <c r="G1481" s="130"/>
      <c r="H1481" s="10"/>
      <c r="I1481" s="10">
        <f>H1480</f>
        <v>139887</v>
      </c>
      <c r="J1481" s="79" t="e">
        <f t="shared" si="25"/>
        <v>#VALUE!</v>
      </c>
      <c r="K1481" s="106"/>
      <c r="L1481" s="107"/>
      <c r="M1481" s="106"/>
      <c r="N1481" s="106"/>
      <c r="O1481" s="108"/>
      <c r="P1481" s="108"/>
      <c r="Q1481" s="108"/>
      <c r="R1481" s="109"/>
      <c r="S1481" s="109"/>
      <c r="T1481" s="108"/>
      <c r="U1481" s="110"/>
      <c r="V1481" s="110"/>
      <c r="W1481" s="110"/>
      <c r="X1481" s="110"/>
    </row>
    <row r="1482" spans="1:24" ht="14.25" customHeight="1">
      <c r="A1482" s="110"/>
      <c r="B1482" s="125"/>
      <c r="C1482" s="126"/>
      <c r="D1482" s="68"/>
      <c r="E1482" s="10" t="e">
        <f>TRIM(VLOOKUP(D1482,TB!$B$9:$C$1500,2,FALSE))</f>
        <v>#N/A</v>
      </c>
      <c r="F1482" s="173"/>
      <c r="G1482" s="130"/>
      <c r="H1482" s="10"/>
      <c r="I1482" s="10"/>
      <c r="J1482" s="79" t="e">
        <f t="shared" si="25"/>
        <v>#VALUE!</v>
      </c>
      <c r="K1482" s="106"/>
      <c r="L1482" s="107"/>
      <c r="M1482" s="106"/>
      <c r="N1482" s="106"/>
      <c r="O1482" s="108"/>
      <c r="P1482" s="108"/>
      <c r="Q1482" s="108"/>
      <c r="R1482" s="109"/>
      <c r="S1482" s="109"/>
      <c r="T1482" s="108"/>
      <c r="U1482" s="110"/>
      <c r="V1482" s="110"/>
      <c r="W1482" s="110"/>
      <c r="X1482" s="110"/>
    </row>
    <row r="1483" spans="1:24" ht="14.25" customHeight="1">
      <c r="A1483" s="110"/>
      <c r="B1483" s="125">
        <v>46176</v>
      </c>
      <c r="C1483" s="126" t="s">
        <v>396</v>
      </c>
      <c r="D1483" s="68" t="s">
        <v>285</v>
      </c>
      <c r="E1483" s="10" t="str">
        <f>TRIM(VLOOKUP(D1483,TB!$B$9:$C$1500,2,FALSE))</f>
        <v>Misc Cash Purchase</v>
      </c>
      <c r="F1483" s="173" t="s">
        <v>397</v>
      </c>
      <c r="G1483" s="130"/>
      <c r="H1483" s="10">
        <v>139887</v>
      </c>
      <c r="I1483" s="10"/>
      <c r="J1483" s="79" t="e">
        <f t="shared" si="25"/>
        <v>#VALUE!</v>
      </c>
      <c r="K1483" s="106"/>
      <c r="L1483" s="107"/>
      <c r="M1483" s="106"/>
      <c r="N1483" s="106"/>
      <c r="O1483" s="108"/>
      <c r="P1483" s="108"/>
      <c r="Q1483" s="108"/>
      <c r="R1483" s="109"/>
      <c r="S1483" s="109"/>
      <c r="T1483" s="108"/>
      <c r="U1483" s="110"/>
      <c r="V1483" s="110"/>
      <c r="W1483" s="110"/>
      <c r="X1483" s="110"/>
    </row>
    <row r="1484" spans="1:24" ht="14.25" customHeight="1">
      <c r="A1484" s="110"/>
      <c r="B1484" s="125">
        <f t="shared" ref="B1484:C1484" si="53">B1483</f>
        <v>46176</v>
      </c>
      <c r="C1484" s="126" t="str">
        <f t="shared" si="53"/>
        <v>BCA26-06079</v>
      </c>
      <c r="D1484" s="68" t="s">
        <v>130</v>
      </c>
      <c r="E1484" s="10" t="str">
        <f>TRIM(VLOOKUP(D1484,TB!$B$9:$C$1500,2,FALSE))</f>
        <v>BCA TBB</v>
      </c>
      <c r="F1484" s="173" t="str">
        <f>F1483</f>
        <v>Onyx - Tuesday 28 April 2026 (Lukas)</v>
      </c>
      <c r="G1484" s="130"/>
      <c r="H1484" s="10"/>
      <c r="I1484" s="10">
        <f>H1483</f>
        <v>139887</v>
      </c>
      <c r="J1484" s="79" t="e">
        <f t="shared" si="25"/>
        <v>#VALUE!</v>
      </c>
      <c r="K1484" s="106"/>
      <c r="L1484" s="107"/>
      <c r="M1484" s="106"/>
      <c r="N1484" s="106"/>
      <c r="O1484" s="108"/>
      <c r="P1484" s="108"/>
      <c r="Q1484" s="108"/>
      <c r="R1484" s="109"/>
      <c r="S1484" s="109"/>
      <c r="T1484" s="108"/>
      <c r="U1484" s="110"/>
      <c r="V1484" s="110"/>
      <c r="W1484" s="110"/>
      <c r="X1484" s="110"/>
    </row>
    <row r="1485" spans="1:24" ht="14.25" customHeight="1">
      <c r="A1485" s="110"/>
      <c r="B1485" s="125"/>
      <c r="C1485" s="126"/>
      <c r="D1485" s="68"/>
      <c r="E1485" s="10" t="e">
        <f>TRIM(VLOOKUP(D1485,TB!$B$9:$C$1500,2,FALSE))</f>
        <v>#N/A</v>
      </c>
      <c r="F1485" s="173"/>
      <c r="G1485" s="130"/>
      <c r="H1485" s="10"/>
      <c r="I1485" s="10"/>
      <c r="J1485" s="79" t="e">
        <f t="shared" si="25"/>
        <v>#VALUE!</v>
      </c>
      <c r="K1485" s="106"/>
      <c r="L1485" s="107"/>
      <c r="M1485" s="106"/>
      <c r="N1485" s="106"/>
      <c r="O1485" s="108"/>
      <c r="P1485" s="108"/>
      <c r="Q1485" s="108"/>
      <c r="R1485" s="109"/>
      <c r="S1485" s="109"/>
      <c r="T1485" s="108"/>
      <c r="U1485" s="110"/>
      <c r="V1485" s="110"/>
      <c r="W1485" s="110"/>
      <c r="X1485" s="110"/>
    </row>
    <row r="1486" spans="1:24" ht="14.25" customHeight="1">
      <c r="A1486" s="110"/>
      <c r="B1486" s="125">
        <v>46176</v>
      </c>
      <c r="C1486" s="126" t="s">
        <v>398</v>
      </c>
      <c r="D1486" s="68" t="s">
        <v>285</v>
      </c>
      <c r="E1486" s="10" t="str">
        <f>TRIM(VLOOKUP(D1486,TB!$B$9:$C$1500,2,FALSE))</f>
        <v>Misc Cash Purchase</v>
      </c>
      <c r="F1486" s="173" t="s">
        <v>399</v>
      </c>
      <c r="G1486" s="130"/>
      <c r="H1486" s="10">
        <v>7819874</v>
      </c>
      <c r="I1486" s="10"/>
      <c r="J1486" s="79" t="e">
        <f t="shared" si="25"/>
        <v>#VALUE!</v>
      </c>
      <c r="K1486" s="106"/>
      <c r="L1486" s="107"/>
      <c r="M1486" s="106"/>
      <c r="N1486" s="106"/>
      <c r="O1486" s="108"/>
      <c r="P1486" s="108"/>
      <c r="Q1486" s="108"/>
      <c r="R1486" s="109"/>
      <c r="S1486" s="109"/>
      <c r="T1486" s="108"/>
      <c r="U1486" s="110"/>
      <c r="V1486" s="110"/>
      <c r="W1486" s="110"/>
      <c r="X1486" s="110"/>
    </row>
    <row r="1487" spans="1:24" ht="14.25" customHeight="1">
      <c r="A1487" s="110"/>
      <c r="B1487" s="125">
        <f t="shared" ref="B1487:C1487" si="54">B1486</f>
        <v>46176</v>
      </c>
      <c r="C1487" s="126" t="str">
        <f t="shared" si="54"/>
        <v>BCA26-06080</v>
      </c>
      <c r="D1487" s="68" t="s">
        <v>130</v>
      </c>
      <c r="E1487" s="10" t="str">
        <f>TRIM(VLOOKUP(D1487,TB!$B$9:$C$1500,2,FALSE))</f>
        <v>BCA TBB</v>
      </c>
      <c r="F1487" s="173" t="str">
        <f>F1486</f>
        <v>Unknown - Monday 11 May 2026 + Unknown Djs (Laura Blk Rvn) - Fee Dj  11 May 26</v>
      </c>
      <c r="G1487" s="130"/>
      <c r="H1487" s="10"/>
      <c r="I1487" s="10">
        <f>H1486</f>
        <v>7819874</v>
      </c>
      <c r="J1487" s="79" t="e">
        <f t="shared" si="25"/>
        <v>#VALUE!</v>
      </c>
      <c r="K1487" s="106"/>
      <c r="L1487" s="107"/>
      <c r="M1487" s="106"/>
      <c r="N1487" s="106"/>
      <c r="O1487" s="108"/>
      <c r="P1487" s="108"/>
      <c r="Q1487" s="108"/>
      <c r="R1487" s="109"/>
      <c r="S1487" s="109"/>
      <c r="T1487" s="108"/>
      <c r="U1487" s="110"/>
      <c r="V1487" s="110"/>
      <c r="W1487" s="110"/>
      <c r="X1487" s="110"/>
    </row>
    <row r="1488" spans="1:24" ht="14.25" customHeight="1">
      <c r="A1488" s="110"/>
      <c r="B1488" s="125"/>
      <c r="C1488" s="126"/>
      <c r="D1488" s="15"/>
      <c r="E1488" s="10" t="e">
        <f>TRIM(VLOOKUP(D1488,TB!$B$9:$C$1500,2,FALSE))</f>
        <v>#N/A</v>
      </c>
      <c r="F1488" s="173"/>
      <c r="G1488" s="130"/>
      <c r="H1488" s="10"/>
      <c r="I1488" s="10"/>
      <c r="J1488" s="79" t="e">
        <f t="shared" si="25"/>
        <v>#VALUE!</v>
      </c>
      <c r="K1488" s="106"/>
      <c r="L1488" s="107"/>
      <c r="M1488" s="106"/>
      <c r="N1488" s="106"/>
      <c r="O1488" s="108"/>
      <c r="P1488" s="108"/>
      <c r="Q1488" s="108"/>
      <c r="R1488" s="109"/>
      <c r="S1488" s="109"/>
      <c r="T1488" s="108"/>
      <c r="U1488" s="110"/>
      <c r="V1488" s="110"/>
      <c r="W1488" s="110"/>
      <c r="X1488" s="110"/>
    </row>
    <row r="1489" spans="1:24" ht="14.25" customHeight="1">
      <c r="A1489" s="110"/>
      <c r="B1489" s="125">
        <v>46176</v>
      </c>
      <c r="C1489" s="126" t="s">
        <v>400</v>
      </c>
      <c r="D1489" s="15" t="s">
        <v>188</v>
      </c>
      <c r="E1489" s="10" t="str">
        <f>TRIM(VLOOKUP(D1489,TB!$B$9:$C$1500,2,FALSE))</f>
        <v>Advertising Costs</v>
      </c>
      <c r="F1489" s="173" t="s">
        <v>401</v>
      </c>
      <c r="G1489" s="130"/>
      <c r="H1489" s="10">
        <v>1400000</v>
      </c>
      <c r="I1489" s="10"/>
      <c r="J1489" s="79" t="e">
        <f t="shared" si="25"/>
        <v>#VALUE!</v>
      </c>
      <c r="K1489" s="106"/>
      <c r="L1489" s="107"/>
      <c r="M1489" s="106"/>
      <c r="N1489" s="106"/>
      <c r="O1489" s="108"/>
      <c r="P1489" s="108"/>
      <c r="Q1489" s="108"/>
      <c r="R1489" s="109"/>
      <c r="S1489" s="109"/>
      <c r="T1489" s="108"/>
      <c r="U1489" s="110"/>
      <c r="V1489" s="110"/>
      <c r="W1489" s="110"/>
      <c r="X1489" s="110"/>
    </row>
    <row r="1490" spans="1:24" ht="14.25" customHeight="1">
      <c r="A1490" s="110"/>
      <c r="B1490" s="125">
        <v>46176</v>
      </c>
      <c r="C1490" s="126" t="s">
        <v>400</v>
      </c>
      <c r="D1490" s="15" t="s">
        <v>124</v>
      </c>
      <c r="E1490" s="10" t="str">
        <f>TRIM(VLOOKUP(D1490,TB!$B$9:$C$1500,2,FALSE))</f>
        <v>Bank charges</v>
      </c>
      <c r="F1490" s="173" t="s">
        <v>401</v>
      </c>
      <c r="G1490" s="130"/>
      <c r="H1490" s="10">
        <v>1000</v>
      </c>
      <c r="I1490" s="10"/>
      <c r="J1490" s="79" t="e">
        <f t="shared" si="25"/>
        <v>#VALUE!</v>
      </c>
      <c r="K1490" s="106"/>
      <c r="L1490" s="107"/>
      <c r="M1490" s="106"/>
      <c r="N1490" s="106"/>
      <c r="O1490" s="108"/>
      <c r="P1490" s="108"/>
      <c r="Q1490" s="108"/>
      <c r="R1490" s="109"/>
      <c r="S1490" s="109"/>
      <c r="T1490" s="108"/>
      <c r="U1490" s="110"/>
      <c r="V1490" s="110"/>
      <c r="W1490" s="110"/>
      <c r="X1490" s="110"/>
    </row>
    <row r="1491" spans="1:24" ht="14.25" customHeight="1">
      <c r="A1491" s="110"/>
      <c r="B1491" s="125">
        <f t="shared" ref="B1491:C1491" si="55">B1489</f>
        <v>46176</v>
      </c>
      <c r="C1491" s="126" t="str">
        <f t="shared" si="55"/>
        <v>BCA26-06081</v>
      </c>
      <c r="D1491" s="68" t="s">
        <v>130</v>
      </c>
      <c r="E1491" s="10" t="str">
        <f>TRIM(VLOOKUP(D1491,TB!$B$9:$C$1500,2,FALSE))</f>
        <v>BCA TBB</v>
      </c>
      <c r="F1491" s="173" t="str">
        <f>F1489</f>
        <v>Top ads sos med 03 June 2026</v>
      </c>
      <c r="G1491" s="130"/>
      <c r="H1491" s="10"/>
      <c r="I1491" s="10">
        <v>1401000</v>
      </c>
      <c r="J1491" s="79" t="e">
        <f t="shared" si="25"/>
        <v>#VALUE!</v>
      </c>
      <c r="K1491" s="106"/>
      <c r="L1491" s="107"/>
      <c r="M1491" s="106"/>
      <c r="N1491" s="106"/>
      <c r="O1491" s="108"/>
      <c r="P1491" s="108"/>
      <c r="Q1491" s="108"/>
      <c r="R1491" s="109"/>
      <c r="S1491" s="109"/>
      <c r="T1491" s="108"/>
      <c r="U1491" s="110"/>
      <c r="V1491" s="110"/>
      <c r="W1491" s="110"/>
      <c r="X1491" s="110"/>
    </row>
    <row r="1492" spans="1:24" ht="14.25" customHeight="1">
      <c r="A1492" s="110"/>
      <c r="B1492" s="125"/>
      <c r="C1492" s="126"/>
      <c r="D1492" s="15"/>
      <c r="E1492" s="10" t="e">
        <f>TRIM(VLOOKUP(D1492,TB!$B$9:$C$1500,2,FALSE))</f>
        <v>#N/A</v>
      </c>
      <c r="F1492" s="173"/>
      <c r="G1492" s="130"/>
      <c r="H1492" s="10"/>
      <c r="I1492" s="10"/>
      <c r="J1492" s="79" t="e">
        <f t="shared" si="25"/>
        <v>#VALUE!</v>
      </c>
      <c r="K1492" s="106"/>
      <c r="L1492" s="107"/>
      <c r="M1492" s="106"/>
      <c r="N1492" s="106"/>
      <c r="O1492" s="108"/>
      <c r="P1492" s="108"/>
      <c r="Q1492" s="108"/>
      <c r="R1492" s="109"/>
      <c r="S1492" s="109"/>
      <c r="T1492" s="108"/>
      <c r="U1492" s="110"/>
      <c r="V1492" s="110"/>
      <c r="W1492" s="110"/>
      <c r="X1492" s="110"/>
    </row>
    <row r="1493" spans="1:24" ht="14.25" customHeight="1">
      <c r="A1493" s="110"/>
      <c r="B1493" s="125">
        <v>46176</v>
      </c>
      <c r="C1493" s="126" t="s">
        <v>402</v>
      </c>
      <c r="D1493" s="15" t="s">
        <v>403</v>
      </c>
      <c r="E1493" s="10" t="str">
        <f>TRIM(VLOOKUP(D1493,TB!$B$9:$C$1500,2,FALSE))</f>
        <v>Security/Police/Banjar Costs</v>
      </c>
      <c r="F1493" s="173" t="s">
        <v>404</v>
      </c>
      <c r="G1493" s="130"/>
      <c r="H1493" s="10">
        <v>3000000</v>
      </c>
      <c r="I1493" s="10"/>
      <c r="J1493" s="79" t="e">
        <f t="shared" si="25"/>
        <v>#VALUE!</v>
      </c>
      <c r="K1493" s="106"/>
      <c r="L1493" s="107"/>
      <c r="M1493" s="106"/>
      <c r="N1493" s="106"/>
      <c r="O1493" s="108"/>
      <c r="P1493" s="108"/>
      <c r="Q1493" s="108"/>
      <c r="R1493" s="109"/>
      <c r="S1493" s="109"/>
      <c r="T1493" s="108"/>
      <c r="U1493" s="110"/>
      <c r="V1493" s="110"/>
      <c r="W1493" s="110"/>
      <c r="X1493" s="110"/>
    </row>
    <row r="1494" spans="1:24" ht="14.25" customHeight="1">
      <c r="A1494" s="110"/>
      <c r="B1494" s="125">
        <f t="shared" ref="B1494:C1494" si="56">B1493</f>
        <v>46176</v>
      </c>
      <c r="C1494" s="126" t="str">
        <f t="shared" si="56"/>
        <v>BCA26-06082</v>
      </c>
      <c r="D1494" s="68" t="s">
        <v>130</v>
      </c>
      <c r="E1494" s="10" t="str">
        <f>TRIM(VLOOKUP(D1494,TB!$B$9:$C$1500,2,FALSE))</f>
        <v>BCA TBB</v>
      </c>
      <c r="F1494" s="173" t="str">
        <f>F1493</f>
        <v>Polda For Permit Letter Crowd For June 2026</v>
      </c>
      <c r="G1494" s="130"/>
      <c r="H1494" s="10"/>
      <c r="I1494" s="10">
        <f>H1493</f>
        <v>3000000</v>
      </c>
      <c r="J1494" s="79" t="e">
        <f t="shared" si="25"/>
        <v>#VALUE!</v>
      </c>
      <c r="K1494" s="106"/>
      <c r="L1494" s="107"/>
      <c r="M1494" s="106"/>
      <c r="N1494" s="106"/>
      <c r="O1494" s="108"/>
      <c r="P1494" s="108"/>
      <c r="Q1494" s="108"/>
      <c r="R1494" s="109"/>
      <c r="S1494" s="109"/>
      <c r="T1494" s="108"/>
      <c r="U1494" s="110"/>
      <c r="V1494" s="110"/>
      <c r="W1494" s="110"/>
      <c r="X1494" s="110"/>
    </row>
    <row r="1495" spans="1:24" ht="14.25" customHeight="1">
      <c r="A1495" s="110"/>
      <c r="B1495" s="125"/>
      <c r="C1495" s="126"/>
      <c r="D1495" s="15"/>
      <c r="E1495" s="10" t="e">
        <f>TRIM(VLOOKUP(D1495,TB!$B$9:$C$1500,2,FALSE))</f>
        <v>#N/A</v>
      </c>
      <c r="F1495" s="173"/>
      <c r="G1495" s="130"/>
      <c r="H1495" s="10"/>
      <c r="I1495" s="10"/>
      <c r="J1495" s="79" t="e">
        <f t="shared" si="25"/>
        <v>#VALUE!</v>
      </c>
      <c r="K1495" s="106"/>
      <c r="L1495" s="107"/>
      <c r="M1495" s="106"/>
      <c r="N1495" s="106"/>
      <c r="O1495" s="108"/>
      <c r="P1495" s="108"/>
      <c r="Q1495" s="108"/>
      <c r="R1495" s="109"/>
      <c r="S1495" s="109"/>
      <c r="T1495" s="108"/>
      <c r="U1495" s="110"/>
      <c r="V1495" s="110"/>
      <c r="W1495" s="110"/>
      <c r="X1495" s="110"/>
    </row>
    <row r="1496" spans="1:24" ht="14.25" customHeight="1">
      <c r="A1496" s="110"/>
      <c r="B1496" s="125">
        <v>46176</v>
      </c>
      <c r="C1496" s="126" t="s">
        <v>405</v>
      </c>
      <c r="D1496" s="68" t="s">
        <v>285</v>
      </c>
      <c r="E1496" s="10" t="str">
        <f>TRIM(VLOOKUP(D1496,TB!$B$9:$C$1500,2,FALSE))</f>
        <v>Misc Cash Purchase</v>
      </c>
      <c r="F1496" s="173" t="s">
        <v>406</v>
      </c>
      <c r="G1496" s="130"/>
      <c r="H1496" s="10">
        <v>1200000</v>
      </c>
      <c r="I1496" s="10"/>
      <c r="J1496" s="79" t="e">
        <f t="shared" si="25"/>
        <v>#VALUE!</v>
      </c>
      <c r="K1496" s="106"/>
      <c r="L1496" s="107"/>
      <c r="M1496" s="106"/>
      <c r="N1496" s="106"/>
      <c r="O1496" s="108"/>
      <c r="P1496" s="108"/>
      <c r="Q1496" s="108"/>
      <c r="R1496" s="109"/>
      <c r="S1496" s="109"/>
      <c r="T1496" s="108"/>
      <c r="U1496" s="110"/>
      <c r="V1496" s="110"/>
      <c r="W1496" s="110"/>
      <c r="X1496" s="110"/>
    </row>
    <row r="1497" spans="1:24" ht="14.25" customHeight="1">
      <c r="A1497" s="110"/>
      <c r="B1497" s="125">
        <v>46176</v>
      </c>
      <c r="C1497" s="126" t="s">
        <v>405</v>
      </c>
      <c r="D1497" s="15" t="s">
        <v>124</v>
      </c>
      <c r="E1497" s="10" t="str">
        <f>TRIM(VLOOKUP(D1497,TB!$B$9:$C$1500,2,FALSE))</f>
        <v>Bank charges</v>
      </c>
      <c r="F1497" s="173" t="s">
        <v>406</v>
      </c>
      <c r="G1497" s="130"/>
      <c r="H1497" s="10">
        <v>2500</v>
      </c>
      <c r="I1497" s="10"/>
      <c r="J1497" s="79" t="e">
        <f t="shared" si="25"/>
        <v>#VALUE!</v>
      </c>
      <c r="K1497" s="106"/>
      <c r="L1497" s="107"/>
      <c r="M1497" s="106"/>
      <c r="N1497" s="106"/>
      <c r="O1497" s="108"/>
      <c r="P1497" s="108"/>
      <c r="Q1497" s="108"/>
      <c r="R1497" s="109"/>
      <c r="S1497" s="109"/>
      <c r="T1497" s="108"/>
      <c r="U1497" s="110"/>
      <c r="V1497" s="110"/>
      <c r="W1497" s="110"/>
      <c r="X1497" s="110"/>
    </row>
    <row r="1498" spans="1:24" ht="14.25" customHeight="1">
      <c r="A1498" s="110"/>
      <c r="B1498" s="125">
        <f t="shared" ref="B1498:C1498" si="57">B1496</f>
        <v>46176</v>
      </c>
      <c r="C1498" s="126" t="str">
        <f t="shared" si="57"/>
        <v>BCA26-06083</v>
      </c>
      <c r="D1498" s="68" t="s">
        <v>130</v>
      </c>
      <c r="E1498" s="10" t="str">
        <f>TRIM(VLOOKUP(D1498,TB!$B$9:$C$1500,2,FALSE))</f>
        <v>BCA TBB</v>
      </c>
      <c r="F1498" s="173" t="str">
        <f>F1496</f>
        <v>Pest Solution - Inv. Apr 2026</v>
      </c>
      <c r="G1498" s="130"/>
      <c r="H1498" s="10"/>
      <c r="I1498" s="10">
        <v>1202500</v>
      </c>
      <c r="J1498" s="79" t="e">
        <f t="shared" si="25"/>
        <v>#VALUE!</v>
      </c>
      <c r="K1498" s="106"/>
      <c r="L1498" s="107"/>
      <c r="M1498" s="106"/>
      <c r="N1498" s="106"/>
      <c r="O1498" s="108"/>
      <c r="P1498" s="108"/>
      <c r="Q1498" s="108"/>
      <c r="R1498" s="109"/>
      <c r="S1498" s="109"/>
      <c r="T1498" s="108"/>
      <c r="U1498" s="110"/>
      <c r="V1498" s="110"/>
      <c r="W1498" s="110"/>
      <c r="X1498" s="110"/>
    </row>
    <row r="1499" spans="1:24" ht="14.25" customHeight="1">
      <c r="A1499" s="110"/>
      <c r="B1499" s="125"/>
      <c r="C1499" s="126"/>
      <c r="D1499" s="15"/>
      <c r="E1499" s="10" t="e">
        <f>TRIM(VLOOKUP(D1499,TB!$B$9:$C$1500,2,FALSE))</f>
        <v>#N/A</v>
      </c>
      <c r="F1499" s="173"/>
      <c r="G1499" s="130"/>
      <c r="H1499" s="10"/>
      <c r="I1499" s="10"/>
      <c r="J1499" s="79" t="e">
        <f t="shared" si="25"/>
        <v>#VALUE!</v>
      </c>
      <c r="K1499" s="106"/>
      <c r="L1499" s="107"/>
      <c r="M1499" s="106"/>
      <c r="N1499" s="106"/>
      <c r="O1499" s="108"/>
      <c r="P1499" s="108"/>
      <c r="Q1499" s="108"/>
      <c r="R1499" s="109"/>
      <c r="S1499" s="109"/>
      <c r="T1499" s="108"/>
      <c r="U1499" s="110"/>
      <c r="V1499" s="110"/>
      <c r="W1499" s="110"/>
      <c r="X1499" s="110"/>
    </row>
    <row r="1500" spans="1:24" ht="14.25" customHeight="1">
      <c r="A1500" s="110"/>
      <c r="B1500" s="125">
        <v>46176</v>
      </c>
      <c r="C1500" s="126" t="s">
        <v>407</v>
      </c>
      <c r="D1500" s="68" t="s">
        <v>285</v>
      </c>
      <c r="E1500" s="10" t="str">
        <f>TRIM(VLOOKUP(D1500,TB!$B$9:$C$1500,2,FALSE))</f>
        <v>Misc Cash Purchase</v>
      </c>
      <c r="F1500" s="173" t="s">
        <v>408</v>
      </c>
      <c r="G1500" s="130"/>
      <c r="H1500" s="10">
        <v>180000</v>
      </c>
      <c r="I1500" s="10"/>
      <c r="J1500" s="79" t="e">
        <f t="shared" si="25"/>
        <v>#VALUE!</v>
      </c>
      <c r="K1500" s="106"/>
      <c r="L1500" s="107"/>
      <c r="M1500" s="106"/>
      <c r="N1500" s="106"/>
      <c r="O1500" s="108"/>
      <c r="P1500" s="108"/>
      <c r="Q1500" s="108"/>
      <c r="R1500" s="109"/>
      <c r="S1500" s="109"/>
      <c r="T1500" s="108"/>
      <c r="U1500" s="110"/>
      <c r="V1500" s="110"/>
      <c r="W1500" s="110"/>
      <c r="X1500" s="110"/>
    </row>
    <row r="1501" spans="1:24" ht="14.25" customHeight="1">
      <c r="A1501" s="110"/>
      <c r="B1501" s="125">
        <f t="shared" ref="B1501:C1501" si="58">B1500</f>
        <v>46176</v>
      </c>
      <c r="C1501" s="126" t="str">
        <f t="shared" si="58"/>
        <v>BCA26-06084</v>
      </c>
      <c r="D1501" s="68" t="s">
        <v>130</v>
      </c>
      <c r="E1501" s="10" t="str">
        <f>TRIM(VLOOKUP(D1501,TB!$B$9:$C$1500,2,FALSE))</f>
        <v>BCA TBB</v>
      </c>
      <c r="F1501" s="173" t="str">
        <f>F1500</f>
        <v>Jatind - Fee GL 28 April 26</v>
      </c>
      <c r="G1501" s="130"/>
      <c r="H1501" s="10"/>
      <c r="I1501" s="10">
        <f>H1500</f>
        <v>180000</v>
      </c>
      <c r="J1501" s="79" t="e">
        <f t="shared" si="25"/>
        <v>#VALUE!</v>
      </c>
      <c r="K1501" s="106"/>
      <c r="L1501" s="107"/>
      <c r="M1501" s="106"/>
      <c r="N1501" s="106"/>
      <c r="O1501" s="108"/>
      <c r="P1501" s="108"/>
      <c r="Q1501" s="108"/>
      <c r="R1501" s="109"/>
      <c r="S1501" s="109"/>
      <c r="T1501" s="108"/>
      <c r="U1501" s="110"/>
      <c r="V1501" s="110"/>
      <c r="W1501" s="110"/>
      <c r="X1501" s="110"/>
    </row>
    <row r="1502" spans="1:24" ht="14.25" customHeight="1">
      <c r="A1502" s="110"/>
      <c r="B1502" s="125"/>
      <c r="C1502" s="126"/>
      <c r="D1502" s="15"/>
      <c r="E1502" s="10" t="e">
        <f>TRIM(VLOOKUP(D1502,TB!$B$9:$C$1500,2,FALSE))</f>
        <v>#N/A</v>
      </c>
      <c r="F1502" s="173"/>
      <c r="G1502" s="130"/>
      <c r="H1502" s="10"/>
      <c r="I1502" s="10"/>
      <c r="J1502" s="79" t="e">
        <f t="shared" si="25"/>
        <v>#VALUE!</v>
      </c>
      <c r="K1502" s="106"/>
      <c r="L1502" s="107"/>
      <c r="M1502" s="106"/>
      <c r="N1502" s="106"/>
      <c r="O1502" s="108"/>
      <c r="P1502" s="108"/>
      <c r="Q1502" s="108"/>
      <c r="R1502" s="109"/>
      <c r="S1502" s="109"/>
      <c r="T1502" s="108"/>
      <c r="U1502" s="110"/>
      <c r="V1502" s="110"/>
      <c r="W1502" s="110"/>
      <c r="X1502" s="110"/>
    </row>
    <row r="1503" spans="1:24" ht="14.25" customHeight="1">
      <c r="A1503" s="110"/>
      <c r="B1503" s="125">
        <v>46176</v>
      </c>
      <c r="C1503" s="126" t="s">
        <v>409</v>
      </c>
      <c r="D1503" s="68" t="s">
        <v>285</v>
      </c>
      <c r="E1503" s="10" t="str">
        <f>TRIM(VLOOKUP(D1503,TB!$B$9:$C$1500,2,FALSE))</f>
        <v>Misc Cash Purchase</v>
      </c>
      <c r="F1503" s="173" t="s">
        <v>410</v>
      </c>
      <c r="G1503" s="130"/>
      <c r="H1503" s="10">
        <v>100000</v>
      </c>
      <c r="I1503" s="10"/>
      <c r="J1503" s="79" t="e">
        <f t="shared" si="25"/>
        <v>#VALUE!</v>
      </c>
      <c r="K1503" s="106"/>
      <c r="L1503" s="107"/>
      <c r="M1503" s="106"/>
      <c r="N1503" s="106"/>
      <c r="O1503" s="108"/>
      <c r="P1503" s="108"/>
      <c r="Q1503" s="108"/>
      <c r="R1503" s="109"/>
      <c r="S1503" s="109"/>
      <c r="T1503" s="108"/>
      <c r="U1503" s="110"/>
      <c r="V1503" s="110"/>
      <c r="W1503" s="110"/>
      <c r="X1503" s="110"/>
    </row>
    <row r="1504" spans="1:24" ht="14.25" customHeight="1">
      <c r="A1504" s="110"/>
      <c r="B1504" s="125">
        <f t="shared" ref="B1504:C1504" si="59">B1503</f>
        <v>46176</v>
      </c>
      <c r="C1504" s="126" t="str">
        <f t="shared" si="59"/>
        <v>BCA26-06085</v>
      </c>
      <c r="D1504" s="68" t="s">
        <v>130</v>
      </c>
      <c r="E1504" s="10" t="str">
        <f>TRIM(VLOOKUP(D1504,TB!$B$9:$C$1500,2,FALSE))</f>
        <v>BCA TBB</v>
      </c>
      <c r="F1504" s="173" t="str">
        <f>F1503</f>
        <v>Fibry - Fee GL 28 April 26</v>
      </c>
      <c r="G1504" s="130"/>
      <c r="H1504" s="10"/>
      <c r="I1504" s="10">
        <f>H1503</f>
        <v>100000</v>
      </c>
      <c r="J1504" s="79" t="e">
        <f t="shared" si="25"/>
        <v>#VALUE!</v>
      </c>
      <c r="K1504" s="106"/>
      <c r="L1504" s="107"/>
      <c r="M1504" s="106"/>
      <c r="N1504" s="106"/>
      <c r="O1504" s="108"/>
      <c r="P1504" s="108"/>
      <c r="Q1504" s="108"/>
      <c r="R1504" s="109"/>
      <c r="S1504" s="109"/>
      <c r="T1504" s="108"/>
      <c r="U1504" s="110"/>
      <c r="V1504" s="110"/>
      <c r="W1504" s="110"/>
      <c r="X1504" s="110"/>
    </row>
    <row r="1505" spans="1:24" ht="14.25" customHeight="1">
      <c r="A1505" s="110"/>
      <c r="B1505" s="125"/>
      <c r="C1505" s="126"/>
      <c r="D1505" s="15"/>
      <c r="E1505" s="10" t="e">
        <f>TRIM(VLOOKUP(D1505,TB!$B$9:$C$1500,2,FALSE))</f>
        <v>#N/A</v>
      </c>
      <c r="F1505" s="173"/>
      <c r="G1505" s="130"/>
      <c r="H1505" s="10"/>
      <c r="I1505" s="10"/>
      <c r="J1505" s="79" t="e">
        <f t="shared" si="25"/>
        <v>#VALUE!</v>
      </c>
      <c r="K1505" s="106"/>
      <c r="L1505" s="107"/>
      <c r="M1505" s="106"/>
      <c r="N1505" s="106"/>
      <c r="O1505" s="108"/>
      <c r="P1505" s="108"/>
      <c r="Q1505" s="108"/>
      <c r="R1505" s="109"/>
      <c r="S1505" s="109"/>
      <c r="T1505" s="108"/>
      <c r="U1505" s="110"/>
      <c r="V1505" s="110"/>
      <c r="W1505" s="110"/>
      <c r="X1505" s="110"/>
    </row>
    <row r="1506" spans="1:24" ht="14.25" customHeight="1">
      <c r="A1506" s="110"/>
      <c r="B1506" s="125">
        <v>46176</v>
      </c>
      <c r="C1506" s="126" t="s">
        <v>411</v>
      </c>
      <c r="D1506" s="68" t="s">
        <v>285</v>
      </c>
      <c r="E1506" s="10" t="str">
        <f>TRIM(VLOOKUP(D1506,TB!$B$9:$C$1500,2,FALSE))</f>
        <v>Misc Cash Purchase</v>
      </c>
      <c r="F1506" s="173" t="s">
        <v>412</v>
      </c>
      <c r="G1506" s="130"/>
      <c r="H1506" s="10">
        <v>40000</v>
      </c>
      <c r="I1506" s="10"/>
      <c r="J1506" s="79" t="e">
        <f t="shared" si="25"/>
        <v>#VALUE!</v>
      </c>
      <c r="K1506" s="106"/>
      <c r="L1506" s="107"/>
      <c r="M1506" s="106"/>
      <c r="N1506" s="106"/>
      <c r="O1506" s="108"/>
      <c r="P1506" s="108"/>
      <c r="Q1506" s="108"/>
      <c r="R1506" s="109"/>
      <c r="S1506" s="109"/>
      <c r="T1506" s="108"/>
      <c r="U1506" s="110"/>
      <c r="V1506" s="110"/>
      <c r="W1506" s="110"/>
      <c r="X1506" s="110"/>
    </row>
    <row r="1507" spans="1:24" ht="14.25" customHeight="1">
      <c r="A1507" s="110"/>
      <c r="B1507" s="125">
        <f t="shared" ref="B1507:C1507" si="60">B1506</f>
        <v>46176</v>
      </c>
      <c r="C1507" s="126" t="str">
        <f t="shared" si="60"/>
        <v>BCA26-06086</v>
      </c>
      <c r="D1507" s="68" t="s">
        <v>130</v>
      </c>
      <c r="E1507" s="10" t="str">
        <f>TRIM(VLOOKUP(D1507,TB!$B$9:$C$1500,2,FALSE))</f>
        <v>BCA TBB</v>
      </c>
      <c r="F1507" s="173" t="str">
        <f>F1506</f>
        <v xml:space="preserve"> Darboy - Fee Gl 28 April 26 </v>
      </c>
      <c r="G1507" s="130"/>
      <c r="H1507" s="10"/>
      <c r="I1507" s="10">
        <f>H1506</f>
        <v>40000</v>
      </c>
      <c r="J1507" s="79" t="e">
        <f t="shared" si="25"/>
        <v>#VALUE!</v>
      </c>
      <c r="K1507" s="106"/>
      <c r="L1507" s="107"/>
      <c r="M1507" s="106"/>
      <c r="N1507" s="106"/>
      <c r="O1507" s="108"/>
      <c r="P1507" s="108"/>
      <c r="Q1507" s="108"/>
      <c r="R1507" s="109"/>
      <c r="S1507" s="109"/>
      <c r="T1507" s="108"/>
      <c r="U1507" s="110"/>
      <c r="V1507" s="110"/>
      <c r="W1507" s="110"/>
      <c r="X1507" s="110"/>
    </row>
    <row r="1508" spans="1:24" ht="14.25" customHeight="1">
      <c r="A1508" s="110"/>
      <c r="B1508" s="125"/>
      <c r="C1508" s="126"/>
      <c r="D1508" s="15"/>
      <c r="E1508" s="10" t="e">
        <f>TRIM(VLOOKUP(D1508,TB!$B$9:$C$1500,2,FALSE))</f>
        <v>#N/A</v>
      </c>
      <c r="F1508" s="173"/>
      <c r="G1508" s="130"/>
      <c r="H1508" s="10"/>
      <c r="I1508" s="10"/>
      <c r="J1508" s="79" t="e">
        <f t="shared" si="25"/>
        <v>#VALUE!</v>
      </c>
      <c r="K1508" s="106"/>
      <c r="L1508" s="107"/>
      <c r="M1508" s="106"/>
      <c r="N1508" s="106"/>
      <c r="O1508" s="108"/>
      <c r="P1508" s="108"/>
      <c r="Q1508" s="108"/>
      <c r="R1508" s="109"/>
      <c r="S1508" s="109"/>
      <c r="T1508" s="108"/>
      <c r="U1508" s="110"/>
      <c r="V1508" s="110"/>
      <c r="W1508" s="110"/>
      <c r="X1508" s="110"/>
    </row>
    <row r="1509" spans="1:24" ht="14.25" customHeight="1">
      <c r="A1509" s="110"/>
      <c r="B1509" s="125">
        <v>46176</v>
      </c>
      <c r="C1509" s="126" t="s">
        <v>413</v>
      </c>
      <c r="D1509" s="68" t="s">
        <v>285</v>
      </c>
      <c r="E1509" s="10" t="str">
        <f>TRIM(VLOOKUP(D1509,TB!$B$9:$C$1500,2,FALSE))</f>
        <v>Misc Cash Purchase</v>
      </c>
      <c r="F1509" s="173" t="s">
        <v>414</v>
      </c>
      <c r="G1509" s="130"/>
      <c r="H1509" s="10">
        <v>280000</v>
      </c>
      <c r="I1509" s="10"/>
      <c r="J1509" s="79" t="e">
        <f t="shared" si="25"/>
        <v>#VALUE!</v>
      </c>
      <c r="K1509" s="106"/>
      <c r="L1509" s="107"/>
      <c r="M1509" s="106"/>
      <c r="N1509" s="106"/>
      <c r="O1509" s="108"/>
      <c r="P1509" s="108"/>
      <c r="Q1509" s="108"/>
      <c r="R1509" s="109"/>
      <c r="S1509" s="109"/>
      <c r="T1509" s="108"/>
      <c r="U1509" s="110"/>
      <c r="V1509" s="110"/>
      <c r="W1509" s="110"/>
      <c r="X1509" s="110"/>
    </row>
    <row r="1510" spans="1:24" ht="14.25" customHeight="1">
      <c r="A1510" s="110"/>
      <c r="B1510" s="125">
        <f t="shared" ref="B1510:C1510" si="61">B1509</f>
        <v>46176</v>
      </c>
      <c r="C1510" s="126" t="str">
        <f t="shared" si="61"/>
        <v>BCA26-06087</v>
      </c>
      <c r="D1510" s="68" t="s">
        <v>130</v>
      </c>
      <c r="E1510" s="10" t="str">
        <f>TRIM(VLOOKUP(D1510,TB!$B$9:$C$1500,2,FALSE))</f>
        <v>BCA TBB</v>
      </c>
      <c r="F1510" s="173" t="str">
        <f>F1509</f>
        <v xml:space="preserve"> Kancil - Fee Gl 28 April 26 </v>
      </c>
      <c r="G1510" s="130"/>
      <c r="H1510" s="10"/>
      <c r="I1510" s="10">
        <f>H1509</f>
        <v>280000</v>
      </c>
      <c r="J1510" s="79" t="e">
        <f t="shared" si="25"/>
        <v>#VALUE!</v>
      </c>
      <c r="K1510" s="106"/>
      <c r="L1510" s="107"/>
      <c r="M1510" s="106"/>
      <c r="N1510" s="106"/>
      <c r="O1510" s="108"/>
      <c r="P1510" s="108"/>
      <c r="Q1510" s="108"/>
      <c r="R1510" s="109"/>
      <c r="S1510" s="109"/>
      <c r="T1510" s="108"/>
      <c r="U1510" s="110"/>
      <c r="V1510" s="110"/>
      <c r="W1510" s="110"/>
      <c r="X1510" s="110"/>
    </row>
    <row r="1511" spans="1:24" ht="14.25" customHeight="1">
      <c r="A1511" s="110"/>
      <c r="B1511" s="125"/>
      <c r="C1511" s="126"/>
      <c r="D1511" s="159"/>
      <c r="E1511" s="10" t="e">
        <f>TRIM(VLOOKUP(D1511,TB!$B$9:$C$1500,2,FALSE))</f>
        <v>#N/A</v>
      </c>
      <c r="F1511" s="173"/>
      <c r="G1511" s="130"/>
      <c r="H1511" s="10"/>
      <c r="I1511" s="10"/>
      <c r="J1511" s="79" t="e">
        <f t="shared" si="25"/>
        <v>#VALUE!</v>
      </c>
      <c r="K1511" s="106"/>
      <c r="L1511" s="107"/>
      <c r="M1511" s="106"/>
      <c r="N1511" s="106"/>
      <c r="O1511" s="108"/>
      <c r="P1511" s="108"/>
      <c r="Q1511" s="108"/>
      <c r="R1511" s="109"/>
      <c r="S1511" s="109"/>
      <c r="T1511" s="108"/>
      <c r="U1511" s="110"/>
      <c r="V1511" s="110"/>
      <c r="W1511" s="110"/>
      <c r="X1511" s="110"/>
    </row>
    <row r="1512" spans="1:24" ht="14.25" customHeight="1">
      <c r="A1512" s="110"/>
      <c r="B1512" s="125">
        <v>46176</v>
      </c>
      <c r="C1512" s="126" t="s">
        <v>415</v>
      </c>
      <c r="D1512" s="68" t="s">
        <v>285</v>
      </c>
      <c r="E1512" s="10" t="str">
        <f>TRIM(VLOOKUP(D1512,TB!$B$9:$C$1500,2,FALSE))</f>
        <v>Misc Cash Purchase</v>
      </c>
      <c r="F1512" s="173" t="s">
        <v>416</v>
      </c>
      <c r="G1512" s="130"/>
      <c r="H1512" s="10">
        <v>60000</v>
      </c>
      <c r="I1512" s="10"/>
      <c r="J1512" s="79" t="e">
        <f t="shared" si="25"/>
        <v>#VALUE!</v>
      </c>
      <c r="K1512" s="106"/>
      <c r="L1512" s="107"/>
      <c r="M1512" s="106"/>
      <c r="N1512" s="106"/>
      <c r="O1512" s="108"/>
      <c r="P1512" s="108"/>
      <c r="Q1512" s="108"/>
      <c r="R1512" s="109"/>
      <c r="S1512" s="109"/>
      <c r="T1512" s="108"/>
      <c r="U1512" s="110"/>
      <c r="V1512" s="110"/>
      <c r="W1512" s="110"/>
      <c r="X1512" s="110"/>
    </row>
    <row r="1513" spans="1:24" ht="14.25" customHeight="1">
      <c r="A1513" s="110"/>
      <c r="B1513" s="125">
        <f t="shared" ref="B1513:C1513" si="62">B1512</f>
        <v>46176</v>
      </c>
      <c r="C1513" s="126" t="str">
        <f t="shared" si="62"/>
        <v>BCA26-06088</v>
      </c>
      <c r="D1513" s="68" t="s">
        <v>130</v>
      </c>
      <c r="E1513" s="10" t="str">
        <f>TRIM(VLOOKUP(D1513,TB!$B$9:$C$1500,2,FALSE))</f>
        <v>BCA TBB</v>
      </c>
      <c r="F1513" s="173" t="str">
        <f>F1512</f>
        <v xml:space="preserve"> Rigo (Fang) - Fee Gl 28 April 26 </v>
      </c>
      <c r="G1513" s="130"/>
      <c r="H1513" s="10"/>
      <c r="I1513" s="10">
        <f>H1512</f>
        <v>60000</v>
      </c>
      <c r="J1513" s="79" t="e">
        <f t="shared" si="25"/>
        <v>#VALUE!</v>
      </c>
      <c r="K1513" s="106"/>
      <c r="L1513" s="107"/>
      <c r="M1513" s="106"/>
      <c r="N1513" s="106"/>
      <c r="O1513" s="108"/>
      <c r="P1513" s="108"/>
      <c r="Q1513" s="108"/>
      <c r="R1513" s="109"/>
      <c r="S1513" s="109"/>
      <c r="T1513" s="108"/>
      <c r="U1513" s="110"/>
      <c r="V1513" s="110"/>
      <c r="W1513" s="110"/>
      <c r="X1513" s="110"/>
    </row>
    <row r="1514" spans="1:24" ht="14.25" customHeight="1">
      <c r="A1514" s="110"/>
      <c r="B1514" s="125"/>
      <c r="C1514" s="126"/>
      <c r="D1514" s="15"/>
      <c r="E1514" s="10" t="e">
        <f>TRIM(VLOOKUP(D1514,TB!$B$9:$C$1500,2,FALSE))</f>
        <v>#N/A</v>
      </c>
      <c r="F1514" s="173"/>
      <c r="G1514" s="130"/>
      <c r="H1514" s="10"/>
      <c r="I1514" s="10"/>
      <c r="J1514" s="79" t="e">
        <f t="shared" si="25"/>
        <v>#VALUE!</v>
      </c>
      <c r="K1514" s="106"/>
      <c r="L1514" s="107"/>
      <c r="M1514" s="106"/>
      <c r="N1514" s="106"/>
      <c r="O1514" s="108"/>
      <c r="P1514" s="108"/>
      <c r="Q1514" s="108"/>
      <c r="R1514" s="109"/>
      <c r="S1514" s="109"/>
      <c r="T1514" s="108"/>
      <c r="U1514" s="110"/>
      <c r="V1514" s="110"/>
      <c r="W1514" s="110"/>
      <c r="X1514" s="110"/>
    </row>
    <row r="1515" spans="1:24" ht="14.25" customHeight="1">
      <c r="A1515" s="110"/>
      <c r="B1515" s="125">
        <v>46176</v>
      </c>
      <c r="C1515" s="126" t="s">
        <v>417</v>
      </c>
      <c r="D1515" s="68" t="s">
        <v>285</v>
      </c>
      <c r="E1515" s="10" t="str">
        <f>TRIM(VLOOKUP(D1515,TB!$B$9:$C$1500,2,FALSE))</f>
        <v>Misc Cash Purchase</v>
      </c>
      <c r="F1515" s="173" t="s">
        <v>418</v>
      </c>
      <c r="G1515" s="130"/>
      <c r="H1515" s="10">
        <v>500000</v>
      </c>
      <c r="I1515" s="10"/>
      <c r="J1515" s="79" t="e">
        <f t="shared" si="25"/>
        <v>#VALUE!</v>
      </c>
      <c r="K1515" s="106"/>
      <c r="L1515" s="107"/>
      <c r="M1515" s="106"/>
      <c r="N1515" s="106"/>
      <c r="O1515" s="108"/>
      <c r="P1515" s="108"/>
      <c r="Q1515" s="108"/>
      <c r="R1515" s="109"/>
      <c r="S1515" s="109"/>
      <c r="T1515" s="108"/>
      <c r="U1515" s="110"/>
      <c r="V1515" s="110"/>
      <c r="W1515" s="110"/>
      <c r="X1515" s="110"/>
    </row>
    <row r="1516" spans="1:24" ht="14.25" customHeight="1">
      <c r="A1516" s="110"/>
      <c r="B1516" s="125">
        <f t="shared" ref="B1516:C1516" si="63">B1515</f>
        <v>46176</v>
      </c>
      <c r="C1516" s="126" t="str">
        <f t="shared" si="63"/>
        <v>BCA26-06089</v>
      </c>
      <c r="D1516" s="68" t="s">
        <v>130</v>
      </c>
      <c r="E1516" s="10" t="str">
        <f>TRIM(VLOOKUP(D1516,TB!$B$9:$C$1500,2,FALSE))</f>
        <v>BCA TBB</v>
      </c>
      <c r="F1516" s="173" t="str">
        <f>F1515</f>
        <v xml:space="preserve"> Fadil - Fee Gl 28 April 26 </v>
      </c>
      <c r="G1516" s="130"/>
      <c r="H1516" s="10"/>
      <c r="I1516" s="10">
        <f>H1515</f>
        <v>500000</v>
      </c>
      <c r="J1516" s="79" t="e">
        <f t="shared" si="25"/>
        <v>#VALUE!</v>
      </c>
      <c r="K1516" s="106"/>
      <c r="L1516" s="107"/>
      <c r="M1516" s="106"/>
      <c r="N1516" s="106"/>
      <c r="O1516" s="108"/>
      <c r="P1516" s="108"/>
      <c r="Q1516" s="108"/>
      <c r="R1516" s="109"/>
      <c r="S1516" s="109"/>
      <c r="T1516" s="108"/>
      <c r="U1516" s="110"/>
      <c r="V1516" s="110"/>
      <c r="W1516" s="110"/>
      <c r="X1516" s="110"/>
    </row>
    <row r="1517" spans="1:24" ht="14.25" customHeight="1">
      <c r="A1517" s="110"/>
      <c r="B1517" s="125"/>
      <c r="C1517" s="126"/>
      <c r="D1517" s="15"/>
      <c r="E1517" s="10" t="e">
        <f>TRIM(VLOOKUP(D1517,TB!$B$9:$C$1500,2,FALSE))</f>
        <v>#N/A</v>
      </c>
      <c r="F1517" s="173"/>
      <c r="G1517" s="130"/>
      <c r="H1517" s="10"/>
      <c r="I1517" s="10"/>
      <c r="J1517" s="79" t="e">
        <f t="shared" si="25"/>
        <v>#VALUE!</v>
      </c>
      <c r="K1517" s="106"/>
      <c r="L1517" s="107"/>
      <c r="M1517" s="106"/>
      <c r="N1517" s="106"/>
      <c r="O1517" s="108"/>
      <c r="P1517" s="108"/>
      <c r="Q1517" s="108"/>
      <c r="R1517" s="109"/>
      <c r="S1517" s="109"/>
      <c r="T1517" s="108"/>
      <c r="U1517" s="110"/>
      <c r="V1517" s="110"/>
      <c r="W1517" s="110"/>
      <c r="X1517" s="110"/>
    </row>
    <row r="1518" spans="1:24" ht="14.25" customHeight="1">
      <c r="A1518" s="110"/>
      <c r="B1518" s="125">
        <v>46176</v>
      </c>
      <c r="C1518" s="126" t="s">
        <v>419</v>
      </c>
      <c r="D1518" s="68" t="s">
        <v>285</v>
      </c>
      <c r="E1518" s="10" t="str">
        <f>TRIM(VLOOKUP(D1518,TB!$B$9:$C$1500,2,FALSE))</f>
        <v>Misc Cash Purchase</v>
      </c>
      <c r="F1518" s="173" t="s">
        <v>420</v>
      </c>
      <c r="G1518" s="130"/>
      <c r="H1518" s="10">
        <v>160000</v>
      </c>
      <c r="I1518" s="10"/>
      <c r="J1518" s="79" t="e">
        <f t="shared" si="25"/>
        <v>#VALUE!</v>
      </c>
      <c r="K1518" s="106"/>
      <c r="L1518" s="107"/>
      <c r="M1518" s="106"/>
      <c r="N1518" s="106"/>
      <c r="O1518" s="108"/>
      <c r="P1518" s="108"/>
      <c r="Q1518" s="108"/>
      <c r="R1518" s="109"/>
      <c r="S1518" s="109"/>
      <c r="T1518" s="108"/>
      <c r="U1518" s="110"/>
      <c r="V1518" s="110"/>
      <c r="W1518" s="110"/>
      <c r="X1518" s="110"/>
    </row>
    <row r="1519" spans="1:24" ht="14.25" customHeight="1">
      <c r="A1519" s="110"/>
      <c r="B1519" s="125">
        <f t="shared" ref="B1519:C1519" si="64">B1518</f>
        <v>46176</v>
      </c>
      <c r="C1519" s="126" t="str">
        <f t="shared" si="64"/>
        <v>BCA26-06090</v>
      </c>
      <c r="D1519" s="68" t="s">
        <v>130</v>
      </c>
      <c r="E1519" s="10" t="str">
        <f>TRIM(VLOOKUP(D1519,TB!$B$9:$C$1500,2,FALSE))</f>
        <v>BCA TBB</v>
      </c>
      <c r="F1519" s="173" t="str">
        <f>F1518</f>
        <v xml:space="preserve"> Nana - Fee Gl 28 April 26 </v>
      </c>
      <c r="G1519" s="130"/>
      <c r="H1519" s="10"/>
      <c r="I1519" s="10">
        <f>H1518</f>
        <v>160000</v>
      </c>
      <c r="J1519" s="79" t="e">
        <f t="shared" si="25"/>
        <v>#VALUE!</v>
      </c>
      <c r="K1519" s="106"/>
      <c r="L1519" s="107"/>
      <c r="M1519" s="106"/>
      <c r="N1519" s="106"/>
      <c r="O1519" s="108"/>
      <c r="P1519" s="108"/>
      <c r="Q1519" s="108"/>
      <c r="R1519" s="109"/>
      <c r="S1519" s="109"/>
      <c r="T1519" s="108"/>
      <c r="U1519" s="110"/>
      <c r="V1519" s="110"/>
      <c r="W1519" s="110"/>
      <c r="X1519" s="110"/>
    </row>
    <row r="1520" spans="1:24" ht="14.25" customHeight="1">
      <c r="A1520" s="110"/>
      <c r="B1520" s="125"/>
      <c r="C1520" s="126"/>
      <c r="D1520" s="15"/>
      <c r="E1520" s="10" t="e">
        <f>TRIM(VLOOKUP(D1520,TB!$B$9:$C$1500,2,FALSE))</f>
        <v>#N/A</v>
      </c>
      <c r="F1520" s="173"/>
      <c r="G1520" s="130"/>
      <c r="H1520" s="10"/>
      <c r="I1520" s="10"/>
      <c r="J1520" s="79" t="e">
        <f t="shared" si="25"/>
        <v>#VALUE!</v>
      </c>
      <c r="K1520" s="106"/>
      <c r="L1520" s="107"/>
      <c r="M1520" s="106"/>
      <c r="N1520" s="106"/>
      <c r="O1520" s="108"/>
      <c r="P1520" s="108"/>
      <c r="Q1520" s="108"/>
      <c r="R1520" s="109"/>
      <c r="S1520" s="109"/>
      <c r="T1520" s="108"/>
      <c r="U1520" s="110"/>
      <c r="V1520" s="110"/>
      <c r="W1520" s="110"/>
      <c r="X1520" s="110"/>
    </row>
    <row r="1521" spans="1:24" ht="14.25" customHeight="1">
      <c r="A1521" s="110"/>
      <c r="B1521" s="125">
        <v>46176</v>
      </c>
      <c r="C1521" s="126" t="s">
        <v>421</v>
      </c>
      <c r="D1521" s="68" t="s">
        <v>285</v>
      </c>
      <c r="E1521" s="10" t="str">
        <f>TRIM(VLOOKUP(D1521,TB!$B$9:$C$1500,2,FALSE))</f>
        <v>Misc Cash Purchase</v>
      </c>
      <c r="F1521" s="173" t="s">
        <v>422</v>
      </c>
      <c r="G1521" s="130"/>
      <c r="H1521" s="10">
        <v>140000</v>
      </c>
      <c r="I1521" s="10"/>
      <c r="J1521" s="79" t="e">
        <f t="shared" si="25"/>
        <v>#VALUE!</v>
      </c>
      <c r="K1521" s="106"/>
      <c r="L1521" s="107"/>
      <c r="M1521" s="106"/>
      <c r="N1521" s="106"/>
      <c r="O1521" s="108"/>
      <c r="P1521" s="108"/>
      <c r="Q1521" s="108"/>
      <c r="R1521" s="109"/>
      <c r="S1521" s="109"/>
      <c r="T1521" s="108"/>
      <c r="U1521" s="110"/>
      <c r="V1521" s="110"/>
      <c r="W1521" s="110"/>
      <c r="X1521" s="110"/>
    </row>
    <row r="1522" spans="1:24" ht="14.25" customHeight="1">
      <c r="A1522" s="110"/>
      <c r="B1522" s="125">
        <f t="shared" ref="B1522:C1522" si="65">B1521</f>
        <v>46176</v>
      </c>
      <c r="C1522" s="126" t="str">
        <f t="shared" si="65"/>
        <v>BCA26-06091</v>
      </c>
      <c r="D1522" s="68" t="s">
        <v>130</v>
      </c>
      <c r="E1522" s="10" t="str">
        <f>TRIM(VLOOKUP(D1522,TB!$B$9:$C$1500,2,FALSE))</f>
        <v>BCA TBB</v>
      </c>
      <c r="F1522" s="173" t="str">
        <f>F1521</f>
        <v xml:space="preserve"> Sherin - Fee Gl 28 April 26 </v>
      </c>
      <c r="G1522" s="130"/>
      <c r="H1522" s="10"/>
      <c r="I1522" s="10">
        <f>H1521</f>
        <v>140000</v>
      </c>
      <c r="J1522" s="79" t="e">
        <f t="shared" si="25"/>
        <v>#VALUE!</v>
      </c>
      <c r="K1522" s="106"/>
      <c r="L1522" s="107"/>
      <c r="M1522" s="106"/>
      <c r="N1522" s="106"/>
      <c r="O1522" s="108"/>
      <c r="P1522" s="108"/>
      <c r="Q1522" s="108"/>
      <c r="R1522" s="109"/>
      <c r="S1522" s="109"/>
      <c r="T1522" s="108"/>
      <c r="U1522" s="110"/>
      <c r="V1522" s="110"/>
      <c r="W1522" s="110"/>
      <c r="X1522" s="110"/>
    </row>
    <row r="1523" spans="1:24" ht="14.25" customHeight="1">
      <c r="A1523" s="110"/>
      <c r="B1523" s="125"/>
      <c r="C1523" s="126"/>
      <c r="D1523" s="159"/>
      <c r="E1523" s="10" t="e">
        <f>TRIM(VLOOKUP(D1523,TB!$B$9:$C$1500,2,FALSE))</f>
        <v>#N/A</v>
      </c>
      <c r="F1523" s="173"/>
      <c r="G1523" s="130"/>
      <c r="H1523" s="10"/>
      <c r="I1523" s="10"/>
      <c r="J1523" s="79" t="e">
        <f t="shared" si="25"/>
        <v>#VALUE!</v>
      </c>
      <c r="K1523" s="106"/>
      <c r="L1523" s="107"/>
      <c r="M1523" s="106"/>
      <c r="N1523" s="106"/>
      <c r="O1523" s="108"/>
      <c r="P1523" s="108"/>
      <c r="Q1523" s="108"/>
      <c r="R1523" s="109"/>
      <c r="S1523" s="109"/>
      <c r="T1523" s="108"/>
      <c r="U1523" s="110"/>
      <c r="V1523" s="110"/>
      <c r="W1523" s="110"/>
      <c r="X1523" s="110"/>
    </row>
    <row r="1524" spans="1:24" ht="14.25" customHeight="1">
      <c r="A1524" s="110"/>
      <c r="B1524" s="125">
        <v>46176</v>
      </c>
      <c r="C1524" s="126" t="s">
        <v>423</v>
      </c>
      <c r="D1524" s="68" t="s">
        <v>285</v>
      </c>
      <c r="E1524" s="10" t="str">
        <f>TRIM(VLOOKUP(D1524,TB!$B$9:$C$1500,2,FALSE))</f>
        <v>Misc Cash Purchase</v>
      </c>
      <c r="F1524" s="173" t="s">
        <v>424</v>
      </c>
      <c r="G1524" s="130"/>
      <c r="H1524" s="10">
        <v>100000</v>
      </c>
      <c r="I1524" s="10"/>
      <c r="J1524" s="79" t="e">
        <f t="shared" si="25"/>
        <v>#VALUE!</v>
      </c>
      <c r="K1524" s="106"/>
      <c r="L1524" s="107"/>
      <c r="M1524" s="106"/>
      <c r="N1524" s="106"/>
      <c r="O1524" s="108"/>
      <c r="P1524" s="108"/>
      <c r="Q1524" s="108"/>
      <c r="R1524" s="109"/>
      <c r="S1524" s="109"/>
      <c r="T1524" s="108"/>
      <c r="U1524" s="110"/>
      <c r="V1524" s="110"/>
      <c r="W1524" s="110"/>
      <c r="X1524" s="110"/>
    </row>
    <row r="1525" spans="1:24" ht="14.25" customHeight="1">
      <c r="A1525" s="110"/>
      <c r="B1525" s="125">
        <f t="shared" ref="B1525:C1525" si="66">B1524</f>
        <v>46176</v>
      </c>
      <c r="C1525" s="126" t="str">
        <f t="shared" si="66"/>
        <v>BCA26-06092</v>
      </c>
      <c r="D1525" s="68" t="s">
        <v>130</v>
      </c>
      <c r="E1525" s="10" t="str">
        <f>TRIM(VLOOKUP(D1525,TB!$B$9:$C$1500,2,FALSE))</f>
        <v>BCA TBB</v>
      </c>
      <c r="F1525" s="173" t="str">
        <f>F1524</f>
        <v xml:space="preserve"> Alexpas - Fee Gl 28 April 26 </v>
      </c>
      <c r="G1525" s="130"/>
      <c r="H1525" s="10"/>
      <c r="I1525" s="10">
        <f>H1524</f>
        <v>100000</v>
      </c>
      <c r="J1525" s="79" t="e">
        <f t="shared" si="25"/>
        <v>#VALUE!</v>
      </c>
      <c r="K1525" s="106"/>
      <c r="L1525" s="107"/>
      <c r="M1525" s="106"/>
      <c r="N1525" s="106"/>
      <c r="O1525" s="108"/>
      <c r="P1525" s="108"/>
      <c r="Q1525" s="108"/>
      <c r="R1525" s="109"/>
      <c r="S1525" s="109"/>
      <c r="T1525" s="108"/>
      <c r="U1525" s="110"/>
      <c r="V1525" s="110"/>
      <c r="W1525" s="110"/>
      <c r="X1525" s="110"/>
    </row>
    <row r="1526" spans="1:24" ht="14.25" customHeight="1">
      <c r="A1526" s="110"/>
      <c r="B1526" s="125"/>
      <c r="C1526" s="126"/>
      <c r="D1526" s="15"/>
      <c r="E1526" s="10" t="e">
        <f>TRIM(VLOOKUP(D1526,TB!$B$9:$C$1500,2,FALSE))</f>
        <v>#N/A</v>
      </c>
      <c r="F1526" s="173"/>
      <c r="G1526" s="130"/>
      <c r="H1526" s="10"/>
      <c r="I1526" s="10"/>
      <c r="J1526" s="79" t="e">
        <f t="shared" si="25"/>
        <v>#VALUE!</v>
      </c>
      <c r="K1526" s="106"/>
      <c r="L1526" s="107"/>
      <c r="M1526" s="106"/>
      <c r="N1526" s="106"/>
      <c r="O1526" s="108"/>
      <c r="P1526" s="108"/>
      <c r="Q1526" s="108"/>
      <c r="R1526" s="109"/>
      <c r="S1526" s="109"/>
      <c r="T1526" s="108"/>
      <c r="U1526" s="110"/>
      <c r="V1526" s="110"/>
      <c r="W1526" s="110"/>
      <c r="X1526" s="110"/>
    </row>
    <row r="1527" spans="1:24" ht="14.25" customHeight="1">
      <c r="A1527" s="110"/>
      <c r="B1527" s="125">
        <v>46176</v>
      </c>
      <c r="C1527" s="126" t="s">
        <v>425</v>
      </c>
      <c r="D1527" s="68" t="s">
        <v>285</v>
      </c>
      <c r="E1527" s="10" t="str">
        <f>TRIM(VLOOKUP(D1527,TB!$B$9:$C$1500,2,FALSE))</f>
        <v>Misc Cash Purchase</v>
      </c>
      <c r="F1527" s="173" t="s">
        <v>426</v>
      </c>
      <c r="G1527" s="130"/>
      <c r="H1527" s="10">
        <v>40000</v>
      </c>
      <c r="I1527" s="10"/>
      <c r="J1527" s="79" t="e">
        <f t="shared" si="25"/>
        <v>#VALUE!</v>
      </c>
      <c r="K1527" s="106"/>
      <c r="L1527" s="107"/>
      <c r="M1527" s="106"/>
      <c r="N1527" s="106"/>
      <c r="O1527" s="108"/>
      <c r="P1527" s="108"/>
      <c r="Q1527" s="108"/>
      <c r="R1527" s="109"/>
      <c r="S1527" s="109"/>
      <c r="T1527" s="108"/>
      <c r="U1527" s="110"/>
      <c r="V1527" s="110"/>
      <c r="W1527" s="110"/>
      <c r="X1527" s="110"/>
    </row>
    <row r="1528" spans="1:24" ht="14.25" customHeight="1">
      <c r="A1528" s="110"/>
      <c r="B1528" s="125">
        <v>46176</v>
      </c>
      <c r="C1528" s="126" t="s">
        <v>425</v>
      </c>
      <c r="D1528" s="15" t="s">
        <v>124</v>
      </c>
      <c r="E1528" s="10" t="str">
        <f>TRIM(VLOOKUP(D1528,TB!$B$9:$C$1500,2,FALSE))</f>
        <v>Bank charges</v>
      </c>
      <c r="F1528" s="173" t="s">
        <v>426</v>
      </c>
      <c r="G1528" s="130"/>
      <c r="H1528" s="10">
        <v>2500</v>
      </c>
      <c r="I1528" s="10"/>
      <c r="J1528" s="79" t="e">
        <f t="shared" si="25"/>
        <v>#VALUE!</v>
      </c>
      <c r="K1528" s="106"/>
      <c r="L1528" s="107"/>
      <c r="M1528" s="106"/>
      <c r="N1528" s="106"/>
      <c r="O1528" s="108"/>
      <c r="P1528" s="108"/>
      <c r="Q1528" s="108"/>
      <c r="R1528" s="109"/>
      <c r="S1528" s="109"/>
      <c r="T1528" s="108"/>
      <c r="U1528" s="110"/>
      <c r="V1528" s="110"/>
      <c r="W1528" s="110"/>
      <c r="X1528" s="110"/>
    </row>
    <row r="1529" spans="1:24" ht="14.25" customHeight="1">
      <c r="A1529" s="110"/>
      <c r="B1529" s="125">
        <f t="shared" ref="B1529:C1529" si="67">B1527</f>
        <v>46176</v>
      </c>
      <c r="C1529" s="126" t="str">
        <f t="shared" si="67"/>
        <v>BCA26-06093</v>
      </c>
      <c r="D1529" s="68" t="s">
        <v>130</v>
      </c>
      <c r="E1529" s="10" t="str">
        <f>TRIM(VLOOKUP(D1529,TB!$B$9:$C$1500,2,FALSE))</f>
        <v>BCA TBB</v>
      </c>
      <c r="F1529" s="173" t="str">
        <f>F1527</f>
        <v xml:space="preserve"> Theo/Teo - Fee Gl 28 April 26 </v>
      </c>
      <c r="G1529" s="130"/>
      <c r="H1529" s="10"/>
      <c r="I1529" s="10">
        <v>42500</v>
      </c>
      <c r="J1529" s="79" t="e">
        <f t="shared" si="25"/>
        <v>#VALUE!</v>
      </c>
      <c r="K1529" s="106"/>
      <c r="L1529" s="107"/>
      <c r="M1529" s="106"/>
      <c r="N1529" s="106"/>
      <c r="O1529" s="108"/>
      <c r="P1529" s="108"/>
      <c r="Q1529" s="108"/>
      <c r="R1529" s="109"/>
      <c r="S1529" s="109"/>
      <c r="T1529" s="108"/>
      <c r="U1529" s="110"/>
      <c r="V1529" s="110"/>
      <c r="W1529" s="110"/>
      <c r="X1529" s="110"/>
    </row>
    <row r="1530" spans="1:24" ht="14.25" customHeight="1">
      <c r="A1530" s="110"/>
      <c r="B1530" s="125"/>
      <c r="C1530" s="126"/>
      <c r="D1530" s="15"/>
      <c r="E1530" s="10" t="e">
        <f>TRIM(VLOOKUP(D1530,TB!$B$9:$C$1500,2,FALSE))</f>
        <v>#N/A</v>
      </c>
      <c r="F1530" s="173"/>
      <c r="G1530" s="130"/>
      <c r="H1530" s="10"/>
      <c r="I1530" s="10"/>
      <c r="J1530" s="79" t="e">
        <f t="shared" si="25"/>
        <v>#VALUE!</v>
      </c>
      <c r="K1530" s="106"/>
      <c r="L1530" s="107"/>
      <c r="M1530" s="106"/>
      <c r="N1530" s="106"/>
      <c r="O1530" s="108"/>
      <c r="P1530" s="108"/>
      <c r="Q1530" s="108"/>
      <c r="R1530" s="109"/>
      <c r="S1530" s="109"/>
      <c r="T1530" s="108"/>
      <c r="U1530" s="110"/>
      <c r="V1530" s="110"/>
      <c r="W1530" s="110"/>
      <c r="X1530" s="110"/>
    </row>
    <row r="1531" spans="1:24" ht="14.25" customHeight="1">
      <c r="A1531" s="110"/>
      <c r="B1531" s="125">
        <v>46176</v>
      </c>
      <c r="C1531" s="126" t="s">
        <v>427</v>
      </c>
      <c r="D1531" s="68" t="s">
        <v>285</v>
      </c>
      <c r="E1531" s="10" t="str">
        <f>TRIM(VLOOKUP(D1531,TB!$B$9:$C$1500,2,FALSE))</f>
        <v>Misc Cash Purchase</v>
      </c>
      <c r="F1531" s="173" t="s">
        <v>428</v>
      </c>
      <c r="G1531" s="130"/>
      <c r="H1531" s="10">
        <v>40000</v>
      </c>
      <c r="I1531" s="10"/>
      <c r="J1531" s="79" t="e">
        <f t="shared" si="25"/>
        <v>#VALUE!</v>
      </c>
      <c r="K1531" s="106"/>
      <c r="L1531" s="107"/>
      <c r="M1531" s="106"/>
      <c r="N1531" s="106"/>
      <c r="O1531" s="108"/>
      <c r="P1531" s="108"/>
      <c r="Q1531" s="108"/>
      <c r="R1531" s="109"/>
      <c r="S1531" s="109"/>
      <c r="T1531" s="108"/>
      <c r="U1531" s="110"/>
      <c r="V1531" s="110"/>
      <c r="W1531" s="110"/>
      <c r="X1531" s="110"/>
    </row>
    <row r="1532" spans="1:24" ht="14.25" customHeight="1">
      <c r="A1532" s="110"/>
      <c r="B1532" s="125">
        <f t="shared" ref="B1532:C1532" si="68">B1531</f>
        <v>46176</v>
      </c>
      <c r="C1532" s="126" t="str">
        <f t="shared" si="68"/>
        <v>BCA26-06094</v>
      </c>
      <c r="D1532" s="68" t="s">
        <v>130</v>
      </c>
      <c r="E1532" s="10" t="str">
        <f>TRIM(VLOOKUP(D1532,TB!$B$9:$C$1500,2,FALSE))</f>
        <v>BCA TBB</v>
      </c>
      <c r="F1532" s="173" t="str">
        <f>F1531</f>
        <v xml:space="preserve"> Juan - Fee Gl 28 April 26 </v>
      </c>
      <c r="G1532" s="130"/>
      <c r="H1532" s="10"/>
      <c r="I1532" s="10">
        <f>H1531</f>
        <v>40000</v>
      </c>
      <c r="J1532" s="79" t="e">
        <f t="shared" si="25"/>
        <v>#VALUE!</v>
      </c>
      <c r="K1532" s="106"/>
      <c r="L1532" s="107"/>
      <c r="M1532" s="106"/>
      <c r="N1532" s="106"/>
      <c r="O1532" s="108"/>
      <c r="P1532" s="108"/>
      <c r="Q1532" s="108"/>
      <c r="R1532" s="109"/>
      <c r="S1532" s="109"/>
      <c r="T1532" s="108"/>
      <c r="U1532" s="110"/>
      <c r="V1532" s="110"/>
      <c r="W1532" s="110"/>
      <c r="X1532" s="110"/>
    </row>
    <row r="1533" spans="1:24" ht="14.25" customHeight="1">
      <c r="A1533" s="110"/>
      <c r="B1533" s="125"/>
      <c r="C1533" s="126"/>
      <c r="D1533" s="15"/>
      <c r="E1533" s="10" t="e">
        <f>TRIM(VLOOKUP(D1533,TB!$B$9:$C$1500,2,FALSE))</f>
        <v>#N/A</v>
      </c>
      <c r="F1533" s="173"/>
      <c r="G1533" s="130"/>
      <c r="H1533" s="10"/>
      <c r="I1533" s="10"/>
      <c r="J1533" s="79" t="e">
        <f t="shared" si="25"/>
        <v>#VALUE!</v>
      </c>
      <c r="K1533" s="106"/>
      <c r="L1533" s="107"/>
      <c r="M1533" s="106"/>
      <c r="N1533" s="106"/>
      <c r="O1533" s="108"/>
      <c r="P1533" s="108"/>
      <c r="Q1533" s="108"/>
      <c r="R1533" s="109"/>
      <c r="S1533" s="109"/>
      <c r="T1533" s="108"/>
      <c r="U1533" s="110"/>
      <c r="V1533" s="110"/>
      <c r="W1533" s="110"/>
      <c r="X1533" s="110"/>
    </row>
    <row r="1534" spans="1:24" ht="14.25" customHeight="1">
      <c r="A1534" s="110"/>
      <c r="B1534" s="125">
        <v>46176</v>
      </c>
      <c r="C1534" s="126" t="s">
        <v>429</v>
      </c>
      <c r="D1534" s="68" t="s">
        <v>285</v>
      </c>
      <c r="E1534" s="10" t="str">
        <f>TRIM(VLOOKUP(D1534,TB!$B$9:$C$1500,2,FALSE))</f>
        <v>Misc Cash Purchase</v>
      </c>
      <c r="F1534" s="173" t="s">
        <v>430</v>
      </c>
      <c r="G1534" s="130"/>
      <c r="H1534" s="10">
        <v>100000</v>
      </c>
      <c r="I1534" s="10"/>
      <c r="J1534" s="79" t="e">
        <f t="shared" si="25"/>
        <v>#VALUE!</v>
      </c>
      <c r="K1534" s="106"/>
      <c r="L1534" s="107"/>
      <c r="M1534" s="106"/>
      <c r="N1534" s="106"/>
      <c r="O1534" s="108"/>
      <c r="P1534" s="108"/>
      <c r="Q1534" s="108"/>
      <c r="R1534" s="109"/>
      <c r="S1534" s="109"/>
      <c r="T1534" s="108"/>
      <c r="U1534" s="110"/>
      <c r="V1534" s="110"/>
      <c r="W1534" s="110"/>
      <c r="X1534" s="110"/>
    </row>
    <row r="1535" spans="1:24" ht="14.25" customHeight="1">
      <c r="A1535" s="110"/>
      <c r="B1535" s="125">
        <v>46176</v>
      </c>
      <c r="C1535" s="126" t="s">
        <v>429</v>
      </c>
      <c r="D1535" s="15" t="s">
        <v>124</v>
      </c>
      <c r="E1535" s="10" t="str">
        <f>TRIM(VLOOKUP(D1535,TB!$B$9:$C$1500,2,FALSE))</f>
        <v>Bank charges</v>
      </c>
      <c r="F1535" s="173" t="s">
        <v>430</v>
      </c>
      <c r="G1535" s="130"/>
      <c r="H1535" s="10">
        <v>2500</v>
      </c>
      <c r="I1535" s="10"/>
      <c r="J1535" s="79" t="e">
        <f t="shared" si="25"/>
        <v>#VALUE!</v>
      </c>
      <c r="K1535" s="106"/>
      <c r="L1535" s="107"/>
      <c r="M1535" s="106"/>
      <c r="N1535" s="106"/>
      <c r="O1535" s="108"/>
      <c r="P1535" s="108"/>
      <c r="Q1535" s="108"/>
      <c r="R1535" s="109"/>
      <c r="S1535" s="109"/>
      <c r="T1535" s="108"/>
      <c r="U1535" s="110"/>
      <c r="V1535" s="110"/>
      <c r="W1535" s="110"/>
      <c r="X1535" s="110"/>
    </row>
    <row r="1536" spans="1:24" ht="14.25" customHeight="1">
      <c r="A1536" s="110"/>
      <c r="B1536" s="125">
        <f t="shared" ref="B1536:C1536" si="69">B1534</f>
        <v>46176</v>
      </c>
      <c r="C1536" s="126" t="str">
        <f t="shared" si="69"/>
        <v>BCA26-06095</v>
      </c>
      <c r="D1536" s="68" t="s">
        <v>130</v>
      </c>
      <c r="E1536" s="10" t="str">
        <f>TRIM(VLOOKUP(D1536,TB!$B$9:$C$1500,2,FALSE))</f>
        <v>BCA TBB</v>
      </c>
      <c r="F1536" s="173" t="str">
        <f>F1534</f>
        <v xml:space="preserve"> Mike - Fee Gl 28 April 26 </v>
      </c>
      <c r="G1536" s="130"/>
      <c r="H1536" s="10"/>
      <c r="I1536" s="10">
        <v>102500</v>
      </c>
      <c r="J1536" s="79" t="e">
        <f t="shared" si="25"/>
        <v>#VALUE!</v>
      </c>
      <c r="K1536" s="106"/>
      <c r="L1536" s="107"/>
      <c r="M1536" s="106"/>
      <c r="N1536" s="106"/>
      <c r="O1536" s="108"/>
      <c r="P1536" s="108"/>
      <c r="Q1536" s="108"/>
      <c r="R1536" s="109"/>
      <c r="S1536" s="109"/>
      <c r="T1536" s="108"/>
      <c r="U1536" s="110"/>
      <c r="V1536" s="110"/>
      <c r="W1536" s="110"/>
      <c r="X1536" s="110"/>
    </row>
    <row r="1537" spans="1:24" ht="14.25" customHeight="1">
      <c r="A1537" s="110"/>
      <c r="B1537" s="125"/>
      <c r="C1537" s="126"/>
      <c r="D1537" s="159"/>
      <c r="E1537" s="10" t="e">
        <f>TRIM(VLOOKUP(D1537,TB!$B$9:$C$1500,2,FALSE))</f>
        <v>#N/A</v>
      </c>
      <c r="F1537" s="173"/>
      <c r="G1537" s="130"/>
      <c r="H1537" s="10"/>
      <c r="I1537" s="10"/>
      <c r="J1537" s="79" t="e">
        <f t="shared" si="25"/>
        <v>#VALUE!</v>
      </c>
      <c r="K1537" s="106"/>
      <c r="L1537" s="107"/>
      <c r="M1537" s="106"/>
      <c r="N1537" s="106"/>
      <c r="O1537" s="108"/>
      <c r="P1537" s="108"/>
      <c r="Q1537" s="108"/>
      <c r="R1537" s="109"/>
      <c r="S1537" s="109"/>
      <c r="T1537" s="108"/>
      <c r="U1537" s="110"/>
      <c r="V1537" s="110"/>
      <c r="W1537" s="110"/>
      <c r="X1537" s="110"/>
    </row>
    <row r="1538" spans="1:24" ht="14.25" customHeight="1">
      <c r="A1538" s="110"/>
      <c r="B1538" s="125">
        <v>46176</v>
      </c>
      <c r="C1538" s="126" t="s">
        <v>431</v>
      </c>
      <c r="D1538" s="68" t="s">
        <v>285</v>
      </c>
      <c r="E1538" s="10" t="str">
        <f>TRIM(VLOOKUP(D1538,TB!$B$9:$C$1500,2,FALSE))</f>
        <v>Misc Cash Purchase</v>
      </c>
      <c r="F1538" s="173" t="s">
        <v>432</v>
      </c>
      <c r="G1538" s="130"/>
      <c r="H1538" s="10">
        <v>100000</v>
      </c>
      <c r="I1538" s="10"/>
      <c r="J1538" s="79" t="e">
        <f t="shared" si="25"/>
        <v>#VALUE!</v>
      </c>
      <c r="K1538" s="106"/>
      <c r="L1538" s="107"/>
      <c r="M1538" s="106"/>
      <c r="N1538" s="106"/>
      <c r="O1538" s="108"/>
      <c r="P1538" s="108"/>
      <c r="Q1538" s="108"/>
      <c r="R1538" s="109"/>
      <c r="S1538" s="109"/>
      <c r="T1538" s="108"/>
      <c r="U1538" s="110"/>
      <c r="V1538" s="110"/>
      <c r="W1538" s="110"/>
      <c r="X1538" s="110"/>
    </row>
    <row r="1539" spans="1:24" ht="14.25" customHeight="1">
      <c r="A1539" s="110"/>
      <c r="B1539" s="125">
        <f t="shared" ref="B1539:C1539" si="70">B1538</f>
        <v>46176</v>
      </c>
      <c r="C1539" s="126" t="str">
        <f t="shared" si="70"/>
        <v>BCA26-06096</v>
      </c>
      <c r="D1539" s="68" t="s">
        <v>130</v>
      </c>
      <c r="E1539" s="10" t="str">
        <f>TRIM(VLOOKUP(D1539,TB!$B$9:$C$1500,2,FALSE))</f>
        <v>BCA TBB</v>
      </c>
      <c r="F1539" s="173" t="str">
        <f>F1538</f>
        <v xml:space="preserve"> Lelo - Fee Gl 28 April 26 </v>
      </c>
      <c r="G1539" s="130"/>
      <c r="H1539" s="10"/>
      <c r="I1539" s="10">
        <f>H1538</f>
        <v>100000</v>
      </c>
      <c r="J1539" s="79" t="e">
        <f t="shared" si="25"/>
        <v>#VALUE!</v>
      </c>
      <c r="K1539" s="106"/>
      <c r="L1539" s="107"/>
      <c r="M1539" s="106"/>
      <c r="N1539" s="106"/>
      <c r="O1539" s="108"/>
      <c r="P1539" s="108"/>
      <c r="Q1539" s="108"/>
      <c r="R1539" s="109"/>
      <c r="S1539" s="109"/>
      <c r="T1539" s="108"/>
      <c r="U1539" s="110"/>
      <c r="V1539" s="110"/>
      <c r="W1539" s="110"/>
      <c r="X1539" s="110"/>
    </row>
    <row r="1540" spans="1:24" ht="14.25" customHeight="1">
      <c r="A1540" s="110"/>
      <c r="B1540" s="125"/>
      <c r="C1540" s="126"/>
      <c r="D1540" s="15"/>
      <c r="E1540" s="10" t="e">
        <f>TRIM(VLOOKUP(D1540,TB!$B$9:$C$1500,2,FALSE))</f>
        <v>#N/A</v>
      </c>
      <c r="F1540" s="173"/>
      <c r="G1540" s="130"/>
      <c r="H1540" s="10"/>
      <c r="I1540" s="10"/>
      <c r="J1540" s="79" t="e">
        <f t="shared" si="25"/>
        <v>#VALUE!</v>
      </c>
      <c r="K1540" s="106"/>
      <c r="L1540" s="107"/>
      <c r="M1540" s="106"/>
      <c r="N1540" s="106"/>
      <c r="O1540" s="108"/>
      <c r="P1540" s="108"/>
      <c r="Q1540" s="108"/>
      <c r="R1540" s="109"/>
      <c r="S1540" s="109"/>
      <c r="T1540" s="108"/>
      <c r="U1540" s="110"/>
      <c r="V1540" s="110"/>
      <c r="W1540" s="110"/>
      <c r="X1540" s="110"/>
    </row>
    <row r="1541" spans="1:24" ht="14.25" customHeight="1">
      <c r="A1541" s="110"/>
      <c r="B1541" s="125">
        <v>46176</v>
      </c>
      <c r="C1541" s="126" t="s">
        <v>433</v>
      </c>
      <c r="D1541" s="68" t="s">
        <v>285</v>
      </c>
      <c r="E1541" s="10" t="str">
        <f>TRIM(VLOOKUP(D1541,TB!$B$9:$C$1500,2,FALSE))</f>
        <v>Misc Cash Purchase</v>
      </c>
      <c r="F1541" s="173" t="s">
        <v>434</v>
      </c>
      <c r="G1541" s="130"/>
      <c r="H1541" s="10">
        <v>2000000</v>
      </c>
      <c r="I1541" s="10"/>
      <c r="J1541" s="79" t="e">
        <f t="shared" si="25"/>
        <v>#VALUE!</v>
      </c>
      <c r="K1541" s="106"/>
      <c r="L1541" s="107"/>
      <c r="M1541" s="106"/>
      <c r="N1541" s="106"/>
      <c r="O1541" s="108"/>
      <c r="P1541" s="108"/>
      <c r="Q1541" s="108"/>
      <c r="R1541" s="109"/>
      <c r="S1541" s="109"/>
      <c r="T1541" s="108"/>
      <c r="U1541" s="110"/>
      <c r="V1541" s="110"/>
      <c r="W1541" s="110"/>
      <c r="X1541" s="110"/>
    </row>
    <row r="1542" spans="1:24" ht="14.25" customHeight="1">
      <c r="A1542" s="110"/>
      <c r="B1542" s="125">
        <v>46176</v>
      </c>
      <c r="C1542" s="126" t="s">
        <v>433</v>
      </c>
      <c r="D1542" s="15" t="s">
        <v>124</v>
      </c>
      <c r="E1542" s="10" t="str">
        <f>TRIM(VLOOKUP(D1542,TB!$B$9:$C$1500,2,FALSE))</f>
        <v>Bank charges</v>
      </c>
      <c r="F1542" s="173" t="s">
        <v>434</v>
      </c>
      <c r="G1542" s="130"/>
      <c r="H1542" s="10">
        <v>2500</v>
      </c>
      <c r="I1542" s="10"/>
      <c r="J1542" s="79" t="e">
        <f t="shared" si="25"/>
        <v>#VALUE!</v>
      </c>
      <c r="K1542" s="106"/>
      <c r="L1542" s="107"/>
      <c r="M1542" s="106"/>
      <c r="N1542" s="106"/>
      <c r="O1542" s="108"/>
      <c r="P1542" s="108"/>
      <c r="Q1542" s="108"/>
      <c r="R1542" s="109"/>
      <c r="S1542" s="109"/>
      <c r="T1542" s="108"/>
      <c r="U1542" s="110"/>
      <c r="V1542" s="110"/>
      <c r="W1542" s="110"/>
      <c r="X1542" s="110"/>
    </row>
    <row r="1543" spans="1:24" ht="14.25" customHeight="1">
      <c r="A1543" s="110"/>
      <c r="B1543" s="125">
        <f t="shared" ref="B1543:C1543" si="71">B1541</f>
        <v>46176</v>
      </c>
      <c r="C1543" s="126" t="str">
        <f t="shared" si="71"/>
        <v>BCA26-06097</v>
      </c>
      <c r="D1543" s="68" t="s">
        <v>130</v>
      </c>
      <c r="E1543" s="10" t="str">
        <f>TRIM(VLOOKUP(D1543,TB!$B$9:$C$1500,2,FALSE))</f>
        <v>BCA TBB</v>
      </c>
      <c r="F1543" s="173" t="str">
        <f>F1541</f>
        <v xml:space="preserve"> Satie -  Fee Dj 08 May 26 </v>
      </c>
      <c r="G1543" s="130"/>
      <c r="H1543" s="10"/>
      <c r="I1543" s="10">
        <v>2002500</v>
      </c>
      <c r="J1543" s="79" t="e">
        <f t="shared" si="25"/>
        <v>#VALUE!</v>
      </c>
      <c r="K1543" s="106"/>
      <c r="L1543" s="107"/>
      <c r="M1543" s="106"/>
      <c r="N1543" s="106"/>
      <c r="O1543" s="108"/>
      <c r="P1543" s="108"/>
      <c r="Q1543" s="108"/>
      <c r="R1543" s="109"/>
      <c r="S1543" s="109"/>
      <c r="T1543" s="108"/>
      <c r="U1543" s="110"/>
      <c r="V1543" s="110"/>
      <c r="W1543" s="110"/>
      <c r="X1543" s="110"/>
    </row>
    <row r="1544" spans="1:24" ht="14.25" customHeight="1">
      <c r="A1544" s="110"/>
      <c r="B1544" s="125"/>
      <c r="C1544" s="126"/>
      <c r="D1544" s="159"/>
      <c r="E1544" s="10" t="e">
        <f>TRIM(VLOOKUP(D1544,TB!$B$9:$C$1500,2,FALSE))</f>
        <v>#N/A</v>
      </c>
      <c r="F1544" s="173"/>
      <c r="G1544" s="130"/>
      <c r="H1544" s="10"/>
      <c r="I1544" s="10"/>
      <c r="J1544" s="79" t="e">
        <f t="shared" si="25"/>
        <v>#VALUE!</v>
      </c>
      <c r="K1544" s="106"/>
      <c r="L1544" s="107"/>
      <c r="M1544" s="106"/>
      <c r="N1544" s="106"/>
      <c r="O1544" s="108"/>
      <c r="P1544" s="108"/>
      <c r="Q1544" s="108"/>
      <c r="R1544" s="109"/>
      <c r="S1544" s="109"/>
      <c r="T1544" s="108"/>
      <c r="U1544" s="110"/>
      <c r="V1544" s="110"/>
      <c r="W1544" s="110"/>
      <c r="X1544" s="110"/>
    </row>
    <row r="1545" spans="1:24" ht="14.25" customHeight="1">
      <c r="A1545" s="110"/>
      <c r="B1545" s="125">
        <v>46176</v>
      </c>
      <c r="C1545" s="126" t="s">
        <v>435</v>
      </c>
      <c r="D1545" s="68" t="s">
        <v>285</v>
      </c>
      <c r="E1545" s="10" t="str">
        <f>TRIM(VLOOKUP(D1545,TB!$B$9:$C$1500,2,FALSE))</f>
        <v>Misc Cash Purchase</v>
      </c>
      <c r="F1545" s="173" t="s">
        <v>436</v>
      </c>
      <c r="G1545" s="130"/>
      <c r="H1545" s="10">
        <v>2000000</v>
      </c>
      <c r="I1545" s="10"/>
      <c r="J1545" s="79" t="e">
        <f t="shared" si="25"/>
        <v>#VALUE!</v>
      </c>
      <c r="K1545" s="106"/>
      <c r="L1545" s="107"/>
      <c r="M1545" s="106"/>
      <c r="N1545" s="106"/>
      <c r="O1545" s="108"/>
      <c r="P1545" s="108"/>
      <c r="Q1545" s="108"/>
      <c r="R1545" s="109"/>
      <c r="S1545" s="109"/>
      <c r="T1545" s="108"/>
      <c r="U1545" s="110"/>
      <c r="V1545" s="110"/>
      <c r="W1545" s="110"/>
      <c r="X1545" s="110"/>
    </row>
    <row r="1546" spans="1:24" ht="14.25" customHeight="1">
      <c r="A1546" s="110"/>
      <c r="B1546" s="125">
        <f t="shared" ref="B1546:C1546" si="72">B1545</f>
        <v>46176</v>
      </c>
      <c r="C1546" s="126" t="str">
        <f t="shared" si="72"/>
        <v>BCA26-06098</v>
      </c>
      <c r="D1546" s="68" t="s">
        <v>130</v>
      </c>
      <c r="E1546" s="10" t="str">
        <f>TRIM(VLOOKUP(D1546,TB!$B$9:$C$1500,2,FALSE))</f>
        <v>BCA TBB</v>
      </c>
      <c r="F1546" s="173" t="str">
        <f>F1545</f>
        <v xml:space="preserve"> Geko - Fee Dj  17 May 26 </v>
      </c>
      <c r="G1546" s="130"/>
      <c r="H1546" s="10"/>
      <c r="I1546" s="10">
        <f>H1545</f>
        <v>2000000</v>
      </c>
      <c r="J1546" s="79" t="e">
        <f t="shared" si="25"/>
        <v>#VALUE!</v>
      </c>
      <c r="K1546" s="106"/>
      <c r="L1546" s="107"/>
      <c r="M1546" s="106"/>
      <c r="N1546" s="106"/>
      <c r="O1546" s="108"/>
      <c r="P1546" s="108"/>
      <c r="Q1546" s="108"/>
      <c r="R1546" s="109"/>
      <c r="S1546" s="109"/>
      <c r="T1546" s="108"/>
      <c r="U1546" s="110"/>
      <c r="V1546" s="110"/>
      <c r="W1546" s="110"/>
      <c r="X1546" s="110"/>
    </row>
    <row r="1547" spans="1:24" ht="14.25" customHeight="1">
      <c r="A1547" s="110"/>
      <c r="B1547" s="125"/>
      <c r="C1547" s="126"/>
      <c r="D1547" s="15"/>
      <c r="E1547" s="10" t="e">
        <f>TRIM(VLOOKUP(D1547,TB!$B$9:$C$1500,2,FALSE))</f>
        <v>#N/A</v>
      </c>
      <c r="F1547" s="173"/>
      <c r="G1547" s="130"/>
      <c r="H1547" s="10"/>
      <c r="I1547" s="10"/>
      <c r="J1547" s="79" t="e">
        <f t="shared" si="25"/>
        <v>#VALUE!</v>
      </c>
      <c r="K1547" s="106"/>
      <c r="L1547" s="107"/>
      <c r="M1547" s="106"/>
      <c r="N1547" s="106"/>
      <c r="O1547" s="108"/>
      <c r="P1547" s="108"/>
      <c r="Q1547" s="108"/>
      <c r="R1547" s="109"/>
      <c r="S1547" s="109"/>
      <c r="T1547" s="108"/>
      <c r="U1547" s="110"/>
      <c r="V1547" s="110"/>
      <c r="W1547" s="110"/>
      <c r="X1547" s="110"/>
    </row>
    <row r="1548" spans="1:24" ht="14.25" customHeight="1">
      <c r="A1548" s="110"/>
      <c r="B1548" s="125">
        <v>46176</v>
      </c>
      <c r="C1548" s="126" t="s">
        <v>437</v>
      </c>
      <c r="D1548" s="15" t="s">
        <v>438</v>
      </c>
      <c r="E1548" s="10" t="str">
        <f>TRIM(VLOOKUP(D1548,TB!$B$9:$C$1500,2,FALSE))</f>
        <v>Brochure Flyer Printing</v>
      </c>
      <c r="F1548" s="173" t="s">
        <v>439</v>
      </c>
      <c r="G1548" s="130"/>
      <c r="H1548" s="10">
        <v>197000</v>
      </c>
      <c r="I1548" s="10"/>
      <c r="J1548" s="79" t="e">
        <f>J1554+H1548-I1548</f>
        <v>#VALUE!</v>
      </c>
      <c r="K1548" s="106"/>
      <c r="L1548" s="107"/>
      <c r="M1548" s="106"/>
      <c r="N1548" s="106"/>
      <c r="O1548" s="108"/>
      <c r="P1548" s="108"/>
      <c r="Q1548" s="108"/>
      <c r="R1548" s="109"/>
      <c r="S1548" s="109"/>
      <c r="T1548" s="108"/>
      <c r="U1548" s="110"/>
      <c r="V1548" s="110"/>
      <c r="W1548" s="110"/>
      <c r="X1548" s="110"/>
    </row>
    <row r="1549" spans="1:24" ht="14.25" customHeight="1">
      <c r="A1549" s="110"/>
      <c r="B1549" s="125">
        <v>46176</v>
      </c>
      <c r="C1549" s="126" t="str">
        <f>C1548</f>
        <v>BCA26-06100</v>
      </c>
      <c r="D1549" s="68" t="s">
        <v>130</v>
      </c>
      <c r="E1549" s="10" t="str">
        <f>TRIM(VLOOKUP(D1549,TB!$B$9:$C$1500,2,FALSE))</f>
        <v>BCA TBB</v>
      </c>
      <c r="F1549" s="173" t="str">
        <f>F1548</f>
        <v xml:space="preserve"> Cv. Balistar - Inv. 3 June 26 </v>
      </c>
      <c r="G1549" s="130"/>
      <c r="H1549" s="10"/>
      <c r="I1549" s="10">
        <f>SUM(H1548)</f>
        <v>197000</v>
      </c>
      <c r="J1549" s="79" t="e">
        <f t="shared" ref="J1549:J1550" si="73">J1548+H1549-I1549</f>
        <v>#VALUE!</v>
      </c>
      <c r="K1549" s="106"/>
      <c r="L1549" s="107"/>
      <c r="M1549" s="106"/>
      <c r="N1549" s="106"/>
      <c r="O1549" s="108"/>
      <c r="P1549" s="108"/>
      <c r="Q1549" s="108"/>
      <c r="R1549" s="109"/>
      <c r="S1549" s="109"/>
      <c r="T1549" s="108"/>
      <c r="U1549" s="110"/>
      <c r="V1549" s="110"/>
      <c r="W1549" s="110"/>
      <c r="X1549" s="110"/>
    </row>
    <row r="1550" spans="1:24" ht="14.25" customHeight="1">
      <c r="A1550" s="110"/>
      <c r="B1550" s="125"/>
      <c r="C1550" s="126"/>
      <c r="D1550" s="15"/>
      <c r="E1550" s="10" t="e">
        <f>TRIM(VLOOKUP(D1550,TB!$B$9:$C$1500,2,FALSE))</f>
        <v>#N/A</v>
      </c>
      <c r="F1550" s="173"/>
      <c r="G1550" s="130"/>
      <c r="H1550" s="10"/>
      <c r="I1550" s="10"/>
      <c r="J1550" s="79" t="e">
        <f t="shared" si="73"/>
        <v>#VALUE!</v>
      </c>
      <c r="K1550" s="106"/>
      <c r="L1550" s="107"/>
      <c r="M1550" s="106"/>
      <c r="N1550" s="106"/>
      <c r="O1550" s="108"/>
      <c r="P1550" s="108"/>
      <c r="Q1550" s="108"/>
      <c r="R1550" s="109"/>
      <c r="S1550" s="109"/>
      <c r="T1550" s="108"/>
      <c r="U1550" s="110"/>
      <c r="V1550" s="110"/>
      <c r="W1550" s="110"/>
      <c r="X1550" s="110"/>
    </row>
    <row r="1551" spans="1:24" ht="14.25" customHeight="1">
      <c r="A1551" s="110"/>
      <c r="B1551" s="125">
        <v>46177</v>
      </c>
      <c r="C1551" s="126" t="s">
        <v>440</v>
      </c>
      <c r="D1551" s="68" t="s">
        <v>130</v>
      </c>
      <c r="E1551" s="10" t="str">
        <f>TRIM(VLOOKUP(D1551,TB!$B$9:$C$1500,2,FALSE))</f>
        <v>BCA TBB</v>
      </c>
      <c r="F1551" s="173" t="s">
        <v>441</v>
      </c>
      <c r="G1551" s="130"/>
      <c r="H1551" s="157">
        <f>I1553-H1552</f>
        <v>69348.84</v>
      </c>
      <c r="I1551" s="10"/>
      <c r="J1551" s="79" t="e">
        <f>J1547+H1551-I1551</f>
        <v>#VALUE!</v>
      </c>
      <c r="K1551" s="106"/>
      <c r="L1551" s="107"/>
      <c r="M1551" s="106"/>
      <c r="N1551" s="106"/>
      <c r="O1551" s="108"/>
      <c r="P1551" s="108"/>
      <c r="Q1551" s="108"/>
      <c r="R1551" s="109"/>
      <c r="S1551" s="109"/>
      <c r="T1551" s="108"/>
      <c r="U1551" s="110"/>
      <c r="V1551" s="110"/>
      <c r="W1551" s="110"/>
      <c r="X1551" s="110"/>
    </row>
    <row r="1552" spans="1:24" ht="14.25" customHeight="1">
      <c r="A1552" s="110"/>
      <c r="B1552" s="125">
        <f t="shared" ref="B1552:C1552" si="74">B1551</f>
        <v>46177</v>
      </c>
      <c r="C1552" s="126" t="str">
        <f t="shared" si="74"/>
        <v>BCA26-06099</v>
      </c>
      <c r="D1552" s="15" t="s">
        <v>124</v>
      </c>
      <c r="E1552" s="10" t="str">
        <f>TRIM(VLOOKUP(D1552,TB!$B$9:$C$1500,2,FALSE))</f>
        <v>Bank charges</v>
      </c>
      <c r="F1552" s="173" t="str">
        <f t="shared" ref="F1552:F1553" si="75">F1551</f>
        <v>BCA CC  02-06-2026</v>
      </c>
      <c r="G1552" s="130"/>
      <c r="H1552" s="157">
        <f>I1553*1.8%</f>
        <v>1271.1600000000001</v>
      </c>
      <c r="I1552" s="10"/>
      <c r="J1552" s="79" t="e">
        <f t="shared" ref="J1552:J1554" si="76">J1551+H1552-I1552</f>
        <v>#VALUE!</v>
      </c>
      <c r="K1552" s="106"/>
      <c r="L1552" s="107"/>
      <c r="M1552" s="106"/>
      <c r="N1552" s="106"/>
      <c r="O1552" s="108"/>
      <c r="P1552" s="108"/>
      <c r="Q1552" s="108"/>
      <c r="R1552" s="109"/>
      <c r="S1552" s="109"/>
      <c r="T1552" s="108"/>
      <c r="U1552" s="110"/>
      <c r="V1552" s="110"/>
      <c r="W1552" s="110"/>
      <c r="X1552" s="110"/>
    </row>
    <row r="1553" spans="1:24" ht="14.25" customHeight="1">
      <c r="A1553" s="110"/>
      <c r="B1553" s="125">
        <f t="shared" ref="B1553:C1553" si="77">B1552</f>
        <v>46177</v>
      </c>
      <c r="C1553" s="126" t="str">
        <f t="shared" si="77"/>
        <v>BCA26-06099</v>
      </c>
      <c r="D1553" s="15" t="s">
        <v>42</v>
      </c>
      <c r="E1553" s="10" t="str">
        <f>TRIM(VLOOKUP(D1553,TB!$B$9:$C$1500,2,FALSE))</f>
        <v>BCA Card TBB</v>
      </c>
      <c r="F1553" s="173" t="str">
        <f t="shared" si="75"/>
        <v>BCA CC  02-06-2026</v>
      </c>
      <c r="G1553" s="130"/>
      <c r="H1553" s="10"/>
      <c r="I1553" s="10">
        <v>70620</v>
      </c>
      <c r="J1553" s="79" t="e">
        <f t="shared" si="76"/>
        <v>#VALUE!</v>
      </c>
      <c r="K1553" s="106"/>
      <c r="L1553" s="107"/>
      <c r="M1553" s="106"/>
      <c r="N1553" s="106"/>
      <c r="O1553" s="108"/>
      <c r="P1553" s="108"/>
      <c r="Q1553" s="108"/>
      <c r="R1553" s="109"/>
      <c r="S1553" s="109"/>
      <c r="T1553" s="108"/>
      <c r="U1553" s="110"/>
      <c r="V1553" s="110"/>
      <c r="W1553" s="110"/>
      <c r="X1553" s="110"/>
    </row>
    <row r="1554" spans="1:24" ht="14.25" customHeight="1">
      <c r="A1554" s="110"/>
      <c r="B1554" s="125"/>
      <c r="C1554" s="126"/>
      <c r="D1554" s="159"/>
      <c r="E1554" s="10" t="e">
        <f>TRIM(VLOOKUP(D1554,TB!$B$9:$C$1500,2,FALSE))</f>
        <v>#N/A</v>
      </c>
      <c r="F1554" s="173"/>
      <c r="G1554" s="130"/>
      <c r="H1554" s="10"/>
      <c r="I1554" s="10"/>
      <c r="J1554" s="79" t="e">
        <f t="shared" si="76"/>
        <v>#VALUE!</v>
      </c>
      <c r="K1554" s="106"/>
      <c r="L1554" s="107"/>
      <c r="M1554" s="106"/>
      <c r="N1554" s="106"/>
      <c r="O1554" s="108"/>
      <c r="P1554" s="108"/>
      <c r="Q1554" s="108"/>
      <c r="R1554" s="109"/>
      <c r="S1554" s="109"/>
      <c r="T1554" s="108"/>
      <c r="U1554" s="110"/>
      <c r="V1554" s="110"/>
      <c r="W1554" s="110"/>
      <c r="X1554" s="110"/>
    </row>
    <row r="1555" spans="1:24" ht="14.25" customHeight="1">
      <c r="A1555" s="110"/>
      <c r="B1555" s="125">
        <v>46177</v>
      </c>
      <c r="C1555" s="126" t="s">
        <v>442</v>
      </c>
      <c r="D1555" s="68" t="s">
        <v>285</v>
      </c>
      <c r="E1555" s="10" t="str">
        <f>TRIM(VLOOKUP(D1555,TB!$B$9:$C$1500,2,FALSE))</f>
        <v>Misc Cash Purchase</v>
      </c>
      <c r="F1555" s="173" t="s">
        <v>443</v>
      </c>
      <c r="G1555" s="130"/>
      <c r="H1555" s="10">
        <v>1120000</v>
      </c>
      <c r="I1555" s="10"/>
      <c r="J1555" s="79" t="e">
        <f>J1550+H1555-I1555</f>
        <v>#VALUE!</v>
      </c>
      <c r="K1555" s="106"/>
      <c r="L1555" s="107"/>
      <c r="M1555" s="106"/>
      <c r="N1555" s="106"/>
      <c r="O1555" s="108"/>
      <c r="P1555" s="108"/>
      <c r="Q1555" s="108"/>
      <c r="R1555" s="109"/>
      <c r="S1555" s="109"/>
      <c r="T1555" s="108"/>
      <c r="U1555" s="110"/>
      <c r="V1555" s="110"/>
      <c r="W1555" s="110"/>
      <c r="X1555" s="110"/>
    </row>
    <row r="1556" spans="1:24" ht="14.25" customHeight="1">
      <c r="A1556" s="110"/>
      <c r="B1556" s="125">
        <f t="shared" ref="B1556:C1556" si="78">B1555</f>
        <v>46177</v>
      </c>
      <c r="C1556" s="126" t="str">
        <f t="shared" si="78"/>
        <v>BCA26-06101</v>
      </c>
      <c r="D1556" s="68" t="s">
        <v>130</v>
      </c>
      <c r="E1556" s="10" t="str">
        <f>TRIM(VLOOKUP(D1556,TB!$B$9:$C$1500,2,FALSE))</f>
        <v>BCA TBB</v>
      </c>
      <c r="F1556" s="173" t="str">
        <f>F1555</f>
        <v>Arthaguna Brawijaya - Inv. 1728 - 13 Apr 26</v>
      </c>
      <c r="G1556" s="130"/>
      <c r="H1556" s="10"/>
      <c r="I1556" s="10">
        <f>SUM(H1555)</f>
        <v>1120000</v>
      </c>
      <c r="J1556" s="79" t="e">
        <f t="shared" ref="J1556:J1810" si="79">J1555+H1556-I1556</f>
        <v>#VALUE!</v>
      </c>
      <c r="K1556" s="106"/>
      <c r="L1556" s="107"/>
      <c r="M1556" s="106"/>
      <c r="N1556" s="106"/>
      <c r="O1556" s="108"/>
      <c r="P1556" s="108"/>
      <c r="Q1556" s="108"/>
      <c r="R1556" s="109"/>
      <c r="S1556" s="109"/>
      <c r="T1556" s="108"/>
      <c r="U1556" s="110"/>
      <c r="V1556" s="110"/>
      <c r="W1556" s="110"/>
      <c r="X1556" s="110"/>
    </row>
    <row r="1557" spans="1:24" ht="14.25" customHeight="1">
      <c r="A1557" s="110"/>
      <c r="B1557" s="125"/>
      <c r="C1557" s="126"/>
      <c r="D1557" s="15"/>
      <c r="E1557" s="10" t="e">
        <f>TRIM(VLOOKUP(D1557,TB!$B$9:$C$1500,2,FALSE))</f>
        <v>#N/A</v>
      </c>
      <c r="F1557" s="173"/>
      <c r="G1557" s="130"/>
      <c r="H1557" s="10"/>
      <c r="I1557" s="10"/>
      <c r="J1557" s="79" t="e">
        <f t="shared" si="79"/>
        <v>#VALUE!</v>
      </c>
      <c r="K1557" s="106"/>
      <c r="L1557" s="107"/>
      <c r="M1557" s="106"/>
      <c r="N1557" s="106"/>
      <c r="O1557" s="108"/>
      <c r="P1557" s="108"/>
      <c r="Q1557" s="108"/>
      <c r="R1557" s="109"/>
      <c r="S1557" s="109"/>
      <c r="T1557" s="108"/>
      <c r="U1557" s="110"/>
      <c r="V1557" s="110"/>
      <c r="W1557" s="110"/>
      <c r="X1557" s="110"/>
    </row>
    <row r="1558" spans="1:24" ht="14.25" customHeight="1">
      <c r="A1558" s="110"/>
      <c r="B1558" s="125">
        <v>46177</v>
      </c>
      <c r="C1558" s="126" t="s">
        <v>444</v>
      </c>
      <c r="D1558" s="68" t="s">
        <v>285</v>
      </c>
      <c r="E1558" s="10" t="str">
        <f>TRIM(VLOOKUP(D1558,TB!$B$9:$C$1500,2,FALSE))</f>
        <v>Misc Cash Purchase</v>
      </c>
      <c r="F1558" s="173" t="s">
        <v>445</v>
      </c>
      <c r="G1558" s="130"/>
      <c r="H1558" s="10">
        <v>1182000</v>
      </c>
      <c r="I1558" s="10"/>
      <c r="J1558" s="79" t="e">
        <f t="shared" si="79"/>
        <v>#VALUE!</v>
      </c>
      <c r="K1558" s="106"/>
      <c r="L1558" s="107"/>
      <c r="M1558" s="106"/>
      <c r="N1558" s="106"/>
      <c r="O1558" s="108"/>
      <c r="P1558" s="108"/>
      <c r="Q1558" s="108"/>
      <c r="R1558" s="109"/>
      <c r="S1558" s="109"/>
      <c r="T1558" s="108"/>
      <c r="U1558" s="110"/>
      <c r="V1558" s="110"/>
      <c r="W1558" s="110"/>
      <c r="X1558" s="110"/>
    </row>
    <row r="1559" spans="1:24" ht="14.25" customHeight="1">
      <c r="A1559" s="110"/>
      <c r="B1559" s="125">
        <f t="shared" ref="B1559:C1559" si="80">B1558</f>
        <v>46177</v>
      </c>
      <c r="C1559" s="126" t="str">
        <f t="shared" si="80"/>
        <v>BCA26-06102</v>
      </c>
      <c r="D1559" s="68" t="s">
        <v>130</v>
      </c>
      <c r="E1559" s="10" t="str">
        <f>TRIM(VLOOKUP(D1559,TB!$B$9:$C$1500,2,FALSE))</f>
        <v>BCA TBB</v>
      </c>
      <c r="F1559" s="173" t="str">
        <f>F1558</f>
        <v>Japo Powder - Inv. 2232, 2229 - 21 Apr 26,2276,2275,2274 - 28 Apr 26</v>
      </c>
      <c r="G1559" s="130"/>
      <c r="H1559" s="10"/>
      <c r="I1559" s="10">
        <f>SUM(H1558)</f>
        <v>1182000</v>
      </c>
      <c r="J1559" s="79" t="e">
        <f t="shared" si="79"/>
        <v>#VALUE!</v>
      </c>
      <c r="K1559" s="106"/>
      <c r="L1559" s="107"/>
      <c r="M1559" s="106"/>
      <c r="N1559" s="106"/>
      <c r="O1559" s="108"/>
      <c r="P1559" s="108"/>
      <c r="Q1559" s="108"/>
      <c r="R1559" s="109"/>
      <c r="S1559" s="109"/>
      <c r="T1559" s="108"/>
      <c r="U1559" s="110"/>
      <c r="V1559" s="110"/>
      <c r="W1559" s="110"/>
      <c r="X1559" s="110"/>
    </row>
    <row r="1560" spans="1:24" ht="14.25" customHeight="1">
      <c r="A1560" s="110"/>
      <c r="B1560" s="125"/>
      <c r="C1560" s="126"/>
      <c r="D1560" s="15"/>
      <c r="E1560" s="10" t="e">
        <f>TRIM(VLOOKUP(D1560,TB!$B$9:$C$1500,2,FALSE))</f>
        <v>#N/A</v>
      </c>
      <c r="F1560" s="173"/>
      <c r="G1560" s="130"/>
      <c r="H1560" s="10"/>
      <c r="I1560" s="10"/>
      <c r="J1560" s="79" t="e">
        <f t="shared" si="79"/>
        <v>#VALUE!</v>
      </c>
      <c r="K1560" s="106"/>
      <c r="L1560" s="107"/>
      <c r="M1560" s="106"/>
      <c r="N1560" s="106"/>
      <c r="O1560" s="108"/>
      <c r="P1560" s="108"/>
      <c r="Q1560" s="108"/>
      <c r="R1560" s="109"/>
      <c r="S1560" s="109"/>
      <c r="T1560" s="108"/>
      <c r="U1560" s="110"/>
      <c r="V1560" s="110"/>
      <c r="W1560" s="110"/>
      <c r="X1560" s="110"/>
    </row>
    <row r="1561" spans="1:24" ht="14.25" customHeight="1">
      <c r="A1561" s="110"/>
      <c r="B1561" s="125">
        <v>46177</v>
      </c>
      <c r="C1561" s="126" t="s">
        <v>446</v>
      </c>
      <c r="D1561" s="68" t="s">
        <v>285</v>
      </c>
      <c r="E1561" s="10" t="str">
        <f>TRIM(VLOOKUP(D1561,TB!$B$9:$C$1500,2,FALSE))</f>
        <v>Misc Cash Purchase</v>
      </c>
      <c r="F1561" s="173" t="s">
        <v>447</v>
      </c>
      <c r="G1561" s="130"/>
      <c r="H1561" s="10">
        <v>3057739</v>
      </c>
      <c r="I1561" s="10"/>
      <c r="J1561" s="79" t="e">
        <f t="shared" si="79"/>
        <v>#VALUE!</v>
      </c>
      <c r="K1561" s="106"/>
      <c r="L1561" s="107"/>
      <c r="M1561" s="106"/>
      <c r="N1561" s="106"/>
      <c r="O1561" s="108"/>
      <c r="P1561" s="108"/>
      <c r="Q1561" s="108"/>
      <c r="R1561" s="109"/>
      <c r="S1561" s="109"/>
      <c r="T1561" s="108"/>
      <c r="U1561" s="110"/>
      <c r="V1561" s="110"/>
      <c r="W1561" s="110"/>
      <c r="X1561" s="110"/>
    </row>
    <row r="1562" spans="1:24" ht="14.25" customHeight="1">
      <c r="A1562" s="110"/>
      <c r="B1562" s="125">
        <f t="shared" ref="B1562:C1562" si="81">B1561</f>
        <v>46177</v>
      </c>
      <c r="C1562" s="126" t="str">
        <f t="shared" si="81"/>
        <v>BCA26-06103</v>
      </c>
      <c r="D1562" s="68" t="s">
        <v>130</v>
      </c>
      <c r="E1562" s="10" t="str">
        <f>TRIM(VLOOKUP(D1562,TB!$B$9:$C$1500,2,FALSE))</f>
        <v>BCA TBB</v>
      </c>
      <c r="F1562" s="173" t="str">
        <f>F1561</f>
        <v>Tirtasakti Mandiri - Inv. 3901 - 28 Apr 26</v>
      </c>
      <c r="G1562" s="130"/>
      <c r="H1562" s="10"/>
      <c r="I1562" s="10">
        <f>SUM(H1561)</f>
        <v>3057739</v>
      </c>
      <c r="J1562" s="79" t="e">
        <f t="shared" si="79"/>
        <v>#VALUE!</v>
      </c>
      <c r="K1562" s="106"/>
      <c r="L1562" s="107"/>
      <c r="M1562" s="106"/>
      <c r="N1562" s="106"/>
      <c r="O1562" s="108"/>
      <c r="P1562" s="108"/>
      <c r="Q1562" s="108"/>
      <c r="R1562" s="109"/>
      <c r="S1562" s="109"/>
      <c r="T1562" s="108"/>
      <c r="U1562" s="110"/>
      <c r="V1562" s="110"/>
      <c r="W1562" s="110"/>
      <c r="X1562" s="110"/>
    </row>
    <row r="1563" spans="1:24" ht="14.25" customHeight="1">
      <c r="A1563" s="110"/>
      <c r="B1563" s="125"/>
      <c r="C1563" s="126"/>
      <c r="D1563" s="15"/>
      <c r="E1563" s="10" t="e">
        <f>TRIM(VLOOKUP(D1563,TB!$B$9:$C$1500,2,FALSE))</f>
        <v>#N/A</v>
      </c>
      <c r="F1563" s="173"/>
      <c r="G1563" s="130"/>
      <c r="H1563" s="10"/>
      <c r="I1563" s="10"/>
      <c r="J1563" s="79" t="e">
        <f t="shared" si="79"/>
        <v>#VALUE!</v>
      </c>
      <c r="K1563" s="106"/>
      <c r="L1563" s="107"/>
      <c r="M1563" s="106"/>
      <c r="N1563" s="106"/>
      <c r="O1563" s="108"/>
      <c r="P1563" s="108"/>
      <c r="Q1563" s="108"/>
      <c r="R1563" s="109"/>
      <c r="S1563" s="109"/>
      <c r="T1563" s="108"/>
      <c r="U1563" s="110"/>
      <c r="V1563" s="110"/>
      <c r="W1563" s="110"/>
      <c r="X1563" s="110"/>
    </row>
    <row r="1564" spans="1:24" ht="14.25" customHeight="1">
      <c r="A1564" s="110"/>
      <c r="B1564" s="125">
        <v>46177</v>
      </c>
      <c r="C1564" s="126" t="s">
        <v>448</v>
      </c>
      <c r="D1564" s="68" t="s">
        <v>285</v>
      </c>
      <c r="E1564" s="10" t="str">
        <f>TRIM(VLOOKUP(D1564,TB!$B$9:$C$1500,2,FALSE))</f>
        <v>Misc Cash Purchase</v>
      </c>
      <c r="F1564" s="173" t="s">
        <v>449</v>
      </c>
      <c r="G1564" s="130"/>
      <c r="H1564" s="10">
        <v>1400000</v>
      </c>
      <c r="I1564" s="10"/>
      <c r="J1564" s="79" t="e">
        <f t="shared" si="79"/>
        <v>#VALUE!</v>
      </c>
      <c r="K1564" s="106"/>
      <c r="L1564" s="107"/>
      <c r="M1564" s="106"/>
      <c r="N1564" s="106"/>
      <c r="O1564" s="108"/>
      <c r="P1564" s="108"/>
      <c r="Q1564" s="108"/>
      <c r="R1564" s="109"/>
      <c r="S1564" s="109"/>
      <c r="T1564" s="108"/>
      <c r="U1564" s="110"/>
      <c r="V1564" s="110"/>
      <c r="W1564" s="110"/>
      <c r="X1564" s="110"/>
    </row>
    <row r="1565" spans="1:24" ht="14.25" customHeight="1">
      <c r="A1565" s="110"/>
      <c r="B1565" s="125">
        <f t="shared" ref="B1565:C1565" si="82">B1564</f>
        <v>46177</v>
      </c>
      <c r="C1565" s="126" t="str">
        <f t="shared" si="82"/>
        <v>BCA26-06104</v>
      </c>
      <c r="D1565" s="68" t="s">
        <v>130</v>
      </c>
      <c r="E1565" s="10" t="str">
        <f>TRIM(VLOOKUP(D1565,TB!$B$9:$C$1500,2,FALSE))</f>
        <v>BCA TBB</v>
      </c>
      <c r="F1565" s="173" t="str">
        <f>F1564</f>
        <v>Jamal - Fee Salsa 21 Mei 26</v>
      </c>
      <c r="G1565" s="130"/>
      <c r="H1565" s="10"/>
      <c r="I1565" s="10">
        <f>SUM(H1564)</f>
        <v>1400000</v>
      </c>
      <c r="J1565" s="79" t="e">
        <f t="shared" si="79"/>
        <v>#VALUE!</v>
      </c>
      <c r="K1565" s="106"/>
      <c r="L1565" s="107"/>
      <c r="M1565" s="106"/>
      <c r="N1565" s="106"/>
      <c r="O1565" s="108"/>
      <c r="P1565" s="108"/>
      <c r="Q1565" s="108"/>
      <c r="R1565" s="109"/>
      <c r="S1565" s="109"/>
      <c r="T1565" s="108"/>
      <c r="U1565" s="110"/>
      <c r="V1565" s="110"/>
      <c r="W1565" s="110"/>
      <c r="X1565" s="110"/>
    </row>
    <row r="1566" spans="1:24" ht="14.25" customHeight="1">
      <c r="A1566" s="110"/>
      <c r="B1566" s="125"/>
      <c r="C1566" s="126"/>
      <c r="D1566" s="15"/>
      <c r="E1566" s="10" t="e">
        <f>TRIM(VLOOKUP(D1566,TB!$B$9:$C$1500,2,FALSE))</f>
        <v>#N/A</v>
      </c>
      <c r="F1566" s="173"/>
      <c r="G1566" s="130"/>
      <c r="H1566" s="10"/>
      <c r="I1566" s="10"/>
      <c r="J1566" s="79" t="e">
        <f t="shared" si="79"/>
        <v>#VALUE!</v>
      </c>
      <c r="K1566" s="106"/>
      <c r="L1566" s="107"/>
      <c r="M1566" s="106"/>
      <c r="N1566" s="106"/>
      <c r="O1566" s="108"/>
      <c r="P1566" s="108"/>
      <c r="Q1566" s="108"/>
      <c r="R1566" s="109"/>
      <c r="S1566" s="109"/>
      <c r="T1566" s="108"/>
      <c r="U1566" s="110"/>
      <c r="V1566" s="110"/>
      <c r="W1566" s="110"/>
      <c r="X1566" s="110"/>
    </row>
    <row r="1567" spans="1:24" ht="14.25" customHeight="1">
      <c r="A1567" s="110"/>
      <c r="B1567" s="125">
        <v>46177</v>
      </c>
      <c r="C1567" s="126" t="s">
        <v>450</v>
      </c>
      <c r="D1567" s="68" t="s">
        <v>285</v>
      </c>
      <c r="E1567" s="10" t="str">
        <f>TRIM(VLOOKUP(D1567,TB!$B$9:$C$1500,2,FALSE))</f>
        <v>Misc Cash Purchase</v>
      </c>
      <c r="F1567" s="173" t="s">
        <v>451</v>
      </c>
      <c r="G1567" s="130"/>
      <c r="H1567" s="10">
        <v>300000</v>
      </c>
      <c r="I1567" s="10"/>
      <c r="J1567" s="79" t="e">
        <f t="shared" si="79"/>
        <v>#VALUE!</v>
      </c>
      <c r="K1567" s="106"/>
      <c r="L1567" s="107"/>
      <c r="M1567" s="106"/>
      <c r="N1567" s="106"/>
      <c r="O1567" s="108"/>
      <c r="P1567" s="108"/>
      <c r="Q1567" s="108"/>
      <c r="R1567" s="109"/>
      <c r="S1567" s="109"/>
      <c r="T1567" s="108"/>
      <c r="U1567" s="110"/>
      <c r="V1567" s="110"/>
      <c r="W1567" s="110"/>
      <c r="X1567" s="110"/>
    </row>
    <row r="1568" spans="1:24" ht="14.25" customHeight="1">
      <c r="A1568" s="110"/>
      <c r="B1568" s="125">
        <f t="shared" ref="B1568:C1568" si="83">B1567</f>
        <v>46177</v>
      </c>
      <c r="C1568" s="126" t="str">
        <f t="shared" si="83"/>
        <v>BCA26-06105</v>
      </c>
      <c r="D1568" s="68" t="s">
        <v>130</v>
      </c>
      <c r="E1568" s="10" t="str">
        <f>TRIM(VLOOKUP(D1568,TB!$B$9:$C$1500,2,FALSE))</f>
        <v>BCA TBB</v>
      </c>
      <c r="F1568" s="173" t="str">
        <f>F1567</f>
        <v>Caca  - Comm Bottle No. 9982</v>
      </c>
      <c r="G1568" s="130"/>
      <c r="H1568" s="10"/>
      <c r="I1568" s="10">
        <f>SUM(H1567)</f>
        <v>300000</v>
      </c>
      <c r="J1568" s="79" t="e">
        <f t="shared" si="79"/>
        <v>#VALUE!</v>
      </c>
      <c r="K1568" s="106"/>
      <c r="L1568" s="107"/>
      <c r="M1568" s="106"/>
      <c r="N1568" s="106"/>
      <c r="O1568" s="108"/>
      <c r="P1568" s="108"/>
      <c r="Q1568" s="108"/>
      <c r="R1568" s="109"/>
      <c r="S1568" s="109"/>
      <c r="T1568" s="108"/>
      <c r="U1568" s="110"/>
      <c r="V1568" s="110"/>
      <c r="W1568" s="110"/>
      <c r="X1568" s="110"/>
    </row>
    <row r="1569" spans="1:24" ht="14.25" customHeight="1">
      <c r="A1569" s="110"/>
      <c r="B1569" s="125"/>
      <c r="C1569" s="126"/>
      <c r="D1569" s="15"/>
      <c r="E1569" s="10" t="e">
        <f>TRIM(VLOOKUP(D1569,TB!$B$9:$C$1500,2,FALSE))</f>
        <v>#N/A</v>
      </c>
      <c r="F1569" s="173"/>
      <c r="G1569" s="130"/>
      <c r="H1569" s="10"/>
      <c r="I1569" s="10"/>
      <c r="J1569" s="79" t="e">
        <f t="shared" si="79"/>
        <v>#VALUE!</v>
      </c>
      <c r="K1569" s="106"/>
      <c r="L1569" s="107"/>
      <c r="M1569" s="106"/>
      <c r="N1569" s="106"/>
      <c r="O1569" s="108"/>
      <c r="P1569" s="108"/>
      <c r="Q1569" s="108"/>
      <c r="R1569" s="109"/>
      <c r="S1569" s="109"/>
      <c r="T1569" s="108"/>
      <c r="U1569" s="110"/>
      <c r="V1569" s="110"/>
      <c r="W1569" s="110"/>
      <c r="X1569" s="110"/>
    </row>
    <row r="1570" spans="1:24" ht="14.25" customHeight="1">
      <c r="A1570" s="110"/>
      <c r="B1570" s="125">
        <v>46177</v>
      </c>
      <c r="C1570" s="126" t="s">
        <v>452</v>
      </c>
      <c r="D1570" s="15" t="s">
        <v>188</v>
      </c>
      <c r="E1570" s="10" t="str">
        <f>TRIM(VLOOKUP(D1570,TB!$B$9:$C$1500,2,FALSE))</f>
        <v>Advertising Costs</v>
      </c>
      <c r="F1570" s="173" t="s">
        <v>453</v>
      </c>
      <c r="G1570" s="130"/>
      <c r="H1570" s="10">
        <v>1400000</v>
      </c>
      <c r="I1570" s="10"/>
      <c r="J1570" s="79" t="e">
        <f t="shared" si="79"/>
        <v>#VALUE!</v>
      </c>
      <c r="K1570" s="106"/>
      <c r="L1570" s="107"/>
      <c r="M1570" s="106"/>
      <c r="N1570" s="106"/>
      <c r="O1570" s="108"/>
      <c r="P1570" s="108"/>
      <c r="Q1570" s="108"/>
      <c r="R1570" s="109"/>
      <c r="S1570" s="109"/>
      <c r="T1570" s="108"/>
      <c r="U1570" s="110"/>
      <c r="V1570" s="110"/>
      <c r="W1570" s="110"/>
      <c r="X1570" s="110"/>
    </row>
    <row r="1571" spans="1:24" ht="14.25" customHeight="1">
      <c r="A1571" s="110"/>
      <c r="B1571" s="125">
        <v>46177</v>
      </c>
      <c r="C1571" s="126" t="str">
        <f t="shared" ref="C1571:C1572" si="84">C1570</f>
        <v>BCA26-06106</v>
      </c>
      <c r="D1571" s="15" t="s">
        <v>124</v>
      </c>
      <c r="E1571" s="10" t="str">
        <f>TRIM(VLOOKUP(D1571,TB!$B$9:$C$1500,2,FALSE))</f>
        <v>Bank charges</v>
      </c>
      <c r="F1571" s="173" t="s">
        <v>453</v>
      </c>
      <c r="G1571" s="130"/>
      <c r="H1571" s="10">
        <v>1000</v>
      </c>
      <c r="I1571" s="10"/>
      <c r="J1571" s="79" t="e">
        <f t="shared" si="79"/>
        <v>#VALUE!</v>
      </c>
      <c r="K1571" s="106"/>
      <c r="L1571" s="107"/>
      <c r="M1571" s="106"/>
      <c r="N1571" s="106"/>
      <c r="O1571" s="108"/>
      <c r="P1571" s="108"/>
      <c r="Q1571" s="108"/>
      <c r="R1571" s="109"/>
      <c r="S1571" s="109"/>
      <c r="T1571" s="108"/>
      <c r="U1571" s="110"/>
      <c r="V1571" s="110"/>
      <c r="W1571" s="110"/>
      <c r="X1571" s="110"/>
    </row>
    <row r="1572" spans="1:24" ht="14.25" customHeight="1">
      <c r="A1572" s="110"/>
      <c r="B1572" s="125">
        <v>46177</v>
      </c>
      <c r="C1572" s="126" t="str">
        <f t="shared" si="84"/>
        <v>BCA26-06106</v>
      </c>
      <c r="D1572" s="68" t="s">
        <v>130</v>
      </c>
      <c r="E1572" s="10" t="str">
        <f>TRIM(VLOOKUP(D1572,TB!$B$9:$C$1500,2,FALSE))</f>
        <v>BCA TBB</v>
      </c>
      <c r="F1572" s="173" t="str">
        <f>F1570</f>
        <v>Top ads sos med 04 June 2026</v>
      </c>
      <c r="G1572" s="130"/>
      <c r="H1572" s="10"/>
      <c r="I1572" s="10">
        <f>SUM(H1570:H1571)</f>
        <v>1401000</v>
      </c>
      <c r="J1572" s="79" t="e">
        <f t="shared" si="79"/>
        <v>#VALUE!</v>
      </c>
      <c r="K1572" s="106"/>
      <c r="L1572" s="107"/>
      <c r="M1572" s="106"/>
      <c r="N1572" s="106"/>
      <c r="O1572" s="108"/>
      <c r="P1572" s="108"/>
      <c r="Q1572" s="108"/>
      <c r="R1572" s="109"/>
      <c r="S1572" s="109"/>
      <c r="T1572" s="108"/>
      <c r="U1572" s="110"/>
      <c r="V1572" s="110"/>
      <c r="W1572" s="110"/>
      <c r="X1572" s="110"/>
    </row>
    <row r="1573" spans="1:24" ht="14.25" customHeight="1">
      <c r="A1573" s="110"/>
      <c r="B1573" s="125"/>
      <c r="C1573" s="126"/>
      <c r="D1573" s="15"/>
      <c r="E1573" s="10" t="e">
        <f>TRIM(VLOOKUP(D1573,TB!$B$9:$C$1500,2,FALSE))</f>
        <v>#N/A</v>
      </c>
      <c r="F1573" s="173"/>
      <c r="G1573" s="130"/>
      <c r="H1573" s="10"/>
      <c r="I1573" s="10"/>
      <c r="J1573" s="79" t="e">
        <f t="shared" si="79"/>
        <v>#VALUE!</v>
      </c>
      <c r="K1573" s="106"/>
      <c r="L1573" s="107"/>
      <c r="M1573" s="106"/>
      <c r="N1573" s="106"/>
      <c r="O1573" s="108"/>
      <c r="P1573" s="108"/>
      <c r="Q1573" s="108"/>
      <c r="R1573" s="109"/>
      <c r="S1573" s="109"/>
      <c r="T1573" s="108"/>
      <c r="U1573" s="110"/>
      <c r="V1573" s="110"/>
      <c r="W1573" s="110"/>
      <c r="X1573" s="110"/>
    </row>
    <row r="1574" spans="1:24" ht="14.25" customHeight="1">
      <c r="A1574" s="110"/>
      <c r="B1574" s="125">
        <v>46177</v>
      </c>
      <c r="C1574" s="126" t="s">
        <v>454</v>
      </c>
      <c r="D1574" s="68" t="s">
        <v>285</v>
      </c>
      <c r="E1574" s="10" t="str">
        <f>TRIM(VLOOKUP(D1574,TB!$B$9:$C$1500,2,FALSE))</f>
        <v>Misc Cash Purchase</v>
      </c>
      <c r="F1574" s="173" t="s">
        <v>455</v>
      </c>
      <c r="G1574" s="130"/>
      <c r="H1574" s="10">
        <v>500000</v>
      </c>
      <c r="I1574" s="10"/>
      <c r="J1574" s="79" t="e">
        <f t="shared" si="79"/>
        <v>#VALUE!</v>
      </c>
      <c r="K1574" s="106"/>
      <c r="L1574" s="107"/>
      <c r="M1574" s="106"/>
      <c r="N1574" s="106"/>
      <c r="O1574" s="108"/>
      <c r="P1574" s="108"/>
      <c r="Q1574" s="108"/>
      <c r="R1574" s="109"/>
      <c r="S1574" s="109"/>
      <c r="T1574" s="108"/>
      <c r="U1574" s="110"/>
      <c r="V1574" s="110"/>
      <c r="W1574" s="110"/>
      <c r="X1574" s="110"/>
    </row>
    <row r="1575" spans="1:24" ht="14.25" customHeight="1">
      <c r="A1575" s="110"/>
      <c r="B1575" s="125">
        <f t="shared" ref="B1575:C1575" si="85">B1574</f>
        <v>46177</v>
      </c>
      <c r="C1575" s="126" t="str">
        <f t="shared" si="85"/>
        <v>BCA26-06107</v>
      </c>
      <c r="D1575" s="68" t="s">
        <v>130</v>
      </c>
      <c r="E1575" s="10" t="str">
        <f>TRIM(VLOOKUP(D1575,TB!$B$9:$C$1500,2,FALSE))</f>
        <v>BCA TBB</v>
      </c>
      <c r="F1575" s="173" t="str">
        <f>F1574</f>
        <v>Galiphan - Fee Dj 28 April 26 the rest</v>
      </c>
      <c r="G1575" s="130"/>
      <c r="H1575" s="10"/>
      <c r="I1575" s="10">
        <f>SUM(H1574)</f>
        <v>500000</v>
      </c>
      <c r="J1575" s="79" t="e">
        <f t="shared" si="79"/>
        <v>#VALUE!</v>
      </c>
      <c r="K1575" s="106"/>
      <c r="L1575" s="107"/>
      <c r="M1575" s="106"/>
      <c r="N1575" s="106"/>
      <c r="O1575" s="108"/>
      <c r="P1575" s="108"/>
      <c r="Q1575" s="108"/>
      <c r="R1575" s="109"/>
      <c r="S1575" s="109"/>
      <c r="T1575" s="108"/>
      <c r="U1575" s="110"/>
      <c r="V1575" s="110"/>
      <c r="W1575" s="110"/>
      <c r="X1575" s="110"/>
    </row>
    <row r="1576" spans="1:24" ht="14.25" customHeight="1">
      <c r="A1576" s="110"/>
      <c r="B1576" s="125"/>
      <c r="C1576" s="126"/>
      <c r="D1576" s="15"/>
      <c r="E1576" s="10" t="e">
        <f>TRIM(VLOOKUP(D1576,TB!$B$9:$C$1500,2,FALSE))</f>
        <v>#N/A</v>
      </c>
      <c r="F1576" s="173"/>
      <c r="G1576" s="130"/>
      <c r="H1576" s="10"/>
      <c r="I1576" s="10"/>
      <c r="J1576" s="79" t="e">
        <f t="shared" si="79"/>
        <v>#VALUE!</v>
      </c>
      <c r="K1576" s="106"/>
      <c r="L1576" s="107"/>
      <c r="M1576" s="106"/>
      <c r="N1576" s="106"/>
      <c r="O1576" s="108"/>
      <c r="P1576" s="108"/>
      <c r="Q1576" s="108"/>
      <c r="R1576" s="109"/>
      <c r="S1576" s="109"/>
      <c r="T1576" s="108"/>
      <c r="U1576" s="110"/>
      <c r="V1576" s="110"/>
      <c r="W1576" s="110"/>
      <c r="X1576" s="110"/>
    </row>
    <row r="1577" spans="1:24" ht="14.25" customHeight="1">
      <c r="A1577" s="110"/>
      <c r="B1577" s="125">
        <v>46177</v>
      </c>
      <c r="C1577" s="126" t="s">
        <v>456</v>
      </c>
      <c r="D1577" s="68" t="s">
        <v>285</v>
      </c>
      <c r="E1577" s="10" t="str">
        <f>TRIM(VLOOKUP(D1577,TB!$B$9:$C$1500,2,FALSE))</f>
        <v>Misc Cash Purchase</v>
      </c>
      <c r="F1577" s="173" t="s">
        <v>457</v>
      </c>
      <c r="G1577" s="130"/>
      <c r="H1577" s="10">
        <v>500000</v>
      </c>
      <c r="I1577" s="10"/>
      <c r="J1577" s="79" t="e">
        <f t="shared" si="79"/>
        <v>#VALUE!</v>
      </c>
      <c r="K1577" s="106"/>
      <c r="L1577" s="107"/>
      <c r="M1577" s="106"/>
      <c r="N1577" s="106"/>
      <c r="O1577" s="108"/>
      <c r="P1577" s="108"/>
      <c r="Q1577" s="108"/>
      <c r="R1577" s="109"/>
      <c r="S1577" s="109"/>
      <c r="T1577" s="108"/>
      <c r="U1577" s="110"/>
      <c r="V1577" s="110"/>
      <c r="W1577" s="110"/>
      <c r="X1577" s="110"/>
    </row>
    <row r="1578" spans="1:24" ht="14.25" customHeight="1">
      <c r="A1578" s="110"/>
      <c r="B1578" s="125">
        <f t="shared" ref="B1578:C1578" si="86">B1577</f>
        <v>46177</v>
      </c>
      <c r="C1578" s="126" t="str">
        <f t="shared" si="86"/>
        <v>BCA26-06108</v>
      </c>
      <c r="D1578" s="68" t="s">
        <v>130</v>
      </c>
      <c r="E1578" s="10" t="str">
        <f>TRIM(VLOOKUP(D1578,TB!$B$9:$C$1500,2,FALSE))</f>
        <v>BCA TBB</v>
      </c>
      <c r="F1578" s="173" t="str">
        <f>F1577</f>
        <v>DJ Lyfe - Fee Dj 28 April 26 the rest</v>
      </c>
      <c r="G1578" s="130"/>
      <c r="H1578" s="10"/>
      <c r="I1578" s="10">
        <f>SUM(H1577)</f>
        <v>500000</v>
      </c>
      <c r="J1578" s="79" t="e">
        <f t="shared" si="79"/>
        <v>#VALUE!</v>
      </c>
      <c r="K1578" s="106"/>
      <c r="L1578" s="107"/>
      <c r="M1578" s="106"/>
      <c r="N1578" s="106"/>
      <c r="O1578" s="108"/>
      <c r="P1578" s="108"/>
      <c r="Q1578" s="108"/>
      <c r="R1578" s="109"/>
      <c r="S1578" s="109"/>
      <c r="T1578" s="108"/>
      <c r="U1578" s="110"/>
      <c r="V1578" s="110"/>
      <c r="W1578" s="110"/>
      <c r="X1578" s="110"/>
    </row>
    <row r="1579" spans="1:24" ht="14.25" customHeight="1">
      <c r="A1579" s="110"/>
      <c r="B1579" s="125"/>
      <c r="C1579" s="126"/>
      <c r="D1579" s="15"/>
      <c r="E1579" s="10" t="e">
        <f>TRIM(VLOOKUP(D1579,TB!$B$9:$C$1500,2,FALSE))</f>
        <v>#N/A</v>
      </c>
      <c r="F1579" s="173"/>
      <c r="G1579" s="130"/>
      <c r="H1579" s="10"/>
      <c r="I1579" s="10"/>
      <c r="J1579" s="79" t="e">
        <f t="shared" si="79"/>
        <v>#VALUE!</v>
      </c>
      <c r="K1579" s="106"/>
      <c r="L1579" s="107"/>
      <c r="M1579" s="106"/>
      <c r="N1579" s="106"/>
      <c r="O1579" s="108"/>
      <c r="P1579" s="108"/>
      <c r="Q1579" s="108"/>
      <c r="R1579" s="109"/>
      <c r="S1579" s="109"/>
      <c r="T1579" s="108"/>
      <c r="U1579" s="110"/>
      <c r="V1579" s="110"/>
      <c r="W1579" s="110"/>
      <c r="X1579" s="110"/>
    </row>
    <row r="1580" spans="1:24" ht="14.25" customHeight="1">
      <c r="A1580" s="110"/>
      <c r="B1580" s="125">
        <v>46177</v>
      </c>
      <c r="C1580" s="126" t="s">
        <v>458</v>
      </c>
      <c r="D1580" s="68" t="s">
        <v>130</v>
      </c>
      <c r="E1580" s="10" t="str">
        <f>TRIM(VLOOKUP(D1580,TB!$B$9:$C$1500,2,FALSE))</f>
        <v>BCA TBB</v>
      </c>
      <c r="F1580" s="173" t="s">
        <v>459</v>
      </c>
      <c r="G1580" s="130"/>
      <c r="H1580" s="157">
        <f>I1582-H1581</f>
        <v>7362535.1799999997</v>
      </c>
      <c r="I1580" s="10"/>
      <c r="J1580" s="79" t="e">
        <f t="shared" si="79"/>
        <v>#VALUE!</v>
      </c>
      <c r="K1580" s="106"/>
      <c r="L1580" s="107"/>
      <c r="M1580" s="106"/>
      <c r="N1580" s="106"/>
      <c r="O1580" s="108"/>
      <c r="P1580" s="108"/>
      <c r="Q1580" s="108"/>
      <c r="R1580" s="109"/>
      <c r="S1580" s="109"/>
      <c r="T1580" s="108"/>
      <c r="U1580" s="110"/>
      <c r="V1580" s="110"/>
      <c r="W1580" s="110"/>
      <c r="X1580" s="110"/>
    </row>
    <row r="1581" spans="1:24" ht="14.25" customHeight="1">
      <c r="A1581" s="110"/>
      <c r="B1581" s="125">
        <v>46177</v>
      </c>
      <c r="C1581" s="126" t="str">
        <f t="shared" ref="C1581:C1582" si="87">C1580</f>
        <v>BCA26-06109</v>
      </c>
      <c r="D1581" s="15" t="s">
        <v>124</v>
      </c>
      <c r="E1581" s="10" t="str">
        <f>TRIM(VLOOKUP(D1581,TB!$B$9:$C$1500,2,FALSE))</f>
        <v>Bank charges</v>
      </c>
      <c r="F1581" s="173" t="str">
        <f t="shared" ref="F1581:F1582" si="88">F1580</f>
        <v>BCA CC  03-06-2026</v>
      </c>
      <c r="G1581" s="130"/>
      <c r="H1581" s="157">
        <f>I1582*1.8%</f>
        <v>134954.82</v>
      </c>
      <c r="I1581" s="10"/>
      <c r="J1581" s="79" t="e">
        <f t="shared" si="79"/>
        <v>#VALUE!</v>
      </c>
      <c r="K1581" s="106"/>
      <c r="L1581" s="107"/>
      <c r="M1581" s="106"/>
      <c r="N1581" s="106"/>
      <c r="O1581" s="108"/>
      <c r="P1581" s="108"/>
      <c r="Q1581" s="108"/>
      <c r="R1581" s="109"/>
      <c r="S1581" s="109"/>
      <c r="T1581" s="108"/>
      <c r="U1581" s="110"/>
      <c r="V1581" s="110"/>
      <c r="W1581" s="110"/>
      <c r="X1581" s="110"/>
    </row>
    <row r="1582" spans="1:24" ht="14.25" customHeight="1">
      <c r="A1582" s="110"/>
      <c r="B1582" s="125">
        <v>46177</v>
      </c>
      <c r="C1582" s="126" t="str">
        <f t="shared" si="87"/>
        <v>BCA26-06109</v>
      </c>
      <c r="D1582" s="15" t="s">
        <v>42</v>
      </c>
      <c r="E1582" s="10" t="str">
        <f>TRIM(VLOOKUP(D1582,TB!$B$9:$C$1500,2,FALSE))</f>
        <v>BCA Card TBB</v>
      </c>
      <c r="F1582" s="173" t="str">
        <f t="shared" si="88"/>
        <v>BCA CC  03-06-2026</v>
      </c>
      <c r="G1582" s="130"/>
      <c r="H1582" s="10"/>
      <c r="I1582" s="10">
        <v>7497490</v>
      </c>
      <c r="J1582" s="79" t="e">
        <f t="shared" si="79"/>
        <v>#VALUE!</v>
      </c>
      <c r="K1582" s="106"/>
      <c r="L1582" s="107"/>
      <c r="M1582" s="106"/>
      <c r="N1582" s="106"/>
      <c r="O1582" s="108"/>
      <c r="P1582" s="108"/>
      <c r="Q1582" s="108"/>
      <c r="R1582" s="109"/>
      <c r="S1582" s="109"/>
      <c r="T1582" s="108"/>
      <c r="U1582" s="110"/>
      <c r="V1582" s="110"/>
      <c r="W1582" s="110"/>
      <c r="X1582" s="110"/>
    </row>
    <row r="1583" spans="1:24" ht="14.25" customHeight="1">
      <c r="A1583" s="110"/>
      <c r="B1583" s="125"/>
      <c r="C1583" s="126"/>
      <c r="D1583" s="15"/>
      <c r="E1583" s="10" t="e">
        <f>TRIM(VLOOKUP(D1583,TB!$B$9:$C$1500,2,FALSE))</f>
        <v>#N/A</v>
      </c>
      <c r="F1583" s="173"/>
      <c r="G1583" s="130"/>
      <c r="H1583" s="10"/>
      <c r="I1583" s="10"/>
      <c r="J1583" s="79" t="e">
        <f t="shared" si="79"/>
        <v>#VALUE!</v>
      </c>
      <c r="K1583" s="106"/>
      <c r="L1583" s="107"/>
      <c r="M1583" s="106"/>
      <c r="N1583" s="106"/>
      <c r="O1583" s="108"/>
      <c r="P1583" s="108"/>
      <c r="Q1583" s="108"/>
      <c r="R1583" s="109"/>
      <c r="S1583" s="109"/>
      <c r="T1583" s="108"/>
      <c r="U1583" s="110"/>
      <c r="V1583" s="110"/>
      <c r="W1583" s="110"/>
      <c r="X1583" s="110"/>
    </row>
    <row r="1584" spans="1:24" ht="14.25" customHeight="1">
      <c r="A1584" s="110"/>
      <c r="B1584" s="125">
        <v>46177</v>
      </c>
      <c r="C1584" s="126" t="s">
        <v>460</v>
      </c>
      <c r="D1584" s="68" t="s">
        <v>130</v>
      </c>
      <c r="E1584" s="10" t="str">
        <f>TRIM(VLOOKUP(D1584,TB!$B$9:$C$1500,2,FALSE))</f>
        <v>BCA TBB</v>
      </c>
      <c r="F1584" s="173" t="s">
        <v>461</v>
      </c>
      <c r="G1584" s="130"/>
      <c r="H1584" s="157">
        <f>I1586-H1585</f>
        <v>358302.34</v>
      </c>
      <c r="I1584" s="10"/>
      <c r="J1584" s="79" t="e">
        <f t="shared" si="79"/>
        <v>#VALUE!</v>
      </c>
      <c r="K1584" s="106"/>
      <c r="L1584" s="107"/>
      <c r="M1584" s="106"/>
      <c r="N1584" s="106"/>
      <c r="O1584" s="108"/>
      <c r="P1584" s="108"/>
      <c r="Q1584" s="108"/>
      <c r="R1584" s="109"/>
      <c r="S1584" s="109"/>
      <c r="T1584" s="108"/>
      <c r="U1584" s="110"/>
      <c r="V1584" s="110"/>
      <c r="W1584" s="110"/>
      <c r="X1584" s="110"/>
    </row>
    <row r="1585" spans="1:24" ht="14.25" customHeight="1">
      <c r="A1585" s="110"/>
      <c r="B1585" s="125">
        <v>46177</v>
      </c>
      <c r="C1585" s="126" t="str">
        <f t="shared" ref="C1585:C1586" si="89">C1584</f>
        <v>BCA26-06110</v>
      </c>
      <c r="D1585" s="15" t="s">
        <v>124</v>
      </c>
      <c r="E1585" s="10" t="str">
        <f>TRIM(VLOOKUP(D1585,TB!$B$9:$C$1500,2,FALSE))</f>
        <v>Bank charges</v>
      </c>
      <c r="F1585" s="173" t="str">
        <f t="shared" ref="F1585:F1586" si="90">F1584</f>
        <v>BCA DEBT 03-06-2026</v>
      </c>
      <c r="G1585" s="130"/>
      <c r="H1585" s="157">
        <f>I1586*1.8%</f>
        <v>6567.6600000000008</v>
      </c>
      <c r="I1585" s="10"/>
      <c r="J1585" s="79" t="e">
        <f t="shared" si="79"/>
        <v>#VALUE!</v>
      </c>
      <c r="K1585" s="106"/>
      <c r="L1585" s="107"/>
      <c r="M1585" s="106"/>
      <c r="N1585" s="106"/>
      <c r="O1585" s="108"/>
      <c r="P1585" s="108"/>
      <c r="Q1585" s="108"/>
      <c r="R1585" s="109"/>
      <c r="S1585" s="109"/>
      <c r="T1585" s="108"/>
      <c r="U1585" s="110"/>
      <c r="V1585" s="110"/>
      <c r="W1585" s="110"/>
      <c r="X1585" s="110"/>
    </row>
    <row r="1586" spans="1:24" ht="14.25" customHeight="1">
      <c r="A1586" s="110"/>
      <c r="B1586" s="125">
        <v>46177</v>
      </c>
      <c r="C1586" s="126" t="str">
        <f t="shared" si="89"/>
        <v>BCA26-06110</v>
      </c>
      <c r="D1586" s="15" t="s">
        <v>42</v>
      </c>
      <c r="E1586" s="10" t="str">
        <f>TRIM(VLOOKUP(D1586,TB!$B$9:$C$1500,2,FALSE))</f>
        <v>BCA Card TBB</v>
      </c>
      <c r="F1586" s="173" t="str">
        <f t="shared" si="90"/>
        <v>BCA DEBT 03-06-2026</v>
      </c>
      <c r="G1586" s="130"/>
      <c r="H1586" s="10"/>
      <c r="I1586" s="10">
        <v>364870</v>
      </c>
      <c r="J1586" s="79" t="e">
        <f t="shared" si="79"/>
        <v>#VALUE!</v>
      </c>
      <c r="K1586" s="106"/>
      <c r="L1586" s="107"/>
      <c r="M1586" s="106"/>
      <c r="N1586" s="106"/>
      <c r="O1586" s="108"/>
      <c r="P1586" s="108"/>
      <c r="Q1586" s="108"/>
      <c r="R1586" s="109"/>
      <c r="S1586" s="109"/>
      <c r="T1586" s="108"/>
      <c r="U1586" s="110"/>
      <c r="V1586" s="110"/>
      <c r="W1586" s="110"/>
      <c r="X1586" s="110"/>
    </row>
    <row r="1587" spans="1:24" ht="14.25" customHeight="1">
      <c r="A1587" s="110"/>
      <c r="B1587" s="125"/>
      <c r="C1587" s="126"/>
      <c r="D1587" s="15"/>
      <c r="E1587" s="10" t="e">
        <f>TRIM(VLOOKUP(D1587,TB!$B$9:$C$1500,2,FALSE))</f>
        <v>#N/A</v>
      </c>
      <c r="F1587" s="173"/>
      <c r="G1587" s="130"/>
      <c r="H1587" s="10"/>
      <c r="I1587" s="10"/>
      <c r="J1587" s="79" t="e">
        <f t="shared" si="79"/>
        <v>#VALUE!</v>
      </c>
      <c r="K1587" s="106"/>
      <c r="L1587" s="107"/>
      <c r="M1587" s="106"/>
      <c r="N1587" s="106"/>
      <c r="O1587" s="108"/>
      <c r="P1587" s="108"/>
      <c r="Q1587" s="108"/>
      <c r="R1587" s="109"/>
      <c r="S1587" s="109"/>
      <c r="T1587" s="108"/>
      <c r="U1587" s="110"/>
      <c r="V1587" s="110"/>
      <c r="W1587" s="110"/>
      <c r="X1587" s="110"/>
    </row>
    <row r="1588" spans="1:24" ht="14.25" customHeight="1">
      <c r="A1588" s="110"/>
      <c r="B1588" s="125">
        <v>46177</v>
      </c>
      <c r="C1588" s="126" t="s">
        <v>462</v>
      </c>
      <c r="D1588" s="68" t="s">
        <v>130</v>
      </c>
      <c r="E1588" s="10" t="str">
        <f>TRIM(VLOOKUP(D1588,TB!$B$9:$C$1500,2,FALSE))</f>
        <v>BCA TBB</v>
      </c>
      <c r="F1588" s="173" t="s">
        <v>463</v>
      </c>
      <c r="G1588" s="130"/>
      <c r="H1588" s="157">
        <f>I1590-H1589</f>
        <v>104023.26</v>
      </c>
      <c r="I1588" s="10"/>
      <c r="J1588" s="79" t="e">
        <f t="shared" si="79"/>
        <v>#VALUE!</v>
      </c>
      <c r="K1588" s="106"/>
      <c r="L1588" s="107"/>
      <c r="M1588" s="106"/>
      <c r="N1588" s="106"/>
      <c r="O1588" s="108"/>
      <c r="P1588" s="108"/>
      <c r="Q1588" s="108"/>
      <c r="R1588" s="109"/>
      <c r="S1588" s="109"/>
      <c r="T1588" s="108"/>
      <c r="U1588" s="110"/>
      <c r="V1588" s="110"/>
      <c r="W1588" s="110"/>
      <c r="X1588" s="110"/>
    </row>
    <row r="1589" spans="1:24" ht="14.25" customHeight="1">
      <c r="A1589" s="110"/>
      <c r="B1589" s="125">
        <v>46177</v>
      </c>
      <c r="C1589" s="126" t="str">
        <f t="shared" ref="C1589:C1590" si="91">C1588</f>
        <v>BCA26-06111</v>
      </c>
      <c r="D1589" s="15" t="s">
        <v>124</v>
      </c>
      <c r="E1589" s="10" t="str">
        <f>TRIM(VLOOKUP(D1589,TB!$B$9:$C$1500,2,FALSE))</f>
        <v>Bank charges</v>
      </c>
      <c r="F1589" s="173" t="str">
        <f t="shared" ref="F1589:F1590" si="92">F1588</f>
        <v>BCA QR  03-06-2026</v>
      </c>
      <c r="G1589" s="130"/>
      <c r="H1589" s="157">
        <f>I1590*1.8%</f>
        <v>1906.7400000000002</v>
      </c>
      <c r="I1589" s="10"/>
      <c r="J1589" s="79" t="e">
        <f t="shared" si="79"/>
        <v>#VALUE!</v>
      </c>
      <c r="K1589" s="106"/>
      <c r="L1589" s="107"/>
      <c r="M1589" s="106"/>
      <c r="N1589" s="106"/>
      <c r="O1589" s="108"/>
      <c r="P1589" s="108"/>
      <c r="Q1589" s="108"/>
      <c r="R1589" s="109"/>
      <c r="S1589" s="109"/>
      <c r="T1589" s="108"/>
      <c r="U1589" s="110"/>
      <c r="V1589" s="110"/>
      <c r="W1589" s="110"/>
      <c r="X1589" s="110"/>
    </row>
    <row r="1590" spans="1:24" ht="14.25" customHeight="1">
      <c r="A1590" s="110"/>
      <c r="B1590" s="125">
        <v>46177</v>
      </c>
      <c r="C1590" s="126" t="str">
        <f t="shared" si="91"/>
        <v>BCA26-06111</v>
      </c>
      <c r="D1590" s="15" t="s">
        <v>42</v>
      </c>
      <c r="E1590" s="10" t="str">
        <f>TRIM(VLOOKUP(D1590,TB!$B$9:$C$1500,2,FALSE))</f>
        <v>BCA Card TBB</v>
      </c>
      <c r="F1590" s="173" t="str">
        <f t="shared" si="92"/>
        <v>BCA QR  03-06-2026</v>
      </c>
      <c r="G1590" s="130"/>
      <c r="H1590" s="10"/>
      <c r="I1590" s="10">
        <v>105930</v>
      </c>
      <c r="J1590" s="79" t="e">
        <f t="shared" si="79"/>
        <v>#VALUE!</v>
      </c>
      <c r="K1590" s="106"/>
      <c r="L1590" s="107"/>
      <c r="M1590" s="106"/>
      <c r="N1590" s="106"/>
      <c r="O1590" s="108"/>
      <c r="P1590" s="108"/>
      <c r="Q1590" s="108"/>
      <c r="R1590" s="109"/>
      <c r="S1590" s="109"/>
      <c r="T1590" s="108"/>
      <c r="U1590" s="110"/>
      <c r="V1590" s="110"/>
      <c r="W1590" s="110"/>
      <c r="X1590" s="110"/>
    </row>
    <row r="1591" spans="1:24" ht="14.25" customHeight="1">
      <c r="A1591" s="110"/>
      <c r="B1591" s="125"/>
      <c r="C1591" s="126"/>
      <c r="D1591" s="15"/>
      <c r="E1591" s="10" t="e">
        <f>TRIM(VLOOKUP(D1591,TB!$B$9:$C$1500,2,FALSE))</f>
        <v>#N/A</v>
      </c>
      <c r="F1591" s="173"/>
      <c r="G1591" s="130"/>
      <c r="H1591" s="10"/>
      <c r="I1591" s="10"/>
      <c r="J1591" s="79" t="e">
        <f t="shared" si="79"/>
        <v>#VALUE!</v>
      </c>
      <c r="K1591" s="106"/>
      <c r="L1591" s="107"/>
      <c r="M1591" s="106"/>
      <c r="N1591" s="106"/>
      <c r="O1591" s="108"/>
      <c r="P1591" s="108"/>
      <c r="Q1591" s="108"/>
      <c r="R1591" s="109"/>
      <c r="S1591" s="109"/>
      <c r="T1591" s="108"/>
      <c r="U1591" s="110"/>
      <c r="V1591" s="110"/>
      <c r="W1591" s="110"/>
      <c r="X1591" s="110"/>
    </row>
    <row r="1592" spans="1:24" ht="14.25" customHeight="1">
      <c r="A1592" s="110"/>
      <c r="B1592" s="125">
        <v>46178</v>
      </c>
      <c r="C1592" s="126" t="s">
        <v>464</v>
      </c>
      <c r="D1592" s="68" t="s">
        <v>285</v>
      </c>
      <c r="E1592" s="10" t="str">
        <f>TRIM(VLOOKUP(D1592,TB!$B$9:$C$1500,2,FALSE))</f>
        <v>Misc Cash Purchase</v>
      </c>
      <c r="F1592" s="173" t="s">
        <v>465</v>
      </c>
      <c r="G1592" s="130"/>
      <c r="H1592" s="10">
        <v>1400000</v>
      </c>
      <c r="I1592" s="10"/>
      <c r="J1592" s="79" t="e">
        <f t="shared" si="79"/>
        <v>#VALUE!</v>
      </c>
      <c r="K1592" s="106"/>
      <c r="L1592" s="107"/>
      <c r="M1592" s="106"/>
      <c r="N1592" s="106"/>
      <c r="O1592" s="108"/>
      <c r="P1592" s="108"/>
      <c r="Q1592" s="108"/>
      <c r="R1592" s="109"/>
      <c r="S1592" s="109"/>
      <c r="T1592" s="108"/>
      <c r="U1592" s="110"/>
      <c r="V1592" s="110"/>
      <c r="W1592" s="110"/>
      <c r="X1592" s="110"/>
    </row>
    <row r="1593" spans="1:24" ht="14.25" customHeight="1">
      <c r="A1593" s="110"/>
      <c r="B1593" s="125">
        <v>46178</v>
      </c>
      <c r="C1593" s="126" t="s">
        <v>464</v>
      </c>
      <c r="D1593" s="68" t="s">
        <v>130</v>
      </c>
      <c r="E1593" s="10" t="str">
        <f>TRIM(VLOOKUP(D1593,TB!$B$9:$C$1500,2,FALSE))</f>
        <v>BCA TBB</v>
      </c>
      <c r="F1593" s="173" t="str">
        <f>F1592</f>
        <v>Alok - Inv. 0324 - 21 Apr 26 (Photo&amp;Video Chromatica)</v>
      </c>
      <c r="G1593" s="130"/>
      <c r="H1593" s="10"/>
      <c r="I1593" s="10">
        <v>1400000</v>
      </c>
      <c r="J1593" s="79" t="e">
        <f t="shared" si="79"/>
        <v>#VALUE!</v>
      </c>
      <c r="K1593" s="106"/>
      <c r="L1593" s="107"/>
      <c r="M1593" s="106"/>
      <c r="N1593" s="106"/>
      <c r="O1593" s="108"/>
      <c r="P1593" s="108"/>
      <c r="Q1593" s="108"/>
      <c r="R1593" s="109"/>
      <c r="S1593" s="109"/>
      <c r="T1593" s="108"/>
      <c r="U1593" s="110"/>
      <c r="V1593" s="110"/>
      <c r="W1593" s="110"/>
      <c r="X1593" s="110"/>
    </row>
    <row r="1594" spans="1:24" ht="14.25" customHeight="1">
      <c r="A1594" s="110"/>
      <c r="B1594" s="125"/>
      <c r="C1594" s="126"/>
      <c r="D1594" s="15"/>
      <c r="E1594" s="10" t="e">
        <f>TRIM(VLOOKUP(D1594,TB!$B$9:$C$1500,2,FALSE))</f>
        <v>#N/A</v>
      </c>
      <c r="F1594" s="173"/>
      <c r="G1594" s="130"/>
      <c r="H1594" s="10"/>
      <c r="I1594" s="10"/>
      <c r="J1594" s="79" t="e">
        <f t="shared" si="79"/>
        <v>#VALUE!</v>
      </c>
      <c r="K1594" s="106"/>
      <c r="L1594" s="107"/>
      <c r="M1594" s="106"/>
      <c r="N1594" s="106"/>
      <c r="O1594" s="108"/>
      <c r="P1594" s="108"/>
      <c r="Q1594" s="108"/>
      <c r="R1594" s="109"/>
      <c r="S1594" s="109"/>
      <c r="T1594" s="108"/>
      <c r="U1594" s="110"/>
      <c r="V1594" s="110"/>
      <c r="W1594" s="110"/>
      <c r="X1594" s="110"/>
    </row>
    <row r="1595" spans="1:24" ht="14.25" customHeight="1">
      <c r="A1595" s="110"/>
      <c r="B1595" s="125">
        <v>46178</v>
      </c>
      <c r="C1595" s="126" t="s">
        <v>466</v>
      </c>
      <c r="D1595" s="15" t="s">
        <v>188</v>
      </c>
      <c r="E1595" s="10" t="str">
        <f>TRIM(VLOOKUP(D1595,TB!$B$9:$C$1500,2,FALSE))</f>
        <v>Advertising Costs</v>
      </c>
      <c r="F1595" s="173" t="s">
        <v>467</v>
      </c>
      <c r="G1595" s="130"/>
      <c r="H1595" s="10">
        <v>4200000</v>
      </c>
      <c r="I1595" s="10"/>
      <c r="J1595" s="79" t="e">
        <f t="shared" si="79"/>
        <v>#VALUE!</v>
      </c>
      <c r="K1595" s="106"/>
      <c r="L1595" s="107"/>
      <c r="M1595" s="106"/>
      <c r="N1595" s="106"/>
      <c r="O1595" s="108"/>
      <c r="P1595" s="108"/>
      <c r="Q1595" s="108"/>
      <c r="R1595" s="109"/>
      <c r="S1595" s="109"/>
      <c r="T1595" s="108"/>
      <c r="U1595" s="110"/>
      <c r="V1595" s="110"/>
      <c r="W1595" s="110"/>
      <c r="X1595" s="110"/>
    </row>
    <row r="1596" spans="1:24" ht="14.25" customHeight="1">
      <c r="A1596" s="110"/>
      <c r="B1596" s="125">
        <v>46178</v>
      </c>
      <c r="C1596" s="126" t="s">
        <v>466</v>
      </c>
      <c r="D1596" s="15" t="s">
        <v>124</v>
      </c>
      <c r="E1596" s="10" t="str">
        <f>TRIM(VLOOKUP(D1596,TB!$B$9:$C$1500,2,FALSE))</f>
        <v>Bank charges</v>
      </c>
      <c r="F1596" s="173" t="s">
        <v>467</v>
      </c>
      <c r="G1596" s="130"/>
      <c r="H1596" s="10">
        <v>1000</v>
      </c>
      <c r="I1596" s="10"/>
      <c r="J1596" s="79" t="e">
        <f t="shared" si="79"/>
        <v>#VALUE!</v>
      </c>
      <c r="K1596" s="106"/>
      <c r="L1596" s="107"/>
      <c r="M1596" s="106"/>
      <c r="N1596" s="106"/>
      <c r="O1596" s="108"/>
      <c r="P1596" s="108"/>
      <c r="Q1596" s="108"/>
      <c r="R1596" s="109"/>
      <c r="S1596" s="109"/>
      <c r="T1596" s="108"/>
      <c r="U1596" s="110"/>
      <c r="V1596" s="110"/>
      <c r="W1596" s="110"/>
      <c r="X1596" s="110"/>
    </row>
    <row r="1597" spans="1:24" ht="14.25" customHeight="1">
      <c r="A1597" s="110"/>
      <c r="B1597" s="125">
        <v>46178</v>
      </c>
      <c r="C1597" s="126" t="s">
        <v>466</v>
      </c>
      <c r="D1597" s="68" t="s">
        <v>130</v>
      </c>
      <c r="E1597" s="10" t="str">
        <f>TRIM(VLOOKUP(D1597,TB!$B$9:$C$1500,2,FALSE))</f>
        <v>BCA TBB</v>
      </c>
      <c r="F1597" s="173" t="str">
        <f>F1595</f>
        <v>Top ads sos med 05 June 2026</v>
      </c>
      <c r="G1597" s="130"/>
      <c r="H1597" s="10"/>
      <c r="I1597" s="10">
        <f>SUM(H1595:H1596)</f>
        <v>4201000</v>
      </c>
      <c r="J1597" s="79" t="e">
        <f t="shared" si="79"/>
        <v>#VALUE!</v>
      </c>
      <c r="K1597" s="106"/>
      <c r="L1597" s="107"/>
      <c r="M1597" s="106"/>
      <c r="N1597" s="106"/>
      <c r="O1597" s="108"/>
      <c r="P1597" s="108"/>
      <c r="Q1597" s="108"/>
      <c r="R1597" s="109"/>
      <c r="S1597" s="109"/>
      <c r="T1597" s="108"/>
      <c r="U1597" s="110"/>
      <c r="V1597" s="110"/>
      <c r="W1597" s="110"/>
      <c r="X1597" s="110"/>
    </row>
    <row r="1598" spans="1:24" ht="14.25" customHeight="1">
      <c r="A1598" s="110"/>
      <c r="B1598" s="125"/>
      <c r="C1598" s="126"/>
      <c r="D1598" s="15"/>
      <c r="E1598" s="10" t="e">
        <f>TRIM(VLOOKUP(D1598,TB!$B$9:$C$1500,2,FALSE))</f>
        <v>#N/A</v>
      </c>
      <c r="F1598" s="173"/>
      <c r="G1598" s="130"/>
      <c r="H1598" s="10"/>
      <c r="I1598" s="10">
        <f t="shared" ref="I1598:I1599" si="93">SUM(H1597)</f>
        <v>0</v>
      </c>
      <c r="J1598" s="79" t="e">
        <f t="shared" si="79"/>
        <v>#VALUE!</v>
      </c>
      <c r="K1598" s="106"/>
      <c r="L1598" s="107"/>
      <c r="M1598" s="106"/>
      <c r="N1598" s="106"/>
      <c r="O1598" s="108"/>
      <c r="P1598" s="108"/>
      <c r="Q1598" s="108"/>
      <c r="R1598" s="109"/>
      <c r="S1598" s="109"/>
      <c r="T1598" s="108"/>
      <c r="U1598" s="110"/>
      <c r="V1598" s="110"/>
      <c r="W1598" s="110"/>
      <c r="X1598" s="110"/>
    </row>
    <row r="1599" spans="1:24" ht="14.25" customHeight="1">
      <c r="A1599" s="110"/>
      <c r="B1599" s="125">
        <v>46178</v>
      </c>
      <c r="C1599" s="126" t="s">
        <v>468</v>
      </c>
      <c r="D1599" s="15" t="s">
        <v>403</v>
      </c>
      <c r="E1599" s="10" t="str">
        <f>TRIM(VLOOKUP(D1599,TB!$B$9:$C$1500,2,FALSE))</f>
        <v>Security/Police/Banjar Costs</v>
      </c>
      <c r="F1599" s="173" t="s">
        <v>469</v>
      </c>
      <c r="G1599" s="130"/>
      <c r="H1599" s="10">
        <v>2500000</v>
      </c>
      <c r="I1599" s="10">
        <f t="shared" si="93"/>
        <v>0</v>
      </c>
      <c r="J1599" s="79" t="e">
        <f t="shared" si="79"/>
        <v>#VALUE!</v>
      </c>
      <c r="K1599" s="106"/>
      <c r="L1599" s="107"/>
      <c r="M1599" s="106"/>
      <c r="N1599" s="106"/>
      <c r="O1599" s="108"/>
      <c r="P1599" s="108"/>
      <c r="Q1599" s="108"/>
      <c r="R1599" s="109"/>
      <c r="S1599" s="109"/>
      <c r="T1599" s="108"/>
      <c r="U1599" s="110"/>
      <c r="V1599" s="110"/>
      <c r="W1599" s="110"/>
      <c r="X1599" s="110"/>
    </row>
    <row r="1600" spans="1:24" ht="14.25" customHeight="1">
      <c r="A1600" s="110"/>
      <c r="B1600" s="125">
        <v>46178</v>
      </c>
      <c r="C1600" s="126" t="s">
        <v>468</v>
      </c>
      <c r="D1600" s="15" t="s">
        <v>124</v>
      </c>
      <c r="E1600" s="10" t="str">
        <f>TRIM(VLOOKUP(D1600,TB!$B$9:$C$1500,2,FALSE))</f>
        <v>Bank charges</v>
      </c>
      <c r="F1600" s="173" t="s">
        <v>469</v>
      </c>
      <c r="G1600" s="130"/>
      <c r="H1600" s="10">
        <v>2500</v>
      </c>
      <c r="I1600" s="10"/>
      <c r="J1600" s="79" t="e">
        <f t="shared" si="79"/>
        <v>#VALUE!</v>
      </c>
      <c r="K1600" s="106"/>
      <c r="L1600" s="107"/>
      <c r="M1600" s="106"/>
      <c r="N1600" s="106"/>
      <c r="O1600" s="108"/>
      <c r="P1600" s="108"/>
      <c r="Q1600" s="108"/>
      <c r="R1600" s="109"/>
      <c r="S1600" s="109"/>
      <c r="T1600" s="108"/>
      <c r="U1600" s="110"/>
      <c r="V1600" s="110"/>
      <c r="W1600" s="110"/>
      <c r="X1600" s="110"/>
    </row>
    <row r="1601" spans="1:24" ht="14.25" customHeight="1">
      <c r="A1601" s="110"/>
      <c r="B1601" s="125">
        <v>46178</v>
      </c>
      <c r="C1601" s="126" t="s">
        <v>468</v>
      </c>
      <c r="D1601" s="68" t="s">
        <v>130</v>
      </c>
      <c r="E1601" s="10" t="str">
        <f>TRIM(VLOOKUP(D1601,TB!$B$9:$C$1500,2,FALSE))</f>
        <v>BCA TBB</v>
      </c>
      <c r="F1601" s="173" t="str">
        <f>F1599</f>
        <v>Polda Fee Utk Narkoba - June 2026</v>
      </c>
      <c r="G1601" s="130"/>
      <c r="H1601" s="10"/>
      <c r="I1601" s="10">
        <f>SUM(H1599:H1600)</f>
        <v>2502500</v>
      </c>
      <c r="J1601" s="79" t="e">
        <f t="shared" si="79"/>
        <v>#VALUE!</v>
      </c>
      <c r="K1601" s="106"/>
      <c r="L1601" s="107"/>
      <c r="M1601" s="106"/>
      <c r="N1601" s="106"/>
      <c r="O1601" s="108"/>
      <c r="P1601" s="108"/>
      <c r="Q1601" s="108"/>
      <c r="R1601" s="109"/>
      <c r="S1601" s="109"/>
      <c r="T1601" s="108"/>
      <c r="U1601" s="110"/>
      <c r="V1601" s="110"/>
      <c r="W1601" s="110"/>
      <c r="X1601" s="110"/>
    </row>
    <row r="1602" spans="1:24" ht="14.25" customHeight="1">
      <c r="A1602" s="110"/>
      <c r="B1602" s="125"/>
      <c r="C1602" s="126"/>
      <c r="D1602" s="15"/>
      <c r="E1602" s="10" t="e">
        <f>TRIM(VLOOKUP(D1602,TB!$B$9:$C$1500,2,FALSE))</f>
        <v>#N/A</v>
      </c>
      <c r="F1602" s="173"/>
      <c r="G1602" s="130"/>
      <c r="H1602" s="10"/>
      <c r="I1602" s="10">
        <f t="shared" ref="I1602:I1612" si="94">SUM(H1601)</f>
        <v>0</v>
      </c>
      <c r="J1602" s="79" t="e">
        <f t="shared" si="79"/>
        <v>#VALUE!</v>
      </c>
      <c r="K1602" s="106"/>
      <c r="L1602" s="107"/>
      <c r="M1602" s="106"/>
      <c r="N1602" s="106"/>
      <c r="O1602" s="108"/>
      <c r="P1602" s="108"/>
      <c r="Q1602" s="108"/>
      <c r="R1602" s="109"/>
      <c r="S1602" s="109"/>
      <c r="T1602" s="108"/>
      <c r="U1602" s="110"/>
      <c r="V1602" s="110"/>
      <c r="W1602" s="110"/>
      <c r="X1602" s="110"/>
    </row>
    <row r="1603" spans="1:24" ht="14.25" customHeight="1">
      <c r="A1603" s="110"/>
      <c r="B1603" s="125">
        <v>46178</v>
      </c>
      <c r="C1603" s="126" t="s">
        <v>470</v>
      </c>
      <c r="D1603" s="15" t="s">
        <v>471</v>
      </c>
      <c r="E1603" s="10" t="str">
        <f>TRIM(VLOOKUP(D1603,TB!$B$9:$C$1500,2,FALSE))</f>
        <v>Immigration/Custom Costs</v>
      </c>
      <c r="F1603" s="173" t="s">
        <v>472</v>
      </c>
      <c r="G1603" s="130"/>
      <c r="H1603" s="10">
        <v>3500000</v>
      </c>
      <c r="I1603" s="10">
        <f t="shared" si="94"/>
        <v>0</v>
      </c>
      <c r="J1603" s="79" t="e">
        <f t="shared" si="79"/>
        <v>#VALUE!</v>
      </c>
      <c r="K1603" s="106"/>
      <c r="L1603" s="107"/>
      <c r="M1603" s="106"/>
      <c r="N1603" s="106"/>
      <c r="O1603" s="108"/>
      <c r="P1603" s="108"/>
      <c r="Q1603" s="108"/>
      <c r="R1603" s="109"/>
      <c r="S1603" s="109"/>
      <c r="T1603" s="108"/>
      <c r="U1603" s="110"/>
      <c r="V1603" s="110"/>
      <c r="W1603" s="110"/>
      <c r="X1603" s="110"/>
    </row>
    <row r="1604" spans="1:24" ht="14.25" customHeight="1">
      <c r="A1604" s="110"/>
      <c r="B1604" s="125">
        <v>46178</v>
      </c>
      <c r="C1604" s="126" t="s">
        <v>470</v>
      </c>
      <c r="D1604" s="68" t="s">
        <v>130</v>
      </c>
      <c r="E1604" s="10" t="str">
        <f>TRIM(VLOOKUP(D1604,TB!$B$9:$C$1500,2,FALSE))</f>
        <v>BCA TBB</v>
      </c>
      <c r="F1604" s="173" t="str">
        <f>F1603</f>
        <v xml:space="preserve">Immigration Fee June 2026 </v>
      </c>
      <c r="G1604" s="130"/>
      <c r="H1604" s="10"/>
      <c r="I1604" s="10">
        <f t="shared" si="94"/>
        <v>3500000</v>
      </c>
      <c r="J1604" s="79" t="e">
        <f t="shared" si="79"/>
        <v>#VALUE!</v>
      </c>
      <c r="K1604" s="106"/>
      <c r="L1604" s="107"/>
      <c r="M1604" s="106"/>
      <c r="N1604" s="106"/>
      <c r="O1604" s="108"/>
      <c r="P1604" s="108"/>
      <c r="Q1604" s="108"/>
      <c r="R1604" s="109"/>
      <c r="S1604" s="109"/>
      <c r="T1604" s="108"/>
      <c r="U1604" s="110"/>
      <c r="V1604" s="110"/>
      <c r="W1604" s="110"/>
      <c r="X1604" s="110"/>
    </row>
    <row r="1605" spans="1:24" ht="14.25" customHeight="1">
      <c r="A1605" s="110"/>
      <c r="B1605" s="125"/>
      <c r="C1605" s="126"/>
      <c r="D1605" s="15"/>
      <c r="E1605" s="10" t="e">
        <f>TRIM(VLOOKUP(D1605,TB!$B$9:$C$1500,2,FALSE))</f>
        <v>#N/A</v>
      </c>
      <c r="F1605" s="173"/>
      <c r="G1605" s="130"/>
      <c r="H1605" s="10"/>
      <c r="I1605" s="10">
        <f t="shared" si="94"/>
        <v>0</v>
      </c>
      <c r="J1605" s="79" t="e">
        <f t="shared" si="79"/>
        <v>#VALUE!</v>
      </c>
      <c r="K1605" s="106"/>
      <c r="L1605" s="107"/>
      <c r="M1605" s="106"/>
      <c r="N1605" s="106"/>
      <c r="O1605" s="108"/>
      <c r="P1605" s="108"/>
      <c r="Q1605" s="108"/>
      <c r="R1605" s="109"/>
      <c r="S1605" s="109"/>
      <c r="T1605" s="108"/>
      <c r="U1605" s="110"/>
      <c r="V1605" s="110"/>
      <c r="W1605" s="110"/>
      <c r="X1605" s="110"/>
    </row>
    <row r="1606" spans="1:24" ht="14.25" customHeight="1">
      <c r="A1606" s="110"/>
      <c r="B1606" s="125">
        <v>46178</v>
      </c>
      <c r="C1606" s="126" t="s">
        <v>473</v>
      </c>
      <c r="D1606" s="68" t="s">
        <v>285</v>
      </c>
      <c r="E1606" s="10" t="str">
        <f>TRIM(VLOOKUP(D1606,TB!$B$9:$C$1500,2,FALSE))</f>
        <v>Misc Cash Purchase</v>
      </c>
      <c r="F1606" s="173" t="s">
        <v>474</v>
      </c>
      <c r="G1606" s="130"/>
      <c r="H1606" s="10">
        <v>495000</v>
      </c>
      <c r="I1606" s="10">
        <f t="shared" si="94"/>
        <v>0</v>
      </c>
      <c r="J1606" s="79" t="e">
        <f t="shared" si="79"/>
        <v>#VALUE!</v>
      </c>
      <c r="K1606" s="106"/>
      <c r="L1606" s="107"/>
      <c r="M1606" s="106"/>
      <c r="N1606" s="106"/>
      <c r="O1606" s="108"/>
      <c r="P1606" s="108"/>
      <c r="Q1606" s="108"/>
      <c r="R1606" s="109"/>
      <c r="S1606" s="109"/>
      <c r="T1606" s="108"/>
      <c r="U1606" s="110"/>
      <c r="V1606" s="110"/>
      <c r="W1606" s="110"/>
      <c r="X1606" s="110"/>
    </row>
    <row r="1607" spans="1:24" ht="14.25" customHeight="1">
      <c r="A1607" s="110"/>
      <c r="B1607" s="125">
        <v>46178</v>
      </c>
      <c r="C1607" s="126" t="s">
        <v>473</v>
      </c>
      <c r="D1607" s="68" t="s">
        <v>130</v>
      </c>
      <c r="E1607" s="10" t="str">
        <f>TRIM(VLOOKUP(D1607,TB!$B$9:$C$1500,2,FALSE))</f>
        <v>BCA TBB</v>
      </c>
      <c r="F1607" s="173" t="str">
        <f>F1606</f>
        <v>Rafi Seafood - Inv. 25 Apr 26</v>
      </c>
      <c r="G1607" s="130"/>
      <c r="H1607" s="10"/>
      <c r="I1607" s="10">
        <f t="shared" si="94"/>
        <v>495000</v>
      </c>
      <c r="J1607" s="79" t="e">
        <f t="shared" si="79"/>
        <v>#VALUE!</v>
      </c>
      <c r="K1607" s="106"/>
      <c r="L1607" s="107"/>
      <c r="M1607" s="106"/>
      <c r="N1607" s="106"/>
      <c r="O1607" s="108"/>
      <c r="P1607" s="108"/>
      <c r="Q1607" s="108"/>
      <c r="R1607" s="109"/>
      <c r="S1607" s="109"/>
      <c r="T1607" s="108"/>
      <c r="U1607" s="110"/>
      <c r="V1607" s="110"/>
      <c r="W1607" s="110"/>
      <c r="X1607" s="110"/>
    </row>
    <row r="1608" spans="1:24" ht="14.25" customHeight="1">
      <c r="A1608" s="110"/>
      <c r="B1608" s="125"/>
      <c r="C1608" s="126"/>
      <c r="D1608" s="15"/>
      <c r="E1608" s="10" t="e">
        <f>TRIM(VLOOKUP(D1608,TB!$B$9:$C$1500,2,FALSE))</f>
        <v>#N/A</v>
      </c>
      <c r="F1608" s="173"/>
      <c r="G1608" s="130"/>
      <c r="H1608" s="10"/>
      <c r="I1608" s="10">
        <f t="shared" si="94"/>
        <v>0</v>
      </c>
      <c r="J1608" s="79" t="e">
        <f t="shared" si="79"/>
        <v>#VALUE!</v>
      </c>
      <c r="K1608" s="106"/>
      <c r="L1608" s="107"/>
      <c r="M1608" s="106"/>
      <c r="N1608" s="106"/>
      <c r="O1608" s="108"/>
      <c r="P1608" s="108"/>
      <c r="Q1608" s="108"/>
      <c r="R1608" s="109"/>
      <c r="S1608" s="109"/>
      <c r="T1608" s="108"/>
      <c r="U1608" s="110"/>
      <c r="V1608" s="110"/>
      <c r="W1608" s="110"/>
      <c r="X1608" s="110"/>
    </row>
    <row r="1609" spans="1:24" ht="14.25" customHeight="1">
      <c r="A1609" s="110"/>
      <c r="B1609" s="125">
        <v>46178</v>
      </c>
      <c r="C1609" s="126" t="s">
        <v>475</v>
      </c>
      <c r="D1609" s="68" t="s">
        <v>285</v>
      </c>
      <c r="E1609" s="10" t="str">
        <f>TRIM(VLOOKUP(D1609,TB!$B$9:$C$1500,2,FALSE))</f>
        <v>Misc Cash Purchase</v>
      </c>
      <c r="F1609" s="173" t="s">
        <v>476</v>
      </c>
      <c r="G1609" s="130"/>
      <c r="H1609" s="10">
        <v>3500000</v>
      </c>
      <c r="I1609" s="10">
        <f t="shared" si="94"/>
        <v>0</v>
      </c>
      <c r="J1609" s="79" t="e">
        <f t="shared" si="79"/>
        <v>#VALUE!</v>
      </c>
      <c r="K1609" s="106"/>
      <c r="L1609" s="107"/>
      <c r="M1609" s="106"/>
      <c r="N1609" s="106"/>
      <c r="O1609" s="108"/>
      <c r="P1609" s="108"/>
      <c r="Q1609" s="108"/>
      <c r="R1609" s="109"/>
      <c r="S1609" s="109"/>
      <c r="T1609" s="108"/>
      <c r="U1609" s="110"/>
      <c r="V1609" s="110"/>
      <c r="W1609" s="110"/>
      <c r="X1609" s="110"/>
    </row>
    <row r="1610" spans="1:24" ht="14.25" customHeight="1">
      <c r="A1610" s="110"/>
      <c r="B1610" s="125">
        <v>46178</v>
      </c>
      <c r="C1610" s="126" t="s">
        <v>475</v>
      </c>
      <c r="D1610" s="68" t="s">
        <v>130</v>
      </c>
      <c r="E1610" s="10" t="str">
        <f>TRIM(VLOOKUP(D1610,TB!$B$9:$C$1500,2,FALSE))</f>
        <v>BCA TBB</v>
      </c>
      <c r="F1610" s="173" t="str">
        <f>F1609</f>
        <v>Oasis Water - Inv. 0128 - 22 Apr 26</v>
      </c>
      <c r="G1610" s="130"/>
      <c r="H1610" s="10"/>
      <c r="I1610" s="10">
        <f t="shared" si="94"/>
        <v>3500000</v>
      </c>
      <c r="J1610" s="79" t="e">
        <f t="shared" si="79"/>
        <v>#VALUE!</v>
      </c>
      <c r="K1610" s="106"/>
      <c r="L1610" s="107"/>
      <c r="M1610" s="106"/>
      <c r="N1610" s="106"/>
      <c r="O1610" s="108"/>
      <c r="P1610" s="108"/>
      <c r="Q1610" s="108"/>
      <c r="R1610" s="109"/>
      <c r="S1610" s="109"/>
      <c r="T1610" s="108"/>
      <c r="U1610" s="110"/>
      <c r="V1610" s="110"/>
      <c r="W1610" s="110"/>
      <c r="X1610" s="110"/>
    </row>
    <row r="1611" spans="1:24" ht="14.25" customHeight="1">
      <c r="A1611" s="110"/>
      <c r="B1611" s="125"/>
      <c r="C1611" s="126"/>
      <c r="D1611" s="15"/>
      <c r="E1611" s="10" t="e">
        <f>TRIM(VLOOKUP(D1611,TB!$B$9:$C$1500,2,FALSE))</f>
        <v>#N/A</v>
      </c>
      <c r="F1611" s="173"/>
      <c r="G1611" s="130"/>
      <c r="H1611" s="10"/>
      <c r="I1611" s="10">
        <f t="shared" si="94"/>
        <v>0</v>
      </c>
      <c r="J1611" s="79" t="e">
        <f t="shared" si="79"/>
        <v>#VALUE!</v>
      </c>
      <c r="K1611" s="106"/>
      <c r="L1611" s="107"/>
      <c r="M1611" s="106"/>
      <c r="N1611" s="106"/>
      <c r="O1611" s="108"/>
      <c r="P1611" s="108"/>
      <c r="Q1611" s="108"/>
      <c r="R1611" s="109"/>
      <c r="S1611" s="109"/>
      <c r="T1611" s="108"/>
      <c r="U1611" s="110"/>
      <c r="V1611" s="110"/>
      <c r="W1611" s="110"/>
      <c r="X1611" s="110"/>
    </row>
    <row r="1612" spans="1:24" ht="14.25" customHeight="1">
      <c r="A1612" s="110"/>
      <c r="B1612" s="125">
        <v>46178</v>
      </c>
      <c r="C1612" s="126" t="s">
        <v>477</v>
      </c>
      <c r="D1612" s="68" t="s">
        <v>478</v>
      </c>
      <c r="E1612" s="10" t="str">
        <f>TRIM(VLOOKUP(D1612,TB!$B$9:$C$1500,2,FALSE))</f>
        <v>Intercompany Payable – PT Star Hospitality Bali</v>
      </c>
      <c r="F1612" s="173" t="s">
        <v>479</v>
      </c>
      <c r="G1612" s="130"/>
      <c r="H1612" s="10">
        <v>9944238</v>
      </c>
      <c r="I1612" s="10">
        <f t="shared" si="94"/>
        <v>0</v>
      </c>
      <c r="J1612" s="79" t="e">
        <f t="shared" si="79"/>
        <v>#VALUE!</v>
      </c>
      <c r="K1612" s="106"/>
      <c r="L1612" s="107"/>
      <c r="M1612" s="106"/>
      <c r="N1612" s="106"/>
      <c r="O1612" s="108"/>
      <c r="P1612" s="108"/>
      <c r="Q1612" s="108"/>
      <c r="R1612" s="109"/>
      <c r="S1612" s="109"/>
      <c r="T1612" s="108"/>
      <c r="U1612" s="110"/>
      <c r="V1612" s="110"/>
      <c r="W1612" s="110"/>
      <c r="X1612" s="110"/>
    </row>
    <row r="1613" spans="1:24" ht="14.25" customHeight="1">
      <c r="A1613" s="110"/>
      <c r="B1613" s="125">
        <v>46178</v>
      </c>
      <c r="C1613" s="126" t="s">
        <v>477</v>
      </c>
      <c r="D1613" s="174" t="s">
        <v>480</v>
      </c>
      <c r="E1613" s="10" t="str">
        <f>TRIM(VLOOKUP(D1613,TB!$B$9:$C$1500,2,FALSE))</f>
        <v>Interest Expenses</v>
      </c>
      <c r="F1613" s="173" t="str">
        <f t="shared" ref="F1613:F1614" si="95">F1612</f>
        <v>Lpd Desa Adat Bongkasa June 2026  ( Mobil P Made  asset )</v>
      </c>
      <c r="G1613" s="130"/>
      <c r="H1613" s="10">
        <v>1155762</v>
      </c>
      <c r="I1613" s="10"/>
      <c r="J1613" s="79" t="e">
        <f t="shared" si="79"/>
        <v>#VALUE!</v>
      </c>
      <c r="K1613" s="106"/>
      <c r="L1613" s="107"/>
      <c r="M1613" s="106"/>
      <c r="N1613" s="106"/>
      <c r="O1613" s="108"/>
      <c r="P1613" s="108"/>
      <c r="Q1613" s="108"/>
      <c r="R1613" s="109"/>
      <c r="S1613" s="109"/>
      <c r="T1613" s="108"/>
      <c r="U1613" s="110"/>
      <c r="V1613" s="110"/>
      <c r="W1613" s="110"/>
      <c r="X1613" s="110"/>
    </row>
    <row r="1614" spans="1:24" ht="14.25" customHeight="1">
      <c r="A1614" s="110"/>
      <c r="B1614" s="125">
        <v>46178</v>
      </c>
      <c r="C1614" s="126" t="s">
        <v>477</v>
      </c>
      <c r="D1614" s="15" t="s">
        <v>124</v>
      </c>
      <c r="E1614" s="10" t="str">
        <f>TRIM(VLOOKUP(D1614,TB!$B$9:$C$1500,2,FALSE))</f>
        <v>Bank charges</v>
      </c>
      <c r="F1614" s="173" t="str">
        <f t="shared" si="95"/>
        <v>Lpd Desa Adat Bongkasa June 2026  ( Mobil P Made  asset )</v>
      </c>
      <c r="G1614" s="130"/>
      <c r="H1614" s="10">
        <v>2500</v>
      </c>
      <c r="I1614" s="10"/>
      <c r="J1614" s="79" t="e">
        <f t="shared" si="79"/>
        <v>#VALUE!</v>
      </c>
      <c r="K1614" s="106"/>
      <c r="L1614" s="107"/>
      <c r="M1614" s="106"/>
      <c r="N1614" s="106"/>
      <c r="O1614" s="108"/>
      <c r="P1614" s="108"/>
      <c r="Q1614" s="108"/>
      <c r="R1614" s="109"/>
      <c r="S1614" s="109"/>
      <c r="T1614" s="108"/>
      <c r="U1614" s="110"/>
      <c r="V1614" s="110"/>
      <c r="W1614" s="110"/>
      <c r="X1614" s="110"/>
    </row>
    <row r="1615" spans="1:24" ht="14.25" customHeight="1">
      <c r="A1615" s="110"/>
      <c r="B1615" s="125">
        <v>46178</v>
      </c>
      <c r="C1615" s="126" t="s">
        <v>477</v>
      </c>
      <c r="D1615" s="68" t="s">
        <v>130</v>
      </c>
      <c r="E1615" s="10" t="str">
        <f>TRIM(VLOOKUP(D1615,TB!$B$9:$C$1500,2,FALSE))</f>
        <v>BCA TBB</v>
      </c>
      <c r="F1615" s="173" t="str">
        <f>F1613</f>
        <v>Lpd Desa Adat Bongkasa June 2026  ( Mobil P Made  asset )</v>
      </c>
      <c r="G1615" s="130"/>
      <c r="H1615" s="10"/>
      <c r="I1615" s="10">
        <v>11102500</v>
      </c>
      <c r="J1615" s="79" t="e">
        <f t="shared" si="79"/>
        <v>#VALUE!</v>
      </c>
      <c r="K1615" s="106"/>
      <c r="L1615" s="107"/>
      <c r="M1615" s="106"/>
      <c r="N1615" s="106"/>
      <c r="O1615" s="108"/>
      <c r="P1615" s="108"/>
      <c r="Q1615" s="108"/>
      <c r="R1615" s="109"/>
      <c r="S1615" s="109"/>
      <c r="T1615" s="108"/>
      <c r="U1615" s="110"/>
      <c r="V1615" s="110"/>
      <c r="W1615" s="110"/>
      <c r="X1615" s="110"/>
    </row>
    <row r="1616" spans="1:24" ht="14.25" customHeight="1">
      <c r="A1616" s="110"/>
      <c r="B1616" s="125"/>
      <c r="C1616" s="126"/>
      <c r="D1616" s="15"/>
      <c r="E1616" s="10" t="e">
        <f>TRIM(VLOOKUP(D1616,TB!$B$9:$C$1500,2,FALSE))</f>
        <v>#N/A</v>
      </c>
      <c r="F1616" s="173"/>
      <c r="G1616" s="130"/>
      <c r="H1616" s="10"/>
      <c r="I1616" s="10">
        <f t="shared" ref="I1616:I1620" si="96">SUM(H1615)</f>
        <v>0</v>
      </c>
      <c r="J1616" s="79" t="e">
        <f t="shared" si="79"/>
        <v>#VALUE!</v>
      </c>
      <c r="K1616" s="106"/>
      <c r="L1616" s="107"/>
      <c r="M1616" s="106"/>
      <c r="N1616" s="106"/>
      <c r="O1616" s="108"/>
      <c r="P1616" s="108"/>
      <c r="Q1616" s="108"/>
      <c r="R1616" s="109"/>
      <c r="S1616" s="109"/>
      <c r="T1616" s="108"/>
      <c r="U1616" s="110"/>
      <c r="V1616" s="110"/>
      <c r="W1616" s="110"/>
      <c r="X1616" s="110"/>
    </row>
    <row r="1617" spans="1:24" ht="14.25" customHeight="1">
      <c r="A1617" s="110"/>
      <c r="B1617" s="125">
        <v>46178</v>
      </c>
      <c r="C1617" s="126" t="s">
        <v>481</v>
      </c>
      <c r="D1617" s="68" t="s">
        <v>285</v>
      </c>
      <c r="E1617" s="10" t="str">
        <f>TRIM(VLOOKUP(D1617,TB!$B$9:$C$1500,2,FALSE))</f>
        <v>Misc Cash Purchase</v>
      </c>
      <c r="F1617" s="173" t="s">
        <v>482</v>
      </c>
      <c r="G1617" s="130"/>
      <c r="H1617" s="10">
        <v>250000</v>
      </c>
      <c r="I1617" s="10">
        <f t="shared" si="96"/>
        <v>0</v>
      </c>
      <c r="J1617" s="79" t="e">
        <f t="shared" si="79"/>
        <v>#VALUE!</v>
      </c>
      <c r="K1617" s="106"/>
      <c r="L1617" s="107"/>
      <c r="M1617" s="106"/>
      <c r="N1617" s="106"/>
      <c r="O1617" s="108"/>
      <c r="P1617" s="108"/>
      <c r="Q1617" s="108"/>
      <c r="R1617" s="109"/>
      <c r="S1617" s="109"/>
      <c r="T1617" s="108"/>
      <c r="U1617" s="110"/>
      <c r="V1617" s="110"/>
      <c r="W1617" s="110"/>
      <c r="X1617" s="110"/>
    </row>
    <row r="1618" spans="1:24" ht="14.25" customHeight="1">
      <c r="A1618" s="110"/>
      <c r="B1618" s="125">
        <v>46178</v>
      </c>
      <c r="C1618" s="126" t="s">
        <v>481</v>
      </c>
      <c r="D1618" s="68" t="s">
        <v>130</v>
      </c>
      <c r="E1618" s="10" t="str">
        <f>TRIM(VLOOKUP(D1618,TB!$B$9:$C$1500,2,FALSE))</f>
        <v>BCA TBB</v>
      </c>
      <c r="F1618" s="173" t="str">
        <f>F1617</f>
        <v>Tiara - Fee Host Ladies 18 May 26</v>
      </c>
      <c r="G1618" s="130"/>
      <c r="H1618" s="10"/>
      <c r="I1618" s="10">
        <f t="shared" si="96"/>
        <v>250000</v>
      </c>
      <c r="J1618" s="79" t="e">
        <f t="shared" si="79"/>
        <v>#VALUE!</v>
      </c>
      <c r="K1618" s="106"/>
      <c r="L1618" s="107"/>
      <c r="M1618" s="106"/>
      <c r="N1618" s="106"/>
      <c r="O1618" s="108"/>
      <c r="P1618" s="108"/>
      <c r="Q1618" s="108"/>
      <c r="R1618" s="109"/>
      <c r="S1618" s="109"/>
      <c r="T1618" s="108"/>
      <c r="U1618" s="110"/>
      <c r="V1618" s="110"/>
      <c r="W1618" s="110"/>
      <c r="X1618" s="110"/>
    </row>
    <row r="1619" spans="1:24" ht="14.25" customHeight="1">
      <c r="A1619" s="110"/>
      <c r="B1619" s="125"/>
      <c r="C1619" s="126"/>
      <c r="D1619" s="15"/>
      <c r="E1619" s="10" t="e">
        <f>TRIM(VLOOKUP(D1619,TB!$B$9:$C$1500,2,FALSE))</f>
        <v>#N/A</v>
      </c>
      <c r="F1619" s="173"/>
      <c r="G1619" s="130"/>
      <c r="H1619" s="10"/>
      <c r="I1619" s="10">
        <f t="shared" si="96"/>
        <v>0</v>
      </c>
      <c r="J1619" s="79" t="e">
        <f t="shared" si="79"/>
        <v>#VALUE!</v>
      </c>
      <c r="K1619" s="106"/>
      <c r="L1619" s="107"/>
      <c r="M1619" s="106"/>
      <c r="N1619" s="106"/>
      <c r="O1619" s="108"/>
      <c r="P1619" s="108"/>
      <c r="Q1619" s="108"/>
      <c r="R1619" s="109"/>
      <c r="S1619" s="109"/>
      <c r="T1619" s="108"/>
      <c r="U1619" s="110"/>
      <c r="V1619" s="110"/>
      <c r="W1619" s="110"/>
      <c r="X1619" s="110"/>
    </row>
    <row r="1620" spans="1:24" ht="14.25" customHeight="1">
      <c r="A1620" s="110"/>
      <c r="B1620" s="125">
        <v>46178</v>
      </c>
      <c r="C1620" s="126" t="s">
        <v>483</v>
      </c>
      <c r="D1620" s="68" t="s">
        <v>285</v>
      </c>
      <c r="E1620" s="10" t="str">
        <f>TRIM(VLOOKUP(D1620,TB!$B$9:$C$1500,2,FALSE))</f>
        <v>Misc Cash Purchase</v>
      </c>
      <c r="F1620" s="173" t="s">
        <v>484</v>
      </c>
      <c r="G1620" s="130"/>
      <c r="H1620" s="10">
        <v>750000</v>
      </c>
      <c r="I1620" s="10">
        <f t="shared" si="96"/>
        <v>0</v>
      </c>
      <c r="J1620" s="79" t="e">
        <f t="shared" si="79"/>
        <v>#VALUE!</v>
      </c>
      <c r="K1620" s="106"/>
      <c r="L1620" s="107"/>
      <c r="M1620" s="106"/>
      <c r="N1620" s="106"/>
      <c r="O1620" s="108"/>
      <c r="P1620" s="108"/>
      <c r="Q1620" s="108"/>
      <c r="R1620" s="109"/>
      <c r="S1620" s="109"/>
      <c r="T1620" s="108"/>
      <c r="U1620" s="110"/>
      <c r="V1620" s="110"/>
      <c r="W1620" s="110"/>
      <c r="X1620" s="110"/>
    </row>
    <row r="1621" spans="1:24" ht="14.25" customHeight="1">
      <c r="A1621" s="110"/>
      <c r="B1621" s="125">
        <v>46178</v>
      </c>
      <c r="C1621" s="126" t="s">
        <v>483</v>
      </c>
      <c r="D1621" s="15" t="s">
        <v>124</v>
      </c>
      <c r="E1621" s="10" t="str">
        <f>TRIM(VLOOKUP(D1621,TB!$B$9:$C$1500,2,FALSE))</f>
        <v>Bank charges</v>
      </c>
      <c r="F1621" s="173" t="s">
        <v>484</v>
      </c>
      <c r="G1621" s="130"/>
      <c r="H1621" s="10">
        <v>2500</v>
      </c>
      <c r="I1621" s="10"/>
      <c r="J1621" s="79" t="e">
        <f t="shared" si="79"/>
        <v>#VALUE!</v>
      </c>
      <c r="K1621" s="106"/>
      <c r="L1621" s="107"/>
      <c r="M1621" s="106"/>
      <c r="N1621" s="106"/>
      <c r="O1621" s="108"/>
      <c r="P1621" s="108"/>
      <c r="Q1621" s="108"/>
      <c r="R1621" s="109"/>
      <c r="S1621" s="109"/>
      <c r="T1621" s="108"/>
      <c r="U1621" s="110"/>
      <c r="V1621" s="110"/>
      <c r="W1621" s="110"/>
      <c r="X1621" s="110"/>
    </row>
    <row r="1622" spans="1:24" ht="14.25" customHeight="1">
      <c r="A1622" s="110"/>
      <c r="B1622" s="125">
        <v>46178</v>
      </c>
      <c r="C1622" s="126" t="s">
        <v>483</v>
      </c>
      <c r="D1622" s="68" t="s">
        <v>130</v>
      </c>
      <c r="E1622" s="10" t="str">
        <f>TRIM(VLOOKUP(D1622,TB!$B$9:$C$1500,2,FALSE))</f>
        <v>BCA TBB</v>
      </c>
      <c r="F1622" s="173" t="str">
        <f>F1620</f>
        <v>Indi - Fee Host Ladies 18,21,23 May 26</v>
      </c>
      <c r="G1622" s="130"/>
      <c r="H1622" s="10"/>
      <c r="I1622" s="10">
        <f>SUM(H1620:H1621)</f>
        <v>752500</v>
      </c>
      <c r="J1622" s="79" t="e">
        <f t="shared" si="79"/>
        <v>#VALUE!</v>
      </c>
      <c r="K1622" s="106"/>
      <c r="L1622" s="107"/>
      <c r="M1622" s="106"/>
      <c r="N1622" s="106"/>
      <c r="O1622" s="108"/>
      <c r="P1622" s="108"/>
      <c r="Q1622" s="108"/>
      <c r="R1622" s="109"/>
      <c r="S1622" s="109"/>
      <c r="T1622" s="108"/>
      <c r="U1622" s="110"/>
      <c r="V1622" s="110"/>
      <c r="W1622" s="110"/>
      <c r="X1622" s="110"/>
    </row>
    <row r="1623" spans="1:24" ht="14.25" customHeight="1">
      <c r="A1623" s="110"/>
      <c r="B1623" s="125"/>
      <c r="C1623" s="126"/>
      <c r="D1623" s="15"/>
      <c r="E1623" s="10" t="e">
        <f>TRIM(VLOOKUP(D1623,TB!$B$9:$C$1500,2,FALSE))</f>
        <v>#N/A</v>
      </c>
      <c r="F1623" s="173"/>
      <c r="G1623" s="130"/>
      <c r="H1623" s="10"/>
      <c r="I1623" s="10">
        <f t="shared" ref="I1623:I1630" si="97">SUM(H1622)</f>
        <v>0</v>
      </c>
      <c r="J1623" s="79" t="e">
        <f t="shared" si="79"/>
        <v>#VALUE!</v>
      </c>
      <c r="K1623" s="106"/>
      <c r="L1623" s="107"/>
      <c r="M1623" s="106"/>
      <c r="N1623" s="106"/>
      <c r="O1623" s="108"/>
      <c r="P1623" s="108"/>
      <c r="Q1623" s="108"/>
      <c r="R1623" s="109"/>
      <c r="S1623" s="109"/>
      <c r="T1623" s="108"/>
      <c r="U1623" s="110"/>
      <c r="V1623" s="110"/>
      <c r="W1623" s="110"/>
      <c r="X1623" s="110"/>
    </row>
    <row r="1624" spans="1:24" ht="14.25" customHeight="1">
      <c r="A1624" s="110"/>
      <c r="B1624" s="125">
        <v>46178</v>
      </c>
      <c r="C1624" s="126" t="s">
        <v>485</v>
      </c>
      <c r="D1624" s="68" t="s">
        <v>285</v>
      </c>
      <c r="E1624" s="10" t="str">
        <f>TRIM(VLOOKUP(D1624,TB!$B$9:$C$1500,2,FALSE))</f>
        <v>Misc Cash Purchase</v>
      </c>
      <c r="F1624" s="173" t="s">
        <v>486</v>
      </c>
      <c r="G1624" s="130"/>
      <c r="H1624" s="10">
        <v>500000</v>
      </c>
      <c r="I1624" s="10">
        <f t="shared" si="97"/>
        <v>0</v>
      </c>
      <c r="J1624" s="79" t="e">
        <f t="shared" si="79"/>
        <v>#VALUE!</v>
      </c>
      <c r="K1624" s="106"/>
      <c r="L1624" s="107"/>
      <c r="M1624" s="106"/>
      <c r="N1624" s="106"/>
      <c r="O1624" s="108"/>
      <c r="P1624" s="108"/>
      <c r="Q1624" s="108"/>
      <c r="R1624" s="109"/>
      <c r="S1624" s="109"/>
      <c r="T1624" s="108"/>
      <c r="U1624" s="110"/>
      <c r="V1624" s="110"/>
      <c r="W1624" s="110"/>
      <c r="X1624" s="110"/>
    </row>
    <row r="1625" spans="1:24" ht="14.25" customHeight="1">
      <c r="A1625" s="110"/>
      <c r="B1625" s="125">
        <v>46178</v>
      </c>
      <c r="C1625" s="126" t="s">
        <v>485</v>
      </c>
      <c r="D1625" s="68" t="s">
        <v>130</v>
      </c>
      <c r="E1625" s="10" t="str">
        <f>TRIM(VLOOKUP(D1625,TB!$B$9:$C$1500,2,FALSE))</f>
        <v>BCA TBB</v>
      </c>
      <c r="F1625" s="173" t="str">
        <f>F1624</f>
        <v>Santi - Fee Host Ladies 18,23 May 26</v>
      </c>
      <c r="G1625" s="130"/>
      <c r="H1625" s="10"/>
      <c r="I1625" s="10">
        <f t="shared" si="97"/>
        <v>500000</v>
      </c>
      <c r="J1625" s="79" t="e">
        <f t="shared" si="79"/>
        <v>#VALUE!</v>
      </c>
      <c r="K1625" s="106"/>
      <c r="L1625" s="107"/>
      <c r="M1625" s="106"/>
      <c r="N1625" s="106"/>
      <c r="O1625" s="108"/>
      <c r="P1625" s="108"/>
      <c r="Q1625" s="108"/>
      <c r="R1625" s="109"/>
      <c r="S1625" s="109"/>
      <c r="T1625" s="108"/>
      <c r="U1625" s="110"/>
      <c r="V1625" s="110"/>
      <c r="W1625" s="110"/>
      <c r="X1625" s="110"/>
    </row>
    <row r="1626" spans="1:24" ht="14.25" customHeight="1">
      <c r="A1626" s="110"/>
      <c r="B1626" s="125"/>
      <c r="C1626" s="126"/>
      <c r="D1626" s="15"/>
      <c r="E1626" s="10" t="e">
        <f>TRIM(VLOOKUP(D1626,TB!$B$9:$C$1500,2,FALSE))</f>
        <v>#N/A</v>
      </c>
      <c r="F1626" s="173"/>
      <c r="G1626" s="130"/>
      <c r="H1626" s="10"/>
      <c r="I1626" s="10">
        <f t="shared" si="97"/>
        <v>0</v>
      </c>
      <c r="J1626" s="79" t="e">
        <f t="shared" si="79"/>
        <v>#VALUE!</v>
      </c>
      <c r="K1626" s="106"/>
      <c r="L1626" s="107"/>
      <c r="M1626" s="106"/>
      <c r="N1626" s="106"/>
      <c r="O1626" s="108"/>
      <c r="P1626" s="108"/>
      <c r="Q1626" s="108"/>
      <c r="R1626" s="109"/>
      <c r="S1626" s="109"/>
      <c r="T1626" s="108"/>
      <c r="U1626" s="110"/>
      <c r="V1626" s="110"/>
      <c r="W1626" s="110"/>
      <c r="X1626" s="110"/>
    </row>
    <row r="1627" spans="1:24" ht="14.25" customHeight="1">
      <c r="A1627" s="110"/>
      <c r="B1627" s="125">
        <v>46178</v>
      </c>
      <c r="C1627" s="126" t="s">
        <v>487</v>
      </c>
      <c r="D1627" s="68" t="s">
        <v>285</v>
      </c>
      <c r="E1627" s="10" t="str">
        <f>TRIM(VLOOKUP(D1627,TB!$B$9:$C$1500,2,FALSE))</f>
        <v>Misc Cash Purchase</v>
      </c>
      <c r="F1627" s="173" t="s">
        <v>488</v>
      </c>
      <c r="G1627" s="130"/>
      <c r="H1627" s="10">
        <v>250000</v>
      </c>
      <c r="I1627" s="10">
        <f t="shared" si="97"/>
        <v>0</v>
      </c>
      <c r="J1627" s="79" t="e">
        <f t="shared" si="79"/>
        <v>#VALUE!</v>
      </c>
      <c r="K1627" s="106"/>
      <c r="L1627" s="107"/>
      <c r="M1627" s="106"/>
      <c r="N1627" s="106"/>
      <c r="O1627" s="108"/>
      <c r="P1627" s="108"/>
      <c r="Q1627" s="108"/>
      <c r="R1627" s="109"/>
      <c r="S1627" s="109"/>
      <c r="T1627" s="108"/>
      <c r="U1627" s="110"/>
      <c r="V1627" s="110"/>
      <c r="W1627" s="110"/>
      <c r="X1627" s="110"/>
    </row>
    <row r="1628" spans="1:24" ht="14.25" customHeight="1">
      <c r="A1628" s="110"/>
      <c r="B1628" s="125">
        <v>46178</v>
      </c>
      <c r="C1628" s="126" t="s">
        <v>487</v>
      </c>
      <c r="D1628" s="68" t="s">
        <v>130</v>
      </c>
      <c r="E1628" s="10" t="str">
        <f>TRIM(VLOOKUP(D1628,TB!$B$9:$C$1500,2,FALSE))</f>
        <v>BCA TBB</v>
      </c>
      <c r="F1628" s="173" t="str">
        <f>F1627</f>
        <v>Niara - Fee Host Ladies 18 May 26</v>
      </c>
      <c r="G1628" s="130"/>
      <c r="H1628" s="10"/>
      <c r="I1628" s="10">
        <f t="shared" si="97"/>
        <v>250000</v>
      </c>
      <c r="J1628" s="79" t="e">
        <f t="shared" si="79"/>
        <v>#VALUE!</v>
      </c>
      <c r="K1628" s="106"/>
      <c r="L1628" s="107"/>
      <c r="M1628" s="106"/>
      <c r="N1628" s="106"/>
      <c r="O1628" s="108"/>
      <c r="P1628" s="108"/>
      <c r="Q1628" s="108"/>
      <c r="R1628" s="109"/>
      <c r="S1628" s="109"/>
      <c r="T1628" s="108"/>
      <c r="U1628" s="110"/>
      <c r="V1628" s="110"/>
      <c r="W1628" s="110"/>
      <c r="X1628" s="110"/>
    </row>
    <row r="1629" spans="1:24" ht="14.25" customHeight="1">
      <c r="A1629" s="110"/>
      <c r="B1629" s="125"/>
      <c r="C1629" s="126"/>
      <c r="D1629" s="15"/>
      <c r="E1629" s="10" t="e">
        <f>TRIM(VLOOKUP(D1629,TB!$B$9:$C$1500,2,FALSE))</f>
        <v>#N/A</v>
      </c>
      <c r="F1629" s="173"/>
      <c r="G1629" s="130"/>
      <c r="H1629" s="10"/>
      <c r="I1629" s="10">
        <f t="shared" si="97"/>
        <v>0</v>
      </c>
      <c r="J1629" s="79" t="e">
        <f t="shared" si="79"/>
        <v>#VALUE!</v>
      </c>
      <c r="K1629" s="106"/>
      <c r="L1629" s="107"/>
      <c r="M1629" s="106"/>
      <c r="N1629" s="106"/>
      <c r="O1629" s="108"/>
      <c r="P1629" s="108"/>
      <c r="Q1629" s="108"/>
      <c r="R1629" s="109"/>
      <c r="S1629" s="109"/>
      <c r="T1629" s="108"/>
      <c r="U1629" s="110"/>
      <c r="V1629" s="110"/>
      <c r="W1629" s="110"/>
      <c r="X1629" s="110"/>
    </row>
    <row r="1630" spans="1:24" ht="14.25" customHeight="1">
      <c r="A1630" s="110"/>
      <c r="B1630" s="125">
        <v>46178</v>
      </c>
      <c r="C1630" s="126" t="s">
        <v>489</v>
      </c>
      <c r="D1630" s="68" t="s">
        <v>285</v>
      </c>
      <c r="E1630" s="10" t="str">
        <f>TRIM(VLOOKUP(D1630,TB!$B$9:$C$1500,2,FALSE))</f>
        <v>Misc Cash Purchase</v>
      </c>
      <c r="F1630" s="173" t="s">
        <v>490</v>
      </c>
      <c r="G1630" s="130"/>
      <c r="H1630" s="10">
        <v>500000</v>
      </c>
      <c r="I1630" s="10">
        <f t="shared" si="97"/>
        <v>0</v>
      </c>
      <c r="J1630" s="79" t="e">
        <f t="shared" si="79"/>
        <v>#VALUE!</v>
      </c>
      <c r="K1630" s="106"/>
      <c r="L1630" s="107"/>
      <c r="M1630" s="106"/>
      <c r="N1630" s="106"/>
      <c r="O1630" s="108"/>
      <c r="P1630" s="108"/>
      <c r="Q1630" s="108"/>
      <c r="R1630" s="109"/>
      <c r="S1630" s="109"/>
      <c r="T1630" s="108"/>
      <c r="U1630" s="110"/>
      <c r="V1630" s="110"/>
      <c r="W1630" s="110"/>
      <c r="X1630" s="110"/>
    </row>
    <row r="1631" spans="1:24" ht="14.25" customHeight="1">
      <c r="A1631" s="110"/>
      <c r="B1631" s="125">
        <v>46178</v>
      </c>
      <c r="C1631" s="126" t="s">
        <v>489</v>
      </c>
      <c r="D1631" s="15" t="s">
        <v>124</v>
      </c>
      <c r="E1631" s="10" t="str">
        <f>TRIM(VLOOKUP(D1631,TB!$B$9:$C$1500,2,FALSE))</f>
        <v>Bank charges</v>
      </c>
      <c r="F1631" s="173" t="s">
        <v>490</v>
      </c>
      <c r="G1631" s="130"/>
      <c r="H1631" s="10">
        <v>2500</v>
      </c>
      <c r="I1631" s="10"/>
      <c r="J1631" s="79" t="e">
        <f t="shared" si="79"/>
        <v>#VALUE!</v>
      </c>
      <c r="K1631" s="106"/>
      <c r="L1631" s="107"/>
      <c r="M1631" s="106"/>
      <c r="N1631" s="106"/>
      <c r="O1631" s="108"/>
      <c r="P1631" s="108"/>
      <c r="Q1631" s="108"/>
      <c r="R1631" s="109"/>
      <c r="S1631" s="109"/>
      <c r="T1631" s="108"/>
      <c r="U1631" s="110"/>
      <c r="V1631" s="110"/>
      <c r="W1631" s="110"/>
      <c r="X1631" s="110"/>
    </row>
    <row r="1632" spans="1:24" ht="14.25" customHeight="1">
      <c r="A1632" s="110"/>
      <c r="B1632" s="125">
        <v>46178</v>
      </c>
      <c r="C1632" s="126" t="s">
        <v>489</v>
      </c>
      <c r="D1632" s="68" t="s">
        <v>130</v>
      </c>
      <c r="E1632" s="10" t="str">
        <f>TRIM(VLOOKUP(D1632,TB!$B$9:$C$1500,2,FALSE))</f>
        <v>BCA TBB</v>
      </c>
      <c r="F1632" s="173" t="str">
        <f>F1630</f>
        <v>Kimberly - Fee Host Ladies 18,21 May 26</v>
      </c>
      <c r="G1632" s="130"/>
      <c r="H1632" s="10"/>
      <c r="I1632" s="10">
        <f>SUM(H1630:H1631)</f>
        <v>502500</v>
      </c>
      <c r="J1632" s="79" t="e">
        <f t="shared" si="79"/>
        <v>#VALUE!</v>
      </c>
      <c r="K1632" s="106"/>
      <c r="L1632" s="107"/>
      <c r="M1632" s="106"/>
      <c r="N1632" s="106"/>
      <c r="O1632" s="108"/>
      <c r="P1632" s="108"/>
      <c r="Q1632" s="108"/>
      <c r="R1632" s="109"/>
      <c r="S1632" s="109"/>
      <c r="T1632" s="108"/>
      <c r="U1632" s="110"/>
      <c r="V1632" s="110"/>
      <c r="W1632" s="110"/>
      <c r="X1632" s="110"/>
    </row>
    <row r="1633" spans="1:24" ht="14.25" customHeight="1">
      <c r="A1633" s="110"/>
      <c r="B1633" s="125"/>
      <c r="C1633" s="126"/>
      <c r="D1633" s="15"/>
      <c r="E1633" s="10" t="e">
        <f>TRIM(VLOOKUP(D1633,TB!$B$9:$C$1500,2,FALSE))</f>
        <v>#N/A</v>
      </c>
      <c r="F1633" s="173"/>
      <c r="G1633" s="130"/>
      <c r="H1633" s="10"/>
      <c r="I1633" s="10">
        <f t="shared" ref="I1633:I1637" si="98">SUM(H1632)</f>
        <v>0</v>
      </c>
      <c r="J1633" s="79" t="e">
        <f t="shared" si="79"/>
        <v>#VALUE!</v>
      </c>
      <c r="K1633" s="106"/>
      <c r="L1633" s="107"/>
      <c r="M1633" s="106"/>
      <c r="N1633" s="106"/>
      <c r="O1633" s="108"/>
      <c r="P1633" s="108"/>
      <c r="Q1633" s="108"/>
      <c r="R1633" s="109"/>
      <c r="S1633" s="109"/>
      <c r="T1633" s="108"/>
      <c r="U1633" s="110"/>
      <c r="V1633" s="110"/>
      <c r="W1633" s="110"/>
      <c r="X1633" s="110"/>
    </row>
    <row r="1634" spans="1:24" ht="14.25" customHeight="1">
      <c r="A1634" s="110"/>
      <c r="B1634" s="125">
        <v>46178</v>
      </c>
      <c r="C1634" s="126" t="s">
        <v>491</v>
      </c>
      <c r="D1634" s="68" t="s">
        <v>285</v>
      </c>
      <c r="E1634" s="10" t="str">
        <f>TRIM(VLOOKUP(D1634,TB!$B$9:$C$1500,2,FALSE))</f>
        <v>Misc Cash Purchase</v>
      </c>
      <c r="F1634" s="173" t="s">
        <v>492</v>
      </c>
      <c r="G1634" s="130"/>
      <c r="H1634" s="170">
        <v>250000</v>
      </c>
      <c r="I1634" s="10">
        <f t="shared" si="98"/>
        <v>0</v>
      </c>
      <c r="J1634" s="79" t="e">
        <f t="shared" si="79"/>
        <v>#VALUE!</v>
      </c>
      <c r="K1634" s="106"/>
      <c r="L1634" s="107"/>
      <c r="M1634" s="106"/>
      <c r="N1634" s="106"/>
      <c r="O1634" s="108"/>
      <c r="P1634" s="108"/>
      <c r="Q1634" s="108"/>
      <c r="R1634" s="109"/>
      <c r="S1634" s="109"/>
      <c r="T1634" s="108"/>
      <c r="U1634" s="110"/>
      <c r="V1634" s="110"/>
      <c r="W1634" s="110"/>
      <c r="X1634" s="110"/>
    </row>
    <row r="1635" spans="1:24" ht="14.25" customHeight="1">
      <c r="A1635" s="110"/>
      <c r="B1635" s="125">
        <v>46178</v>
      </c>
      <c r="C1635" s="126" t="s">
        <v>491</v>
      </c>
      <c r="D1635" s="68" t="s">
        <v>130</v>
      </c>
      <c r="E1635" s="10" t="str">
        <f>TRIM(VLOOKUP(D1635,TB!$B$9:$C$1500,2,FALSE))</f>
        <v>BCA TBB</v>
      </c>
      <c r="F1635" s="173" t="str">
        <f>F1634</f>
        <v>Shirley - Fee Host Ladies 21 May 26</v>
      </c>
      <c r="G1635" s="130"/>
      <c r="H1635" s="10"/>
      <c r="I1635" s="10">
        <f t="shared" si="98"/>
        <v>250000</v>
      </c>
      <c r="J1635" s="79" t="e">
        <f t="shared" si="79"/>
        <v>#VALUE!</v>
      </c>
      <c r="K1635" s="106"/>
      <c r="L1635" s="107"/>
      <c r="M1635" s="106"/>
      <c r="N1635" s="106"/>
      <c r="O1635" s="108"/>
      <c r="P1635" s="108"/>
      <c r="Q1635" s="108"/>
      <c r="R1635" s="109"/>
      <c r="S1635" s="109"/>
      <c r="T1635" s="108"/>
      <c r="U1635" s="110"/>
      <c r="V1635" s="110"/>
      <c r="W1635" s="110"/>
      <c r="X1635" s="110"/>
    </row>
    <row r="1636" spans="1:24" ht="14.25" customHeight="1">
      <c r="A1636" s="110"/>
      <c r="B1636" s="125"/>
      <c r="C1636" s="126"/>
      <c r="D1636" s="15"/>
      <c r="E1636" s="10" t="e">
        <f>TRIM(VLOOKUP(D1636,TB!$B$9:$C$1500,2,FALSE))</f>
        <v>#N/A</v>
      </c>
      <c r="F1636" s="173"/>
      <c r="G1636" s="130"/>
      <c r="H1636" s="10"/>
      <c r="I1636" s="10">
        <f t="shared" si="98"/>
        <v>0</v>
      </c>
      <c r="J1636" s="79" t="e">
        <f t="shared" si="79"/>
        <v>#VALUE!</v>
      </c>
      <c r="K1636" s="106"/>
      <c r="L1636" s="107"/>
      <c r="M1636" s="106"/>
      <c r="N1636" s="106"/>
      <c r="O1636" s="108"/>
      <c r="P1636" s="108"/>
      <c r="Q1636" s="108"/>
      <c r="R1636" s="109"/>
      <c r="S1636" s="109"/>
      <c r="T1636" s="108"/>
      <c r="U1636" s="110"/>
      <c r="V1636" s="110"/>
      <c r="W1636" s="110"/>
      <c r="X1636" s="110"/>
    </row>
    <row r="1637" spans="1:24" ht="14.25" customHeight="1">
      <c r="A1637" s="110"/>
      <c r="B1637" s="125">
        <v>46178</v>
      </c>
      <c r="C1637" s="126" t="s">
        <v>493</v>
      </c>
      <c r="D1637" s="68" t="s">
        <v>285</v>
      </c>
      <c r="E1637" s="10" t="str">
        <f>TRIM(VLOOKUP(D1637,TB!$B$9:$C$1500,2,FALSE))</f>
        <v>Misc Cash Purchase</v>
      </c>
      <c r="F1637" s="173" t="s">
        <v>494</v>
      </c>
      <c r="G1637" s="130"/>
      <c r="H1637" s="177">
        <v>250000</v>
      </c>
      <c r="I1637" s="10">
        <f t="shared" si="98"/>
        <v>0</v>
      </c>
      <c r="J1637" s="79" t="e">
        <f t="shared" si="79"/>
        <v>#VALUE!</v>
      </c>
      <c r="K1637" s="106"/>
      <c r="L1637" s="107"/>
      <c r="M1637" s="106"/>
      <c r="N1637" s="106"/>
      <c r="O1637" s="108"/>
      <c r="P1637" s="108"/>
      <c r="Q1637" s="108"/>
      <c r="R1637" s="109"/>
      <c r="S1637" s="109"/>
      <c r="T1637" s="108"/>
      <c r="U1637" s="110"/>
      <c r="V1637" s="110"/>
      <c r="W1637" s="110"/>
      <c r="X1637" s="110"/>
    </row>
    <row r="1638" spans="1:24" ht="14.25" customHeight="1">
      <c r="A1638" s="110"/>
      <c r="B1638" s="125">
        <v>46178</v>
      </c>
      <c r="C1638" s="126" t="s">
        <v>493</v>
      </c>
      <c r="D1638" s="15" t="s">
        <v>124</v>
      </c>
      <c r="E1638" s="10" t="str">
        <f>TRIM(VLOOKUP(D1638,TB!$B$9:$C$1500,2,FALSE))</f>
        <v>Bank charges</v>
      </c>
      <c r="F1638" s="173" t="s">
        <v>494</v>
      </c>
      <c r="G1638" s="130"/>
      <c r="H1638" s="10">
        <v>2500</v>
      </c>
      <c r="I1638" s="10"/>
      <c r="J1638" s="79" t="e">
        <f t="shared" si="79"/>
        <v>#VALUE!</v>
      </c>
      <c r="K1638" s="106"/>
      <c r="L1638" s="107"/>
      <c r="M1638" s="106"/>
      <c r="N1638" s="106"/>
      <c r="O1638" s="108"/>
      <c r="P1638" s="108"/>
      <c r="Q1638" s="108"/>
      <c r="R1638" s="109"/>
      <c r="S1638" s="109"/>
      <c r="T1638" s="108"/>
      <c r="U1638" s="110"/>
      <c r="V1638" s="110"/>
      <c r="W1638" s="110"/>
      <c r="X1638" s="110"/>
    </row>
    <row r="1639" spans="1:24" ht="14.25" customHeight="1">
      <c r="A1639" s="110"/>
      <c r="B1639" s="125">
        <v>46178</v>
      </c>
      <c r="C1639" s="126" t="s">
        <v>493</v>
      </c>
      <c r="D1639" s="68" t="s">
        <v>130</v>
      </c>
      <c r="E1639" s="10" t="str">
        <f>TRIM(VLOOKUP(D1639,TB!$B$9:$C$1500,2,FALSE))</f>
        <v>BCA TBB</v>
      </c>
      <c r="F1639" s="173" t="s">
        <v>494</v>
      </c>
      <c r="G1639" s="130"/>
      <c r="H1639" s="10"/>
      <c r="I1639" s="10">
        <f>SUM(H1637:H1638)</f>
        <v>252500</v>
      </c>
      <c r="J1639" s="79" t="e">
        <f t="shared" si="79"/>
        <v>#VALUE!</v>
      </c>
      <c r="K1639" s="106"/>
      <c r="L1639" s="107"/>
      <c r="M1639" s="106"/>
      <c r="N1639" s="106"/>
      <c r="O1639" s="108"/>
      <c r="P1639" s="108"/>
      <c r="Q1639" s="108"/>
      <c r="R1639" s="109"/>
      <c r="S1639" s="109"/>
      <c r="T1639" s="108"/>
      <c r="U1639" s="110"/>
      <c r="V1639" s="110"/>
      <c r="W1639" s="110"/>
      <c r="X1639" s="110"/>
    </row>
    <row r="1640" spans="1:24" ht="14.25" customHeight="1">
      <c r="A1640" s="110"/>
      <c r="B1640" s="125"/>
      <c r="C1640" s="126"/>
      <c r="D1640" s="68"/>
      <c r="E1640" s="10" t="e">
        <f>TRIM(VLOOKUP(D1640,TB!$B$9:$C$1500,2,FALSE))</f>
        <v>#N/A</v>
      </c>
      <c r="F1640" s="173"/>
      <c r="G1640" s="130"/>
      <c r="H1640" s="10"/>
      <c r="I1640" s="10">
        <f t="shared" ref="I1640:I1655" si="99">SUM(H1639)</f>
        <v>0</v>
      </c>
      <c r="J1640" s="79" t="e">
        <f t="shared" si="79"/>
        <v>#VALUE!</v>
      </c>
      <c r="K1640" s="106"/>
      <c r="L1640" s="107"/>
      <c r="M1640" s="106"/>
      <c r="N1640" s="106"/>
      <c r="O1640" s="108"/>
      <c r="P1640" s="108"/>
      <c r="Q1640" s="108"/>
      <c r="R1640" s="109"/>
      <c r="S1640" s="109"/>
      <c r="T1640" s="108"/>
      <c r="U1640" s="110"/>
      <c r="V1640" s="110"/>
      <c r="W1640" s="110"/>
      <c r="X1640" s="110"/>
    </row>
    <row r="1641" spans="1:24" ht="14.25" customHeight="1">
      <c r="A1641" s="110"/>
      <c r="B1641" s="125">
        <v>46178</v>
      </c>
      <c r="C1641" s="126" t="s">
        <v>495</v>
      </c>
      <c r="D1641" s="68" t="s">
        <v>285</v>
      </c>
      <c r="E1641" s="10" t="str">
        <f>TRIM(VLOOKUP(D1641,TB!$B$9:$C$1500,2,FALSE))</f>
        <v>Misc Cash Purchase</v>
      </c>
      <c r="F1641" s="173" t="s">
        <v>496</v>
      </c>
      <c r="G1641" s="130"/>
      <c r="H1641" s="10">
        <v>500000</v>
      </c>
      <c r="I1641" s="10">
        <f t="shared" si="99"/>
        <v>0</v>
      </c>
      <c r="J1641" s="79" t="e">
        <f t="shared" si="79"/>
        <v>#VALUE!</v>
      </c>
      <c r="K1641" s="106"/>
      <c r="L1641" s="107"/>
      <c r="M1641" s="106"/>
      <c r="N1641" s="106"/>
      <c r="O1641" s="108"/>
      <c r="P1641" s="108"/>
      <c r="Q1641" s="108"/>
      <c r="R1641" s="109"/>
      <c r="S1641" s="109"/>
      <c r="T1641" s="108"/>
      <c r="U1641" s="110"/>
      <c r="V1641" s="110"/>
      <c r="W1641" s="110"/>
      <c r="X1641" s="110"/>
    </row>
    <row r="1642" spans="1:24" ht="14.25" customHeight="1">
      <c r="A1642" s="110"/>
      <c r="B1642" s="125">
        <v>46178</v>
      </c>
      <c r="C1642" s="126" t="s">
        <v>495</v>
      </c>
      <c r="D1642" s="68" t="s">
        <v>130</v>
      </c>
      <c r="E1642" s="10" t="str">
        <f>TRIM(VLOOKUP(D1642,TB!$B$9:$C$1500,2,FALSE))</f>
        <v>BCA TBB</v>
      </c>
      <c r="F1642" s="173" t="str">
        <f>F1641</f>
        <v>Hanny - Fee Host Ladies 21,23 May 26</v>
      </c>
      <c r="G1642" s="130"/>
      <c r="H1642" s="10"/>
      <c r="I1642" s="10">
        <f t="shared" si="99"/>
        <v>500000</v>
      </c>
      <c r="J1642" s="79" t="e">
        <f t="shared" si="79"/>
        <v>#VALUE!</v>
      </c>
      <c r="K1642" s="106"/>
      <c r="L1642" s="107"/>
      <c r="M1642" s="106"/>
      <c r="N1642" s="106"/>
      <c r="O1642" s="108"/>
      <c r="P1642" s="108"/>
      <c r="Q1642" s="108"/>
      <c r="R1642" s="109"/>
      <c r="S1642" s="109"/>
      <c r="T1642" s="108"/>
      <c r="U1642" s="110"/>
      <c r="V1642" s="110"/>
      <c r="W1642" s="110"/>
      <c r="X1642" s="110"/>
    </row>
    <row r="1643" spans="1:24" ht="14.25" customHeight="1">
      <c r="A1643" s="110"/>
      <c r="B1643" s="125"/>
      <c r="C1643" s="126"/>
      <c r="D1643" s="15"/>
      <c r="E1643" s="10" t="e">
        <f>TRIM(VLOOKUP(D1643,TB!$B$9:$C$1500,2,FALSE))</f>
        <v>#N/A</v>
      </c>
      <c r="F1643" s="173"/>
      <c r="G1643" s="130"/>
      <c r="H1643" s="10"/>
      <c r="I1643" s="10">
        <f t="shared" si="99"/>
        <v>0</v>
      </c>
      <c r="J1643" s="79" t="e">
        <f t="shared" si="79"/>
        <v>#VALUE!</v>
      </c>
      <c r="K1643" s="106"/>
      <c r="L1643" s="107"/>
      <c r="M1643" s="106"/>
      <c r="N1643" s="106"/>
      <c r="O1643" s="108"/>
      <c r="P1643" s="108"/>
      <c r="Q1643" s="108"/>
      <c r="R1643" s="109"/>
      <c r="S1643" s="109"/>
      <c r="T1643" s="108"/>
      <c r="U1643" s="110"/>
      <c r="V1643" s="110"/>
      <c r="W1643" s="110"/>
      <c r="X1643" s="110"/>
    </row>
    <row r="1644" spans="1:24" ht="14.25" customHeight="1">
      <c r="A1644" s="110"/>
      <c r="B1644" s="125">
        <v>46178</v>
      </c>
      <c r="C1644" s="126" t="s">
        <v>497</v>
      </c>
      <c r="D1644" s="68" t="s">
        <v>285</v>
      </c>
      <c r="E1644" s="10" t="str">
        <f>TRIM(VLOOKUP(D1644,TB!$B$9:$C$1500,2,FALSE))</f>
        <v>Misc Cash Purchase</v>
      </c>
      <c r="F1644" s="173" t="s">
        <v>498</v>
      </c>
      <c r="G1644" s="130"/>
      <c r="H1644" s="10">
        <v>250000</v>
      </c>
      <c r="I1644" s="10">
        <f t="shared" si="99"/>
        <v>0</v>
      </c>
      <c r="J1644" s="79" t="e">
        <f t="shared" si="79"/>
        <v>#VALUE!</v>
      </c>
      <c r="K1644" s="106"/>
      <c r="L1644" s="107"/>
      <c r="M1644" s="106"/>
      <c r="N1644" s="106"/>
      <c r="O1644" s="108"/>
      <c r="P1644" s="108"/>
      <c r="Q1644" s="108"/>
      <c r="R1644" s="109"/>
      <c r="S1644" s="109"/>
      <c r="T1644" s="108"/>
      <c r="U1644" s="110"/>
      <c r="V1644" s="110"/>
      <c r="W1644" s="110"/>
      <c r="X1644" s="110"/>
    </row>
    <row r="1645" spans="1:24" ht="14.25" customHeight="1">
      <c r="A1645" s="110"/>
      <c r="B1645" s="125">
        <v>46178</v>
      </c>
      <c r="C1645" s="126" t="s">
        <v>497</v>
      </c>
      <c r="D1645" s="68" t="s">
        <v>130</v>
      </c>
      <c r="E1645" s="10" t="str">
        <f>TRIM(VLOOKUP(D1645,TB!$B$9:$C$1500,2,FALSE))</f>
        <v>BCA TBB</v>
      </c>
      <c r="F1645" s="173" t="str">
        <f>F1644</f>
        <v>Tasya - Fee Host Ladies 23 May 26</v>
      </c>
      <c r="G1645" s="130"/>
      <c r="H1645" s="170"/>
      <c r="I1645" s="10">
        <f t="shared" si="99"/>
        <v>250000</v>
      </c>
      <c r="J1645" s="79" t="e">
        <f t="shared" si="79"/>
        <v>#VALUE!</v>
      </c>
      <c r="K1645" s="106"/>
      <c r="L1645" s="107"/>
      <c r="M1645" s="106"/>
      <c r="N1645" s="106"/>
      <c r="O1645" s="108"/>
      <c r="P1645" s="108"/>
      <c r="Q1645" s="108"/>
      <c r="R1645" s="109"/>
      <c r="S1645" s="109"/>
      <c r="T1645" s="108"/>
      <c r="U1645" s="110"/>
      <c r="V1645" s="110"/>
      <c r="W1645" s="110"/>
      <c r="X1645" s="110"/>
    </row>
    <row r="1646" spans="1:24" ht="14.25" customHeight="1">
      <c r="A1646" s="110"/>
      <c r="B1646" s="125"/>
      <c r="C1646" s="126"/>
      <c r="D1646" s="68"/>
      <c r="E1646" s="10" t="e">
        <f>TRIM(VLOOKUP(D1646,TB!$B$9:$C$1500,2,FALSE))</f>
        <v>#N/A</v>
      </c>
      <c r="F1646" s="173"/>
      <c r="G1646" s="130"/>
      <c r="H1646" s="10"/>
      <c r="I1646" s="10">
        <f t="shared" si="99"/>
        <v>0</v>
      </c>
      <c r="J1646" s="79" t="e">
        <f t="shared" si="79"/>
        <v>#VALUE!</v>
      </c>
      <c r="K1646" s="106"/>
      <c r="L1646" s="107"/>
      <c r="M1646" s="106"/>
      <c r="N1646" s="106"/>
      <c r="O1646" s="108"/>
      <c r="P1646" s="108"/>
      <c r="Q1646" s="108"/>
      <c r="R1646" s="109"/>
      <c r="S1646" s="109"/>
      <c r="T1646" s="108"/>
      <c r="U1646" s="110"/>
      <c r="V1646" s="110"/>
      <c r="W1646" s="110"/>
      <c r="X1646" s="110"/>
    </row>
    <row r="1647" spans="1:24" ht="14.25" customHeight="1">
      <c r="A1647" s="110"/>
      <c r="B1647" s="125">
        <v>46178</v>
      </c>
      <c r="C1647" s="126" t="s">
        <v>499</v>
      </c>
      <c r="D1647" s="68" t="s">
        <v>285</v>
      </c>
      <c r="E1647" s="10" t="str">
        <f>TRIM(VLOOKUP(D1647,TB!$B$9:$C$1500,2,FALSE))</f>
        <v>Misc Cash Purchase</v>
      </c>
      <c r="F1647" s="173" t="s">
        <v>500</v>
      </c>
      <c r="G1647" s="130"/>
      <c r="H1647" s="10">
        <v>250000</v>
      </c>
      <c r="I1647" s="10">
        <f t="shared" si="99"/>
        <v>0</v>
      </c>
      <c r="J1647" s="79" t="e">
        <f t="shared" si="79"/>
        <v>#VALUE!</v>
      </c>
      <c r="K1647" s="106"/>
      <c r="L1647" s="107"/>
      <c r="M1647" s="106"/>
      <c r="N1647" s="106"/>
      <c r="O1647" s="108"/>
      <c r="P1647" s="108"/>
      <c r="Q1647" s="108"/>
      <c r="R1647" s="109"/>
      <c r="S1647" s="109"/>
      <c r="T1647" s="108"/>
      <c r="U1647" s="110"/>
      <c r="V1647" s="110"/>
      <c r="W1647" s="110"/>
      <c r="X1647" s="110"/>
    </row>
    <row r="1648" spans="1:24" ht="14.25" customHeight="1">
      <c r="A1648" s="110"/>
      <c r="B1648" s="125">
        <v>46178</v>
      </c>
      <c r="C1648" s="126" t="s">
        <v>499</v>
      </c>
      <c r="D1648" s="68" t="s">
        <v>130</v>
      </c>
      <c r="E1648" s="10" t="str">
        <f>TRIM(VLOOKUP(D1648,TB!$B$9:$C$1500,2,FALSE))</f>
        <v>BCA TBB</v>
      </c>
      <c r="F1648" s="173" t="str">
        <f>F1647</f>
        <v>Sasha - Fee Host Ladies 23 May 26</v>
      </c>
      <c r="G1648" s="130"/>
      <c r="H1648" s="10"/>
      <c r="I1648" s="10">
        <f t="shared" si="99"/>
        <v>250000</v>
      </c>
      <c r="J1648" s="79" t="e">
        <f t="shared" si="79"/>
        <v>#VALUE!</v>
      </c>
      <c r="K1648" s="106"/>
      <c r="L1648" s="107"/>
      <c r="M1648" s="106"/>
      <c r="N1648" s="106"/>
      <c r="O1648" s="108"/>
      <c r="P1648" s="108"/>
      <c r="Q1648" s="108"/>
      <c r="R1648" s="109"/>
      <c r="S1648" s="109"/>
      <c r="T1648" s="108"/>
      <c r="U1648" s="110"/>
      <c r="V1648" s="110"/>
      <c r="W1648" s="110"/>
      <c r="X1648" s="110"/>
    </row>
    <row r="1649" spans="1:24" ht="14.25" customHeight="1">
      <c r="A1649" s="110"/>
      <c r="B1649" s="125"/>
      <c r="C1649" s="126"/>
      <c r="D1649" s="68"/>
      <c r="E1649" s="10" t="e">
        <f>TRIM(VLOOKUP(D1649,TB!$B$9:$C$1500,2,FALSE))</f>
        <v>#N/A</v>
      </c>
      <c r="F1649" s="173"/>
      <c r="G1649" s="130"/>
      <c r="H1649" s="177"/>
      <c r="I1649" s="10">
        <f t="shared" si="99"/>
        <v>0</v>
      </c>
      <c r="J1649" s="79" t="e">
        <f t="shared" si="79"/>
        <v>#VALUE!</v>
      </c>
      <c r="K1649" s="106"/>
      <c r="L1649" s="107"/>
      <c r="M1649" s="106"/>
      <c r="N1649" s="106"/>
      <c r="O1649" s="108"/>
      <c r="P1649" s="108"/>
      <c r="Q1649" s="108"/>
      <c r="R1649" s="109"/>
      <c r="S1649" s="109"/>
      <c r="T1649" s="108"/>
      <c r="U1649" s="110"/>
      <c r="V1649" s="110"/>
      <c r="W1649" s="110"/>
      <c r="X1649" s="110"/>
    </row>
    <row r="1650" spans="1:24" ht="14.25" customHeight="1">
      <c r="A1650" s="110"/>
      <c r="B1650" s="125">
        <v>46178</v>
      </c>
      <c r="C1650" s="126" t="s">
        <v>501</v>
      </c>
      <c r="D1650" s="15" t="s">
        <v>438</v>
      </c>
      <c r="E1650" s="10" t="str">
        <f>TRIM(VLOOKUP(D1650,TB!$B$9:$C$1500,2,FALSE))</f>
        <v>Brochure Flyer Printing</v>
      </c>
      <c r="F1650" s="173" t="s">
        <v>502</v>
      </c>
      <c r="G1650" s="130"/>
      <c r="H1650" s="10">
        <v>248000</v>
      </c>
      <c r="I1650" s="10">
        <f t="shared" si="99"/>
        <v>0</v>
      </c>
      <c r="J1650" s="79" t="e">
        <f t="shared" si="79"/>
        <v>#VALUE!</v>
      </c>
      <c r="K1650" s="106"/>
      <c r="L1650" s="107"/>
      <c r="M1650" s="106"/>
      <c r="N1650" s="106"/>
      <c r="O1650" s="108"/>
      <c r="P1650" s="108"/>
      <c r="Q1650" s="108"/>
      <c r="R1650" s="109"/>
      <c r="S1650" s="109"/>
      <c r="T1650" s="108"/>
      <c r="U1650" s="110"/>
      <c r="V1650" s="110"/>
      <c r="W1650" s="110"/>
      <c r="X1650" s="110"/>
    </row>
    <row r="1651" spans="1:24" ht="14.25" customHeight="1">
      <c r="A1651" s="110"/>
      <c r="B1651" s="125">
        <v>46178</v>
      </c>
      <c r="C1651" s="126" t="s">
        <v>501</v>
      </c>
      <c r="D1651" s="68" t="s">
        <v>130</v>
      </c>
      <c r="E1651" s="10" t="str">
        <f>TRIM(VLOOKUP(D1651,TB!$B$9:$C$1500,2,FALSE))</f>
        <v>BCA TBB</v>
      </c>
      <c r="F1651" s="173" t="str">
        <f>F1650</f>
        <v>CV. Balistar - Inv. 5 June 26</v>
      </c>
      <c r="G1651" s="130"/>
      <c r="H1651" s="10"/>
      <c r="I1651" s="10">
        <f t="shared" si="99"/>
        <v>248000</v>
      </c>
      <c r="J1651" s="79" t="e">
        <f t="shared" si="79"/>
        <v>#VALUE!</v>
      </c>
      <c r="K1651" s="106"/>
      <c r="L1651" s="107"/>
      <c r="M1651" s="106"/>
      <c r="N1651" s="106"/>
      <c r="O1651" s="108"/>
      <c r="P1651" s="108"/>
      <c r="Q1651" s="108"/>
      <c r="R1651" s="109"/>
      <c r="S1651" s="109"/>
      <c r="T1651" s="108"/>
      <c r="U1651" s="110"/>
      <c r="V1651" s="110"/>
      <c r="W1651" s="110"/>
      <c r="X1651" s="110"/>
    </row>
    <row r="1652" spans="1:24" ht="14.25" customHeight="1">
      <c r="A1652" s="110"/>
      <c r="B1652" s="125"/>
      <c r="C1652" s="126"/>
      <c r="D1652" s="143"/>
      <c r="E1652" s="10" t="e">
        <f>TRIM(VLOOKUP(D1652,TB!$B$9:$C$1500,2,FALSE))</f>
        <v>#N/A</v>
      </c>
      <c r="F1652" s="173"/>
      <c r="G1652" s="130"/>
      <c r="H1652" s="10"/>
      <c r="I1652" s="10">
        <f t="shared" si="99"/>
        <v>0</v>
      </c>
      <c r="J1652" s="79" t="e">
        <f t="shared" si="79"/>
        <v>#VALUE!</v>
      </c>
      <c r="K1652" s="106"/>
      <c r="L1652" s="107"/>
      <c r="M1652" s="106"/>
      <c r="N1652" s="106"/>
      <c r="O1652" s="108"/>
      <c r="P1652" s="108"/>
      <c r="Q1652" s="108"/>
      <c r="R1652" s="109"/>
      <c r="S1652" s="109"/>
      <c r="T1652" s="108"/>
      <c r="U1652" s="110"/>
      <c r="V1652" s="110"/>
      <c r="W1652" s="110"/>
      <c r="X1652" s="110"/>
    </row>
    <row r="1653" spans="1:24" ht="14.25" customHeight="1">
      <c r="A1653" s="110"/>
      <c r="B1653" s="125">
        <v>46179</v>
      </c>
      <c r="C1653" s="126" t="s">
        <v>503</v>
      </c>
      <c r="D1653" s="68" t="s">
        <v>130</v>
      </c>
      <c r="E1653" s="10" t="str">
        <f>TRIM(VLOOKUP(D1653,TB!$B$9:$C$1500,2,FALSE))</f>
        <v>BCA TBB</v>
      </c>
      <c r="F1653" s="173" t="s">
        <v>504</v>
      </c>
      <c r="G1653" s="130"/>
      <c r="H1653" s="10">
        <v>1000000</v>
      </c>
      <c r="I1653" s="10">
        <f t="shared" si="99"/>
        <v>0</v>
      </c>
      <c r="J1653" s="79" t="e">
        <f t="shared" si="79"/>
        <v>#VALUE!</v>
      </c>
      <c r="K1653" s="106"/>
      <c r="L1653" s="107"/>
      <c r="M1653" s="106"/>
      <c r="N1653" s="106"/>
      <c r="O1653" s="108"/>
      <c r="P1653" s="108"/>
      <c r="Q1653" s="108"/>
      <c r="R1653" s="109"/>
      <c r="S1653" s="109"/>
      <c r="T1653" s="108"/>
      <c r="U1653" s="110"/>
      <c r="V1653" s="110"/>
      <c r="W1653" s="110"/>
      <c r="X1653" s="110"/>
    </row>
    <row r="1654" spans="1:24" ht="14.25" customHeight="1">
      <c r="A1654" s="110"/>
      <c r="B1654" s="125">
        <v>46179</v>
      </c>
      <c r="C1654" s="126" t="s">
        <v>503</v>
      </c>
      <c r="D1654" s="15" t="s">
        <v>42</v>
      </c>
      <c r="E1654" s="10" t="str">
        <f>TRIM(VLOOKUP(D1654,TB!$B$9:$C$1500,2,FALSE))</f>
        <v>BCA Card TBB</v>
      </c>
      <c r="F1654" s="173" t="str">
        <f>F1653</f>
        <v>RESERVATION TB 6 - THOMAS PETER PASCHMANNS</v>
      </c>
      <c r="G1654" s="130"/>
      <c r="H1654" s="10"/>
      <c r="I1654" s="10">
        <f t="shared" si="99"/>
        <v>1000000</v>
      </c>
      <c r="J1654" s="79" t="e">
        <f t="shared" si="79"/>
        <v>#VALUE!</v>
      </c>
      <c r="K1654" s="106"/>
      <c r="L1654" s="107"/>
      <c r="M1654" s="106"/>
      <c r="N1654" s="106"/>
      <c r="O1654" s="108"/>
      <c r="P1654" s="108"/>
      <c r="Q1654" s="108"/>
      <c r="R1654" s="109"/>
      <c r="S1654" s="109"/>
      <c r="T1654" s="108"/>
      <c r="U1654" s="110"/>
      <c r="V1654" s="110"/>
      <c r="W1654" s="110"/>
      <c r="X1654" s="110"/>
    </row>
    <row r="1655" spans="1:24" ht="14.25" customHeight="1">
      <c r="A1655" s="110"/>
      <c r="B1655" s="125"/>
      <c r="C1655" s="126"/>
      <c r="D1655" s="143"/>
      <c r="E1655" s="10" t="e">
        <f>TRIM(VLOOKUP(D1655,TB!$B$9:$C$1500,2,FALSE))</f>
        <v>#N/A</v>
      </c>
      <c r="F1655" s="173"/>
      <c r="G1655" s="130"/>
      <c r="H1655" s="10"/>
      <c r="I1655" s="10">
        <f t="shared" si="99"/>
        <v>0</v>
      </c>
      <c r="J1655" s="79" t="e">
        <f t="shared" si="79"/>
        <v>#VALUE!</v>
      </c>
      <c r="K1655" s="106"/>
      <c r="L1655" s="107"/>
      <c r="M1655" s="106"/>
      <c r="N1655" s="106"/>
      <c r="O1655" s="108"/>
      <c r="P1655" s="108"/>
      <c r="Q1655" s="108"/>
      <c r="R1655" s="109"/>
      <c r="S1655" s="109"/>
      <c r="T1655" s="108"/>
      <c r="U1655" s="110"/>
      <c r="V1655" s="110"/>
      <c r="W1655" s="110"/>
      <c r="X1655" s="110"/>
    </row>
    <row r="1656" spans="1:24" ht="14.25" customHeight="1">
      <c r="A1656" s="110"/>
      <c r="B1656" s="125">
        <v>46181</v>
      </c>
      <c r="C1656" s="126" t="s">
        <v>505</v>
      </c>
      <c r="D1656" s="68" t="s">
        <v>130</v>
      </c>
      <c r="E1656" s="10" t="str">
        <f>TRIM(VLOOKUP(D1656,TB!$B$9:$C$1500,2,FALSE))</f>
        <v>BCA TBB</v>
      </c>
      <c r="F1656" s="173" t="s">
        <v>506</v>
      </c>
      <c r="G1656" s="130"/>
      <c r="H1656" s="157">
        <f>I1658-H1657</f>
        <v>1543011.69</v>
      </c>
      <c r="I1656" s="10"/>
      <c r="J1656" s="79" t="e">
        <f t="shared" si="79"/>
        <v>#VALUE!</v>
      </c>
      <c r="K1656" s="106"/>
      <c r="L1656" s="107"/>
      <c r="M1656" s="106"/>
      <c r="N1656" s="106"/>
      <c r="O1656" s="108"/>
      <c r="P1656" s="108"/>
      <c r="Q1656" s="108"/>
      <c r="R1656" s="109"/>
      <c r="S1656" s="109"/>
      <c r="T1656" s="108"/>
      <c r="U1656" s="110"/>
      <c r="V1656" s="110"/>
      <c r="W1656" s="110"/>
      <c r="X1656" s="110"/>
    </row>
    <row r="1657" spans="1:24" ht="14.25" customHeight="1">
      <c r="A1657" s="110"/>
      <c r="B1657" s="125">
        <v>46181</v>
      </c>
      <c r="C1657" s="126" t="str">
        <f t="shared" ref="C1657:C1658" si="100">C1656</f>
        <v>BCA26-06131</v>
      </c>
      <c r="D1657" s="15" t="s">
        <v>124</v>
      </c>
      <c r="E1657" s="10" t="str">
        <f>TRIM(VLOOKUP(D1657,TB!$B$9:$C$1500,2,FALSE))</f>
        <v>Bank charges</v>
      </c>
      <c r="F1657" s="173" t="str">
        <f t="shared" ref="F1657:F1658" si="101">F1656</f>
        <v>BCA CC  04-06-2026</v>
      </c>
      <c r="G1657" s="130"/>
      <c r="H1657" s="157">
        <f>I1658*1.8%</f>
        <v>28283.310000000005</v>
      </c>
      <c r="I1657" s="10"/>
      <c r="J1657" s="79" t="e">
        <f t="shared" si="79"/>
        <v>#VALUE!</v>
      </c>
      <c r="K1657" s="106"/>
      <c r="L1657" s="107"/>
      <c r="M1657" s="106"/>
      <c r="N1657" s="106"/>
      <c r="O1657" s="108"/>
      <c r="P1657" s="108"/>
      <c r="Q1657" s="108"/>
      <c r="R1657" s="109"/>
      <c r="S1657" s="109"/>
      <c r="T1657" s="108"/>
      <c r="U1657" s="110"/>
      <c r="V1657" s="110"/>
      <c r="W1657" s="110"/>
      <c r="X1657" s="110"/>
    </row>
    <row r="1658" spans="1:24" ht="14.25" customHeight="1">
      <c r="A1658" s="110"/>
      <c r="B1658" s="125">
        <v>46181</v>
      </c>
      <c r="C1658" s="126" t="str">
        <f t="shared" si="100"/>
        <v>BCA26-06131</v>
      </c>
      <c r="D1658" s="15" t="s">
        <v>42</v>
      </c>
      <c r="E1658" s="10" t="str">
        <f>TRIM(VLOOKUP(D1658,TB!$B$9:$C$1500,2,FALSE))</f>
        <v>BCA Card TBB</v>
      </c>
      <c r="F1658" s="173" t="str">
        <f t="shared" si="101"/>
        <v>BCA CC  04-06-2026</v>
      </c>
      <c r="G1658" s="130"/>
      <c r="H1658" s="10"/>
      <c r="I1658" s="10">
        <v>1571295</v>
      </c>
      <c r="J1658" s="79" t="e">
        <f t="shared" si="79"/>
        <v>#VALUE!</v>
      </c>
      <c r="K1658" s="106"/>
      <c r="L1658" s="107"/>
      <c r="M1658" s="106"/>
      <c r="N1658" s="106"/>
      <c r="O1658" s="108"/>
      <c r="P1658" s="108"/>
      <c r="Q1658" s="108"/>
      <c r="R1658" s="109"/>
      <c r="S1658" s="109"/>
      <c r="T1658" s="108"/>
      <c r="U1658" s="110"/>
      <c r="V1658" s="110"/>
      <c r="W1658" s="110"/>
      <c r="X1658" s="110"/>
    </row>
    <row r="1659" spans="1:24" ht="14.25" customHeight="1">
      <c r="A1659" s="110"/>
      <c r="B1659" s="125"/>
      <c r="C1659" s="126"/>
      <c r="D1659" s="15"/>
      <c r="E1659" s="10" t="e">
        <f>TRIM(VLOOKUP(D1659,TB!$B$9:$C$1500,2,FALSE))</f>
        <v>#N/A</v>
      </c>
      <c r="F1659" s="173"/>
      <c r="G1659" s="130"/>
      <c r="H1659" s="10"/>
      <c r="I1659" s="10"/>
      <c r="J1659" s="79" t="e">
        <f t="shared" si="79"/>
        <v>#VALUE!</v>
      </c>
      <c r="K1659" s="106"/>
      <c r="L1659" s="107"/>
      <c r="M1659" s="106"/>
      <c r="N1659" s="106"/>
      <c r="O1659" s="108"/>
      <c r="P1659" s="108"/>
      <c r="Q1659" s="108"/>
      <c r="R1659" s="109"/>
      <c r="S1659" s="109"/>
      <c r="T1659" s="108"/>
      <c r="U1659" s="110"/>
      <c r="V1659" s="110"/>
      <c r="W1659" s="110"/>
      <c r="X1659" s="110"/>
    </row>
    <row r="1660" spans="1:24" ht="14.25" customHeight="1">
      <c r="A1660" s="110"/>
      <c r="B1660" s="125">
        <v>46181</v>
      </c>
      <c r="C1660" s="126" t="s">
        <v>507</v>
      </c>
      <c r="D1660" s="68" t="s">
        <v>130</v>
      </c>
      <c r="E1660" s="10" t="str">
        <f>TRIM(VLOOKUP(D1660,TB!$B$9:$C$1500,2,FALSE))</f>
        <v>BCA TBB</v>
      </c>
      <c r="F1660" s="173" t="s">
        <v>508</v>
      </c>
      <c r="G1660" s="130"/>
      <c r="H1660" s="157">
        <f>I1662-H1661</f>
        <v>1508337.27</v>
      </c>
      <c r="I1660" s="10"/>
      <c r="J1660" s="79" t="e">
        <f t="shared" si="79"/>
        <v>#VALUE!</v>
      </c>
      <c r="K1660" s="106"/>
      <c r="L1660" s="107"/>
      <c r="M1660" s="106"/>
      <c r="N1660" s="106"/>
      <c r="O1660" s="108"/>
      <c r="P1660" s="108"/>
      <c r="Q1660" s="108"/>
      <c r="R1660" s="109"/>
      <c r="S1660" s="109"/>
      <c r="T1660" s="108"/>
      <c r="U1660" s="110"/>
      <c r="V1660" s="110"/>
      <c r="W1660" s="110"/>
      <c r="X1660" s="110"/>
    </row>
    <row r="1661" spans="1:24" ht="14.25" customHeight="1">
      <c r="A1661" s="110"/>
      <c r="B1661" s="125">
        <v>46181</v>
      </c>
      <c r="C1661" s="126" t="str">
        <f t="shared" ref="C1661:C1662" si="102">C1660</f>
        <v>BCA26-06132</v>
      </c>
      <c r="D1661" s="15" t="s">
        <v>124</v>
      </c>
      <c r="E1661" s="10" t="str">
        <f>TRIM(VLOOKUP(D1661,TB!$B$9:$C$1500,2,FALSE))</f>
        <v>Bank charges</v>
      </c>
      <c r="F1661" s="173" t="str">
        <f t="shared" ref="F1661:F1662" si="103">F1660</f>
        <v>BCA DEBT 04-06-2026</v>
      </c>
      <c r="G1661" s="130"/>
      <c r="H1661" s="157">
        <f>I1662*1.8%</f>
        <v>27647.730000000003</v>
      </c>
      <c r="I1661" s="10"/>
      <c r="J1661" s="79" t="e">
        <f t="shared" si="79"/>
        <v>#VALUE!</v>
      </c>
      <c r="K1661" s="106"/>
      <c r="L1661" s="107"/>
      <c r="M1661" s="106"/>
      <c r="N1661" s="106"/>
      <c r="O1661" s="108"/>
      <c r="P1661" s="108"/>
      <c r="Q1661" s="108"/>
      <c r="R1661" s="109"/>
      <c r="S1661" s="109"/>
      <c r="T1661" s="108"/>
      <c r="U1661" s="110"/>
      <c r="V1661" s="110"/>
      <c r="W1661" s="110"/>
      <c r="X1661" s="110"/>
    </row>
    <row r="1662" spans="1:24" ht="14.25" customHeight="1">
      <c r="A1662" s="110"/>
      <c r="B1662" s="125">
        <v>46181</v>
      </c>
      <c r="C1662" s="126" t="str">
        <f t="shared" si="102"/>
        <v>BCA26-06132</v>
      </c>
      <c r="D1662" s="15" t="s">
        <v>42</v>
      </c>
      <c r="E1662" s="10" t="str">
        <f>TRIM(VLOOKUP(D1662,TB!$B$9:$C$1500,2,FALSE))</f>
        <v>BCA Card TBB</v>
      </c>
      <c r="F1662" s="173" t="str">
        <f t="shared" si="103"/>
        <v>BCA DEBT 04-06-2026</v>
      </c>
      <c r="G1662" s="130"/>
      <c r="H1662" s="10"/>
      <c r="I1662" s="10">
        <v>1535985</v>
      </c>
      <c r="J1662" s="79" t="e">
        <f t="shared" si="79"/>
        <v>#VALUE!</v>
      </c>
      <c r="K1662" s="106"/>
      <c r="L1662" s="107"/>
      <c r="M1662" s="106"/>
      <c r="N1662" s="106"/>
      <c r="O1662" s="108"/>
      <c r="P1662" s="108"/>
      <c r="Q1662" s="108"/>
      <c r="R1662" s="109"/>
      <c r="S1662" s="109"/>
      <c r="T1662" s="108"/>
      <c r="U1662" s="110"/>
      <c r="V1662" s="110"/>
      <c r="W1662" s="110"/>
      <c r="X1662" s="110"/>
    </row>
    <row r="1663" spans="1:24" ht="14.25" customHeight="1">
      <c r="A1663" s="110"/>
      <c r="B1663" s="125"/>
      <c r="C1663" s="126"/>
      <c r="D1663" s="15"/>
      <c r="E1663" s="10" t="e">
        <f>TRIM(VLOOKUP(D1663,TB!$B$9:$C$1500,2,FALSE))</f>
        <v>#N/A</v>
      </c>
      <c r="F1663" s="173"/>
      <c r="G1663" s="130"/>
      <c r="H1663" s="157"/>
      <c r="I1663" s="10"/>
      <c r="J1663" s="79" t="e">
        <f t="shared" si="79"/>
        <v>#VALUE!</v>
      </c>
      <c r="K1663" s="106"/>
      <c r="L1663" s="107"/>
      <c r="M1663" s="106"/>
      <c r="N1663" s="106"/>
      <c r="O1663" s="108"/>
      <c r="P1663" s="108"/>
      <c r="Q1663" s="108"/>
      <c r="R1663" s="109"/>
      <c r="S1663" s="109"/>
      <c r="T1663" s="108"/>
      <c r="U1663" s="110"/>
      <c r="V1663" s="110"/>
      <c r="W1663" s="110"/>
      <c r="X1663" s="110"/>
    </row>
    <row r="1664" spans="1:24" ht="14.25" customHeight="1">
      <c r="A1664" s="110"/>
      <c r="B1664" s="125">
        <v>46181</v>
      </c>
      <c r="C1664" s="126" t="s">
        <v>509</v>
      </c>
      <c r="D1664" s="68" t="s">
        <v>130</v>
      </c>
      <c r="E1664" s="10" t="str">
        <f>TRIM(VLOOKUP(D1664,TB!$B$9:$C$1500,2,FALSE))</f>
        <v>BCA TBB</v>
      </c>
      <c r="F1664" s="173" t="s">
        <v>510</v>
      </c>
      <c r="G1664" s="130"/>
      <c r="H1664" s="157">
        <f>I1666-H1665</f>
        <v>681930.26</v>
      </c>
      <c r="I1664" s="10"/>
      <c r="J1664" s="79" t="e">
        <f t="shared" si="79"/>
        <v>#VALUE!</v>
      </c>
      <c r="K1664" s="106"/>
      <c r="L1664" s="107"/>
      <c r="M1664" s="106"/>
      <c r="N1664" s="106"/>
      <c r="O1664" s="108"/>
      <c r="P1664" s="108"/>
      <c r="Q1664" s="108"/>
      <c r="R1664" s="109"/>
      <c r="S1664" s="109"/>
      <c r="T1664" s="108"/>
      <c r="U1664" s="110"/>
      <c r="V1664" s="110"/>
      <c r="W1664" s="110"/>
      <c r="X1664" s="110"/>
    </row>
    <row r="1665" spans="1:24" ht="14.25" customHeight="1">
      <c r="A1665" s="110"/>
      <c r="B1665" s="125">
        <v>46181</v>
      </c>
      <c r="C1665" s="126" t="str">
        <f t="shared" ref="C1665:C1666" si="104">C1664</f>
        <v>BCA26-06133</v>
      </c>
      <c r="D1665" s="15" t="s">
        <v>124</v>
      </c>
      <c r="E1665" s="10" t="str">
        <f>TRIM(VLOOKUP(D1665,TB!$B$9:$C$1500,2,FALSE))</f>
        <v>Bank charges</v>
      </c>
      <c r="F1665" s="173" t="str">
        <f t="shared" ref="F1665:F1666" si="105">F1664</f>
        <v>BCA QR  04-06-2026</v>
      </c>
      <c r="G1665" s="130"/>
      <c r="H1665" s="157">
        <f>I1666*1.8%</f>
        <v>12499.740000000002</v>
      </c>
      <c r="I1665" s="10"/>
      <c r="J1665" s="79" t="e">
        <f t="shared" si="79"/>
        <v>#VALUE!</v>
      </c>
      <c r="K1665" s="106"/>
      <c r="L1665" s="107"/>
      <c r="M1665" s="106"/>
      <c r="N1665" s="106"/>
      <c r="O1665" s="108"/>
      <c r="P1665" s="108"/>
      <c r="Q1665" s="108"/>
      <c r="R1665" s="109"/>
      <c r="S1665" s="109"/>
      <c r="T1665" s="108"/>
      <c r="U1665" s="110"/>
      <c r="V1665" s="110"/>
      <c r="W1665" s="110"/>
      <c r="X1665" s="110"/>
    </row>
    <row r="1666" spans="1:24" ht="14.25" customHeight="1">
      <c r="A1666" s="110"/>
      <c r="B1666" s="125">
        <v>46181</v>
      </c>
      <c r="C1666" s="126" t="str">
        <f t="shared" si="104"/>
        <v>BCA26-06133</v>
      </c>
      <c r="D1666" s="15" t="s">
        <v>42</v>
      </c>
      <c r="E1666" s="10" t="str">
        <f>TRIM(VLOOKUP(D1666,TB!$B$9:$C$1500,2,FALSE))</f>
        <v>BCA Card TBB</v>
      </c>
      <c r="F1666" s="173" t="str">
        <f t="shared" si="105"/>
        <v>BCA QR  04-06-2026</v>
      </c>
      <c r="G1666" s="130"/>
      <c r="H1666" s="10"/>
      <c r="I1666" s="10">
        <v>694430</v>
      </c>
      <c r="J1666" s="79" t="e">
        <f t="shared" si="79"/>
        <v>#VALUE!</v>
      </c>
      <c r="K1666" s="106"/>
      <c r="L1666" s="107"/>
      <c r="M1666" s="106"/>
      <c r="N1666" s="106"/>
      <c r="O1666" s="108"/>
      <c r="P1666" s="108"/>
      <c r="Q1666" s="108"/>
      <c r="R1666" s="109"/>
      <c r="S1666" s="109"/>
      <c r="T1666" s="108"/>
      <c r="U1666" s="110"/>
      <c r="V1666" s="110"/>
      <c r="W1666" s="110"/>
      <c r="X1666" s="110"/>
    </row>
    <row r="1667" spans="1:24" ht="14.25" customHeight="1">
      <c r="A1667" s="110"/>
      <c r="B1667" s="125"/>
      <c r="C1667" s="126"/>
      <c r="D1667" s="15"/>
      <c r="E1667" s="10" t="e">
        <f>TRIM(VLOOKUP(D1667,TB!$B$9:$C$1500,2,FALSE))</f>
        <v>#N/A</v>
      </c>
      <c r="F1667" s="173"/>
      <c r="G1667" s="130"/>
      <c r="H1667" s="10"/>
      <c r="I1667" s="10"/>
      <c r="J1667" s="79" t="e">
        <f t="shared" si="79"/>
        <v>#VALUE!</v>
      </c>
      <c r="K1667" s="106"/>
      <c r="L1667" s="107"/>
      <c r="M1667" s="106"/>
      <c r="N1667" s="106"/>
      <c r="O1667" s="108"/>
      <c r="P1667" s="108"/>
      <c r="Q1667" s="108"/>
      <c r="R1667" s="109"/>
      <c r="S1667" s="109"/>
      <c r="T1667" s="108"/>
      <c r="U1667" s="110"/>
      <c r="V1667" s="110"/>
      <c r="W1667" s="110"/>
      <c r="X1667" s="110"/>
    </row>
    <row r="1668" spans="1:24" ht="14.25" customHeight="1">
      <c r="A1668" s="110"/>
      <c r="B1668" s="125">
        <v>46181</v>
      </c>
      <c r="C1668" s="126" t="s">
        <v>511</v>
      </c>
      <c r="D1668" s="68" t="s">
        <v>130</v>
      </c>
      <c r="E1668" s="10" t="str">
        <f>TRIM(VLOOKUP(D1668,TB!$B$9:$C$1500,2,FALSE))</f>
        <v>BCA TBB</v>
      </c>
      <c r="F1668" s="173" t="s">
        <v>512</v>
      </c>
      <c r="G1668" s="130"/>
      <c r="H1668" s="157">
        <f>I1670-H1669</f>
        <v>11544372.359999999</v>
      </c>
      <c r="I1668" s="10"/>
      <c r="J1668" s="79" t="e">
        <f t="shared" si="79"/>
        <v>#VALUE!</v>
      </c>
      <c r="K1668" s="106"/>
      <c r="L1668" s="107"/>
      <c r="M1668" s="106"/>
      <c r="N1668" s="106"/>
      <c r="O1668" s="108"/>
      <c r="P1668" s="108"/>
      <c r="Q1668" s="108"/>
      <c r="R1668" s="109"/>
      <c r="S1668" s="109"/>
      <c r="T1668" s="108"/>
      <c r="U1668" s="110"/>
      <c r="V1668" s="110"/>
      <c r="W1668" s="110"/>
      <c r="X1668" s="110"/>
    </row>
    <row r="1669" spans="1:24" ht="14.25" customHeight="1">
      <c r="A1669" s="110"/>
      <c r="B1669" s="125">
        <v>46181</v>
      </c>
      <c r="C1669" s="126" t="str">
        <f t="shared" ref="C1669:C1670" si="106">C1668</f>
        <v>BCA26-06134</v>
      </c>
      <c r="D1669" s="15" t="s">
        <v>124</v>
      </c>
      <c r="E1669" s="10" t="str">
        <f>TRIM(VLOOKUP(D1669,TB!$B$9:$C$1500,2,FALSE))</f>
        <v>Bank charges</v>
      </c>
      <c r="F1669" s="173" t="str">
        <f t="shared" ref="F1669:F1670" si="107">F1668</f>
        <v>BCA CC  05-06-2026</v>
      </c>
      <c r="G1669" s="130"/>
      <c r="H1669" s="157">
        <f>I1670*1.8%</f>
        <v>211607.64</v>
      </c>
      <c r="I1669" s="10"/>
      <c r="J1669" s="79" t="e">
        <f t="shared" si="79"/>
        <v>#VALUE!</v>
      </c>
      <c r="K1669" s="106"/>
      <c r="L1669" s="107"/>
      <c r="M1669" s="106"/>
      <c r="N1669" s="106"/>
      <c r="O1669" s="108"/>
      <c r="P1669" s="108"/>
      <c r="Q1669" s="108"/>
      <c r="R1669" s="109"/>
      <c r="S1669" s="109"/>
      <c r="T1669" s="108"/>
      <c r="U1669" s="110"/>
      <c r="V1669" s="110"/>
      <c r="W1669" s="110"/>
      <c r="X1669" s="110"/>
    </row>
    <row r="1670" spans="1:24" ht="14.25" customHeight="1">
      <c r="A1670" s="110"/>
      <c r="B1670" s="125">
        <v>46181</v>
      </c>
      <c r="C1670" s="126" t="str">
        <f t="shared" si="106"/>
        <v>BCA26-06134</v>
      </c>
      <c r="D1670" s="15" t="s">
        <v>42</v>
      </c>
      <c r="E1670" s="10" t="str">
        <f>TRIM(VLOOKUP(D1670,TB!$B$9:$C$1500,2,FALSE))</f>
        <v>BCA Card TBB</v>
      </c>
      <c r="F1670" s="173" t="str">
        <f t="shared" si="107"/>
        <v>BCA CC  05-06-2026</v>
      </c>
      <c r="G1670" s="130"/>
      <c r="H1670" s="10"/>
      <c r="I1670" s="10">
        <v>11755980</v>
      </c>
      <c r="J1670" s="79" t="e">
        <f t="shared" si="79"/>
        <v>#VALUE!</v>
      </c>
      <c r="K1670" s="106"/>
      <c r="L1670" s="107"/>
      <c r="M1670" s="106"/>
      <c r="N1670" s="106"/>
      <c r="O1670" s="108"/>
      <c r="P1670" s="108"/>
      <c r="Q1670" s="108"/>
      <c r="R1670" s="109"/>
      <c r="S1670" s="109"/>
      <c r="T1670" s="108"/>
      <c r="U1670" s="110"/>
      <c r="V1670" s="110"/>
      <c r="W1670" s="110"/>
      <c r="X1670" s="110"/>
    </row>
    <row r="1671" spans="1:24" ht="14.25" customHeight="1">
      <c r="A1671" s="110"/>
      <c r="B1671" s="125"/>
      <c r="C1671" s="126"/>
      <c r="D1671" s="15"/>
      <c r="E1671" s="10" t="e">
        <f>TRIM(VLOOKUP(D1671,TB!$B$9:$C$1500,2,FALSE))</f>
        <v>#N/A</v>
      </c>
      <c r="F1671" s="173"/>
      <c r="G1671" s="130"/>
      <c r="H1671" s="10"/>
      <c r="I1671" s="10"/>
      <c r="J1671" s="79" t="e">
        <f t="shared" si="79"/>
        <v>#VALUE!</v>
      </c>
      <c r="K1671" s="106"/>
      <c r="L1671" s="107"/>
      <c r="M1671" s="106"/>
      <c r="N1671" s="106"/>
      <c r="O1671" s="108"/>
      <c r="P1671" s="108"/>
      <c r="Q1671" s="108"/>
      <c r="R1671" s="109"/>
      <c r="S1671" s="109"/>
      <c r="T1671" s="108"/>
      <c r="U1671" s="110"/>
      <c r="V1671" s="110"/>
      <c r="W1671" s="110"/>
      <c r="X1671" s="110"/>
    </row>
    <row r="1672" spans="1:24" ht="14.25" customHeight="1">
      <c r="A1672" s="110"/>
      <c r="B1672" s="125">
        <v>46181</v>
      </c>
      <c r="C1672" s="126" t="s">
        <v>513</v>
      </c>
      <c r="D1672" s="68" t="s">
        <v>130</v>
      </c>
      <c r="E1672" s="10" t="str">
        <f>TRIM(VLOOKUP(D1672,TB!$B$9:$C$1500,2,FALSE))</f>
        <v>BCA TBB</v>
      </c>
      <c r="F1672" s="173" t="s">
        <v>514</v>
      </c>
      <c r="G1672" s="130"/>
      <c r="H1672" s="157">
        <f>I1674-H1673</f>
        <v>3467442</v>
      </c>
      <c r="I1672" s="10"/>
      <c r="J1672" s="79" t="e">
        <f t="shared" si="79"/>
        <v>#VALUE!</v>
      </c>
      <c r="K1672" s="106"/>
      <c r="L1672" s="107"/>
      <c r="M1672" s="106"/>
      <c r="N1672" s="106"/>
      <c r="O1672" s="108"/>
      <c r="P1672" s="108"/>
      <c r="Q1672" s="108"/>
      <c r="R1672" s="109"/>
      <c r="S1672" s="109"/>
      <c r="T1672" s="108"/>
      <c r="U1672" s="110"/>
      <c r="V1672" s="110"/>
      <c r="W1672" s="110"/>
      <c r="X1672" s="110"/>
    </row>
    <row r="1673" spans="1:24" ht="14.25" customHeight="1">
      <c r="A1673" s="110"/>
      <c r="B1673" s="125">
        <v>46181</v>
      </c>
      <c r="C1673" s="126" t="str">
        <f t="shared" ref="C1673:C1674" si="108">C1672</f>
        <v>BCA26-06135</v>
      </c>
      <c r="D1673" s="15" t="s">
        <v>124</v>
      </c>
      <c r="E1673" s="10" t="str">
        <f>TRIM(VLOOKUP(D1673,TB!$B$9:$C$1500,2,FALSE))</f>
        <v>Bank charges</v>
      </c>
      <c r="F1673" s="173" t="str">
        <f t="shared" ref="F1673:F1674" si="109">F1672</f>
        <v>BCA DEBT 05-06-2026</v>
      </c>
      <c r="G1673" s="130"/>
      <c r="H1673" s="157">
        <f>I1674*1.8%</f>
        <v>63558.000000000007</v>
      </c>
      <c r="I1673" s="10"/>
      <c r="J1673" s="79" t="e">
        <f t="shared" si="79"/>
        <v>#VALUE!</v>
      </c>
      <c r="K1673" s="106"/>
      <c r="L1673" s="107"/>
      <c r="M1673" s="106"/>
      <c r="N1673" s="106"/>
      <c r="O1673" s="108"/>
      <c r="P1673" s="108"/>
      <c r="Q1673" s="108"/>
      <c r="R1673" s="109"/>
      <c r="S1673" s="109"/>
      <c r="T1673" s="108"/>
      <c r="U1673" s="110"/>
      <c r="V1673" s="110"/>
      <c r="W1673" s="110"/>
      <c r="X1673" s="110"/>
    </row>
    <row r="1674" spans="1:24" ht="14.25" customHeight="1">
      <c r="A1674" s="110"/>
      <c r="B1674" s="125">
        <v>46181</v>
      </c>
      <c r="C1674" s="126" t="str">
        <f t="shared" si="108"/>
        <v>BCA26-06135</v>
      </c>
      <c r="D1674" s="15" t="s">
        <v>42</v>
      </c>
      <c r="E1674" s="10" t="str">
        <f>TRIM(VLOOKUP(D1674,TB!$B$9:$C$1500,2,FALSE))</f>
        <v>BCA Card TBB</v>
      </c>
      <c r="F1674" s="173" t="str">
        <f t="shared" si="109"/>
        <v>BCA DEBT 05-06-2026</v>
      </c>
      <c r="G1674" s="130"/>
      <c r="H1674" s="10"/>
      <c r="I1674" s="10">
        <v>3531000</v>
      </c>
      <c r="J1674" s="79" t="e">
        <f t="shared" si="79"/>
        <v>#VALUE!</v>
      </c>
      <c r="K1674" s="106"/>
      <c r="L1674" s="107"/>
      <c r="M1674" s="106"/>
      <c r="N1674" s="106"/>
      <c r="O1674" s="108"/>
      <c r="P1674" s="108"/>
      <c r="Q1674" s="108"/>
      <c r="R1674" s="109"/>
      <c r="S1674" s="109"/>
      <c r="T1674" s="108"/>
      <c r="U1674" s="110"/>
      <c r="V1674" s="110"/>
      <c r="W1674" s="110"/>
      <c r="X1674" s="110"/>
    </row>
    <row r="1675" spans="1:24" ht="14.25" customHeight="1">
      <c r="A1675" s="110"/>
      <c r="B1675" s="125"/>
      <c r="C1675" s="126"/>
      <c r="D1675" s="15"/>
      <c r="E1675" s="10" t="e">
        <f>TRIM(VLOOKUP(D1675,TB!$B$9:$C$1500,2,FALSE))</f>
        <v>#N/A</v>
      </c>
      <c r="F1675" s="173"/>
      <c r="G1675" s="130"/>
      <c r="H1675" s="157"/>
      <c r="I1675" s="10"/>
      <c r="J1675" s="79" t="e">
        <f t="shared" si="79"/>
        <v>#VALUE!</v>
      </c>
      <c r="K1675" s="106"/>
      <c r="L1675" s="107"/>
      <c r="M1675" s="106"/>
      <c r="N1675" s="106"/>
      <c r="O1675" s="108"/>
      <c r="P1675" s="108"/>
      <c r="Q1675" s="108"/>
      <c r="R1675" s="109"/>
      <c r="S1675" s="109"/>
      <c r="T1675" s="108"/>
      <c r="U1675" s="110"/>
      <c r="V1675" s="110"/>
      <c r="W1675" s="110"/>
      <c r="X1675" s="110"/>
    </row>
    <row r="1676" spans="1:24" ht="14.25" customHeight="1">
      <c r="A1676" s="110"/>
      <c r="B1676" s="125">
        <v>46181</v>
      </c>
      <c r="C1676" s="126" t="s">
        <v>515</v>
      </c>
      <c r="D1676" s="68" t="s">
        <v>130</v>
      </c>
      <c r="E1676" s="10" t="str">
        <f>TRIM(VLOOKUP(D1676,TB!$B$9:$C$1500,2,FALSE))</f>
        <v>BCA TBB</v>
      </c>
      <c r="F1676" s="173" t="s">
        <v>516</v>
      </c>
      <c r="G1676" s="130"/>
      <c r="H1676" s="157">
        <f>I1678-H1677</f>
        <v>13719512.18</v>
      </c>
      <c r="I1676" s="10"/>
      <c r="J1676" s="79" t="e">
        <f t="shared" si="79"/>
        <v>#VALUE!</v>
      </c>
      <c r="K1676" s="106"/>
      <c r="L1676" s="107"/>
      <c r="M1676" s="106"/>
      <c r="N1676" s="106"/>
      <c r="O1676" s="108"/>
      <c r="P1676" s="108"/>
      <c r="Q1676" s="108"/>
      <c r="R1676" s="109"/>
      <c r="S1676" s="109"/>
      <c r="T1676" s="108"/>
      <c r="U1676" s="110"/>
      <c r="V1676" s="110"/>
      <c r="W1676" s="110"/>
      <c r="X1676" s="110"/>
    </row>
    <row r="1677" spans="1:24" ht="14.25" customHeight="1">
      <c r="A1677" s="110"/>
      <c r="B1677" s="125">
        <v>46181</v>
      </c>
      <c r="C1677" s="126" t="str">
        <f t="shared" ref="C1677:C1678" si="110">C1676</f>
        <v>BCA26-06136</v>
      </c>
      <c r="D1677" s="15" t="s">
        <v>124</v>
      </c>
      <c r="E1677" s="10" t="str">
        <f>TRIM(VLOOKUP(D1677,TB!$B$9:$C$1500,2,FALSE))</f>
        <v>Bank charges</v>
      </c>
      <c r="F1677" s="173" t="str">
        <f t="shared" ref="F1677:F1678" si="111">F1676</f>
        <v>BCA QR  05-06-2026</v>
      </c>
      <c r="G1677" s="130"/>
      <c r="H1677" s="157">
        <f>I1678*1.8%</f>
        <v>251477.82000000004</v>
      </c>
      <c r="I1677" s="10"/>
      <c r="J1677" s="79" t="e">
        <f t="shared" si="79"/>
        <v>#VALUE!</v>
      </c>
      <c r="K1677" s="106"/>
      <c r="L1677" s="107"/>
      <c r="M1677" s="106"/>
      <c r="N1677" s="106"/>
      <c r="O1677" s="108"/>
      <c r="P1677" s="108"/>
      <c r="Q1677" s="108"/>
      <c r="R1677" s="109"/>
      <c r="S1677" s="109"/>
      <c r="T1677" s="108"/>
      <c r="U1677" s="110"/>
      <c r="V1677" s="110"/>
      <c r="W1677" s="110"/>
      <c r="X1677" s="110"/>
    </row>
    <row r="1678" spans="1:24" ht="14.25" customHeight="1">
      <c r="A1678" s="110"/>
      <c r="B1678" s="125">
        <v>46181</v>
      </c>
      <c r="C1678" s="126" t="str">
        <f t="shared" si="110"/>
        <v>BCA26-06136</v>
      </c>
      <c r="D1678" s="15" t="s">
        <v>42</v>
      </c>
      <c r="E1678" s="10" t="str">
        <f>TRIM(VLOOKUP(D1678,TB!$B$9:$C$1500,2,FALSE))</f>
        <v>BCA Card TBB</v>
      </c>
      <c r="F1678" s="173" t="str">
        <f t="shared" si="111"/>
        <v>BCA QR  05-06-2026</v>
      </c>
      <c r="G1678" s="130"/>
      <c r="H1678" s="10"/>
      <c r="I1678" s="10">
        <v>13970990</v>
      </c>
      <c r="J1678" s="79" t="e">
        <f t="shared" si="79"/>
        <v>#VALUE!</v>
      </c>
      <c r="K1678" s="106"/>
      <c r="L1678" s="107"/>
      <c r="M1678" s="106"/>
      <c r="N1678" s="106"/>
      <c r="O1678" s="108"/>
      <c r="P1678" s="108"/>
      <c r="Q1678" s="108"/>
      <c r="R1678" s="109"/>
      <c r="S1678" s="109"/>
      <c r="T1678" s="108"/>
      <c r="U1678" s="110"/>
      <c r="V1678" s="110"/>
      <c r="W1678" s="110"/>
      <c r="X1678" s="110"/>
    </row>
    <row r="1679" spans="1:24" ht="14.25" customHeight="1">
      <c r="A1679" s="110"/>
      <c r="B1679" s="125"/>
      <c r="C1679" s="126"/>
      <c r="D1679" s="15"/>
      <c r="E1679" s="10" t="e">
        <f>TRIM(VLOOKUP(D1679,TB!$B$9:$C$1500,2,FALSE))</f>
        <v>#N/A</v>
      </c>
      <c r="F1679" s="173"/>
      <c r="G1679" s="130"/>
      <c r="H1679" s="10"/>
      <c r="I1679" s="10"/>
      <c r="J1679" s="79" t="e">
        <f t="shared" si="79"/>
        <v>#VALUE!</v>
      </c>
      <c r="K1679" s="106"/>
      <c r="L1679" s="107"/>
      <c r="M1679" s="106"/>
      <c r="N1679" s="106"/>
      <c r="O1679" s="108"/>
      <c r="P1679" s="108"/>
      <c r="Q1679" s="108"/>
      <c r="R1679" s="109"/>
      <c r="S1679" s="109"/>
      <c r="T1679" s="108"/>
      <c r="U1679" s="110"/>
      <c r="V1679" s="110"/>
      <c r="W1679" s="110"/>
      <c r="X1679" s="110"/>
    </row>
    <row r="1680" spans="1:24" ht="14.25" customHeight="1">
      <c r="A1680" s="110"/>
      <c r="B1680" s="125">
        <v>46181</v>
      </c>
      <c r="C1680" s="126" t="s">
        <v>517</v>
      </c>
      <c r="D1680" s="68" t="s">
        <v>130</v>
      </c>
      <c r="E1680" s="10" t="str">
        <f>TRIM(VLOOKUP(D1680,TB!$B$9:$C$1500,2,FALSE))</f>
        <v>BCA TBB</v>
      </c>
      <c r="F1680" s="173" t="s">
        <v>518</v>
      </c>
      <c r="G1680" s="130"/>
      <c r="H1680" s="157">
        <f>I1682-H1681</f>
        <v>16261147.165999999</v>
      </c>
      <c r="I1680" s="10"/>
      <c r="J1680" s="79" t="e">
        <f t="shared" si="79"/>
        <v>#VALUE!</v>
      </c>
      <c r="K1680" s="106"/>
      <c r="L1680" s="107"/>
      <c r="M1680" s="106"/>
      <c r="N1680" s="106"/>
      <c r="O1680" s="108"/>
      <c r="P1680" s="108"/>
      <c r="Q1680" s="108"/>
      <c r="R1680" s="109"/>
      <c r="S1680" s="109"/>
      <c r="T1680" s="108"/>
      <c r="U1680" s="110"/>
      <c r="V1680" s="110"/>
      <c r="W1680" s="110"/>
      <c r="X1680" s="110"/>
    </row>
    <row r="1681" spans="1:24" ht="14.25" customHeight="1">
      <c r="A1681" s="110"/>
      <c r="B1681" s="125">
        <v>46181</v>
      </c>
      <c r="C1681" s="126" t="str">
        <f t="shared" ref="C1681:C1682" si="112">C1680</f>
        <v>BCA26-06137</v>
      </c>
      <c r="D1681" s="15" t="s">
        <v>124</v>
      </c>
      <c r="E1681" s="10" t="str">
        <f>TRIM(VLOOKUP(D1681,TB!$B$9:$C$1500,2,FALSE))</f>
        <v>Bank charges</v>
      </c>
      <c r="F1681" s="173" t="str">
        <f t="shared" ref="F1681:F1682" si="113">F1680</f>
        <v>BCA CC  06-06-2026</v>
      </c>
      <c r="G1681" s="130"/>
      <c r="H1681" s="157">
        <f>I1682*1.8%</f>
        <v>298065.83400000003</v>
      </c>
      <c r="I1681" s="10"/>
      <c r="J1681" s="79" t="e">
        <f t="shared" si="79"/>
        <v>#VALUE!</v>
      </c>
      <c r="K1681" s="106"/>
      <c r="L1681" s="107"/>
      <c r="M1681" s="106"/>
      <c r="N1681" s="106"/>
      <c r="O1681" s="108"/>
      <c r="P1681" s="108"/>
      <c r="Q1681" s="108"/>
      <c r="R1681" s="109"/>
      <c r="S1681" s="109"/>
      <c r="T1681" s="108"/>
      <c r="U1681" s="110"/>
      <c r="V1681" s="110"/>
      <c r="W1681" s="110"/>
      <c r="X1681" s="110"/>
    </row>
    <row r="1682" spans="1:24" ht="14.25" customHeight="1">
      <c r="A1682" s="110"/>
      <c r="B1682" s="125">
        <v>46181</v>
      </c>
      <c r="C1682" s="126" t="str">
        <f t="shared" si="112"/>
        <v>BCA26-06137</v>
      </c>
      <c r="D1682" s="15" t="s">
        <v>42</v>
      </c>
      <c r="E1682" s="10" t="str">
        <f>TRIM(VLOOKUP(D1682,TB!$B$9:$C$1500,2,FALSE))</f>
        <v>BCA Card TBB</v>
      </c>
      <c r="F1682" s="173" t="str">
        <f t="shared" si="113"/>
        <v>BCA CC  06-06-2026</v>
      </c>
      <c r="G1682" s="130"/>
      <c r="H1682" s="10"/>
      <c r="I1682" s="10">
        <v>16559213</v>
      </c>
      <c r="J1682" s="79" t="e">
        <f t="shared" si="79"/>
        <v>#VALUE!</v>
      </c>
      <c r="K1682" s="106"/>
      <c r="L1682" s="107"/>
      <c r="M1682" s="106"/>
      <c r="N1682" s="106"/>
      <c r="O1682" s="108"/>
      <c r="P1682" s="108"/>
      <c r="Q1682" s="108"/>
      <c r="R1682" s="109"/>
      <c r="S1682" s="109"/>
      <c r="T1682" s="108"/>
      <c r="U1682" s="110"/>
      <c r="V1682" s="110"/>
      <c r="W1682" s="110"/>
      <c r="X1682" s="110"/>
    </row>
    <row r="1683" spans="1:24" ht="14.25" customHeight="1">
      <c r="A1683" s="110"/>
      <c r="B1683" s="125"/>
      <c r="C1683" s="126"/>
      <c r="D1683" s="15"/>
      <c r="E1683" s="10" t="e">
        <f>TRIM(VLOOKUP(D1683,TB!$B$9:$C$1500,2,FALSE))</f>
        <v>#N/A</v>
      </c>
      <c r="F1683" s="173"/>
      <c r="G1683" s="130"/>
      <c r="H1683" s="10"/>
      <c r="I1683" s="10"/>
      <c r="J1683" s="79" t="e">
        <f t="shared" si="79"/>
        <v>#VALUE!</v>
      </c>
      <c r="K1683" s="106"/>
      <c r="L1683" s="107"/>
      <c r="M1683" s="106"/>
      <c r="N1683" s="106"/>
      <c r="O1683" s="108"/>
      <c r="P1683" s="108"/>
      <c r="Q1683" s="108"/>
      <c r="R1683" s="109"/>
      <c r="S1683" s="109"/>
      <c r="T1683" s="108"/>
      <c r="U1683" s="110"/>
      <c r="V1683" s="110"/>
      <c r="W1683" s="110"/>
      <c r="X1683" s="110"/>
    </row>
    <row r="1684" spans="1:24" ht="14.25" customHeight="1">
      <c r="A1684" s="110"/>
      <c r="B1684" s="125">
        <v>46181</v>
      </c>
      <c r="C1684" s="126" t="s">
        <v>519</v>
      </c>
      <c r="D1684" s="68" t="s">
        <v>130</v>
      </c>
      <c r="E1684" s="10" t="str">
        <f>TRIM(VLOOKUP(D1684,TB!$B$9:$C$1500,2,FALSE))</f>
        <v>BCA TBB</v>
      </c>
      <c r="F1684" s="173" t="s">
        <v>520</v>
      </c>
      <c r="G1684" s="130"/>
      <c r="H1684" s="157">
        <f>I1686-H1685</f>
        <v>3178488.5</v>
      </c>
      <c r="I1684" s="10"/>
      <c r="J1684" s="79" t="e">
        <f t="shared" si="79"/>
        <v>#VALUE!</v>
      </c>
      <c r="K1684" s="106"/>
      <c r="L1684" s="107"/>
      <c r="M1684" s="106"/>
      <c r="N1684" s="106"/>
      <c r="O1684" s="108"/>
      <c r="P1684" s="108"/>
      <c r="Q1684" s="108"/>
      <c r="R1684" s="109"/>
      <c r="S1684" s="109"/>
      <c r="T1684" s="108"/>
      <c r="U1684" s="110"/>
      <c r="V1684" s="110"/>
      <c r="W1684" s="110"/>
      <c r="X1684" s="110"/>
    </row>
    <row r="1685" spans="1:24" ht="14.25" customHeight="1">
      <c r="A1685" s="110"/>
      <c r="B1685" s="125">
        <v>46181</v>
      </c>
      <c r="C1685" s="126" t="str">
        <f t="shared" ref="C1685:C1686" si="114">C1684</f>
        <v>BCA26-06138</v>
      </c>
      <c r="D1685" s="15" t="s">
        <v>124</v>
      </c>
      <c r="E1685" s="10" t="str">
        <f>TRIM(VLOOKUP(D1685,TB!$B$9:$C$1500,2,FALSE))</f>
        <v>Bank charges</v>
      </c>
      <c r="F1685" s="173" t="str">
        <f t="shared" ref="F1685:F1686" si="115">F1684</f>
        <v>BCA DEBT 06-06-2026</v>
      </c>
      <c r="G1685" s="130"/>
      <c r="H1685" s="157">
        <f>I1686*1.8%</f>
        <v>58261.500000000007</v>
      </c>
      <c r="I1685" s="10"/>
      <c r="J1685" s="79" t="e">
        <f t="shared" si="79"/>
        <v>#VALUE!</v>
      </c>
      <c r="K1685" s="106"/>
      <c r="L1685" s="107"/>
      <c r="M1685" s="106"/>
      <c r="N1685" s="106"/>
      <c r="O1685" s="108"/>
      <c r="P1685" s="108"/>
      <c r="Q1685" s="108"/>
      <c r="R1685" s="109"/>
      <c r="S1685" s="109"/>
      <c r="T1685" s="108"/>
      <c r="U1685" s="110"/>
      <c r="V1685" s="110"/>
      <c r="W1685" s="110"/>
      <c r="X1685" s="110"/>
    </row>
    <row r="1686" spans="1:24" ht="14.25" customHeight="1">
      <c r="A1686" s="110"/>
      <c r="B1686" s="125">
        <v>46181</v>
      </c>
      <c r="C1686" s="126" t="str">
        <f t="shared" si="114"/>
        <v>BCA26-06138</v>
      </c>
      <c r="D1686" s="15" t="s">
        <v>42</v>
      </c>
      <c r="E1686" s="10" t="str">
        <f>TRIM(VLOOKUP(D1686,TB!$B$9:$C$1500,2,FALSE))</f>
        <v>BCA Card TBB</v>
      </c>
      <c r="F1686" s="173" t="str">
        <f t="shared" si="115"/>
        <v>BCA DEBT 06-06-2026</v>
      </c>
      <c r="G1686" s="130"/>
      <c r="H1686" s="10"/>
      <c r="I1686" s="10">
        <v>3236750</v>
      </c>
      <c r="J1686" s="79" t="e">
        <f t="shared" si="79"/>
        <v>#VALUE!</v>
      </c>
      <c r="K1686" s="106"/>
      <c r="L1686" s="107"/>
      <c r="M1686" s="106"/>
      <c r="N1686" s="106"/>
      <c r="O1686" s="108"/>
      <c r="P1686" s="108"/>
      <c r="Q1686" s="108"/>
      <c r="R1686" s="109"/>
      <c r="S1686" s="109"/>
      <c r="T1686" s="108"/>
      <c r="U1686" s="110"/>
      <c r="V1686" s="110"/>
      <c r="W1686" s="110"/>
      <c r="X1686" s="110"/>
    </row>
    <row r="1687" spans="1:24" ht="14.25" customHeight="1">
      <c r="A1687" s="110"/>
      <c r="B1687" s="125"/>
      <c r="C1687" s="126"/>
      <c r="D1687" s="15"/>
      <c r="E1687" s="10" t="e">
        <f>TRIM(VLOOKUP(D1687,TB!$B$9:$C$1500,2,FALSE))</f>
        <v>#N/A</v>
      </c>
      <c r="F1687" s="173"/>
      <c r="G1687" s="130"/>
      <c r="H1687" s="157"/>
      <c r="I1687" s="10"/>
      <c r="J1687" s="79" t="e">
        <f t="shared" si="79"/>
        <v>#VALUE!</v>
      </c>
      <c r="K1687" s="106"/>
      <c r="L1687" s="107"/>
      <c r="M1687" s="106"/>
      <c r="N1687" s="106"/>
      <c r="O1687" s="108"/>
      <c r="P1687" s="108"/>
      <c r="Q1687" s="108"/>
      <c r="R1687" s="109"/>
      <c r="S1687" s="109"/>
      <c r="T1687" s="108"/>
      <c r="U1687" s="110"/>
      <c r="V1687" s="110"/>
      <c r="W1687" s="110"/>
      <c r="X1687" s="110"/>
    </row>
    <row r="1688" spans="1:24" ht="14.25" customHeight="1">
      <c r="A1688" s="110"/>
      <c r="B1688" s="125">
        <v>46181</v>
      </c>
      <c r="C1688" s="126" t="s">
        <v>521</v>
      </c>
      <c r="D1688" s="68" t="s">
        <v>130</v>
      </c>
      <c r="E1688" s="10" t="str">
        <f>TRIM(VLOOKUP(D1688,TB!$B$9:$C$1500,2,FALSE))</f>
        <v>BCA TBB</v>
      </c>
      <c r="F1688" s="173" t="s">
        <v>522</v>
      </c>
      <c r="G1688" s="130"/>
      <c r="H1688" s="157">
        <f>I1690-H1689</f>
        <v>13092891.106000001</v>
      </c>
      <c r="I1688" s="10"/>
      <c r="J1688" s="79" t="e">
        <f t="shared" si="79"/>
        <v>#VALUE!</v>
      </c>
      <c r="K1688" s="106"/>
      <c r="L1688" s="107"/>
      <c r="M1688" s="106"/>
      <c r="N1688" s="106"/>
      <c r="O1688" s="108"/>
      <c r="P1688" s="108"/>
      <c r="Q1688" s="108"/>
      <c r="R1688" s="109"/>
      <c r="S1688" s="109"/>
      <c r="T1688" s="108"/>
      <c r="U1688" s="110"/>
      <c r="V1688" s="110"/>
      <c r="W1688" s="110"/>
      <c r="X1688" s="110"/>
    </row>
    <row r="1689" spans="1:24" ht="14.25" customHeight="1">
      <c r="A1689" s="110"/>
      <c r="B1689" s="125">
        <v>46181</v>
      </c>
      <c r="C1689" s="126" t="str">
        <f t="shared" ref="C1689:C1690" si="116">C1688</f>
        <v>BCA26-06139</v>
      </c>
      <c r="D1689" s="15" t="s">
        <v>124</v>
      </c>
      <c r="E1689" s="10" t="str">
        <f>TRIM(VLOOKUP(D1689,TB!$B$9:$C$1500,2,FALSE))</f>
        <v>Bank charges</v>
      </c>
      <c r="F1689" s="173" t="str">
        <f t="shared" ref="F1689:F1690" si="117">F1688</f>
        <v>BCA QR  06-06-2026</v>
      </c>
      <c r="G1689" s="130"/>
      <c r="H1689" s="157">
        <f>I1690*1.8%</f>
        <v>239991.89400000003</v>
      </c>
      <c r="I1689" s="10"/>
      <c r="J1689" s="79" t="e">
        <f t="shared" si="79"/>
        <v>#VALUE!</v>
      </c>
      <c r="K1689" s="106"/>
      <c r="L1689" s="107"/>
      <c r="M1689" s="106"/>
      <c r="N1689" s="106"/>
      <c r="O1689" s="108"/>
      <c r="P1689" s="108"/>
      <c r="Q1689" s="108"/>
      <c r="R1689" s="109"/>
      <c r="S1689" s="109"/>
      <c r="T1689" s="108"/>
      <c r="U1689" s="110"/>
      <c r="V1689" s="110"/>
      <c r="W1689" s="110"/>
      <c r="X1689" s="110"/>
    </row>
    <row r="1690" spans="1:24" ht="14.25" customHeight="1">
      <c r="A1690" s="110"/>
      <c r="B1690" s="125">
        <v>46181</v>
      </c>
      <c r="C1690" s="126" t="str">
        <f t="shared" si="116"/>
        <v>BCA26-06139</v>
      </c>
      <c r="D1690" s="15" t="s">
        <v>42</v>
      </c>
      <c r="E1690" s="10" t="str">
        <f>TRIM(VLOOKUP(D1690,TB!$B$9:$C$1500,2,FALSE))</f>
        <v>BCA Card TBB</v>
      </c>
      <c r="F1690" s="173" t="str">
        <f t="shared" si="117"/>
        <v>BCA QR  06-06-2026</v>
      </c>
      <c r="G1690" s="130"/>
      <c r="H1690" s="10"/>
      <c r="I1690" s="10">
        <v>13332883</v>
      </c>
      <c r="J1690" s="79" t="e">
        <f t="shared" si="79"/>
        <v>#VALUE!</v>
      </c>
      <c r="K1690" s="106"/>
      <c r="L1690" s="107"/>
      <c r="M1690" s="106"/>
      <c r="N1690" s="106"/>
      <c r="O1690" s="108"/>
      <c r="P1690" s="108"/>
      <c r="Q1690" s="108"/>
      <c r="R1690" s="109"/>
      <c r="S1690" s="109"/>
      <c r="T1690" s="108"/>
      <c r="U1690" s="110"/>
      <c r="V1690" s="110"/>
      <c r="W1690" s="110"/>
      <c r="X1690" s="110"/>
    </row>
    <row r="1691" spans="1:24" ht="14.25" customHeight="1">
      <c r="A1691" s="110"/>
      <c r="B1691" s="125"/>
      <c r="C1691" s="126"/>
      <c r="D1691" s="15"/>
      <c r="E1691" s="10" t="e">
        <f>TRIM(VLOOKUP(D1691,TB!$B$9:$C$1500,2,FALSE))</f>
        <v>#N/A</v>
      </c>
      <c r="F1691" s="173"/>
      <c r="G1691" s="130"/>
      <c r="H1691" s="10"/>
      <c r="I1691" s="10">
        <f t="shared" ref="I1691:I1710" si="118">SUM(H1690)</f>
        <v>0</v>
      </c>
      <c r="J1691" s="79" t="e">
        <f t="shared" si="79"/>
        <v>#VALUE!</v>
      </c>
      <c r="K1691" s="106"/>
      <c r="L1691" s="107"/>
      <c r="M1691" s="106"/>
      <c r="N1691" s="106"/>
      <c r="O1691" s="108"/>
      <c r="P1691" s="108"/>
      <c r="Q1691" s="108"/>
      <c r="R1691" s="109"/>
      <c r="S1691" s="109"/>
      <c r="T1691" s="108"/>
      <c r="U1691" s="110"/>
      <c r="V1691" s="110"/>
      <c r="W1691" s="110"/>
      <c r="X1691" s="110"/>
    </row>
    <row r="1692" spans="1:24" ht="14.25" customHeight="1">
      <c r="A1692" s="110"/>
      <c r="B1692" s="125">
        <v>46181</v>
      </c>
      <c r="C1692" s="126" t="s">
        <v>523</v>
      </c>
      <c r="D1692" s="68" t="s">
        <v>285</v>
      </c>
      <c r="E1692" s="10" t="str">
        <f>TRIM(VLOOKUP(D1692,TB!$B$9:$C$1500,2,FALSE))</f>
        <v>Misc Cash Purchase</v>
      </c>
      <c r="F1692" s="173" t="s">
        <v>524</v>
      </c>
      <c r="G1692" s="130"/>
      <c r="H1692" s="10">
        <v>14540000</v>
      </c>
      <c r="I1692" s="10">
        <f t="shared" si="118"/>
        <v>0</v>
      </c>
      <c r="J1692" s="79" t="e">
        <f t="shared" si="79"/>
        <v>#VALUE!</v>
      </c>
      <c r="K1692" s="106"/>
      <c r="L1692" s="107"/>
      <c r="M1692" s="106"/>
      <c r="N1692" s="106"/>
      <c r="O1692" s="108"/>
      <c r="P1692" s="108"/>
      <c r="Q1692" s="108"/>
      <c r="R1692" s="109"/>
      <c r="S1692" s="109"/>
      <c r="T1692" s="108"/>
      <c r="U1692" s="110"/>
      <c r="V1692" s="110"/>
      <c r="W1692" s="110"/>
      <c r="X1692" s="110"/>
    </row>
    <row r="1693" spans="1:24" ht="14.25" customHeight="1">
      <c r="A1693" s="110"/>
      <c r="B1693" s="125">
        <v>46181</v>
      </c>
      <c r="C1693" s="126" t="s">
        <v>523</v>
      </c>
      <c r="D1693" s="68" t="s">
        <v>130</v>
      </c>
      <c r="E1693" s="10" t="str">
        <f>TRIM(VLOOKUP(D1693,TB!$B$9:$C$1500,2,FALSE))</f>
        <v>BCA TBB</v>
      </c>
      <c r="F1693" s="173" t="str">
        <f>F1692</f>
        <v>Mmb - Inv. 1273 - 10 Mar 26</v>
      </c>
      <c r="G1693" s="130"/>
      <c r="H1693" s="10"/>
      <c r="I1693" s="10">
        <f t="shared" si="118"/>
        <v>14540000</v>
      </c>
      <c r="J1693" s="79" t="e">
        <f t="shared" si="79"/>
        <v>#VALUE!</v>
      </c>
      <c r="K1693" s="106"/>
      <c r="L1693" s="107"/>
      <c r="M1693" s="106"/>
      <c r="N1693" s="106"/>
      <c r="O1693" s="108"/>
      <c r="P1693" s="108"/>
      <c r="Q1693" s="108"/>
      <c r="R1693" s="109"/>
      <c r="S1693" s="109"/>
      <c r="T1693" s="108"/>
      <c r="U1693" s="110"/>
      <c r="V1693" s="110"/>
      <c r="W1693" s="110"/>
      <c r="X1693" s="110"/>
    </row>
    <row r="1694" spans="1:24" ht="14.25" customHeight="1">
      <c r="A1694" s="110"/>
      <c r="B1694" s="125"/>
      <c r="C1694" s="126"/>
      <c r="D1694" s="15"/>
      <c r="E1694" s="10" t="e">
        <f>TRIM(VLOOKUP(D1694,TB!$B$9:$C$1500,2,FALSE))</f>
        <v>#N/A</v>
      </c>
      <c r="F1694" s="173"/>
      <c r="G1694" s="130"/>
      <c r="H1694" s="10"/>
      <c r="I1694" s="10">
        <f t="shared" si="118"/>
        <v>0</v>
      </c>
      <c r="J1694" s="79" t="e">
        <f t="shared" si="79"/>
        <v>#VALUE!</v>
      </c>
      <c r="K1694" s="106"/>
      <c r="L1694" s="107"/>
      <c r="M1694" s="106"/>
      <c r="N1694" s="106"/>
      <c r="O1694" s="108"/>
      <c r="P1694" s="108"/>
      <c r="Q1694" s="108"/>
      <c r="R1694" s="109"/>
      <c r="S1694" s="109"/>
      <c r="T1694" s="108"/>
      <c r="U1694" s="110"/>
      <c r="V1694" s="110"/>
      <c r="W1694" s="110"/>
      <c r="X1694" s="110"/>
    </row>
    <row r="1695" spans="1:24" ht="14.25" customHeight="1">
      <c r="A1695" s="110"/>
      <c r="B1695" s="125">
        <v>46181</v>
      </c>
      <c r="C1695" s="126" t="s">
        <v>525</v>
      </c>
      <c r="D1695" s="68" t="s">
        <v>285</v>
      </c>
      <c r="E1695" s="10" t="str">
        <f>TRIM(VLOOKUP(D1695,TB!$B$9:$C$1500,2,FALSE))</f>
        <v>Misc Cash Purchase</v>
      </c>
      <c r="F1695" s="173" t="s">
        <v>526</v>
      </c>
      <c r="G1695" s="130"/>
      <c r="H1695" s="10">
        <v>7907201</v>
      </c>
      <c r="I1695" s="10">
        <f t="shared" si="118"/>
        <v>0</v>
      </c>
      <c r="J1695" s="79" t="e">
        <f t="shared" si="79"/>
        <v>#VALUE!</v>
      </c>
      <c r="K1695" s="106"/>
      <c r="L1695" s="107"/>
      <c r="M1695" s="106"/>
      <c r="N1695" s="106"/>
      <c r="O1695" s="108"/>
      <c r="P1695" s="108"/>
      <c r="Q1695" s="108"/>
      <c r="R1695" s="109"/>
      <c r="S1695" s="109"/>
      <c r="T1695" s="108"/>
      <c r="U1695" s="110"/>
      <c r="V1695" s="110"/>
      <c r="W1695" s="110"/>
      <c r="X1695" s="110"/>
    </row>
    <row r="1696" spans="1:24" ht="14.25" customHeight="1">
      <c r="A1696" s="110"/>
      <c r="B1696" s="125">
        <v>46181</v>
      </c>
      <c r="C1696" s="126" t="s">
        <v>525</v>
      </c>
      <c r="D1696" s="68" t="s">
        <v>130</v>
      </c>
      <c r="E1696" s="10" t="str">
        <f>TRIM(VLOOKUP(D1696,TB!$B$9:$C$1500,2,FALSE))</f>
        <v>BCA TBB</v>
      </c>
      <c r="F1696" s="173" t="str">
        <f>F1695</f>
        <v>Panca Niaga Bali - Inv. 2280,2278 - 18 Feb 26,2384,2224 - 24 Feb 26 (DEDUCT SUPPORT 45JUTA)</v>
      </c>
      <c r="G1696" s="130"/>
      <c r="H1696" s="10"/>
      <c r="I1696" s="10">
        <f t="shared" si="118"/>
        <v>7907201</v>
      </c>
      <c r="J1696" s="79" t="e">
        <f t="shared" si="79"/>
        <v>#VALUE!</v>
      </c>
      <c r="K1696" s="106"/>
      <c r="L1696" s="107"/>
      <c r="M1696" s="106"/>
      <c r="N1696" s="106"/>
      <c r="O1696" s="108"/>
      <c r="P1696" s="108"/>
      <c r="Q1696" s="108"/>
      <c r="R1696" s="109"/>
      <c r="S1696" s="109"/>
      <c r="T1696" s="108"/>
      <c r="U1696" s="110"/>
      <c r="V1696" s="110"/>
      <c r="W1696" s="110"/>
      <c r="X1696" s="110"/>
    </row>
    <row r="1697" spans="1:24" ht="14.25" customHeight="1">
      <c r="A1697" s="110"/>
      <c r="B1697" s="125"/>
      <c r="C1697" s="126"/>
      <c r="D1697" s="15"/>
      <c r="E1697" s="10" t="e">
        <f>TRIM(VLOOKUP(D1697,TB!$B$9:$C$1500,2,FALSE))</f>
        <v>#N/A</v>
      </c>
      <c r="F1697" s="173"/>
      <c r="G1697" s="130"/>
      <c r="H1697" s="10"/>
      <c r="I1697" s="10">
        <f t="shared" si="118"/>
        <v>0</v>
      </c>
      <c r="J1697" s="79" t="e">
        <f t="shared" si="79"/>
        <v>#VALUE!</v>
      </c>
      <c r="K1697" s="106"/>
      <c r="L1697" s="107"/>
      <c r="M1697" s="106"/>
      <c r="N1697" s="106"/>
      <c r="O1697" s="108"/>
      <c r="P1697" s="108"/>
      <c r="Q1697" s="108"/>
      <c r="R1697" s="109"/>
      <c r="S1697" s="109"/>
      <c r="T1697" s="108"/>
      <c r="U1697" s="110"/>
      <c r="V1697" s="110"/>
      <c r="W1697" s="110"/>
      <c r="X1697" s="110"/>
    </row>
    <row r="1698" spans="1:24" ht="14.25" customHeight="1">
      <c r="A1698" s="110"/>
      <c r="B1698" s="125">
        <v>46181</v>
      </c>
      <c r="C1698" s="126" t="s">
        <v>527</v>
      </c>
      <c r="D1698" s="68" t="s">
        <v>285</v>
      </c>
      <c r="E1698" s="10" t="str">
        <f>TRIM(VLOOKUP(D1698,TB!$B$9:$C$1500,2,FALSE))</f>
        <v>Misc Cash Purchase</v>
      </c>
      <c r="F1698" s="173" t="s">
        <v>528</v>
      </c>
      <c r="G1698" s="130"/>
      <c r="H1698" s="10">
        <v>11665758</v>
      </c>
      <c r="I1698" s="10">
        <f t="shared" si="118"/>
        <v>0</v>
      </c>
      <c r="J1698" s="79" t="e">
        <f t="shared" si="79"/>
        <v>#VALUE!</v>
      </c>
      <c r="K1698" s="106"/>
      <c r="L1698" s="107"/>
      <c r="M1698" s="106"/>
      <c r="N1698" s="106"/>
      <c r="O1698" s="108"/>
      <c r="P1698" s="108"/>
      <c r="Q1698" s="108"/>
      <c r="R1698" s="109"/>
      <c r="S1698" s="109"/>
      <c r="T1698" s="108"/>
      <c r="U1698" s="110"/>
      <c r="V1698" s="110"/>
      <c r="W1698" s="110"/>
      <c r="X1698" s="110"/>
    </row>
    <row r="1699" spans="1:24" ht="14.25" customHeight="1">
      <c r="A1699" s="110"/>
      <c r="B1699" s="125">
        <v>46181</v>
      </c>
      <c r="C1699" s="126" t="s">
        <v>527</v>
      </c>
      <c r="D1699" s="68" t="s">
        <v>130</v>
      </c>
      <c r="E1699" s="10" t="str">
        <f>TRIM(VLOOKUP(D1699,TB!$B$9:$C$1500,2,FALSE))</f>
        <v>BCA TBB</v>
      </c>
      <c r="F1699" s="173" t="str">
        <f>F1698</f>
        <v>Panca Niaga Bali - Inv. 3036 - 03 Mar 26</v>
      </c>
      <c r="G1699" s="130"/>
      <c r="H1699" s="10"/>
      <c r="I1699" s="10">
        <f t="shared" si="118"/>
        <v>11665758</v>
      </c>
      <c r="J1699" s="79" t="e">
        <f t="shared" si="79"/>
        <v>#VALUE!</v>
      </c>
      <c r="K1699" s="106"/>
      <c r="L1699" s="107"/>
      <c r="M1699" s="106"/>
      <c r="N1699" s="106"/>
      <c r="O1699" s="108"/>
      <c r="P1699" s="108"/>
      <c r="Q1699" s="108"/>
      <c r="R1699" s="109"/>
      <c r="S1699" s="109"/>
      <c r="T1699" s="108"/>
      <c r="U1699" s="110"/>
      <c r="V1699" s="110"/>
      <c r="W1699" s="110"/>
      <c r="X1699" s="110"/>
    </row>
    <row r="1700" spans="1:24" ht="14.25" customHeight="1">
      <c r="A1700" s="110"/>
      <c r="B1700" s="125"/>
      <c r="C1700" s="126"/>
      <c r="D1700" s="15"/>
      <c r="E1700" s="10" t="e">
        <f>TRIM(VLOOKUP(D1700,TB!$B$9:$C$1500,2,FALSE))</f>
        <v>#N/A</v>
      </c>
      <c r="F1700" s="173"/>
      <c r="G1700" s="130"/>
      <c r="H1700" s="10"/>
      <c r="I1700" s="10">
        <f t="shared" si="118"/>
        <v>0</v>
      </c>
      <c r="J1700" s="79" t="e">
        <f t="shared" si="79"/>
        <v>#VALUE!</v>
      </c>
      <c r="K1700" s="106"/>
      <c r="L1700" s="107"/>
      <c r="M1700" s="106"/>
      <c r="N1700" s="106"/>
      <c r="O1700" s="108"/>
      <c r="P1700" s="108"/>
      <c r="Q1700" s="108"/>
      <c r="R1700" s="109"/>
      <c r="S1700" s="109"/>
      <c r="T1700" s="108"/>
      <c r="U1700" s="110"/>
      <c r="V1700" s="110"/>
      <c r="W1700" s="110"/>
      <c r="X1700" s="110"/>
    </row>
    <row r="1701" spans="1:24" ht="14.25" customHeight="1">
      <c r="A1701" s="110"/>
      <c r="B1701" s="125">
        <v>46181</v>
      </c>
      <c r="C1701" s="126" t="s">
        <v>529</v>
      </c>
      <c r="D1701" s="68" t="s">
        <v>285</v>
      </c>
      <c r="E1701" s="10" t="str">
        <f>TRIM(VLOOKUP(D1701,TB!$B$9:$C$1500,2,FALSE))</f>
        <v>Misc Cash Purchase</v>
      </c>
      <c r="F1701" s="173" t="s">
        <v>530</v>
      </c>
      <c r="G1701" s="130"/>
      <c r="H1701" s="10">
        <v>2816668</v>
      </c>
      <c r="I1701" s="10">
        <f t="shared" si="118"/>
        <v>0</v>
      </c>
      <c r="J1701" s="79" t="e">
        <f t="shared" si="79"/>
        <v>#VALUE!</v>
      </c>
      <c r="K1701" s="106"/>
      <c r="L1701" s="107"/>
      <c r="M1701" s="106"/>
      <c r="N1701" s="106"/>
      <c r="O1701" s="108"/>
      <c r="P1701" s="108"/>
      <c r="Q1701" s="108"/>
      <c r="R1701" s="109"/>
      <c r="S1701" s="109"/>
      <c r="T1701" s="108"/>
      <c r="U1701" s="110"/>
      <c r="V1701" s="110"/>
      <c r="W1701" s="110"/>
      <c r="X1701" s="110"/>
    </row>
    <row r="1702" spans="1:24" ht="14.25" customHeight="1">
      <c r="A1702" s="110"/>
      <c r="B1702" s="125">
        <v>46181</v>
      </c>
      <c r="C1702" s="126" t="s">
        <v>529</v>
      </c>
      <c r="D1702" s="68" t="s">
        <v>130</v>
      </c>
      <c r="E1702" s="10" t="str">
        <f>TRIM(VLOOKUP(D1702,TB!$B$9:$C$1500,2,FALSE))</f>
        <v>BCA TBB</v>
      </c>
      <c r="F1702" s="173" t="str">
        <f>F1701</f>
        <v>Panca Niaga Bali - Inv. 3034 - 03 Mar 26 (Barang Konsinyasi)</v>
      </c>
      <c r="G1702" s="130"/>
      <c r="H1702" s="10"/>
      <c r="I1702" s="10">
        <f t="shared" si="118"/>
        <v>2816668</v>
      </c>
      <c r="J1702" s="79" t="e">
        <f t="shared" si="79"/>
        <v>#VALUE!</v>
      </c>
      <c r="K1702" s="106"/>
      <c r="L1702" s="107"/>
      <c r="M1702" s="106"/>
      <c r="N1702" s="106"/>
      <c r="O1702" s="108"/>
      <c r="P1702" s="108"/>
      <c r="Q1702" s="108"/>
      <c r="R1702" s="109"/>
      <c r="S1702" s="109"/>
      <c r="T1702" s="108"/>
      <c r="U1702" s="110"/>
      <c r="V1702" s="110"/>
      <c r="W1702" s="110"/>
      <c r="X1702" s="110"/>
    </row>
    <row r="1703" spans="1:24" ht="14.25" customHeight="1">
      <c r="A1703" s="110"/>
      <c r="B1703" s="125"/>
      <c r="C1703" s="126"/>
      <c r="D1703" s="15"/>
      <c r="E1703" s="10" t="e">
        <f>TRIM(VLOOKUP(D1703,TB!$B$9:$C$1500,2,FALSE))</f>
        <v>#N/A</v>
      </c>
      <c r="F1703" s="173"/>
      <c r="G1703" s="130"/>
      <c r="H1703" s="10"/>
      <c r="I1703" s="10">
        <f t="shared" si="118"/>
        <v>0</v>
      </c>
      <c r="J1703" s="79" t="e">
        <f t="shared" si="79"/>
        <v>#VALUE!</v>
      </c>
      <c r="K1703" s="106"/>
      <c r="L1703" s="107"/>
      <c r="M1703" s="106"/>
      <c r="N1703" s="106"/>
      <c r="O1703" s="108"/>
      <c r="P1703" s="108"/>
      <c r="Q1703" s="108"/>
      <c r="R1703" s="109"/>
      <c r="S1703" s="109"/>
      <c r="T1703" s="108"/>
      <c r="U1703" s="110"/>
      <c r="V1703" s="110"/>
      <c r="W1703" s="110"/>
      <c r="X1703" s="110"/>
    </row>
    <row r="1704" spans="1:24" ht="14.25" customHeight="1">
      <c r="A1704" s="110"/>
      <c r="B1704" s="125">
        <v>46181</v>
      </c>
      <c r="C1704" s="126" t="s">
        <v>531</v>
      </c>
      <c r="D1704" s="68" t="s">
        <v>285</v>
      </c>
      <c r="E1704" s="10" t="str">
        <f>TRIM(VLOOKUP(D1704,TB!$B$9:$C$1500,2,FALSE))</f>
        <v>Misc Cash Purchase</v>
      </c>
      <c r="F1704" s="173" t="s">
        <v>532</v>
      </c>
      <c r="G1704" s="130"/>
      <c r="H1704" s="10">
        <v>7280000</v>
      </c>
      <c r="I1704" s="10">
        <f t="shared" si="118"/>
        <v>0</v>
      </c>
      <c r="J1704" s="79" t="e">
        <f t="shared" si="79"/>
        <v>#VALUE!</v>
      </c>
      <c r="K1704" s="106"/>
      <c r="L1704" s="107"/>
      <c r="M1704" s="106"/>
      <c r="N1704" s="106"/>
      <c r="O1704" s="108"/>
      <c r="P1704" s="108"/>
      <c r="Q1704" s="108"/>
      <c r="R1704" s="109"/>
      <c r="S1704" s="109"/>
      <c r="T1704" s="108"/>
      <c r="U1704" s="110"/>
      <c r="V1704" s="110"/>
      <c r="W1704" s="110"/>
      <c r="X1704" s="110"/>
    </row>
    <row r="1705" spans="1:24" ht="14.25" customHeight="1">
      <c r="A1705" s="110"/>
      <c r="B1705" s="125">
        <v>46181</v>
      </c>
      <c r="C1705" s="126" t="s">
        <v>531</v>
      </c>
      <c r="D1705" s="68" t="s">
        <v>130</v>
      </c>
      <c r="E1705" s="10" t="str">
        <f>TRIM(VLOOKUP(D1705,TB!$B$9:$C$1500,2,FALSE))</f>
        <v>BCA TBB</v>
      </c>
      <c r="F1705" s="173" t="str">
        <f>F1704</f>
        <v>Atd - Inv. 0064 - 17 Feb 26</v>
      </c>
      <c r="G1705" s="130"/>
      <c r="H1705" s="10"/>
      <c r="I1705" s="10">
        <f t="shared" si="118"/>
        <v>7280000</v>
      </c>
      <c r="J1705" s="79" t="e">
        <f t="shared" si="79"/>
        <v>#VALUE!</v>
      </c>
      <c r="K1705" s="106"/>
      <c r="L1705" s="107"/>
      <c r="M1705" s="106"/>
      <c r="N1705" s="106"/>
      <c r="O1705" s="108"/>
      <c r="P1705" s="108"/>
      <c r="Q1705" s="108"/>
      <c r="R1705" s="109"/>
      <c r="S1705" s="109"/>
      <c r="T1705" s="108"/>
      <c r="U1705" s="110"/>
      <c r="V1705" s="110"/>
      <c r="W1705" s="110"/>
      <c r="X1705" s="110"/>
    </row>
    <row r="1706" spans="1:24" ht="14.25" customHeight="1">
      <c r="A1706" s="110"/>
      <c r="B1706" s="125"/>
      <c r="C1706" s="126"/>
      <c r="D1706" s="68"/>
      <c r="E1706" s="10" t="e">
        <f>TRIM(VLOOKUP(D1706,TB!$B$9:$C$1500,2,FALSE))</f>
        <v>#N/A</v>
      </c>
      <c r="F1706" s="173"/>
      <c r="G1706" s="130"/>
      <c r="H1706" s="10"/>
      <c r="I1706" s="10">
        <f t="shared" si="118"/>
        <v>0</v>
      </c>
      <c r="J1706" s="79" t="e">
        <f t="shared" si="79"/>
        <v>#VALUE!</v>
      </c>
      <c r="K1706" s="106"/>
      <c r="L1706" s="107"/>
      <c r="M1706" s="106"/>
      <c r="N1706" s="106"/>
      <c r="O1706" s="108"/>
      <c r="P1706" s="108"/>
      <c r="Q1706" s="108"/>
      <c r="R1706" s="109"/>
      <c r="S1706" s="109"/>
      <c r="T1706" s="108"/>
      <c r="U1706" s="110"/>
      <c r="V1706" s="110"/>
      <c r="W1706" s="110"/>
      <c r="X1706" s="110"/>
    </row>
    <row r="1707" spans="1:24" ht="14.25" customHeight="1">
      <c r="A1707" s="110"/>
      <c r="B1707" s="125">
        <v>46181</v>
      </c>
      <c r="C1707" s="126" t="s">
        <v>533</v>
      </c>
      <c r="D1707" s="68" t="s">
        <v>285</v>
      </c>
      <c r="E1707" s="10" t="str">
        <f>TRIM(VLOOKUP(D1707,TB!$B$9:$C$1500,2,FALSE))</f>
        <v>Misc Cash Purchase</v>
      </c>
      <c r="F1707" s="173" t="s">
        <v>534</v>
      </c>
      <c r="G1707" s="130"/>
      <c r="H1707" s="10">
        <v>1262114</v>
      </c>
      <c r="I1707" s="10">
        <f t="shared" si="118"/>
        <v>0</v>
      </c>
      <c r="J1707" s="79" t="e">
        <f t="shared" si="79"/>
        <v>#VALUE!</v>
      </c>
      <c r="K1707" s="106"/>
      <c r="L1707" s="107"/>
      <c r="M1707" s="106"/>
      <c r="N1707" s="106"/>
      <c r="O1707" s="108"/>
      <c r="P1707" s="108"/>
      <c r="Q1707" s="108"/>
      <c r="R1707" s="109"/>
      <c r="S1707" s="109"/>
      <c r="T1707" s="108"/>
      <c r="U1707" s="110"/>
      <c r="V1707" s="110"/>
      <c r="W1707" s="110"/>
      <c r="X1707" s="110"/>
    </row>
    <row r="1708" spans="1:24" ht="14.25" customHeight="1">
      <c r="A1708" s="110"/>
      <c r="B1708" s="125">
        <v>46181</v>
      </c>
      <c r="C1708" s="126" t="s">
        <v>533</v>
      </c>
      <c r="D1708" s="68" t="s">
        <v>130</v>
      </c>
      <c r="E1708" s="10" t="str">
        <f>TRIM(VLOOKUP(D1708,TB!$B$9:$C$1500,2,FALSE))</f>
        <v>BCA TBB</v>
      </c>
      <c r="F1708" s="173" t="str">
        <f>F1707</f>
        <v>Wahana Boga Nusantara - Inv. 0768 - 29 Apr 26</v>
      </c>
      <c r="G1708" s="130"/>
      <c r="H1708" s="10"/>
      <c r="I1708" s="10">
        <f t="shared" si="118"/>
        <v>1262114</v>
      </c>
      <c r="J1708" s="79" t="e">
        <f t="shared" si="79"/>
        <v>#VALUE!</v>
      </c>
      <c r="K1708" s="106"/>
      <c r="L1708" s="107"/>
      <c r="M1708" s="106"/>
      <c r="N1708" s="106"/>
      <c r="O1708" s="108"/>
      <c r="P1708" s="108"/>
      <c r="Q1708" s="108"/>
      <c r="R1708" s="109"/>
      <c r="S1708" s="109"/>
      <c r="T1708" s="108"/>
      <c r="U1708" s="110"/>
      <c r="V1708" s="110"/>
      <c r="W1708" s="110"/>
      <c r="X1708" s="110"/>
    </row>
    <row r="1709" spans="1:24" ht="14.25" customHeight="1">
      <c r="A1709" s="110"/>
      <c r="B1709" s="125"/>
      <c r="C1709" s="126"/>
      <c r="D1709" s="15"/>
      <c r="E1709" s="10" t="e">
        <f>TRIM(VLOOKUP(D1709,TB!$B$9:$C$1500,2,FALSE))</f>
        <v>#N/A</v>
      </c>
      <c r="F1709" s="173"/>
      <c r="G1709" s="130"/>
      <c r="H1709" s="10"/>
      <c r="I1709" s="10">
        <f t="shared" si="118"/>
        <v>0</v>
      </c>
      <c r="J1709" s="79" t="e">
        <f t="shared" si="79"/>
        <v>#VALUE!</v>
      </c>
      <c r="K1709" s="106"/>
      <c r="L1709" s="107"/>
      <c r="M1709" s="106"/>
      <c r="N1709" s="106"/>
      <c r="O1709" s="108"/>
      <c r="P1709" s="108"/>
      <c r="Q1709" s="108"/>
      <c r="R1709" s="109"/>
      <c r="S1709" s="109"/>
      <c r="T1709" s="108"/>
      <c r="U1709" s="110"/>
      <c r="V1709" s="110"/>
      <c r="W1709" s="110"/>
      <c r="X1709" s="110"/>
    </row>
    <row r="1710" spans="1:24" ht="14.25" customHeight="1">
      <c r="A1710" s="110"/>
      <c r="B1710" s="125">
        <v>46181</v>
      </c>
      <c r="C1710" s="126" t="s">
        <v>535</v>
      </c>
      <c r="D1710" s="68" t="s">
        <v>285</v>
      </c>
      <c r="E1710" s="10" t="str">
        <f>TRIM(VLOOKUP(D1710,TB!$B$9:$C$1500,2,FALSE))</f>
        <v>Misc Cash Purchase</v>
      </c>
      <c r="F1710" s="173" t="s">
        <v>536</v>
      </c>
      <c r="G1710" s="130"/>
      <c r="H1710" s="10">
        <v>2905000</v>
      </c>
      <c r="I1710" s="10">
        <f t="shared" si="118"/>
        <v>0</v>
      </c>
      <c r="J1710" s="79" t="e">
        <f t="shared" si="79"/>
        <v>#VALUE!</v>
      </c>
      <c r="K1710" s="106"/>
      <c r="L1710" s="107"/>
      <c r="M1710" s="106"/>
      <c r="N1710" s="106"/>
      <c r="O1710" s="108"/>
      <c r="P1710" s="108"/>
      <c r="Q1710" s="108"/>
      <c r="R1710" s="109"/>
      <c r="S1710" s="109"/>
      <c r="T1710" s="108"/>
      <c r="U1710" s="110"/>
      <c r="V1710" s="110"/>
      <c r="W1710" s="110"/>
      <c r="X1710" s="110"/>
    </row>
    <row r="1711" spans="1:24" ht="14.25" customHeight="1">
      <c r="A1711" s="110"/>
      <c r="B1711" s="125">
        <v>46181</v>
      </c>
      <c r="C1711" s="126" t="s">
        <v>535</v>
      </c>
      <c r="D1711" s="15" t="s">
        <v>124</v>
      </c>
      <c r="E1711" s="10" t="str">
        <f>TRIM(VLOOKUP(D1711,TB!$B$9:$C$1500,2,FALSE))</f>
        <v>Bank charges</v>
      </c>
      <c r="F1711" s="173" t="s">
        <v>536</v>
      </c>
      <c r="G1711" s="130"/>
      <c r="H1711" s="10">
        <v>2500</v>
      </c>
      <c r="I1711" s="10"/>
      <c r="J1711" s="79" t="e">
        <f t="shared" si="79"/>
        <v>#VALUE!</v>
      </c>
      <c r="K1711" s="106"/>
      <c r="L1711" s="107"/>
      <c r="M1711" s="106"/>
      <c r="N1711" s="106"/>
      <c r="O1711" s="108"/>
      <c r="P1711" s="108"/>
      <c r="Q1711" s="108"/>
      <c r="R1711" s="109"/>
      <c r="S1711" s="109"/>
      <c r="T1711" s="108"/>
      <c r="U1711" s="110"/>
      <c r="V1711" s="110"/>
      <c r="W1711" s="110"/>
      <c r="X1711" s="110"/>
    </row>
    <row r="1712" spans="1:24" ht="14.25" customHeight="1">
      <c r="A1712" s="110"/>
      <c r="B1712" s="125">
        <v>46181</v>
      </c>
      <c r="C1712" s="126" t="s">
        <v>535</v>
      </c>
      <c r="D1712" s="68" t="s">
        <v>130</v>
      </c>
      <c r="E1712" s="10" t="str">
        <f>TRIM(VLOOKUP(D1712,TB!$B$9:$C$1500,2,FALSE))</f>
        <v>BCA TBB</v>
      </c>
      <c r="F1712" s="173" t="str">
        <f>F1710</f>
        <v>Lim Siang Huat Balindo - Inv. 4017 - 22 Apr  26</v>
      </c>
      <c r="G1712" s="130"/>
      <c r="H1712" s="10"/>
      <c r="I1712" s="10">
        <v>2907500</v>
      </c>
      <c r="J1712" s="79" t="e">
        <f t="shared" si="79"/>
        <v>#VALUE!</v>
      </c>
      <c r="K1712" s="106"/>
      <c r="L1712" s="107"/>
      <c r="M1712" s="106"/>
      <c r="N1712" s="106"/>
      <c r="O1712" s="108"/>
      <c r="P1712" s="108"/>
      <c r="Q1712" s="108"/>
      <c r="R1712" s="109"/>
      <c r="S1712" s="109"/>
      <c r="T1712" s="108"/>
      <c r="U1712" s="110"/>
      <c r="V1712" s="110"/>
      <c r="W1712" s="110"/>
      <c r="X1712" s="110"/>
    </row>
    <row r="1713" spans="1:24" ht="14.25" customHeight="1">
      <c r="A1713" s="110"/>
      <c r="B1713" s="125"/>
      <c r="C1713" s="126"/>
      <c r="D1713" s="159"/>
      <c r="E1713" s="10" t="e">
        <f>TRIM(VLOOKUP(D1713,TB!$B$9:$C$1500,2,FALSE))</f>
        <v>#N/A</v>
      </c>
      <c r="F1713" s="173"/>
      <c r="G1713" s="130"/>
      <c r="H1713" s="10"/>
      <c r="I1713" s="10">
        <f t="shared" ref="I1713:I1741" si="119">SUM(H1712)</f>
        <v>0</v>
      </c>
      <c r="J1713" s="79" t="e">
        <f t="shared" si="79"/>
        <v>#VALUE!</v>
      </c>
      <c r="K1713" s="106"/>
      <c r="L1713" s="107"/>
      <c r="M1713" s="106"/>
      <c r="N1713" s="106"/>
      <c r="O1713" s="108"/>
      <c r="P1713" s="108"/>
      <c r="Q1713" s="108"/>
      <c r="R1713" s="109"/>
      <c r="S1713" s="109"/>
      <c r="T1713" s="108"/>
      <c r="U1713" s="110"/>
      <c r="V1713" s="110"/>
      <c r="W1713" s="110"/>
      <c r="X1713" s="110"/>
    </row>
    <row r="1714" spans="1:24" ht="14.25" customHeight="1">
      <c r="A1714" s="110"/>
      <c r="B1714" s="125">
        <v>46181</v>
      </c>
      <c r="C1714" s="126" t="s">
        <v>537</v>
      </c>
      <c r="D1714" s="68" t="s">
        <v>285</v>
      </c>
      <c r="E1714" s="10" t="str">
        <f>TRIM(VLOOKUP(D1714,TB!$B$9:$C$1500,2,FALSE))</f>
        <v>Misc Cash Purchase</v>
      </c>
      <c r="F1714" s="173" t="s">
        <v>538</v>
      </c>
      <c r="G1714" s="130"/>
      <c r="H1714" s="10">
        <v>3240000</v>
      </c>
      <c r="I1714" s="10">
        <f t="shared" si="119"/>
        <v>0</v>
      </c>
      <c r="J1714" s="79" t="e">
        <f t="shared" si="79"/>
        <v>#VALUE!</v>
      </c>
      <c r="K1714" s="106"/>
      <c r="L1714" s="107"/>
      <c r="M1714" s="106"/>
      <c r="N1714" s="106"/>
      <c r="O1714" s="108"/>
      <c r="P1714" s="108"/>
      <c r="Q1714" s="108"/>
      <c r="R1714" s="109"/>
      <c r="S1714" s="109"/>
      <c r="T1714" s="108"/>
      <c r="U1714" s="110"/>
      <c r="V1714" s="110"/>
      <c r="W1714" s="110"/>
      <c r="X1714" s="110"/>
    </row>
    <row r="1715" spans="1:24" ht="14.25" customHeight="1">
      <c r="A1715" s="110"/>
      <c r="B1715" s="125">
        <v>46181</v>
      </c>
      <c r="C1715" s="126" t="s">
        <v>537</v>
      </c>
      <c r="D1715" s="68" t="s">
        <v>130</v>
      </c>
      <c r="E1715" s="10" t="str">
        <f>TRIM(VLOOKUP(D1715,TB!$B$9:$C$1500,2,FALSE))</f>
        <v>BCA TBB</v>
      </c>
      <c r="F1715" s="173" t="str">
        <f>F1714</f>
        <v>Dewata Kencana Distribusi - Inv. 2512 - 28 Apr, inv. 2613 - 06 May 26</v>
      </c>
      <c r="G1715" s="130"/>
      <c r="H1715" s="10"/>
      <c r="I1715" s="10">
        <f t="shared" si="119"/>
        <v>3240000</v>
      </c>
      <c r="J1715" s="79" t="e">
        <f t="shared" si="79"/>
        <v>#VALUE!</v>
      </c>
      <c r="K1715" s="106"/>
      <c r="L1715" s="107"/>
      <c r="M1715" s="106"/>
      <c r="N1715" s="106"/>
      <c r="O1715" s="108"/>
      <c r="P1715" s="108"/>
      <c r="Q1715" s="108"/>
      <c r="R1715" s="109"/>
      <c r="S1715" s="109"/>
      <c r="T1715" s="108"/>
      <c r="U1715" s="110"/>
      <c r="V1715" s="110"/>
      <c r="W1715" s="110"/>
      <c r="X1715" s="110"/>
    </row>
    <row r="1716" spans="1:24" ht="14.25" customHeight="1">
      <c r="A1716" s="110"/>
      <c r="B1716" s="125"/>
      <c r="C1716" s="126"/>
      <c r="D1716" s="15"/>
      <c r="E1716" s="10" t="e">
        <f>TRIM(VLOOKUP(D1716,TB!$B$9:$C$1500,2,FALSE))</f>
        <v>#N/A</v>
      </c>
      <c r="F1716" s="173"/>
      <c r="G1716" s="130"/>
      <c r="H1716" s="10"/>
      <c r="I1716" s="10">
        <f t="shared" si="119"/>
        <v>0</v>
      </c>
      <c r="J1716" s="79" t="e">
        <f t="shared" si="79"/>
        <v>#VALUE!</v>
      </c>
      <c r="K1716" s="106"/>
      <c r="L1716" s="107"/>
      <c r="M1716" s="106"/>
      <c r="N1716" s="106"/>
      <c r="O1716" s="108"/>
      <c r="P1716" s="108"/>
      <c r="Q1716" s="108"/>
      <c r="R1716" s="109"/>
      <c r="S1716" s="109"/>
      <c r="T1716" s="108"/>
      <c r="U1716" s="110"/>
      <c r="V1716" s="110"/>
      <c r="W1716" s="110"/>
      <c r="X1716" s="110"/>
    </row>
    <row r="1717" spans="1:24" ht="14.25" customHeight="1">
      <c r="A1717" s="110"/>
      <c r="B1717" s="125">
        <v>46181</v>
      </c>
      <c r="C1717" s="126" t="s">
        <v>539</v>
      </c>
      <c r="D1717" s="68" t="s">
        <v>285</v>
      </c>
      <c r="E1717" s="10" t="str">
        <f>TRIM(VLOOKUP(D1717,TB!$B$9:$C$1500,2,FALSE))</f>
        <v>Misc Cash Purchase</v>
      </c>
      <c r="F1717" s="173" t="s">
        <v>540</v>
      </c>
      <c r="G1717" s="130"/>
      <c r="H1717" s="10">
        <v>1500000</v>
      </c>
      <c r="I1717" s="10">
        <f t="shared" si="119"/>
        <v>0</v>
      </c>
      <c r="J1717" s="79" t="e">
        <f t="shared" si="79"/>
        <v>#VALUE!</v>
      </c>
      <c r="K1717" s="106"/>
      <c r="L1717" s="107"/>
      <c r="M1717" s="106"/>
      <c r="N1717" s="106"/>
      <c r="O1717" s="108"/>
      <c r="P1717" s="108"/>
      <c r="Q1717" s="108"/>
      <c r="R1717" s="109"/>
      <c r="S1717" s="109"/>
      <c r="T1717" s="108"/>
      <c r="U1717" s="110"/>
      <c r="V1717" s="110"/>
      <c r="W1717" s="110"/>
      <c r="X1717" s="110"/>
    </row>
    <row r="1718" spans="1:24" ht="14.25" customHeight="1">
      <c r="A1718" s="110"/>
      <c r="B1718" s="125">
        <v>46181</v>
      </c>
      <c r="C1718" s="126" t="s">
        <v>539</v>
      </c>
      <c r="D1718" s="68" t="s">
        <v>130</v>
      </c>
      <c r="E1718" s="10" t="str">
        <f>TRIM(VLOOKUP(D1718,TB!$B$9:$C$1500,2,FALSE))</f>
        <v>BCA TBB</v>
      </c>
      <c r="F1718" s="173" t="str">
        <f>F1717</f>
        <v>Putu Raptor - Inv. April 2026</v>
      </c>
      <c r="G1718" s="130"/>
      <c r="H1718" s="10"/>
      <c r="I1718" s="10">
        <f t="shared" si="119"/>
        <v>1500000</v>
      </c>
      <c r="J1718" s="79" t="e">
        <f t="shared" si="79"/>
        <v>#VALUE!</v>
      </c>
      <c r="K1718" s="106"/>
      <c r="L1718" s="107"/>
      <c r="M1718" s="106"/>
      <c r="N1718" s="106"/>
      <c r="O1718" s="108"/>
      <c r="P1718" s="108"/>
      <c r="Q1718" s="108"/>
      <c r="R1718" s="109"/>
      <c r="S1718" s="109"/>
      <c r="T1718" s="108"/>
      <c r="U1718" s="110"/>
      <c r="V1718" s="110"/>
      <c r="W1718" s="110"/>
      <c r="X1718" s="110"/>
    </row>
    <row r="1719" spans="1:24" ht="14.25" customHeight="1">
      <c r="A1719" s="110"/>
      <c r="B1719" s="125"/>
      <c r="C1719" s="126"/>
      <c r="D1719" s="15"/>
      <c r="E1719" s="10" t="e">
        <f>TRIM(VLOOKUP(D1719,TB!$B$9:$C$1500,2,FALSE))</f>
        <v>#N/A</v>
      </c>
      <c r="F1719" s="173"/>
      <c r="G1719" s="130"/>
      <c r="H1719" s="10"/>
      <c r="I1719" s="10">
        <f t="shared" si="119"/>
        <v>0</v>
      </c>
      <c r="J1719" s="79" t="e">
        <f t="shared" si="79"/>
        <v>#VALUE!</v>
      </c>
      <c r="K1719" s="106"/>
      <c r="L1719" s="107"/>
      <c r="M1719" s="106"/>
      <c r="N1719" s="106"/>
      <c r="O1719" s="108"/>
      <c r="P1719" s="108"/>
      <c r="Q1719" s="108"/>
      <c r="R1719" s="109"/>
      <c r="S1719" s="109"/>
      <c r="T1719" s="108"/>
      <c r="U1719" s="110"/>
      <c r="V1719" s="110"/>
      <c r="W1719" s="110"/>
      <c r="X1719" s="110"/>
    </row>
    <row r="1720" spans="1:24" ht="14.25" customHeight="1">
      <c r="A1720" s="110"/>
      <c r="B1720" s="125">
        <v>46181</v>
      </c>
      <c r="C1720" s="126" t="s">
        <v>541</v>
      </c>
      <c r="D1720" s="68" t="s">
        <v>285</v>
      </c>
      <c r="E1720" s="10" t="str">
        <f>TRIM(VLOOKUP(D1720,TB!$B$9:$C$1500,2,FALSE))</f>
        <v>Misc Cash Purchase</v>
      </c>
      <c r="F1720" s="173" t="s">
        <v>542</v>
      </c>
      <c r="G1720" s="130"/>
      <c r="H1720" s="10">
        <v>1500000</v>
      </c>
      <c r="I1720" s="10">
        <f t="shared" si="119"/>
        <v>0</v>
      </c>
      <c r="J1720" s="79" t="e">
        <f t="shared" si="79"/>
        <v>#VALUE!</v>
      </c>
      <c r="K1720" s="106"/>
      <c r="L1720" s="107"/>
      <c r="M1720" s="106"/>
      <c r="N1720" s="106"/>
      <c r="O1720" s="108"/>
      <c r="P1720" s="108"/>
      <c r="Q1720" s="108"/>
      <c r="R1720" s="109"/>
      <c r="S1720" s="109"/>
      <c r="T1720" s="108"/>
      <c r="U1720" s="110"/>
      <c r="V1720" s="110"/>
      <c r="W1720" s="110"/>
      <c r="X1720" s="110"/>
    </row>
    <row r="1721" spans="1:24" ht="14.25" customHeight="1">
      <c r="A1721" s="110"/>
      <c r="B1721" s="125">
        <v>46181</v>
      </c>
      <c r="C1721" s="126" t="s">
        <v>541</v>
      </c>
      <c r="D1721" s="68" t="s">
        <v>130</v>
      </c>
      <c r="E1721" s="10" t="str">
        <f>TRIM(VLOOKUP(D1721,TB!$B$9:$C$1500,2,FALSE))</f>
        <v>BCA TBB</v>
      </c>
      <c r="F1721" s="173" t="str">
        <f>F1720</f>
        <v>Putu Raptor - Inv. May2026</v>
      </c>
      <c r="G1721" s="130"/>
      <c r="H1721" s="10"/>
      <c r="I1721" s="10">
        <f t="shared" si="119"/>
        <v>1500000</v>
      </c>
      <c r="J1721" s="79" t="e">
        <f t="shared" si="79"/>
        <v>#VALUE!</v>
      </c>
      <c r="K1721" s="106"/>
      <c r="L1721" s="107"/>
      <c r="M1721" s="106"/>
      <c r="N1721" s="106"/>
      <c r="O1721" s="108"/>
      <c r="P1721" s="108"/>
      <c r="Q1721" s="108"/>
      <c r="R1721" s="109"/>
      <c r="S1721" s="109"/>
      <c r="T1721" s="108"/>
      <c r="U1721" s="110"/>
      <c r="V1721" s="110"/>
      <c r="W1721" s="110"/>
      <c r="X1721" s="110"/>
    </row>
    <row r="1722" spans="1:24" ht="14.25" customHeight="1">
      <c r="A1722" s="110"/>
      <c r="B1722" s="125"/>
      <c r="C1722" s="126"/>
      <c r="D1722" s="15"/>
      <c r="E1722" s="10" t="e">
        <f>TRIM(VLOOKUP(D1722,TB!$B$9:$C$1500,2,FALSE))</f>
        <v>#N/A</v>
      </c>
      <c r="F1722" s="173"/>
      <c r="G1722" s="130"/>
      <c r="H1722" s="10"/>
      <c r="I1722" s="10">
        <f t="shared" si="119"/>
        <v>0</v>
      </c>
      <c r="J1722" s="79" t="e">
        <f t="shared" si="79"/>
        <v>#VALUE!</v>
      </c>
      <c r="K1722" s="106"/>
      <c r="L1722" s="107"/>
      <c r="M1722" s="106"/>
      <c r="N1722" s="106"/>
      <c r="O1722" s="108"/>
      <c r="P1722" s="108"/>
      <c r="Q1722" s="108"/>
      <c r="R1722" s="109"/>
      <c r="S1722" s="109"/>
      <c r="T1722" s="108"/>
      <c r="U1722" s="110"/>
      <c r="V1722" s="110"/>
      <c r="W1722" s="110"/>
      <c r="X1722" s="110"/>
    </row>
    <row r="1723" spans="1:24" ht="14.25" customHeight="1">
      <c r="A1723" s="110"/>
      <c r="B1723" s="125">
        <v>46181</v>
      </c>
      <c r="C1723" s="126" t="s">
        <v>543</v>
      </c>
      <c r="D1723" s="68" t="s">
        <v>285</v>
      </c>
      <c r="E1723" s="10" t="str">
        <f>TRIM(VLOOKUP(D1723,TB!$B$9:$C$1500,2,FALSE))</f>
        <v>Misc Cash Purchase</v>
      </c>
      <c r="F1723" s="173" t="s">
        <v>544</v>
      </c>
      <c r="G1723" s="130"/>
      <c r="H1723" s="10">
        <v>2250000</v>
      </c>
      <c r="I1723" s="10">
        <f t="shared" si="119"/>
        <v>0</v>
      </c>
      <c r="J1723" s="79" t="e">
        <f t="shared" si="79"/>
        <v>#VALUE!</v>
      </c>
      <c r="K1723" s="106"/>
      <c r="L1723" s="107"/>
      <c r="M1723" s="106"/>
      <c r="N1723" s="106"/>
      <c r="O1723" s="108"/>
      <c r="P1723" s="108"/>
      <c r="Q1723" s="108"/>
      <c r="R1723" s="109"/>
      <c r="S1723" s="109"/>
      <c r="T1723" s="108"/>
      <c r="U1723" s="110"/>
      <c r="V1723" s="110"/>
      <c r="W1723" s="110"/>
      <c r="X1723" s="110"/>
    </row>
    <row r="1724" spans="1:24" ht="14.25" customHeight="1">
      <c r="A1724" s="110"/>
      <c r="B1724" s="125">
        <v>46181</v>
      </c>
      <c r="C1724" s="126" t="s">
        <v>543</v>
      </c>
      <c r="D1724" s="68" t="s">
        <v>130</v>
      </c>
      <c r="E1724" s="10" t="str">
        <f>TRIM(VLOOKUP(D1724,TB!$B$9:$C$1500,2,FALSE))</f>
        <v>BCA TBB</v>
      </c>
      <c r="F1724" s="173" t="str">
        <f>F1723</f>
        <v>Surachman - Management Tax Rr For Mar2026</v>
      </c>
      <c r="G1724" s="130"/>
      <c r="H1724" s="10"/>
      <c r="I1724" s="10">
        <f t="shared" si="119"/>
        <v>2250000</v>
      </c>
      <c r="J1724" s="79" t="e">
        <f t="shared" si="79"/>
        <v>#VALUE!</v>
      </c>
      <c r="K1724" s="106"/>
      <c r="L1724" s="107"/>
      <c r="M1724" s="106"/>
      <c r="N1724" s="106"/>
      <c r="O1724" s="108"/>
      <c r="P1724" s="108"/>
      <c r="Q1724" s="108"/>
      <c r="R1724" s="109"/>
      <c r="S1724" s="109"/>
      <c r="T1724" s="108"/>
      <c r="U1724" s="110"/>
      <c r="V1724" s="110"/>
      <c r="W1724" s="110"/>
      <c r="X1724" s="110"/>
    </row>
    <row r="1725" spans="1:24" ht="14.25" customHeight="1">
      <c r="A1725" s="110"/>
      <c r="B1725" s="125"/>
      <c r="C1725" s="126"/>
      <c r="D1725" s="15"/>
      <c r="E1725" s="10" t="e">
        <f>TRIM(VLOOKUP(D1725,TB!$B$9:$C$1500,2,FALSE))</f>
        <v>#N/A</v>
      </c>
      <c r="F1725" s="173"/>
      <c r="G1725" s="130"/>
      <c r="H1725" s="10"/>
      <c r="I1725" s="10">
        <f t="shared" si="119"/>
        <v>0</v>
      </c>
      <c r="J1725" s="79" t="e">
        <f t="shared" si="79"/>
        <v>#VALUE!</v>
      </c>
      <c r="K1725" s="106"/>
      <c r="L1725" s="107"/>
      <c r="M1725" s="106"/>
      <c r="N1725" s="106"/>
      <c r="O1725" s="108"/>
      <c r="P1725" s="108"/>
      <c r="Q1725" s="108"/>
      <c r="R1725" s="109"/>
      <c r="S1725" s="109"/>
      <c r="T1725" s="108"/>
      <c r="U1725" s="110"/>
      <c r="V1725" s="110"/>
      <c r="W1725" s="110"/>
      <c r="X1725" s="110"/>
    </row>
    <row r="1726" spans="1:24" ht="14.25" customHeight="1">
      <c r="A1726" s="110"/>
      <c r="B1726" s="125">
        <v>46181</v>
      </c>
      <c r="C1726" s="126" t="s">
        <v>545</v>
      </c>
      <c r="D1726" s="68" t="s">
        <v>285</v>
      </c>
      <c r="E1726" s="10" t="str">
        <f>TRIM(VLOOKUP(D1726,TB!$B$9:$C$1500,2,FALSE))</f>
        <v>Misc Cash Purchase</v>
      </c>
      <c r="F1726" s="173" t="s">
        <v>546</v>
      </c>
      <c r="G1726" s="130"/>
      <c r="H1726" s="10">
        <v>1400000</v>
      </c>
      <c r="I1726" s="10">
        <f t="shared" si="119"/>
        <v>0</v>
      </c>
      <c r="J1726" s="79" t="e">
        <f t="shared" si="79"/>
        <v>#VALUE!</v>
      </c>
      <c r="K1726" s="106"/>
      <c r="L1726" s="107"/>
      <c r="M1726" s="106"/>
      <c r="N1726" s="106"/>
      <c r="O1726" s="108"/>
      <c r="P1726" s="108"/>
      <c r="Q1726" s="108"/>
      <c r="R1726" s="109"/>
      <c r="S1726" s="109"/>
      <c r="T1726" s="108"/>
      <c r="U1726" s="110"/>
      <c r="V1726" s="110"/>
      <c r="W1726" s="110"/>
      <c r="X1726" s="110"/>
    </row>
    <row r="1727" spans="1:24" ht="14.25" customHeight="1">
      <c r="A1727" s="110"/>
      <c r="B1727" s="125">
        <v>46181</v>
      </c>
      <c r="C1727" s="126" t="s">
        <v>545</v>
      </c>
      <c r="D1727" s="68" t="s">
        <v>130</v>
      </c>
      <c r="E1727" s="10" t="str">
        <f>TRIM(VLOOKUP(D1727,TB!$B$9:$C$1500,2,FALSE))</f>
        <v>BCA TBB</v>
      </c>
      <c r="F1727" s="173" t="str">
        <f>F1726</f>
        <v>Jamal - Fee Salsa 28 Mei 26</v>
      </c>
      <c r="G1727" s="130"/>
      <c r="H1727" s="10"/>
      <c r="I1727" s="10">
        <f t="shared" si="119"/>
        <v>1400000</v>
      </c>
      <c r="J1727" s="79" t="e">
        <f t="shared" si="79"/>
        <v>#VALUE!</v>
      </c>
      <c r="K1727" s="106"/>
      <c r="L1727" s="107"/>
      <c r="M1727" s="106"/>
      <c r="N1727" s="106"/>
      <c r="O1727" s="108"/>
      <c r="P1727" s="108"/>
      <c r="Q1727" s="108"/>
      <c r="R1727" s="109"/>
      <c r="S1727" s="109"/>
      <c r="T1727" s="108"/>
      <c r="U1727" s="110"/>
      <c r="V1727" s="110"/>
      <c r="W1727" s="110"/>
      <c r="X1727" s="110"/>
    </row>
    <row r="1728" spans="1:24" ht="14.25" customHeight="1">
      <c r="A1728" s="110"/>
      <c r="B1728" s="125"/>
      <c r="C1728" s="126"/>
      <c r="D1728" s="15"/>
      <c r="E1728" s="10" t="e">
        <f>TRIM(VLOOKUP(D1728,TB!$B$9:$C$1500,2,FALSE))</f>
        <v>#N/A</v>
      </c>
      <c r="F1728" s="173"/>
      <c r="G1728" s="130"/>
      <c r="H1728" s="10"/>
      <c r="I1728" s="10">
        <f t="shared" si="119"/>
        <v>0</v>
      </c>
      <c r="J1728" s="79" t="e">
        <f t="shared" si="79"/>
        <v>#VALUE!</v>
      </c>
      <c r="K1728" s="106"/>
      <c r="L1728" s="107"/>
      <c r="M1728" s="106"/>
      <c r="N1728" s="106"/>
      <c r="O1728" s="108"/>
      <c r="P1728" s="108"/>
      <c r="Q1728" s="108"/>
      <c r="R1728" s="109"/>
      <c r="S1728" s="109"/>
      <c r="T1728" s="108"/>
      <c r="U1728" s="110"/>
      <c r="V1728" s="110"/>
      <c r="W1728" s="110"/>
      <c r="X1728" s="110"/>
    </row>
    <row r="1729" spans="1:24" ht="14.25" customHeight="1">
      <c r="A1729" s="110"/>
      <c r="B1729" s="125">
        <v>46181</v>
      </c>
      <c r="C1729" s="126" t="s">
        <v>547</v>
      </c>
      <c r="D1729" s="68" t="s">
        <v>285</v>
      </c>
      <c r="E1729" s="10" t="str">
        <f>TRIM(VLOOKUP(D1729,TB!$B$9:$C$1500,2,FALSE))</f>
        <v>Misc Cash Purchase</v>
      </c>
      <c r="F1729" s="173" t="s">
        <v>548</v>
      </c>
      <c r="G1729" s="130"/>
      <c r="H1729" s="10">
        <v>5000000</v>
      </c>
      <c r="I1729" s="10">
        <f t="shared" si="119"/>
        <v>0</v>
      </c>
      <c r="J1729" s="79" t="e">
        <f t="shared" si="79"/>
        <v>#VALUE!</v>
      </c>
      <c r="K1729" s="106"/>
      <c r="L1729" s="107"/>
      <c r="M1729" s="106"/>
      <c r="N1729" s="106"/>
      <c r="O1729" s="108"/>
      <c r="P1729" s="108"/>
      <c r="Q1729" s="108"/>
      <c r="R1729" s="109"/>
      <c r="S1729" s="109"/>
      <c r="T1729" s="108"/>
      <c r="U1729" s="110"/>
      <c r="V1729" s="110"/>
      <c r="W1729" s="110"/>
      <c r="X1729" s="110"/>
    </row>
    <row r="1730" spans="1:24" ht="14.25" customHeight="1">
      <c r="A1730" s="110"/>
      <c r="B1730" s="125">
        <v>46181</v>
      </c>
      <c r="C1730" s="126" t="s">
        <v>547</v>
      </c>
      <c r="D1730" s="68" t="s">
        <v>130</v>
      </c>
      <c r="E1730" s="10" t="str">
        <f>TRIM(VLOOKUP(D1730,TB!$B$9:$C$1500,2,FALSE))</f>
        <v>BCA TBB</v>
      </c>
      <c r="F1730" s="173" t="str">
        <f>F1729</f>
        <v>Nebula - FEE DJ 18 MAY 26</v>
      </c>
      <c r="G1730" s="130"/>
      <c r="H1730" s="10"/>
      <c r="I1730" s="10">
        <f t="shared" si="119"/>
        <v>5000000</v>
      </c>
      <c r="J1730" s="79" t="e">
        <f t="shared" si="79"/>
        <v>#VALUE!</v>
      </c>
      <c r="K1730" s="106"/>
      <c r="L1730" s="107"/>
      <c r="M1730" s="106"/>
      <c r="N1730" s="106"/>
      <c r="O1730" s="108"/>
      <c r="P1730" s="108"/>
      <c r="Q1730" s="108"/>
      <c r="R1730" s="109"/>
      <c r="S1730" s="109"/>
      <c r="T1730" s="108"/>
      <c r="U1730" s="110"/>
      <c r="V1730" s="110"/>
      <c r="W1730" s="110"/>
      <c r="X1730" s="110"/>
    </row>
    <row r="1731" spans="1:24" ht="14.25" customHeight="1">
      <c r="A1731" s="110"/>
      <c r="B1731" s="125"/>
      <c r="C1731" s="126"/>
      <c r="D1731" s="15"/>
      <c r="E1731" s="10" t="e">
        <f>TRIM(VLOOKUP(D1731,TB!$B$9:$C$1500,2,FALSE))</f>
        <v>#N/A</v>
      </c>
      <c r="F1731" s="173"/>
      <c r="G1731" s="130"/>
      <c r="H1731" s="10"/>
      <c r="I1731" s="10">
        <f t="shared" si="119"/>
        <v>0</v>
      </c>
      <c r="J1731" s="79" t="e">
        <f t="shared" si="79"/>
        <v>#VALUE!</v>
      </c>
      <c r="K1731" s="106"/>
      <c r="L1731" s="107"/>
      <c r="M1731" s="106"/>
      <c r="N1731" s="106"/>
      <c r="O1731" s="108"/>
      <c r="P1731" s="108"/>
      <c r="Q1731" s="108"/>
      <c r="R1731" s="109"/>
      <c r="S1731" s="109"/>
      <c r="T1731" s="108"/>
      <c r="U1731" s="110"/>
      <c r="V1731" s="110"/>
      <c r="W1731" s="110"/>
      <c r="X1731" s="110"/>
    </row>
    <row r="1732" spans="1:24" ht="14.25" customHeight="1">
      <c r="A1732" s="110"/>
      <c r="B1732" s="125">
        <v>46181</v>
      </c>
      <c r="C1732" s="126" t="s">
        <v>549</v>
      </c>
      <c r="D1732" s="68" t="s">
        <v>285</v>
      </c>
      <c r="E1732" s="10" t="str">
        <f>TRIM(VLOOKUP(D1732,TB!$B$9:$C$1500,2,FALSE))</f>
        <v>Misc Cash Purchase</v>
      </c>
      <c r="F1732" s="173" t="s">
        <v>550</v>
      </c>
      <c r="G1732" s="130"/>
      <c r="H1732" s="10">
        <v>2000000</v>
      </c>
      <c r="I1732" s="10">
        <f t="shared" si="119"/>
        <v>0</v>
      </c>
      <c r="J1732" s="79" t="e">
        <f t="shared" si="79"/>
        <v>#VALUE!</v>
      </c>
      <c r="K1732" s="106"/>
      <c r="L1732" s="107"/>
      <c r="M1732" s="106"/>
      <c r="N1732" s="106"/>
      <c r="O1732" s="108"/>
      <c r="P1732" s="108"/>
      <c r="Q1732" s="108"/>
      <c r="R1732" s="109"/>
      <c r="S1732" s="109"/>
      <c r="T1732" s="108"/>
      <c r="U1732" s="110"/>
      <c r="V1732" s="110"/>
      <c r="W1732" s="110"/>
      <c r="X1732" s="110"/>
    </row>
    <row r="1733" spans="1:24" ht="14.25" customHeight="1">
      <c r="A1733" s="110"/>
      <c r="B1733" s="125">
        <v>46181</v>
      </c>
      <c r="C1733" s="126" t="s">
        <v>549</v>
      </c>
      <c r="D1733" s="68" t="s">
        <v>130</v>
      </c>
      <c r="E1733" s="10" t="str">
        <f>TRIM(VLOOKUP(D1733,TB!$B$9:$C$1500,2,FALSE))</f>
        <v>BCA TBB</v>
      </c>
      <c r="F1733" s="173" t="str">
        <f>F1732</f>
        <v>VIbez Intel - FEE DJ 18 MAY 26</v>
      </c>
      <c r="G1733" s="130"/>
      <c r="H1733" s="10"/>
      <c r="I1733" s="10">
        <f t="shared" si="119"/>
        <v>2000000</v>
      </c>
      <c r="J1733" s="79" t="e">
        <f t="shared" si="79"/>
        <v>#VALUE!</v>
      </c>
      <c r="K1733" s="106"/>
      <c r="L1733" s="107"/>
      <c r="M1733" s="106"/>
      <c r="N1733" s="106"/>
      <c r="O1733" s="108"/>
      <c r="P1733" s="108"/>
      <c r="Q1733" s="108"/>
      <c r="R1733" s="109"/>
      <c r="S1733" s="109"/>
      <c r="T1733" s="108"/>
      <c r="U1733" s="110"/>
      <c r="V1733" s="110"/>
      <c r="W1733" s="110"/>
      <c r="X1733" s="110"/>
    </row>
    <row r="1734" spans="1:24" ht="14.25" customHeight="1">
      <c r="A1734" s="110"/>
      <c r="B1734" s="125"/>
      <c r="C1734" s="126"/>
      <c r="D1734" s="15"/>
      <c r="E1734" s="10" t="e">
        <f>TRIM(VLOOKUP(D1734,TB!$B$9:$C$1500,2,FALSE))</f>
        <v>#N/A</v>
      </c>
      <c r="F1734" s="173"/>
      <c r="G1734" s="130"/>
      <c r="H1734" s="10"/>
      <c r="I1734" s="10">
        <f t="shared" si="119"/>
        <v>0</v>
      </c>
      <c r="J1734" s="79" t="e">
        <f t="shared" si="79"/>
        <v>#VALUE!</v>
      </c>
      <c r="K1734" s="106"/>
      <c r="L1734" s="107"/>
      <c r="M1734" s="106"/>
      <c r="N1734" s="106"/>
      <c r="O1734" s="108"/>
      <c r="P1734" s="108"/>
      <c r="Q1734" s="108"/>
      <c r="R1734" s="109"/>
      <c r="S1734" s="109"/>
      <c r="T1734" s="108"/>
      <c r="U1734" s="110"/>
      <c r="V1734" s="110"/>
      <c r="W1734" s="110"/>
      <c r="X1734" s="110"/>
    </row>
    <row r="1735" spans="1:24" ht="14.25" customHeight="1">
      <c r="A1735" s="110"/>
      <c r="B1735" s="125">
        <v>46181</v>
      </c>
      <c r="C1735" s="126" t="s">
        <v>551</v>
      </c>
      <c r="D1735" s="68" t="s">
        <v>285</v>
      </c>
      <c r="E1735" s="10" t="str">
        <f>TRIM(VLOOKUP(D1735,TB!$B$9:$C$1500,2,FALSE))</f>
        <v>Misc Cash Purchase</v>
      </c>
      <c r="F1735" s="173" t="s">
        <v>552</v>
      </c>
      <c r="G1735" s="130"/>
      <c r="H1735" s="10">
        <v>7000000</v>
      </c>
      <c r="I1735" s="10">
        <f t="shared" si="119"/>
        <v>0</v>
      </c>
      <c r="J1735" s="79" t="e">
        <f t="shared" si="79"/>
        <v>#VALUE!</v>
      </c>
      <c r="K1735" s="106"/>
      <c r="L1735" s="107"/>
      <c r="M1735" s="106"/>
      <c r="N1735" s="106"/>
      <c r="O1735" s="108"/>
      <c r="P1735" s="108"/>
      <c r="Q1735" s="108"/>
      <c r="R1735" s="109"/>
      <c r="S1735" s="109"/>
      <c r="T1735" s="108"/>
      <c r="U1735" s="110"/>
      <c r="V1735" s="110"/>
      <c r="W1735" s="110"/>
      <c r="X1735" s="110"/>
    </row>
    <row r="1736" spans="1:24" ht="14.25" customHeight="1">
      <c r="A1736" s="110"/>
      <c r="B1736" s="125">
        <v>46181</v>
      </c>
      <c r="C1736" s="126" t="s">
        <v>551</v>
      </c>
      <c r="D1736" s="68" t="s">
        <v>130</v>
      </c>
      <c r="E1736" s="10" t="str">
        <f>TRIM(VLOOKUP(D1736,TB!$B$9:$C$1500,2,FALSE))</f>
        <v>BCA TBB</v>
      </c>
      <c r="F1736" s="173" t="str">
        <f>F1735</f>
        <v>BLCK RVN - (laura) FEE DJ 19 MAY 26</v>
      </c>
      <c r="G1736" s="130"/>
      <c r="H1736" s="10"/>
      <c r="I1736" s="10">
        <f t="shared" si="119"/>
        <v>7000000</v>
      </c>
      <c r="J1736" s="79" t="e">
        <f t="shared" si="79"/>
        <v>#VALUE!</v>
      </c>
      <c r="K1736" s="106"/>
      <c r="L1736" s="107"/>
      <c r="M1736" s="106"/>
      <c r="N1736" s="106"/>
      <c r="O1736" s="108"/>
      <c r="P1736" s="108"/>
      <c r="Q1736" s="108"/>
      <c r="R1736" s="109"/>
      <c r="S1736" s="109"/>
      <c r="T1736" s="108"/>
      <c r="U1736" s="110"/>
      <c r="V1736" s="110"/>
      <c r="W1736" s="110"/>
      <c r="X1736" s="110"/>
    </row>
    <row r="1737" spans="1:24" ht="14.25" customHeight="1">
      <c r="A1737" s="110"/>
      <c r="B1737" s="125"/>
      <c r="C1737" s="126"/>
      <c r="D1737" s="15"/>
      <c r="E1737" s="10" t="e">
        <f>TRIM(VLOOKUP(D1737,TB!$B$9:$C$1500,2,FALSE))</f>
        <v>#N/A</v>
      </c>
      <c r="F1737" s="173"/>
      <c r="G1737" s="130"/>
      <c r="H1737" s="10"/>
      <c r="I1737" s="10">
        <f t="shared" si="119"/>
        <v>0</v>
      </c>
      <c r="J1737" s="79" t="e">
        <f t="shared" si="79"/>
        <v>#VALUE!</v>
      </c>
      <c r="K1737" s="106"/>
      <c r="L1737" s="107"/>
      <c r="M1737" s="106"/>
      <c r="N1737" s="106"/>
      <c r="O1737" s="108"/>
      <c r="P1737" s="108"/>
      <c r="Q1737" s="108"/>
      <c r="R1737" s="109"/>
      <c r="S1737" s="109"/>
      <c r="T1737" s="108"/>
      <c r="U1737" s="110"/>
      <c r="V1737" s="110"/>
      <c r="W1737" s="110"/>
      <c r="X1737" s="110"/>
    </row>
    <row r="1738" spans="1:24" ht="14.25" customHeight="1">
      <c r="A1738" s="110"/>
      <c r="B1738" s="125">
        <v>46181</v>
      </c>
      <c r="C1738" s="126" t="s">
        <v>553</v>
      </c>
      <c r="D1738" s="68" t="s">
        <v>285</v>
      </c>
      <c r="E1738" s="10" t="str">
        <f>TRIM(VLOOKUP(D1738,TB!$B$9:$C$1500,2,FALSE))</f>
        <v>Misc Cash Purchase</v>
      </c>
      <c r="F1738" s="173" t="s">
        <v>554</v>
      </c>
      <c r="G1738" s="130"/>
      <c r="H1738" s="10">
        <v>2000000</v>
      </c>
      <c r="I1738" s="10">
        <f t="shared" si="119"/>
        <v>0</v>
      </c>
      <c r="J1738" s="79" t="e">
        <f t="shared" si="79"/>
        <v>#VALUE!</v>
      </c>
      <c r="K1738" s="106"/>
      <c r="L1738" s="107"/>
      <c r="M1738" s="106"/>
      <c r="N1738" s="106"/>
      <c r="O1738" s="108"/>
      <c r="P1738" s="108"/>
      <c r="Q1738" s="108"/>
      <c r="R1738" s="109"/>
      <c r="S1738" s="109"/>
      <c r="T1738" s="108"/>
      <c r="U1738" s="110"/>
      <c r="V1738" s="110"/>
      <c r="W1738" s="110"/>
      <c r="X1738" s="110"/>
    </row>
    <row r="1739" spans="1:24" ht="14.25" customHeight="1">
      <c r="A1739" s="110"/>
      <c r="B1739" s="125">
        <v>46181</v>
      </c>
      <c r="C1739" s="126" t="s">
        <v>553</v>
      </c>
      <c r="D1739" s="68" t="s">
        <v>130</v>
      </c>
      <c r="E1739" s="10" t="str">
        <f>TRIM(VLOOKUP(D1739,TB!$B$9:$C$1500,2,FALSE))</f>
        <v>BCA TBB</v>
      </c>
      <c r="F1739" s="173" t="str">
        <f>F1738</f>
        <v>Arien Catherine - FEE DJ 20 MAY 26</v>
      </c>
      <c r="G1739" s="130"/>
      <c r="H1739" s="10"/>
      <c r="I1739" s="10">
        <f t="shared" si="119"/>
        <v>2000000</v>
      </c>
      <c r="J1739" s="79" t="e">
        <f t="shared" si="79"/>
        <v>#VALUE!</v>
      </c>
      <c r="K1739" s="106"/>
      <c r="L1739" s="107"/>
      <c r="M1739" s="106"/>
      <c r="N1739" s="106"/>
      <c r="O1739" s="108"/>
      <c r="P1739" s="108"/>
      <c r="Q1739" s="108"/>
      <c r="R1739" s="109"/>
      <c r="S1739" s="109"/>
      <c r="T1739" s="108"/>
      <c r="U1739" s="110"/>
      <c r="V1739" s="110"/>
      <c r="W1739" s="110"/>
      <c r="X1739" s="110"/>
    </row>
    <row r="1740" spans="1:24" ht="14.25" customHeight="1">
      <c r="A1740" s="110"/>
      <c r="B1740" s="125"/>
      <c r="C1740" s="126"/>
      <c r="D1740" s="15"/>
      <c r="E1740" s="10" t="e">
        <f>TRIM(VLOOKUP(D1740,TB!$B$9:$C$1500,2,FALSE))</f>
        <v>#N/A</v>
      </c>
      <c r="F1740" s="173"/>
      <c r="G1740" s="130"/>
      <c r="H1740" s="10"/>
      <c r="I1740" s="10">
        <f t="shared" si="119"/>
        <v>0</v>
      </c>
      <c r="J1740" s="79" t="e">
        <f t="shared" si="79"/>
        <v>#VALUE!</v>
      </c>
      <c r="K1740" s="106"/>
      <c r="L1740" s="107"/>
      <c r="M1740" s="106"/>
      <c r="N1740" s="106"/>
      <c r="O1740" s="108"/>
      <c r="P1740" s="108"/>
      <c r="Q1740" s="108"/>
      <c r="R1740" s="109"/>
      <c r="S1740" s="109"/>
      <c r="T1740" s="108"/>
      <c r="U1740" s="110"/>
      <c r="V1740" s="110"/>
      <c r="W1740" s="110"/>
      <c r="X1740" s="110"/>
    </row>
    <row r="1741" spans="1:24" ht="14.25" customHeight="1">
      <c r="A1741" s="110"/>
      <c r="B1741" s="125">
        <v>46181</v>
      </c>
      <c r="C1741" s="126" t="s">
        <v>555</v>
      </c>
      <c r="D1741" s="68" t="s">
        <v>285</v>
      </c>
      <c r="E1741" s="10" t="str">
        <f>TRIM(VLOOKUP(D1741,TB!$B$9:$C$1500,2,FALSE))</f>
        <v>Misc Cash Purchase</v>
      </c>
      <c r="F1741" s="173" t="s">
        <v>556</v>
      </c>
      <c r="G1741" s="130"/>
      <c r="H1741" s="10">
        <v>2000000</v>
      </c>
      <c r="I1741" s="10">
        <f t="shared" si="119"/>
        <v>0</v>
      </c>
      <c r="J1741" s="79" t="e">
        <f t="shared" si="79"/>
        <v>#VALUE!</v>
      </c>
      <c r="K1741" s="106"/>
      <c r="L1741" s="107"/>
      <c r="M1741" s="106"/>
      <c r="N1741" s="106"/>
      <c r="O1741" s="108"/>
      <c r="P1741" s="108"/>
      <c r="Q1741" s="108"/>
      <c r="R1741" s="109"/>
      <c r="S1741" s="109"/>
      <c r="T1741" s="108"/>
      <c r="U1741" s="110"/>
      <c r="V1741" s="110"/>
      <c r="W1741" s="110"/>
      <c r="X1741" s="110"/>
    </row>
    <row r="1742" spans="1:24" ht="14.25" customHeight="1">
      <c r="A1742" s="110"/>
      <c r="B1742" s="125">
        <v>46181</v>
      </c>
      <c r="C1742" s="126" t="s">
        <v>555</v>
      </c>
      <c r="D1742" s="15" t="s">
        <v>124</v>
      </c>
      <c r="E1742" s="10" t="str">
        <f>TRIM(VLOOKUP(D1742,TB!$B$9:$C$1500,2,FALSE))</f>
        <v>Bank charges</v>
      </c>
      <c r="F1742" s="173" t="s">
        <v>556</v>
      </c>
      <c r="G1742" s="130"/>
      <c r="H1742" s="10">
        <v>2500</v>
      </c>
      <c r="I1742" s="10"/>
      <c r="J1742" s="79" t="e">
        <f t="shared" si="79"/>
        <v>#VALUE!</v>
      </c>
      <c r="K1742" s="106"/>
      <c r="L1742" s="107"/>
      <c r="M1742" s="106"/>
      <c r="N1742" s="106"/>
      <c r="O1742" s="108"/>
      <c r="P1742" s="108"/>
      <c r="Q1742" s="108"/>
      <c r="R1742" s="109"/>
      <c r="S1742" s="109"/>
      <c r="T1742" s="108"/>
      <c r="U1742" s="110"/>
      <c r="V1742" s="110"/>
      <c r="W1742" s="110"/>
      <c r="X1742" s="110"/>
    </row>
    <row r="1743" spans="1:24" ht="14.25" customHeight="1">
      <c r="A1743" s="110"/>
      <c r="B1743" s="125">
        <v>46181</v>
      </c>
      <c r="C1743" s="126" t="s">
        <v>555</v>
      </c>
      <c r="D1743" s="68" t="s">
        <v>130</v>
      </c>
      <c r="E1743" s="10" t="str">
        <f>TRIM(VLOOKUP(D1743,TB!$B$9:$C$1500,2,FALSE))</f>
        <v>BCA TBB</v>
      </c>
      <c r="F1743" s="173" t="str">
        <f>F1741</f>
        <v>Edger - FEE DJ 20 MAY 26</v>
      </c>
      <c r="G1743" s="130"/>
      <c r="H1743" s="10"/>
      <c r="I1743" s="10">
        <f>SUM(H1741:H1742)</f>
        <v>2002500</v>
      </c>
      <c r="J1743" s="79" t="e">
        <f t="shared" si="79"/>
        <v>#VALUE!</v>
      </c>
      <c r="K1743" s="106"/>
      <c r="L1743" s="107"/>
      <c r="M1743" s="106"/>
      <c r="N1743" s="106"/>
      <c r="O1743" s="108"/>
      <c r="P1743" s="108"/>
      <c r="Q1743" s="108"/>
      <c r="R1743" s="109"/>
      <c r="S1743" s="109"/>
      <c r="T1743" s="108"/>
      <c r="U1743" s="110"/>
      <c r="V1743" s="110"/>
      <c r="W1743" s="110"/>
      <c r="X1743" s="110"/>
    </row>
    <row r="1744" spans="1:24" ht="14.25" customHeight="1">
      <c r="A1744" s="110"/>
      <c r="B1744" s="125"/>
      <c r="C1744" s="126"/>
      <c r="D1744" s="15"/>
      <c r="E1744" s="10" t="e">
        <f>TRIM(VLOOKUP(D1744,TB!$B$9:$C$1500,2,FALSE))</f>
        <v>#N/A</v>
      </c>
      <c r="F1744" s="173"/>
      <c r="G1744" s="130"/>
      <c r="H1744" s="10"/>
      <c r="I1744" s="10">
        <f t="shared" ref="I1744:I1748" si="120">SUM(H1743)</f>
        <v>0</v>
      </c>
      <c r="J1744" s="79" t="e">
        <f t="shared" si="79"/>
        <v>#VALUE!</v>
      </c>
      <c r="K1744" s="106"/>
      <c r="L1744" s="107"/>
      <c r="M1744" s="106"/>
      <c r="N1744" s="106"/>
      <c r="O1744" s="108"/>
      <c r="P1744" s="108"/>
      <c r="Q1744" s="108"/>
      <c r="R1744" s="109"/>
      <c r="S1744" s="109"/>
      <c r="T1744" s="108"/>
      <c r="U1744" s="110"/>
      <c r="V1744" s="110"/>
      <c r="W1744" s="110"/>
      <c r="X1744" s="110"/>
    </row>
    <row r="1745" spans="1:24" ht="14.25" customHeight="1">
      <c r="A1745" s="110"/>
      <c r="B1745" s="125">
        <v>46181</v>
      </c>
      <c r="C1745" s="126" t="s">
        <v>557</v>
      </c>
      <c r="D1745" s="68" t="s">
        <v>285</v>
      </c>
      <c r="E1745" s="10" t="str">
        <f>TRIM(VLOOKUP(D1745,TB!$B$9:$C$1500,2,FALSE))</f>
        <v>Misc Cash Purchase</v>
      </c>
      <c r="F1745" s="173" t="s">
        <v>558</v>
      </c>
      <c r="G1745" s="130"/>
      <c r="H1745" s="10">
        <v>5000000</v>
      </c>
      <c r="I1745" s="10">
        <f t="shared" si="120"/>
        <v>0</v>
      </c>
      <c r="J1745" s="79" t="e">
        <f t="shared" si="79"/>
        <v>#VALUE!</v>
      </c>
      <c r="K1745" s="106"/>
      <c r="L1745" s="107"/>
      <c r="M1745" s="106"/>
      <c r="N1745" s="106"/>
      <c r="O1745" s="108"/>
      <c r="P1745" s="108"/>
      <c r="Q1745" s="108"/>
      <c r="R1745" s="109"/>
      <c r="S1745" s="109"/>
      <c r="T1745" s="108"/>
      <c r="U1745" s="110"/>
      <c r="V1745" s="110"/>
      <c r="W1745" s="110"/>
      <c r="X1745" s="110"/>
    </row>
    <row r="1746" spans="1:24" ht="14.25" customHeight="1">
      <c r="A1746" s="110"/>
      <c r="B1746" s="125">
        <v>46181</v>
      </c>
      <c r="C1746" s="126" t="s">
        <v>557</v>
      </c>
      <c r="D1746" s="68" t="s">
        <v>130</v>
      </c>
      <c r="E1746" s="10" t="str">
        <f>TRIM(VLOOKUP(D1746,TB!$B$9:$C$1500,2,FALSE))</f>
        <v>BCA TBB</v>
      </c>
      <c r="F1746" s="173" t="str">
        <f>F1745</f>
        <v>Shammui - FEE DJ 20,23 MAY 26</v>
      </c>
      <c r="G1746" s="130"/>
      <c r="H1746" s="10"/>
      <c r="I1746" s="10">
        <f t="shared" si="120"/>
        <v>5000000</v>
      </c>
      <c r="J1746" s="79" t="e">
        <f t="shared" si="79"/>
        <v>#VALUE!</v>
      </c>
      <c r="K1746" s="106"/>
      <c r="L1746" s="107"/>
      <c r="M1746" s="106"/>
      <c r="N1746" s="106"/>
      <c r="O1746" s="108"/>
      <c r="P1746" s="108"/>
      <c r="Q1746" s="108"/>
      <c r="R1746" s="109"/>
      <c r="S1746" s="109"/>
      <c r="T1746" s="108"/>
      <c r="U1746" s="110"/>
      <c r="V1746" s="110"/>
      <c r="W1746" s="110"/>
      <c r="X1746" s="110"/>
    </row>
    <row r="1747" spans="1:24" ht="14.25" customHeight="1">
      <c r="A1747" s="110"/>
      <c r="B1747" s="125"/>
      <c r="C1747" s="126"/>
      <c r="D1747" s="15"/>
      <c r="E1747" s="10" t="e">
        <f>TRIM(VLOOKUP(D1747,TB!$B$9:$C$1500,2,FALSE))</f>
        <v>#N/A</v>
      </c>
      <c r="F1747" s="173"/>
      <c r="G1747" s="130"/>
      <c r="H1747" s="10"/>
      <c r="I1747" s="10">
        <f t="shared" si="120"/>
        <v>0</v>
      </c>
      <c r="J1747" s="79" t="e">
        <f t="shared" si="79"/>
        <v>#VALUE!</v>
      </c>
      <c r="K1747" s="106"/>
      <c r="L1747" s="107"/>
      <c r="M1747" s="106"/>
      <c r="N1747" s="106"/>
      <c r="O1747" s="108"/>
      <c r="P1747" s="108"/>
      <c r="Q1747" s="108"/>
      <c r="R1747" s="109"/>
      <c r="S1747" s="109"/>
      <c r="T1747" s="108"/>
      <c r="U1747" s="110"/>
      <c r="V1747" s="110"/>
      <c r="W1747" s="110"/>
      <c r="X1747" s="110"/>
    </row>
    <row r="1748" spans="1:24" ht="14.25" customHeight="1">
      <c r="A1748" s="110"/>
      <c r="B1748" s="125">
        <v>46181</v>
      </c>
      <c r="C1748" s="126" t="s">
        <v>559</v>
      </c>
      <c r="D1748" s="68" t="s">
        <v>285</v>
      </c>
      <c r="E1748" s="10" t="str">
        <f>TRIM(VLOOKUP(D1748,TB!$B$9:$C$1500,2,FALSE))</f>
        <v>Misc Cash Purchase</v>
      </c>
      <c r="F1748" s="173" t="s">
        <v>560</v>
      </c>
      <c r="G1748" s="130"/>
      <c r="H1748" s="10">
        <v>2000000</v>
      </c>
      <c r="I1748" s="10">
        <f t="shared" si="120"/>
        <v>0</v>
      </c>
      <c r="J1748" s="79" t="e">
        <f t="shared" si="79"/>
        <v>#VALUE!</v>
      </c>
      <c r="K1748" s="106"/>
      <c r="L1748" s="107"/>
      <c r="M1748" s="106"/>
      <c r="N1748" s="106"/>
      <c r="O1748" s="108"/>
      <c r="P1748" s="108"/>
      <c r="Q1748" s="108"/>
      <c r="R1748" s="109"/>
      <c r="S1748" s="109"/>
      <c r="T1748" s="108"/>
      <c r="U1748" s="110"/>
      <c r="V1748" s="110"/>
      <c r="W1748" s="110"/>
      <c r="X1748" s="110"/>
    </row>
    <row r="1749" spans="1:24" ht="14.25" customHeight="1">
      <c r="A1749" s="110"/>
      <c r="B1749" s="125">
        <v>46181</v>
      </c>
      <c r="C1749" s="126" t="s">
        <v>559</v>
      </c>
      <c r="D1749" s="15" t="s">
        <v>124</v>
      </c>
      <c r="E1749" s="10" t="str">
        <f>TRIM(VLOOKUP(D1749,TB!$B$9:$C$1500,2,FALSE))</f>
        <v>Bank charges</v>
      </c>
      <c r="F1749" s="173" t="s">
        <v>560</v>
      </c>
      <c r="G1749" s="130"/>
      <c r="H1749" s="10">
        <v>2500</v>
      </c>
      <c r="I1749" s="10"/>
      <c r="J1749" s="79" t="e">
        <f t="shared" si="79"/>
        <v>#VALUE!</v>
      </c>
      <c r="K1749" s="106"/>
      <c r="L1749" s="107"/>
      <c r="M1749" s="106"/>
      <c r="N1749" s="106"/>
      <c r="O1749" s="108"/>
      <c r="P1749" s="108"/>
      <c r="Q1749" s="108"/>
      <c r="R1749" s="109"/>
      <c r="S1749" s="109"/>
      <c r="T1749" s="108"/>
      <c r="U1749" s="110"/>
      <c r="V1749" s="110"/>
      <c r="W1749" s="110"/>
      <c r="X1749" s="110"/>
    </row>
    <row r="1750" spans="1:24" ht="14.25" customHeight="1">
      <c r="A1750" s="110"/>
      <c r="B1750" s="125">
        <v>46181</v>
      </c>
      <c r="C1750" s="126" t="s">
        <v>559</v>
      </c>
      <c r="D1750" s="68" t="s">
        <v>130</v>
      </c>
      <c r="E1750" s="10" t="str">
        <f>TRIM(VLOOKUP(D1750,TB!$B$9:$C$1500,2,FALSE))</f>
        <v>BCA TBB</v>
      </c>
      <c r="F1750" s="173" t="str">
        <f>F1748</f>
        <v>Wrigley - FEE DJ 21 MAY 26</v>
      </c>
      <c r="G1750" s="130"/>
      <c r="H1750" s="10"/>
      <c r="I1750" s="10">
        <f>SUM(H1748:H1749)</f>
        <v>2002500</v>
      </c>
      <c r="J1750" s="79" t="e">
        <f t="shared" si="79"/>
        <v>#VALUE!</v>
      </c>
      <c r="K1750" s="106"/>
      <c r="L1750" s="107"/>
      <c r="M1750" s="106"/>
      <c r="N1750" s="106"/>
      <c r="O1750" s="108"/>
      <c r="P1750" s="108"/>
      <c r="Q1750" s="108"/>
      <c r="R1750" s="109"/>
      <c r="S1750" s="109"/>
      <c r="T1750" s="108"/>
      <c r="U1750" s="110"/>
      <c r="V1750" s="110"/>
      <c r="W1750" s="110"/>
      <c r="X1750" s="110"/>
    </row>
    <row r="1751" spans="1:24" ht="14.25" customHeight="1">
      <c r="A1751" s="110"/>
      <c r="B1751" s="125"/>
      <c r="C1751" s="126"/>
      <c r="D1751" s="15"/>
      <c r="E1751" s="10" t="e">
        <f>TRIM(VLOOKUP(D1751,TB!$B$9:$C$1500,2,FALSE))</f>
        <v>#N/A</v>
      </c>
      <c r="F1751" s="173"/>
      <c r="G1751" s="130"/>
      <c r="H1751" s="10"/>
      <c r="I1751" s="10">
        <f t="shared" ref="I1751:I1752" si="121">SUM(H1750)</f>
        <v>0</v>
      </c>
      <c r="J1751" s="79" t="e">
        <f t="shared" si="79"/>
        <v>#VALUE!</v>
      </c>
      <c r="K1751" s="106"/>
      <c r="L1751" s="107"/>
      <c r="M1751" s="106"/>
      <c r="N1751" s="106"/>
      <c r="O1751" s="108"/>
      <c r="P1751" s="108"/>
      <c r="Q1751" s="108"/>
      <c r="R1751" s="109"/>
      <c r="S1751" s="109"/>
      <c r="T1751" s="108"/>
      <c r="U1751" s="110"/>
      <c r="V1751" s="110"/>
      <c r="W1751" s="110"/>
      <c r="X1751" s="110"/>
    </row>
    <row r="1752" spans="1:24" ht="14.25" customHeight="1">
      <c r="A1752" s="110"/>
      <c r="B1752" s="125">
        <v>46181</v>
      </c>
      <c r="C1752" s="126" t="s">
        <v>561</v>
      </c>
      <c r="D1752" s="68" t="s">
        <v>285</v>
      </c>
      <c r="E1752" s="10" t="str">
        <f>TRIM(VLOOKUP(D1752,TB!$B$9:$C$1500,2,FALSE))</f>
        <v>Misc Cash Purchase</v>
      </c>
      <c r="F1752" s="173" t="s">
        <v>562</v>
      </c>
      <c r="G1752" s="130"/>
      <c r="H1752" s="10">
        <v>2000000</v>
      </c>
      <c r="I1752" s="10">
        <f t="shared" si="121"/>
        <v>0</v>
      </c>
      <c r="J1752" s="79" t="e">
        <f t="shared" si="79"/>
        <v>#VALUE!</v>
      </c>
      <c r="K1752" s="106"/>
      <c r="L1752" s="107"/>
      <c r="M1752" s="106"/>
      <c r="N1752" s="106"/>
      <c r="O1752" s="108"/>
      <c r="P1752" s="108"/>
      <c r="Q1752" s="108"/>
      <c r="R1752" s="109"/>
      <c r="S1752" s="109"/>
      <c r="T1752" s="108"/>
      <c r="U1752" s="110"/>
      <c r="V1752" s="110"/>
      <c r="W1752" s="110"/>
      <c r="X1752" s="110"/>
    </row>
    <row r="1753" spans="1:24" ht="14.25" customHeight="1">
      <c r="A1753" s="110"/>
      <c r="B1753" s="125">
        <v>46181</v>
      </c>
      <c r="C1753" s="126" t="s">
        <v>561</v>
      </c>
      <c r="D1753" s="15" t="s">
        <v>124</v>
      </c>
      <c r="E1753" s="10" t="str">
        <f>TRIM(VLOOKUP(D1753,TB!$B$9:$C$1500,2,FALSE))</f>
        <v>Bank charges</v>
      </c>
      <c r="F1753" s="173" t="s">
        <v>562</v>
      </c>
      <c r="G1753" s="130"/>
      <c r="H1753" s="10">
        <v>2500</v>
      </c>
      <c r="I1753" s="10"/>
      <c r="J1753" s="79" t="e">
        <f t="shared" si="79"/>
        <v>#VALUE!</v>
      </c>
      <c r="K1753" s="106"/>
      <c r="L1753" s="107"/>
      <c r="M1753" s="106"/>
      <c r="N1753" s="106"/>
      <c r="O1753" s="108"/>
      <c r="P1753" s="108"/>
      <c r="Q1753" s="108"/>
      <c r="R1753" s="109"/>
      <c r="S1753" s="109"/>
      <c r="T1753" s="108"/>
      <c r="U1753" s="110"/>
      <c r="V1753" s="110"/>
      <c r="W1753" s="110"/>
      <c r="X1753" s="110"/>
    </row>
    <row r="1754" spans="1:24" ht="14.25" customHeight="1">
      <c r="A1754" s="110"/>
      <c r="B1754" s="125">
        <v>46181</v>
      </c>
      <c r="C1754" s="126" t="s">
        <v>561</v>
      </c>
      <c r="D1754" s="68" t="s">
        <v>130</v>
      </c>
      <c r="E1754" s="10" t="str">
        <f>TRIM(VLOOKUP(D1754,TB!$B$9:$C$1500,2,FALSE))</f>
        <v>BCA TBB</v>
      </c>
      <c r="F1754" s="173" t="str">
        <f>F1752</f>
        <v>Met Musik - FEE DJ 21 MAY 26</v>
      </c>
      <c r="G1754" s="130"/>
      <c r="H1754" s="10"/>
      <c r="I1754" s="10">
        <f>SUM(H1752:H1753)</f>
        <v>2002500</v>
      </c>
      <c r="J1754" s="79" t="e">
        <f t="shared" si="79"/>
        <v>#VALUE!</v>
      </c>
      <c r="K1754" s="106"/>
      <c r="L1754" s="107"/>
      <c r="M1754" s="106"/>
      <c r="N1754" s="106"/>
      <c r="O1754" s="108"/>
      <c r="P1754" s="108"/>
      <c r="Q1754" s="108"/>
      <c r="R1754" s="109"/>
      <c r="S1754" s="109"/>
      <c r="T1754" s="108"/>
      <c r="U1754" s="110"/>
      <c r="V1754" s="110"/>
      <c r="W1754" s="110"/>
      <c r="X1754" s="110"/>
    </row>
    <row r="1755" spans="1:24" ht="14.25" customHeight="1">
      <c r="A1755" s="110"/>
      <c r="B1755" s="125"/>
      <c r="C1755" s="126"/>
      <c r="D1755" s="15"/>
      <c r="E1755" s="10" t="e">
        <f>TRIM(VLOOKUP(D1755,TB!$B$9:$C$1500,2,FALSE))</f>
        <v>#N/A</v>
      </c>
      <c r="F1755" s="173"/>
      <c r="G1755" s="130"/>
      <c r="H1755" s="10"/>
      <c r="I1755" s="10">
        <f t="shared" ref="I1755:I1762" si="122">SUM(H1754)</f>
        <v>0</v>
      </c>
      <c r="J1755" s="79" t="e">
        <f t="shared" si="79"/>
        <v>#VALUE!</v>
      </c>
      <c r="K1755" s="106"/>
      <c r="L1755" s="107"/>
      <c r="M1755" s="106"/>
      <c r="N1755" s="106"/>
      <c r="O1755" s="108"/>
      <c r="P1755" s="108"/>
      <c r="Q1755" s="108"/>
      <c r="R1755" s="109"/>
      <c r="S1755" s="109"/>
      <c r="T1755" s="108"/>
      <c r="U1755" s="110"/>
      <c r="V1755" s="110"/>
      <c r="W1755" s="110"/>
      <c r="X1755" s="110"/>
    </row>
    <row r="1756" spans="1:24" ht="14.25" customHeight="1">
      <c r="A1756" s="110"/>
      <c r="B1756" s="125">
        <v>46181</v>
      </c>
      <c r="C1756" s="126" t="s">
        <v>563</v>
      </c>
      <c r="D1756" s="68" t="s">
        <v>285</v>
      </c>
      <c r="E1756" s="10" t="str">
        <f>TRIM(VLOOKUP(D1756,TB!$B$9:$C$1500,2,FALSE))</f>
        <v>Misc Cash Purchase</v>
      </c>
      <c r="F1756" s="173" t="s">
        <v>564</v>
      </c>
      <c r="G1756" s="130"/>
      <c r="H1756" s="10">
        <v>2000000</v>
      </c>
      <c r="I1756" s="10">
        <f t="shared" si="122"/>
        <v>0</v>
      </c>
      <c r="J1756" s="79" t="e">
        <f t="shared" si="79"/>
        <v>#VALUE!</v>
      </c>
      <c r="K1756" s="106"/>
      <c r="L1756" s="107"/>
      <c r="M1756" s="106"/>
      <c r="N1756" s="106"/>
      <c r="O1756" s="108"/>
      <c r="P1756" s="108"/>
      <c r="Q1756" s="108"/>
      <c r="R1756" s="109"/>
      <c r="S1756" s="109"/>
      <c r="T1756" s="108"/>
      <c r="U1756" s="110"/>
      <c r="V1756" s="110"/>
      <c r="W1756" s="110"/>
      <c r="X1756" s="110"/>
    </row>
    <row r="1757" spans="1:24" ht="14.25" customHeight="1">
      <c r="A1757" s="110"/>
      <c r="B1757" s="125">
        <v>46181</v>
      </c>
      <c r="C1757" s="126" t="s">
        <v>563</v>
      </c>
      <c r="D1757" s="68" t="s">
        <v>130</v>
      </c>
      <c r="E1757" s="10" t="str">
        <f>TRIM(VLOOKUP(D1757,TB!$B$9:$C$1500,2,FALSE))</f>
        <v>BCA TBB</v>
      </c>
      <c r="F1757" s="173" t="str">
        <f>F1756</f>
        <v>Daff P - FEE DJ 21 MAY 26</v>
      </c>
      <c r="G1757" s="130"/>
      <c r="H1757" s="10"/>
      <c r="I1757" s="10">
        <f t="shared" si="122"/>
        <v>2000000</v>
      </c>
      <c r="J1757" s="79" t="e">
        <f t="shared" si="79"/>
        <v>#VALUE!</v>
      </c>
      <c r="K1757" s="106"/>
      <c r="L1757" s="107"/>
      <c r="M1757" s="106"/>
      <c r="N1757" s="106"/>
      <c r="O1757" s="108"/>
      <c r="P1757" s="108"/>
      <c r="Q1757" s="108"/>
      <c r="R1757" s="109"/>
      <c r="S1757" s="109"/>
      <c r="T1757" s="108"/>
      <c r="U1757" s="110"/>
      <c r="V1757" s="110"/>
      <c r="W1757" s="110"/>
      <c r="X1757" s="110"/>
    </row>
    <row r="1758" spans="1:24" ht="14.25" customHeight="1">
      <c r="A1758" s="110"/>
      <c r="B1758" s="125"/>
      <c r="C1758" s="126"/>
      <c r="D1758" s="159"/>
      <c r="E1758" s="10" t="e">
        <f>TRIM(VLOOKUP(D1758,TB!$B$9:$C$1500,2,FALSE))</f>
        <v>#N/A</v>
      </c>
      <c r="F1758" s="173"/>
      <c r="G1758" s="130"/>
      <c r="H1758" s="10"/>
      <c r="I1758" s="10">
        <f t="shared" si="122"/>
        <v>0</v>
      </c>
      <c r="J1758" s="79" t="e">
        <f t="shared" si="79"/>
        <v>#VALUE!</v>
      </c>
      <c r="K1758" s="106"/>
      <c r="L1758" s="107"/>
      <c r="M1758" s="106"/>
      <c r="N1758" s="106"/>
      <c r="O1758" s="108"/>
      <c r="P1758" s="108"/>
      <c r="Q1758" s="108"/>
      <c r="R1758" s="109"/>
      <c r="S1758" s="109"/>
      <c r="T1758" s="108"/>
      <c r="U1758" s="110"/>
      <c r="V1758" s="110"/>
      <c r="W1758" s="110"/>
      <c r="X1758" s="110"/>
    </row>
    <row r="1759" spans="1:24" ht="14.25" customHeight="1">
      <c r="A1759" s="110"/>
      <c r="B1759" s="125">
        <v>46181</v>
      </c>
      <c r="C1759" s="126" t="s">
        <v>565</v>
      </c>
      <c r="D1759" s="68" t="s">
        <v>285</v>
      </c>
      <c r="E1759" s="10" t="str">
        <f>TRIM(VLOOKUP(D1759,TB!$B$9:$C$1500,2,FALSE))</f>
        <v>Misc Cash Purchase</v>
      </c>
      <c r="F1759" s="173" t="s">
        <v>566</v>
      </c>
      <c r="G1759" s="130"/>
      <c r="H1759" s="10">
        <v>1000000</v>
      </c>
      <c r="I1759" s="10">
        <f t="shared" si="122"/>
        <v>0</v>
      </c>
      <c r="J1759" s="79" t="e">
        <f t="shared" si="79"/>
        <v>#VALUE!</v>
      </c>
      <c r="K1759" s="106"/>
      <c r="L1759" s="107"/>
      <c r="M1759" s="106"/>
      <c r="N1759" s="106"/>
      <c r="O1759" s="108"/>
      <c r="P1759" s="108"/>
      <c r="Q1759" s="108"/>
      <c r="R1759" s="109"/>
      <c r="S1759" s="109"/>
      <c r="T1759" s="108"/>
      <c r="U1759" s="110"/>
      <c r="V1759" s="110"/>
      <c r="W1759" s="110"/>
      <c r="X1759" s="110"/>
    </row>
    <row r="1760" spans="1:24" ht="14.25" customHeight="1">
      <c r="A1760" s="110"/>
      <c r="B1760" s="125">
        <v>46181</v>
      </c>
      <c r="C1760" s="126" t="s">
        <v>565</v>
      </c>
      <c r="D1760" s="68" t="s">
        <v>130</v>
      </c>
      <c r="E1760" s="10" t="str">
        <f>TRIM(VLOOKUP(D1760,TB!$B$9:$C$1500,2,FALSE))</f>
        <v>BCA TBB</v>
      </c>
      <c r="F1760" s="173" t="str">
        <f>F1759</f>
        <v>Drummer - FEE 21 MAY 26</v>
      </c>
      <c r="G1760" s="130"/>
      <c r="H1760" s="10"/>
      <c r="I1760" s="10">
        <f t="shared" si="122"/>
        <v>1000000</v>
      </c>
      <c r="J1760" s="79" t="e">
        <f t="shared" si="79"/>
        <v>#VALUE!</v>
      </c>
      <c r="K1760" s="106"/>
      <c r="L1760" s="107"/>
      <c r="M1760" s="106"/>
      <c r="N1760" s="106"/>
      <c r="O1760" s="108"/>
      <c r="P1760" s="108"/>
      <c r="Q1760" s="108"/>
      <c r="R1760" s="109"/>
      <c r="S1760" s="109"/>
      <c r="T1760" s="108"/>
      <c r="U1760" s="110"/>
      <c r="V1760" s="110"/>
      <c r="W1760" s="110"/>
      <c r="X1760" s="110"/>
    </row>
    <row r="1761" spans="1:24" ht="14.25" customHeight="1">
      <c r="A1761" s="110"/>
      <c r="B1761" s="125"/>
      <c r="C1761" s="126"/>
      <c r="D1761" s="159"/>
      <c r="E1761" s="10" t="e">
        <f>TRIM(VLOOKUP(D1761,TB!$B$9:$C$1500,2,FALSE))</f>
        <v>#N/A</v>
      </c>
      <c r="F1761" s="173"/>
      <c r="G1761" s="130"/>
      <c r="H1761" s="10"/>
      <c r="I1761" s="10">
        <f t="shared" si="122"/>
        <v>0</v>
      </c>
      <c r="J1761" s="79" t="e">
        <f t="shared" si="79"/>
        <v>#VALUE!</v>
      </c>
      <c r="K1761" s="106"/>
      <c r="L1761" s="107"/>
      <c r="M1761" s="106"/>
      <c r="N1761" s="106"/>
      <c r="O1761" s="108"/>
      <c r="P1761" s="108"/>
      <c r="Q1761" s="108"/>
      <c r="R1761" s="109"/>
      <c r="S1761" s="109"/>
      <c r="T1761" s="108"/>
      <c r="U1761" s="110"/>
      <c r="V1761" s="110"/>
      <c r="W1761" s="110"/>
      <c r="X1761" s="110"/>
    </row>
    <row r="1762" spans="1:24" ht="14.25" customHeight="1">
      <c r="A1762" s="110"/>
      <c r="B1762" s="125">
        <v>46181</v>
      </c>
      <c r="C1762" s="126" t="s">
        <v>567</v>
      </c>
      <c r="D1762" s="68" t="s">
        <v>285</v>
      </c>
      <c r="E1762" s="10" t="str">
        <f>TRIM(VLOOKUP(D1762,TB!$B$9:$C$1500,2,FALSE))</f>
        <v>Misc Cash Purchase</v>
      </c>
      <c r="F1762" s="173" t="s">
        <v>568</v>
      </c>
      <c r="G1762" s="130"/>
      <c r="H1762" s="10">
        <v>2000000</v>
      </c>
      <c r="I1762" s="10">
        <f t="shared" si="122"/>
        <v>0</v>
      </c>
      <c r="J1762" s="79" t="e">
        <f t="shared" si="79"/>
        <v>#VALUE!</v>
      </c>
      <c r="K1762" s="106"/>
      <c r="L1762" s="107"/>
      <c r="M1762" s="106"/>
      <c r="N1762" s="106"/>
      <c r="O1762" s="108"/>
      <c r="P1762" s="108"/>
      <c r="Q1762" s="108"/>
      <c r="R1762" s="109"/>
      <c r="S1762" s="109"/>
      <c r="T1762" s="108"/>
      <c r="U1762" s="110"/>
      <c r="V1762" s="110"/>
      <c r="W1762" s="110"/>
      <c r="X1762" s="110"/>
    </row>
    <row r="1763" spans="1:24" ht="14.25" customHeight="1">
      <c r="A1763" s="110"/>
      <c r="B1763" s="125">
        <v>46181</v>
      </c>
      <c r="C1763" s="126" t="s">
        <v>567</v>
      </c>
      <c r="D1763" s="15" t="s">
        <v>124</v>
      </c>
      <c r="E1763" s="10" t="str">
        <f>TRIM(VLOOKUP(D1763,TB!$B$9:$C$1500,2,FALSE))</f>
        <v>Bank charges</v>
      </c>
      <c r="F1763" s="173" t="s">
        <v>568</v>
      </c>
      <c r="G1763" s="130"/>
      <c r="H1763" s="10">
        <v>2500</v>
      </c>
      <c r="I1763" s="10"/>
      <c r="J1763" s="79" t="e">
        <f t="shared" si="79"/>
        <v>#VALUE!</v>
      </c>
      <c r="K1763" s="106"/>
      <c r="L1763" s="107"/>
      <c r="M1763" s="106"/>
      <c r="N1763" s="106"/>
      <c r="O1763" s="108"/>
      <c r="P1763" s="108"/>
      <c r="Q1763" s="108"/>
      <c r="R1763" s="109"/>
      <c r="S1763" s="109"/>
      <c r="T1763" s="108"/>
      <c r="U1763" s="110"/>
      <c r="V1763" s="110"/>
      <c r="W1763" s="110"/>
      <c r="X1763" s="110"/>
    </row>
    <row r="1764" spans="1:24" ht="14.25" customHeight="1">
      <c r="A1764" s="110"/>
      <c r="B1764" s="125">
        <v>46181</v>
      </c>
      <c r="C1764" s="126" t="s">
        <v>567</v>
      </c>
      <c r="D1764" s="68" t="s">
        <v>130</v>
      </c>
      <c r="E1764" s="10" t="str">
        <f>TRIM(VLOOKUP(D1764,TB!$B$9:$C$1500,2,FALSE))</f>
        <v>BCA TBB</v>
      </c>
      <c r="F1764" s="173" t="str">
        <f>F1762</f>
        <v>Venuto - FEE DJ 22 MAY 26</v>
      </c>
      <c r="G1764" s="130"/>
      <c r="H1764" s="10"/>
      <c r="I1764" s="10">
        <f>SUM(H1762:H1763)</f>
        <v>2002500</v>
      </c>
      <c r="J1764" s="79" t="e">
        <f t="shared" si="79"/>
        <v>#VALUE!</v>
      </c>
      <c r="K1764" s="106"/>
      <c r="L1764" s="107"/>
      <c r="M1764" s="106"/>
      <c r="N1764" s="106"/>
      <c r="O1764" s="108"/>
      <c r="P1764" s="108"/>
      <c r="Q1764" s="108"/>
      <c r="R1764" s="109"/>
      <c r="S1764" s="109"/>
      <c r="T1764" s="108"/>
      <c r="U1764" s="110"/>
      <c r="V1764" s="110"/>
      <c r="W1764" s="110"/>
      <c r="X1764" s="110"/>
    </row>
    <row r="1765" spans="1:24" ht="14.25" customHeight="1">
      <c r="A1765" s="110"/>
      <c r="B1765" s="125"/>
      <c r="C1765" s="126"/>
      <c r="D1765" s="159"/>
      <c r="E1765" s="10" t="e">
        <f>TRIM(VLOOKUP(D1765,TB!$B$9:$C$1500,2,FALSE))</f>
        <v>#N/A</v>
      </c>
      <c r="F1765" s="173"/>
      <c r="G1765" s="130"/>
      <c r="H1765" s="10"/>
      <c r="I1765" s="10">
        <f t="shared" ref="I1765:I1766" si="123">SUM(H1764)</f>
        <v>0</v>
      </c>
      <c r="J1765" s="79" t="e">
        <f t="shared" si="79"/>
        <v>#VALUE!</v>
      </c>
      <c r="K1765" s="106"/>
      <c r="L1765" s="107"/>
      <c r="M1765" s="106"/>
      <c r="N1765" s="106"/>
      <c r="O1765" s="108"/>
      <c r="P1765" s="108"/>
      <c r="Q1765" s="108"/>
      <c r="R1765" s="109"/>
      <c r="S1765" s="109"/>
      <c r="T1765" s="108"/>
      <c r="U1765" s="110"/>
      <c r="V1765" s="110"/>
      <c r="W1765" s="110"/>
      <c r="X1765" s="110"/>
    </row>
    <row r="1766" spans="1:24" ht="14.25" customHeight="1">
      <c r="A1766" s="110"/>
      <c r="B1766" s="125">
        <v>46181</v>
      </c>
      <c r="C1766" s="126" t="s">
        <v>569</v>
      </c>
      <c r="D1766" s="68" t="s">
        <v>285</v>
      </c>
      <c r="E1766" s="10" t="str">
        <f>TRIM(VLOOKUP(D1766,TB!$B$9:$C$1500,2,FALSE))</f>
        <v>Misc Cash Purchase</v>
      </c>
      <c r="F1766" s="173" t="s">
        <v>570</v>
      </c>
      <c r="G1766" s="130"/>
      <c r="H1766" s="10">
        <v>4000000</v>
      </c>
      <c r="I1766" s="10">
        <f t="shared" si="123"/>
        <v>0</v>
      </c>
      <c r="J1766" s="79" t="e">
        <f t="shared" si="79"/>
        <v>#VALUE!</v>
      </c>
      <c r="K1766" s="106"/>
      <c r="L1766" s="107"/>
      <c r="M1766" s="106"/>
      <c r="N1766" s="106"/>
      <c r="O1766" s="108"/>
      <c r="P1766" s="108"/>
      <c r="Q1766" s="108"/>
      <c r="R1766" s="109"/>
      <c r="S1766" s="109"/>
      <c r="T1766" s="108"/>
      <c r="U1766" s="110"/>
      <c r="V1766" s="110"/>
      <c r="W1766" s="110"/>
      <c r="X1766" s="110"/>
    </row>
    <row r="1767" spans="1:24" ht="14.25" customHeight="1">
      <c r="A1767" s="110"/>
      <c r="B1767" s="125">
        <v>46181</v>
      </c>
      <c r="C1767" s="126" t="s">
        <v>569</v>
      </c>
      <c r="D1767" s="15" t="s">
        <v>124</v>
      </c>
      <c r="E1767" s="10" t="str">
        <f>TRIM(VLOOKUP(D1767,TB!$B$9:$C$1500,2,FALSE))</f>
        <v>Bank charges</v>
      </c>
      <c r="F1767" s="173" t="s">
        <v>570</v>
      </c>
      <c r="G1767" s="130"/>
      <c r="H1767" s="10">
        <v>2500</v>
      </c>
      <c r="I1767" s="10"/>
      <c r="J1767" s="79" t="e">
        <f t="shared" si="79"/>
        <v>#VALUE!</v>
      </c>
      <c r="K1767" s="106"/>
      <c r="L1767" s="107"/>
      <c r="M1767" s="106"/>
      <c r="N1767" s="106"/>
      <c r="O1767" s="108"/>
      <c r="P1767" s="108"/>
      <c r="Q1767" s="108"/>
      <c r="R1767" s="109"/>
      <c r="S1767" s="109"/>
      <c r="T1767" s="108"/>
      <c r="U1767" s="110"/>
      <c r="V1767" s="110"/>
      <c r="W1767" s="110"/>
      <c r="X1767" s="110"/>
    </row>
    <row r="1768" spans="1:24" ht="14.25" customHeight="1">
      <c r="A1768" s="110"/>
      <c r="B1768" s="125">
        <v>46181</v>
      </c>
      <c r="C1768" s="126" t="s">
        <v>569</v>
      </c>
      <c r="D1768" s="68" t="s">
        <v>130</v>
      </c>
      <c r="E1768" s="10" t="str">
        <f>TRIM(VLOOKUP(D1768,TB!$B$9:$C$1500,2,FALSE))</f>
        <v>BCA TBB</v>
      </c>
      <c r="F1768" s="173" t="str">
        <f>F1766</f>
        <v>Manu - L - FEE DJ 22,24 MAY 26</v>
      </c>
      <c r="G1768" s="130"/>
      <c r="H1768" s="10"/>
      <c r="I1768" s="10">
        <f>SUM(H1766:H1767)</f>
        <v>4002500</v>
      </c>
      <c r="J1768" s="79" t="e">
        <f t="shared" si="79"/>
        <v>#VALUE!</v>
      </c>
      <c r="K1768" s="106"/>
      <c r="L1768" s="107"/>
      <c r="M1768" s="106"/>
      <c r="N1768" s="106"/>
      <c r="O1768" s="108"/>
      <c r="P1768" s="108"/>
      <c r="Q1768" s="108"/>
      <c r="R1768" s="109"/>
      <c r="S1768" s="109"/>
      <c r="T1768" s="108"/>
      <c r="U1768" s="110"/>
      <c r="V1768" s="110"/>
      <c r="W1768" s="110"/>
      <c r="X1768" s="110"/>
    </row>
    <row r="1769" spans="1:24" ht="14.25" customHeight="1">
      <c r="A1769" s="110"/>
      <c r="B1769" s="125"/>
      <c r="C1769" s="126"/>
      <c r="D1769" s="159"/>
      <c r="E1769" s="10" t="e">
        <f>TRIM(VLOOKUP(D1769,TB!$B$9:$C$1500,2,FALSE))</f>
        <v>#N/A</v>
      </c>
      <c r="F1769" s="173"/>
      <c r="G1769" s="130"/>
      <c r="H1769" s="10"/>
      <c r="I1769" s="10">
        <f t="shared" ref="I1769:I1770" si="124">SUM(H1768)</f>
        <v>0</v>
      </c>
      <c r="J1769" s="79" t="e">
        <f t="shared" si="79"/>
        <v>#VALUE!</v>
      </c>
      <c r="K1769" s="106"/>
      <c r="L1769" s="107"/>
      <c r="M1769" s="106"/>
      <c r="N1769" s="106"/>
      <c r="O1769" s="108"/>
      <c r="P1769" s="108"/>
      <c r="Q1769" s="108"/>
      <c r="R1769" s="109"/>
      <c r="S1769" s="109"/>
      <c r="T1769" s="108"/>
      <c r="U1769" s="110"/>
      <c r="V1769" s="110"/>
      <c r="W1769" s="110"/>
      <c r="X1769" s="110"/>
    </row>
    <row r="1770" spans="1:24" ht="14.25" customHeight="1">
      <c r="A1770" s="110"/>
      <c r="B1770" s="125">
        <v>46181</v>
      </c>
      <c r="C1770" s="126" t="s">
        <v>571</v>
      </c>
      <c r="D1770" s="68" t="s">
        <v>285</v>
      </c>
      <c r="E1770" s="10" t="str">
        <f>TRIM(VLOOKUP(D1770,TB!$B$9:$C$1500,2,FALSE))</f>
        <v>Misc Cash Purchase</v>
      </c>
      <c r="F1770" s="173" t="s">
        <v>572</v>
      </c>
      <c r="G1770" s="130"/>
      <c r="H1770" s="10">
        <v>2000000</v>
      </c>
      <c r="I1770" s="10">
        <f t="shared" si="124"/>
        <v>0</v>
      </c>
      <c r="J1770" s="79" t="e">
        <f t="shared" si="79"/>
        <v>#VALUE!</v>
      </c>
      <c r="K1770" s="106"/>
      <c r="L1770" s="107"/>
      <c r="M1770" s="106"/>
      <c r="N1770" s="106"/>
      <c r="O1770" s="108"/>
      <c r="P1770" s="108"/>
      <c r="Q1770" s="108"/>
      <c r="R1770" s="109"/>
      <c r="S1770" s="109"/>
      <c r="T1770" s="108"/>
      <c r="U1770" s="110"/>
      <c r="V1770" s="110"/>
      <c r="W1770" s="110"/>
      <c r="X1770" s="110"/>
    </row>
    <row r="1771" spans="1:24" ht="14.25" customHeight="1">
      <c r="A1771" s="110"/>
      <c r="B1771" s="125">
        <v>46181</v>
      </c>
      <c r="C1771" s="126" t="s">
        <v>571</v>
      </c>
      <c r="D1771" s="15" t="s">
        <v>124</v>
      </c>
      <c r="E1771" s="10" t="str">
        <f>TRIM(VLOOKUP(D1771,TB!$B$9:$C$1500,2,FALSE))</f>
        <v>Bank charges</v>
      </c>
      <c r="F1771" s="173" t="s">
        <v>572</v>
      </c>
      <c r="G1771" s="130"/>
      <c r="H1771" s="10">
        <v>2500</v>
      </c>
      <c r="I1771" s="10"/>
      <c r="J1771" s="79" t="e">
        <f t="shared" si="79"/>
        <v>#VALUE!</v>
      </c>
      <c r="K1771" s="106"/>
      <c r="L1771" s="107"/>
      <c r="M1771" s="106"/>
      <c r="N1771" s="106"/>
      <c r="O1771" s="108"/>
      <c r="P1771" s="108"/>
      <c r="Q1771" s="108"/>
      <c r="R1771" s="109"/>
      <c r="S1771" s="109"/>
      <c r="T1771" s="108"/>
      <c r="U1771" s="110"/>
      <c r="V1771" s="110"/>
      <c r="W1771" s="110"/>
      <c r="X1771" s="110"/>
    </row>
    <row r="1772" spans="1:24" ht="14.25" customHeight="1">
      <c r="A1772" s="110"/>
      <c r="B1772" s="125">
        <v>46181</v>
      </c>
      <c r="C1772" s="126" t="s">
        <v>571</v>
      </c>
      <c r="D1772" s="68" t="s">
        <v>130</v>
      </c>
      <c r="E1772" s="10" t="str">
        <f>TRIM(VLOOKUP(D1772,TB!$B$9:$C$1500,2,FALSE))</f>
        <v>BCA TBB</v>
      </c>
      <c r="F1772" s="173" t="str">
        <f>F1770</f>
        <v>Michael Vagas. - FEE DJ 22 MAY 26</v>
      </c>
      <c r="G1772" s="130"/>
      <c r="H1772" s="10"/>
      <c r="I1772" s="10">
        <f>SUM(H1770:H1771)</f>
        <v>2002500</v>
      </c>
      <c r="J1772" s="79" t="e">
        <f t="shared" si="79"/>
        <v>#VALUE!</v>
      </c>
      <c r="K1772" s="106"/>
      <c r="L1772" s="107"/>
      <c r="M1772" s="106"/>
      <c r="N1772" s="106"/>
      <c r="O1772" s="108"/>
      <c r="P1772" s="108"/>
      <c r="Q1772" s="108"/>
      <c r="R1772" s="109"/>
      <c r="S1772" s="109"/>
      <c r="T1772" s="108"/>
      <c r="U1772" s="110"/>
      <c r="V1772" s="110"/>
      <c r="W1772" s="110"/>
      <c r="X1772" s="110"/>
    </row>
    <row r="1773" spans="1:24" ht="14.25" customHeight="1">
      <c r="A1773" s="110"/>
      <c r="B1773" s="125"/>
      <c r="C1773" s="126"/>
      <c r="D1773" s="159"/>
      <c r="E1773" s="10" t="e">
        <f>TRIM(VLOOKUP(D1773,TB!$B$9:$C$1500,2,FALSE))</f>
        <v>#N/A</v>
      </c>
      <c r="F1773" s="173"/>
      <c r="G1773" s="130"/>
      <c r="H1773" s="10"/>
      <c r="I1773" s="10">
        <f t="shared" ref="I1773:I1774" si="125">SUM(H1772)</f>
        <v>0</v>
      </c>
      <c r="J1773" s="79" t="e">
        <f t="shared" si="79"/>
        <v>#VALUE!</v>
      </c>
      <c r="K1773" s="106"/>
      <c r="L1773" s="107"/>
      <c r="M1773" s="106"/>
      <c r="N1773" s="106"/>
      <c r="O1773" s="108"/>
      <c r="P1773" s="108"/>
      <c r="Q1773" s="108"/>
      <c r="R1773" s="109"/>
      <c r="S1773" s="109"/>
      <c r="T1773" s="108"/>
      <c r="U1773" s="110"/>
      <c r="V1773" s="110"/>
      <c r="W1773" s="110"/>
      <c r="X1773" s="110"/>
    </row>
    <row r="1774" spans="1:24" ht="14.25" customHeight="1">
      <c r="A1774" s="110"/>
      <c r="B1774" s="125">
        <v>46181</v>
      </c>
      <c r="C1774" s="126" t="s">
        <v>573</v>
      </c>
      <c r="D1774" s="68" t="s">
        <v>285</v>
      </c>
      <c r="E1774" s="10" t="str">
        <f>TRIM(VLOOKUP(D1774,TB!$B$9:$C$1500,2,FALSE))</f>
        <v>Misc Cash Purchase</v>
      </c>
      <c r="F1774" s="173" t="s">
        <v>574</v>
      </c>
      <c r="G1774" s="130"/>
      <c r="H1774" s="10">
        <v>3000000</v>
      </c>
      <c r="I1774" s="10">
        <f t="shared" si="125"/>
        <v>0</v>
      </c>
      <c r="J1774" s="79" t="e">
        <f t="shared" si="79"/>
        <v>#VALUE!</v>
      </c>
      <c r="K1774" s="106"/>
      <c r="L1774" s="107"/>
      <c r="M1774" s="106"/>
      <c r="N1774" s="106"/>
      <c r="O1774" s="108"/>
      <c r="P1774" s="108"/>
      <c r="Q1774" s="108"/>
      <c r="R1774" s="109"/>
      <c r="S1774" s="109"/>
      <c r="T1774" s="108"/>
      <c r="U1774" s="110"/>
      <c r="V1774" s="110"/>
      <c r="W1774" s="110"/>
      <c r="X1774" s="110"/>
    </row>
    <row r="1775" spans="1:24" ht="14.25" customHeight="1">
      <c r="A1775" s="110"/>
      <c r="B1775" s="125">
        <v>46181</v>
      </c>
      <c r="C1775" s="126" t="s">
        <v>573</v>
      </c>
      <c r="D1775" s="15" t="s">
        <v>124</v>
      </c>
      <c r="E1775" s="10" t="str">
        <f>TRIM(VLOOKUP(D1775,TB!$B$9:$C$1500,2,FALSE))</f>
        <v>Bank charges</v>
      </c>
      <c r="F1775" s="173" t="s">
        <v>574</v>
      </c>
      <c r="G1775" s="130"/>
      <c r="H1775" s="10">
        <v>2500</v>
      </c>
      <c r="I1775" s="10"/>
      <c r="J1775" s="79" t="e">
        <f t="shared" si="79"/>
        <v>#VALUE!</v>
      </c>
      <c r="K1775" s="106"/>
      <c r="L1775" s="107"/>
      <c r="M1775" s="106"/>
      <c r="N1775" s="106"/>
      <c r="O1775" s="108"/>
      <c r="P1775" s="108"/>
      <c r="Q1775" s="108"/>
      <c r="R1775" s="109"/>
      <c r="S1775" s="109"/>
      <c r="T1775" s="108"/>
      <c r="U1775" s="110"/>
      <c r="V1775" s="110"/>
      <c r="W1775" s="110"/>
      <c r="X1775" s="110"/>
    </row>
    <row r="1776" spans="1:24" ht="14.25" customHeight="1">
      <c r="A1776" s="110"/>
      <c r="B1776" s="125">
        <v>46181</v>
      </c>
      <c r="C1776" s="126" t="s">
        <v>573</v>
      </c>
      <c r="D1776" s="68" t="s">
        <v>130</v>
      </c>
      <c r="E1776" s="10" t="str">
        <f>TRIM(VLOOKUP(D1776,TB!$B$9:$C$1500,2,FALSE))</f>
        <v>BCA TBB</v>
      </c>
      <c r="F1776" s="173" t="str">
        <f>F1774</f>
        <v>Baobab Chic - FEE DJ 23 MAY 26</v>
      </c>
      <c r="G1776" s="130"/>
      <c r="H1776" s="10"/>
      <c r="I1776" s="10">
        <f>SUM(H1774:H1775)</f>
        <v>3002500</v>
      </c>
      <c r="J1776" s="79" t="e">
        <f t="shared" si="79"/>
        <v>#VALUE!</v>
      </c>
      <c r="K1776" s="106"/>
      <c r="L1776" s="107"/>
      <c r="M1776" s="106"/>
      <c r="N1776" s="106"/>
      <c r="O1776" s="108"/>
      <c r="P1776" s="108"/>
      <c r="Q1776" s="108"/>
      <c r="R1776" s="109"/>
      <c r="S1776" s="109"/>
      <c r="T1776" s="108"/>
      <c r="U1776" s="110"/>
      <c r="V1776" s="110"/>
      <c r="W1776" s="110"/>
      <c r="X1776" s="110"/>
    </row>
    <row r="1777" spans="1:24" ht="14.25" customHeight="1">
      <c r="A1777" s="110"/>
      <c r="B1777" s="125"/>
      <c r="C1777" s="126"/>
      <c r="D1777" s="15"/>
      <c r="E1777" s="10" t="e">
        <f>TRIM(VLOOKUP(D1777,TB!$B$9:$C$1500,2,FALSE))</f>
        <v>#N/A</v>
      </c>
      <c r="F1777" s="173"/>
      <c r="G1777" s="130"/>
      <c r="H1777" s="10"/>
      <c r="I1777" s="10">
        <f t="shared" ref="I1777:I1778" si="126">SUM(H1776)</f>
        <v>0</v>
      </c>
      <c r="J1777" s="79" t="e">
        <f t="shared" si="79"/>
        <v>#VALUE!</v>
      </c>
      <c r="K1777" s="106"/>
      <c r="L1777" s="107"/>
      <c r="M1777" s="106"/>
      <c r="N1777" s="106"/>
      <c r="O1777" s="108"/>
      <c r="P1777" s="108"/>
      <c r="Q1777" s="108"/>
      <c r="R1777" s="109"/>
      <c r="S1777" s="109"/>
      <c r="T1777" s="108"/>
      <c r="U1777" s="110"/>
      <c r="V1777" s="110"/>
      <c r="W1777" s="110"/>
      <c r="X1777" s="110"/>
    </row>
    <row r="1778" spans="1:24" ht="14.25" customHeight="1">
      <c r="A1778" s="110"/>
      <c r="B1778" s="125">
        <v>46181</v>
      </c>
      <c r="C1778" s="126" t="s">
        <v>575</v>
      </c>
      <c r="D1778" s="68" t="s">
        <v>285</v>
      </c>
      <c r="E1778" s="10" t="str">
        <f>TRIM(VLOOKUP(D1778,TB!$B$9:$C$1500,2,FALSE))</f>
        <v>Misc Cash Purchase</v>
      </c>
      <c r="F1778" s="173" t="s">
        <v>576</v>
      </c>
      <c r="G1778" s="130"/>
      <c r="H1778" s="10">
        <v>2000000</v>
      </c>
      <c r="I1778" s="10">
        <f t="shared" si="126"/>
        <v>0</v>
      </c>
      <c r="J1778" s="79" t="e">
        <f t="shared" si="79"/>
        <v>#VALUE!</v>
      </c>
      <c r="K1778" s="106"/>
      <c r="L1778" s="107"/>
      <c r="M1778" s="106"/>
      <c r="N1778" s="106"/>
      <c r="O1778" s="108"/>
      <c r="P1778" s="108"/>
      <c r="Q1778" s="108"/>
      <c r="R1778" s="109"/>
      <c r="S1778" s="109"/>
      <c r="T1778" s="108"/>
      <c r="U1778" s="110"/>
      <c r="V1778" s="110"/>
      <c r="W1778" s="110"/>
      <c r="X1778" s="110"/>
    </row>
    <row r="1779" spans="1:24" ht="14.25" customHeight="1">
      <c r="A1779" s="110"/>
      <c r="B1779" s="125">
        <v>46181</v>
      </c>
      <c r="C1779" s="126" t="s">
        <v>575</v>
      </c>
      <c r="D1779" s="15" t="s">
        <v>124</v>
      </c>
      <c r="E1779" s="10" t="str">
        <f>TRIM(VLOOKUP(D1779,TB!$B$9:$C$1500,2,FALSE))</f>
        <v>Bank charges</v>
      </c>
      <c r="F1779" s="173" t="s">
        <v>574</v>
      </c>
      <c r="G1779" s="130"/>
      <c r="H1779" s="10">
        <v>2500</v>
      </c>
      <c r="I1779" s="10"/>
      <c r="J1779" s="79" t="e">
        <f t="shared" si="79"/>
        <v>#VALUE!</v>
      </c>
      <c r="K1779" s="106"/>
      <c r="L1779" s="107"/>
      <c r="M1779" s="106"/>
      <c r="N1779" s="106"/>
      <c r="O1779" s="108"/>
      <c r="P1779" s="108"/>
      <c r="Q1779" s="108"/>
      <c r="R1779" s="109"/>
      <c r="S1779" s="109"/>
      <c r="T1779" s="108"/>
      <c r="U1779" s="110"/>
      <c r="V1779" s="110"/>
      <c r="W1779" s="110"/>
      <c r="X1779" s="110"/>
    </row>
    <row r="1780" spans="1:24" ht="14.25" customHeight="1">
      <c r="A1780" s="110"/>
      <c r="B1780" s="125">
        <v>46181</v>
      </c>
      <c r="C1780" s="126" t="s">
        <v>575</v>
      </c>
      <c r="D1780" s="68" t="s">
        <v>130</v>
      </c>
      <c r="E1780" s="10" t="str">
        <f>TRIM(VLOOKUP(D1780,TB!$B$9:$C$1500,2,FALSE))</f>
        <v>BCA TBB</v>
      </c>
      <c r="F1780" s="173" t="str">
        <f>F1778</f>
        <v>LukeyBagus - FEE DJ 24 MAY 26</v>
      </c>
      <c r="G1780" s="130"/>
      <c r="H1780" s="10"/>
      <c r="I1780" s="10">
        <f>SUM(H1778:H1779)</f>
        <v>2002500</v>
      </c>
      <c r="J1780" s="79" t="e">
        <f t="shared" si="79"/>
        <v>#VALUE!</v>
      </c>
      <c r="K1780" s="106"/>
      <c r="L1780" s="107"/>
      <c r="M1780" s="106"/>
      <c r="N1780" s="106"/>
      <c r="O1780" s="108"/>
      <c r="P1780" s="108"/>
      <c r="Q1780" s="108"/>
      <c r="R1780" s="109"/>
      <c r="S1780" s="109"/>
      <c r="T1780" s="108"/>
      <c r="U1780" s="110"/>
      <c r="V1780" s="110"/>
      <c r="W1780" s="110"/>
      <c r="X1780" s="110"/>
    </row>
    <row r="1781" spans="1:24" ht="14.25" customHeight="1">
      <c r="A1781" s="110"/>
      <c r="B1781" s="125"/>
      <c r="C1781" s="126"/>
      <c r="D1781" s="178"/>
      <c r="E1781" s="10" t="e">
        <f>TRIM(VLOOKUP(D1781,TB!$B$9:$C$1500,2,FALSE))</f>
        <v>#N/A</v>
      </c>
      <c r="F1781" s="173"/>
      <c r="G1781" s="130"/>
      <c r="H1781" s="10"/>
      <c r="I1781" s="10">
        <f t="shared" ref="I1781:I1796" si="127">SUM(H1780)</f>
        <v>0</v>
      </c>
      <c r="J1781" s="79" t="e">
        <f t="shared" si="79"/>
        <v>#VALUE!</v>
      </c>
      <c r="K1781" s="106"/>
      <c r="L1781" s="107"/>
      <c r="M1781" s="106"/>
      <c r="N1781" s="106"/>
      <c r="O1781" s="108"/>
      <c r="P1781" s="108"/>
      <c r="Q1781" s="108"/>
      <c r="R1781" s="109"/>
      <c r="S1781" s="109"/>
      <c r="T1781" s="108"/>
      <c r="U1781" s="110"/>
      <c r="V1781" s="110"/>
      <c r="W1781" s="110"/>
      <c r="X1781" s="110"/>
    </row>
    <row r="1782" spans="1:24" ht="14.25" customHeight="1">
      <c r="A1782" s="110"/>
      <c r="B1782" s="125">
        <v>46181</v>
      </c>
      <c r="C1782" s="126" t="s">
        <v>577</v>
      </c>
      <c r="D1782" s="68" t="s">
        <v>285</v>
      </c>
      <c r="E1782" s="10" t="str">
        <f>TRIM(VLOOKUP(D1782,TB!$B$9:$C$1500,2,FALSE))</f>
        <v>Misc Cash Purchase</v>
      </c>
      <c r="F1782" s="173" t="s">
        <v>578</v>
      </c>
      <c r="G1782" s="130"/>
      <c r="H1782" s="10">
        <v>99900</v>
      </c>
      <c r="I1782" s="10">
        <f t="shared" si="127"/>
        <v>0</v>
      </c>
      <c r="J1782" s="79" t="e">
        <f t="shared" si="79"/>
        <v>#VALUE!</v>
      </c>
      <c r="K1782" s="106"/>
      <c r="L1782" s="107"/>
      <c r="M1782" s="106"/>
      <c r="N1782" s="106"/>
      <c r="O1782" s="108"/>
      <c r="P1782" s="108"/>
      <c r="Q1782" s="108"/>
      <c r="R1782" s="109"/>
      <c r="S1782" s="109"/>
      <c r="T1782" s="108"/>
      <c r="U1782" s="110"/>
      <c r="V1782" s="110"/>
      <c r="W1782" s="110"/>
      <c r="X1782" s="110"/>
    </row>
    <row r="1783" spans="1:24" ht="14.25" customHeight="1">
      <c r="A1783" s="110"/>
      <c r="B1783" s="125">
        <v>46181</v>
      </c>
      <c r="C1783" s="126" t="s">
        <v>577</v>
      </c>
      <c r="D1783" s="68" t="s">
        <v>130</v>
      </c>
      <c r="E1783" s="10" t="str">
        <f>TRIM(VLOOKUP(D1783,TB!$B$9:$C$1500,2,FALSE))</f>
        <v>BCA TBB</v>
      </c>
      <c r="F1783" s="173" t="str">
        <f>F1782</f>
        <v>Fibry Onyx - Comm Bottle No.0557</v>
      </c>
      <c r="G1783" s="130"/>
      <c r="H1783" s="10"/>
      <c r="I1783" s="10">
        <f t="shared" si="127"/>
        <v>99900</v>
      </c>
      <c r="J1783" s="79" t="e">
        <f t="shared" si="79"/>
        <v>#VALUE!</v>
      </c>
      <c r="K1783" s="106"/>
      <c r="L1783" s="107"/>
      <c r="M1783" s="106"/>
      <c r="N1783" s="106"/>
      <c r="O1783" s="108"/>
      <c r="P1783" s="108"/>
      <c r="Q1783" s="108"/>
      <c r="R1783" s="109"/>
      <c r="S1783" s="109"/>
      <c r="T1783" s="108"/>
      <c r="U1783" s="110"/>
      <c r="V1783" s="110"/>
      <c r="W1783" s="110"/>
      <c r="X1783" s="110"/>
    </row>
    <row r="1784" spans="1:24" ht="14.25" customHeight="1">
      <c r="A1784" s="110"/>
      <c r="B1784" s="125"/>
      <c r="C1784" s="126"/>
      <c r="D1784" s="159"/>
      <c r="E1784" s="10" t="e">
        <f>TRIM(VLOOKUP(D1784,TB!$B$9:$C$1500,2,FALSE))</f>
        <v>#N/A</v>
      </c>
      <c r="F1784" s="173"/>
      <c r="G1784" s="130"/>
      <c r="H1784" s="10"/>
      <c r="I1784" s="10">
        <f t="shared" si="127"/>
        <v>0</v>
      </c>
      <c r="J1784" s="79" t="e">
        <f t="shared" si="79"/>
        <v>#VALUE!</v>
      </c>
      <c r="K1784" s="106"/>
      <c r="L1784" s="107"/>
      <c r="M1784" s="106"/>
      <c r="N1784" s="106"/>
      <c r="O1784" s="108"/>
      <c r="P1784" s="108"/>
      <c r="Q1784" s="108"/>
      <c r="R1784" s="109"/>
      <c r="S1784" s="109"/>
      <c r="T1784" s="108"/>
      <c r="U1784" s="110"/>
      <c r="V1784" s="110"/>
      <c r="W1784" s="110"/>
      <c r="X1784" s="110"/>
    </row>
    <row r="1785" spans="1:24" ht="14.25" customHeight="1">
      <c r="A1785" s="110"/>
      <c r="B1785" s="125">
        <v>46181</v>
      </c>
      <c r="C1785" s="126" t="s">
        <v>579</v>
      </c>
      <c r="D1785" s="68" t="s">
        <v>285</v>
      </c>
      <c r="E1785" s="10" t="str">
        <f>TRIM(VLOOKUP(D1785,TB!$B$9:$C$1500,2,FALSE))</f>
        <v>Misc Cash Purchase</v>
      </c>
      <c r="F1785" s="173" t="s">
        <v>580</v>
      </c>
      <c r="G1785" s="130"/>
      <c r="H1785" s="10">
        <v>660000</v>
      </c>
      <c r="I1785" s="10">
        <f t="shared" si="127"/>
        <v>0</v>
      </c>
      <c r="J1785" s="79" t="e">
        <f t="shared" si="79"/>
        <v>#VALUE!</v>
      </c>
      <c r="K1785" s="106"/>
      <c r="L1785" s="107"/>
      <c r="M1785" s="106"/>
      <c r="N1785" s="106"/>
      <c r="O1785" s="108"/>
      <c r="P1785" s="108"/>
      <c r="Q1785" s="108"/>
      <c r="R1785" s="109"/>
      <c r="S1785" s="109"/>
      <c r="T1785" s="108"/>
      <c r="U1785" s="110"/>
      <c r="V1785" s="110"/>
      <c r="W1785" s="110"/>
      <c r="X1785" s="110"/>
    </row>
    <row r="1786" spans="1:24" ht="14.25" customHeight="1">
      <c r="A1786" s="110"/>
      <c r="B1786" s="125">
        <v>46181</v>
      </c>
      <c r="C1786" s="126" t="s">
        <v>579</v>
      </c>
      <c r="D1786" s="68" t="s">
        <v>130</v>
      </c>
      <c r="E1786" s="10" t="str">
        <f>TRIM(VLOOKUP(D1786,TB!$B$9:$C$1500,2,FALSE))</f>
        <v>BCA TBB</v>
      </c>
      <c r="F1786" s="173" t="str">
        <f>F1785</f>
        <v>Cherry - Comm Bottle No. 3152</v>
      </c>
      <c r="G1786" s="130"/>
      <c r="H1786" s="10"/>
      <c r="I1786" s="10">
        <f t="shared" si="127"/>
        <v>660000</v>
      </c>
      <c r="J1786" s="79" t="e">
        <f t="shared" si="79"/>
        <v>#VALUE!</v>
      </c>
      <c r="K1786" s="106"/>
      <c r="L1786" s="107"/>
      <c r="M1786" s="106"/>
      <c r="N1786" s="106"/>
      <c r="O1786" s="108"/>
      <c r="P1786" s="108"/>
      <c r="Q1786" s="108"/>
      <c r="R1786" s="109"/>
      <c r="S1786" s="109"/>
      <c r="T1786" s="108"/>
      <c r="U1786" s="110"/>
      <c r="V1786" s="110"/>
      <c r="W1786" s="110"/>
      <c r="X1786" s="110"/>
    </row>
    <row r="1787" spans="1:24" ht="14.25" customHeight="1">
      <c r="A1787" s="110"/>
      <c r="B1787" s="125"/>
      <c r="C1787" s="126"/>
      <c r="D1787" s="159"/>
      <c r="E1787" s="10" t="e">
        <f>TRIM(VLOOKUP(D1787,TB!$B$9:$C$1500,2,FALSE))</f>
        <v>#N/A</v>
      </c>
      <c r="F1787" s="173"/>
      <c r="G1787" s="130"/>
      <c r="H1787" s="10"/>
      <c r="I1787" s="10">
        <f t="shared" si="127"/>
        <v>0</v>
      </c>
      <c r="J1787" s="79" t="e">
        <f t="shared" si="79"/>
        <v>#VALUE!</v>
      </c>
      <c r="K1787" s="106"/>
      <c r="L1787" s="107"/>
      <c r="M1787" s="106"/>
      <c r="N1787" s="106"/>
      <c r="O1787" s="108"/>
      <c r="P1787" s="108"/>
      <c r="Q1787" s="108"/>
      <c r="R1787" s="109"/>
      <c r="S1787" s="109"/>
      <c r="T1787" s="108"/>
      <c r="U1787" s="110"/>
      <c r="V1787" s="110"/>
      <c r="W1787" s="110"/>
      <c r="X1787" s="110"/>
    </row>
    <row r="1788" spans="1:24" ht="14.25" customHeight="1">
      <c r="A1788" s="110"/>
      <c r="B1788" s="125">
        <v>46181</v>
      </c>
      <c r="C1788" s="126" t="s">
        <v>581</v>
      </c>
      <c r="D1788" s="68" t="s">
        <v>285</v>
      </c>
      <c r="E1788" s="10" t="str">
        <f>TRIM(VLOOKUP(D1788,TB!$B$9:$C$1500,2,FALSE))</f>
        <v>Misc Cash Purchase</v>
      </c>
      <c r="F1788" s="173" t="s">
        <v>582</v>
      </c>
      <c r="G1788" s="130"/>
      <c r="H1788" s="10">
        <v>120000</v>
      </c>
      <c r="I1788" s="10">
        <f t="shared" si="127"/>
        <v>0</v>
      </c>
      <c r="J1788" s="79" t="e">
        <f t="shared" si="79"/>
        <v>#VALUE!</v>
      </c>
      <c r="K1788" s="106"/>
      <c r="L1788" s="107"/>
      <c r="M1788" s="106"/>
      <c r="N1788" s="106"/>
      <c r="O1788" s="108"/>
      <c r="P1788" s="108"/>
      <c r="Q1788" s="108"/>
      <c r="R1788" s="109"/>
      <c r="S1788" s="109"/>
      <c r="T1788" s="108"/>
      <c r="U1788" s="110"/>
      <c r="V1788" s="110"/>
      <c r="W1788" s="110"/>
      <c r="X1788" s="110"/>
    </row>
    <row r="1789" spans="1:24" ht="14.25" customHeight="1">
      <c r="A1789" s="110"/>
      <c r="B1789" s="125">
        <v>46181</v>
      </c>
      <c r="C1789" s="126" t="s">
        <v>581</v>
      </c>
      <c r="D1789" s="68" t="s">
        <v>130</v>
      </c>
      <c r="E1789" s="10" t="str">
        <f>TRIM(VLOOKUP(D1789,TB!$B$9:$C$1500,2,FALSE))</f>
        <v>BCA TBB</v>
      </c>
      <c r="F1789" s="173" t="str">
        <f>F1788</f>
        <v>Caca - Comm Bottle No. 3763</v>
      </c>
      <c r="G1789" s="130"/>
      <c r="H1789" s="10"/>
      <c r="I1789" s="10">
        <f t="shared" si="127"/>
        <v>120000</v>
      </c>
      <c r="J1789" s="79" t="e">
        <f t="shared" si="79"/>
        <v>#VALUE!</v>
      </c>
      <c r="K1789" s="106"/>
      <c r="L1789" s="107"/>
      <c r="M1789" s="106"/>
      <c r="N1789" s="106"/>
      <c r="O1789" s="108"/>
      <c r="P1789" s="108"/>
      <c r="Q1789" s="108"/>
      <c r="R1789" s="109"/>
      <c r="S1789" s="109"/>
      <c r="T1789" s="108"/>
      <c r="U1789" s="110"/>
      <c r="V1789" s="110"/>
      <c r="W1789" s="110"/>
      <c r="X1789" s="110"/>
    </row>
    <row r="1790" spans="1:24" ht="14.25" customHeight="1">
      <c r="A1790" s="110"/>
      <c r="B1790" s="125"/>
      <c r="C1790" s="126"/>
      <c r="D1790" s="159"/>
      <c r="E1790" s="10" t="e">
        <f>TRIM(VLOOKUP(D1790,TB!$B$9:$C$1500,2,FALSE))</f>
        <v>#N/A</v>
      </c>
      <c r="F1790" s="173"/>
      <c r="G1790" s="130"/>
      <c r="H1790" s="10"/>
      <c r="I1790" s="10">
        <f t="shared" si="127"/>
        <v>0</v>
      </c>
      <c r="J1790" s="79" t="e">
        <f t="shared" si="79"/>
        <v>#VALUE!</v>
      </c>
      <c r="K1790" s="106"/>
      <c r="L1790" s="107"/>
      <c r="M1790" s="106"/>
      <c r="N1790" s="106"/>
      <c r="O1790" s="108"/>
      <c r="P1790" s="108"/>
      <c r="Q1790" s="108"/>
      <c r="R1790" s="109"/>
      <c r="S1790" s="109"/>
      <c r="T1790" s="108"/>
      <c r="U1790" s="110"/>
      <c r="V1790" s="110"/>
      <c r="W1790" s="110"/>
      <c r="X1790" s="110"/>
    </row>
    <row r="1791" spans="1:24" ht="14.25" customHeight="1">
      <c r="A1791" s="110"/>
      <c r="B1791" s="125">
        <v>46181</v>
      </c>
      <c r="C1791" s="126" t="s">
        <v>583</v>
      </c>
      <c r="D1791" s="68" t="s">
        <v>285</v>
      </c>
      <c r="E1791" s="10" t="str">
        <f>TRIM(VLOOKUP(D1791,TB!$B$9:$C$1500,2,FALSE))</f>
        <v>Misc Cash Purchase</v>
      </c>
      <c r="F1791" s="173" t="s">
        <v>584</v>
      </c>
      <c r="G1791" s="130"/>
      <c r="H1791" s="10">
        <v>4250000</v>
      </c>
      <c r="I1791" s="10">
        <f t="shared" si="127"/>
        <v>0</v>
      </c>
      <c r="J1791" s="79" t="e">
        <f t="shared" si="79"/>
        <v>#VALUE!</v>
      </c>
      <c r="K1791" s="106"/>
      <c r="L1791" s="107"/>
      <c r="M1791" s="106"/>
      <c r="N1791" s="106"/>
      <c r="O1791" s="108"/>
      <c r="P1791" s="108"/>
      <c r="Q1791" s="108"/>
      <c r="R1791" s="109"/>
      <c r="S1791" s="109"/>
      <c r="T1791" s="108"/>
      <c r="U1791" s="110"/>
      <c r="V1791" s="110"/>
      <c r="W1791" s="110"/>
      <c r="X1791" s="110"/>
    </row>
    <row r="1792" spans="1:24" ht="14.25" customHeight="1">
      <c r="A1792" s="110"/>
      <c r="B1792" s="125">
        <v>46181</v>
      </c>
      <c r="C1792" s="126" t="s">
        <v>583</v>
      </c>
      <c r="D1792" s="68" t="s">
        <v>130</v>
      </c>
      <c r="E1792" s="10" t="str">
        <f>TRIM(VLOOKUP(D1792,TB!$B$9:$C$1500,2,FALSE))</f>
        <v>BCA TBB</v>
      </c>
      <c r="F1792" s="173" t="str">
        <f>F1791</f>
        <v>Eryka Team - Fee Host Ladies 20,22,24 May 26 + Coordination Fee 500K</v>
      </c>
      <c r="G1792" s="130"/>
      <c r="H1792" s="10"/>
      <c r="I1792" s="10">
        <f t="shared" si="127"/>
        <v>4250000</v>
      </c>
      <c r="J1792" s="79" t="e">
        <f t="shared" si="79"/>
        <v>#VALUE!</v>
      </c>
      <c r="K1792" s="106"/>
      <c r="L1792" s="107"/>
      <c r="M1792" s="106"/>
      <c r="N1792" s="106"/>
      <c r="O1792" s="108"/>
      <c r="P1792" s="108"/>
      <c r="Q1792" s="108"/>
      <c r="R1792" s="109"/>
      <c r="S1792" s="109"/>
      <c r="T1792" s="108"/>
      <c r="U1792" s="110"/>
      <c r="V1792" s="110"/>
      <c r="W1792" s="110"/>
      <c r="X1792" s="110"/>
    </row>
    <row r="1793" spans="1:24" ht="14.25" customHeight="1">
      <c r="A1793" s="110"/>
      <c r="B1793" s="125"/>
      <c r="C1793" s="126"/>
      <c r="D1793" s="159"/>
      <c r="E1793" s="10" t="e">
        <f>TRIM(VLOOKUP(D1793,TB!$B$9:$C$1500,2,FALSE))</f>
        <v>#N/A</v>
      </c>
      <c r="F1793" s="173"/>
      <c r="G1793" s="130"/>
      <c r="H1793" s="10"/>
      <c r="I1793" s="10">
        <f t="shared" si="127"/>
        <v>0</v>
      </c>
      <c r="J1793" s="79" t="e">
        <f t="shared" si="79"/>
        <v>#VALUE!</v>
      </c>
      <c r="K1793" s="106"/>
      <c r="L1793" s="107"/>
      <c r="M1793" s="106"/>
      <c r="N1793" s="106"/>
      <c r="O1793" s="108"/>
      <c r="P1793" s="108"/>
      <c r="Q1793" s="108"/>
      <c r="R1793" s="109"/>
      <c r="S1793" s="109"/>
      <c r="T1793" s="108"/>
      <c r="U1793" s="110"/>
      <c r="V1793" s="110"/>
      <c r="W1793" s="110"/>
      <c r="X1793" s="110"/>
    </row>
    <row r="1794" spans="1:24" ht="14.25" customHeight="1">
      <c r="A1794" s="110"/>
      <c r="B1794" s="125">
        <v>46181</v>
      </c>
      <c r="C1794" s="126" t="s">
        <v>585</v>
      </c>
      <c r="D1794" s="68" t="s">
        <v>285</v>
      </c>
      <c r="E1794" s="10" t="str">
        <f>TRIM(VLOOKUP(D1794,TB!$B$9:$C$1500,2,FALSE))</f>
        <v>Misc Cash Purchase</v>
      </c>
      <c r="F1794" s="173" t="s">
        <v>586</v>
      </c>
      <c r="G1794" s="130"/>
      <c r="H1794" s="10">
        <v>4000000</v>
      </c>
      <c r="I1794" s="10">
        <f t="shared" si="127"/>
        <v>0</v>
      </c>
      <c r="J1794" s="79" t="e">
        <f t="shared" si="79"/>
        <v>#VALUE!</v>
      </c>
      <c r="K1794" s="106"/>
      <c r="L1794" s="107"/>
      <c r="M1794" s="106"/>
      <c r="N1794" s="106"/>
      <c r="O1794" s="108"/>
      <c r="P1794" s="108"/>
      <c r="Q1794" s="108"/>
      <c r="R1794" s="109"/>
      <c r="S1794" s="109"/>
      <c r="T1794" s="108"/>
      <c r="U1794" s="110"/>
      <c r="V1794" s="110"/>
      <c r="W1794" s="110"/>
      <c r="X1794" s="110"/>
    </row>
    <row r="1795" spans="1:24" ht="14.25" customHeight="1">
      <c r="A1795" s="110"/>
      <c r="B1795" s="125">
        <v>46181</v>
      </c>
      <c r="C1795" s="126" t="s">
        <v>585</v>
      </c>
      <c r="D1795" s="68" t="s">
        <v>130</v>
      </c>
      <c r="E1795" s="10" t="str">
        <f>TRIM(VLOOKUP(D1795,TB!$B$9:$C$1500,2,FALSE))</f>
        <v>BCA TBB</v>
      </c>
      <c r="F1795" s="173" t="str">
        <f>F1794</f>
        <v>Cherry Team - Fee Host Ladies 19,20,21 May 26 + Fee Coordination 250K</v>
      </c>
      <c r="G1795" s="130"/>
      <c r="H1795" s="10"/>
      <c r="I1795" s="10">
        <f t="shared" si="127"/>
        <v>4000000</v>
      </c>
      <c r="J1795" s="79" t="e">
        <f t="shared" si="79"/>
        <v>#VALUE!</v>
      </c>
      <c r="K1795" s="106"/>
      <c r="L1795" s="107"/>
      <c r="M1795" s="106"/>
      <c r="N1795" s="106"/>
      <c r="O1795" s="108"/>
      <c r="P1795" s="108"/>
      <c r="Q1795" s="108"/>
      <c r="R1795" s="109"/>
      <c r="S1795" s="109"/>
      <c r="T1795" s="108"/>
      <c r="U1795" s="110"/>
      <c r="V1795" s="110"/>
      <c r="W1795" s="110"/>
      <c r="X1795" s="110"/>
    </row>
    <row r="1796" spans="1:24" ht="14.25" customHeight="1">
      <c r="A1796" s="110"/>
      <c r="B1796" s="125"/>
      <c r="C1796" s="126"/>
      <c r="D1796" s="159"/>
      <c r="E1796" s="10" t="e">
        <f>TRIM(VLOOKUP(D1796,TB!$B$9:$C$1500,2,FALSE))</f>
        <v>#N/A</v>
      </c>
      <c r="F1796" s="173"/>
      <c r="G1796" s="130"/>
      <c r="H1796" s="10"/>
      <c r="I1796" s="10">
        <f t="shared" si="127"/>
        <v>0</v>
      </c>
      <c r="J1796" s="79" t="e">
        <f t="shared" si="79"/>
        <v>#VALUE!</v>
      </c>
      <c r="K1796" s="106"/>
      <c r="L1796" s="107"/>
      <c r="M1796" s="106"/>
      <c r="N1796" s="106"/>
      <c r="O1796" s="108"/>
      <c r="P1796" s="108"/>
      <c r="Q1796" s="108"/>
      <c r="R1796" s="109"/>
      <c r="S1796" s="109"/>
      <c r="T1796" s="108"/>
      <c r="U1796" s="110"/>
      <c r="V1796" s="110"/>
      <c r="W1796" s="110"/>
      <c r="X1796" s="110"/>
    </row>
    <row r="1797" spans="1:24" ht="14.25" customHeight="1">
      <c r="A1797" s="110"/>
      <c r="B1797" s="125">
        <v>46181</v>
      </c>
      <c r="C1797" s="126" t="s">
        <v>587</v>
      </c>
      <c r="D1797" s="15" t="s">
        <v>588</v>
      </c>
      <c r="E1797" s="10" t="str">
        <f>TRIM(VLOOKUP(D1797,TB!$B$9:$C$1500,2,FALSE))</f>
        <v>BPJS Kesehatan</v>
      </c>
      <c r="F1797" s="142" t="s">
        <v>589</v>
      </c>
      <c r="G1797" s="130"/>
      <c r="H1797" s="10">
        <f>18412050-H1798</f>
        <v>14758065</v>
      </c>
      <c r="I1797" s="10"/>
      <c r="J1797" s="79" t="e">
        <f t="shared" si="79"/>
        <v>#VALUE!</v>
      </c>
      <c r="K1797" s="106"/>
      <c r="L1797" s="107"/>
      <c r="M1797" s="106"/>
      <c r="N1797" s="106"/>
      <c r="O1797" s="108"/>
      <c r="P1797" s="108"/>
      <c r="Q1797" s="108"/>
      <c r="R1797" s="109"/>
      <c r="S1797" s="109"/>
      <c r="T1797" s="108"/>
      <c r="U1797" s="110"/>
      <c r="V1797" s="110"/>
      <c r="W1797" s="110"/>
      <c r="X1797" s="110"/>
    </row>
    <row r="1798" spans="1:24" ht="14.25" customHeight="1">
      <c r="A1798" s="110"/>
      <c r="B1798" s="125">
        <v>46181</v>
      </c>
      <c r="C1798" s="126" t="s">
        <v>587</v>
      </c>
      <c r="D1798" s="68" t="s">
        <v>590</v>
      </c>
      <c r="E1798" s="10" t="str">
        <f>TRIM(VLOOKUP(D1798,TB!$B$9:$C$1500,2,FALSE))</f>
        <v>BPJS Kesehatan Payable</v>
      </c>
      <c r="F1798" s="142" t="s">
        <v>591</v>
      </c>
      <c r="G1798" s="130"/>
      <c r="H1798" s="10">
        <v>3653985</v>
      </c>
      <c r="I1798" s="10"/>
      <c r="J1798" s="79" t="e">
        <f t="shared" si="79"/>
        <v>#VALUE!</v>
      </c>
      <c r="K1798" s="106"/>
      <c r="L1798" s="107"/>
      <c r="M1798" s="106"/>
      <c r="N1798" s="106"/>
      <c r="O1798" s="108"/>
      <c r="P1798" s="108"/>
      <c r="Q1798" s="108"/>
      <c r="R1798" s="109"/>
      <c r="S1798" s="109"/>
      <c r="T1798" s="108"/>
      <c r="U1798" s="110"/>
      <c r="V1798" s="110"/>
      <c r="W1798" s="110"/>
      <c r="X1798" s="110"/>
    </row>
    <row r="1799" spans="1:24" ht="14.25" customHeight="1">
      <c r="A1799" s="110"/>
      <c r="B1799" s="125">
        <v>46181</v>
      </c>
      <c r="C1799" s="126" t="s">
        <v>587</v>
      </c>
      <c r="D1799" s="68" t="s">
        <v>175</v>
      </c>
      <c r="E1799" s="10" t="str">
        <f>TRIM(VLOOKUP(D1799,TB!$B$9:$C$1500,2,FALSE))</f>
        <v>Intercompany Receivable – Treasury StarPOINTS</v>
      </c>
      <c r="F1799" s="142" t="s">
        <v>592</v>
      </c>
      <c r="G1799" s="130"/>
      <c r="H1799" s="10">
        <v>5149350</v>
      </c>
      <c r="I1799" s="10"/>
      <c r="J1799" s="79" t="e">
        <f t="shared" si="79"/>
        <v>#VALUE!</v>
      </c>
      <c r="K1799" s="106"/>
      <c r="L1799" s="107"/>
      <c r="M1799" s="106"/>
      <c r="N1799" s="106"/>
      <c r="O1799" s="108"/>
      <c r="P1799" s="108"/>
      <c r="Q1799" s="108"/>
      <c r="R1799" s="109"/>
      <c r="S1799" s="109"/>
      <c r="T1799" s="108"/>
      <c r="U1799" s="110"/>
      <c r="V1799" s="110"/>
      <c r="W1799" s="110"/>
      <c r="X1799" s="110"/>
    </row>
    <row r="1800" spans="1:24" ht="14.25" customHeight="1">
      <c r="A1800" s="110"/>
      <c r="B1800" s="125">
        <v>46181</v>
      </c>
      <c r="C1800" s="126" t="s">
        <v>587</v>
      </c>
      <c r="D1800" s="68" t="s">
        <v>175</v>
      </c>
      <c r="E1800" s="10" t="str">
        <f>TRIM(VLOOKUP(D1800,TB!$B$9:$C$1500,2,FALSE))</f>
        <v>Intercompany Receivable – Treasury StarPOINTS</v>
      </c>
      <c r="F1800" s="142" t="s">
        <v>593</v>
      </c>
      <c r="G1800" s="130"/>
      <c r="H1800" s="10">
        <v>189550</v>
      </c>
      <c r="I1800" s="10"/>
      <c r="J1800" s="79" t="e">
        <f t="shared" si="79"/>
        <v>#VALUE!</v>
      </c>
      <c r="K1800" s="106"/>
      <c r="L1800" s="107"/>
      <c r="M1800" s="106"/>
      <c r="N1800" s="106"/>
      <c r="O1800" s="108"/>
      <c r="P1800" s="108"/>
      <c r="Q1800" s="108"/>
      <c r="R1800" s="109"/>
      <c r="S1800" s="109"/>
      <c r="T1800" s="108"/>
      <c r="U1800" s="110"/>
      <c r="V1800" s="110"/>
      <c r="W1800" s="110"/>
      <c r="X1800" s="110"/>
    </row>
    <row r="1801" spans="1:24" ht="14.25" customHeight="1">
      <c r="A1801" s="110"/>
      <c r="B1801" s="125">
        <v>46181</v>
      </c>
      <c r="C1801" s="126" t="s">
        <v>587</v>
      </c>
      <c r="D1801" s="15" t="s">
        <v>124</v>
      </c>
      <c r="E1801" s="10" t="str">
        <f>TRIM(VLOOKUP(D1801,TB!$B$9:$C$1500,2,FALSE))</f>
        <v>Bank charges</v>
      </c>
      <c r="F1801" s="142" t="s">
        <v>594</v>
      </c>
      <c r="G1801" s="130"/>
      <c r="H1801" s="10">
        <v>2500</v>
      </c>
      <c r="I1801" s="10"/>
      <c r="J1801" s="79" t="e">
        <f t="shared" si="79"/>
        <v>#VALUE!</v>
      </c>
      <c r="K1801" s="106"/>
      <c r="L1801" s="107"/>
      <c r="M1801" s="106"/>
      <c r="N1801" s="106"/>
      <c r="O1801" s="108"/>
      <c r="P1801" s="108"/>
      <c r="Q1801" s="108"/>
      <c r="R1801" s="109"/>
      <c r="S1801" s="109"/>
      <c r="T1801" s="108"/>
      <c r="U1801" s="110"/>
      <c r="V1801" s="110"/>
      <c r="W1801" s="110"/>
      <c r="X1801" s="110"/>
    </row>
    <row r="1802" spans="1:24" ht="14.25" customHeight="1">
      <c r="A1802" s="110"/>
      <c r="B1802" s="125">
        <v>46181</v>
      </c>
      <c r="C1802" s="126" t="s">
        <v>587</v>
      </c>
      <c r="D1802" s="68" t="s">
        <v>130</v>
      </c>
      <c r="E1802" s="10" t="str">
        <f>TRIM(VLOOKUP(D1802,TB!$B$9:$C$1500,2,FALSE))</f>
        <v>BCA TBB</v>
      </c>
      <c r="F1802" s="142" t="s">
        <v>595</v>
      </c>
      <c r="G1802" s="130"/>
      <c r="H1802" s="10"/>
      <c r="I1802" s="10">
        <v>23753450</v>
      </c>
      <c r="J1802" s="79" t="e">
        <f t="shared" si="79"/>
        <v>#VALUE!</v>
      </c>
      <c r="K1802" s="106"/>
      <c r="L1802" s="107"/>
      <c r="M1802" s="106"/>
      <c r="N1802" s="106"/>
      <c r="O1802" s="108"/>
      <c r="P1802" s="108"/>
      <c r="Q1802" s="108"/>
      <c r="R1802" s="109"/>
      <c r="S1802" s="109"/>
      <c r="T1802" s="108"/>
      <c r="U1802" s="110"/>
      <c r="V1802" s="110"/>
      <c r="W1802" s="110"/>
      <c r="X1802" s="110"/>
    </row>
    <row r="1803" spans="1:24" ht="14.25" customHeight="1">
      <c r="A1803" s="110"/>
      <c r="B1803" s="125"/>
      <c r="C1803" s="126"/>
      <c r="D1803" s="174"/>
      <c r="E1803" s="10" t="e">
        <f>TRIM(VLOOKUP(D1803,TB!$B$9:$C$1500,2,FALSE))</f>
        <v>#N/A</v>
      </c>
      <c r="F1803" s="173"/>
      <c r="G1803" s="130"/>
      <c r="H1803" s="10"/>
      <c r="I1803" s="10"/>
      <c r="J1803" s="79" t="e">
        <f t="shared" si="79"/>
        <v>#VALUE!</v>
      </c>
      <c r="K1803" s="106"/>
      <c r="L1803" s="107"/>
      <c r="M1803" s="106"/>
      <c r="N1803" s="106"/>
      <c r="O1803" s="108"/>
      <c r="P1803" s="108"/>
      <c r="Q1803" s="108"/>
      <c r="R1803" s="109"/>
      <c r="S1803" s="109"/>
      <c r="T1803" s="108"/>
      <c r="U1803" s="110"/>
      <c r="V1803" s="110"/>
      <c r="W1803" s="110"/>
      <c r="X1803" s="110"/>
    </row>
    <row r="1804" spans="1:24" ht="14.25" customHeight="1">
      <c r="A1804" s="110"/>
      <c r="B1804" s="125">
        <v>46181</v>
      </c>
      <c r="C1804" s="126" t="s">
        <v>596</v>
      </c>
      <c r="D1804" s="15" t="s">
        <v>188</v>
      </c>
      <c r="E1804" s="10" t="str">
        <f>TRIM(VLOOKUP(D1804,TB!$B$9:$C$1500,2,FALSE))</f>
        <v>Advertising Costs</v>
      </c>
      <c r="F1804" s="173" t="s">
        <v>597</v>
      </c>
      <c r="G1804" s="130"/>
      <c r="H1804" s="10">
        <v>1400000</v>
      </c>
      <c r="I1804" s="10">
        <f>SUM(H1796)</f>
        <v>0</v>
      </c>
      <c r="J1804" s="79" t="e">
        <f t="shared" si="79"/>
        <v>#VALUE!</v>
      </c>
      <c r="K1804" s="106"/>
      <c r="L1804" s="107"/>
      <c r="M1804" s="106"/>
      <c r="N1804" s="106"/>
      <c r="O1804" s="108"/>
      <c r="P1804" s="108"/>
      <c r="Q1804" s="108"/>
      <c r="R1804" s="109"/>
      <c r="S1804" s="109"/>
      <c r="T1804" s="108"/>
      <c r="U1804" s="110"/>
      <c r="V1804" s="110"/>
      <c r="W1804" s="110"/>
      <c r="X1804" s="110"/>
    </row>
    <row r="1805" spans="1:24" ht="14.25" customHeight="1">
      <c r="A1805" s="110"/>
      <c r="B1805" s="125">
        <v>46181</v>
      </c>
      <c r="C1805" s="126" t="s">
        <v>596</v>
      </c>
      <c r="D1805" s="15" t="s">
        <v>124</v>
      </c>
      <c r="E1805" s="10" t="str">
        <f>TRIM(VLOOKUP(D1805,TB!$B$9:$C$1500,2,FALSE))</f>
        <v>Bank charges</v>
      </c>
      <c r="F1805" s="173" t="s">
        <v>597</v>
      </c>
      <c r="G1805" s="130"/>
      <c r="H1805" s="10">
        <v>1000</v>
      </c>
      <c r="I1805" s="10"/>
      <c r="J1805" s="79" t="e">
        <f t="shared" si="79"/>
        <v>#VALUE!</v>
      </c>
      <c r="K1805" s="106"/>
      <c r="L1805" s="107"/>
      <c r="M1805" s="106"/>
      <c r="N1805" s="106"/>
      <c r="O1805" s="108"/>
      <c r="P1805" s="108"/>
      <c r="Q1805" s="108"/>
      <c r="R1805" s="109"/>
      <c r="S1805" s="109"/>
      <c r="T1805" s="108"/>
      <c r="U1805" s="110"/>
      <c r="V1805" s="110"/>
      <c r="W1805" s="110"/>
      <c r="X1805" s="110"/>
    </row>
    <row r="1806" spans="1:24" ht="14.25" customHeight="1">
      <c r="A1806" s="110"/>
      <c r="B1806" s="125">
        <v>46181</v>
      </c>
      <c r="C1806" s="126" t="s">
        <v>596</v>
      </c>
      <c r="D1806" s="68" t="s">
        <v>130</v>
      </c>
      <c r="E1806" s="10" t="str">
        <f>TRIM(VLOOKUP(D1806,TB!$B$9:$C$1500,2,FALSE))</f>
        <v>BCA TBB</v>
      </c>
      <c r="F1806" s="173" t="str">
        <f>F1804</f>
        <v>Top ads sos med 08 June 2026</v>
      </c>
      <c r="G1806" s="130"/>
      <c r="H1806" s="10"/>
      <c r="I1806" s="10">
        <f>SUM(H1804:H1805)</f>
        <v>1401000</v>
      </c>
      <c r="J1806" s="79" t="e">
        <f t="shared" si="79"/>
        <v>#VALUE!</v>
      </c>
      <c r="K1806" s="106"/>
      <c r="L1806" s="107"/>
      <c r="M1806" s="106"/>
      <c r="N1806" s="106"/>
      <c r="O1806" s="108"/>
      <c r="P1806" s="108"/>
      <c r="Q1806" s="108"/>
      <c r="R1806" s="109"/>
      <c r="S1806" s="109"/>
      <c r="T1806" s="108"/>
      <c r="U1806" s="110"/>
      <c r="V1806" s="110"/>
      <c r="W1806" s="110"/>
      <c r="X1806" s="110"/>
    </row>
    <row r="1807" spans="1:24" ht="14.25" customHeight="1">
      <c r="A1807" s="110"/>
      <c r="B1807" s="125"/>
      <c r="C1807" s="126"/>
      <c r="D1807" s="159"/>
      <c r="E1807" s="10" t="e">
        <f>TRIM(VLOOKUP(D1807,TB!$B$9:$C$1500,2,FALSE))</f>
        <v>#N/A</v>
      </c>
      <c r="F1807" s="173"/>
      <c r="G1807" s="130"/>
      <c r="H1807" s="10"/>
      <c r="I1807" s="10">
        <f t="shared" ref="I1807:I1820" si="128">SUM(H1806)</f>
        <v>0</v>
      </c>
      <c r="J1807" s="79" t="e">
        <f t="shared" si="79"/>
        <v>#VALUE!</v>
      </c>
      <c r="K1807" s="106"/>
      <c r="L1807" s="107"/>
      <c r="M1807" s="106"/>
      <c r="N1807" s="106"/>
      <c r="O1807" s="108"/>
      <c r="P1807" s="108"/>
      <c r="Q1807" s="108"/>
      <c r="R1807" s="109"/>
      <c r="S1807" s="109"/>
      <c r="T1807" s="108"/>
      <c r="U1807" s="110"/>
      <c r="V1807" s="110"/>
      <c r="W1807" s="110"/>
      <c r="X1807" s="110"/>
    </row>
    <row r="1808" spans="1:24" ht="14.25" customHeight="1">
      <c r="A1808" s="110"/>
      <c r="B1808" s="125">
        <v>46181</v>
      </c>
      <c r="C1808" s="126" t="s">
        <v>598</v>
      </c>
      <c r="D1808" s="68" t="s">
        <v>285</v>
      </c>
      <c r="E1808" s="10" t="str">
        <f>TRIM(VLOOKUP(D1808,TB!$B$9:$C$1500,2,FALSE))</f>
        <v>Misc Cash Purchase</v>
      </c>
      <c r="F1808" s="173" t="s">
        <v>599</v>
      </c>
      <c r="G1808" s="130"/>
      <c r="H1808" s="10">
        <v>1300000</v>
      </c>
      <c r="I1808" s="10">
        <f t="shared" si="128"/>
        <v>0</v>
      </c>
      <c r="J1808" s="79" t="e">
        <f t="shared" si="79"/>
        <v>#VALUE!</v>
      </c>
      <c r="K1808" s="106"/>
      <c r="L1808" s="107"/>
      <c r="M1808" s="106"/>
      <c r="N1808" s="106"/>
      <c r="O1808" s="108"/>
      <c r="P1808" s="108"/>
      <c r="Q1808" s="108"/>
      <c r="R1808" s="109"/>
      <c r="S1808" s="109"/>
      <c r="T1808" s="108"/>
      <c r="U1808" s="110"/>
      <c r="V1808" s="110"/>
      <c r="W1808" s="110"/>
      <c r="X1808" s="110"/>
    </row>
    <row r="1809" spans="1:24" ht="14.25" customHeight="1">
      <c r="A1809" s="110"/>
      <c r="B1809" s="125">
        <v>46181</v>
      </c>
      <c r="C1809" s="126" t="s">
        <v>598</v>
      </c>
      <c r="D1809" s="68" t="s">
        <v>130</v>
      </c>
      <c r="E1809" s="10" t="str">
        <f>TRIM(VLOOKUP(D1809,TB!$B$9:$C$1500,2,FALSE))</f>
        <v>BCA TBB</v>
      </c>
      <c r="F1809" s="173" t="str">
        <f>F1808</f>
        <v>Alam Selau Hijau (Greenok) - Inv. 1227 - 07 Apr 26</v>
      </c>
      <c r="G1809" s="130"/>
      <c r="H1809" s="10"/>
      <c r="I1809" s="10">
        <f t="shared" si="128"/>
        <v>1300000</v>
      </c>
      <c r="J1809" s="79" t="e">
        <f t="shared" si="79"/>
        <v>#VALUE!</v>
      </c>
      <c r="K1809" s="106"/>
      <c r="L1809" s="107"/>
      <c r="M1809" s="106"/>
      <c r="N1809" s="106"/>
      <c r="O1809" s="108"/>
      <c r="P1809" s="108"/>
      <c r="Q1809" s="108"/>
      <c r="R1809" s="109"/>
      <c r="S1809" s="109"/>
      <c r="T1809" s="108"/>
      <c r="U1809" s="110"/>
      <c r="V1809" s="110"/>
      <c r="W1809" s="110"/>
      <c r="X1809" s="110"/>
    </row>
    <row r="1810" spans="1:24" ht="14.25" customHeight="1">
      <c r="A1810" s="110"/>
      <c r="B1810" s="125"/>
      <c r="C1810" s="126"/>
      <c r="D1810" s="159"/>
      <c r="E1810" s="10" t="e">
        <f>TRIM(VLOOKUP(D1810,TB!$B$9:$C$1500,2,FALSE))</f>
        <v>#N/A</v>
      </c>
      <c r="F1810" s="173"/>
      <c r="G1810" s="130"/>
      <c r="H1810" s="10"/>
      <c r="I1810" s="10">
        <f t="shared" si="128"/>
        <v>0</v>
      </c>
      <c r="J1810" s="79" t="e">
        <f t="shared" si="79"/>
        <v>#VALUE!</v>
      </c>
      <c r="K1810" s="106"/>
      <c r="L1810" s="107"/>
      <c r="M1810" s="106"/>
      <c r="N1810" s="106"/>
      <c r="O1810" s="108"/>
      <c r="P1810" s="108"/>
      <c r="Q1810" s="108"/>
      <c r="R1810" s="109"/>
      <c r="S1810" s="109"/>
      <c r="T1810" s="108"/>
      <c r="U1810" s="110"/>
      <c r="V1810" s="110"/>
      <c r="W1810" s="110"/>
      <c r="X1810" s="110"/>
    </row>
    <row r="1811" spans="1:24" ht="14.25" customHeight="1">
      <c r="A1811" s="110"/>
      <c r="B1811" s="125">
        <v>46181</v>
      </c>
      <c r="C1811" s="126" t="s">
        <v>600</v>
      </c>
      <c r="D1811" s="68" t="s">
        <v>285</v>
      </c>
      <c r="E1811" s="10" t="str">
        <f>TRIM(VLOOKUP(D1811,TB!$B$9:$C$1500,2,FALSE))</f>
        <v>Misc Cash Purchase</v>
      </c>
      <c r="F1811" s="173" t="s">
        <v>601</v>
      </c>
      <c r="G1811" s="130"/>
      <c r="H1811" s="10">
        <v>398400</v>
      </c>
      <c r="I1811" s="10">
        <f t="shared" si="128"/>
        <v>0</v>
      </c>
      <c r="J1811" s="79" t="e">
        <f t="shared" ref="J1811:J2065" si="129">J1810+H1811-I1811</f>
        <v>#VALUE!</v>
      </c>
      <c r="K1811" s="106"/>
      <c r="L1811" s="107"/>
      <c r="M1811" s="106"/>
      <c r="N1811" s="106"/>
      <c r="O1811" s="108"/>
      <c r="P1811" s="108"/>
      <c r="Q1811" s="108"/>
      <c r="R1811" s="109"/>
      <c r="S1811" s="109"/>
      <c r="T1811" s="108"/>
      <c r="U1811" s="110"/>
      <c r="V1811" s="110"/>
      <c r="W1811" s="110"/>
      <c r="X1811" s="110"/>
    </row>
    <row r="1812" spans="1:24" ht="14.25" customHeight="1">
      <c r="A1812" s="110"/>
      <c r="B1812" s="125">
        <v>46181</v>
      </c>
      <c r="C1812" s="126" t="s">
        <v>600</v>
      </c>
      <c r="D1812" s="68" t="s">
        <v>130</v>
      </c>
      <c r="E1812" s="10" t="str">
        <f>TRIM(VLOOKUP(D1812,TB!$B$9:$C$1500,2,FALSE))</f>
        <v>BCA TBB</v>
      </c>
      <c r="F1812" s="173" t="str">
        <f>F1811</f>
        <v>Cv. Gudang Uang - Inv. 0526 - 05 May 26</v>
      </c>
      <c r="G1812" s="130"/>
      <c r="H1812" s="10"/>
      <c r="I1812" s="10">
        <f t="shared" si="128"/>
        <v>398400</v>
      </c>
      <c r="J1812" s="79" t="e">
        <f t="shared" si="129"/>
        <v>#VALUE!</v>
      </c>
      <c r="K1812" s="106"/>
      <c r="L1812" s="107"/>
      <c r="M1812" s="106"/>
      <c r="N1812" s="106"/>
      <c r="O1812" s="108"/>
      <c r="P1812" s="108"/>
      <c r="Q1812" s="108"/>
      <c r="R1812" s="109"/>
      <c r="S1812" s="109"/>
      <c r="T1812" s="108"/>
      <c r="U1812" s="110"/>
      <c r="V1812" s="110"/>
      <c r="W1812" s="110"/>
      <c r="X1812" s="110"/>
    </row>
    <row r="1813" spans="1:24" ht="14.25" customHeight="1">
      <c r="A1813" s="110"/>
      <c r="B1813" s="125"/>
      <c r="C1813" s="126"/>
      <c r="D1813" s="159"/>
      <c r="E1813" s="10" t="e">
        <f>TRIM(VLOOKUP(D1813,TB!$B$9:$C$1500,2,FALSE))</f>
        <v>#N/A</v>
      </c>
      <c r="F1813" s="173"/>
      <c r="G1813" s="130"/>
      <c r="H1813" s="10"/>
      <c r="I1813" s="10">
        <f t="shared" si="128"/>
        <v>0</v>
      </c>
      <c r="J1813" s="79" t="e">
        <f t="shared" si="129"/>
        <v>#VALUE!</v>
      </c>
      <c r="K1813" s="106"/>
      <c r="L1813" s="107"/>
      <c r="M1813" s="106"/>
      <c r="N1813" s="106"/>
      <c r="O1813" s="108"/>
      <c r="P1813" s="108"/>
      <c r="Q1813" s="108"/>
      <c r="R1813" s="109"/>
      <c r="S1813" s="109"/>
      <c r="T1813" s="108"/>
      <c r="U1813" s="110"/>
      <c r="V1813" s="110"/>
      <c r="W1813" s="110"/>
      <c r="X1813" s="110"/>
    </row>
    <row r="1814" spans="1:24" ht="14.25" customHeight="1">
      <c r="A1814" s="110"/>
      <c r="B1814" s="125">
        <v>46181</v>
      </c>
      <c r="C1814" s="126" t="s">
        <v>602</v>
      </c>
      <c r="D1814" s="68" t="s">
        <v>285</v>
      </c>
      <c r="E1814" s="10" t="str">
        <f>TRIM(VLOOKUP(D1814,TB!$B$9:$C$1500,2,FALSE))</f>
        <v>Misc Cash Purchase</v>
      </c>
      <c r="F1814" s="173" t="s">
        <v>603</v>
      </c>
      <c r="G1814" s="130"/>
      <c r="H1814" s="10">
        <v>860000</v>
      </c>
      <c r="I1814" s="10">
        <f t="shared" si="128"/>
        <v>0</v>
      </c>
      <c r="J1814" s="79" t="e">
        <f t="shared" si="129"/>
        <v>#VALUE!</v>
      </c>
      <c r="K1814" s="106"/>
      <c r="L1814" s="107"/>
      <c r="M1814" s="106"/>
      <c r="N1814" s="106"/>
      <c r="O1814" s="108"/>
      <c r="P1814" s="108"/>
      <c r="Q1814" s="108"/>
      <c r="R1814" s="109"/>
      <c r="S1814" s="109"/>
      <c r="T1814" s="108"/>
      <c r="U1814" s="110"/>
      <c r="V1814" s="110"/>
      <c r="W1814" s="110"/>
      <c r="X1814" s="110"/>
    </row>
    <row r="1815" spans="1:24" ht="14.25" customHeight="1">
      <c r="A1815" s="110"/>
      <c r="B1815" s="125">
        <v>46181</v>
      </c>
      <c r="C1815" s="126" t="s">
        <v>602</v>
      </c>
      <c r="D1815" s="68" t="s">
        <v>130</v>
      </c>
      <c r="E1815" s="10" t="str">
        <f>TRIM(VLOOKUP(D1815,TB!$B$9:$C$1500,2,FALSE))</f>
        <v>BCA TBB</v>
      </c>
      <c r="F1815" s="173" t="str">
        <f>F1814</f>
        <v>Bali Alam Rayya - Inv. 2048 - 05 May 26</v>
      </c>
      <c r="G1815" s="130"/>
      <c r="H1815" s="10"/>
      <c r="I1815" s="10">
        <f t="shared" si="128"/>
        <v>860000</v>
      </c>
      <c r="J1815" s="79" t="e">
        <f t="shared" si="129"/>
        <v>#VALUE!</v>
      </c>
      <c r="K1815" s="106"/>
      <c r="L1815" s="107"/>
      <c r="M1815" s="106"/>
      <c r="N1815" s="106"/>
      <c r="O1815" s="108"/>
      <c r="P1815" s="108"/>
      <c r="Q1815" s="108"/>
      <c r="R1815" s="109"/>
      <c r="S1815" s="109"/>
      <c r="T1815" s="108"/>
      <c r="U1815" s="110"/>
      <c r="V1815" s="110"/>
      <c r="W1815" s="110"/>
      <c r="X1815" s="110"/>
    </row>
    <row r="1816" spans="1:24" ht="14.25" customHeight="1">
      <c r="A1816" s="110"/>
      <c r="B1816" s="125"/>
      <c r="C1816" s="126"/>
      <c r="D1816" s="159"/>
      <c r="E1816" s="10" t="e">
        <f>TRIM(VLOOKUP(D1816,TB!$B$9:$C$1500,2,FALSE))</f>
        <v>#N/A</v>
      </c>
      <c r="F1816" s="173"/>
      <c r="G1816" s="130"/>
      <c r="H1816" s="10"/>
      <c r="I1816" s="10">
        <f t="shared" si="128"/>
        <v>0</v>
      </c>
      <c r="J1816" s="79" t="e">
        <f t="shared" si="129"/>
        <v>#VALUE!</v>
      </c>
      <c r="K1816" s="106"/>
      <c r="L1816" s="107"/>
      <c r="M1816" s="106"/>
      <c r="N1816" s="106"/>
      <c r="O1816" s="108"/>
      <c r="P1816" s="108"/>
      <c r="Q1816" s="108"/>
      <c r="R1816" s="109"/>
      <c r="S1816" s="109"/>
      <c r="T1816" s="108"/>
      <c r="U1816" s="110"/>
      <c r="V1816" s="110"/>
      <c r="W1816" s="110"/>
      <c r="X1816" s="110"/>
    </row>
    <row r="1817" spans="1:24" ht="14.25" customHeight="1">
      <c r="A1817" s="110"/>
      <c r="B1817" s="125">
        <v>46181</v>
      </c>
      <c r="C1817" s="126" t="s">
        <v>604</v>
      </c>
      <c r="D1817" s="68" t="s">
        <v>285</v>
      </c>
      <c r="E1817" s="10" t="str">
        <f>TRIM(VLOOKUP(D1817,TB!$B$9:$C$1500,2,FALSE))</f>
        <v>Misc Cash Purchase</v>
      </c>
      <c r="F1817" s="173" t="s">
        <v>605</v>
      </c>
      <c r="G1817" s="130"/>
      <c r="H1817" s="10">
        <v>3024000</v>
      </c>
      <c r="I1817" s="10">
        <f t="shared" si="128"/>
        <v>0</v>
      </c>
      <c r="J1817" s="79" t="e">
        <f t="shared" si="129"/>
        <v>#VALUE!</v>
      </c>
      <c r="K1817" s="106"/>
      <c r="L1817" s="107"/>
      <c r="M1817" s="106"/>
      <c r="N1817" s="106"/>
      <c r="O1817" s="108"/>
      <c r="P1817" s="108"/>
      <c r="Q1817" s="108"/>
      <c r="R1817" s="109"/>
      <c r="S1817" s="109"/>
      <c r="T1817" s="108"/>
      <c r="U1817" s="110"/>
      <c r="V1817" s="110"/>
      <c r="W1817" s="110"/>
      <c r="X1817" s="110"/>
    </row>
    <row r="1818" spans="1:24" ht="14.25" customHeight="1">
      <c r="A1818" s="110"/>
      <c r="B1818" s="125">
        <v>46181</v>
      </c>
      <c r="C1818" s="126" t="s">
        <v>604</v>
      </c>
      <c r="D1818" s="68" t="s">
        <v>130</v>
      </c>
      <c r="E1818" s="10" t="str">
        <f>TRIM(VLOOKUP(D1818,TB!$B$9:$C$1500,2,FALSE))</f>
        <v>BCA TBB</v>
      </c>
      <c r="F1818" s="173" t="str">
        <f>F1817</f>
        <v>Mahaputra - Inv.0074 - 05 May 26</v>
      </c>
      <c r="G1818" s="130"/>
      <c r="H1818" s="10"/>
      <c r="I1818" s="10">
        <f t="shared" si="128"/>
        <v>3024000</v>
      </c>
      <c r="J1818" s="79" t="e">
        <f t="shared" si="129"/>
        <v>#VALUE!</v>
      </c>
      <c r="K1818" s="106"/>
      <c r="L1818" s="107"/>
      <c r="M1818" s="106"/>
      <c r="N1818" s="106"/>
      <c r="O1818" s="108"/>
      <c r="P1818" s="108"/>
      <c r="Q1818" s="108"/>
      <c r="R1818" s="109"/>
      <c r="S1818" s="109"/>
      <c r="T1818" s="108"/>
      <c r="U1818" s="110"/>
      <c r="V1818" s="110"/>
      <c r="W1818" s="110"/>
      <c r="X1818" s="110"/>
    </row>
    <row r="1819" spans="1:24" ht="14.25" customHeight="1">
      <c r="A1819" s="110"/>
      <c r="B1819" s="125"/>
      <c r="C1819" s="126"/>
      <c r="D1819" s="159"/>
      <c r="E1819" s="10" t="e">
        <f>TRIM(VLOOKUP(D1819,TB!$B$9:$C$1500,2,FALSE))</f>
        <v>#N/A</v>
      </c>
      <c r="F1819" s="173"/>
      <c r="G1819" s="130"/>
      <c r="H1819" s="10"/>
      <c r="I1819" s="10">
        <f t="shared" si="128"/>
        <v>0</v>
      </c>
      <c r="J1819" s="79" t="e">
        <f t="shared" si="129"/>
        <v>#VALUE!</v>
      </c>
      <c r="K1819" s="106"/>
      <c r="L1819" s="107"/>
      <c r="M1819" s="106"/>
      <c r="N1819" s="106"/>
      <c r="O1819" s="108"/>
      <c r="P1819" s="108"/>
      <c r="Q1819" s="108"/>
      <c r="R1819" s="109"/>
      <c r="S1819" s="109"/>
      <c r="T1819" s="108"/>
      <c r="U1819" s="110"/>
      <c r="V1819" s="110"/>
      <c r="W1819" s="110"/>
      <c r="X1819" s="110"/>
    </row>
    <row r="1820" spans="1:24" ht="14.25" customHeight="1">
      <c r="A1820" s="110"/>
      <c r="B1820" s="125">
        <v>46181</v>
      </c>
      <c r="C1820" s="126" t="s">
        <v>606</v>
      </c>
      <c r="D1820" s="68" t="s">
        <v>285</v>
      </c>
      <c r="E1820" s="10" t="str">
        <f>TRIM(VLOOKUP(D1820,TB!$B$9:$C$1500,2,FALSE))</f>
        <v>Misc Cash Purchase</v>
      </c>
      <c r="F1820" s="173" t="s">
        <v>607</v>
      </c>
      <c r="G1820" s="130"/>
      <c r="H1820" s="10">
        <v>325000</v>
      </c>
      <c r="I1820" s="10">
        <f t="shared" si="128"/>
        <v>0</v>
      </c>
      <c r="J1820" s="79" t="e">
        <f t="shared" si="129"/>
        <v>#VALUE!</v>
      </c>
      <c r="K1820" s="106"/>
      <c r="L1820" s="107"/>
      <c r="M1820" s="106"/>
      <c r="N1820" s="106"/>
      <c r="O1820" s="108"/>
      <c r="P1820" s="108"/>
      <c r="Q1820" s="108"/>
      <c r="R1820" s="109"/>
      <c r="S1820" s="109"/>
      <c r="T1820" s="108"/>
      <c r="U1820" s="110"/>
      <c r="V1820" s="110"/>
      <c r="W1820" s="110"/>
      <c r="X1820" s="110"/>
    </row>
    <row r="1821" spans="1:24" ht="14.25" customHeight="1">
      <c r="A1821" s="110"/>
      <c r="B1821" s="125">
        <v>46181</v>
      </c>
      <c r="C1821" s="126" t="s">
        <v>606</v>
      </c>
      <c r="D1821" s="15" t="s">
        <v>124</v>
      </c>
      <c r="E1821" s="10" t="str">
        <f>TRIM(VLOOKUP(D1821,TB!$B$9:$C$1500,2,FALSE))</f>
        <v>Bank charges</v>
      </c>
      <c r="F1821" s="173" t="s">
        <v>607</v>
      </c>
      <c r="G1821" s="130"/>
      <c r="H1821" s="10">
        <v>2500</v>
      </c>
      <c r="I1821" s="10"/>
      <c r="J1821" s="79" t="e">
        <f t="shared" si="129"/>
        <v>#VALUE!</v>
      </c>
      <c r="K1821" s="106"/>
      <c r="L1821" s="107"/>
      <c r="M1821" s="106"/>
      <c r="N1821" s="106"/>
      <c r="O1821" s="108"/>
      <c r="P1821" s="108"/>
      <c r="Q1821" s="108"/>
      <c r="R1821" s="109"/>
      <c r="S1821" s="109"/>
      <c r="T1821" s="108"/>
      <c r="U1821" s="110"/>
      <c r="V1821" s="110"/>
      <c r="W1821" s="110"/>
      <c r="X1821" s="110"/>
    </row>
    <row r="1822" spans="1:24" ht="14.25" customHeight="1">
      <c r="A1822" s="110"/>
      <c r="B1822" s="125">
        <v>46181</v>
      </c>
      <c r="C1822" s="126" t="s">
        <v>606</v>
      </c>
      <c r="D1822" s="68" t="s">
        <v>130</v>
      </c>
      <c r="E1822" s="10" t="str">
        <f>TRIM(VLOOKUP(D1822,TB!$B$9:$C$1500,2,FALSE))</f>
        <v>BCA TBB</v>
      </c>
      <c r="F1822" s="173" t="str">
        <f>F1820</f>
        <v>Bali Kalpawreksa - Inv. 8766 - 05 May 26</v>
      </c>
      <c r="G1822" s="130"/>
      <c r="H1822" s="10"/>
      <c r="I1822" s="10">
        <f>SUM(H1820:H1821)</f>
        <v>327500</v>
      </c>
      <c r="J1822" s="79" t="e">
        <f t="shared" si="129"/>
        <v>#VALUE!</v>
      </c>
      <c r="K1822" s="106"/>
      <c r="L1822" s="107"/>
      <c r="M1822" s="106"/>
      <c r="N1822" s="106"/>
      <c r="O1822" s="108"/>
      <c r="P1822" s="108"/>
      <c r="Q1822" s="108"/>
      <c r="R1822" s="109"/>
      <c r="S1822" s="109"/>
      <c r="T1822" s="108"/>
      <c r="U1822" s="110"/>
      <c r="V1822" s="110"/>
      <c r="W1822" s="110"/>
      <c r="X1822" s="110"/>
    </row>
    <row r="1823" spans="1:24" ht="14.25" customHeight="1">
      <c r="A1823" s="110"/>
      <c r="B1823" s="125"/>
      <c r="C1823" s="126"/>
      <c r="D1823" s="159"/>
      <c r="E1823" s="10" t="e">
        <f>TRIM(VLOOKUP(D1823,TB!$B$9:$C$1500,2,FALSE))</f>
        <v>#N/A</v>
      </c>
      <c r="F1823" s="173"/>
      <c r="G1823" s="130"/>
      <c r="H1823" s="10"/>
      <c r="I1823" s="10">
        <f t="shared" ref="I1823:I1838" si="130">SUM(H1822)</f>
        <v>0</v>
      </c>
      <c r="J1823" s="79" t="e">
        <f t="shared" si="129"/>
        <v>#VALUE!</v>
      </c>
      <c r="K1823" s="106"/>
      <c r="L1823" s="107"/>
      <c r="M1823" s="106"/>
      <c r="N1823" s="106"/>
      <c r="O1823" s="108"/>
      <c r="P1823" s="108"/>
      <c r="Q1823" s="108"/>
      <c r="R1823" s="109"/>
      <c r="S1823" s="109"/>
      <c r="T1823" s="108"/>
      <c r="U1823" s="110"/>
      <c r="V1823" s="110"/>
      <c r="W1823" s="110"/>
      <c r="X1823" s="110"/>
    </row>
    <row r="1824" spans="1:24" ht="14.25" customHeight="1">
      <c r="A1824" s="110"/>
      <c r="B1824" s="125">
        <v>46181</v>
      </c>
      <c r="C1824" s="126" t="s">
        <v>608</v>
      </c>
      <c r="D1824" s="68" t="s">
        <v>285</v>
      </c>
      <c r="E1824" s="10" t="str">
        <f>TRIM(VLOOKUP(D1824,TB!$B$9:$C$1500,2,FALSE))</f>
        <v>Misc Cash Purchase</v>
      </c>
      <c r="F1824" s="173" t="s">
        <v>609</v>
      </c>
      <c r="G1824" s="130"/>
      <c r="H1824" s="10">
        <v>500000</v>
      </c>
      <c r="I1824" s="10">
        <f t="shared" si="130"/>
        <v>0</v>
      </c>
      <c r="J1824" s="79" t="e">
        <f t="shared" si="129"/>
        <v>#VALUE!</v>
      </c>
      <c r="K1824" s="106"/>
      <c r="L1824" s="107"/>
      <c r="M1824" s="106"/>
      <c r="N1824" s="106"/>
      <c r="O1824" s="108"/>
      <c r="P1824" s="108"/>
      <c r="Q1824" s="108"/>
      <c r="R1824" s="109"/>
      <c r="S1824" s="109"/>
      <c r="T1824" s="108"/>
      <c r="U1824" s="110"/>
      <c r="V1824" s="110"/>
      <c r="W1824" s="110"/>
      <c r="X1824" s="110"/>
    </row>
    <row r="1825" spans="1:24" ht="14.25" customHeight="1">
      <c r="A1825" s="110"/>
      <c r="B1825" s="125">
        <v>46181</v>
      </c>
      <c r="C1825" s="126" t="s">
        <v>608</v>
      </c>
      <c r="D1825" s="68" t="s">
        <v>130</v>
      </c>
      <c r="E1825" s="10" t="str">
        <f>TRIM(VLOOKUP(D1825,TB!$B$9:$C$1500,2,FALSE))</f>
        <v>BCA TBB</v>
      </c>
      <c r="F1825" s="173" t="str">
        <f>F1824</f>
        <v>Loading Dog Roasworks - Inv. 05 May 26</v>
      </c>
      <c r="G1825" s="130"/>
      <c r="H1825" s="10"/>
      <c r="I1825" s="10">
        <f t="shared" si="130"/>
        <v>500000</v>
      </c>
      <c r="J1825" s="79" t="e">
        <f t="shared" si="129"/>
        <v>#VALUE!</v>
      </c>
      <c r="K1825" s="106"/>
      <c r="L1825" s="107"/>
      <c r="M1825" s="106"/>
      <c r="N1825" s="106"/>
      <c r="O1825" s="108"/>
      <c r="P1825" s="108"/>
      <c r="Q1825" s="108"/>
      <c r="R1825" s="109"/>
      <c r="S1825" s="109"/>
      <c r="T1825" s="108"/>
      <c r="U1825" s="110"/>
      <c r="V1825" s="110"/>
      <c r="W1825" s="110"/>
      <c r="X1825" s="110"/>
    </row>
    <row r="1826" spans="1:24" ht="14.25" customHeight="1">
      <c r="A1826" s="110"/>
      <c r="B1826" s="125"/>
      <c r="C1826" s="126"/>
      <c r="D1826" s="159"/>
      <c r="E1826" s="10" t="e">
        <f>TRIM(VLOOKUP(D1826,TB!$B$9:$C$1500,2,FALSE))</f>
        <v>#N/A</v>
      </c>
      <c r="F1826" s="173"/>
      <c r="G1826" s="130"/>
      <c r="H1826" s="10"/>
      <c r="I1826" s="10">
        <f t="shared" si="130"/>
        <v>0</v>
      </c>
      <c r="J1826" s="79" t="e">
        <f t="shared" si="129"/>
        <v>#VALUE!</v>
      </c>
      <c r="K1826" s="106"/>
      <c r="L1826" s="107"/>
      <c r="M1826" s="106"/>
      <c r="N1826" s="106"/>
      <c r="O1826" s="108"/>
      <c r="P1826" s="108"/>
      <c r="Q1826" s="108"/>
      <c r="R1826" s="109"/>
      <c r="S1826" s="109"/>
      <c r="T1826" s="108"/>
      <c r="U1826" s="110"/>
      <c r="V1826" s="110"/>
      <c r="W1826" s="110"/>
      <c r="X1826" s="110"/>
    </row>
    <row r="1827" spans="1:24" ht="14.25" customHeight="1">
      <c r="A1827" s="110"/>
      <c r="B1827" s="125">
        <v>46181</v>
      </c>
      <c r="C1827" s="126" t="s">
        <v>610</v>
      </c>
      <c r="D1827" s="68" t="s">
        <v>285</v>
      </c>
      <c r="E1827" s="10" t="str">
        <f>TRIM(VLOOKUP(D1827,TB!$B$9:$C$1500,2,FALSE))</f>
        <v>Misc Cash Purchase</v>
      </c>
      <c r="F1827" s="173" t="s">
        <v>611</v>
      </c>
      <c r="G1827" s="130"/>
      <c r="H1827" s="10">
        <v>1373070</v>
      </c>
      <c r="I1827" s="10">
        <f t="shared" si="130"/>
        <v>0</v>
      </c>
      <c r="J1827" s="79" t="e">
        <f t="shared" si="129"/>
        <v>#VALUE!</v>
      </c>
      <c r="K1827" s="106"/>
      <c r="L1827" s="107"/>
      <c r="M1827" s="106"/>
      <c r="N1827" s="106"/>
      <c r="O1827" s="108"/>
      <c r="P1827" s="108"/>
      <c r="Q1827" s="108"/>
      <c r="R1827" s="109"/>
      <c r="S1827" s="109"/>
      <c r="T1827" s="108"/>
      <c r="U1827" s="110"/>
      <c r="V1827" s="110"/>
      <c r="W1827" s="110"/>
      <c r="X1827" s="110"/>
    </row>
    <row r="1828" spans="1:24" ht="14.25" customHeight="1">
      <c r="A1828" s="110"/>
      <c r="B1828" s="125">
        <v>46181</v>
      </c>
      <c r="C1828" s="126" t="s">
        <v>610</v>
      </c>
      <c r="D1828" s="68" t="s">
        <v>130</v>
      </c>
      <c r="E1828" s="10" t="str">
        <f>TRIM(VLOOKUP(D1828,TB!$B$9:$C$1500,2,FALSE))</f>
        <v>BCA TBB</v>
      </c>
      <c r="F1828" s="173" t="str">
        <f>F1827</f>
        <v>Bali Kulina Utama - Inv. 0314 - 28  Apr 26</v>
      </c>
      <c r="G1828" s="130"/>
      <c r="H1828" s="10"/>
      <c r="I1828" s="10">
        <f t="shared" si="130"/>
        <v>1373070</v>
      </c>
      <c r="J1828" s="79" t="e">
        <f t="shared" si="129"/>
        <v>#VALUE!</v>
      </c>
      <c r="K1828" s="106"/>
      <c r="L1828" s="107"/>
      <c r="M1828" s="106"/>
      <c r="N1828" s="106"/>
      <c r="O1828" s="108"/>
      <c r="P1828" s="108"/>
      <c r="Q1828" s="108"/>
      <c r="R1828" s="109"/>
      <c r="S1828" s="109"/>
      <c r="T1828" s="108"/>
      <c r="U1828" s="110"/>
      <c r="V1828" s="110"/>
      <c r="W1828" s="110"/>
      <c r="X1828" s="110"/>
    </row>
    <row r="1829" spans="1:24" ht="14.25" customHeight="1">
      <c r="A1829" s="110"/>
      <c r="B1829" s="125"/>
      <c r="C1829" s="126"/>
      <c r="D1829" s="159"/>
      <c r="E1829" s="10" t="e">
        <f>TRIM(VLOOKUP(D1829,TB!$B$9:$C$1500,2,FALSE))</f>
        <v>#N/A</v>
      </c>
      <c r="F1829" s="173"/>
      <c r="G1829" s="130"/>
      <c r="H1829" s="10"/>
      <c r="I1829" s="10">
        <f t="shared" si="130"/>
        <v>0</v>
      </c>
      <c r="J1829" s="79" t="e">
        <f t="shared" si="129"/>
        <v>#VALUE!</v>
      </c>
      <c r="K1829" s="106"/>
      <c r="L1829" s="107"/>
      <c r="M1829" s="106"/>
      <c r="N1829" s="106"/>
      <c r="O1829" s="108"/>
      <c r="P1829" s="108"/>
      <c r="Q1829" s="108"/>
      <c r="R1829" s="109"/>
      <c r="S1829" s="109"/>
      <c r="T1829" s="108"/>
      <c r="U1829" s="110"/>
      <c r="V1829" s="110"/>
      <c r="W1829" s="110"/>
      <c r="X1829" s="110"/>
    </row>
    <row r="1830" spans="1:24" ht="14.25" customHeight="1">
      <c r="A1830" s="110"/>
      <c r="B1830" s="125">
        <v>46181</v>
      </c>
      <c r="C1830" s="126" t="s">
        <v>612</v>
      </c>
      <c r="D1830" s="68" t="s">
        <v>285</v>
      </c>
      <c r="E1830" s="10" t="str">
        <f>TRIM(VLOOKUP(D1830,TB!$B$9:$C$1500,2,FALSE))</f>
        <v>Misc Cash Purchase</v>
      </c>
      <c r="F1830" s="173" t="s">
        <v>613</v>
      </c>
      <c r="G1830" s="130"/>
      <c r="H1830" s="10">
        <v>755000</v>
      </c>
      <c r="I1830" s="10">
        <f t="shared" si="130"/>
        <v>0</v>
      </c>
      <c r="J1830" s="79" t="e">
        <f t="shared" si="129"/>
        <v>#VALUE!</v>
      </c>
      <c r="K1830" s="106"/>
      <c r="L1830" s="107"/>
      <c r="M1830" s="106"/>
      <c r="N1830" s="106"/>
      <c r="O1830" s="108"/>
      <c r="P1830" s="108"/>
      <c r="Q1830" s="108"/>
      <c r="R1830" s="109"/>
      <c r="S1830" s="109"/>
      <c r="T1830" s="108"/>
      <c r="U1830" s="110"/>
      <c r="V1830" s="110"/>
      <c r="W1830" s="110"/>
      <c r="X1830" s="110"/>
    </row>
    <row r="1831" spans="1:24" ht="14.25" customHeight="1">
      <c r="A1831" s="110"/>
      <c r="B1831" s="125">
        <v>46181</v>
      </c>
      <c r="C1831" s="126" t="s">
        <v>612</v>
      </c>
      <c r="D1831" s="68" t="s">
        <v>130</v>
      </c>
      <c r="E1831" s="10" t="str">
        <f>TRIM(VLOOKUP(D1831,TB!$B$9:$C$1500,2,FALSE))</f>
        <v>BCA TBB</v>
      </c>
      <c r="F1831" s="173" t="str">
        <f>F1830</f>
        <v>Tiga Juragan Perkasa - Inv. 08119 - 21 Apr 26</v>
      </c>
      <c r="G1831" s="130"/>
      <c r="H1831" s="10"/>
      <c r="I1831" s="10">
        <f t="shared" si="130"/>
        <v>755000</v>
      </c>
      <c r="J1831" s="79" t="e">
        <f t="shared" si="129"/>
        <v>#VALUE!</v>
      </c>
      <c r="K1831" s="106"/>
      <c r="L1831" s="107"/>
      <c r="M1831" s="106"/>
      <c r="N1831" s="106"/>
      <c r="O1831" s="108"/>
      <c r="P1831" s="108"/>
      <c r="Q1831" s="108"/>
      <c r="R1831" s="109"/>
      <c r="S1831" s="109"/>
      <c r="T1831" s="108"/>
      <c r="U1831" s="110"/>
      <c r="V1831" s="110"/>
      <c r="W1831" s="110"/>
      <c r="X1831" s="110"/>
    </row>
    <row r="1832" spans="1:24" ht="14.25" customHeight="1">
      <c r="A1832" s="110"/>
      <c r="B1832" s="125"/>
      <c r="C1832" s="126"/>
      <c r="D1832" s="159"/>
      <c r="E1832" s="10" t="e">
        <f>TRIM(VLOOKUP(D1832,TB!$B$9:$C$1500,2,FALSE))</f>
        <v>#N/A</v>
      </c>
      <c r="F1832" s="173"/>
      <c r="G1832" s="130"/>
      <c r="H1832" s="10"/>
      <c r="I1832" s="10">
        <f t="shared" si="130"/>
        <v>0</v>
      </c>
      <c r="J1832" s="79" t="e">
        <f t="shared" si="129"/>
        <v>#VALUE!</v>
      </c>
      <c r="K1832" s="106"/>
      <c r="L1832" s="107"/>
      <c r="M1832" s="106"/>
      <c r="N1832" s="106"/>
      <c r="O1832" s="108"/>
      <c r="P1832" s="108"/>
      <c r="Q1832" s="108"/>
      <c r="R1832" s="109"/>
      <c r="S1832" s="109"/>
      <c r="T1832" s="108"/>
      <c r="U1832" s="110"/>
      <c r="V1832" s="110"/>
      <c r="W1832" s="110"/>
      <c r="X1832" s="110"/>
    </row>
    <row r="1833" spans="1:24" ht="14.25" customHeight="1">
      <c r="A1833" s="110"/>
      <c r="B1833" s="125">
        <v>46181</v>
      </c>
      <c r="C1833" s="126" t="s">
        <v>614</v>
      </c>
      <c r="D1833" s="68" t="s">
        <v>285</v>
      </c>
      <c r="E1833" s="10" t="str">
        <f>TRIM(VLOOKUP(D1833,TB!$B$9:$C$1500,2,FALSE))</f>
        <v>Misc Cash Purchase</v>
      </c>
      <c r="F1833" s="173" t="s">
        <v>615</v>
      </c>
      <c r="G1833" s="130"/>
      <c r="H1833" s="10">
        <v>726000</v>
      </c>
      <c r="I1833" s="10">
        <f t="shared" si="130"/>
        <v>0</v>
      </c>
      <c r="J1833" s="79" t="e">
        <f t="shared" si="129"/>
        <v>#VALUE!</v>
      </c>
      <c r="K1833" s="106"/>
      <c r="L1833" s="107"/>
      <c r="M1833" s="106"/>
      <c r="N1833" s="106"/>
      <c r="O1833" s="108"/>
      <c r="P1833" s="108"/>
      <c r="Q1833" s="108"/>
      <c r="R1833" s="109"/>
      <c r="S1833" s="109"/>
      <c r="T1833" s="108"/>
      <c r="U1833" s="110"/>
      <c r="V1833" s="110"/>
      <c r="W1833" s="110"/>
      <c r="X1833" s="110"/>
    </row>
    <row r="1834" spans="1:24" ht="14.25" customHeight="1">
      <c r="A1834" s="110"/>
      <c r="B1834" s="125">
        <v>46181</v>
      </c>
      <c r="C1834" s="126" t="s">
        <v>614</v>
      </c>
      <c r="D1834" s="68" t="s">
        <v>130</v>
      </c>
      <c r="E1834" s="10" t="str">
        <f>TRIM(VLOOKUP(D1834,TB!$B$9:$C$1500,2,FALSE))</f>
        <v>BCA TBB</v>
      </c>
      <c r="F1834" s="173" t="str">
        <f>F1833</f>
        <v>Hari Sedana Komputer - Inv. 26 May 26 (Punya Lukas 484,000)</v>
      </c>
      <c r="G1834" s="130"/>
      <c r="H1834" s="10"/>
      <c r="I1834" s="10">
        <f t="shared" si="130"/>
        <v>726000</v>
      </c>
      <c r="J1834" s="79" t="e">
        <f t="shared" si="129"/>
        <v>#VALUE!</v>
      </c>
      <c r="K1834" s="106"/>
      <c r="L1834" s="107"/>
      <c r="M1834" s="106"/>
      <c r="N1834" s="106"/>
      <c r="O1834" s="108"/>
      <c r="P1834" s="108"/>
      <c r="Q1834" s="108"/>
      <c r="R1834" s="109"/>
      <c r="S1834" s="109"/>
      <c r="T1834" s="108"/>
      <c r="U1834" s="110"/>
      <c r="V1834" s="110"/>
      <c r="W1834" s="110"/>
      <c r="X1834" s="110"/>
    </row>
    <row r="1835" spans="1:24" ht="14.25" customHeight="1">
      <c r="A1835" s="110"/>
      <c r="B1835" s="125"/>
      <c r="C1835" s="126"/>
      <c r="D1835" s="15"/>
      <c r="E1835" s="10" t="e">
        <f>TRIM(VLOOKUP(D1835,TB!$B$9:$C$1500,2,FALSE))</f>
        <v>#N/A</v>
      </c>
      <c r="F1835" s="173"/>
      <c r="G1835" s="130"/>
      <c r="H1835" s="10"/>
      <c r="I1835" s="10">
        <f t="shared" si="130"/>
        <v>0</v>
      </c>
      <c r="J1835" s="79" t="e">
        <f t="shared" si="129"/>
        <v>#VALUE!</v>
      </c>
      <c r="K1835" s="106"/>
      <c r="L1835" s="107"/>
      <c r="M1835" s="106"/>
      <c r="N1835" s="106"/>
      <c r="O1835" s="108"/>
      <c r="P1835" s="108"/>
      <c r="Q1835" s="108"/>
      <c r="R1835" s="109"/>
      <c r="S1835" s="109"/>
      <c r="T1835" s="108"/>
      <c r="U1835" s="110"/>
      <c r="V1835" s="110"/>
      <c r="W1835" s="110"/>
      <c r="X1835" s="110"/>
    </row>
    <row r="1836" spans="1:24" ht="14.25" customHeight="1">
      <c r="A1836" s="110"/>
      <c r="B1836" s="125">
        <v>46181</v>
      </c>
      <c r="C1836" s="126" t="s">
        <v>616</v>
      </c>
      <c r="D1836" s="15" t="s">
        <v>617</v>
      </c>
      <c r="E1836" s="10" t="str">
        <f>TRIM(VLOOKUP(D1836,TB!$B$9:$C$1500,2,FALSE))</f>
        <v>Cleaning Supplies &amp; Expenses</v>
      </c>
      <c r="F1836" s="173" t="s">
        <v>618</v>
      </c>
      <c r="G1836" s="130"/>
      <c r="H1836" s="10">
        <v>442900</v>
      </c>
      <c r="I1836" s="10">
        <f t="shared" si="130"/>
        <v>0</v>
      </c>
      <c r="J1836" s="79" t="e">
        <f t="shared" si="129"/>
        <v>#VALUE!</v>
      </c>
      <c r="K1836" s="106"/>
      <c r="L1836" s="107"/>
      <c r="M1836" s="106"/>
      <c r="N1836" s="106"/>
      <c r="O1836" s="108"/>
      <c r="P1836" s="108"/>
      <c r="Q1836" s="108"/>
      <c r="R1836" s="109"/>
      <c r="S1836" s="109"/>
      <c r="T1836" s="108"/>
      <c r="U1836" s="110"/>
      <c r="V1836" s="110"/>
      <c r="W1836" s="110"/>
      <c r="X1836" s="110"/>
    </row>
    <row r="1837" spans="1:24" ht="14.25" customHeight="1">
      <c r="A1837" s="110"/>
      <c r="B1837" s="125">
        <v>46181</v>
      </c>
      <c r="C1837" s="126" t="s">
        <v>616</v>
      </c>
      <c r="D1837" s="68" t="s">
        <v>130</v>
      </c>
      <c r="E1837" s="10" t="str">
        <f>TRIM(VLOOKUP(D1837,TB!$B$9:$C$1500,2,FALSE))</f>
        <v>BCA TBB</v>
      </c>
      <c r="F1837" s="173" t="str">
        <f>F1836</f>
        <v>Shopee - Sarung Tangan</v>
      </c>
      <c r="G1837" s="130"/>
      <c r="H1837" s="10"/>
      <c r="I1837" s="10">
        <f t="shared" si="130"/>
        <v>442900</v>
      </c>
      <c r="J1837" s="79" t="e">
        <f t="shared" si="129"/>
        <v>#VALUE!</v>
      </c>
      <c r="K1837" s="106"/>
      <c r="L1837" s="107"/>
      <c r="M1837" s="106"/>
      <c r="N1837" s="106"/>
      <c r="O1837" s="108"/>
      <c r="P1837" s="108"/>
      <c r="Q1837" s="108"/>
      <c r="R1837" s="109"/>
      <c r="S1837" s="109"/>
      <c r="T1837" s="108"/>
      <c r="U1837" s="110"/>
      <c r="V1837" s="110"/>
      <c r="W1837" s="110"/>
      <c r="X1837" s="110"/>
    </row>
    <row r="1838" spans="1:24" ht="14.25" customHeight="1">
      <c r="A1838" s="110"/>
      <c r="B1838" s="125"/>
      <c r="C1838" s="126"/>
      <c r="D1838" s="159"/>
      <c r="E1838" s="10" t="e">
        <f>TRIM(VLOOKUP(D1838,TB!$B$9:$C$1500,2,FALSE))</f>
        <v>#N/A</v>
      </c>
      <c r="F1838" s="173"/>
      <c r="G1838" s="130"/>
      <c r="H1838" s="10"/>
      <c r="I1838" s="10">
        <f t="shared" si="130"/>
        <v>0</v>
      </c>
      <c r="J1838" s="79" t="e">
        <f t="shared" si="129"/>
        <v>#VALUE!</v>
      </c>
      <c r="K1838" s="106"/>
      <c r="L1838" s="107"/>
      <c r="M1838" s="106"/>
      <c r="N1838" s="106"/>
      <c r="O1838" s="108"/>
      <c r="P1838" s="108"/>
      <c r="Q1838" s="108"/>
      <c r="R1838" s="109"/>
      <c r="S1838" s="109"/>
      <c r="T1838" s="108"/>
      <c r="U1838" s="110"/>
      <c r="V1838" s="110"/>
      <c r="W1838" s="110"/>
      <c r="X1838" s="110"/>
    </row>
    <row r="1839" spans="1:24" ht="14.25" customHeight="1">
      <c r="A1839" s="110"/>
      <c r="B1839" s="125">
        <v>46181</v>
      </c>
      <c r="C1839" s="126" t="s">
        <v>619</v>
      </c>
      <c r="D1839" s="15" t="s">
        <v>351</v>
      </c>
      <c r="E1839" s="10" t="str">
        <f>TRIM(VLOOKUP(D1839,TB!$B$9:$C$1500,2,FALSE))</f>
        <v>Tomato Peeled</v>
      </c>
      <c r="F1839" s="142" t="s">
        <v>620</v>
      </c>
      <c r="G1839" s="130">
        <v>6</v>
      </c>
      <c r="H1839" s="10">
        <v>574358</v>
      </c>
      <c r="I1839" s="10"/>
      <c r="J1839" s="79" t="e">
        <f t="shared" si="129"/>
        <v>#VALUE!</v>
      </c>
      <c r="K1839" s="106"/>
      <c r="L1839" s="107"/>
      <c r="M1839" s="106"/>
      <c r="N1839" s="106"/>
      <c r="O1839" s="108"/>
      <c r="P1839" s="108"/>
      <c r="Q1839" s="108"/>
      <c r="R1839" s="109"/>
      <c r="S1839" s="109"/>
      <c r="T1839" s="108"/>
      <c r="U1839" s="110"/>
      <c r="V1839" s="110"/>
      <c r="W1839" s="110"/>
      <c r="X1839" s="110"/>
    </row>
    <row r="1840" spans="1:24" ht="14.25" customHeight="1">
      <c r="A1840" s="110"/>
      <c r="B1840" s="125">
        <v>46181</v>
      </c>
      <c r="C1840" s="126" t="s">
        <v>619</v>
      </c>
      <c r="D1840" s="68" t="s">
        <v>130</v>
      </c>
      <c r="E1840" s="10" t="str">
        <f>TRIM(VLOOKUP(D1840,TB!$B$9:$C$1500,2,FALSE))</f>
        <v>BCA TBB</v>
      </c>
      <c r="F1840" s="142" t="s">
        <v>621</v>
      </c>
      <c r="G1840" s="130"/>
      <c r="H1840" s="10"/>
      <c r="I1840" s="10">
        <v>574358</v>
      </c>
      <c r="J1840" s="79" t="e">
        <f t="shared" si="129"/>
        <v>#VALUE!</v>
      </c>
      <c r="K1840" s="106"/>
      <c r="L1840" s="107"/>
      <c r="M1840" s="106"/>
      <c r="N1840" s="106"/>
      <c r="O1840" s="108"/>
      <c r="P1840" s="108"/>
      <c r="Q1840" s="108"/>
      <c r="R1840" s="109"/>
      <c r="S1840" s="109"/>
      <c r="T1840" s="108"/>
      <c r="U1840" s="110"/>
      <c r="V1840" s="110"/>
      <c r="W1840" s="110"/>
      <c r="X1840" s="110"/>
    </row>
    <row r="1841" spans="1:24" ht="14.25" customHeight="1">
      <c r="A1841" s="110"/>
      <c r="B1841" s="125"/>
      <c r="C1841" s="126"/>
      <c r="D1841" s="159"/>
      <c r="E1841" s="10" t="e">
        <f>TRIM(VLOOKUP(D1841,TB!$B$9:$C$1500,2,FALSE))</f>
        <v>#N/A</v>
      </c>
      <c r="F1841" s="173"/>
      <c r="G1841" s="130"/>
      <c r="H1841" s="10"/>
      <c r="I1841" s="10"/>
      <c r="J1841" s="79" t="e">
        <f t="shared" si="129"/>
        <v>#VALUE!</v>
      </c>
      <c r="K1841" s="106"/>
      <c r="L1841" s="107"/>
      <c r="M1841" s="106"/>
      <c r="N1841" s="106"/>
      <c r="O1841" s="108"/>
      <c r="P1841" s="108"/>
      <c r="Q1841" s="108"/>
      <c r="R1841" s="109"/>
      <c r="S1841" s="109"/>
      <c r="T1841" s="108"/>
      <c r="U1841" s="110"/>
      <c r="V1841" s="110"/>
      <c r="W1841" s="110"/>
      <c r="X1841" s="110"/>
    </row>
    <row r="1842" spans="1:24" ht="14.25" customHeight="1">
      <c r="A1842" s="110"/>
      <c r="B1842" s="125">
        <v>46182</v>
      </c>
      <c r="C1842" s="126" t="s">
        <v>622</v>
      </c>
      <c r="D1842" s="68" t="s">
        <v>130</v>
      </c>
      <c r="E1842" s="10" t="str">
        <f>TRIM(VLOOKUP(D1842,TB!$B$9:$C$1500,2,FALSE))</f>
        <v>BCA TBB</v>
      </c>
      <c r="F1842" s="173" t="s">
        <v>623</v>
      </c>
      <c r="G1842" s="130"/>
      <c r="H1842" s="10">
        <v>5700000</v>
      </c>
      <c r="I1842" s="10">
        <f>SUM(H1838)</f>
        <v>0</v>
      </c>
      <c r="J1842" s="79" t="e">
        <f t="shared" si="129"/>
        <v>#VALUE!</v>
      </c>
      <c r="K1842" s="106"/>
      <c r="L1842" s="107"/>
      <c r="M1842" s="106"/>
      <c r="N1842" s="106"/>
      <c r="O1842" s="108"/>
      <c r="P1842" s="108"/>
      <c r="Q1842" s="108"/>
      <c r="R1842" s="109"/>
      <c r="S1842" s="109"/>
      <c r="T1842" s="108"/>
      <c r="U1842" s="110"/>
      <c r="V1842" s="110"/>
      <c r="W1842" s="110"/>
      <c r="X1842" s="110"/>
    </row>
    <row r="1843" spans="1:24" ht="14.25" customHeight="1">
      <c r="A1843" s="110"/>
      <c r="B1843" s="125">
        <v>46182</v>
      </c>
      <c r="C1843" s="126" t="s">
        <v>622</v>
      </c>
      <c r="D1843" s="68" t="s">
        <v>175</v>
      </c>
      <c r="E1843" s="10" t="str">
        <f>TRIM(VLOOKUP(D1843,TB!$B$9:$C$1500,2,FALSE))</f>
        <v>Intercompany Receivable – Treasury StarPOINTS</v>
      </c>
      <c r="F1843" s="173" t="str">
        <f>F1842</f>
        <v>LOAN FROM ROSALITA</v>
      </c>
      <c r="G1843" s="130"/>
      <c r="H1843" s="10"/>
      <c r="I1843" s="10">
        <f t="shared" ref="I1843:I1845" si="131">SUM(H1842)</f>
        <v>5700000</v>
      </c>
      <c r="J1843" s="79" t="e">
        <f t="shared" si="129"/>
        <v>#VALUE!</v>
      </c>
      <c r="K1843" s="106"/>
      <c r="L1843" s="107"/>
      <c r="M1843" s="106"/>
      <c r="N1843" s="106"/>
      <c r="O1843" s="108"/>
      <c r="P1843" s="108"/>
      <c r="Q1843" s="108"/>
      <c r="R1843" s="109"/>
      <c r="S1843" s="109"/>
      <c r="T1843" s="108"/>
      <c r="U1843" s="110"/>
      <c r="V1843" s="110"/>
      <c r="W1843" s="110"/>
      <c r="X1843" s="110"/>
    </row>
    <row r="1844" spans="1:24" ht="14.25" customHeight="1">
      <c r="A1844" s="110"/>
      <c r="B1844" s="125"/>
      <c r="C1844" s="126"/>
      <c r="D1844" s="159"/>
      <c r="E1844" s="10" t="e">
        <f>TRIM(VLOOKUP(D1844,TB!$B$9:$C$1500,2,FALSE))</f>
        <v>#N/A</v>
      </c>
      <c r="F1844" s="173"/>
      <c r="G1844" s="130"/>
      <c r="H1844" s="10"/>
      <c r="I1844" s="10">
        <f t="shared" si="131"/>
        <v>0</v>
      </c>
      <c r="J1844" s="79" t="e">
        <f t="shared" si="129"/>
        <v>#VALUE!</v>
      </c>
      <c r="K1844" s="106"/>
      <c r="L1844" s="107"/>
      <c r="M1844" s="106"/>
      <c r="N1844" s="106"/>
      <c r="O1844" s="108"/>
      <c r="P1844" s="108"/>
      <c r="Q1844" s="108"/>
      <c r="R1844" s="109"/>
      <c r="S1844" s="109"/>
      <c r="T1844" s="108"/>
      <c r="U1844" s="110"/>
      <c r="V1844" s="110"/>
      <c r="W1844" s="110"/>
      <c r="X1844" s="110"/>
    </row>
    <row r="1845" spans="1:24" ht="14.25" customHeight="1">
      <c r="A1845" s="110"/>
      <c r="B1845" s="125">
        <v>46182</v>
      </c>
      <c r="C1845" s="126" t="s">
        <v>624</v>
      </c>
      <c r="D1845" s="68" t="s">
        <v>285</v>
      </c>
      <c r="E1845" s="10" t="str">
        <f>TRIM(VLOOKUP(D1845,TB!$B$9:$C$1500,2,FALSE))</f>
        <v>Misc Cash Purchase</v>
      </c>
      <c r="F1845" s="173" t="s">
        <v>625</v>
      </c>
      <c r="G1845" s="130"/>
      <c r="H1845" s="10">
        <v>1500000</v>
      </c>
      <c r="I1845" s="10">
        <f t="shared" si="131"/>
        <v>0</v>
      </c>
      <c r="J1845" s="79" t="e">
        <f t="shared" si="129"/>
        <v>#VALUE!</v>
      </c>
      <c r="K1845" s="106"/>
      <c r="L1845" s="107"/>
      <c r="M1845" s="106"/>
      <c r="N1845" s="106"/>
      <c r="O1845" s="108"/>
      <c r="P1845" s="108"/>
      <c r="Q1845" s="108"/>
      <c r="R1845" s="109"/>
      <c r="S1845" s="109"/>
      <c r="T1845" s="108"/>
      <c r="U1845" s="110"/>
      <c r="V1845" s="110"/>
      <c r="W1845" s="110"/>
      <c r="X1845" s="110"/>
    </row>
    <row r="1846" spans="1:24" ht="14.25" customHeight="1">
      <c r="A1846" s="110"/>
      <c r="B1846" s="125">
        <v>46182</v>
      </c>
      <c r="C1846" s="126" t="s">
        <v>624</v>
      </c>
      <c r="D1846" s="15" t="s">
        <v>124</v>
      </c>
      <c r="E1846" s="10" t="str">
        <f>TRIM(VLOOKUP(D1846,TB!$B$9:$C$1500,2,FALSE))</f>
        <v>Bank charges</v>
      </c>
      <c r="F1846" s="173" t="str">
        <f t="shared" ref="F1846:F1847" si="132">F1845</f>
        <v>Vagas - Fee Dj 25 May 26</v>
      </c>
      <c r="G1846" s="130"/>
      <c r="H1846" s="10">
        <v>2500</v>
      </c>
      <c r="I1846" s="10"/>
      <c r="J1846" s="79" t="e">
        <f t="shared" si="129"/>
        <v>#VALUE!</v>
      </c>
      <c r="K1846" s="132"/>
      <c r="L1846" s="107"/>
      <c r="M1846" s="106"/>
      <c r="N1846" s="106"/>
      <c r="O1846" s="108"/>
      <c r="P1846" s="108"/>
      <c r="Q1846" s="108"/>
      <c r="R1846" s="109"/>
      <c r="S1846" s="109"/>
      <c r="T1846" s="108"/>
      <c r="U1846" s="110"/>
      <c r="V1846" s="110"/>
      <c r="W1846" s="110"/>
      <c r="X1846" s="110"/>
    </row>
    <row r="1847" spans="1:24" ht="14.25" customHeight="1">
      <c r="A1847" s="110"/>
      <c r="B1847" s="125">
        <v>46182</v>
      </c>
      <c r="C1847" s="126" t="s">
        <v>624</v>
      </c>
      <c r="D1847" s="68" t="s">
        <v>130</v>
      </c>
      <c r="E1847" s="10" t="str">
        <f>TRIM(VLOOKUP(D1847,TB!$B$9:$C$1500,2,FALSE))</f>
        <v>BCA TBB</v>
      </c>
      <c r="F1847" s="173" t="str">
        <f t="shared" si="132"/>
        <v>Vagas - Fee Dj 25 May 26</v>
      </c>
      <c r="G1847" s="130"/>
      <c r="H1847" s="10"/>
      <c r="I1847" s="10">
        <f>SUM(H1845:H1846)</f>
        <v>1502500</v>
      </c>
      <c r="J1847" s="79" t="e">
        <f t="shared" si="129"/>
        <v>#VALUE!</v>
      </c>
      <c r="K1847" s="106"/>
      <c r="L1847" s="107"/>
      <c r="M1847" s="106"/>
      <c r="N1847" s="106"/>
      <c r="O1847" s="108"/>
      <c r="P1847" s="108"/>
      <c r="Q1847" s="108"/>
      <c r="R1847" s="109"/>
      <c r="S1847" s="109"/>
      <c r="T1847" s="108"/>
      <c r="U1847" s="110"/>
      <c r="V1847" s="110"/>
      <c r="W1847" s="110"/>
      <c r="X1847" s="110"/>
    </row>
    <row r="1848" spans="1:24" ht="14.25" customHeight="1">
      <c r="A1848" s="110"/>
      <c r="B1848" s="125"/>
      <c r="C1848" s="126"/>
      <c r="D1848" s="159"/>
      <c r="E1848" s="10" t="e">
        <f>TRIM(VLOOKUP(D1848,TB!$B$9:$C$1500,2,FALSE))</f>
        <v>#N/A</v>
      </c>
      <c r="F1848" s="173"/>
      <c r="G1848" s="130"/>
      <c r="H1848" s="10"/>
      <c r="I1848" s="10">
        <f t="shared" ref="I1848:I1849" si="133">SUM(H1847)</f>
        <v>0</v>
      </c>
      <c r="J1848" s="79" t="e">
        <f t="shared" si="129"/>
        <v>#VALUE!</v>
      </c>
      <c r="K1848" s="106"/>
      <c r="L1848" s="107"/>
      <c r="M1848" s="106"/>
      <c r="N1848" s="106"/>
      <c r="O1848" s="108"/>
      <c r="P1848" s="108"/>
      <c r="Q1848" s="108"/>
      <c r="R1848" s="109"/>
      <c r="S1848" s="109"/>
      <c r="T1848" s="108"/>
      <c r="U1848" s="110"/>
      <c r="V1848" s="110"/>
      <c r="W1848" s="110"/>
      <c r="X1848" s="110"/>
    </row>
    <row r="1849" spans="1:24" ht="14.25" customHeight="1">
      <c r="A1849" s="110"/>
      <c r="B1849" s="125">
        <v>46182</v>
      </c>
      <c r="C1849" s="126" t="s">
        <v>626</v>
      </c>
      <c r="D1849" s="68" t="s">
        <v>285</v>
      </c>
      <c r="E1849" s="10" t="str">
        <f>TRIM(VLOOKUP(D1849,TB!$B$9:$C$1500,2,FALSE))</f>
        <v>Misc Cash Purchase</v>
      </c>
      <c r="F1849" s="173" t="s">
        <v>627</v>
      </c>
      <c r="G1849" s="130"/>
      <c r="H1849" s="10">
        <v>1500000</v>
      </c>
      <c r="I1849" s="10">
        <f t="shared" si="133"/>
        <v>0</v>
      </c>
      <c r="J1849" s="79" t="e">
        <f t="shared" si="129"/>
        <v>#VALUE!</v>
      </c>
      <c r="K1849" s="106"/>
      <c r="L1849" s="107"/>
      <c r="M1849" s="106"/>
      <c r="N1849" s="106"/>
      <c r="O1849" s="108"/>
      <c r="P1849" s="108"/>
      <c r="Q1849" s="108"/>
      <c r="R1849" s="109"/>
      <c r="S1849" s="109"/>
      <c r="T1849" s="108"/>
      <c r="U1849" s="110"/>
      <c r="V1849" s="110"/>
      <c r="W1849" s="110"/>
      <c r="X1849" s="110"/>
    </row>
    <row r="1850" spans="1:24" ht="14.25" customHeight="1">
      <c r="A1850" s="110"/>
      <c r="B1850" s="125">
        <v>46182</v>
      </c>
      <c r="C1850" s="126" t="s">
        <v>626</v>
      </c>
      <c r="D1850" s="15" t="s">
        <v>124</v>
      </c>
      <c r="E1850" s="10" t="str">
        <f>TRIM(VLOOKUP(D1850,TB!$B$9:$C$1500,2,FALSE))</f>
        <v>Bank charges</v>
      </c>
      <c r="F1850" s="173" t="s">
        <v>627</v>
      </c>
      <c r="G1850" s="130"/>
      <c r="H1850" s="10">
        <v>2500</v>
      </c>
      <c r="I1850" s="10"/>
      <c r="J1850" s="79" t="e">
        <f t="shared" si="129"/>
        <v>#VALUE!</v>
      </c>
      <c r="K1850" s="106"/>
      <c r="L1850" s="107"/>
      <c r="M1850" s="106"/>
      <c r="N1850" s="106"/>
      <c r="O1850" s="108"/>
      <c r="P1850" s="108"/>
      <c r="Q1850" s="108"/>
      <c r="R1850" s="109"/>
      <c r="S1850" s="109"/>
      <c r="T1850" s="108"/>
      <c r="U1850" s="110"/>
      <c r="V1850" s="110"/>
      <c r="W1850" s="110"/>
      <c r="X1850" s="110"/>
    </row>
    <row r="1851" spans="1:24" ht="14.25" customHeight="1">
      <c r="A1851" s="110"/>
      <c r="B1851" s="125">
        <v>46182</v>
      </c>
      <c r="C1851" s="126" t="s">
        <v>626</v>
      </c>
      <c r="D1851" s="68" t="s">
        <v>130</v>
      </c>
      <c r="E1851" s="10" t="str">
        <f>TRIM(VLOOKUP(D1851,TB!$B$9:$C$1500,2,FALSE))</f>
        <v>BCA TBB</v>
      </c>
      <c r="F1851" s="173" t="str">
        <f>F1849</f>
        <v>Vadm - Fee Dj 25 May 26</v>
      </c>
      <c r="G1851" s="130"/>
      <c r="H1851" s="10"/>
      <c r="I1851" s="10">
        <f>SUM(H1849:H1850)</f>
        <v>1502500</v>
      </c>
      <c r="J1851" s="79" t="e">
        <f t="shared" si="129"/>
        <v>#VALUE!</v>
      </c>
      <c r="K1851" s="106"/>
      <c r="L1851" s="107"/>
      <c r="M1851" s="106"/>
      <c r="N1851" s="106"/>
      <c r="O1851" s="108"/>
      <c r="P1851" s="108"/>
      <c r="Q1851" s="108"/>
      <c r="R1851" s="109"/>
      <c r="S1851" s="109"/>
      <c r="T1851" s="108"/>
      <c r="U1851" s="110"/>
      <c r="V1851" s="110"/>
      <c r="W1851" s="110"/>
      <c r="X1851" s="110"/>
    </row>
    <row r="1852" spans="1:24" ht="14.25" customHeight="1">
      <c r="A1852" s="110"/>
      <c r="B1852" s="125"/>
      <c r="C1852" s="126"/>
      <c r="D1852" s="159"/>
      <c r="E1852" s="10" t="e">
        <f>TRIM(VLOOKUP(D1852,TB!$B$9:$C$1500,2,FALSE))</f>
        <v>#N/A</v>
      </c>
      <c r="F1852" s="173"/>
      <c r="G1852" s="130"/>
      <c r="H1852" s="10"/>
      <c r="I1852" s="10">
        <f t="shared" ref="I1852:I1856" si="134">SUM(H1851)</f>
        <v>0</v>
      </c>
      <c r="J1852" s="79" t="e">
        <f t="shared" si="129"/>
        <v>#VALUE!</v>
      </c>
      <c r="K1852" s="106"/>
      <c r="L1852" s="107"/>
      <c r="M1852" s="106"/>
      <c r="N1852" s="106"/>
      <c r="O1852" s="108"/>
      <c r="P1852" s="108"/>
      <c r="Q1852" s="108"/>
      <c r="R1852" s="109"/>
      <c r="S1852" s="109"/>
      <c r="T1852" s="108"/>
      <c r="U1852" s="110"/>
      <c r="V1852" s="110"/>
      <c r="W1852" s="110"/>
      <c r="X1852" s="110"/>
    </row>
    <row r="1853" spans="1:24" ht="14.25" customHeight="1">
      <c r="A1853" s="110"/>
      <c r="B1853" s="125">
        <v>46182</v>
      </c>
      <c r="C1853" s="126" t="s">
        <v>628</v>
      </c>
      <c r="D1853" s="68" t="s">
        <v>285</v>
      </c>
      <c r="E1853" s="10" t="str">
        <f>TRIM(VLOOKUP(D1853,TB!$B$9:$C$1500,2,FALSE))</f>
        <v>Misc Cash Purchase</v>
      </c>
      <c r="F1853" s="173" t="s">
        <v>629</v>
      </c>
      <c r="G1853" s="130"/>
      <c r="H1853" s="10">
        <v>1500000</v>
      </c>
      <c r="I1853" s="10">
        <f t="shared" si="134"/>
        <v>0</v>
      </c>
      <c r="J1853" s="79" t="e">
        <f t="shared" si="129"/>
        <v>#VALUE!</v>
      </c>
      <c r="K1853" s="106"/>
      <c r="L1853" s="107"/>
      <c r="M1853" s="106"/>
      <c r="N1853" s="106"/>
      <c r="O1853" s="108"/>
      <c r="P1853" s="108"/>
      <c r="Q1853" s="108"/>
      <c r="R1853" s="109"/>
      <c r="S1853" s="109"/>
      <c r="T1853" s="108"/>
      <c r="U1853" s="110"/>
      <c r="V1853" s="110"/>
      <c r="W1853" s="110"/>
      <c r="X1853" s="110"/>
    </row>
    <row r="1854" spans="1:24" ht="14.25" customHeight="1">
      <c r="A1854" s="110"/>
      <c r="B1854" s="125">
        <v>46182</v>
      </c>
      <c r="C1854" s="126" t="s">
        <v>628</v>
      </c>
      <c r="D1854" s="68" t="s">
        <v>130</v>
      </c>
      <c r="E1854" s="10" t="str">
        <f>TRIM(VLOOKUP(D1854,TB!$B$9:$C$1500,2,FALSE))</f>
        <v>BCA TBB</v>
      </c>
      <c r="F1854" s="173" t="str">
        <f>F1853</f>
        <v>Dj Lyfe - Fee Dj 26 May 26</v>
      </c>
      <c r="G1854" s="130"/>
      <c r="H1854" s="10"/>
      <c r="I1854" s="10">
        <f t="shared" si="134"/>
        <v>1500000</v>
      </c>
      <c r="J1854" s="79" t="e">
        <f t="shared" si="129"/>
        <v>#VALUE!</v>
      </c>
      <c r="K1854" s="106"/>
      <c r="L1854" s="107"/>
      <c r="M1854" s="106"/>
      <c r="N1854" s="106"/>
      <c r="O1854" s="108"/>
      <c r="P1854" s="108"/>
      <c r="Q1854" s="108"/>
      <c r="R1854" s="109"/>
      <c r="S1854" s="109"/>
      <c r="T1854" s="108"/>
      <c r="U1854" s="110"/>
      <c r="V1854" s="110"/>
      <c r="W1854" s="110"/>
      <c r="X1854" s="110"/>
    </row>
    <row r="1855" spans="1:24" ht="14.25" customHeight="1">
      <c r="A1855" s="110"/>
      <c r="B1855" s="125"/>
      <c r="C1855" s="126"/>
      <c r="D1855" s="159"/>
      <c r="E1855" s="10" t="e">
        <f>TRIM(VLOOKUP(D1855,TB!$B$9:$C$1500,2,FALSE))</f>
        <v>#N/A</v>
      </c>
      <c r="F1855" s="173"/>
      <c r="G1855" s="130"/>
      <c r="H1855" s="10"/>
      <c r="I1855" s="10">
        <f t="shared" si="134"/>
        <v>0</v>
      </c>
      <c r="J1855" s="79" t="e">
        <f t="shared" si="129"/>
        <v>#VALUE!</v>
      </c>
      <c r="K1855" s="106"/>
      <c r="L1855" s="107"/>
      <c r="M1855" s="106"/>
      <c r="N1855" s="106"/>
      <c r="O1855" s="108"/>
      <c r="P1855" s="108"/>
      <c r="Q1855" s="108"/>
      <c r="R1855" s="109"/>
      <c r="S1855" s="109"/>
      <c r="T1855" s="108"/>
      <c r="U1855" s="110"/>
      <c r="V1855" s="110"/>
      <c r="W1855" s="110"/>
      <c r="X1855" s="110"/>
    </row>
    <row r="1856" spans="1:24" ht="14.25" customHeight="1">
      <c r="A1856" s="110"/>
      <c r="B1856" s="125">
        <v>46182</v>
      </c>
      <c r="C1856" s="126" t="s">
        <v>630</v>
      </c>
      <c r="D1856" s="68" t="s">
        <v>285</v>
      </c>
      <c r="E1856" s="10" t="str">
        <f>TRIM(VLOOKUP(D1856,TB!$B$9:$C$1500,2,FALSE))</f>
        <v>Misc Cash Purchase</v>
      </c>
      <c r="F1856" s="173" t="s">
        <v>631</v>
      </c>
      <c r="G1856" s="130"/>
      <c r="H1856" s="10">
        <v>1500000</v>
      </c>
      <c r="I1856" s="10">
        <f t="shared" si="134"/>
        <v>0</v>
      </c>
      <c r="J1856" s="79" t="e">
        <f t="shared" si="129"/>
        <v>#VALUE!</v>
      </c>
      <c r="K1856" s="106"/>
      <c r="L1856" s="107"/>
      <c r="M1856" s="106"/>
      <c r="N1856" s="106"/>
      <c r="O1856" s="108"/>
      <c r="P1856" s="108"/>
      <c r="Q1856" s="108"/>
      <c r="R1856" s="109"/>
      <c r="S1856" s="109"/>
      <c r="T1856" s="108"/>
      <c r="U1856" s="110"/>
      <c r="V1856" s="110"/>
      <c r="W1856" s="110"/>
      <c r="X1856" s="110"/>
    </row>
    <row r="1857" spans="1:24" ht="14.25" customHeight="1">
      <c r="A1857" s="110"/>
      <c r="B1857" s="125">
        <v>46182</v>
      </c>
      <c r="C1857" s="126" t="s">
        <v>630</v>
      </c>
      <c r="D1857" s="15" t="s">
        <v>124</v>
      </c>
      <c r="E1857" s="10" t="str">
        <f>TRIM(VLOOKUP(D1857,TB!$B$9:$C$1500,2,FALSE))</f>
        <v>Bank charges</v>
      </c>
      <c r="F1857" s="173" t="s">
        <v>631</v>
      </c>
      <c r="G1857" s="130"/>
      <c r="H1857" s="10">
        <v>2500</v>
      </c>
      <c r="I1857" s="10"/>
      <c r="J1857" s="79" t="e">
        <f t="shared" si="129"/>
        <v>#VALUE!</v>
      </c>
      <c r="K1857" s="106"/>
      <c r="L1857" s="107"/>
      <c r="M1857" s="106"/>
      <c r="N1857" s="106"/>
      <c r="O1857" s="108"/>
      <c r="P1857" s="108"/>
      <c r="Q1857" s="108"/>
      <c r="R1857" s="109"/>
      <c r="S1857" s="109"/>
      <c r="T1857" s="108"/>
      <c r="U1857" s="110"/>
      <c r="V1857" s="110"/>
      <c r="W1857" s="110"/>
      <c r="X1857" s="110"/>
    </row>
    <row r="1858" spans="1:24" ht="14.25" customHeight="1">
      <c r="A1858" s="110"/>
      <c r="B1858" s="125">
        <v>46182</v>
      </c>
      <c r="C1858" s="126" t="s">
        <v>630</v>
      </c>
      <c r="D1858" s="68" t="s">
        <v>130</v>
      </c>
      <c r="E1858" s="10" t="str">
        <f>TRIM(VLOOKUP(D1858,TB!$B$9:$C$1500,2,FALSE))</f>
        <v>BCA TBB</v>
      </c>
      <c r="F1858" s="12" t="str">
        <f>F1856</f>
        <v>Saul Bliss - Fee Dj 26 May 26</v>
      </c>
      <c r="G1858" s="130"/>
      <c r="H1858" s="10"/>
      <c r="I1858" s="10">
        <f>SUM(H1856:H1857)</f>
        <v>1502500</v>
      </c>
      <c r="J1858" s="79" t="e">
        <f t="shared" si="129"/>
        <v>#VALUE!</v>
      </c>
      <c r="K1858" s="106"/>
      <c r="L1858" s="107"/>
      <c r="M1858" s="106"/>
      <c r="N1858" s="106"/>
      <c r="O1858" s="108"/>
      <c r="P1858" s="108"/>
      <c r="Q1858" s="108"/>
      <c r="R1858" s="109"/>
      <c r="S1858" s="109"/>
      <c r="T1858" s="108"/>
      <c r="U1858" s="110"/>
      <c r="V1858" s="110"/>
      <c r="W1858" s="110"/>
      <c r="X1858" s="110"/>
    </row>
    <row r="1859" spans="1:24" ht="14.25" customHeight="1">
      <c r="A1859" s="110"/>
      <c r="B1859" s="125"/>
      <c r="C1859" s="126"/>
      <c r="D1859" s="159"/>
      <c r="E1859" s="10" t="e">
        <f>TRIM(VLOOKUP(D1859,TB!$B$9:$C$1500,2,FALSE))</f>
        <v>#N/A</v>
      </c>
      <c r="F1859" s="12"/>
      <c r="G1859" s="130"/>
      <c r="H1859" s="10"/>
      <c r="I1859" s="10">
        <f t="shared" ref="I1859:I1860" si="135">SUM(H1858)</f>
        <v>0</v>
      </c>
      <c r="J1859" s="79" t="e">
        <f t="shared" si="129"/>
        <v>#VALUE!</v>
      </c>
      <c r="K1859" s="106"/>
      <c r="L1859" s="107"/>
      <c r="M1859" s="106"/>
      <c r="N1859" s="106"/>
      <c r="O1859" s="108"/>
      <c r="P1859" s="108"/>
      <c r="Q1859" s="108"/>
      <c r="R1859" s="109"/>
      <c r="S1859" s="109"/>
      <c r="T1859" s="108"/>
      <c r="U1859" s="110"/>
      <c r="V1859" s="110"/>
      <c r="W1859" s="110"/>
      <c r="X1859" s="110"/>
    </row>
    <row r="1860" spans="1:24" ht="14.25" customHeight="1">
      <c r="A1860" s="110"/>
      <c r="B1860" s="125">
        <v>46182</v>
      </c>
      <c r="C1860" s="126" t="s">
        <v>632</v>
      </c>
      <c r="D1860" s="68" t="s">
        <v>285</v>
      </c>
      <c r="E1860" s="10" t="str">
        <f>TRIM(VLOOKUP(D1860,TB!$B$9:$C$1500,2,FALSE))</f>
        <v>Misc Cash Purchase</v>
      </c>
      <c r="F1860" s="12" t="s">
        <v>633</v>
      </c>
      <c r="G1860" s="130"/>
      <c r="H1860" s="10">
        <v>1500000</v>
      </c>
      <c r="I1860" s="10">
        <f t="shared" si="135"/>
        <v>0</v>
      </c>
      <c r="J1860" s="79" t="e">
        <f t="shared" si="129"/>
        <v>#VALUE!</v>
      </c>
      <c r="K1860" s="106"/>
      <c r="L1860" s="107"/>
      <c r="M1860" s="106"/>
      <c r="N1860" s="106"/>
      <c r="O1860" s="108"/>
      <c r="P1860" s="108"/>
      <c r="Q1860" s="108"/>
      <c r="R1860" s="109"/>
      <c r="S1860" s="109"/>
      <c r="T1860" s="108"/>
      <c r="U1860" s="110"/>
      <c r="V1860" s="110"/>
      <c r="W1860" s="110"/>
      <c r="X1860" s="110"/>
    </row>
    <row r="1861" spans="1:24" ht="14.25" customHeight="1">
      <c r="A1861" s="110"/>
      <c r="B1861" s="125">
        <v>46182</v>
      </c>
      <c r="C1861" s="126" t="s">
        <v>632</v>
      </c>
      <c r="D1861" s="15" t="s">
        <v>124</v>
      </c>
      <c r="E1861" s="10" t="str">
        <f>TRIM(VLOOKUP(D1861,TB!$B$9:$C$1500,2,FALSE))</f>
        <v>Bank charges</v>
      </c>
      <c r="F1861" s="12" t="s">
        <v>633</v>
      </c>
      <c r="G1861" s="130"/>
      <c r="H1861" s="10">
        <v>2500</v>
      </c>
      <c r="I1861" s="10"/>
      <c r="J1861" s="79" t="e">
        <f t="shared" si="129"/>
        <v>#VALUE!</v>
      </c>
      <c r="K1861" s="106"/>
      <c r="L1861" s="107"/>
      <c r="M1861" s="106"/>
      <c r="N1861" s="106"/>
      <c r="O1861" s="108"/>
      <c r="P1861" s="108"/>
      <c r="Q1861" s="108"/>
      <c r="R1861" s="109"/>
      <c r="S1861" s="109"/>
      <c r="T1861" s="108"/>
      <c r="U1861" s="110"/>
      <c r="V1861" s="110"/>
      <c r="W1861" s="110"/>
      <c r="X1861" s="110"/>
    </row>
    <row r="1862" spans="1:24" ht="14.25" customHeight="1">
      <c r="A1862" s="110"/>
      <c r="B1862" s="125">
        <v>46182</v>
      </c>
      <c r="C1862" s="126" t="s">
        <v>632</v>
      </c>
      <c r="D1862" s="68" t="s">
        <v>130</v>
      </c>
      <c r="E1862" s="10" t="str">
        <f>TRIM(VLOOKUP(D1862,TB!$B$9:$C$1500,2,FALSE))</f>
        <v>BCA TBB</v>
      </c>
      <c r="F1862" s="12" t="str">
        <f>F1860</f>
        <v>Arash - Fee Dj 26 May 26</v>
      </c>
      <c r="G1862" s="130"/>
      <c r="H1862" s="10"/>
      <c r="I1862" s="10">
        <f>SUM(H1860:H1861)</f>
        <v>1502500</v>
      </c>
      <c r="J1862" s="79" t="e">
        <f t="shared" si="129"/>
        <v>#VALUE!</v>
      </c>
      <c r="K1862" s="106"/>
      <c r="L1862" s="107"/>
      <c r="M1862" s="106"/>
      <c r="N1862" s="106"/>
      <c r="O1862" s="108"/>
      <c r="P1862" s="108"/>
      <c r="Q1862" s="108"/>
      <c r="R1862" s="109"/>
      <c r="S1862" s="109"/>
      <c r="T1862" s="108"/>
      <c r="U1862" s="110"/>
      <c r="V1862" s="110"/>
      <c r="W1862" s="110"/>
      <c r="X1862" s="110"/>
    </row>
    <row r="1863" spans="1:24" ht="14.25" customHeight="1">
      <c r="A1863" s="110"/>
      <c r="B1863" s="125"/>
      <c r="C1863" s="126"/>
      <c r="D1863" s="179"/>
      <c r="E1863" s="10" t="e">
        <f>TRIM(VLOOKUP(D1863,TB!$B$9:$C$1500,2,FALSE))</f>
        <v>#N/A</v>
      </c>
      <c r="F1863" s="12"/>
      <c r="G1863" s="180"/>
      <c r="H1863" s="12"/>
      <c r="I1863" s="10">
        <f t="shared" ref="I1863:I1864" si="136">SUM(H1862)</f>
        <v>0</v>
      </c>
      <c r="J1863" s="79" t="e">
        <f t="shared" si="129"/>
        <v>#VALUE!</v>
      </c>
      <c r="K1863" s="106"/>
      <c r="L1863" s="107"/>
      <c r="M1863" s="106"/>
      <c r="N1863" s="106"/>
      <c r="O1863" s="108"/>
      <c r="P1863" s="108"/>
      <c r="Q1863" s="108"/>
      <c r="R1863" s="109"/>
      <c r="S1863" s="109"/>
      <c r="T1863" s="108"/>
      <c r="U1863" s="110"/>
      <c r="V1863" s="110"/>
      <c r="W1863" s="110"/>
      <c r="X1863" s="110"/>
    </row>
    <row r="1864" spans="1:24" ht="14.25" customHeight="1">
      <c r="A1864" s="110"/>
      <c r="B1864" s="125">
        <v>46182</v>
      </c>
      <c r="C1864" s="126" t="s">
        <v>634</v>
      </c>
      <c r="D1864" s="68" t="s">
        <v>285</v>
      </c>
      <c r="E1864" s="10" t="str">
        <f>TRIM(VLOOKUP(D1864,TB!$B$9:$C$1500,2,FALSE))</f>
        <v>Misc Cash Purchase</v>
      </c>
      <c r="F1864" s="12" t="s">
        <v>635</v>
      </c>
      <c r="G1864" s="130"/>
      <c r="H1864" s="10">
        <v>2000000</v>
      </c>
      <c r="I1864" s="10">
        <f t="shared" si="136"/>
        <v>0</v>
      </c>
      <c r="J1864" s="79" t="e">
        <f t="shared" si="129"/>
        <v>#VALUE!</v>
      </c>
      <c r="K1864" s="106"/>
      <c r="L1864" s="107"/>
      <c r="M1864" s="106"/>
      <c r="N1864" s="106"/>
      <c r="O1864" s="108"/>
      <c r="P1864" s="108"/>
      <c r="Q1864" s="108"/>
      <c r="R1864" s="109"/>
      <c r="S1864" s="109"/>
      <c r="T1864" s="108"/>
      <c r="U1864" s="110"/>
      <c r="V1864" s="110"/>
      <c r="W1864" s="110"/>
      <c r="X1864" s="110"/>
    </row>
    <row r="1865" spans="1:24" ht="14.25" customHeight="1">
      <c r="A1865" s="110"/>
      <c r="B1865" s="125">
        <v>46182</v>
      </c>
      <c r="C1865" s="126" t="s">
        <v>634</v>
      </c>
      <c r="D1865" s="15" t="s">
        <v>124</v>
      </c>
      <c r="E1865" s="10" t="str">
        <f>TRIM(VLOOKUP(D1865,TB!$B$9:$C$1500,2,FALSE))</f>
        <v>Bank charges</v>
      </c>
      <c r="F1865" s="12" t="s">
        <v>635</v>
      </c>
      <c r="G1865" s="130"/>
      <c r="H1865" s="10">
        <v>2500</v>
      </c>
      <c r="I1865" s="10"/>
      <c r="J1865" s="79" t="e">
        <f t="shared" si="129"/>
        <v>#VALUE!</v>
      </c>
      <c r="K1865" s="106"/>
      <c r="L1865" s="107"/>
      <c r="M1865" s="106"/>
      <c r="N1865" s="106"/>
      <c r="O1865" s="108"/>
      <c r="P1865" s="108"/>
      <c r="Q1865" s="108"/>
      <c r="R1865" s="109"/>
      <c r="S1865" s="109"/>
      <c r="T1865" s="108"/>
      <c r="U1865" s="110"/>
      <c r="V1865" s="110"/>
      <c r="W1865" s="110"/>
      <c r="X1865" s="110"/>
    </row>
    <row r="1866" spans="1:24" ht="14.25" customHeight="1">
      <c r="A1866" s="110"/>
      <c r="B1866" s="125">
        <v>46182</v>
      </c>
      <c r="C1866" s="126" t="s">
        <v>634</v>
      </c>
      <c r="D1866" s="68" t="s">
        <v>130</v>
      </c>
      <c r="E1866" s="10" t="str">
        <f>TRIM(VLOOKUP(D1866,TB!$B$9:$C$1500,2,FALSE))</f>
        <v>BCA TBB</v>
      </c>
      <c r="F1866" s="12" t="str">
        <f>F1864</f>
        <v>Venuto - Fee Dj 27 May 26</v>
      </c>
      <c r="G1866" s="130"/>
      <c r="H1866" s="10"/>
      <c r="I1866" s="10">
        <f>SUM(H1864:H1865)</f>
        <v>2002500</v>
      </c>
      <c r="J1866" s="79" t="e">
        <f t="shared" si="129"/>
        <v>#VALUE!</v>
      </c>
      <c r="K1866" s="106"/>
      <c r="L1866" s="107"/>
      <c r="M1866" s="106"/>
      <c r="N1866" s="106"/>
      <c r="O1866" s="108"/>
      <c r="P1866" s="108"/>
      <c r="Q1866" s="108"/>
      <c r="R1866" s="109"/>
      <c r="S1866" s="109"/>
      <c r="T1866" s="108"/>
      <c r="U1866" s="110"/>
      <c r="V1866" s="110"/>
      <c r="W1866" s="110"/>
      <c r="X1866" s="110"/>
    </row>
    <row r="1867" spans="1:24" ht="14.25" customHeight="1">
      <c r="A1867" s="110"/>
      <c r="B1867" s="125"/>
      <c r="C1867" s="126"/>
      <c r="D1867" s="68"/>
      <c r="E1867" s="10" t="e">
        <f>TRIM(VLOOKUP(D1867,TB!$B$9:$C$1500,2,FALSE))</f>
        <v>#N/A</v>
      </c>
      <c r="F1867" s="12"/>
      <c r="G1867" s="130"/>
      <c r="H1867" s="10"/>
      <c r="I1867" s="10">
        <f t="shared" ref="I1867:I1871" si="137">SUM(H1866)</f>
        <v>0</v>
      </c>
      <c r="J1867" s="79" t="e">
        <f t="shared" si="129"/>
        <v>#VALUE!</v>
      </c>
      <c r="K1867" s="106"/>
      <c r="L1867" s="107"/>
      <c r="M1867" s="106"/>
      <c r="N1867" s="106"/>
      <c r="O1867" s="108"/>
      <c r="P1867" s="108"/>
      <c r="Q1867" s="108"/>
      <c r="R1867" s="109"/>
      <c r="S1867" s="109"/>
      <c r="T1867" s="108"/>
      <c r="U1867" s="110"/>
      <c r="V1867" s="110"/>
      <c r="W1867" s="110"/>
      <c r="X1867" s="110"/>
    </row>
    <row r="1868" spans="1:24" ht="14.25" customHeight="1">
      <c r="A1868" s="110"/>
      <c r="B1868" s="125">
        <v>46182</v>
      </c>
      <c r="C1868" s="126" t="s">
        <v>636</v>
      </c>
      <c r="D1868" s="68" t="s">
        <v>285</v>
      </c>
      <c r="E1868" s="10" t="str">
        <f>TRIM(VLOOKUP(D1868,TB!$B$9:$C$1500,2,FALSE))</f>
        <v>Misc Cash Purchase</v>
      </c>
      <c r="F1868" s="12" t="s">
        <v>637</v>
      </c>
      <c r="G1868" s="130"/>
      <c r="H1868" s="10">
        <v>3322048</v>
      </c>
      <c r="I1868" s="10">
        <f t="shared" si="137"/>
        <v>0</v>
      </c>
      <c r="J1868" s="79" t="e">
        <f t="shared" si="129"/>
        <v>#VALUE!</v>
      </c>
      <c r="K1868" s="106"/>
      <c r="L1868" s="107"/>
      <c r="M1868" s="106"/>
      <c r="N1868" s="106"/>
      <c r="O1868" s="108"/>
      <c r="P1868" s="108"/>
      <c r="Q1868" s="108"/>
      <c r="R1868" s="109"/>
      <c r="S1868" s="109"/>
      <c r="T1868" s="108"/>
      <c r="U1868" s="110"/>
      <c r="V1868" s="110"/>
      <c r="W1868" s="110"/>
      <c r="X1868" s="110"/>
    </row>
    <row r="1869" spans="1:24" ht="14.25" customHeight="1">
      <c r="A1869" s="110"/>
      <c r="B1869" s="125">
        <v>46182</v>
      </c>
      <c r="C1869" s="126" t="s">
        <v>636</v>
      </c>
      <c r="D1869" s="68" t="s">
        <v>130</v>
      </c>
      <c r="E1869" s="10" t="str">
        <f>TRIM(VLOOKUP(D1869,TB!$B$9:$C$1500,2,FALSE))</f>
        <v>BCA TBB</v>
      </c>
      <c r="F1869" s="12" t="str">
        <f>F1868</f>
        <v xml:space="preserve">Xjane - Fee Dj 28,30 May 26 (Deduct Ledger 23 May   677.952 </v>
      </c>
      <c r="G1869" s="130"/>
      <c r="H1869" s="10"/>
      <c r="I1869" s="10">
        <f t="shared" si="137"/>
        <v>3322048</v>
      </c>
      <c r="J1869" s="79" t="e">
        <f t="shared" si="129"/>
        <v>#VALUE!</v>
      </c>
      <c r="K1869" s="106"/>
      <c r="L1869" s="107"/>
      <c r="M1869" s="106"/>
      <c r="N1869" s="106"/>
      <c r="O1869" s="108"/>
      <c r="P1869" s="108"/>
      <c r="Q1869" s="108"/>
      <c r="R1869" s="109"/>
      <c r="S1869" s="109"/>
      <c r="T1869" s="108"/>
      <c r="U1869" s="110"/>
      <c r="V1869" s="110"/>
      <c r="W1869" s="110"/>
      <c r="X1869" s="110"/>
    </row>
    <row r="1870" spans="1:24" ht="14.25" customHeight="1">
      <c r="A1870" s="110"/>
      <c r="B1870" s="125"/>
      <c r="C1870" s="126"/>
      <c r="D1870" s="159"/>
      <c r="E1870" s="10" t="e">
        <f>TRIM(VLOOKUP(D1870,TB!$B$9:$C$1500,2,FALSE))</f>
        <v>#N/A</v>
      </c>
      <c r="F1870" s="173"/>
      <c r="G1870" s="130"/>
      <c r="H1870" s="177"/>
      <c r="I1870" s="10">
        <f t="shared" si="137"/>
        <v>0</v>
      </c>
      <c r="J1870" s="79" t="e">
        <f t="shared" si="129"/>
        <v>#VALUE!</v>
      </c>
      <c r="K1870" s="106"/>
      <c r="L1870" s="107"/>
      <c r="M1870" s="106"/>
      <c r="N1870" s="106"/>
      <c r="O1870" s="108"/>
      <c r="P1870" s="108"/>
      <c r="Q1870" s="108"/>
      <c r="R1870" s="109"/>
      <c r="S1870" s="109"/>
      <c r="T1870" s="108"/>
      <c r="U1870" s="110"/>
      <c r="V1870" s="110"/>
      <c r="W1870" s="110"/>
      <c r="X1870" s="110"/>
    </row>
    <row r="1871" spans="1:24" ht="14.25" customHeight="1">
      <c r="A1871" s="110"/>
      <c r="B1871" s="125">
        <v>46182</v>
      </c>
      <c r="C1871" s="126" t="s">
        <v>638</v>
      </c>
      <c r="D1871" s="68" t="s">
        <v>285</v>
      </c>
      <c r="E1871" s="10" t="str">
        <f>TRIM(VLOOKUP(D1871,TB!$B$9:$C$1500,2,FALSE))</f>
        <v>Misc Cash Purchase</v>
      </c>
      <c r="F1871" s="173" t="s">
        <v>639</v>
      </c>
      <c r="G1871" s="130"/>
      <c r="H1871" s="10">
        <v>2000000</v>
      </c>
      <c r="I1871" s="10">
        <f t="shared" si="137"/>
        <v>0</v>
      </c>
      <c r="J1871" s="79" t="e">
        <f t="shared" si="129"/>
        <v>#VALUE!</v>
      </c>
      <c r="K1871" s="106"/>
      <c r="L1871" s="107"/>
      <c r="M1871" s="106"/>
      <c r="N1871" s="106"/>
      <c r="O1871" s="108"/>
      <c r="P1871" s="108"/>
      <c r="Q1871" s="108"/>
      <c r="R1871" s="109"/>
      <c r="S1871" s="109"/>
      <c r="T1871" s="108"/>
      <c r="U1871" s="110"/>
      <c r="V1871" s="110"/>
      <c r="W1871" s="110"/>
      <c r="X1871" s="110"/>
    </row>
    <row r="1872" spans="1:24" ht="14.25" customHeight="1">
      <c r="A1872" s="110"/>
      <c r="B1872" s="125">
        <v>46182</v>
      </c>
      <c r="C1872" s="126" t="s">
        <v>638</v>
      </c>
      <c r="D1872" s="15" t="s">
        <v>124</v>
      </c>
      <c r="E1872" s="10" t="str">
        <f>TRIM(VLOOKUP(D1872,TB!$B$9:$C$1500,2,FALSE))</f>
        <v>Bank charges</v>
      </c>
      <c r="F1872" s="173" t="s">
        <v>639</v>
      </c>
      <c r="G1872" s="130"/>
      <c r="H1872" s="10">
        <v>2500</v>
      </c>
      <c r="I1872" s="10"/>
      <c r="J1872" s="79" t="e">
        <f t="shared" si="129"/>
        <v>#VALUE!</v>
      </c>
      <c r="K1872" s="106"/>
      <c r="L1872" s="107"/>
      <c r="M1872" s="106"/>
      <c r="N1872" s="106"/>
      <c r="O1872" s="108"/>
      <c r="P1872" s="108"/>
      <c r="Q1872" s="108"/>
      <c r="R1872" s="109"/>
      <c r="S1872" s="109"/>
      <c r="T1872" s="108"/>
      <c r="U1872" s="110"/>
      <c r="V1872" s="110"/>
      <c r="W1872" s="110"/>
      <c r="X1872" s="110"/>
    </row>
    <row r="1873" spans="1:24" ht="14.25" customHeight="1">
      <c r="A1873" s="110"/>
      <c r="B1873" s="125">
        <v>46182</v>
      </c>
      <c r="C1873" s="126" t="s">
        <v>638</v>
      </c>
      <c r="D1873" s="68" t="s">
        <v>130</v>
      </c>
      <c r="E1873" s="10" t="str">
        <f>TRIM(VLOOKUP(D1873,TB!$B$9:$C$1500,2,FALSE))</f>
        <v>BCA TBB</v>
      </c>
      <c r="F1873" s="173" t="str">
        <f>F1871</f>
        <v>Josh Davids - Fee Dj 28 May 26</v>
      </c>
      <c r="G1873" s="130"/>
      <c r="H1873" s="10"/>
      <c r="I1873" s="10">
        <f>SUM(H1871:H1872)</f>
        <v>2002500</v>
      </c>
      <c r="J1873" s="79" t="e">
        <f t="shared" si="129"/>
        <v>#VALUE!</v>
      </c>
      <c r="K1873" s="106"/>
      <c r="L1873" s="107"/>
      <c r="M1873" s="106"/>
      <c r="N1873" s="106"/>
      <c r="O1873" s="108"/>
      <c r="P1873" s="108"/>
      <c r="Q1873" s="108"/>
      <c r="R1873" s="109"/>
      <c r="S1873" s="109"/>
      <c r="T1873" s="108"/>
      <c r="U1873" s="110"/>
      <c r="V1873" s="110"/>
      <c r="W1873" s="110"/>
      <c r="X1873" s="110"/>
    </row>
    <row r="1874" spans="1:24" ht="14.25" customHeight="1">
      <c r="A1874" s="110"/>
      <c r="B1874" s="125"/>
      <c r="C1874" s="126"/>
      <c r="D1874" s="179"/>
      <c r="E1874" s="10" t="e">
        <f>TRIM(VLOOKUP(D1874,TB!$B$9:$C$1500,2,FALSE))</f>
        <v>#N/A</v>
      </c>
      <c r="F1874" s="173"/>
      <c r="G1874" s="130"/>
      <c r="H1874" s="10"/>
      <c r="I1874" s="10">
        <f t="shared" ref="I1874:I1875" si="138">SUM(H1873)</f>
        <v>0</v>
      </c>
      <c r="J1874" s="79" t="e">
        <f t="shared" si="129"/>
        <v>#VALUE!</v>
      </c>
      <c r="K1874" s="106"/>
      <c r="L1874" s="107"/>
      <c r="M1874" s="106"/>
      <c r="N1874" s="106"/>
      <c r="O1874" s="108"/>
      <c r="P1874" s="108"/>
      <c r="Q1874" s="108"/>
      <c r="R1874" s="109"/>
      <c r="S1874" s="109"/>
      <c r="T1874" s="108"/>
      <c r="U1874" s="110"/>
      <c r="V1874" s="110"/>
      <c r="W1874" s="110"/>
      <c r="X1874" s="110"/>
    </row>
    <row r="1875" spans="1:24" ht="14.25" customHeight="1">
      <c r="A1875" s="110"/>
      <c r="B1875" s="125">
        <v>46182</v>
      </c>
      <c r="C1875" s="126" t="s">
        <v>640</v>
      </c>
      <c r="D1875" s="68" t="s">
        <v>285</v>
      </c>
      <c r="E1875" s="10" t="str">
        <f>TRIM(VLOOKUP(D1875,TB!$B$9:$C$1500,2,FALSE))</f>
        <v>Misc Cash Purchase</v>
      </c>
      <c r="F1875" s="173" t="s">
        <v>641</v>
      </c>
      <c r="G1875" s="130"/>
      <c r="H1875" s="10">
        <v>1769308</v>
      </c>
      <c r="I1875" s="10">
        <f t="shared" si="138"/>
        <v>0</v>
      </c>
      <c r="J1875" s="79" t="e">
        <f t="shared" si="129"/>
        <v>#VALUE!</v>
      </c>
      <c r="K1875" s="106"/>
      <c r="L1875" s="107"/>
      <c r="M1875" s="106"/>
      <c r="N1875" s="106"/>
      <c r="O1875" s="108"/>
      <c r="P1875" s="108"/>
      <c r="Q1875" s="108"/>
      <c r="R1875" s="109"/>
      <c r="S1875" s="109"/>
      <c r="T1875" s="108"/>
      <c r="U1875" s="110"/>
      <c r="V1875" s="110"/>
      <c r="W1875" s="110"/>
      <c r="X1875" s="110"/>
    </row>
    <row r="1876" spans="1:24" ht="14.25" customHeight="1">
      <c r="A1876" s="110"/>
      <c r="B1876" s="125">
        <v>46182</v>
      </c>
      <c r="C1876" s="126" t="s">
        <v>640</v>
      </c>
      <c r="D1876" s="15" t="s">
        <v>124</v>
      </c>
      <c r="E1876" s="10" t="str">
        <f>TRIM(VLOOKUP(D1876,TB!$B$9:$C$1500,2,FALSE))</f>
        <v>Bank charges</v>
      </c>
      <c r="F1876" s="173" t="s">
        <v>641</v>
      </c>
      <c r="G1876" s="130"/>
      <c r="H1876" s="10">
        <v>2500</v>
      </c>
      <c r="I1876" s="10"/>
      <c r="J1876" s="79" t="e">
        <f t="shared" si="129"/>
        <v>#VALUE!</v>
      </c>
      <c r="K1876" s="106"/>
      <c r="L1876" s="107"/>
      <c r="M1876" s="106"/>
      <c r="N1876" s="106"/>
      <c r="O1876" s="108"/>
      <c r="P1876" s="108"/>
      <c r="Q1876" s="108"/>
      <c r="R1876" s="109"/>
      <c r="S1876" s="109"/>
      <c r="T1876" s="108"/>
      <c r="U1876" s="110"/>
      <c r="V1876" s="110"/>
      <c r="W1876" s="110"/>
      <c r="X1876" s="110"/>
    </row>
    <row r="1877" spans="1:24" ht="14.25" customHeight="1">
      <c r="A1877" s="110"/>
      <c r="B1877" s="125">
        <v>46182</v>
      </c>
      <c r="C1877" s="126" t="s">
        <v>640</v>
      </c>
      <c r="D1877" s="68" t="s">
        <v>130</v>
      </c>
      <c r="E1877" s="10" t="str">
        <f>TRIM(VLOOKUP(D1877,TB!$B$9:$C$1500,2,FALSE))</f>
        <v>BCA TBB</v>
      </c>
      <c r="F1877" s="173" t="str">
        <f>F1875</f>
        <v xml:space="preserve">El Didion - Fee Dj 28 May 26 (Deduct Ledger 23 May   230.692 </v>
      </c>
      <c r="G1877" s="130"/>
      <c r="H1877" s="10"/>
      <c r="I1877" s="10">
        <f>SUM(H1875:H1876)</f>
        <v>1771808</v>
      </c>
      <c r="J1877" s="79" t="e">
        <f t="shared" si="129"/>
        <v>#VALUE!</v>
      </c>
      <c r="K1877" s="106"/>
      <c r="L1877" s="107"/>
      <c r="M1877" s="106"/>
      <c r="N1877" s="106"/>
      <c r="O1877" s="108"/>
      <c r="P1877" s="108"/>
      <c r="Q1877" s="108"/>
      <c r="R1877" s="109"/>
      <c r="S1877" s="109"/>
      <c r="T1877" s="108"/>
      <c r="U1877" s="110"/>
      <c r="V1877" s="110"/>
      <c r="W1877" s="110"/>
      <c r="X1877" s="110"/>
    </row>
    <row r="1878" spans="1:24" ht="14.25" customHeight="1">
      <c r="A1878" s="110"/>
      <c r="B1878" s="125"/>
      <c r="C1878" s="126"/>
      <c r="D1878" s="181"/>
      <c r="E1878" s="10" t="e">
        <f>TRIM(VLOOKUP(D1878,TB!$B$9:$C$1500,2,FALSE))</f>
        <v>#N/A</v>
      </c>
      <c r="F1878" s="173"/>
      <c r="G1878" s="130"/>
      <c r="H1878" s="10"/>
      <c r="I1878" s="10">
        <f t="shared" ref="I1878:I1879" si="139">SUM(H1877)</f>
        <v>0</v>
      </c>
      <c r="J1878" s="79" t="e">
        <f t="shared" si="129"/>
        <v>#VALUE!</v>
      </c>
      <c r="K1878" s="106"/>
      <c r="L1878" s="107"/>
      <c r="M1878" s="106"/>
      <c r="N1878" s="106"/>
      <c r="O1878" s="108"/>
      <c r="P1878" s="108"/>
      <c r="Q1878" s="108"/>
      <c r="R1878" s="109"/>
      <c r="S1878" s="109"/>
      <c r="T1878" s="108"/>
      <c r="U1878" s="110"/>
      <c r="V1878" s="110"/>
      <c r="W1878" s="110"/>
      <c r="X1878" s="110"/>
    </row>
    <row r="1879" spans="1:24" ht="14.25" customHeight="1">
      <c r="A1879" s="110"/>
      <c r="B1879" s="125">
        <v>46182</v>
      </c>
      <c r="C1879" s="126" t="s">
        <v>642</v>
      </c>
      <c r="D1879" s="68" t="s">
        <v>285</v>
      </c>
      <c r="E1879" s="10" t="str">
        <f>TRIM(VLOOKUP(D1879,TB!$B$9:$C$1500,2,FALSE))</f>
        <v>Misc Cash Purchase</v>
      </c>
      <c r="F1879" s="173" t="s">
        <v>643</v>
      </c>
      <c r="G1879" s="130"/>
      <c r="H1879" s="10">
        <v>2000000</v>
      </c>
      <c r="I1879" s="10">
        <f t="shared" si="139"/>
        <v>0</v>
      </c>
      <c r="J1879" s="79" t="e">
        <f t="shared" si="129"/>
        <v>#VALUE!</v>
      </c>
      <c r="K1879" s="106"/>
      <c r="L1879" s="107"/>
      <c r="M1879" s="106"/>
      <c r="N1879" s="106"/>
      <c r="O1879" s="108"/>
      <c r="P1879" s="108"/>
      <c r="Q1879" s="108"/>
      <c r="R1879" s="109"/>
      <c r="S1879" s="109"/>
      <c r="T1879" s="108"/>
      <c r="U1879" s="110"/>
      <c r="V1879" s="110"/>
      <c r="W1879" s="110"/>
      <c r="X1879" s="110"/>
    </row>
    <row r="1880" spans="1:24" ht="14.25" customHeight="1">
      <c r="A1880" s="110"/>
      <c r="B1880" s="125">
        <v>46182</v>
      </c>
      <c r="C1880" s="126" t="s">
        <v>642</v>
      </c>
      <c r="D1880" s="15" t="s">
        <v>124</v>
      </c>
      <c r="E1880" s="10" t="str">
        <f>TRIM(VLOOKUP(D1880,TB!$B$9:$C$1500,2,FALSE))</f>
        <v>Bank charges</v>
      </c>
      <c r="F1880" s="173" t="s">
        <v>643</v>
      </c>
      <c r="G1880" s="130"/>
      <c r="H1880" s="10">
        <v>2500</v>
      </c>
      <c r="I1880" s="10"/>
      <c r="J1880" s="79" t="e">
        <f t="shared" si="129"/>
        <v>#VALUE!</v>
      </c>
      <c r="K1880" s="106"/>
      <c r="L1880" s="107"/>
      <c r="M1880" s="106"/>
      <c r="N1880" s="106"/>
      <c r="O1880" s="108"/>
      <c r="P1880" s="108"/>
      <c r="Q1880" s="108"/>
      <c r="R1880" s="109"/>
      <c r="S1880" s="109"/>
      <c r="T1880" s="108"/>
      <c r="U1880" s="110"/>
      <c r="V1880" s="110"/>
      <c r="W1880" s="110"/>
      <c r="X1880" s="110"/>
    </row>
    <row r="1881" spans="1:24" ht="14.25" customHeight="1">
      <c r="A1881" s="110"/>
      <c r="B1881" s="125">
        <v>46182</v>
      </c>
      <c r="C1881" s="126" t="s">
        <v>642</v>
      </c>
      <c r="D1881" s="68" t="s">
        <v>130</v>
      </c>
      <c r="E1881" s="10" t="str">
        <f>TRIM(VLOOKUP(D1881,TB!$B$9:$C$1500,2,FALSE))</f>
        <v>BCA TBB</v>
      </c>
      <c r="F1881" s="173" t="str">
        <f>F1879</f>
        <v>Brad Watts - Fee Dj 29 May 26</v>
      </c>
      <c r="G1881" s="130"/>
      <c r="H1881" s="10"/>
      <c r="I1881" s="10">
        <f>SUM(H1879:H1880)</f>
        <v>2002500</v>
      </c>
      <c r="J1881" s="79" t="e">
        <f t="shared" si="129"/>
        <v>#VALUE!</v>
      </c>
      <c r="K1881" s="106"/>
      <c r="L1881" s="107"/>
      <c r="M1881" s="106"/>
      <c r="N1881" s="106"/>
      <c r="O1881" s="108"/>
      <c r="P1881" s="108"/>
      <c r="Q1881" s="108"/>
      <c r="R1881" s="109"/>
      <c r="S1881" s="109"/>
      <c r="T1881" s="108"/>
      <c r="U1881" s="110"/>
      <c r="V1881" s="110"/>
      <c r="W1881" s="110"/>
      <c r="X1881" s="110"/>
    </row>
    <row r="1882" spans="1:24" ht="14.25" customHeight="1">
      <c r="A1882" s="110"/>
      <c r="B1882" s="125"/>
      <c r="C1882" s="126"/>
      <c r="D1882" s="159"/>
      <c r="E1882" s="10" t="e">
        <f>TRIM(VLOOKUP(D1882,TB!$B$9:$C$1500,2,FALSE))</f>
        <v>#N/A</v>
      </c>
      <c r="F1882" s="173"/>
      <c r="G1882" s="130"/>
      <c r="H1882" s="170"/>
      <c r="I1882" s="10">
        <f t="shared" ref="I1882:I1883" si="140">SUM(H1881)</f>
        <v>0</v>
      </c>
      <c r="J1882" s="79" t="e">
        <f t="shared" si="129"/>
        <v>#VALUE!</v>
      </c>
      <c r="K1882" s="132"/>
      <c r="L1882" s="133"/>
      <c r="M1882" s="106"/>
      <c r="N1882" s="106"/>
      <c r="O1882" s="108"/>
      <c r="P1882" s="108"/>
      <c r="Q1882" s="108"/>
      <c r="R1882" s="109"/>
      <c r="S1882" s="109"/>
      <c r="T1882" s="108"/>
      <c r="U1882" s="110"/>
      <c r="V1882" s="110"/>
      <c r="W1882" s="110"/>
      <c r="X1882" s="110"/>
    </row>
    <row r="1883" spans="1:24" ht="14.25" customHeight="1">
      <c r="A1883" s="110"/>
      <c r="B1883" s="125">
        <v>46182</v>
      </c>
      <c r="C1883" s="126" t="s">
        <v>644</v>
      </c>
      <c r="D1883" s="68" t="s">
        <v>285</v>
      </c>
      <c r="E1883" s="10" t="str">
        <f>TRIM(VLOOKUP(D1883,TB!$B$9:$C$1500,2,FALSE))</f>
        <v>Misc Cash Purchase</v>
      </c>
      <c r="F1883" s="173" t="s">
        <v>645</v>
      </c>
      <c r="G1883" s="130"/>
      <c r="H1883" s="170">
        <v>2000000</v>
      </c>
      <c r="I1883" s="10">
        <f t="shared" si="140"/>
        <v>0</v>
      </c>
      <c r="J1883" s="79" t="e">
        <f t="shared" si="129"/>
        <v>#VALUE!</v>
      </c>
      <c r="K1883" s="132"/>
      <c r="L1883" s="133"/>
      <c r="M1883" s="106"/>
      <c r="N1883" s="106"/>
      <c r="O1883" s="108"/>
      <c r="P1883" s="108"/>
      <c r="Q1883" s="108"/>
      <c r="R1883" s="109"/>
      <c r="S1883" s="109"/>
      <c r="T1883" s="108"/>
      <c r="U1883" s="110"/>
      <c r="V1883" s="110"/>
      <c r="W1883" s="110"/>
      <c r="X1883" s="110"/>
    </row>
    <row r="1884" spans="1:24" ht="14.25" customHeight="1">
      <c r="A1884" s="110"/>
      <c r="B1884" s="125">
        <v>46182</v>
      </c>
      <c r="C1884" s="126" t="s">
        <v>644</v>
      </c>
      <c r="D1884" s="15" t="s">
        <v>124</v>
      </c>
      <c r="E1884" s="10" t="str">
        <f>TRIM(VLOOKUP(D1884,TB!$B$9:$C$1500,2,FALSE))</f>
        <v>Bank charges</v>
      </c>
      <c r="F1884" s="173" t="s">
        <v>645</v>
      </c>
      <c r="G1884" s="130"/>
      <c r="H1884" s="10">
        <v>2500</v>
      </c>
      <c r="I1884" s="10"/>
      <c r="J1884" s="79" t="e">
        <f t="shared" si="129"/>
        <v>#VALUE!</v>
      </c>
      <c r="K1884" s="106"/>
      <c r="L1884" s="107"/>
      <c r="M1884" s="106"/>
      <c r="N1884" s="106"/>
      <c r="O1884" s="108"/>
      <c r="P1884" s="108"/>
      <c r="Q1884" s="108"/>
      <c r="R1884" s="109"/>
      <c r="S1884" s="109"/>
      <c r="T1884" s="108"/>
      <c r="U1884" s="110"/>
      <c r="V1884" s="110"/>
      <c r="W1884" s="110"/>
      <c r="X1884" s="110"/>
    </row>
    <row r="1885" spans="1:24" ht="14.25" customHeight="1">
      <c r="A1885" s="110"/>
      <c r="B1885" s="125">
        <v>46182</v>
      </c>
      <c r="C1885" s="126" t="s">
        <v>644</v>
      </c>
      <c r="D1885" s="68" t="s">
        <v>130</v>
      </c>
      <c r="E1885" s="10" t="str">
        <f>TRIM(VLOOKUP(D1885,TB!$B$9:$C$1500,2,FALSE))</f>
        <v>BCA TBB</v>
      </c>
      <c r="F1885" s="173" t="str">
        <f>F1883</f>
        <v>Novecento. - Fee Dj 29 May 26</v>
      </c>
      <c r="G1885" s="130"/>
      <c r="H1885" s="10"/>
      <c r="I1885" s="10">
        <f>SUM(H1883:H1884)</f>
        <v>2002500</v>
      </c>
      <c r="J1885" s="79" t="e">
        <f t="shared" si="129"/>
        <v>#VALUE!</v>
      </c>
      <c r="K1885" s="106"/>
      <c r="L1885" s="107"/>
      <c r="M1885" s="106"/>
      <c r="N1885" s="106"/>
      <c r="O1885" s="108"/>
      <c r="P1885" s="108"/>
      <c r="Q1885" s="108"/>
      <c r="R1885" s="109"/>
      <c r="S1885" s="109"/>
      <c r="T1885" s="108"/>
      <c r="U1885" s="110"/>
      <c r="V1885" s="110"/>
      <c r="W1885" s="110"/>
      <c r="X1885" s="110"/>
    </row>
    <row r="1886" spans="1:24" ht="14.25" customHeight="1">
      <c r="A1886" s="110"/>
      <c r="B1886" s="125"/>
      <c r="C1886" s="126"/>
      <c r="D1886" s="179"/>
      <c r="E1886" s="10" t="e">
        <f>TRIM(VLOOKUP(D1886,TB!$B$9:$C$1500,2,FALSE))</f>
        <v>#N/A</v>
      </c>
      <c r="F1886" s="173"/>
      <c r="G1886" s="130"/>
      <c r="H1886" s="170"/>
      <c r="I1886" s="10">
        <f t="shared" ref="I1886:I1890" si="141">SUM(H1885)</f>
        <v>0</v>
      </c>
      <c r="J1886" s="79" t="e">
        <f t="shared" si="129"/>
        <v>#VALUE!</v>
      </c>
      <c r="K1886" s="106"/>
      <c r="L1886" s="107"/>
      <c r="M1886" s="106"/>
      <c r="N1886" s="106"/>
      <c r="O1886" s="108"/>
      <c r="P1886" s="108"/>
      <c r="Q1886" s="108"/>
      <c r="R1886" s="109"/>
      <c r="S1886" s="109"/>
      <c r="T1886" s="108"/>
      <c r="U1886" s="110"/>
      <c r="V1886" s="110"/>
      <c r="W1886" s="110"/>
      <c r="X1886" s="110"/>
    </row>
    <row r="1887" spans="1:24" ht="14.25" customHeight="1">
      <c r="A1887" s="110"/>
      <c r="B1887" s="125">
        <v>46182</v>
      </c>
      <c r="C1887" s="126" t="s">
        <v>646</v>
      </c>
      <c r="D1887" s="68" t="s">
        <v>285</v>
      </c>
      <c r="E1887" s="10" t="str">
        <f>TRIM(VLOOKUP(D1887,TB!$B$9:$C$1500,2,FALSE))</f>
        <v>Misc Cash Purchase</v>
      </c>
      <c r="F1887" s="173" t="s">
        <v>647</v>
      </c>
      <c r="G1887" s="130"/>
      <c r="H1887" s="170">
        <v>2000000</v>
      </c>
      <c r="I1887" s="10">
        <f t="shared" si="141"/>
        <v>0</v>
      </c>
      <c r="J1887" s="79" t="e">
        <f t="shared" si="129"/>
        <v>#VALUE!</v>
      </c>
      <c r="K1887" s="106"/>
      <c r="L1887" s="107"/>
      <c r="M1887" s="106"/>
      <c r="N1887" s="106"/>
      <c r="O1887" s="108"/>
      <c r="P1887" s="108"/>
      <c r="Q1887" s="108"/>
      <c r="R1887" s="109"/>
      <c r="S1887" s="109"/>
      <c r="T1887" s="108"/>
      <c r="U1887" s="110"/>
      <c r="V1887" s="110"/>
      <c r="W1887" s="110"/>
      <c r="X1887" s="110"/>
    </row>
    <row r="1888" spans="1:24" ht="14.25" customHeight="1">
      <c r="A1888" s="110"/>
      <c r="B1888" s="125">
        <v>46182</v>
      </c>
      <c r="C1888" s="126" t="s">
        <v>646</v>
      </c>
      <c r="D1888" s="68" t="s">
        <v>130</v>
      </c>
      <c r="E1888" s="10" t="str">
        <f>TRIM(VLOOKUP(D1888,TB!$B$9:$C$1500,2,FALSE))</f>
        <v>BCA TBB</v>
      </c>
      <c r="F1888" s="173" t="str">
        <f>F1887</f>
        <v>Amen Rust - Fee Dj 29 May 26</v>
      </c>
      <c r="G1888" s="130"/>
      <c r="H1888" s="10"/>
      <c r="I1888" s="10">
        <f t="shared" si="141"/>
        <v>2000000</v>
      </c>
      <c r="J1888" s="79" t="e">
        <f t="shared" si="129"/>
        <v>#VALUE!</v>
      </c>
      <c r="K1888" s="106"/>
      <c r="L1888" s="107"/>
      <c r="M1888" s="106"/>
      <c r="N1888" s="106"/>
      <c r="O1888" s="108"/>
      <c r="P1888" s="108"/>
      <c r="Q1888" s="108"/>
      <c r="R1888" s="109"/>
      <c r="S1888" s="109"/>
      <c r="T1888" s="108"/>
      <c r="U1888" s="110"/>
      <c r="V1888" s="110"/>
      <c r="W1888" s="110"/>
      <c r="X1888" s="110"/>
    </row>
    <row r="1889" spans="1:24" ht="14.25" customHeight="1">
      <c r="A1889" s="110"/>
      <c r="B1889" s="125"/>
      <c r="C1889" s="126"/>
      <c r="D1889" s="15"/>
      <c r="E1889" s="10" t="e">
        <f>TRIM(VLOOKUP(D1889,TB!$B$9:$C$1500,2,FALSE))</f>
        <v>#N/A</v>
      </c>
      <c r="F1889" s="173"/>
      <c r="G1889" s="130"/>
      <c r="H1889" s="10"/>
      <c r="I1889" s="10">
        <f t="shared" si="141"/>
        <v>0</v>
      </c>
      <c r="J1889" s="79" t="e">
        <f t="shared" si="129"/>
        <v>#VALUE!</v>
      </c>
      <c r="K1889" s="106"/>
      <c r="L1889" s="107"/>
      <c r="M1889" s="106"/>
      <c r="N1889" s="106"/>
      <c r="O1889" s="108"/>
      <c r="P1889" s="108"/>
      <c r="Q1889" s="108"/>
      <c r="R1889" s="109"/>
      <c r="S1889" s="109"/>
      <c r="T1889" s="108"/>
      <c r="U1889" s="110"/>
      <c r="V1889" s="110"/>
      <c r="W1889" s="110"/>
      <c r="X1889" s="110"/>
    </row>
    <row r="1890" spans="1:24" ht="14.25" customHeight="1">
      <c r="A1890" s="110"/>
      <c r="B1890" s="125">
        <v>46182</v>
      </c>
      <c r="C1890" s="126" t="s">
        <v>648</v>
      </c>
      <c r="D1890" s="68" t="s">
        <v>285</v>
      </c>
      <c r="E1890" s="10" t="str">
        <f>TRIM(VLOOKUP(D1890,TB!$B$9:$C$1500,2,FALSE))</f>
        <v>Misc Cash Purchase</v>
      </c>
      <c r="F1890" s="173" t="s">
        <v>649</v>
      </c>
      <c r="G1890" s="130"/>
      <c r="H1890" s="10">
        <v>1251428</v>
      </c>
      <c r="I1890" s="10">
        <f t="shared" si="141"/>
        <v>0</v>
      </c>
      <c r="J1890" s="79" t="e">
        <f t="shared" si="129"/>
        <v>#VALUE!</v>
      </c>
      <c r="K1890" s="106"/>
      <c r="L1890" s="107"/>
      <c r="M1890" s="106"/>
      <c r="N1890" s="106"/>
      <c r="O1890" s="108"/>
      <c r="P1890" s="108"/>
      <c r="Q1890" s="108"/>
      <c r="R1890" s="109"/>
      <c r="S1890" s="109"/>
      <c r="T1890" s="108"/>
      <c r="U1890" s="110"/>
      <c r="V1890" s="110"/>
      <c r="W1890" s="110"/>
      <c r="X1890" s="110"/>
    </row>
    <row r="1891" spans="1:24" ht="14.25" customHeight="1">
      <c r="A1891" s="110"/>
      <c r="B1891" s="125">
        <v>46182</v>
      </c>
      <c r="C1891" s="126" t="s">
        <v>648</v>
      </c>
      <c r="D1891" s="15" t="s">
        <v>124</v>
      </c>
      <c r="E1891" s="10" t="str">
        <f>TRIM(VLOOKUP(D1891,TB!$B$9:$C$1500,2,FALSE))</f>
        <v>Bank charges</v>
      </c>
      <c r="F1891" s="173" t="s">
        <v>649</v>
      </c>
      <c r="G1891" s="130"/>
      <c r="H1891" s="10">
        <v>2500</v>
      </c>
      <c r="I1891" s="10"/>
      <c r="J1891" s="79" t="e">
        <f t="shared" si="129"/>
        <v>#VALUE!</v>
      </c>
      <c r="K1891" s="106"/>
      <c r="L1891" s="107"/>
      <c r="M1891" s="106"/>
      <c r="N1891" s="106"/>
      <c r="O1891" s="108"/>
      <c r="P1891" s="108"/>
      <c r="Q1891" s="108"/>
      <c r="R1891" s="109"/>
      <c r="S1891" s="109"/>
      <c r="T1891" s="108"/>
      <c r="U1891" s="110"/>
      <c r="V1891" s="110"/>
      <c r="W1891" s="110"/>
      <c r="X1891" s="110"/>
    </row>
    <row r="1892" spans="1:24" ht="14.25" customHeight="1">
      <c r="A1892" s="110"/>
      <c r="B1892" s="125">
        <v>46182</v>
      </c>
      <c r="C1892" s="126" t="s">
        <v>648</v>
      </c>
      <c r="D1892" s="68" t="s">
        <v>130</v>
      </c>
      <c r="E1892" s="10" t="str">
        <f>TRIM(VLOOKUP(D1892,TB!$B$9:$C$1500,2,FALSE))</f>
        <v>BCA TBB</v>
      </c>
      <c r="F1892" s="173" t="str">
        <f>F1890</f>
        <v xml:space="preserve">Touch The Sound - Fee Dj 30 May 26 (Deduct Ledger 29 May   112.992 , 30 May   635.580 </v>
      </c>
      <c r="G1892" s="130"/>
      <c r="H1892" s="10"/>
      <c r="I1892" s="10">
        <f>SUM(H1890:H1891)</f>
        <v>1253928</v>
      </c>
      <c r="J1892" s="79" t="e">
        <f t="shared" si="129"/>
        <v>#VALUE!</v>
      </c>
      <c r="K1892" s="106"/>
      <c r="L1892" s="107"/>
      <c r="M1892" s="106"/>
      <c r="N1892" s="106"/>
      <c r="O1892" s="108"/>
      <c r="P1892" s="108"/>
      <c r="Q1892" s="108"/>
      <c r="R1892" s="109"/>
      <c r="S1892" s="109"/>
      <c r="T1892" s="108"/>
      <c r="U1892" s="110"/>
      <c r="V1892" s="110"/>
      <c r="W1892" s="110"/>
      <c r="X1892" s="110"/>
    </row>
    <row r="1893" spans="1:24" ht="14.25" customHeight="1">
      <c r="A1893" s="110"/>
      <c r="B1893" s="125"/>
      <c r="C1893" s="126"/>
      <c r="D1893" s="159"/>
      <c r="E1893" s="10" t="e">
        <f>TRIM(VLOOKUP(D1893,TB!$B$9:$C$1500,2,FALSE))</f>
        <v>#N/A</v>
      </c>
      <c r="F1893" s="173"/>
      <c r="G1893" s="130"/>
      <c r="H1893" s="10"/>
      <c r="I1893" s="10">
        <f t="shared" ref="I1893:I1900" si="142">SUM(H1892)</f>
        <v>0</v>
      </c>
      <c r="J1893" s="79" t="e">
        <f t="shared" si="129"/>
        <v>#VALUE!</v>
      </c>
      <c r="K1893" s="132"/>
      <c r="L1893" s="107"/>
      <c r="M1893" s="106"/>
      <c r="N1893" s="106"/>
      <c r="O1893" s="108"/>
      <c r="P1893" s="108"/>
      <c r="Q1893" s="108"/>
      <c r="R1893" s="109"/>
      <c r="S1893" s="109"/>
      <c r="T1893" s="108"/>
      <c r="U1893" s="110"/>
      <c r="V1893" s="110"/>
      <c r="W1893" s="110"/>
      <c r="X1893" s="110"/>
    </row>
    <row r="1894" spans="1:24" ht="14.25" customHeight="1">
      <c r="A1894" s="110"/>
      <c r="B1894" s="125">
        <v>46182</v>
      </c>
      <c r="C1894" s="126" t="s">
        <v>650</v>
      </c>
      <c r="D1894" s="68" t="s">
        <v>285</v>
      </c>
      <c r="E1894" s="10" t="str">
        <f>TRIM(VLOOKUP(D1894,TB!$B$9:$C$1500,2,FALSE))</f>
        <v>Misc Cash Purchase</v>
      </c>
      <c r="F1894" s="173" t="s">
        <v>651</v>
      </c>
      <c r="G1894" s="130"/>
      <c r="H1894" s="10">
        <v>3705750</v>
      </c>
      <c r="I1894" s="10">
        <f t="shared" si="142"/>
        <v>0</v>
      </c>
      <c r="J1894" s="79" t="e">
        <f t="shared" si="129"/>
        <v>#VALUE!</v>
      </c>
      <c r="K1894" s="106"/>
      <c r="L1894" s="107"/>
      <c r="M1894" s="106"/>
      <c r="N1894" s="106"/>
      <c r="O1894" s="108"/>
      <c r="P1894" s="108"/>
      <c r="Q1894" s="108"/>
      <c r="R1894" s="109"/>
      <c r="S1894" s="109"/>
      <c r="T1894" s="108"/>
      <c r="U1894" s="110"/>
      <c r="V1894" s="110"/>
      <c r="W1894" s="110"/>
      <c r="X1894" s="110"/>
    </row>
    <row r="1895" spans="1:24" ht="14.25" customHeight="1">
      <c r="A1895" s="110"/>
      <c r="B1895" s="125">
        <v>46182</v>
      </c>
      <c r="C1895" s="126" t="s">
        <v>650</v>
      </c>
      <c r="D1895" s="68" t="s">
        <v>130</v>
      </c>
      <c r="E1895" s="10" t="str">
        <f>TRIM(VLOOKUP(D1895,TB!$B$9:$C$1500,2,FALSE))</f>
        <v>BCA TBB</v>
      </c>
      <c r="F1895" s="173" t="str">
        <f>F1894</f>
        <v xml:space="preserve">Shammui - Fee Dj 30 May 26 (Deduct Ledger 20 May   294.250 </v>
      </c>
      <c r="G1895" s="130"/>
      <c r="H1895" s="10"/>
      <c r="I1895" s="10">
        <f t="shared" si="142"/>
        <v>3705750</v>
      </c>
      <c r="J1895" s="79" t="e">
        <f t="shared" si="129"/>
        <v>#VALUE!</v>
      </c>
      <c r="K1895" s="106"/>
      <c r="L1895" s="107"/>
      <c r="M1895" s="106"/>
      <c r="N1895" s="106"/>
      <c r="O1895" s="108"/>
      <c r="P1895" s="108"/>
      <c r="Q1895" s="108"/>
      <c r="R1895" s="109"/>
      <c r="S1895" s="109"/>
      <c r="T1895" s="108"/>
      <c r="U1895" s="110"/>
      <c r="V1895" s="110"/>
      <c r="W1895" s="110"/>
      <c r="X1895" s="110"/>
    </row>
    <row r="1896" spans="1:24" ht="14.25" customHeight="1">
      <c r="A1896" s="110"/>
      <c r="B1896" s="125"/>
      <c r="C1896" s="126"/>
      <c r="D1896" s="179"/>
      <c r="E1896" s="10" t="e">
        <f>TRIM(VLOOKUP(D1896,TB!$B$9:$C$1500,2,FALSE))</f>
        <v>#N/A</v>
      </c>
      <c r="F1896" s="173"/>
      <c r="G1896" s="130"/>
      <c r="H1896" s="10"/>
      <c r="I1896" s="10">
        <f t="shared" si="142"/>
        <v>0</v>
      </c>
      <c r="J1896" s="79" t="e">
        <f t="shared" si="129"/>
        <v>#VALUE!</v>
      </c>
      <c r="K1896" s="106"/>
      <c r="L1896" s="107"/>
      <c r="M1896" s="106"/>
      <c r="N1896" s="106"/>
      <c r="O1896" s="108"/>
      <c r="P1896" s="108"/>
      <c r="Q1896" s="108"/>
      <c r="R1896" s="109"/>
      <c r="S1896" s="109"/>
      <c r="T1896" s="108"/>
      <c r="U1896" s="110"/>
      <c r="V1896" s="110"/>
      <c r="W1896" s="110"/>
      <c r="X1896" s="110"/>
    </row>
    <row r="1897" spans="1:24" ht="14.25" customHeight="1">
      <c r="A1897" s="110"/>
      <c r="B1897" s="125">
        <v>46182</v>
      </c>
      <c r="C1897" s="126" t="s">
        <v>652</v>
      </c>
      <c r="D1897" s="68" t="s">
        <v>285</v>
      </c>
      <c r="E1897" s="10" t="str">
        <f>TRIM(VLOOKUP(D1897,TB!$B$9:$C$1500,2,FALSE))</f>
        <v>Misc Cash Purchase</v>
      </c>
      <c r="F1897" s="173" t="s">
        <v>653</v>
      </c>
      <c r="G1897" s="130"/>
      <c r="H1897" s="10">
        <v>7000000</v>
      </c>
      <c r="I1897" s="10">
        <f t="shared" si="142"/>
        <v>0</v>
      </c>
      <c r="J1897" s="79" t="e">
        <f t="shared" si="129"/>
        <v>#VALUE!</v>
      </c>
      <c r="K1897" s="106"/>
      <c r="L1897" s="107"/>
      <c r="M1897" s="106"/>
      <c r="N1897" s="106"/>
      <c r="O1897" s="108"/>
      <c r="P1897" s="108"/>
      <c r="Q1897" s="108"/>
      <c r="R1897" s="109"/>
      <c r="S1897" s="109"/>
      <c r="T1897" s="108"/>
      <c r="U1897" s="110"/>
      <c r="V1897" s="110"/>
      <c r="W1897" s="110"/>
      <c r="X1897" s="110"/>
    </row>
    <row r="1898" spans="1:24" ht="14.25" customHeight="1">
      <c r="A1898" s="110"/>
      <c r="B1898" s="125">
        <v>46182</v>
      </c>
      <c r="C1898" s="126" t="s">
        <v>652</v>
      </c>
      <c r="D1898" s="68" t="s">
        <v>130</v>
      </c>
      <c r="E1898" s="10" t="str">
        <f>TRIM(VLOOKUP(D1898,TB!$B$9:$C$1500,2,FALSE))</f>
        <v>BCA TBB</v>
      </c>
      <c r="F1898" s="173" t="str">
        <f>F1897</f>
        <v>Zone Two - Fee Dj 31 May 26</v>
      </c>
      <c r="G1898" s="130"/>
      <c r="H1898" s="10"/>
      <c r="I1898" s="10">
        <f t="shared" si="142"/>
        <v>7000000</v>
      </c>
      <c r="J1898" s="79" t="e">
        <f t="shared" si="129"/>
        <v>#VALUE!</v>
      </c>
      <c r="K1898" s="106"/>
      <c r="L1898" s="107"/>
      <c r="M1898" s="106"/>
      <c r="N1898" s="106"/>
      <c r="O1898" s="108"/>
      <c r="P1898" s="108"/>
      <c r="Q1898" s="108"/>
      <c r="R1898" s="109"/>
      <c r="S1898" s="109"/>
      <c r="T1898" s="108"/>
      <c r="U1898" s="110"/>
      <c r="V1898" s="110"/>
      <c r="W1898" s="110"/>
      <c r="X1898" s="110"/>
    </row>
    <row r="1899" spans="1:24" ht="14.25" customHeight="1">
      <c r="A1899" s="110"/>
      <c r="B1899" s="125"/>
      <c r="C1899" s="126"/>
      <c r="D1899" s="159"/>
      <c r="E1899" s="10" t="e">
        <f>TRIM(VLOOKUP(D1899,TB!$B$9:$C$1500,2,FALSE))</f>
        <v>#N/A</v>
      </c>
      <c r="F1899" s="173"/>
      <c r="G1899" s="130"/>
      <c r="H1899" s="10"/>
      <c r="I1899" s="10">
        <f t="shared" si="142"/>
        <v>0</v>
      </c>
      <c r="J1899" s="79" t="e">
        <f t="shared" si="129"/>
        <v>#VALUE!</v>
      </c>
      <c r="K1899" s="106"/>
      <c r="L1899" s="107"/>
      <c r="M1899" s="106"/>
      <c r="N1899" s="106"/>
      <c r="O1899" s="108"/>
      <c r="P1899" s="108"/>
      <c r="Q1899" s="108"/>
      <c r="R1899" s="109"/>
      <c r="S1899" s="109"/>
      <c r="T1899" s="108"/>
      <c r="U1899" s="110"/>
      <c r="V1899" s="110"/>
      <c r="W1899" s="110"/>
      <c r="X1899" s="110"/>
    </row>
    <row r="1900" spans="1:24" ht="14.25" customHeight="1">
      <c r="A1900" s="110"/>
      <c r="B1900" s="125">
        <v>46182</v>
      </c>
      <c r="C1900" s="126" t="s">
        <v>654</v>
      </c>
      <c r="D1900" s="15" t="s">
        <v>188</v>
      </c>
      <c r="E1900" s="10" t="str">
        <f>TRIM(VLOOKUP(D1900,TB!$B$9:$C$1500,2,FALSE))</f>
        <v>Advertising Costs</v>
      </c>
      <c r="F1900" s="173" t="s">
        <v>655</v>
      </c>
      <c r="G1900" s="130"/>
      <c r="H1900" s="10">
        <v>1400000</v>
      </c>
      <c r="I1900" s="10">
        <f t="shared" si="142"/>
        <v>0</v>
      </c>
      <c r="J1900" s="79" t="e">
        <f t="shared" si="129"/>
        <v>#VALUE!</v>
      </c>
      <c r="K1900" s="106"/>
      <c r="L1900" s="107"/>
      <c r="M1900" s="106"/>
      <c r="N1900" s="106"/>
      <c r="O1900" s="108"/>
      <c r="P1900" s="108"/>
      <c r="Q1900" s="108"/>
      <c r="R1900" s="109"/>
      <c r="S1900" s="109"/>
      <c r="T1900" s="108"/>
      <c r="U1900" s="110"/>
      <c r="V1900" s="110"/>
      <c r="W1900" s="110"/>
      <c r="X1900" s="110"/>
    </row>
    <row r="1901" spans="1:24" ht="14.25" customHeight="1">
      <c r="A1901" s="110"/>
      <c r="B1901" s="125">
        <v>46182</v>
      </c>
      <c r="C1901" s="126" t="s">
        <v>654</v>
      </c>
      <c r="D1901" s="15" t="s">
        <v>124</v>
      </c>
      <c r="E1901" s="10" t="str">
        <f>TRIM(VLOOKUP(D1901,TB!$B$9:$C$1500,2,FALSE))</f>
        <v>Bank charges</v>
      </c>
      <c r="F1901" s="173" t="s">
        <v>655</v>
      </c>
      <c r="G1901" s="130"/>
      <c r="H1901" s="10">
        <v>1000</v>
      </c>
      <c r="I1901" s="10"/>
      <c r="J1901" s="79" t="e">
        <f t="shared" si="129"/>
        <v>#VALUE!</v>
      </c>
      <c r="K1901" s="106"/>
      <c r="L1901" s="107"/>
      <c r="M1901" s="106"/>
      <c r="N1901" s="106"/>
      <c r="O1901" s="108"/>
      <c r="P1901" s="108"/>
      <c r="Q1901" s="108"/>
      <c r="R1901" s="109"/>
      <c r="S1901" s="109"/>
      <c r="T1901" s="108"/>
      <c r="U1901" s="110"/>
      <c r="V1901" s="110"/>
      <c r="W1901" s="110"/>
      <c r="X1901" s="110"/>
    </row>
    <row r="1902" spans="1:24" ht="14.25" customHeight="1">
      <c r="A1902" s="110"/>
      <c r="B1902" s="125">
        <v>46182</v>
      </c>
      <c r="C1902" s="126" t="s">
        <v>654</v>
      </c>
      <c r="D1902" s="68" t="s">
        <v>130</v>
      </c>
      <c r="E1902" s="10" t="str">
        <f>TRIM(VLOOKUP(D1902,TB!$B$9:$C$1500,2,FALSE))</f>
        <v>BCA TBB</v>
      </c>
      <c r="F1902" s="173" t="str">
        <f>F1900</f>
        <v>Top ads sos med 09 June 2026</v>
      </c>
      <c r="G1902" s="130"/>
      <c r="H1902" s="10"/>
      <c r="I1902" s="10">
        <v>1401000</v>
      </c>
      <c r="J1902" s="79" t="e">
        <f t="shared" si="129"/>
        <v>#VALUE!</v>
      </c>
      <c r="K1902" s="106"/>
      <c r="L1902" s="107"/>
      <c r="M1902" s="106"/>
      <c r="N1902" s="106"/>
      <c r="O1902" s="108"/>
      <c r="P1902" s="108"/>
      <c r="Q1902" s="108"/>
      <c r="R1902" s="109"/>
      <c r="S1902" s="109"/>
      <c r="T1902" s="108"/>
      <c r="U1902" s="110"/>
      <c r="V1902" s="110"/>
      <c r="W1902" s="110"/>
      <c r="X1902" s="110"/>
    </row>
    <row r="1903" spans="1:24" ht="14.25" customHeight="1">
      <c r="A1903" s="110"/>
      <c r="B1903" s="125"/>
      <c r="C1903" s="126"/>
      <c r="D1903" s="159"/>
      <c r="E1903" s="10" t="e">
        <f>TRIM(VLOOKUP(D1903,TB!$B$9:$C$1500,2,FALSE))</f>
        <v>#N/A</v>
      </c>
      <c r="F1903" s="173"/>
      <c r="G1903" s="130"/>
      <c r="H1903" s="10"/>
      <c r="I1903" s="10">
        <f t="shared" ref="I1903:I1924" si="143">SUM(H1902)</f>
        <v>0</v>
      </c>
      <c r="J1903" s="79" t="e">
        <f t="shared" si="129"/>
        <v>#VALUE!</v>
      </c>
      <c r="K1903" s="106"/>
      <c r="L1903" s="107"/>
      <c r="M1903" s="106"/>
      <c r="N1903" s="106"/>
      <c r="O1903" s="108"/>
      <c r="P1903" s="108"/>
      <c r="Q1903" s="108"/>
      <c r="R1903" s="109"/>
      <c r="S1903" s="109"/>
      <c r="T1903" s="108"/>
      <c r="U1903" s="110"/>
      <c r="V1903" s="110"/>
      <c r="W1903" s="110"/>
      <c r="X1903" s="110"/>
    </row>
    <row r="1904" spans="1:24" ht="14.25" customHeight="1">
      <c r="A1904" s="110"/>
      <c r="B1904" s="125">
        <v>46182</v>
      </c>
      <c r="C1904" s="126" t="s">
        <v>656</v>
      </c>
      <c r="D1904" s="174" t="s">
        <v>438</v>
      </c>
      <c r="E1904" s="10" t="str">
        <f>TRIM(VLOOKUP(D1904,TB!$B$9:$C$1500,2,FALSE))</f>
        <v>Brochure Flyer Printing</v>
      </c>
      <c r="F1904" s="173" t="s">
        <v>657</v>
      </c>
      <c r="G1904" s="130"/>
      <c r="H1904" s="10">
        <v>415000</v>
      </c>
      <c r="I1904" s="10">
        <f t="shared" si="143"/>
        <v>0</v>
      </c>
      <c r="J1904" s="79" t="e">
        <f t="shared" si="129"/>
        <v>#VALUE!</v>
      </c>
      <c r="K1904" s="106"/>
      <c r="L1904" s="107"/>
      <c r="M1904" s="106"/>
      <c r="N1904" s="106"/>
      <c r="O1904" s="108"/>
      <c r="P1904" s="108"/>
      <c r="Q1904" s="108"/>
      <c r="R1904" s="109"/>
      <c r="S1904" s="109"/>
      <c r="T1904" s="108"/>
      <c r="U1904" s="110"/>
      <c r="V1904" s="110"/>
      <c r="W1904" s="110"/>
      <c r="X1904" s="110"/>
    </row>
    <row r="1905" spans="1:24" ht="14.25" customHeight="1">
      <c r="A1905" s="110"/>
      <c r="B1905" s="125">
        <v>46182</v>
      </c>
      <c r="C1905" s="126" t="s">
        <v>656</v>
      </c>
      <c r="D1905" s="68" t="s">
        <v>130</v>
      </c>
      <c r="E1905" s="10" t="str">
        <f>TRIM(VLOOKUP(D1905,TB!$B$9:$C$1500,2,FALSE))</f>
        <v>BCA TBB</v>
      </c>
      <c r="F1905" s="173" t="str">
        <f>F1904</f>
        <v>Eka Print - Inv. 9 June 26</v>
      </c>
      <c r="G1905" s="130"/>
      <c r="H1905" s="10"/>
      <c r="I1905" s="10">
        <f t="shared" si="143"/>
        <v>415000</v>
      </c>
      <c r="J1905" s="79" t="e">
        <f t="shared" si="129"/>
        <v>#VALUE!</v>
      </c>
      <c r="K1905" s="106"/>
      <c r="L1905" s="107"/>
      <c r="M1905" s="106"/>
      <c r="N1905" s="106"/>
      <c r="O1905" s="108"/>
      <c r="P1905" s="108"/>
      <c r="Q1905" s="108"/>
      <c r="R1905" s="109"/>
      <c r="S1905" s="109"/>
      <c r="T1905" s="108"/>
      <c r="U1905" s="110"/>
      <c r="V1905" s="110"/>
      <c r="W1905" s="110"/>
      <c r="X1905" s="110"/>
    </row>
    <row r="1906" spans="1:24" ht="14.25" customHeight="1">
      <c r="A1906" s="110"/>
      <c r="B1906" s="125"/>
      <c r="C1906" s="126"/>
      <c r="D1906" s="159"/>
      <c r="E1906" s="10" t="e">
        <f>TRIM(VLOOKUP(D1906,TB!$B$9:$C$1500,2,FALSE))</f>
        <v>#N/A</v>
      </c>
      <c r="F1906" s="173"/>
      <c r="G1906" s="130"/>
      <c r="H1906" s="10"/>
      <c r="I1906" s="10">
        <f t="shared" si="143"/>
        <v>0</v>
      </c>
      <c r="J1906" s="79" t="e">
        <f t="shared" si="129"/>
        <v>#VALUE!</v>
      </c>
      <c r="K1906" s="106"/>
      <c r="L1906" s="107"/>
      <c r="M1906" s="106"/>
      <c r="N1906" s="106"/>
      <c r="O1906" s="108"/>
      <c r="P1906" s="108"/>
      <c r="Q1906" s="108"/>
      <c r="R1906" s="109"/>
      <c r="S1906" s="109"/>
      <c r="T1906" s="108"/>
      <c r="U1906" s="110"/>
      <c r="V1906" s="110"/>
      <c r="W1906" s="110"/>
      <c r="X1906" s="110"/>
    </row>
    <row r="1907" spans="1:24" ht="14.25" customHeight="1">
      <c r="A1907" s="110"/>
      <c r="B1907" s="125">
        <v>46182</v>
      </c>
      <c r="C1907" s="126" t="s">
        <v>658</v>
      </c>
      <c r="D1907" s="15" t="s">
        <v>659</v>
      </c>
      <c r="E1907" s="10" t="str">
        <f>TRIM(VLOOKUP(D1907,TB!$B$9:$C$1500,2,FALSE))</f>
        <v>COS - Entertainment</v>
      </c>
      <c r="F1907" s="173" t="s">
        <v>660</v>
      </c>
      <c r="G1907" s="130"/>
      <c r="H1907" s="10">
        <v>500000</v>
      </c>
      <c r="I1907" s="10">
        <f t="shared" si="143"/>
        <v>0</v>
      </c>
      <c r="J1907" s="79" t="e">
        <f t="shared" si="129"/>
        <v>#VALUE!</v>
      </c>
      <c r="K1907" s="106"/>
      <c r="L1907" s="107"/>
      <c r="M1907" s="106"/>
      <c r="N1907" s="106"/>
      <c r="O1907" s="108"/>
      <c r="P1907" s="108"/>
      <c r="Q1907" s="108"/>
      <c r="R1907" s="109"/>
      <c r="S1907" s="109"/>
      <c r="T1907" s="108"/>
      <c r="U1907" s="110"/>
      <c r="V1907" s="110"/>
      <c r="W1907" s="110"/>
      <c r="X1907" s="110"/>
    </row>
    <row r="1908" spans="1:24" ht="14.25" customHeight="1">
      <c r="A1908" s="110"/>
      <c r="B1908" s="125">
        <v>46182</v>
      </c>
      <c r="C1908" s="126" t="s">
        <v>658</v>
      </c>
      <c r="D1908" s="68" t="s">
        <v>130</v>
      </c>
      <c r="E1908" s="10" t="str">
        <f>TRIM(VLOOKUP(D1908,TB!$B$9:$C$1500,2,FALSE))</f>
        <v>BCA TBB</v>
      </c>
      <c r="F1908" s="173" t="str">
        <f>F1907</f>
        <v>Komang - Fee Driver for pick up/ drop off for mustache djs</v>
      </c>
      <c r="G1908" s="130"/>
      <c r="H1908" s="10"/>
      <c r="I1908" s="10">
        <f t="shared" si="143"/>
        <v>500000</v>
      </c>
      <c r="J1908" s="79" t="e">
        <f t="shared" si="129"/>
        <v>#VALUE!</v>
      </c>
      <c r="K1908" s="106"/>
      <c r="L1908" s="107"/>
      <c r="M1908" s="106"/>
      <c r="N1908" s="106"/>
      <c r="O1908" s="108"/>
      <c r="P1908" s="108"/>
      <c r="Q1908" s="108"/>
      <c r="R1908" s="109"/>
      <c r="S1908" s="109"/>
      <c r="T1908" s="108"/>
      <c r="U1908" s="110"/>
      <c r="V1908" s="110"/>
      <c r="W1908" s="110"/>
      <c r="X1908" s="110"/>
    </row>
    <row r="1909" spans="1:24" ht="14.25" customHeight="1">
      <c r="A1909" s="110"/>
      <c r="B1909" s="125"/>
      <c r="C1909" s="126"/>
      <c r="D1909" s="159"/>
      <c r="E1909" s="10" t="e">
        <f>TRIM(VLOOKUP(D1909,TB!$B$9:$C$1500,2,FALSE))</f>
        <v>#N/A</v>
      </c>
      <c r="F1909" s="173"/>
      <c r="G1909" s="130"/>
      <c r="H1909" s="10"/>
      <c r="I1909" s="10">
        <f t="shared" si="143"/>
        <v>0</v>
      </c>
      <c r="J1909" s="79" t="e">
        <f t="shared" si="129"/>
        <v>#VALUE!</v>
      </c>
      <c r="K1909" s="106"/>
      <c r="L1909" s="107"/>
      <c r="M1909" s="106"/>
      <c r="N1909" s="106"/>
      <c r="O1909" s="108"/>
      <c r="P1909" s="108"/>
      <c r="Q1909" s="108"/>
      <c r="R1909" s="109"/>
      <c r="S1909" s="109"/>
      <c r="T1909" s="108"/>
      <c r="U1909" s="110"/>
      <c r="V1909" s="110"/>
      <c r="W1909" s="110"/>
      <c r="X1909" s="110"/>
    </row>
    <row r="1910" spans="1:24" ht="14.25" customHeight="1">
      <c r="A1910" s="110"/>
      <c r="B1910" s="125">
        <v>46182</v>
      </c>
      <c r="C1910" s="126" t="s">
        <v>661</v>
      </c>
      <c r="D1910" s="68" t="s">
        <v>285</v>
      </c>
      <c r="E1910" s="10" t="str">
        <f>TRIM(VLOOKUP(D1910,TB!$B$9:$C$1500,2,FALSE))</f>
        <v>Misc Cash Purchase</v>
      </c>
      <c r="F1910" s="173" t="s">
        <v>662</v>
      </c>
      <c r="G1910" s="130"/>
      <c r="H1910" s="10">
        <v>2000000</v>
      </c>
      <c r="I1910" s="10">
        <f t="shared" si="143"/>
        <v>0</v>
      </c>
      <c r="J1910" s="79" t="e">
        <f t="shared" si="129"/>
        <v>#VALUE!</v>
      </c>
      <c r="K1910" s="106"/>
      <c r="L1910" s="107"/>
      <c r="M1910" s="106"/>
      <c r="N1910" s="106"/>
      <c r="O1910" s="108"/>
      <c r="P1910" s="108"/>
      <c r="Q1910" s="108"/>
      <c r="R1910" s="109"/>
      <c r="S1910" s="109"/>
      <c r="T1910" s="108"/>
      <c r="U1910" s="110"/>
      <c r="V1910" s="110"/>
      <c r="W1910" s="110"/>
      <c r="X1910" s="110"/>
    </row>
    <row r="1911" spans="1:24" ht="14.25" customHeight="1">
      <c r="A1911" s="110"/>
      <c r="B1911" s="125">
        <v>46182</v>
      </c>
      <c r="C1911" s="126" t="s">
        <v>661</v>
      </c>
      <c r="D1911" s="68" t="s">
        <v>130</v>
      </c>
      <c r="E1911" s="10" t="str">
        <f>TRIM(VLOOKUP(D1911,TB!$B$9:$C$1500,2,FALSE))</f>
        <v>BCA TBB</v>
      </c>
      <c r="F1911" s="173" t="str">
        <f>F1910</f>
        <v>Soulmantra (Mvnv) - Fee Dj 27 May 26</v>
      </c>
      <c r="G1911" s="130"/>
      <c r="H1911" s="10"/>
      <c r="I1911" s="10">
        <f t="shared" si="143"/>
        <v>2000000</v>
      </c>
      <c r="J1911" s="79" t="e">
        <f t="shared" si="129"/>
        <v>#VALUE!</v>
      </c>
      <c r="K1911" s="106"/>
      <c r="L1911" s="107"/>
      <c r="M1911" s="106"/>
      <c r="N1911" s="106"/>
      <c r="O1911" s="108"/>
      <c r="P1911" s="108"/>
      <c r="Q1911" s="108"/>
      <c r="R1911" s="109"/>
      <c r="S1911" s="109"/>
      <c r="T1911" s="108"/>
      <c r="U1911" s="110"/>
      <c r="V1911" s="110"/>
      <c r="W1911" s="110"/>
      <c r="X1911" s="110"/>
    </row>
    <row r="1912" spans="1:24" ht="14.25" customHeight="1">
      <c r="A1912" s="110"/>
      <c r="B1912" s="125"/>
      <c r="C1912" s="126"/>
      <c r="D1912" s="159"/>
      <c r="E1912" s="10" t="e">
        <f>TRIM(VLOOKUP(D1912,TB!$B$9:$C$1500,2,FALSE))</f>
        <v>#N/A</v>
      </c>
      <c r="F1912" s="173"/>
      <c r="G1912" s="130"/>
      <c r="H1912" s="10"/>
      <c r="I1912" s="10">
        <f t="shared" si="143"/>
        <v>0</v>
      </c>
      <c r="J1912" s="79" t="e">
        <f t="shared" si="129"/>
        <v>#VALUE!</v>
      </c>
      <c r="K1912" s="106"/>
      <c r="L1912" s="107"/>
      <c r="M1912" s="106"/>
      <c r="N1912" s="106"/>
      <c r="O1912" s="108"/>
      <c r="P1912" s="108"/>
      <c r="Q1912" s="108"/>
      <c r="R1912" s="109"/>
      <c r="S1912" s="109"/>
      <c r="T1912" s="108"/>
      <c r="U1912" s="110"/>
      <c r="V1912" s="110"/>
      <c r="W1912" s="110"/>
      <c r="X1912" s="110"/>
    </row>
    <row r="1913" spans="1:24" ht="14.25" customHeight="1">
      <c r="A1913" s="110"/>
      <c r="B1913" s="125">
        <v>46182</v>
      </c>
      <c r="C1913" s="126" t="s">
        <v>663</v>
      </c>
      <c r="D1913" s="68" t="s">
        <v>285</v>
      </c>
      <c r="E1913" s="10" t="str">
        <f>TRIM(VLOOKUP(D1913,TB!$B$9:$C$1500,2,FALSE))</f>
        <v>Misc Cash Purchase</v>
      </c>
      <c r="F1913" s="173" t="s">
        <v>664</v>
      </c>
      <c r="G1913" s="130"/>
      <c r="H1913" s="10">
        <v>1000000</v>
      </c>
      <c r="I1913" s="10">
        <f t="shared" si="143"/>
        <v>0</v>
      </c>
      <c r="J1913" s="79" t="e">
        <f t="shared" si="129"/>
        <v>#VALUE!</v>
      </c>
      <c r="K1913" s="106"/>
      <c r="L1913" s="107"/>
      <c r="M1913" s="106"/>
      <c r="N1913" s="106"/>
      <c r="O1913" s="108"/>
      <c r="P1913" s="108"/>
      <c r="Q1913" s="108"/>
      <c r="R1913" s="109"/>
      <c r="S1913" s="109"/>
      <c r="T1913" s="108"/>
      <c r="U1913" s="110"/>
      <c r="V1913" s="110"/>
      <c r="W1913" s="110"/>
      <c r="X1913" s="110"/>
    </row>
    <row r="1914" spans="1:24" ht="14.25" customHeight="1">
      <c r="A1914" s="110"/>
      <c r="B1914" s="125">
        <v>46182</v>
      </c>
      <c r="C1914" s="126" t="s">
        <v>663</v>
      </c>
      <c r="D1914" s="68" t="s">
        <v>130</v>
      </c>
      <c r="E1914" s="10" t="str">
        <f>TRIM(VLOOKUP(D1914,TB!$B$9:$C$1500,2,FALSE))</f>
        <v>BCA TBB</v>
      </c>
      <c r="F1914" s="173" t="str">
        <f>F1913</f>
        <v>Mario - Fee Dj 26 May 26</v>
      </c>
      <c r="G1914" s="130"/>
      <c r="H1914" s="10"/>
      <c r="I1914" s="10">
        <f t="shared" si="143"/>
        <v>1000000</v>
      </c>
      <c r="J1914" s="79" t="e">
        <f t="shared" si="129"/>
        <v>#VALUE!</v>
      </c>
      <c r="K1914" s="106"/>
      <c r="L1914" s="107"/>
      <c r="M1914" s="106"/>
      <c r="N1914" s="106"/>
      <c r="O1914" s="108"/>
      <c r="P1914" s="108"/>
      <c r="Q1914" s="108"/>
      <c r="R1914" s="109"/>
      <c r="S1914" s="109"/>
      <c r="T1914" s="108"/>
      <c r="U1914" s="110"/>
      <c r="V1914" s="110"/>
      <c r="W1914" s="110"/>
      <c r="X1914" s="110"/>
    </row>
    <row r="1915" spans="1:24" ht="14.25" customHeight="1">
      <c r="A1915" s="110"/>
      <c r="B1915" s="125"/>
      <c r="C1915" s="126"/>
      <c r="D1915" s="159"/>
      <c r="E1915" s="10" t="e">
        <f>TRIM(VLOOKUP(D1915,TB!$B$9:$C$1500,2,FALSE))</f>
        <v>#N/A</v>
      </c>
      <c r="F1915" s="173"/>
      <c r="G1915" s="130"/>
      <c r="H1915" s="10"/>
      <c r="I1915" s="10">
        <f t="shared" si="143"/>
        <v>0</v>
      </c>
      <c r="J1915" s="79" t="e">
        <f t="shared" si="129"/>
        <v>#VALUE!</v>
      </c>
      <c r="K1915" s="106"/>
      <c r="L1915" s="107"/>
      <c r="M1915" s="106"/>
      <c r="N1915" s="106"/>
      <c r="O1915" s="108"/>
      <c r="P1915" s="108"/>
      <c r="Q1915" s="108"/>
      <c r="R1915" s="109"/>
      <c r="S1915" s="109"/>
      <c r="T1915" s="108"/>
      <c r="U1915" s="110"/>
      <c r="V1915" s="110"/>
      <c r="W1915" s="110"/>
      <c r="X1915" s="110"/>
    </row>
    <row r="1916" spans="1:24" ht="14.25" customHeight="1">
      <c r="A1916" s="110"/>
      <c r="B1916" s="125">
        <v>46182</v>
      </c>
      <c r="C1916" s="126" t="s">
        <v>665</v>
      </c>
      <c r="D1916" s="68" t="s">
        <v>285</v>
      </c>
      <c r="E1916" s="10" t="str">
        <f>TRIM(VLOOKUP(D1916,TB!$B$9:$C$1500,2,FALSE))</f>
        <v>Misc Cash Purchase</v>
      </c>
      <c r="F1916" s="173" t="s">
        <v>666</v>
      </c>
      <c r="G1916" s="130"/>
      <c r="H1916" s="10">
        <v>1000000</v>
      </c>
      <c r="I1916" s="10">
        <f t="shared" si="143"/>
        <v>0</v>
      </c>
      <c r="J1916" s="79" t="e">
        <f t="shared" si="129"/>
        <v>#VALUE!</v>
      </c>
      <c r="K1916" s="106"/>
      <c r="L1916" s="107"/>
      <c r="M1916" s="106"/>
      <c r="N1916" s="106"/>
      <c r="O1916" s="108"/>
      <c r="P1916" s="108"/>
      <c r="Q1916" s="108"/>
      <c r="R1916" s="109"/>
      <c r="S1916" s="109"/>
      <c r="T1916" s="108"/>
      <c r="U1916" s="110"/>
      <c r="V1916" s="110"/>
      <c r="W1916" s="110"/>
      <c r="X1916" s="110"/>
    </row>
    <row r="1917" spans="1:24" ht="14.25" customHeight="1">
      <c r="A1917" s="110"/>
      <c r="B1917" s="125">
        <v>46182</v>
      </c>
      <c r="C1917" s="126" t="s">
        <v>665</v>
      </c>
      <c r="D1917" s="68" t="s">
        <v>130</v>
      </c>
      <c r="E1917" s="10" t="str">
        <f>TRIM(VLOOKUP(D1917,TB!$B$9:$C$1500,2,FALSE))</f>
        <v>BCA TBB</v>
      </c>
      <c r="F1917" s="173" t="str">
        <f>F1916</f>
        <v>Mc El Chi - Fee 26 May 26</v>
      </c>
      <c r="G1917" s="130"/>
      <c r="H1917" s="10"/>
      <c r="I1917" s="10">
        <f t="shared" si="143"/>
        <v>1000000</v>
      </c>
      <c r="J1917" s="79" t="e">
        <f t="shared" si="129"/>
        <v>#VALUE!</v>
      </c>
      <c r="K1917" s="106"/>
      <c r="L1917" s="107"/>
      <c r="M1917" s="106"/>
      <c r="N1917" s="106"/>
      <c r="O1917" s="108"/>
      <c r="P1917" s="108"/>
      <c r="Q1917" s="108"/>
      <c r="R1917" s="109"/>
      <c r="S1917" s="109"/>
      <c r="T1917" s="108"/>
      <c r="U1917" s="110"/>
      <c r="V1917" s="110"/>
      <c r="W1917" s="110"/>
      <c r="X1917" s="110"/>
    </row>
    <row r="1918" spans="1:24" ht="14.25" customHeight="1">
      <c r="A1918" s="110"/>
      <c r="B1918" s="125"/>
      <c r="C1918" s="126"/>
      <c r="D1918" s="159"/>
      <c r="E1918" s="10" t="e">
        <f>TRIM(VLOOKUP(D1918,TB!$B$9:$C$1500,2,FALSE))</f>
        <v>#N/A</v>
      </c>
      <c r="F1918" s="173"/>
      <c r="G1918" s="130"/>
      <c r="H1918" s="10"/>
      <c r="I1918" s="10">
        <f t="shared" si="143"/>
        <v>0</v>
      </c>
      <c r="J1918" s="79" t="e">
        <f t="shared" si="129"/>
        <v>#VALUE!</v>
      </c>
      <c r="K1918" s="106"/>
      <c r="L1918" s="107"/>
      <c r="M1918" s="106"/>
      <c r="N1918" s="106"/>
      <c r="O1918" s="108"/>
      <c r="P1918" s="108"/>
      <c r="Q1918" s="108"/>
      <c r="R1918" s="109"/>
      <c r="S1918" s="109"/>
      <c r="T1918" s="108"/>
      <c r="U1918" s="110"/>
      <c r="V1918" s="110"/>
      <c r="W1918" s="110"/>
      <c r="X1918" s="110"/>
    </row>
    <row r="1919" spans="1:24" ht="14.25" customHeight="1">
      <c r="A1919" s="110"/>
      <c r="B1919" s="125">
        <v>46182</v>
      </c>
      <c r="C1919" s="126" t="s">
        <v>667</v>
      </c>
      <c r="D1919" s="15" t="s">
        <v>188</v>
      </c>
      <c r="E1919" s="10" t="str">
        <f>TRIM(VLOOKUP(D1919,TB!$B$9:$C$1500,2,FALSE))</f>
        <v>Advertising Costs</v>
      </c>
      <c r="F1919" s="173" t="s">
        <v>668</v>
      </c>
      <c r="G1919" s="130"/>
      <c r="H1919" s="10">
        <v>113200</v>
      </c>
      <c r="I1919" s="10">
        <f t="shared" si="143"/>
        <v>0</v>
      </c>
      <c r="J1919" s="79" t="e">
        <f t="shared" si="129"/>
        <v>#VALUE!</v>
      </c>
      <c r="K1919" s="106"/>
      <c r="L1919" s="107"/>
      <c r="M1919" s="106"/>
      <c r="N1919" s="106"/>
      <c r="O1919" s="108"/>
      <c r="P1919" s="108"/>
      <c r="Q1919" s="108"/>
      <c r="R1919" s="109"/>
      <c r="S1919" s="109"/>
      <c r="T1919" s="108"/>
      <c r="U1919" s="110"/>
      <c r="V1919" s="110"/>
      <c r="W1919" s="110"/>
      <c r="X1919" s="110"/>
    </row>
    <row r="1920" spans="1:24" ht="14.25" customHeight="1">
      <c r="A1920" s="110"/>
      <c r="B1920" s="125">
        <v>46182</v>
      </c>
      <c r="C1920" s="126" t="s">
        <v>667</v>
      </c>
      <c r="D1920" s="68" t="s">
        <v>130</v>
      </c>
      <c r="E1920" s="10" t="str">
        <f>TRIM(VLOOKUP(D1920,TB!$B$9:$C$1500,2,FALSE))</f>
        <v>BCA TBB</v>
      </c>
      <c r="F1920" s="173" t="str">
        <f>F1919</f>
        <v>Therecia - Reimburse Paket HP Office 7 June 26 + Biaya Adm</v>
      </c>
      <c r="G1920" s="130"/>
      <c r="H1920" s="10"/>
      <c r="I1920" s="10">
        <f t="shared" si="143"/>
        <v>113200</v>
      </c>
      <c r="J1920" s="79" t="e">
        <f t="shared" si="129"/>
        <v>#VALUE!</v>
      </c>
      <c r="K1920" s="106"/>
      <c r="L1920" s="107"/>
      <c r="M1920" s="106"/>
      <c r="N1920" s="106"/>
      <c r="O1920" s="108"/>
      <c r="P1920" s="108"/>
      <c r="Q1920" s="108"/>
      <c r="R1920" s="109"/>
      <c r="S1920" s="109"/>
      <c r="T1920" s="108"/>
      <c r="U1920" s="110"/>
      <c r="V1920" s="110"/>
      <c r="W1920" s="110"/>
      <c r="X1920" s="110"/>
    </row>
    <row r="1921" spans="1:24" ht="14.25" customHeight="1">
      <c r="A1921" s="110"/>
      <c r="B1921" s="125"/>
      <c r="C1921" s="126"/>
      <c r="D1921" s="159"/>
      <c r="E1921" s="10" t="e">
        <f>TRIM(VLOOKUP(D1921,TB!$B$9:$C$1500,2,FALSE))</f>
        <v>#N/A</v>
      </c>
      <c r="F1921" s="173"/>
      <c r="G1921" s="130"/>
      <c r="H1921" s="10"/>
      <c r="I1921" s="10">
        <f t="shared" si="143"/>
        <v>0</v>
      </c>
      <c r="J1921" s="79" t="e">
        <f t="shared" si="129"/>
        <v>#VALUE!</v>
      </c>
      <c r="K1921" s="106"/>
      <c r="L1921" s="107"/>
      <c r="M1921" s="106"/>
      <c r="N1921" s="106"/>
      <c r="O1921" s="108"/>
      <c r="P1921" s="108"/>
      <c r="Q1921" s="108"/>
      <c r="R1921" s="109"/>
      <c r="S1921" s="109"/>
      <c r="T1921" s="108"/>
      <c r="U1921" s="110"/>
      <c r="V1921" s="110"/>
      <c r="W1921" s="110"/>
      <c r="X1921" s="110"/>
    </row>
    <row r="1922" spans="1:24" ht="14.25" customHeight="1">
      <c r="A1922" s="110"/>
      <c r="B1922" s="125">
        <v>46182</v>
      </c>
      <c r="C1922" s="126" t="s">
        <v>669</v>
      </c>
      <c r="D1922" s="174" t="s">
        <v>438</v>
      </c>
      <c r="E1922" s="10" t="str">
        <f>TRIM(VLOOKUP(D1922,TB!$B$9:$C$1500,2,FALSE))</f>
        <v>Brochure Flyer Printing</v>
      </c>
      <c r="F1922" s="173" t="s">
        <v>670</v>
      </c>
      <c r="G1922" s="130"/>
      <c r="H1922" s="10">
        <v>96000</v>
      </c>
      <c r="I1922" s="10">
        <f t="shared" si="143"/>
        <v>0</v>
      </c>
      <c r="J1922" s="79" t="e">
        <f t="shared" si="129"/>
        <v>#VALUE!</v>
      </c>
      <c r="K1922" s="106"/>
      <c r="L1922" s="107"/>
      <c r="M1922" s="106"/>
      <c r="N1922" s="106"/>
      <c r="O1922" s="108"/>
      <c r="P1922" s="108"/>
      <c r="Q1922" s="108"/>
      <c r="R1922" s="109"/>
      <c r="S1922" s="109"/>
      <c r="T1922" s="108"/>
      <c r="U1922" s="110"/>
      <c r="V1922" s="110"/>
      <c r="W1922" s="110"/>
      <c r="X1922" s="110"/>
    </row>
    <row r="1923" spans="1:24" ht="14.25" customHeight="1">
      <c r="A1923" s="110"/>
      <c r="B1923" s="125">
        <v>46182</v>
      </c>
      <c r="C1923" s="126" t="s">
        <v>669</v>
      </c>
      <c r="D1923" s="68" t="s">
        <v>130</v>
      </c>
      <c r="E1923" s="10" t="str">
        <f>TRIM(VLOOKUP(D1923,TB!$B$9:$C$1500,2,FALSE))</f>
        <v>BCA TBB</v>
      </c>
      <c r="F1923" s="173" t="str">
        <f>F1922</f>
        <v>CV Bali Star - Inv. 9 June 26</v>
      </c>
      <c r="G1923" s="130"/>
      <c r="H1923" s="10"/>
      <c r="I1923" s="10">
        <f t="shared" si="143"/>
        <v>96000</v>
      </c>
      <c r="J1923" s="79" t="e">
        <f t="shared" si="129"/>
        <v>#VALUE!</v>
      </c>
      <c r="K1923" s="106"/>
      <c r="L1923" s="107"/>
      <c r="M1923" s="106"/>
      <c r="N1923" s="106"/>
      <c r="O1923" s="108"/>
      <c r="P1923" s="108"/>
      <c r="Q1923" s="108"/>
      <c r="R1923" s="109"/>
      <c r="S1923" s="109"/>
      <c r="T1923" s="108"/>
      <c r="U1923" s="110"/>
      <c r="V1923" s="110"/>
      <c r="W1923" s="110"/>
      <c r="X1923" s="110"/>
    </row>
    <row r="1924" spans="1:24" ht="14.25" customHeight="1">
      <c r="A1924" s="110"/>
      <c r="B1924" s="125"/>
      <c r="C1924" s="126"/>
      <c r="D1924" s="159"/>
      <c r="E1924" s="10" t="e">
        <f>TRIM(VLOOKUP(D1924,TB!$B$9:$C$1500,2,FALSE))</f>
        <v>#N/A</v>
      </c>
      <c r="F1924" s="173"/>
      <c r="G1924" s="130"/>
      <c r="H1924" s="10"/>
      <c r="I1924" s="10">
        <f t="shared" si="143"/>
        <v>0</v>
      </c>
      <c r="J1924" s="79" t="e">
        <f t="shared" si="129"/>
        <v>#VALUE!</v>
      </c>
      <c r="K1924" s="106"/>
      <c r="L1924" s="107"/>
      <c r="M1924" s="106"/>
      <c r="N1924" s="106"/>
      <c r="O1924" s="108"/>
      <c r="P1924" s="108"/>
      <c r="Q1924" s="108"/>
      <c r="R1924" s="109"/>
      <c r="S1924" s="109"/>
      <c r="T1924" s="108"/>
      <c r="U1924" s="110"/>
      <c r="V1924" s="110"/>
      <c r="W1924" s="110"/>
      <c r="X1924" s="110"/>
    </row>
    <row r="1925" spans="1:24" ht="14.25" customHeight="1">
      <c r="A1925" s="110"/>
      <c r="B1925" s="125">
        <v>46182</v>
      </c>
      <c r="C1925" s="126" t="s">
        <v>671</v>
      </c>
      <c r="D1925" s="68" t="s">
        <v>130</v>
      </c>
      <c r="E1925" s="10" t="str">
        <f>TRIM(VLOOKUP(D1925,TB!$B$9:$C$1500,2,FALSE))</f>
        <v>BCA TBB</v>
      </c>
      <c r="F1925" s="173" t="s">
        <v>672</v>
      </c>
      <c r="G1925" s="130"/>
      <c r="H1925" s="157">
        <f>I1927-H1926</f>
        <v>1386976.8</v>
      </c>
      <c r="I1925" s="10"/>
      <c r="J1925" s="79" t="e">
        <f t="shared" si="129"/>
        <v>#VALUE!</v>
      </c>
      <c r="K1925" s="106"/>
      <c r="L1925" s="107"/>
      <c r="M1925" s="106"/>
      <c r="N1925" s="106"/>
      <c r="O1925" s="108"/>
      <c r="P1925" s="108"/>
      <c r="Q1925" s="108"/>
      <c r="R1925" s="109"/>
      <c r="S1925" s="109"/>
      <c r="T1925" s="108"/>
      <c r="U1925" s="110"/>
      <c r="V1925" s="110"/>
      <c r="W1925" s="110"/>
      <c r="X1925" s="110"/>
    </row>
    <row r="1926" spans="1:24" ht="14.25" customHeight="1">
      <c r="A1926" s="110"/>
      <c r="B1926" s="125">
        <v>46182</v>
      </c>
      <c r="C1926" s="126" t="s">
        <v>671</v>
      </c>
      <c r="D1926" s="15" t="s">
        <v>124</v>
      </c>
      <c r="E1926" s="10" t="str">
        <f>TRIM(VLOOKUP(D1926,TB!$B$9:$C$1500,2,FALSE))</f>
        <v>Bank charges</v>
      </c>
      <c r="F1926" s="173" t="str">
        <f t="shared" ref="F1926:F1927" si="144">F1925</f>
        <v>BCA CC  07-06-2026</v>
      </c>
      <c r="G1926" s="130"/>
      <c r="H1926" s="157">
        <f>I1927*1.8%</f>
        <v>25423.200000000004</v>
      </c>
      <c r="I1926" s="10"/>
      <c r="J1926" s="79" t="e">
        <f t="shared" si="129"/>
        <v>#VALUE!</v>
      </c>
      <c r="K1926" s="106"/>
      <c r="L1926" s="107"/>
      <c r="M1926" s="106"/>
      <c r="N1926" s="106"/>
      <c r="O1926" s="108"/>
      <c r="P1926" s="108"/>
      <c r="Q1926" s="108"/>
      <c r="R1926" s="109"/>
      <c r="S1926" s="109"/>
      <c r="T1926" s="108"/>
      <c r="U1926" s="110"/>
      <c r="V1926" s="110"/>
      <c r="W1926" s="110"/>
      <c r="X1926" s="110"/>
    </row>
    <row r="1927" spans="1:24" ht="14.25" customHeight="1">
      <c r="A1927" s="110"/>
      <c r="B1927" s="125">
        <v>46182</v>
      </c>
      <c r="C1927" s="126" t="s">
        <v>671</v>
      </c>
      <c r="D1927" s="15" t="s">
        <v>42</v>
      </c>
      <c r="E1927" s="10" t="str">
        <f>TRIM(VLOOKUP(D1927,TB!$B$9:$C$1500,2,FALSE))</f>
        <v>BCA Card TBB</v>
      </c>
      <c r="F1927" s="173" t="str">
        <f t="shared" si="144"/>
        <v>BCA CC  07-06-2026</v>
      </c>
      <c r="G1927" s="130"/>
      <c r="H1927" s="10"/>
      <c r="I1927" s="10">
        <v>1412400</v>
      </c>
      <c r="J1927" s="79" t="e">
        <f t="shared" si="129"/>
        <v>#VALUE!</v>
      </c>
      <c r="K1927" s="106"/>
      <c r="L1927" s="107"/>
      <c r="M1927" s="106"/>
      <c r="N1927" s="106"/>
      <c r="O1927" s="108"/>
      <c r="P1927" s="108"/>
      <c r="Q1927" s="108"/>
      <c r="R1927" s="109"/>
      <c r="S1927" s="109"/>
      <c r="T1927" s="108"/>
      <c r="U1927" s="110"/>
      <c r="V1927" s="110"/>
      <c r="W1927" s="110"/>
      <c r="X1927" s="110"/>
    </row>
    <row r="1928" spans="1:24" ht="14.25" customHeight="1">
      <c r="A1928" s="110"/>
      <c r="B1928" s="125"/>
      <c r="C1928" s="126"/>
      <c r="D1928" s="15"/>
      <c r="E1928" s="10" t="e">
        <f>TRIM(VLOOKUP(D1928,TB!$B$9:$C$1500,2,FALSE))</f>
        <v>#N/A</v>
      </c>
      <c r="F1928" s="173"/>
      <c r="G1928" s="130"/>
      <c r="H1928" s="10"/>
      <c r="I1928" s="10"/>
      <c r="J1928" s="79" t="e">
        <f t="shared" si="129"/>
        <v>#VALUE!</v>
      </c>
      <c r="K1928" s="106"/>
      <c r="L1928" s="107"/>
      <c r="M1928" s="106"/>
      <c r="N1928" s="106"/>
      <c r="O1928" s="108"/>
      <c r="P1928" s="108"/>
      <c r="Q1928" s="108"/>
      <c r="R1928" s="109"/>
      <c r="S1928" s="109"/>
      <c r="T1928" s="108"/>
      <c r="U1928" s="110"/>
      <c r="V1928" s="110"/>
      <c r="W1928" s="110"/>
      <c r="X1928" s="110"/>
    </row>
    <row r="1929" spans="1:24" ht="14.25" customHeight="1">
      <c r="A1929" s="110"/>
      <c r="B1929" s="125">
        <v>46182</v>
      </c>
      <c r="C1929" s="126" t="s">
        <v>673</v>
      </c>
      <c r="D1929" s="68" t="s">
        <v>130</v>
      </c>
      <c r="E1929" s="10" t="str">
        <f>TRIM(VLOOKUP(D1929,TB!$B$9:$C$1500,2,FALSE))</f>
        <v>BCA TBB</v>
      </c>
      <c r="F1929" s="173" t="s">
        <v>674</v>
      </c>
      <c r="G1929" s="130"/>
      <c r="H1929" s="157">
        <f>I1931-H1930</f>
        <v>751279.1</v>
      </c>
      <c r="I1929" s="10"/>
      <c r="J1929" s="79" t="e">
        <f t="shared" si="129"/>
        <v>#VALUE!</v>
      </c>
      <c r="K1929" s="106"/>
      <c r="L1929" s="107"/>
      <c r="M1929" s="106"/>
      <c r="N1929" s="106"/>
      <c r="O1929" s="108"/>
      <c r="P1929" s="108"/>
      <c r="Q1929" s="108"/>
      <c r="R1929" s="109"/>
      <c r="S1929" s="109"/>
      <c r="T1929" s="108"/>
      <c r="U1929" s="110"/>
      <c r="V1929" s="110"/>
      <c r="W1929" s="110"/>
      <c r="X1929" s="110"/>
    </row>
    <row r="1930" spans="1:24" ht="14.25" customHeight="1">
      <c r="A1930" s="110"/>
      <c r="B1930" s="125">
        <v>46182</v>
      </c>
      <c r="C1930" s="126" t="s">
        <v>673</v>
      </c>
      <c r="D1930" s="15" t="s">
        <v>124</v>
      </c>
      <c r="E1930" s="10" t="str">
        <f>TRIM(VLOOKUP(D1930,TB!$B$9:$C$1500,2,FALSE))</f>
        <v>Bank charges</v>
      </c>
      <c r="F1930" s="173" t="str">
        <f t="shared" ref="F1930:F1931" si="145">F1929</f>
        <v>BCA DEBT 07-06-2026</v>
      </c>
      <c r="G1930" s="130"/>
      <c r="H1930" s="157">
        <f>I1931*1.8%</f>
        <v>13770.900000000001</v>
      </c>
      <c r="I1930" s="10"/>
      <c r="J1930" s="79" t="e">
        <f t="shared" si="129"/>
        <v>#VALUE!</v>
      </c>
      <c r="K1930" s="106"/>
      <c r="L1930" s="107"/>
      <c r="M1930" s="106"/>
      <c r="N1930" s="106"/>
      <c r="O1930" s="108"/>
      <c r="P1930" s="108"/>
      <c r="Q1930" s="108"/>
      <c r="R1930" s="109"/>
      <c r="S1930" s="109"/>
      <c r="T1930" s="108"/>
      <c r="U1930" s="110"/>
      <c r="V1930" s="110"/>
      <c r="W1930" s="110"/>
      <c r="X1930" s="110"/>
    </row>
    <row r="1931" spans="1:24" ht="14.25" customHeight="1">
      <c r="A1931" s="110"/>
      <c r="B1931" s="125">
        <v>46182</v>
      </c>
      <c r="C1931" s="126" t="s">
        <v>673</v>
      </c>
      <c r="D1931" s="15" t="s">
        <v>42</v>
      </c>
      <c r="E1931" s="10" t="str">
        <f>TRIM(VLOOKUP(D1931,TB!$B$9:$C$1500,2,FALSE))</f>
        <v>BCA Card TBB</v>
      </c>
      <c r="F1931" s="173" t="str">
        <f t="shared" si="145"/>
        <v>BCA DEBT 07-06-2026</v>
      </c>
      <c r="G1931" s="130"/>
      <c r="H1931" s="10"/>
      <c r="I1931" s="10">
        <v>765050</v>
      </c>
      <c r="J1931" s="79" t="e">
        <f t="shared" si="129"/>
        <v>#VALUE!</v>
      </c>
      <c r="K1931" s="106"/>
      <c r="L1931" s="107"/>
      <c r="M1931" s="106"/>
      <c r="N1931" s="106"/>
      <c r="O1931" s="108"/>
      <c r="P1931" s="108"/>
      <c r="Q1931" s="108"/>
      <c r="R1931" s="109"/>
      <c r="S1931" s="109"/>
      <c r="T1931" s="108"/>
      <c r="U1931" s="110"/>
      <c r="V1931" s="110"/>
      <c r="W1931" s="110"/>
      <c r="X1931" s="110"/>
    </row>
    <row r="1932" spans="1:24" ht="14.25" customHeight="1">
      <c r="A1932" s="110"/>
      <c r="B1932" s="125"/>
      <c r="C1932" s="126"/>
      <c r="D1932" s="15"/>
      <c r="E1932" s="10" t="e">
        <f>TRIM(VLOOKUP(D1932,TB!$B$9:$C$1500,2,FALSE))</f>
        <v>#N/A</v>
      </c>
      <c r="F1932" s="173"/>
      <c r="G1932" s="130"/>
      <c r="H1932" s="10"/>
      <c r="I1932" s="10"/>
      <c r="J1932" s="79" t="e">
        <f t="shared" si="129"/>
        <v>#VALUE!</v>
      </c>
      <c r="K1932" s="106"/>
      <c r="L1932" s="107"/>
      <c r="M1932" s="106"/>
      <c r="N1932" s="106"/>
      <c r="O1932" s="108"/>
      <c r="P1932" s="108"/>
      <c r="Q1932" s="108"/>
      <c r="R1932" s="109"/>
      <c r="S1932" s="109"/>
      <c r="T1932" s="108"/>
      <c r="U1932" s="110"/>
      <c r="V1932" s="110"/>
      <c r="W1932" s="110"/>
      <c r="X1932" s="110"/>
    </row>
    <row r="1933" spans="1:24" ht="14.25" customHeight="1">
      <c r="A1933" s="110"/>
      <c r="B1933" s="125">
        <v>46182</v>
      </c>
      <c r="C1933" s="126" t="s">
        <v>675</v>
      </c>
      <c r="D1933" s="68" t="s">
        <v>130</v>
      </c>
      <c r="E1933" s="10" t="str">
        <f>TRIM(VLOOKUP(D1933,TB!$B$9:$C$1500,2,FALSE))</f>
        <v>BCA TBB</v>
      </c>
      <c r="F1933" s="173" t="s">
        <v>676</v>
      </c>
      <c r="G1933" s="130"/>
      <c r="H1933" s="157">
        <f>I1935-H1934</f>
        <v>161813.96</v>
      </c>
      <c r="I1933" s="10"/>
      <c r="J1933" s="79" t="e">
        <f t="shared" si="129"/>
        <v>#VALUE!</v>
      </c>
      <c r="K1933" s="106"/>
      <c r="L1933" s="107"/>
      <c r="M1933" s="106"/>
      <c r="N1933" s="106"/>
      <c r="O1933" s="108"/>
      <c r="P1933" s="108"/>
      <c r="Q1933" s="108"/>
      <c r="R1933" s="109"/>
      <c r="S1933" s="109"/>
      <c r="T1933" s="108"/>
      <c r="U1933" s="110"/>
      <c r="V1933" s="110"/>
      <c r="W1933" s="110"/>
      <c r="X1933" s="110"/>
    </row>
    <row r="1934" spans="1:24" ht="14.25" customHeight="1">
      <c r="A1934" s="110"/>
      <c r="B1934" s="125">
        <v>46182</v>
      </c>
      <c r="C1934" s="126" t="s">
        <v>675</v>
      </c>
      <c r="D1934" s="15" t="s">
        <v>124</v>
      </c>
      <c r="E1934" s="10" t="str">
        <f>TRIM(VLOOKUP(D1934,TB!$B$9:$C$1500,2,FALSE))</f>
        <v>Bank charges</v>
      </c>
      <c r="F1934" s="173" t="str">
        <f t="shared" ref="F1934:F1935" si="146">F1933</f>
        <v>BCA QR  07-06-2026</v>
      </c>
      <c r="G1934" s="130"/>
      <c r="H1934" s="157">
        <f>I1935*1.8%</f>
        <v>2966.0400000000004</v>
      </c>
      <c r="I1934" s="10"/>
      <c r="J1934" s="79" t="e">
        <f t="shared" si="129"/>
        <v>#VALUE!</v>
      </c>
      <c r="K1934" s="106"/>
      <c r="L1934" s="107"/>
      <c r="M1934" s="106"/>
      <c r="N1934" s="106"/>
      <c r="O1934" s="108"/>
      <c r="P1934" s="108"/>
      <c r="Q1934" s="108"/>
      <c r="R1934" s="109"/>
      <c r="S1934" s="109"/>
      <c r="T1934" s="108"/>
      <c r="U1934" s="110"/>
      <c r="V1934" s="110"/>
      <c r="W1934" s="110"/>
      <c r="X1934" s="110"/>
    </row>
    <row r="1935" spans="1:24" ht="14.25" customHeight="1">
      <c r="A1935" s="110"/>
      <c r="B1935" s="125">
        <v>46182</v>
      </c>
      <c r="C1935" s="126" t="s">
        <v>675</v>
      </c>
      <c r="D1935" s="15" t="s">
        <v>42</v>
      </c>
      <c r="E1935" s="10" t="str">
        <f>TRIM(VLOOKUP(D1935,TB!$B$9:$C$1500,2,FALSE))</f>
        <v>BCA Card TBB</v>
      </c>
      <c r="F1935" s="173" t="str">
        <f t="shared" si="146"/>
        <v>BCA QR  07-06-2026</v>
      </c>
      <c r="G1935" s="130"/>
      <c r="H1935" s="10"/>
      <c r="I1935" s="10">
        <v>164780</v>
      </c>
      <c r="J1935" s="79" t="e">
        <f t="shared" si="129"/>
        <v>#VALUE!</v>
      </c>
      <c r="K1935" s="106"/>
      <c r="L1935" s="107"/>
      <c r="M1935" s="106"/>
      <c r="N1935" s="106"/>
      <c r="O1935" s="108"/>
      <c r="P1935" s="108"/>
      <c r="Q1935" s="108"/>
      <c r="R1935" s="109"/>
      <c r="S1935" s="109"/>
      <c r="T1935" s="108"/>
      <c r="U1935" s="110"/>
      <c r="V1935" s="110"/>
      <c r="W1935" s="110"/>
      <c r="X1935" s="110"/>
    </row>
    <row r="1936" spans="1:24" ht="14.25" customHeight="1">
      <c r="A1936" s="110"/>
      <c r="B1936" s="125"/>
      <c r="C1936" s="126"/>
      <c r="D1936" s="159"/>
      <c r="E1936" s="10" t="e">
        <f>TRIM(VLOOKUP(D1936,TB!$B$9:$C$1500,2,FALSE))</f>
        <v>#N/A</v>
      </c>
      <c r="F1936" s="173"/>
      <c r="G1936" s="130"/>
      <c r="H1936" s="10"/>
      <c r="I1936" s="10"/>
      <c r="J1936" s="79" t="e">
        <f t="shared" si="129"/>
        <v>#VALUE!</v>
      </c>
      <c r="K1936" s="106"/>
      <c r="L1936" s="107"/>
      <c r="M1936" s="106"/>
      <c r="N1936" s="106"/>
      <c r="O1936" s="108"/>
      <c r="P1936" s="108"/>
      <c r="Q1936" s="108"/>
      <c r="R1936" s="109"/>
      <c r="S1936" s="109"/>
      <c r="T1936" s="108"/>
      <c r="U1936" s="110"/>
      <c r="V1936" s="110"/>
      <c r="W1936" s="110"/>
      <c r="X1936" s="110"/>
    </row>
    <row r="1937" spans="1:24" ht="14.25" customHeight="1">
      <c r="A1937" s="110"/>
      <c r="B1937" s="125">
        <v>46183</v>
      </c>
      <c r="C1937" s="126" t="s">
        <v>677</v>
      </c>
      <c r="D1937" s="68" t="s">
        <v>130</v>
      </c>
      <c r="E1937" s="10" t="str">
        <f>TRIM(VLOOKUP(D1937,TB!$B$9:$C$1500,2,FALSE))</f>
        <v>BCA TBB</v>
      </c>
      <c r="F1937" s="173" t="s">
        <v>678</v>
      </c>
      <c r="G1937" s="130"/>
      <c r="H1937" s="157">
        <f>I1939-H1938</f>
        <v>18724186.800000001</v>
      </c>
      <c r="I1937" s="10"/>
      <c r="J1937" s="79" t="e">
        <f t="shared" si="129"/>
        <v>#VALUE!</v>
      </c>
      <c r="K1937" s="106"/>
      <c r="L1937" s="107"/>
      <c r="M1937" s="106"/>
      <c r="N1937" s="106"/>
      <c r="O1937" s="108"/>
      <c r="P1937" s="108"/>
      <c r="Q1937" s="108"/>
      <c r="R1937" s="109"/>
      <c r="S1937" s="109"/>
      <c r="T1937" s="108"/>
      <c r="U1937" s="110"/>
      <c r="V1937" s="110"/>
      <c r="W1937" s="110"/>
      <c r="X1937" s="110"/>
    </row>
    <row r="1938" spans="1:24" ht="14.25" customHeight="1">
      <c r="A1938" s="110"/>
      <c r="B1938" s="125">
        <v>46183</v>
      </c>
      <c r="C1938" s="126" t="s">
        <v>677</v>
      </c>
      <c r="D1938" s="15" t="s">
        <v>124</v>
      </c>
      <c r="E1938" s="10" t="str">
        <f>TRIM(VLOOKUP(D1938,TB!$B$9:$C$1500,2,FALSE))</f>
        <v>Bank charges</v>
      </c>
      <c r="F1938" s="173" t="str">
        <f t="shared" ref="F1938:F1939" si="147">F1937</f>
        <v>BCA CC  08-06-2026</v>
      </c>
      <c r="G1938" s="130"/>
      <c r="H1938" s="157">
        <f>I1939*1.8%</f>
        <v>343213.2</v>
      </c>
      <c r="I1938" s="10"/>
      <c r="J1938" s="79" t="e">
        <f t="shared" si="129"/>
        <v>#VALUE!</v>
      </c>
      <c r="K1938" s="106"/>
      <c r="L1938" s="107"/>
      <c r="M1938" s="106"/>
      <c r="N1938" s="106"/>
      <c r="O1938" s="108"/>
      <c r="P1938" s="108"/>
      <c r="Q1938" s="108"/>
      <c r="R1938" s="109"/>
      <c r="S1938" s="109"/>
      <c r="T1938" s="108"/>
      <c r="U1938" s="110"/>
      <c r="V1938" s="110"/>
      <c r="W1938" s="110"/>
      <c r="X1938" s="110"/>
    </row>
    <row r="1939" spans="1:24" ht="14.25" customHeight="1">
      <c r="A1939" s="110"/>
      <c r="B1939" s="125">
        <v>46183</v>
      </c>
      <c r="C1939" s="126" t="s">
        <v>677</v>
      </c>
      <c r="D1939" s="15" t="s">
        <v>42</v>
      </c>
      <c r="E1939" s="10" t="str">
        <f>TRIM(VLOOKUP(D1939,TB!$B$9:$C$1500,2,FALSE))</f>
        <v>BCA Card TBB</v>
      </c>
      <c r="F1939" s="173" t="str">
        <f t="shared" si="147"/>
        <v>BCA CC  08-06-2026</v>
      </c>
      <c r="G1939" s="130"/>
      <c r="H1939" s="10"/>
      <c r="I1939" s="10">
        <v>19067400</v>
      </c>
      <c r="J1939" s="79" t="e">
        <f t="shared" si="129"/>
        <v>#VALUE!</v>
      </c>
      <c r="K1939" s="106"/>
      <c r="L1939" s="107"/>
      <c r="M1939" s="106"/>
      <c r="N1939" s="106"/>
      <c r="O1939" s="108"/>
      <c r="P1939" s="108"/>
      <c r="Q1939" s="108"/>
      <c r="R1939" s="109"/>
      <c r="S1939" s="109"/>
      <c r="T1939" s="108"/>
      <c r="U1939" s="110"/>
      <c r="V1939" s="110"/>
      <c r="W1939" s="110"/>
      <c r="X1939" s="110"/>
    </row>
    <row r="1940" spans="1:24" ht="14.25" customHeight="1">
      <c r="A1940" s="110"/>
      <c r="B1940" s="125"/>
      <c r="C1940" s="126"/>
      <c r="D1940" s="15"/>
      <c r="E1940" s="10" t="e">
        <f>TRIM(VLOOKUP(D1940,TB!$B$9:$C$1500,2,FALSE))</f>
        <v>#N/A</v>
      </c>
      <c r="F1940" s="173"/>
      <c r="G1940" s="130"/>
      <c r="H1940" s="10"/>
      <c r="I1940" s="10"/>
      <c r="J1940" s="79" t="e">
        <f t="shared" si="129"/>
        <v>#VALUE!</v>
      </c>
      <c r="K1940" s="106"/>
      <c r="L1940" s="107"/>
      <c r="M1940" s="106"/>
      <c r="N1940" s="106"/>
      <c r="O1940" s="108"/>
      <c r="P1940" s="108"/>
      <c r="Q1940" s="108"/>
      <c r="R1940" s="109"/>
      <c r="S1940" s="109"/>
      <c r="T1940" s="108"/>
      <c r="U1940" s="110"/>
      <c r="V1940" s="110"/>
      <c r="W1940" s="110"/>
      <c r="X1940" s="110"/>
    </row>
    <row r="1941" spans="1:24" ht="14.25" customHeight="1">
      <c r="A1941" s="110"/>
      <c r="B1941" s="125">
        <v>46183</v>
      </c>
      <c r="C1941" s="126" t="s">
        <v>679</v>
      </c>
      <c r="D1941" s="68" t="s">
        <v>130</v>
      </c>
      <c r="E1941" s="10" t="str">
        <f>TRIM(VLOOKUP(D1941,TB!$B$9:$C$1500,2,FALSE))</f>
        <v>BCA TBB</v>
      </c>
      <c r="F1941" s="173" t="s">
        <v>680</v>
      </c>
      <c r="G1941" s="130"/>
      <c r="H1941" s="157">
        <f>I1943-H1942</f>
        <v>4998895.55</v>
      </c>
      <c r="I1941" s="10"/>
      <c r="J1941" s="79" t="e">
        <f t="shared" si="129"/>
        <v>#VALUE!</v>
      </c>
      <c r="K1941" s="106"/>
      <c r="L1941" s="107"/>
      <c r="M1941" s="106"/>
      <c r="N1941" s="106"/>
      <c r="O1941" s="108"/>
      <c r="P1941" s="108"/>
      <c r="Q1941" s="108"/>
      <c r="R1941" s="109"/>
      <c r="S1941" s="109"/>
      <c r="T1941" s="108"/>
      <c r="U1941" s="110"/>
      <c r="V1941" s="110"/>
      <c r="W1941" s="110"/>
      <c r="X1941" s="110"/>
    </row>
    <row r="1942" spans="1:24" ht="14.25" customHeight="1">
      <c r="A1942" s="110"/>
      <c r="B1942" s="125">
        <v>46183</v>
      </c>
      <c r="C1942" s="126" t="s">
        <v>679</v>
      </c>
      <c r="D1942" s="15" t="s">
        <v>124</v>
      </c>
      <c r="E1942" s="10" t="str">
        <f>TRIM(VLOOKUP(D1942,TB!$B$9:$C$1500,2,FALSE))</f>
        <v>Bank charges</v>
      </c>
      <c r="F1942" s="173" t="str">
        <f t="shared" ref="F1942:F1943" si="148">F1941</f>
        <v>BCA DEBT 08-06-2026</v>
      </c>
      <c r="G1942" s="130"/>
      <c r="H1942" s="157">
        <f>I1943*1.8%</f>
        <v>91629.450000000012</v>
      </c>
      <c r="I1942" s="10"/>
      <c r="J1942" s="79" t="e">
        <f t="shared" si="129"/>
        <v>#VALUE!</v>
      </c>
      <c r="K1942" s="106"/>
      <c r="L1942" s="107"/>
      <c r="M1942" s="106"/>
      <c r="N1942" s="106"/>
      <c r="O1942" s="108"/>
      <c r="P1942" s="108"/>
      <c r="Q1942" s="108"/>
      <c r="R1942" s="109"/>
      <c r="S1942" s="109"/>
      <c r="T1942" s="108"/>
      <c r="U1942" s="110"/>
      <c r="V1942" s="110"/>
      <c r="W1942" s="110"/>
      <c r="X1942" s="110"/>
    </row>
    <row r="1943" spans="1:24" ht="14.25" customHeight="1">
      <c r="A1943" s="110"/>
      <c r="B1943" s="125">
        <v>46183</v>
      </c>
      <c r="C1943" s="126" t="s">
        <v>679</v>
      </c>
      <c r="D1943" s="15" t="s">
        <v>42</v>
      </c>
      <c r="E1943" s="10" t="str">
        <f>TRIM(VLOOKUP(D1943,TB!$B$9:$C$1500,2,FALSE))</f>
        <v>BCA Card TBB</v>
      </c>
      <c r="F1943" s="173" t="str">
        <f t="shared" si="148"/>
        <v>BCA DEBT 08-06-2026</v>
      </c>
      <c r="G1943" s="130"/>
      <c r="H1943" s="10"/>
      <c r="I1943" s="10">
        <v>5090525</v>
      </c>
      <c r="J1943" s="79" t="e">
        <f t="shared" si="129"/>
        <v>#VALUE!</v>
      </c>
      <c r="K1943" s="106"/>
      <c r="L1943" s="107"/>
      <c r="M1943" s="106"/>
      <c r="N1943" s="106"/>
      <c r="O1943" s="108"/>
      <c r="P1943" s="108"/>
      <c r="Q1943" s="108"/>
      <c r="R1943" s="109"/>
      <c r="S1943" s="109"/>
      <c r="T1943" s="108"/>
      <c r="U1943" s="110"/>
      <c r="V1943" s="110"/>
      <c r="W1943" s="110"/>
      <c r="X1943" s="110"/>
    </row>
    <row r="1944" spans="1:24" ht="14.25" customHeight="1">
      <c r="A1944" s="110"/>
      <c r="B1944" s="125"/>
      <c r="C1944" s="126"/>
      <c r="D1944" s="15"/>
      <c r="E1944" s="10" t="e">
        <f>TRIM(VLOOKUP(D1944,TB!$B$9:$C$1500,2,FALSE))</f>
        <v>#N/A</v>
      </c>
      <c r="F1944" s="173"/>
      <c r="G1944" s="130"/>
      <c r="H1944" s="10"/>
      <c r="I1944" s="10"/>
      <c r="J1944" s="79" t="e">
        <f t="shared" si="129"/>
        <v>#VALUE!</v>
      </c>
      <c r="K1944" s="106"/>
      <c r="L1944" s="107"/>
      <c r="M1944" s="106"/>
      <c r="N1944" s="106"/>
      <c r="O1944" s="108"/>
      <c r="P1944" s="108"/>
      <c r="Q1944" s="108"/>
      <c r="R1944" s="109"/>
      <c r="S1944" s="109"/>
      <c r="T1944" s="108"/>
      <c r="U1944" s="110"/>
      <c r="V1944" s="110"/>
      <c r="W1944" s="110"/>
      <c r="X1944" s="110"/>
    </row>
    <row r="1945" spans="1:24" ht="14.25" customHeight="1">
      <c r="A1945" s="110"/>
      <c r="B1945" s="125">
        <v>46183</v>
      </c>
      <c r="C1945" s="126" t="s">
        <v>681</v>
      </c>
      <c r="D1945" s="68" t="s">
        <v>130</v>
      </c>
      <c r="E1945" s="10" t="str">
        <f>TRIM(VLOOKUP(D1945,TB!$B$9:$C$1500,2,FALSE))</f>
        <v>BCA TBB</v>
      </c>
      <c r="F1945" s="173" t="s">
        <v>682</v>
      </c>
      <c r="G1945" s="130"/>
      <c r="H1945" s="157">
        <f>I1947-H1946</f>
        <v>231162.8</v>
      </c>
      <c r="I1945" s="10"/>
      <c r="J1945" s="79" t="e">
        <f t="shared" si="129"/>
        <v>#VALUE!</v>
      </c>
      <c r="K1945" s="106"/>
      <c r="L1945" s="107"/>
      <c r="M1945" s="106"/>
      <c r="N1945" s="106"/>
      <c r="O1945" s="108"/>
      <c r="P1945" s="108"/>
      <c r="Q1945" s="108"/>
      <c r="R1945" s="109"/>
      <c r="S1945" s="109"/>
      <c r="T1945" s="108"/>
      <c r="U1945" s="110"/>
      <c r="V1945" s="110"/>
      <c r="W1945" s="110"/>
      <c r="X1945" s="110"/>
    </row>
    <row r="1946" spans="1:24" ht="14.25" customHeight="1">
      <c r="A1946" s="110"/>
      <c r="B1946" s="125">
        <v>46183</v>
      </c>
      <c r="C1946" s="126" t="s">
        <v>681</v>
      </c>
      <c r="D1946" s="15" t="s">
        <v>124</v>
      </c>
      <c r="E1946" s="10" t="str">
        <f>TRIM(VLOOKUP(D1946,TB!$B$9:$C$1500,2,FALSE))</f>
        <v>Bank charges</v>
      </c>
      <c r="F1946" s="173" t="str">
        <f t="shared" ref="F1946:F1947" si="149">F1945</f>
        <v>BCA QR  08-06-2026</v>
      </c>
      <c r="G1946" s="130"/>
      <c r="H1946" s="157">
        <f>I1947*1.8%</f>
        <v>4237.2000000000007</v>
      </c>
      <c r="I1946" s="10"/>
      <c r="J1946" s="79" t="e">
        <f t="shared" si="129"/>
        <v>#VALUE!</v>
      </c>
      <c r="K1946" s="106"/>
      <c r="L1946" s="107"/>
      <c r="M1946" s="106"/>
      <c r="N1946" s="106"/>
      <c r="O1946" s="108"/>
      <c r="P1946" s="108"/>
      <c r="Q1946" s="108"/>
      <c r="R1946" s="109"/>
      <c r="S1946" s="109"/>
      <c r="T1946" s="108"/>
      <c r="U1946" s="110"/>
      <c r="V1946" s="110"/>
      <c r="W1946" s="110"/>
      <c r="X1946" s="110"/>
    </row>
    <row r="1947" spans="1:24" ht="14.25" customHeight="1">
      <c r="A1947" s="110"/>
      <c r="B1947" s="125">
        <v>46183</v>
      </c>
      <c r="C1947" s="126" t="s">
        <v>681</v>
      </c>
      <c r="D1947" s="15" t="s">
        <v>42</v>
      </c>
      <c r="E1947" s="10" t="str">
        <f>TRIM(VLOOKUP(D1947,TB!$B$9:$C$1500,2,FALSE))</f>
        <v>BCA Card TBB</v>
      </c>
      <c r="F1947" s="173" t="str">
        <f t="shared" si="149"/>
        <v>BCA QR  08-06-2026</v>
      </c>
      <c r="G1947" s="130"/>
      <c r="H1947" s="10"/>
      <c r="I1947" s="10">
        <v>235400</v>
      </c>
      <c r="J1947" s="79" t="e">
        <f t="shared" si="129"/>
        <v>#VALUE!</v>
      </c>
      <c r="K1947" s="106"/>
      <c r="L1947" s="107"/>
      <c r="M1947" s="106"/>
      <c r="N1947" s="106"/>
      <c r="O1947" s="108"/>
      <c r="P1947" s="108"/>
      <c r="Q1947" s="108"/>
      <c r="R1947" s="109"/>
      <c r="S1947" s="109"/>
      <c r="T1947" s="108"/>
      <c r="U1947" s="110"/>
      <c r="V1947" s="110"/>
      <c r="W1947" s="110"/>
      <c r="X1947" s="110"/>
    </row>
    <row r="1948" spans="1:24" ht="14.25" customHeight="1">
      <c r="A1948" s="110"/>
      <c r="B1948" s="125"/>
      <c r="C1948" s="126"/>
      <c r="D1948" s="159"/>
      <c r="E1948" s="10" t="e">
        <f>TRIM(VLOOKUP(D1948,TB!$B$9:$C$1500,2,FALSE))</f>
        <v>#N/A</v>
      </c>
      <c r="F1948" s="173"/>
      <c r="G1948" s="130"/>
      <c r="H1948" s="10"/>
      <c r="I1948" s="10">
        <f t="shared" ref="I1948:I1973" si="150">SUM(H1947)</f>
        <v>0</v>
      </c>
      <c r="J1948" s="79" t="e">
        <f t="shared" si="129"/>
        <v>#VALUE!</v>
      </c>
      <c r="K1948" s="106"/>
      <c r="L1948" s="107"/>
      <c r="M1948" s="106"/>
      <c r="N1948" s="106"/>
      <c r="O1948" s="108"/>
      <c r="P1948" s="108"/>
      <c r="Q1948" s="108"/>
      <c r="R1948" s="109"/>
      <c r="S1948" s="109"/>
      <c r="T1948" s="108"/>
      <c r="U1948" s="110"/>
      <c r="V1948" s="110"/>
      <c r="W1948" s="110"/>
      <c r="X1948" s="110"/>
    </row>
    <row r="1949" spans="1:24" ht="14.25" customHeight="1">
      <c r="A1949" s="110"/>
      <c r="B1949" s="125">
        <v>46183</v>
      </c>
      <c r="C1949" s="126" t="s">
        <v>683</v>
      </c>
      <c r="D1949" s="68" t="s">
        <v>285</v>
      </c>
      <c r="E1949" s="10" t="str">
        <f>TRIM(VLOOKUP(D1949,TB!$B$9:$C$1500,2,FALSE))</f>
        <v>Misc Cash Purchase</v>
      </c>
      <c r="F1949" s="173" t="s">
        <v>684</v>
      </c>
      <c r="G1949" s="130"/>
      <c r="H1949" s="10">
        <v>1063000</v>
      </c>
      <c r="I1949" s="10">
        <f t="shared" si="150"/>
        <v>0</v>
      </c>
      <c r="J1949" s="79" t="e">
        <f t="shared" si="129"/>
        <v>#VALUE!</v>
      </c>
      <c r="K1949" s="106"/>
      <c r="L1949" s="107"/>
      <c r="M1949" s="106"/>
      <c r="N1949" s="106"/>
      <c r="O1949" s="108"/>
      <c r="P1949" s="108"/>
      <c r="Q1949" s="108"/>
      <c r="R1949" s="109"/>
      <c r="S1949" s="109"/>
      <c r="T1949" s="108"/>
      <c r="U1949" s="110"/>
      <c r="V1949" s="110"/>
      <c r="W1949" s="110"/>
      <c r="X1949" s="110"/>
    </row>
    <row r="1950" spans="1:24" ht="14.25" customHeight="1">
      <c r="A1950" s="110"/>
      <c r="B1950" s="125">
        <v>46183</v>
      </c>
      <c r="C1950" s="126" t="s">
        <v>683</v>
      </c>
      <c r="D1950" s="68" t="s">
        <v>130</v>
      </c>
      <c r="E1950" s="10" t="str">
        <f>TRIM(VLOOKUP(D1950,TB!$B$9:$C$1500,2,FALSE))</f>
        <v>BCA TBB</v>
      </c>
      <c r="F1950" s="173" t="str">
        <f>F1949</f>
        <v>Arthaguna Brawijaya - Inv. 2252 - 20 Apr 26</v>
      </c>
      <c r="G1950" s="130"/>
      <c r="H1950" s="10"/>
      <c r="I1950" s="10">
        <f t="shared" si="150"/>
        <v>1063000</v>
      </c>
      <c r="J1950" s="79" t="e">
        <f t="shared" si="129"/>
        <v>#VALUE!</v>
      </c>
      <c r="K1950" s="106"/>
      <c r="L1950" s="107"/>
      <c r="M1950" s="106"/>
      <c r="N1950" s="106"/>
      <c r="O1950" s="108"/>
      <c r="P1950" s="108"/>
      <c r="Q1950" s="108"/>
      <c r="R1950" s="109"/>
      <c r="S1950" s="109"/>
      <c r="T1950" s="108"/>
      <c r="U1950" s="110"/>
      <c r="V1950" s="110"/>
      <c r="W1950" s="110"/>
      <c r="X1950" s="110"/>
    </row>
    <row r="1951" spans="1:24" ht="14.25" customHeight="1">
      <c r="A1951" s="110"/>
      <c r="B1951" s="125"/>
      <c r="C1951" s="126"/>
      <c r="D1951" s="159"/>
      <c r="E1951" s="10" t="e">
        <f>TRIM(VLOOKUP(D1951,TB!$B$9:$C$1500,2,FALSE))</f>
        <v>#N/A</v>
      </c>
      <c r="F1951" s="173"/>
      <c r="G1951" s="130"/>
      <c r="H1951" s="10"/>
      <c r="I1951" s="10">
        <f t="shared" si="150"/>
        <v>0</v>
      </c>
      <c r="J1951" s="79" t="e">
        <f t="shared" si="129"/>
        <v>#VALUE!</v>
      </c>
      <c r="K1951" s="106"/>
      <c r="L1951" s="107"/>
      <c r="M1951" s="106"/>
      <c r="N1951" s="106"/>
      <c r="O1951" s="108"/>
      <c r="P1951" s="108"/>
      <c r="Q1951" s="108"/>
      <c r="R1951" s="109"/>
      <c r="S1951" s="109"/>
      <c r="T1951" s="108"/>
      <c r="U1951" s="110"/>
      <c r="V1951" s="110"/>
      <c r="W1951" s="110"/>
      <c r="X1951" s="110"/>
    </row>
    <row r="1952" spans="1:24" ht="14.25" customHeight="1">
      <c r="A1952" s="110"/>
      <c r="B1952" s="125">
        <v>46183</v>
      </c>
      <c r="C1952" s="126" t="s">
        <v>685</v>
      </c>
      <c r="D1952" s="68" t="s">
        <v>285</v>
      </c>
      <c r="E1952" s="10" t="str">
        <f>TRIM(VLOOKUP(D1952,TB!$B$9:$C$1500,2,FALSE))</f>
        <v>Misc Cash Purchase</v>
      </c>
      <c r="F1952" s="173" t="s">
        <v>686</v>
      </c>
      <c r="G1952" s="130"/>
      <c r="H1952" s="10">
        <v>782550</v>
      </c>
      <c r="I1952" s="10">
        <f t="shared" si="150"/>
        <v>0</v>
      </c>
      <c r="J1952" s="79" t="e">
        <f t="shared" si="129"/>
        <v>#VALUE!</v>
      </c>
      <c r="K1952" s="106"/>
      <c r="L1952" s="107"/>
      <c r="M1952" s="106"/>
      <c r="N1952" s="106"/>
      <c r="O1952" s="108"/>
      <c r="P1952" s="108"/>
      <c r="Q1952" s="108"/>
      <c r="R1952" s="109"/>
      <c r="S1952" s="109"/>
      <c r="T1952" s="108"/>
      <c r="U1952" s="110"/>
      <c r="V1952" s="110"/>
      <c r="W1952" s="110"/>
      <c r="X1952" s="110"/>
    </row>
    <row r="1953" spans="1:24" ht="14.25" customHeight="1">
      <c r="A1953" s="110"/>
      <c r="B1953" s="125">
        <v>46183</v>
      </c>
      <c r="C1953" s="126" t="s">
        <v>685</v>
      </c>
      <c r="D1953" s="68" t="s">
        <v>130</v>
      </c>
      <c r="E1953" s="10" t="str">
        <f>TRIM(VLOOKUP(D1953,TB!$B$9:$C$1500,2,FALSE))</f>
        <v>BCA TBB</v>
      </c>
      <c r="F1953" s="173" t="str">
        <f>F1952</f>
        <v>Satria Pangan Sejati - Inv. 1042 - 04 May 26</v>
      </c>
      <c r="G1953" s="130"/>
      <c r="H1953" s="10"/>
      <c r="I1953" s="10">
        <f t="shared" si="150"/>
        <v>782550</v>
      </c>
      <c r="J1953" s="79" t="e">
        <f t="shared" si="129"/>
        <v>#VALUE!</v>
      </c>
      <c r="K1953" s="106"/>
      <c r="L1953" s="107"/>
      <c r="M1953" s="106"/>
      <c r="N1953" s="106"/>
      <c r="O1953" s="108"/>
      <c r="P1953" s="108"/>
      <c r="Q1953" s="108"/>
      <c r="R1953" s="109"/>
      <c r="S1953" s="109"/>
      <c r="T1953" s="108"/>
      <c r="U1953" s="110"/>
      <c r="V1953" s="110"/>
      <c r="W1953" s="110"/>
      <c r="X1953" s="110"/>
    </row>
    <row r="1954" spans="1:24" ht="14.25" customHeight="1">
      <c r="A1954" s="110"/>
      <c r="B1954" s="125"/>
      <c r="C1954" s="126"/>
      <c r="D1954" s="159"/>
      <c r="E1954" s="10" t="e">
        <f>TRIM(VLOOKUP(D1954,TB!$B$9:$C$1500,2,FALSE))</f>
        <v>#N/A</v>
      </c>
      <c r="F1954" s="173"/>
      <c r="G1954" s="130"/>
      <c r="H1954" s="10"/>
      <c r="I1954" s="10">
        <f t="shared" si="150"/>
        <v>0</v>
      </c>
      <c r="J1954" s="79" t="e">
        <f t="shared" si="129"/>
        <v>#VALUE!</v>
      </c>
      <c r="K1954" s="106"/>
      <c r="L1954" s="107"/>
      <c r="M1954" s="106"/>
      <c r="N1954" s="106"/>
      <c r="O1954" s="108"/>
      <c r="P1954" s="108"/>
      <c r="Q1954" s="108"/>
      <c r="R1954" s="109"/>
      <c r="S1954" s="109"/>
      <c r="T1954" s="108"/>
      <c r="U1954" s="110"/>
      <c r="V1954" s="110"/>
      <c r="W1954" s="110"/>
      <c r="X1954" s="110"/>
    </row>
    <row r="1955" spans="1:24" ht="14.25" customHeight="1">
      <c r="A1955" s="110"/>
      <c r="B1955" s="125">
        <v>46183</v>
      </c>
      <c r="C1955" s="126" t="s">
        <v>687</v>
      </c>
      <c r="D1955" s="68" t="s">
        <v>285</v>
      </c>
      <c r="E1955" s="10" t="str">
        <f>TRIM(VLOOKUP(D1955,TB!$B$9:$C$1500,2,FALSE))</f>
        <v>Misc Cash Purchase</v>
      </c>
      <c r="F1955" s="173" t="s">
        <v>688</v>
      </c>
      <c r="G1955" s="130"/>
      <c r="H1955" s="10">
        <v>548340</v>
      </c>
      <c r="I1955" s="10">
        <f t="shared" si="150"/>
        <v>0</v>
      </c>
      <c r="J1955" s="79" t="e">
        <f t="shared" si="129"/>
        <v>#VALUE!</v>
      </c>
      <c r="K1955" s="106"/>
      <c r="L1955" s="107"/>
      <c r="M1955" s="106"/>
      <c r="N1955" s="106"/>
      <c r="O1955" s="108"/>
      <c r="P1955" s="108"/>
      <c r="Q1955" s="108"/>
      <c r="R1955" s="109"/>
      <c r="S1955" s="109"/>
      <c r="T1955" s="108"/>
      <c r="U1955" s="110"/>
      <c r="V1955" s="110"/>
      <c r="W1955" s="110"/>
      <c r="X1955" s="110"/>
    </row>
    <row r="1956" spans="1:24" ht="14.25" customHeight="1">
      <c r="A1956" s="110"/>
      <c r="B1956" s="125">
        <v>46183</v>
      </c>
      <c r="C1956" s="126" t="s">
        <v>687</v>
      </c>
      <c r="D1956" s="68" t="s">
        <v>130</v>
      </c>
      <c r="E1956" s="10" t="str">
        <f>TRIM(VLOOKUP(D1956,TB!$B$9:$C$1500,2,FALSE))</f>
        <v>BCA TBB</v>
      </c>
      <c r="F1956" s="173" t="str">
        <f>F1955</f>
        <v>Bali Kulina Utama - Inv. 1165 - 05 May 26</v>
      </c>
      <c r="G1956" s="130"/>
      <c r="H1956" s="10"/>
      <c r="I1956" s="10">
        <f t="shared" si="150"/>
        <v>548340</v>
      </c>
      <c r="J1956" s="79" t="e">
        <f t="shared" si="129"/>
        <v>#VALUE!</v>
      </c>
      <c r="K1956" s="106"/>
      <c r="L1956" s="107"/>
      <c r="M1956" s="106"/>
      <c r="N1956" s="106"/>
      <c r="O1956" s="108"/>
      <c r="P1956" s="108"/>
      <c r="Q1956" s="108"/>
      <c r="R1956" s="109"/>
      <c r="S1956" s="109"/>
      <c r="T1956" s="108"/>
      <c r="U1956" s="110"/>
      <c r="V1956" s="110"/>
      <c r="W1956" s="110"/>
      <c r="X1956" s="110"/>
    </row>
    <row r="1957" spans="1:24" ht="14.25" customHeight="1">
      <c r="A1957" s="110"/>
      <c r="B1957" s="125"/>
      <c r="C1957" s="126"/>
      <c r="D1957" s="159"/>
      <c r="E1957" s="10" t="e">
        <f>TRIM(VLOOKUP(D1957,TB!$B$9:$C$1500,2,FALSE))</f>
        <v>#N/A</v>
      </c>
      <c r="F1957" s="173"/>
      <c r="G1957" s="130"/>
      <c r="H1957" s="10"/>
      <c r="I1957" s="10">
        <f t="shared" si="150"/>
        <v>0</v>
      </c>
      <c r="J1957" s="79" t="e">
        <f t="shared" si="129"/>
        <v>#VALUE!</v>
      </c>
      <c r="K1957" s="106"/>
      <c r="L1957" s="107"/>
      <c r="M1957" s="106"/>
      <c r="N1957" s="106"/>
      <c r="O1957" s="108"/>
      <c r="P1957" s="108"/>
      <c r="Q1957" s="108"/>
      <c r="R1957" s="109"/>
      <c r="S1957" s="109"/>
      <c r="T1957" s="108"/>
      <c r="U1957" s="110"/>
      <c r="V1957" s="110"/>
      <c r="W1957" s="110"/>
      <c r="X1957" s="110"/>
    </row>
    <row r="1958" spans="1:24" ht="14.25" customHeight="1">
      <c r="A1958" s="110"/>
      <c r="B1958" s="125">
        <v>46183</v>
      </c>
      <c r="C1958" s="126" t="s">
        <v>689</v>
      </c>
      <c r="D1958" s="68" t="s">
        <v>285</v>
      </c>
      <c r="E1958" s="10" t="str">
        <f>TRIM(VLOOKUP(D1958,TB!$B$9:$C$1500,2,FALSE))</f>
        <v>Misc Cash Purchase</v>
      </c>
      <c r="F1958" s="173" t="s">
        <v>690</v>
      </c>
      <c r="G1958" s="130"/>
      <c r="H1958" s="10">
        <v>1664000</v>
      </c>
      <c r="I1958" s="10">
        <f t="shared" si="150"/>
        <v>0</v>
      </c>
      <c r="J1958" s="79" t="e">
        <f t="shared" si="129"/>
        <v>#VALUE!</v>
      </c>
      <c r="K1958" s="106"/>
      <c r="L1958" s="107"/>
      <c r="M1958" s="106"/>
      <c r="N1958" s="106"/>
      <c r="O1958" s="108"/>
      <c r="P1958" s="108"/>
      <c r="Q1958" s="108"/>
      <c r="R1958" s="109"/>
      <c r="S1958" s="109"/>
      <c r="T1958" s="108"/>
      <c r="U1958" s="110"/>
      <c r="V1958" s="110"/>
      <c r="W1958" s="110"/>
      <c r="X1958" s="110"/>
    </row>
    <row r="1959" spans="1:24" ht="14.25" customHeight="1">
      <c r="A1959" s="110"/>
      <c r="B1959" s="125">
        <v>46183</v>
      </c>
      <c r="C1959" s="126" t="s">
        <v>689</v>
      </c>
      <c r="D1959" s="68" t="s">
        <v>130</v>
      </c>
      <c r="E1959" s="10" t="str">
        <f>TRIM(VLOOKUP(D1959,TB!$B$9:$C$1500,2,FALSE))</f>
        <v>BCA TBB</v>
      </c>
      <c r="F1959" s="173" t="str">
        <f>F1958</f>
        <v>Mahaputra - Inv.0209 - 12 May 26</v>
      </c>
      <c r="G1959" s="130"/>
      <c r="H1959" s="10"/>
      <c r="I1959" s="10">
        <f t="shared" si="150"/>
        <v>1664000</v>
      </c>
      <c r="J1959" s="79" t="e">
        <f t="shared" si="129"/>
        <v>#VALUE!</v>
      </c>
      <c r="K1959" s="106"/>
      <c r="L1959" s="107"/>
      <c r="M1959" s="106"/>
      <c r="N1959" s="106"/>
      <c r="O1959" s="108"/>
      <c r="P1959" s="108"/>
      <c r="Q1959" s="108"/>
      <c r="R1959" s="109"/>
      <c r="S1959" s="109"/>
      <c r="T1959" s="108"/>
      <c r="U1959" s="110"/>
      <c r="V1959" s="110"/>
      <c r="W1959" s="110"/>
      <c r="X1959" s="110"/>
    </row>
    <row r="1960" spans="1:24" ht="14.25" customHeight="1">
      <c r="A1960" s="110"/>
      <c r="B1960" s="125"/>
      <c r="C1960" s="126"/>
      <c r="D1960" s="159"/>
      <c r="E1960" s="10" t="e">
        <f>TRIM(VLOOKUP(D1960,TB!$B$9:$C$1500,2,FALSE))</f>
        <v>#N/A</v>
      </c>
      <c r="F1960" s="173"/>
      <c r="G1960" s="130"/>
      <c r="H1960" s="10"/>
      <c r="I1960" s="10">
        <f t="shared" si="150"/>
        <v>0</v>
      </c>
      <c r="J1960" s="79" t="e">
        <f t="shared" si="129"/>
        <v>#VALUE!</v>
      </c>
      <c r="K1960" s="106"/>
      <c r="L1960" s="107"/>
      <c r="M1960" s="106"/>
      <c r="N1960" s="106"/>
      <c r="O1960" s="108"/>
      <c r="P1960" s="108"/>
      <c r="Q1960" s="108"/>
      <c r="R1960" s="109"/>
      <c r="S1960" s="109"/>
      <c r="T1960" s="108"/>
      <c r="U1960" s="110"/>
      <c r="V1960" s="110"/>
      <c r="W1960" s="110"/>
      <c r="X1960" s="110"/>
    </row>
    <row r="1961" spans="1:24" ht="14.25" customHeight="1">
      <c r="A1961" s="110"/>
      <c r="B1961" s="125">
        <v>46183</v>
      </c>
      <c r="C1961" s="126" t="s">
        <v>691</v>
      </c>
      <c r="D1961" s="68" t="s">
        <v>285</v>
      </c>
      <c r="E1961" s="10" t="str">
        <f>TRIM(VLOOKUP(D1961,TB!$B$9:$C$1500,2,FALSE))</f>
        <v>Misc Cash Purchase</v>
      </c>
      <c r="F1961" s="173" t="s">
        <v>692</v>
      </c>
      <c r="G1961" s="130"/>
      <c r="H1961" s="10">
        <v>4660000</v>
      </c>
      <c r="I1961" s="10">
        <f t="shared" si="150"/>
        <v>0</v>
      </c>
      <c r="J1961" s="79" t="e">
        <f t="shared" si="129"/>
        <v>#VALUE!</v>
      </c>
      <c r="K1961" s="106"/>
      <c r="L1961" s="107"/>
      <c r="M1961" s="106"/>
      <c r="N1961" s="106"/>
      <c r="O1961" s="108"/>
      <c r="P1961" s="108"/>
      <c r="Q1961" s="108"/>
      <c r="R1961" s="109"/>
      <c r="S1961" s="109"/>
      <c r="T1961" s="108"/>
      <c r="U1961" s="110"/>
      <c r="V1961" s="110"/>
      <c r="W1961" s="110"/>
      <c r="X1961" s="110"/>
    </row>
    <row r="1962" spans="1:24" ht="14.25" customHeight="1">
      <c r="A1962" s="110"/>
      <c r="B1962" s="125">
        <v>46183</v>
      </c>
      <c r="C1962" s="126" t="s">
        <v>691</v>
      </c>
      <c r="D1962" s="68" t="s">
        <v>130</v>
      </c>
      <c r="E1962" s="10" t="str">
        <f>TRIM(VLOOKUP(D1962,TB!$B$9:$C$1500,2,FALSE))</f>
        <v>BCA TBB</v>
      </c>
      <c r="F1962" s="173" t="str">
        <f>F1961</f>
        <v>Oasis Water - Inv. 0269 - 29 Apr 26</v>
      </c>
      <c r="G1962" s="130"/>
      <c r="H1962" s="10"/>
      <c r="I1962" s="10">
        <f t="shared" si="150"/>
        <v>4660000</v>
      </c>
      <c r="J1962" s="79" t="e">
        <f t="shared" si="129"/>
        <v>#VALUE!</v>
      </c>
      <c r="K1962" s="106"/>
      <c r="L1962" s="107"/>
      <c r="M1962" s="106"/>
      <c r="N1962" s="106"/>
      <c r="O1962" s="108"/>
      <c r="P1962" s="108"/>
      <c r="Q1962" s="108"/>
      <c r="R1962" s="109"/>
      <c r="S1962" s="109"/>
      <c r="T1962" s="108"/>
      <c r="U1962" s="110"/>
      <c r="V1962" s="110"/>
      <c r="W1962" s="110"/>
      <c r="X1962" s="110"/>
    </row>
    <row r="1963" spans="1:24" ht="14.25" customHeight="1">
      <c r="A1963" s="110"/>
      <c r="B1963" s="125"/>
      <c r="C1963" s="126"/>
      <c r="D1963" s="159"/>
      <c r="E1963" s="10" t="e">
        <f>TRIM(VLOOKUP(D1963,TB!$B$9:$C$1500,2,FALSE))</f>
        <v>#N/A</v>
      </c>
      <c r="F1963" s="173"/>
      <c r="G1963" s="130"/>
      <c r="H1963" s="10"/>
      <c r="I1963" s="10">
        <f t="shared" si="150"/>
        <v>0</v>
      </c>
      <c r="J1963" s="79" t="e">
        <f t="shared" si="129"/>
        <v>#VALUE!</v>
      </c>
      <c r="K1963" s="106"/>
      <c r="L1963" s="107"/>
      <c r="M1963" s="106"/>
      <c r="N1963" s="106"/>
      <c r="O1963" s="108"/>
      <c r="P1963" s="108"/>
      <c r="Q1963" s="108"/>
      <c r="R1963" s="109"/>
      <c r="S1963" s="109"/>
      <c r="T1963" s="108"/>
      <c r="U1963" s="110"/>
      <c r="V1963" s="110"/>
      <c r="W1963" s="110"/>
      <c r="X1963" s="110"/>
    </row>
    <row r="1964" spans="1:24" ht="14.25" customHeight="1">
      <c r="A1964" s="110"/>
      <c r="B1964" s="125">
        <v>46183</v>
      </c>
      <c r="C1964" s="126" t="s">
        <v>693</v>
      </c>
      <c r="D1964" s="68" t="s">
        <v>285</v>
      </c>
      <c r="E1964" s="10" t="str">
        <f>TRIM(VLOOKUP(D1964,TB!$B$9:$C$1500,2,FALSE))</f>
        <v>Misc Cash Purchase</v>
      </c>
      <c r="F1964" s="173" t="s">
        <v>694</v>
      </c>
      <c r="G1964" s="130"/>
      <c r="H1964" s="10">
        <v>755000</v>
      </c>
      <c r="I1964" s="10">
        <f t="shared" si="150"/>
        <v>0</v>
      </c>
      <c r="J1964" s="79" t="e">
        <f t="shared" si="129"/>
        <v>#VALUE!</v>
      </c>
      <c r="K1964" s="106"/>
      <c r="L1964" s="107"/>
      <c r="M1964" s="106"/>
      <c r="N1964" s="106"/>
      <c r="O1964" s="108"/>
      <c r="P1964" s="108"/>
      <c r="Q1964" s="108"/>
      <c r="R1964" s="109"/>
      <c r="S1964" s="109"/>
      <c r="T1964" s="108"/>
      <c r="U1964" s="110"/>
      <c r="V1964" s="110"/>
      <c r="W1964" s="110"/>
      <c r="X1964" s="110"/>
    </row>
    <row r="1965" spans="1:24" ht="14.25" customHeight="1">
      <c r="A1965" s="110"/>
      <c r="B1965" s="125">
        <v>46183</v>
      </c>
      <c r="C1965" s="126" t="s">
        <v>693</v>
      </c>
      <c r="D1965" s="68" t="s">
        <v>130</v>
      </c>
      <c r="E1965" s="10" t="str">
        <f>TRIM(VLOOKUP(D1965,TB!$B$9:$C$1500,2,FALSE))</f>
        <v>BCA TBB</v>
      </c>
      <c r="F1965" s="173" t="str">
        <f>F1964</f>
        <v>Tiga Juragan Perkasa - Inv. 8370, 8339 - 24 Apr 26</v>
      </c>
      <c r="G1965" s="130"/>
      <c r="H1965" s="10"/>
      <c r="I1965" s="10">
        <f t="shared" si="150"/>
        <v>755000</v>
      </c>
      <c r="J1965" s="79" t="e">
        <f t="shared" si="129"/>
        <v>#VALUE!</v>
      </c>
      <c r="K1965" s="106"/>
      <c r="L1965" s="107"/>
      <c r="M1965" s="106"/>
      <c r="N1965" s="106"/>
      <c r="O1965" s="108"/>
      <c r="P1965" s="108"/>
      <c r="Q1965" s="108"/>
      <c r="R1965" s="109"/>
      <c r="S1965" s="109"/>
      <c r="T1965" s="108"/>
      <c r="U1965" s="110"/>
      <c r="V1965" s="110"/>
      <c r="W1965" s="110"/>
      <c r="X1965" s="110"/>
    </row>
    <row r="1966" spans="1:24" ht="14.25" customHeight="1">
      <c r="A1966" s="110"/>
      <c r="B1966" s="125"/>
      <c r="C1966" s="126"/>
      <c r="D1966" s="68"/>
      <c r="E1966" s="10" t="e">
        <f>TRIM(VLOOKUP(D1966,TB!$B$9:$C$1500,2,FALSE))</f>
        <v>#N/A</v>
      </c>
      <c r="F1966" s="173"/>
      <c r="G1966" s="130"/>
      <c r="H1966" s="10"/>
      <c r="I1966" s="10">
        <f t="shared" si="150"/>
        <v>0</v>
      </c>
      <c r="J1966" s="79" t="e">
        <f t="shared" si="129"/>
        <v>#VALUE!</v>
      </c>
      <c r="K1966" s="106"/>
      <c r="L1966" s="107"/>
      <c r="M1966" s="106"/>
      <c r="N1966" s="106"/>
      <c r="O1966" s="108"/>
      <c r="P1966" s="108"/>
      <c r="Q1966" s="108"/>
      <c r="R1966" s="109"/>
      <c r="S1966" s="109"/>
      <c r="T1966" s="108"/>
      <c r="U1966" s="110"/>
      <c r="V1966" s="110"/>
      <c r="W1966" s="110"/>
      <c r="X1966" s="110"/>
    </row>
    <row r="1967" spans="1:24" ht="14.25" customHeight="1">
      <c r="A1967" s="110"/>
      <c r="B1967" s="125">
        <v>46183</v>
      </c>
      <c r="C1967" s="126" t="s">
        <v>695</v>
      </c>
      <c r="D1967" s="68" t="s">
        <v>285</v>
      </c>
      <c r="E1967" s="10" t="str">
        <f>TRIM(VLOOKUP(D1967,TB!$B$9:$C$1500,2,FALSE))</f>
        <v>Misc Cash Purchase</v>
      </c>
      <c r="F1967" s="173" t="s">
        <v>696</v>
      </c>
      <c r="G1967" s="130"/>
      <c r="H1967" s="10">
        <v>365000</v>
      </c>
      <c r="I1967" s="10">
        <f t="shared" si="150"/>
        <v>0</v>
      </c>
      <c r="J1967" s="79" t="e">
        <f t="shared" si="129"/>
        <v>#VALUE!</v>
      </c>
      <c r="K1967" s="106"/>
      <c r="L1967" s="107"/>
      <c r="M1967" s="106"/>
      <c r="N1967" s="106"/>
      <c r="O1967" s="108"/>
      <c r="P1967" s="108"/>
      <c r="Q1967" s="108"/>
      <c r="R1967" s="109"/>
      <c r="S1967" s="109"/>
      <c r="T1967" s="108"/>
      <c r="U1967" s="110"/>
      <c r="V1967" s="110"/>
      <c r="W1967" s="110"/>
      <c r="X1967" s="110"/>
    </row>
    <row r="1968" spans="1:24" ht="14.25" customHeight="1">
      <c r="A1968" s="110"/>
      <c r="B1968" s="125">
        <v>46183</v>
      </c>
      <c r="C1968" s="126" t="s">
        <v>695</v>
      </c>
      <c r="D1968" s="68" t="s">
        <v>130</v>
      </c>
      <c r="E1968" s="10" t="str">
        <f>TRIM(VLOOKUP(D1968,TB!$B$9:$C$1500,2,FALSE))</f>
        <v>BCA TBB</v>
      </c>
      <c r="F1968" s="173" t="str">
        <f>F1967</f>
        <v>Japo Powder - Inv. 1971 - 20 FEB 26</v>
      </c>
      <c r="G1968" s="130"/>
      <c r="H1968" s="10"/>
      <c r="I1968" s="10">
        <f t="shared" si="150"/>
        <v>365000</v>
      </c>
      <c r="J1968" s="79" t="e">
        <f t="shared" si="129"/>
        <v>#VALUE!</v>
      </c>
      <c r="K1968" s="106"/>
      <c r="L1968" s="107"/>
      <c r="M1968" s="106"/>
      <c r="N1968" s="106"/>
      <c r="O1968" s="108"/>
      <c r="P1968" s="108"/>
      <c r="Q1968" s="108"/>
      <c r="R1968" s="109"/>
      <c r="S1968" s="109"/>
      <c r="T1968" s="108"/>
      <c r="U1968" s="110"/>
      <c r="V1968" s="110"/>
      <c r="W1968" s="110"/>
      <c r="X1968" s="110"/>
    </row>
    <row r="1969" spans="1:24" ht="14.25" customHeight="1">
      <c r="A1969" s="110"/>
      <c r="B1969" s="125"/>
      <c r="C1969" s="126"/>
      <c r="D1969" s="159"/>
      <c r="E1969" s="10" t="e">
        <f>TRIM(VLOOKUP(D1969,TB!$B$9:$C$1500,2,FALSE))</f>
        <v>#N/A</v>
      </c>
      <c r="F1969" s="173"/>
      <c r="G1969" s="130"/>
      <c r="H1969" s="10"/>
      <c r="I1969" s="10">
        <f t="shared" si="150"/>
        <v>0</v>
      </c>
      <c r="J1969" s="79" t="e">
        <f t="shared" si="129"/>
        <v>#VALUE!</v>
      </c>
      <c r="K1969" s="106"/>
      <c r="L1969" s="107"/>
      <c r="M1969" s="106"/>
      <c r="N1969" s="106"/>
      <c r="O1969" s="108"/>
      <c r="P1969" s="108"/>
      <c r="Q1969" s="108"/>
      <c r="R1969" s="109"/>
      <c r="S1969" s="109"/>
      <c r="T1969" s="108"/>
      <c r="U1969" s="110"/>
      <c r="V1969" s="110"/>
      <c r="W1969" s="110"/>
      <c r="X1969" s="110"/>
    </row>
    <row r="1970" spans="1:24" ht="14.25" customHeight="1">
      <c r="A1970" s="110"/>
      <c r="B1970" s="125">
        <v>46183</v>
      </c>
      <c r="C1970" s="126" t="s">
        <v>697</v>
      </c>
      <c r="D1970" s="68" t="s">
        <v>285</v>
      </c>
      <c r="E1970" s="10" t="str">
        <f>TRIM(VLOOKUP(D1970,TB!$B$9:$C$1500,2,FALSE))</f>
        <v>Misc Cash Purchase</v>
      </c>
      <c r="F1970" s="173" t="s">
        <v>698</v>
      </c>
      <c r="G1970" s="130"/>
      <c r="H1970" s="10">
        <v>3500000</v>
      </c>
      <c r="I1970" s="10">
        <f t="shared" si="150"/>
        <v>0</v>
      </c>
      <c r="J1970" s="79" t="e">
        <f t="shared" si="129"/>
        <v>#VALUE!</v>
      </c>
      <c r="K1970" s="106"/>
      <c r="L1970" s="107"/>
      <c r="M1970" s="106"/>
      <c r="N1970" s="106"/>
      <c r="O1970" s="108"/>
      <c r="P1970" s="108"/>
      <c r="Q1970" s="108"/>
      <c r="R1970" s="109"/>
      <c r="S1970" s="109"/>
      <c r="T1970" s="108"/>
      <c r="U1970" s="110"/>
      <c r="V1970" s="110"/>
      <c r="W1970" s="110"/>
      <c r="X1970" s="110"/>
    </row>
    <row r="1971" spans="1:24" ht="14.25" customHeight="1">
      <c r="A1971" s="110"/>
      <c r="B1971" s="125">
        <v>46183</v>
      </c>
      <c r="C1971" s="126" t="s">
        <v>697</v>
      </c>
      <c r="D1971" s="68" t="s">
        <v>130</v>
      </c>
      <c r="E1971" s="10" t="str">
        <f>TRIM(VLOOKUP(D1971,TB!$B$9:$C$1500,2,FALSE))</f>
        <v>BCA TBB</v>
      </c>
      <c r="F1971" s="173" t="str">
        <f>F1970</f>
        <v>Cello - Fee Dj 25,27 May 26</v>
      </c>
      <c r="G1971" s="130"/>
      <c r="H1971" s="10"/>
      <c r="I1971" s="10">
        <f t="shared" si="150"/>
        <v>3500000</v>
      </c>
      <c r="J1971" s="79" t="e">
        <f t="shared" si="129"/>
        <v>#VALUE!</v>
      </c>
      <c r="K1971" s="106"/>
      <c r="L1971" s="107"/>
      <c r="M1971" s="106"/>
      <c r="N1971" s="106"/>
      <c r="O1971" s="108"/>
      <c r="P1971" s="108"/>
      <c r="Q1971" s="108"/>
      <c r="R1971" s="109"/>
      <c r="S1971" s="109"/>
      <c r="T1971" s="108"/>
      <c r="U1971" s="110"/>
      <c r="V1971" s="110"/>
      <c r="W1971" s="110"/>
      <c r="X1971" s="110"/>
    </row>
    <row r="1972" spans="1:24" ht="14.25" customHeight="1">
      <c r="A1972" s="110"/>
      <c r="B1972" s="125"/>
      <c r="C1972" s="126"/>
      <c r="D1972" s="159"/>
      <c r="E1972" s="10" t="e">
        <f>TRIM(VLOOKUP(D1972,TB!$B$9:$C$1500,2,FALSE))</f>
        <v>#N/A</v>
      </c>
      <c r="F1972" s="173"/>
      <c r="G1972" s="130"/>
      <c r="H1972" s="10"/>
      <c r="I1972" s="10">
        <f t="shared" si="150"/>
        <v>0</v>
      </c>
      <c r="J1972" s="79" t="e">
        <f t="shared" si="129"/>
        <v>#VALUE!</v>
      </c>
      <c r="K1972" s="106"/>
      <c r="L1972" s="107"/>
      <c r="M1972" s="106"/>
      <c r="N1972" s="106"/>
      <c r="O1972" s="108"/>
      <c r="P1972" s="108"/>
      <c r="Q1972" s="108"/>
      <c r="R1972" s="109"/>
      <c r="S1972" s="109"/>
      <c r="T1972" s="108"/>
      <c r="U1972" s="110"/>
      <c r="V1972" s="110"/>
      <c r="W1972" s="110"/>
      <c r="X1972" s="110"/>
    </row>
    <row r="1973" spans="1:24" ht="14.25" customHeight="1">
      <c r="A1973" s="110"/>
      <c r="B1973" s="125">
        <v>46183</v>
      </c>
      <c r="C1973" s="126" t="s">
        <v>699</v>
      </c>
      <c r="D1973" s="15" t="s">
        <v>188</v>
      </c>
      <c r="E1973" s="10" t="str">
        <f>TRIM(VLOOKUP(D1973,TB!$B$9:$C$1500,2,FALSE))</f>
        <v>Advertising Costs</v>
      </c>
      <c r="F1973" s="173" t="s">
        <v>700</v>
      </c>
      <c r="G1973" s="130"/>
      <c r="H1973" s="10">
        <v>1400000</v>
      </c>
      <c r="I1973" s="10">
        <f t="shared" si="150"/>
        <v>0</v>
      </c>
      <c r="J1973" s="79" t="e">
        <f t="shared" si="129"/>
        <v>#VALUE!</v>
      </c>
      <c r="K1973" s="106"/>
      <c r="L1973" s="107"/>
      <c r="M1973" s="106"/>
      <c r="N1973" s="106"/>
      <c r="O1973" s="108"/>
      <c r="P1973" s="108"/>
      <c r="Q1973" s="108"/>
      <c r="R1973" s="109"/>
      <c r="S1973" s="109"/>
      <c r="T1973" s="108"/>
      <c r="U1973" s="110"/>
      <c r="V1973" s="110"/>
      <c r="W1973" s="110"/>
      <c r="X1973" s="110"/>
    </row>
    <row r="1974" spans="1:24" ht="14.25" customHeight="1">
      <c r="A1974" s="110"/>
      <c r="B1974" s="125">
        <v>46183</v>
      </c>
      <c r="C1974" s="126" t="s">
        <v>699</v>
      </c>
      <c r="D1974" s="15" t="s">
        <v>124</v>
      </c>
      <c r="E1974" s="10" t="str">
        <f>TRIM(VLOOKUP(D1974,TB!$B$9:$C$1500,2,FALSE))</f>
        <v>Bank charges</v>
      </c>
      <c r="F1974" s="173" t="s">
        <v>700</v>
      </c>
      <c r="G1974" s="130"/>
      <c r="H1974" s="10">
        <v>1000</v>
      </c>
      <c r="I1974" s="10"/>
      <c r="J1974" s="79" t="e">
        <f t="shared" si="129"/>
        <v>#VALUE!</v>
      </c>
      <c r="K1974" s="106"/>
      <c r="L1974" s="107"/>
      <c r="M1974" s="106"/>
      <c r="N1974" s="106"/>
      <c r="O1974" s="108"/>
      <c r="P1974" s="108"/>
      <c r="Q1974" s="108"/>
      <c r="R1974" s="109"/>
      <c r="S1974" s="109"/>
      <c r="T1974" s="108"/>
      <c r="U1974" s="110"/>
      <c r="V1974" s="110"/>
      <c r="W1974" s="110"/>
      <c r="X1974" s="110"/>
    </row>
    <row r="1975" spans="1:24" ht="14.25" customHeight="1">
      <c r="A1975" s="110"/>
      <c r="B1975" s="125">
        <v>46183</v>
      </c>
      <c r="C1975" s="126" t="s">
        <v>699</v>
      </c>
      <c r="D1975" s="68" t="s">
        <v>130</v>
      </c>
      <c r="E1975" s="10" t="str">
        <f>TRIM(VLOOKUP(D1975,TB!$B$9:$C$1500,2,FALSE))</f>
        <v>BCA TBB</v>
      </c>
      <c r="F1975" s="173" t="str">
        <f>F1973</f>
        <v>Top ads sos med 10 June 2026</v>
      </c>
      <c r="G1975" s="130"/>
      <c r="H1975" s="10"/>
      <c r="I1975" s="10">
        <v>1401000</v>
      </c>
      <c r="J1975" s="79" t="e">
        <f t="shared" si="129"/>
        <v>#VALUE!</v>
      </c>
      <c r="K1975" s="106"/>
      <c r="L1975" s="107"/>
      <c r="M1975" s="106"/>
      <c r="N1975" s="106"/>
      <c r="O1975" s="108"/>
      <c r="P1975" s="108"/>
      <c r="Q1975" s="108"/>
      <c r="R1975" s="109"/>
      <c r="S1975" s="109"/>
      <c r="T1975" s="108"/>
      <c r="U1975" s="110"/>
      <c r="V1975" s="110"/>
      <c r="W1975" s="110"/>
      <c r="X1975" s="110"/>
    </row>
    <row r="1976" spans="1:24" ht="14.25" customHeight="1">
      <c r="A1976" s="110"/>
      <c r="B1976" s="125"/>
      <c r="C1976" s="126"/>
      <c r="D1976" s="159"/>
      <c r="E1976" s="10" t="e">
        <f>TRIM(VLOOKUP(D1976,TB!$B$9:$C$1500,2,FALSE))</f>
        <v>#N/A</v>
      </c>
      <c r="F1976" s="173"/>
      <c r="G1976" s="130"/>
      <c r="H1976" s="10"/>
      <c r="I1976" s="10">
        <f>SUM(H1975)</f>
        <v>0</v>
      </c>
      <c r="J1976" s="79" t="e">
        <f t="shared" si="129"/>
        <v>#VALUE!</v>
      </c>
      <c r="K1976" s="106"/>
      <c r="L1976" s="107"/>
      <c r="M1976" s="106"/>
      <c r="N1976" s="106"/>
      <c r="O1976" s="108"/>
      <c r="P1976" s="108"/>
      <c r="Q1976" s="108"/>
      <c r="R1976" s="109"/>
      <c r="S1976" s="109"/>
      <c r="T1976" s="108"/>
      <c r="U1976" s="110"/>
      <c r="V1976" s="110"/>
      <c r="W1976" s="110"/>
      <c r="X1976" s="110"/>
    </row>
    <row r="1977" spans="1:24" ht="14.25" customHeight="1">
      <c r="A1977" s="110"/>
      <c r="B1977" s="125">
        <v>46184</v>
      </c>
      <c r="C1977" s="126" t="s">
        <v>701</v>
      </c>
      <c r="D1977" s="68" t="s">
        <v>130</v>
      </c>
      <c r="E1977" s="10" t="str">
        <f>TRIM(VLOOKUP(D1977,TB!$B$9:$C$1500,2,FALSE))</f>
        <v>BCA TBB</v>
      </c>
      <c r="F1977" s="173" t="s">
        <v>702</v>
      </c>
      <c r="G1977" s="130"/>
      <c r="H1977" s="157">
        <f>I1979-H1978</f>
        <v>5172267.6500000004</v>
      </c>
      <c r="I1977" s="10"/>
      <c r="J1977" s="79" t="e">
        <f t="shared" si="129"/>
        <v>#VALUE!</v>
      </c>
      <c r="K1977" s="106"/>
      <c r="L1977" s="107"/>
      <c r="M1977" s="106"/>
      <c r="N1977" s="106"/>
      <c r="O1977" s="108"/>
      <c r="P1977" s="108"/>
      <c r="Q1977" s="108"/>
      <c r="R1977" s="109"/>
      <c r="S1977" s="109"/>
      <c r="T1977" s="108"/>
      <c r="U1977" s="110"/>
      <c r="V1977" s="110"/>
      <c r="W1977" s="110"/>
      <c r="X1977" s="110"/>
    </row>
    <row r="1978" spans="1:24" ht="14.25" customHeight="1">
      <c r="A1978" s="110"/>
      <c r="B1978" s="125">
        <v>46184</v>
      </c>
      <c r="C1978" s="126" t="s">
        <v>701</v>
      </c>
      <c r="D1978" s="15" t="s">
        <v>124</v>
      </c>
      <c r="E1978" s="10" t="str">
        <f>TRIM(VLOOKUP(D1978,TB!$B$9:$C$1500,2,FALSE))</f>
        <v>Bank charges</v>
      </c>
      <c r="F1978" s="173" t="str">
        <f t="shared" ref="F1978:F1979" si="151">F1977</f>
        <v>BCA CC  09-06-2026</v>
      </c>
      <c r="G1978" s="130"/>
      <c r="H1978" s="157">
        <f>I1979*1.8%</f>
        <v>94807.35</v>
      </c>
      <c r="I1978" s="10"/>
      <c r="J1978" s="79" t="e">
        <f t="shared" si="129"/>
        <v>#VALUE!</v>
      </c>
      <c r="K1978" s="106"/>
      <c r="L1978" s="107"/>
      <c r="M1978" s="106"/>
      <c r="N1978" s="106"/>
      <c r="O1978" s="108"/>
      <c r="P1978" s="108"/>
      <c r="Q1978" s="108"/>
      <c r="R1978" s="109"/>
      <c r="S1978" s="109"/>
      <c r="T1978" s="108"/>
      <c r="U1978" s="110"/>
      <c r="V1978" s="110"/>
      <c r="W1978" s="110"/>
      <c r="X1978" s="110"/>
    </row>
    <row r="1979" spans="1:24" ht="14.25" customHeight="1">
      <c r="A1979" s="110"/>
      <c r="B1979" s="125">
        <v>46184</v>
      </c>
      <c r="C1979" s="126" t="s">
        <v>701</v>
      </c>
      <c r="D1979" s="15" t="s">
        <v>42</v>
      </c>
      <c r="E1979" s="10" t="str">
        <f>TRIM(VLOOKUP(D1979,TB!$B$9:$C$1500,2,FALSE))</f>
        <v>BCA Card TBB</v>
      </c>
      <c r="F1979" s="173" t="str">
        <f t="shared" si="151"/>
        <v>BCA CC  09-06-2026</v>
      </c>
      <c r="G1979" s="130"/>
      <c r="H1979" s="10"/>
      <c r="I1979" s="10">
        <v>5267075</v>
      </c>
      <c r="J1979" s="79" t="e">
        <f t="shared" si="129"/>
        <v>#VALUE!</v>
      </c>
      <c r="K1979" s="106"/>
      <c r="L1979" s="107"/>
      <c r="M1979" s="106"/>
      <c r="N1979" s="106"/>
      <c r="O1979" s="108"/>
      <c r="P1979" s="108"/>
      <c r="Q1979" s="108"/>
      <c r="R1979" s="109"/>
      <c r="S1979" s="109"/>
      <c r="T1979" s="108"/>
      <c r="U1979" s="110"/>
      <c r="V1979" s="110"/>
      <c r="W1979" s="110"/>
      <c r="X1979" s="110"/>
    </row>
    <row r="1980" spans="1:24" ht="14.25" customHeight="1">
      <c r="A1980" s="110"/>
      <c r="B1980" s="125"/>
      <c r="C1980" s="126"/>
      <c r="D1980" s="15"/>
      <c r="E1980" s="10" t="e">
        <f>TRIM(VLOOKUP(D1980,TB!$B$9:$C$1500,2,FALSE))</f>
        <v>#N/A</v>
      </c>
      <c r="F1980" s="173"/>
      <c r="G1980" s="130"/>
      <c r="H1980" s="10"/>
      <c r="I1980" s="10"/>
      <c r="J1980" s="79" t="e">
        <f t="shared" si="129"/>
        <v>#VALUE!</v>
      </c>
      <c r="K1980" s="106"/>
      <c r="L1980" s="107"/>
      <c r="M1980" s="106"/>
      <c r="N1980" s="106"/>
      <c r="O1980" s="108"/>
      <c r="P1980" s="108"/>
      <c r="Q1980" s="108"/>
      <c r="R1980" s="109"/>
      <c r="S1980" s="109"/>
      <c r="T1980" s="108"/>
      <c r="U1980" s="110"/>
      <c r="V1980" s="110"/>
      <c r="W1980" s="110"/>
      <c r="X1980" s="110"/>
    </row>
    <row r="1981" spans="1:24" ht="14.25" customHeight="1">
      <c r="A1981" s="110"/>
      <c r="B1981" s="125">
        <v>46184</v>
      </c>
      <c r="C1981" s="126" t="s">
        <v>703</v>
      </c>
      <c r="D1981" s="68" t="s">
        <v>130</v>
      </c>
      <c r="E1981" s="10" t="str">
        <f>TRIM(VLOOKUP(D1981,TB!$B$9:$C$1500,2,FALSE))</f>
        <v>BCA TBB</v>
      </c>
      <c r="F1981" s="173" t="s">
        <v>704</v>
      </c>
      <c r="G1981" s="130"/>
      <c r="H1981" s="157">
        <f>I1983-H1982</f>
        <v>560569.79</v>
      </c>
      <c r="I1981" s="10"/>
      <c r="J1981" s="79" t="e">
        <f t="shared" si="129"/>
        <v>#VALUE!</v>
      </c>
      <c r="K1981" s="106"/>
      <c r="L1981" s="107"/>
      <c r="M1981" s="106"/>
      <c r="N1981" s="106"/>
      <c r="O1981" s="108"/>
      <c r="P1981" s="108"/>
      <c r="Q1981" s="108"/>
      <c r="R1981" s="109"/>
      <c r="S1981" s="109"/>
      <c r="T1981" s="108"/>
      <c r="U1981" s="110"/>
      <c r="V1981" s="110"/>
      <c r="W1981" s="110"/>
      <c r="X1981" s="110"/>
    </row>
    <row r="1982" spans="1:24" ht="14.25" customHeight="1">
      <c r="A1982" s="110"/>
      <c r="B1982" s="125">
        <v>46184</v>
      </c>
      <c r="C1982" s="126" t="s">
        <v>703</v>
      </c>
      <c r="D1982" s="15" t="s">
        <v>124</v>
      </c>
      <c r="E1982" s="10" t="str">
        <f>TRIM(VLOOKUP(D1982,TB!$B$9:$C$1500,2,FALSE))</f>
        <v>Bank charges</v>
      </c>
      <c r="F1982" s="173" t="str">
        <f t="shared" ref="F1982:F1983" si="152">F1981</f>
        <v>BCA DEBT 09-06-2026</v>
      </c>
      <c r="G1982" s="130"/>
      <c r="H1982" s="157">
        <f>I1983*1.8%</f>
        <v>10275.210000000001</v>
      </c>
      <c r="I1982" s="10"/>
      <c r="J1982" s="79" t="e">
        <f t="shared" si="129"/>
        <v>#VALUE!</v>
      </c>
      <c r="K1982" s="106"/>
      <c r="L1982" s="107"/>
      <c r="M1982" s="106"/>
      <c r="N1982" s="106"/>
      <c r="O1982" s="108"/>
      <c r="P1982" s="108"/>
      <c r="Q1982" s="108"/>
      <c r="R1982" s="109"/>
      <c r="S1982" s="109"/>
      <c r="T1982" s="108"/>
      <c r="U1982" s="110"/>
      <c r="V1982" s="110"/>
      <c r="W1982" s="110"/>
      <c r="X1982" s="110"/>
    </row>
    <row r="1983" spans="1:24" ht="14.25" customHeight="1">
      <c r="A1983" s="110"/>
      <c r="B1983" s="125">
        <v>46184</v>
      </c>
      <c r="C1983" s="126" t="s">
        <v>703</v>
      </c>
      <c r="D1983" s="15" t="s">
        <v>42</v>
      </c>
      <c r="E1983" s="10" t="str">
        <f>TRIM(VLOOKUP(D1983,TB!$B$9:$C$1500,2,FALSE))</f>
        <v>BCA Card TBB</v>
      </c>
      <c r="F1983" s="173" t="str">
        <f t="shared" si="152"/>
        <v>BCA DEBT 09-06-2026</v>
      </c>
      <c r="G1983" s="130"/>
      <c r="H1983" s="10"/>
      <c r="I1983" s="10">
        <v>570845</v>
      </c>
      <c r="J1983" s="79" t="e">
        <f t="shared" si="129"/>
        <v>#VALUE!</v>
      </c>
      <c r="K1983" s="106"/>
      <c r="L1983" s="107"/>
      <c r="M1983" s="106"/>
      <c r="N1983" s="106"/>
      <c r="O1983" s="108"/>
      <c r="P1983" s="108"/>
      <c r="Q1983" s="108"/>
      <c r="R1983" s="109"/>
      <c r="S1983" s="109"/>
      <c r="T1983" s="108"/>
      <c r="U1983" s="110"/>
      <c r="V1983" s="110"/>
      <c r="W1983" s="110"/>
      <c r="X1983" s="110"/>
    </row>
    <row r="1984" spans="1:24" ht="14.25" customHeight="1">
      <c r="A1984" s="110"/>
      <c r="B1984" s="125"/>
      <c r="C1984" s="126"/>
      <c r="D1984" s="15"/>
      <c r="E1984" s="10" t="e">
        <f>TRIM(VLOOKUP(D1984,TB!$B$9:$C$1500,2,FALSE))</f>
        <v>#N/A</v>
      </c>
      <c r="F1984" s="173"/>
      <c r="G1984" s="130"/>
      <c r="H1984" s="10"/>
      <c r="I1984" s="10"/>
      <c r="J1984" s="79" t="e">
        <f t="shared" si="129"/>
        <v>#VALUE!</v>
      </c>
      <c r="K1984" s="106"/>
      <c r="L1984" s="107"/>
      <c r="M1984" s="106"/>
      <c r="N1984" s="106"/>
      <c r="O1984" s="108"/>
      <c r="P1984" s="108"/>
      <c r="Q1984" s="108"/>
      <c r="R1984" s="109"/>
      <c r="S1984" s="109"/>
      <c r="T1984" s="108"/>
      <c r="U1984" s="110"/>
      <c r="V1984" s="110"/>
      <c r="W1984" s="110"/>
      <c r="X1984" s="110"/>
    </row>
    <row r="1985" spans="1:24" ht="14.25" customHeight="1">
      <c r="A1985" s="110"/>
      <c r="B1985" s="125">
        <v>46184</v>
      </c>
      <c r="C1985" s="126" t="s">
        <v>705</v>
      </c>
      <c r="D1985" s="68" t="s">
        <v>130</v>
      </c>
      <c r="E1985" s="10" t="str">
        <f>TRIM(VLOOKUP(D1985,TB!$B$9:$C$1500,2,FALSE))</f>
        <v>BCA TBB</v>
      </c>
      <c r="F1985" s="173" t="s">
        <v>706</v>
      </c>
      <c r="G1985" s="130"/>
      <c r="H1985" s="157">
        <f>I1987-H1986</f>
        <v>161813.96</v>
      </c>
      <c r="I1985" s="10"/>
      <c r="J1985" s="79" t="e">
        <f t="shared" si="129"/>
        <v>#VALUE!</v>
      </c>
      <c r="K1985" s="106"/>
      <c r="L1985" s="107"/>
      <c r="M1985" s="106"/>
      <c r="N1985" s="106"/>
      <c r="O1985" s="108"/>
      <c r="P1985" s="108"/>
      <c r="Q1985" s="108"/>
      <c r="R1985" s="109"/>
      <c r="S1985" s="109"/>
      <c r="T1985" s="108"/>
      <c r="U1985" s="110"/>
      <c r="V1985" s="110"/>
      <c r="W1985" s="110"/>
      <c r="X1985" s="110"/>
    </row>
    <row r="1986" spans="1:24" ht="14.25" customHeight="1">
      <c r="A1986" s="110"/>
      <c r="B1986" s="125">
        <v>46184</v>
      </c>
      <c r="C1986" s="126" t="s">
        <v>705</v>
      </c>
      <c r="D1986" s="15" t="s">
        <v>124</v>
      </c>
      <c r="E1986" s="10" t="str">
        <f>TRIM(VLOOKUP(D1986,TB!$B$9:$C$1500,2,FALSE))</f>
        <v>Bank charges</v>
      </c>
      <c r="F1986" s="173" t="str">
        <f t="shared" ref="F1986:F1987" si="153">F1985</f>
        <v>BCA QR  09-06-2026</v>
      </c>
      <c r="G1986" s="130"/>
      <c r="H1986" s="157">
        <f>I1987*1.8%</f>
        <v>2966.0400000000004</v>
      </c>
      <c r="I1986" s="10"/>
      <c r="J1986" s="79" t="e">
        <f t="shared" si="129"/>
        <v>#VALUE!</v>
      </c>
      <c r="K1986" s="106"/>
      <c r="L1986" s="107"/>
      <c r="M1986" s="106"/>
      <c r="N1986" s="106"/>
      <c r="O1986" s="108"/>
      <c r="P1986" s="108"/>
      <c r="Q1986" s="108"/>
      <c r="R1986" s="109"/>
      <c r="S1986" s="109"/>
      <c r="T1986" s="108"/>
      <c r="U1986" s="110"/>
      <c r="V1986" s="110"/>
      <c r="W1986" s="110"/>
      <c r="X1986" s="110"/>
    </row>
    <row r="1987" spans="1:24" ht="14.25" customHeight="1">
      <c r="A1987" s="110"/>
      <c r="B1987" s="125">
        <v>46184</v>
      </c>
      <c r="C1987" s="126" t="s">
        <v>705</v>
      </c>
      <c r="D1987" s="15" t="s">
        <v>42</v>
      </c>
      <c r="E1987" s="10" t="str">
        <f>TRIM(VLOOKUP(D1987,TB!$B$9:$C$1500,2,FALSE))</f>
        <v>BCA Card TBB</v>
      </c>
      <c r="F1987" s="173" t="str">
        <f t="shared" si="153"/>
        <v>BCA QR  09-06-2026</v>
      </c>
      <c r="G1987" s="130"/>
      <c r="H1987" s="10"/>
      <c r="I1987" s="10">
        <v>164780</v>
      </c>
      <c r="J1987" s="79" t="e">
        <f t="shared" si="129"/>
        <v>#VALUE!</v>
      </c>
      <c r="K1987" s="106"/>
      <c r="L1987" s="107"/>
      <c r="M1987" s="106"/>
      <c r="N1987" s="106"/>
      <c r="O1987" s="108"/>
      <c r="P1987" s="108"/>
      <c r="Q1987" s="108"/>
      <c r="R1987" s="109"/>
      <c r="S1987" s="109"/>
      <c r="T1987" s="108"/>
      <c r="U1987" s="110"/>
      <c r="V1987" s="110"/>
      <c r="W1987" s="110"/>
      <c r="X1987" s="110"/>
    </row>
    <row r="1988" spans="1:24" ht="14.25" customHeight="1">
      <c r="A1988" s="110"/>
      <c r="B1988" s="125"/>
      <c r="C1988" s="126"/>
      <c r="D1988" s="159"/>
      <c r="E1988" s="10" t="e">
        <f>TRIM(VLOOKUP(D1988,TB!$B$9:$C$1500,2,FALSE))</f>
        <v>#N/A</v>
      </c>
      <c r="F1988" s="173"/>
      <c r="G1988" s="130"/>
      <c r="H1988" s="10"/>
      <c r="I1988" s="10">
        <f>SUM(H1987)</f>
        <v>0</v>
      </c>
      <c r="J1988" s="79" t="e">
        <f t="shared" si="129"/>
        <v>#VALUE!</v>
      </c>
      <c r="K1988" s="106"/>
      <c r="L1988" s="107"/>
      <c r="M1988" s="106"/>
      <c r="N1988" s="106"/>
      <c r="O1988" s="108"/>
      <c r="P1988" s="108"/>
      <c r="Q1988" s="108"/>
      <c r="R1988" s="109"/>
      <c r="S1988" s="109"/>
      <c r="T1988" s="108"/>
      <c r="U1988" s="110"/>
      <c r="V1988" s="110"/>
      <c r="W1988" s="110"/>
      <c r="X1988" s="110"/>
    </row>
    <row r="1989" spans="1:24" ht="14.25" customHeight="1">
      <c r="A1989" s="110"/>
      <c r="B1989" s="125">
        <v>46184</v>
      </c>
      <c r="C1989" s="126" t="s">
        <v>707</v>
      </c>
      <c r="D1989" s="68" t="s">
        <v>130</v>
      </c>
      <c r="E1989" s="10" t="str">
        <f>TRIM(VLOOKUP(D1989,TB!$B$9:$C$1500,2,FALSE))</f>
        <v>BCA TBB</v>
      </c>
      <c r="F1989" s="142" t="s">
        <v>708</v>
      </c>
      <c r="G1989" s="130"/>
      <c r="H1989" s="10">
        <v>5000000</v>
      </c>
      <c r="I1989" s="10"/>
      <c r="J1989" s="79" t="e">
        <f t="shared" si="129"/>
        <v>#VALUE!</v>
      </c>
      <c r="K1989" s="106"/>
      <c r="L1989" s="107"/>
      <c r="M1989" s="106"/>
      <c r="N1989" s="106"/>
      <c r="O1989" s="108"/>
      <c r="P1989" s="108"/>
      <c r="Q1989" s="108"/>
      <c r="R1989" s="109"/>
      <c r="S1989" s="109"/>
      <c r="T1989" s="108"/>
      <c r="U1989" s="110"/>
      <c r="V1989" s="110"/>
      <c r="W1989" s="110"/>
      <c r="X1989" s="110"/>
    </row>
    <row r="1990" spans="1:24" ht="14.25" customHeight="1">
      <c r="A1990" s="110"/>
      <c r="B1990" s="125">
        <v>46184</v>
      </c>
      <c r="C1990" s="126" t="s">
        <v>707</v>
      </c>
      <c r="D1990" s="15" t="s">
        <v>42</v>
      </c>
      <c r="E1990" s="10" t="str">
        <f>TRIM(VLOOKUP(D1990,TB!$B$9:$C$1500,2,FALSE))</f>
        <v>BCA Card TBB</v>
      </c>
      <c r="F1990" s="142" t="s">
        <v>708</v>
      </c>
      <c r="G1990" s="130"/>
      <c r="H1990" s="10"/>
      <c r="I1990" s="10">
        <v>5000000</v>
      </c>
      <c r="J1990" s="79" t="e">
        <f t="shared" si="129"/>
        <v>#VALUE!</v>
      </c>
      <c r="K1990" s="106"/>
      <c r="L1990" s="107"/>
      <c r="M1990" s="106"/>
      <c r="N1990" s="106"/>
      <c r="O1990" s="108"/>
      <c r="P1990" s="108"/>
      <c r="Q1990" s="108"/>
      <c r="R1990" s="109"/>
      <c r="S1990" s="109"/>
      <c r="T1990" s="108"/>
      <c r="U1990" s="110"/>
      <c r="V1990" s="110"/>
      <c r="W1990" s="110"/>
      <c r="X1990" s="110"/>
    </row>
    <row r="1991" spans="1:24" ht="14.25" customHeight="1">
      <c r="A1991" s="110"/>
      <c r="B1991" s="125"/>
      <c r="C1991" s="126"/>
      <c r="D1991" s="159"/>
      <c r="E1991" s="10" t="e">
        <f>TRIM(VLOOKUP(D1991,TB!$B$9:$C$1500,2,FALSE))</f>
        <v>#N/A</v>
      </c>
      <c r="F1991" s="173"/>
      <c r="G1991" s="130"/>
      <c r="H1991" s="10"/>
      <c r="I1991" s="10"/>
      <c r="J1991" s="79" t="e">
        <f t="shared" si="129"/>
        <v>#VALUE!</v>
      </c>
      <c r="K1991" s="106"/>
      <c r="L1991" s="107"/>
      <c r="M1991" s="106"/>
      <c r="N1991" s="106"/>
      <c r="O1991" s="108"/>
      <c r="P1991" s="108"/>
      <c r="Q1991" s="108"/>
      <c r="R1991" s="109"/>
      <c r="S1991" s="109"/>
      <c r="T1991" s="108"/>
      <c r="U1991" s="110"/>
      <c r="V1991" s="110"/>
      <c r="W1991" s="110"/>
      <c r="X1991" s="110"/>
    </row>
    <row r="1992" spans="1:24" ht="14.25" customHeight="1">
      <c r="A1992" s="110"/>
      <c r="B1992" s="125">
        <v>46184</v>
      </c>
      <c r="C1992" s="126" t="s">
        <v>709</v>
      </c>
      <c r="D1992" s="68" t="s">
        <v>285</v>
      </c>
      <c r="E1992" s="10" t="str">
        <f>TRIM(VLOOKUP(D1992,TB!$B$9:$C$1500,2,FALSE))</f>
        <v>Misc Cash Purchase</v>
      </c>
      <c r="F1992" s="173" t="s">
        <v>710</v>
      </c>
      <c r="G1992" s="130"/>
      <c r="H1992" s="10">
        <v>800000</v>
      </c>
      <c r="I1992" s="10">
        <f>SUM(H1988)</f>
        <v>0</v>
      </c>
      <c r="J1992" s="79" t="e">
        <f t="shared" si="129"/>
        <v>#VALUE!</v>
      </c>
      <c r="K1992" s="106"/>
      <c r="L1992" s="107"/>
      <c r="M1992" s="106"/>
      <c r="N1992" s="106"/>
      <c r="O1992" s="108"/>
      <c r="P1992" s="108"/>
      <c r="Q1992" s="108"/>
      <c r="R1992" s="109"/>
      <c r="S1992" s="109"/>
      <c r="T1992" s="108"/>
      <c r="U1992" s="110"/>
      <c r="V1992" s="110"/>
      <c r="W1992" s="110"/>
      <c r="X1992" s="110"/>
    </row>
    <row r="1993" spans="1:24" ht="14.25" customHeight="1">
      <c r="A1993" s="110"/>
      <c r="B1993" s="125">
        <v>46184</v>
      </c>
      <c r="C1993" s="126" t="s">
        <v>709</v>
      </c>
      <c r="D1993" s="68" t="s">
        <v>130</v>
      </c>
      <c r="E1993" s="10" t="str">
        <f>TRIM(VLOOKUP(D1993,TB!$B$9:$C$1500,2,FALSE))</f>
        <v>BCA TBB</v>
      </c>
      <c r="F1993" s="173" t="str">
        <f>F1992</f>
        <v>Mmb - Inv. 1457 - 17 Mar 26</v>
      </c>
      <c r="G1993" s="130"/>
      <c r="H1993" s="10"/>
      <c r="I1993" s="10">
        <f t="shared" ref="I1993:I1995" si="154">SUM(H1992)</f>
        <v>800000</v>
      </c>
      <c r="J1993" s="79" t="e">
        <f t="shared" si="129"/>
        <v>#VALUE!</v>
      </c>
      <c r="K1993" s="106"/>
      <c r="L1993" s="107"/>
      <c r="M1993" s="106"/>
      <c r="N1993" s="106"/>
      <c r="O1993" s="108"/>
      <c r="P1993" s="108"/>
      <c r="Q1993" s="108"/>
      <c r="R1993" s="109"/>
      <c r="S1993" s="109"/>
      <c r="T1993" s="108"/>
      <c r="U1993" s="110"/>
      <c r="V1993" s="110"/>
      <c r="W1993" s="110"/>
      <c r="X1993" s="110"/>
    </row>
    <row r="1994" spans="1:24" ht="14.25" customHeight="1">
      <c r="A1994" s="110"/>
      <c r="B1994" s="125"/>
      <c r="C1994" s="126"/>
      <c r="D1994" s="172"/>
      <c r="E1994" s="10" t="e">
        <f>TRIM(VLOOKUP(D1994,TB!$B$9:$C$1500,2,FALSE))</f>
        <v>#N/A</v>
      </c>
      <c r="F1994" s="12"/>
      <c r="G1994" s="180"/>
      <c r="H1994" s="158"/>
      <c r="I1994" s="10">
        <f t="shared" si="154"/>
        <v>0</v>
      </c>
      <c r="J1994" s="79" t="e">
        <f t="shared" si="129"/>
        <v>#VALUE!</v>
      </c>
      <c r="K1994" s="106"/>
      <c r="L1994" s="107"/>
      <c r="M1994" s="106"/>
      <c r="N1994" s="106"/>
      <c r="O1994" s="108"/>
      <c r="P1994" s="108"/>
      <c r="Q1994" s="108"/>
      <c r="R1994" s="109"/>
      <c r="S1994" s="109"/>
      <c r="T1994" s="108"/>
      <c r="U1994" s="110"/>
      <c r="V1994" s="110"/>
      <c r="W1994" s="110"/>
      <c r="X1994" s="110"/>
    </row>
    <row r="1995" spans="1:24" ht="14.25" customHeight="1">
      <c r="A1995" s="110"/>
      <c r="B1995" s="125">
        <v>46184</v>
      </c>
      <c r="C1995" s="126" t="s">
        <v>711</v>
      </c>
      <c r="D1995" s="68" t="s">
        <v>285</v>
      </c>
      <c r="E1995" s="10" t="str">
        <f>TRIM(VLOOKUP(D1995,TB!$B$9:$C$1500,2,FALSE))</f>
        <v>Misc Cash Purchase</v>
      </c>
      <c r="F1995" s="173" t="s">
        <v>712</v>
      </c>
      <c r="G1995" s="130"/>
      <c r="H1995" s="10">
        <v>325000</v>
      </c>
      <c r="I1995" s="10">
        <f t="shared" si="154"/>
        <v>0</v>
      </c>
      <c r="J1995" s="79" t="e">
        <f t="shared" si="129"/>
        <v>#VALUE!</v>
      </c>
      <c r="K1995" s="106"/>
      <c r="L1995" s="107"/>
      <c r="M1995" s="106"/>
      <c r="N1995" s="106"/>
      <c r="O1995" s="108"/>
      <c r="P1995" s="108"/>
      <c r="Q1995" s="108"/>
      <c r="R1995" s="109"/>
      <c r="S1995" s="109"/>
      <c r="T1995" s="108"/>
      <c r="U1995" s="110"/>
      <c r="V1995" s="110"/>
      <c r="W1995" s="110"/>
      <c r="X1995" s="110"/>
    </row>
    <row r="1996" spans="1:24" ht="14.25" customHeight="1">
      <c r="A1996" s="110"/>
      <c r="B1996" s="125">
        <v>46184</v>
      </c>
      <c r="C1996" s="126" t="s">
        <v>711</v>
      </c>
      <c r="D1996" s="15" t="s">
        <v>124</v>
      </c>
      <c r="E1996" s="10" t="str">
        <f>TRIM(VLOOKUP(D1996,TB!$B$9:$C$1500,2,FALSE))</f>
        <v>Bank charges</v>
      </c>
      <c r="F1996" s="173" t="str">
        <f t="shared" ref="F1996:F1997" si="155">F1995</f>
        <v>Bali Kalpawreksa - Inv. 9267 - 12 May 26</v>
      </c>
      <c r="G1996" s="130"/>
      <c r="H1996" s="10">
        <v>2500</v>
      </c>
      <c r="I1996" s="10"/>
      <c r="J1996" s="79" t="e">
        <f t="shared" si="129"/>
        <v>#VALUE!</v>
      </c>
      <c r="K1996" s="106"/>
      <c r="L1996" s="107"/>
      <c r="M1996" s="106"/>
      <c r="N1996" s="106"/>
      <c r="O1996" s="108"/>
      <c r="P1996" s="108"/>
      <c r="Q1996" s="108"/>
      <c r="R1996" s="109"/>
      <c r="S1996" s="109"/>
      <c r="T1996" s="108"/>
      <c r="U1996" s="110"/>
      <c r="V1996" s="110"/>
      <c r="W1996" s="110"/>
      <c r="X1996" s="110"/>
    </row>
    <row r="1997" spans="1:24" ht="14.25" customHeight="1">
      <c r="A1997" s="110"/>
      <c r="B1997" s="125">
        <v>46184</v>
      </c>
      <c r="C1997" s="126" t="s">
        <v>711</v>
      </c>
      <c r="D1997" s="68" t="s">
        <v>130</v>
      </c>
      <c r="E1997" s="10" t="str">
        <f>TRIM(VLOOKUP(D1997,TB!$B$9:$C$1500,2,FALSE))</f>
        <v>BCA TBB</v>
      </c>
      <c r="F1997" s="173" t="str">
        <f t="shared" si="155"/>
        <v>Bali Kalpawreksa - Inv. 9267 - 12 May 26</v>
      </c>
      <c r="G1997" s="130"/>
      <c r="H1997" s="10"/>
      <c r="I1997" s="10">
        <f>SUM(H1995:H1996)</f>
        <v>327500</v>
      </c>
      <c r="J1997" s="79" t="e">
        <f t="shared" si="129"/>
        <v>#VALUE!</v>
      </c>
      <c r="K1997" s="106"/>
      <c r="L1997" s="107"/>
      <c r="M1997" s="106"/>
      <c r="N1997" s="106"/>
      <c r="O1997" s="108"/>
      <c r="P1997" s="108"/>
      <c r="Q1997" s="108"/>
      <c r="R1997" s="109"/>
      <c r="S1997" s="109"/>
      <c r="T1997" s="108"/>
      <c r="U1997" s="110"/>
      <c r="V1997" s="110"/>
      <c r="W1997" s="110"/>
      <c r="X1997" s="110"/>
    </row>
    <row r="1998" spans="1:24" ht="14.25" customHeight="1">
      <c r="A1998" s="4"/>
      <c r="B1998" s="125"/>
      <c r="C1998" s="126"/>
      <c r="D1998" s="159"/>
      <c r="E1998" s="10" t="e">
        <f>TRIM(VLOOKUP(D1998,TB!$B$9:$C$1500,2,FALSE))</f>
        <v>#N/A</v>
      </c>
      <c r="F1998" s="173"/>
      <c r="G1998" s="130"/>
      <c r="H1998" s="10"/>
      <c r="I1998" s="10">
        <f t="shared" ref="I1998:I2005" si="156">SUM(H1997)</f>
        <v>0</v>
      </c>
      <c r="J1998" s="79" t="e">
        <f t="shared" si="129"/>
        <v>#VALUE!</v>
      </c>
      <c r="K1998" s="106"/>
      <c r="L1998" s="141"/>
      <c r="M1998" s="132"/>
      <c r="N1998" s="133"/>
      <c r="O1998" s="4"/>
      <c r="P1998" s="4"/>
      <c r="Q1998" s="4"/>
      <c r="R1998" s="4"/>
      <c r="S1998" s="4"/>
      <c r="T1998" s="4"/>
      <c r="U1998" s="4"/>
      <c r="V1998" s="4"/>
      <c r="W1998" s="4"/>
      <c r="X1998" s="4"/>
    </row>
    <row r="1999" spans="1:24" ht="14.25" customHeight="1">
      <c r="A1999" s="4"/>
      <c r="B1999" s="125">
        <v>46184</v>
      </c>
      <c r="C1999" s="126" t="s">
        <v>713</v>
      </c>
      <c r="D1999" s="68" t="s">
        <v>285</v>
      </c>
      <c r="E1999" s="10" t="str">
        <f>TRIM(VLOOKUP(D1999,TB!$B$9:$C$1500,2,FALSE))</f>
        <v>Misc Cash Purchase</v>
      </c>
      <c r="F1999" s="173" t="s">
        <v>714</v>
      </c>
      <c r="G1999" s="130"/>
      <c r="H1999" s="10">
        <v>1033000</v>
      </c>
      <c r="I1999" s="10">
        <f t="shared" si="156"/>
        <v>0</v>
      </c>
      <c r="J1999" s="79" t="e">
        <f t="shared" si="129"/>
        <v>#VALUE!</v>
      </c>
      <c r="K1999" s="106"/>
      <c r="L1999" s="141"/>
      <c r="M1999" s="132"/>
      <c r="N1999" s="133"/>
      <c r="O1999" s="4"/>
      <c r="P1999" s="4"/>
      <c r="Q1999" s="4"/>
      <c r="R1999" s="4"/>
      <c r="S1999" s="4"/>
      <c r="T1999" s="4"/>
      <c r="U1999" s="4"/>
      <c r="V1999" s="4"/>
      <c r="W1999" s="4"/>
      <c r="X1999" s="4"/>
    </row>
    <row r="2000" spans="1:24" ht="14.25" customHeight="1">
      <c r="A2000" s="4"/>
      <c r="B2000" s="125">
        <v>46184</v>
      </c>
      <c r="C2000" s="126" t="s">
        <v>713</v>
      </c>
      <c r="D2000" s="68" t="s">
        <v>130</v>
      </c>
      <c r="E2000" s="10" t="str">
        <f>TRIM(VLOOKUP(D2000,TB!$B$9:$C$1500,2,FALSE))</f>
        <v>BCA TBB</v>
      </c>
      <c r="F2000" s="173" t="str">
        <f>F1999</f>
        <v>Hepi Ternak Indonesia - Inv. 00061 - 12 May 26</v>
      </c>
      <c r="G2000" s="130"/>
      <c r="H2000" s="10"/>
      <c r="I2000" s="10">
        <f t="shared" si="156"/>
        <v>1033000</v>
      </c>
      <c r="J2000" s="79" t="e">
        <f t="shared" si="129"/>
        <v>#VALUE!</v>
      </c>
      <c r="K2000" s="106"/>
      <c r="L2000" s="141"/>
      <c r="M2000" s="132"/>
      <c r="N2000" s="133"/>
      <c r="O2000" s="4"/>
      <c r="P2000" s="4"/>
      <c r="Q2000" s="4"/>
      <c r="R2000" s="4"/>
      <c r="S2000" s="4"/>
      <c r="T2000" s="4"/>
      <c r="U2000" s="4"/>
      <c r="V2000" s="4"/>
      <c r="W2000" s="4"/>
      <c r="X2000" s="4"/>
    </row>
    <row r="2001" spans="1:24" ht="14.25" customHeight="1">
      <c r="A2001" s="4"/>
      <c r="B2001" s="125"/>
      <c r="C2001" s="126"/>
      <c r="D2001" s="159"/>
      <c r="E2001" s="10" t="e">
        <f>TRIM(VLOOKUP(D2001,TB!$B$9:$C$1500,2,FALSE))</f>
        <v>#N/A</v>
      </c>
      <c r="F2001" s="173"/>
      <c r="G2001" s="130"/>
      <c r="H2001" s="10"/>
      <c r="I2001" s="10">
        <f t="shared" si="156"/>
        <v>0</v>
      </c>
      <c r="J2001" s="79" t="e">
        <f t="shared" si="129"/>
        <v>#VALUE!</v>
      </c>
      <c r="K2001" s="106"/>
      <c r="L2001" s="141"/>
      <c r="M2001" s="132"/>
      <c r="N2001" s="133"/>
      <c r="O2001" s="4"/>
      <c r="P2001" s="4"/>
      <c r="Q2001" s="4"/>
      <c r="R2001" s="4"/>
      <c r="S2001" s="4"/>
      <c r="T2001" s="4"/>
      <c r="U2001" s="4"/>
      <c r="V2001" s="4"/>
      <c r="W2001" s="4"/>
      <c r="X2001" s="4"/>
    </row>
    <row r="2002" spans="1:24" ht="14.25" customHeight="1">
      <c r="A2002" s="4"/>
      <c r="B2002" s="125">
        <v>46184</v>
      </c>
      <c r="C2002" s="126" t="s">
        <v>715</v>
      </c>
      <c r="D2002" s="68" t="s">
        <v>285</v>
      </c>
      <c r="E2002" s="10" t="str">
        <f>TRIM(VLOOKUP(D2002,TB!$B$9:$C$1500,2,FALSE))</f>
        <v>Misc Cash Purchase</v>
      </c>
      <c r="F2002" s="173" t="s">
        <v>716</v>
      </c>
      <c r="G2002" s="130"/>
      <c r="H2002" s="10">
        <v>1423800</v>
      </c>
      <c r="I2002" s="10">
        <f t="shared" si="156"/>
        <v>0</v>
      </c>
      <c r="J2002" s="79" t="e">
        <f t="shared" si="129"/>
        <v>#VALUE!</v>
      </c>
      <c r="K2002" s="106"/>
      <c r="L2002" s="141"/>
      <c r="M2002" s="132"/>
      <c r="N2002" s="133"/>
      <c r="O2002" s="4"/>
      <c r="P2002" s="4"/>
      <c r="Q2002" s="4"/>
      <c r="R2002" s="4"/>
      <c r="S2002" s="4"/>
      <c r="T2002" s="4"/>
      <c r="U2002" s="4"/>
      <c r="V2002" s="4"/>
      <c r="W2002" s="4"/>
      <c r="X2002" s="4"/>
    </row>
    <row r="2003" spans="1:24" ht="14.25" customHeight="1">
      <c r="A2003" s="4"/>
      <c r="B2003" s="125">
        <v>46184</v>
      </c>
      <c r="C2003" s="126" t="s">
        <v>715</v>
      </c>
      <c r="D2003" s="68" t="s">
        <v>130</v>
      </c>
      <c r="E2003" s="10" t="str">
        <f>TRIM(VLOOKUP(D2003,TB!$B$9:$C$1500,2,FALSE))</f>
        <v>BCA TBB</v>
      </c>
      <c r="F2003" s="173" t="str">
        <f>F2002</f>
        <v>Tiga Juragan Perkasa - Inv. 8664,8683 - 28 Apr, 8660 - 28 Apr 26</v>
      </c>
      <c r="G2003" s="130"/>
      <c r="H2003" s="10"/>
      <c r="I2003" s="10">
        <f t="shared" si="156"/>
        <v>1423800</v>
      </c>
      <c r="J2003" s="79" t="e">
        <f t="shared" si="129"/>
        <v>#VALUE!</v>
      </c>
      <c r="K2003" s="106"/>
      <c r="L2003" s="141"/>
      <c r="M2003" s="132"/>
      <c r="N2003" s="133"/>
      <c r="O2003" s="4"/>
      <c r="P2003" s="4"/>
      <c r="Q2003" s="4"/>
      <c r="R2003" s="4"/>
      <c r="S2003" s="4"/>
      <c r="T2003" s="4"/>
      <c r="U2003" s="4"/>
      <c r="V2003" s="4"/>
      <c r="W2003" s="4"/>
      <c r="X2003" s="4"/>
    </row>
    <row r="2004" spans="1:24" ht="14.25" customHeight="1">
      <c r="A2004" s="4"/>
      <c r="B2004" s="125"/>
      <c r="C2004" s="126"/>
      <c r="D2004" s="159"/>
      <c r="E2004" s="10" t="e">
        <f>TRIM(VLOOKUP(D2004,TB!$B$9:$C$1500,2,FALSE))</f>
        <v>#N/A</v>
      </c>
      <c r="F2004" s="173"/>
      <c r="G2004" s="130"/>
      <c r="H2004" s="10"/>
      <c r="I2004" s="10">
        <f t="shared" si="156"/>
        <v>0</v>
      </c>
      <c r="J2004" s="79" t="e">
        <f t="shared" si="129"/>
        <v>#VALUE!</v>
      </c>
      <c r="K2004" s="106"/>
      <c r="L2004" s="141"/>
      <c r="M2004" s="132"/>
      <c r="N2004" s="133"/>
      <c r="O2004" s="4"/>
      <c r="P2004" s="4"/>
      <c r="Q2004" s="4"/>
      <c r="R2004" s="4"/>
      <c r="S2004" s="4"/>
      <c r="T2004" s="4"/>
      <c r="U2004" s="4"/>
      <c r="V2004" s="4"/>
      <c r="W2004" s="4"/>
      <c r="X2004" s="4"/>
    </row>
    <row r="2005" spans="1:24" ht="14.25" customHeight="1">
      <c r="A2005" s="4"/>
      <c r="B2005" s="125">
        <v>46184</v>
      </c>
      <c r="C2005" s="126" t="s">
        <v>717</v>
      </c>
      <c r="D2005" s="15" t="s">
        <v>188</v>
      </c>
      <c r="E2005" s="10" t="str">
        <f>TRIM(VLOOKUP(D2005,TB!$B$9:$C$1500,2,FALSE))</f>
        <v>Advertising Costs</v>
      </c>
      <c r="F2005" s="173" t="s">
        <v>718</v>
      </c>
      <c r="G2005" s="130"/>
      <c r="H2005" s="10">
        <v>1400000</v>
      </c>
      <c r="I2005" s="10">
        <f t="shared" si="156"/>
        <v>0</v>
      </c>
      <c r="J2005" s="79" t="e">
        <f t="shared" si="129"/>
        <v>#VALUE!</v>
      </c>
      <c r="K2005" s="106"/>
      <c r="L2005" s="141"/>
      <c r="M2005" s="132"/>
      <c r="N2005" s="133"/>
      <c r="O2005" s="4"/>
      <c r="P2005" s="4"/>
      <c r="Q2005" s="4"/>
      <c r="R2005" s="4"/>
      <c r="S2005" s="4"/>
      <c r="T2005" s="4"/>
      <c r="U2005" s="4"/>
      <c r="V2005" s="4"/>
      <c r="W2005" s="4"/>
      <c r="X2005" s="4"/>
    </row>
    <row r="2006" spans="1:24" ht="14.25" customHeight="1">
      <c r="A2006" s="4"/>
      <c r="B2006" s="125">
        <v>46184</v>
      </c>
      <c r="C2006" s="126" t="s">
        <v>717</v>
      </c>
      <c r="D2006" s="15" t="s">
        <v>124</v>
      </c>
      <c r="E2006" s="10" t="str">
        <f>TRIM(VLOOKUP(D2006,TB!$B$9:$C$1500,2,FALSE))</f>
        <v>Bank charges</v>
      </c>
      <c r="F2006" s="173" t="s">
        <v>718</v>
      </c>
      <c r="G2006" s="130"/>
      <c r="H2006" s="10">
        <v>1000</v>
      </c>
      <c r="I2006" s="10"/>
      <c r="J2006" s="79" t="e">
        <f t="shared" si="129"/>
        <v>#VALUE!</v>
      </c>
      <c r="K2006" s="106"/>
      <c r="L2006" s="141"/>
      <c r="M2006" s="132"/>
      <c r="N2006" s="133"/>
      <c r="O2006" s="4"/>
      <c r="P2006" s="4"/>
      <c r="Q2006" s="4"/>
      <c r="R2006" s="4"/>
      <c r="S2006" s="4"/>
      <c r="T2006" s="4"/>
      <c r="U2006" s="4"/>
      <c r="V2006" s="4"/>
      <c r="W2006" s="4"/>
      <c r="X2006" s="4"/>
    </row>
    <row r="2007" spans="1:24" ht="14.25" customHeight="1">
      <c r="A2007" s="4"/>
      <c r="B2007" s="125">
        <v>46184</v>
      </c>
      <c r="C2007" s="126" t="s">
        <v>717</v>
      </c>
      <c r="D2007" s="68" t="s">
        <v>130</v>
      </c>
      <c r="E2007" s="10" t="str">
        <f>TRIM(VLOOKUP(D2007,TB!$B$9:$C$1500,2,FALSE))</f>
        <v>BCA TBB</v>
      </c>
      <c r="F2007" s="173" t="str">
        <f>F2005</f>
        <v>Top ads sos med 11 June 2026</v>
      </c>
      <c r="G2007" s="130"/>
      <c r="H2007" s="10"/>
      <c r="I2007" s="10">
        <v>1401000</v>
      </c>
      <c r="J2007" s="79" t="e">
        <f t="shared" si="129"/>
        <v>#VALUE!</v>
      </c>
      <c r="K2007" s="106"/>
      <c r="L2007" s="141"/>
      <c r="M2007" s="132"/>
      <c r="N2007" s="133"/>
      <c r="O2007" s="4"/>
      <c r="P2007" s="4"/>
      <c r="Q2007" s="4"/>
      <c r="R2007" s="4"/>
      <c r="S2007" s="4"/>
      <c r="T2007" s="4"/>
      <c r="U2007" s="4"/>
      <c r="V2007" s="4"/>
      <c r="W2007" s="4"/>
      <c r="X2007" s="4"/>
    </row>
    <row r="2008" spans="1:24" ht="14.25" customHeight="1">
      <c r="A2008" s="4"/>
      <c r="B2008" s="125"/>
      <c r="C2008" s="126"/>
      <c r="D2008" s="159"/>
      <c r="E2008" s="10" t="e">
        <f>TRIM(VLOOKUP(D2008,TB!$B$9:$C$1500,2,FALSE))</f>
        <v>#N/A</v>
      </c>
      <c r="F2008" s="173"/>
      <c r="G2008" s="130"/>
      <c r="H2008" s="10"/>
      <c r="I2008" s="10">
        <f t="shared" ref="I2008:I2009" si="157">SUM(H2007)</f>
        <v>0</v>
      </c>
      <c r="J2008" s="79" t="e">
        <f t="shared" si="129"/>
        <v>#VALUE!</v>
      </c>
      <c r="K2008" s="106"/>
      <c r="L2008" s="141"/>
      <c r="M2008" s="132"/>
      <c r="N2008" s="133"/>
      <c r="O2008" s="4"/>
      <c r="P2008" s="4"/>
      <c r="Q2008" s="4"/>
      <c r="R2008" s="4"/>
      <c r="S2008" s="4"/>
      <c r="T2008" s="4"/>
      <c r="U2008" s="4"/>
      <c r="V2008" s="4"/>
      <c r="W2008" s="4"/>
      <c r="X2008" s="4"/>
    </row>
    <row r="2009" spans="1:24" ht="14.25" customHeight="1">
      <c r="A2009" s="4"/>
      <c r="B2009" s="125">
        <v>46184</v>
      </c>
      <c r="C2009" s="126" t="s">
        <v>719</v>
      </c>
      <c r="D2009" s="15" t="s">
        <v>403</v>
      </c>
      <c r="E2009" s="10" t="str">
        <f>TRIM(VLOOKUP(D2009,TB!$B$9:$C$1500,2,FALSE))</f>
        <v>Security/Police/Banjar Costs</v>
      </c>
      <c r="F2009" s="173" t="s">
        <v>720</v>
      </c>
      <c r="G2009" s="130"/>
      <c r="H2009" s="10">
        <v>5000000</v>
      </c>
      <c r="I2009" s="10">
        <f t="shared" si="157"/>
        <v>0</v>
      </c>
      <c r="J2009" s="79" t="e">
        <f t="shared" si="129"/>
        <v>#VALUE!</v>
      </c>
      <c r="K2009" s="106"/>
      <c r="L2009" s="141"/>
      <c r="M2009" s="132"/>
      <c r="N2009" s="133"/>
      <c r="O2009" s="4"/>
      <c r="P2009" s="4"/>
      <c r="Q2009" s="4"/>
      <c r="R2009" s="4"/>
      <c r="S2009" s="4"/>
      <c r="T2009" s="4"/>
      <c r="U2009" s="4"/>
      <c r="V2009" s="4"/>
      <c r="W2009" s="4"/>
      <c r="X2009" s="4"/>
    </row>
    <row r="2010" spans="1:24" ht="14.25" customHeight="1">
      <c r="A2010" s="4"/>
      <c r="B2010" s="125">
        <v>46184</v>
      </c>
      <c r="C2010" s="126" t="s">
        <v>719</v>
      </c>
      <c r="D2010" s="15" t="s">
        <v>124</v>
      </c>
      <c r="E2010" s="10" t="str">
        <f>TRIM(VLOOKUP(D2010,TB!$B$9:$C$1500,2,FALSE))</f>
        <v>Bank charges</v>
      </c>
      <c r="F2010" s="173" t="s">
        <v>720</v>
      </c>
      <c r="G2010" s="130"/>
      <c r="H2010" s="10">
        <v>2500</v>
      </c>
      <c r="I2010" s="10"/>
      <c r="J2010" s="79" t="e">
        <f t="shared" si="129"/>
        <v>#VALUE!</v>
      </c>
      <c r="K2010" s="106"/>
      <c r="L2010" s="141"/>
      <c r="M2010" s="132"/>
      <c r="N2010" s="133"/>
      <c r="O2010" s="4"/>
      <c r="P2010" s="4"/>
      <c r="Q2010" s="4"/>
      <c r="R2010" s="4"/>
      <c r="S2010" s="4"/>
      <c r="T2010" s="4"/>
      <c r="U2010" s="4"/>
      <c r="V2010" s="4"/>
      <c r="W2010" s="4"/>
      <c r="X2010" s="4"/>
    </row>
    <row r="2011" spans="1:24" ht="14.25" customHeight="1">
      <c r="A2011" s="4"/>
      <c r="B2011" s="125">
        <v>46184</v>
      </c>
      <c r="C2011" s="126" t="s">
        <v>719</v>
      </c>
      <c r="D2011" s="68" t="s">
        <v>130</v>
      </c>
      <c r="E2011" s="10" t="str">
        <f>TRIM(VLOOKUP(D2011,TB!$B$9:$C$1500,2,FALSE))</f>
        <v>BCA TBB</v>
      </c>
      <c r="F2011" s="173" t="str">
        <f>F2009</f>
        <v>Polres  Pak Karang - For June 2026 + Polres  Karang (Lanang) - Fee  June 2026 + 500RB (DONASI)</v>
      </c>
      <c r="G2011" s="130"/>
      <c r="H2011" s="10"/>
      <c r="I2011" s="10">
        <v>5002500</v>
      </c>
      <c r="J2011" s="79" t="e">
        <f t="shared" si="129"/>
        <v>#VALUE!</v>
      </c>
      <c r="K2011" s="106"/>
      <c r="L2011" s="141"/>
      <c r="M2011" s="132"/>
      <c r="N2011" s="133"/>
      <c r="O2011" s="4"/>
      <c r="P2011" s="4"/>
      <c r="Q2011" s="4"/>
      <c r="R2011" s="4"/>
      <c r="S2011" s="4"/>
      <c r="T2011" s="4"/>
      <c r="U2011" s="4"/>
      <c r="V2011" s="4"/>
      <c r="W2011" s="4"/>
      <c r="X2011" s="4"/>
    </row>
    <row r="2012" spans="1:24" ht="14.25" customHeight="1">
      <c r="A2012" s="4"/>
      <c r="B2012" s="125"/>
      <c r="C2012" s="126"/>
      <c r="D2012" s="159"/>
      <c r="E2012" s="10" t="e">
        <f>TRIM(VLOOKUP(D2012,TB!$B$9:$C$1500,2,FALSE))</f>
        <v>#N/A</v>
      </c>
      <c r="F2012" s="173"/>
      <c r="G2012" s="130"/>
      <c r="H2012" s="10"/>
      <c r="I2012" s="10">
        <f t="shared" ref="I2012:I2055" si="158">SUM(H2011)</f>
        <v>0</v>
      </c>
      <c r="J2012" s="79" t="e">
        <f t="shared" si="129"/>
        <v>#VALUE!</v>
      </c>
      <c r="K2012" s="106"/>
      <c r="L2012" s="141"/>
      <c r="M2012" s="132"/>
      <c r="N2012" s="133"/>
      <c r="O2012" s="4"/>
      <c r="P2012" s="4"/>
      <c r="Q2012" s="4"/>
      <c r="R2012" s="4"/>
      <c r="S2012" s="4"/>
      <c r="T2012" s="4"/>
      <c r="U2012" s="4"/>
      <c r="V2012" s="4"/>
      <c r="W2012" s="4"/>
      <c r="X2012" s="4"/>
    </row>
    <row r="2013" spans="1:24" ht="14.25" customHeight="1">
      <c r="A2013" s="4"/>
      <c r="B2013" s="125">
        <v>46185</v>
      </c>
      <c r="C2013" s="126" t="s">
        <v>721</v>
      </c>
      <c r="D2013" s="68" t="s">
        <v>285</v>
      </c>
      <c r="E2013" s="10" t="str">
        <f>TRIM(VLOOKUP(D2013,TB!$B$9:$C$1500,2,FALSE))</f>
        <v>Misc Cash Purchase</v>
      </c>
      <c r="F2013" s="173" t="s">
        <v>722</v>
      </c>
      <c r="G2013" s="130"/>
      <c r="H2013" s="10">
        <v>5950000</v>
      </c>
      <c r="I2013" s="10">
        <f t="shared" si="158"/>
        <v>0</v>
      </c>
      <c r="J2013" s="79" t="e">
        <f t="shared" si="129"/>
        <v>#VALUE!</v>
      </c>
      <c r="K2013" s="106"/>
      <c r="L2013" s="141"/>
      <c r="M2013" s="132"/>
      <c r="N2013" s="133"/>
      <c r="O2013" s="4"/>
      <c r="P2013" s="4"/>
      <c r="Q2013" s="4"/>
      <c r="R2013" s="4"/>
      <c r="S2013" s="4"/>
      <c r="T2013" s="4"/>
      <c r="U2013" s="4"/>
      <c r="V2013" s="4"/>
      <c r="W2013" s="4"/>
      <c r="X2013" s="4"/>
    </row>
    <row r="2014" spans="1:24" ht="14.25" customHeight="1">
      <c r="A2014" s="4"/>
      <c r="B2014" s="125">
        <v>46185</v>
      </c>
      <c r="C2014" s="126" t="s">
        <v>721</v>
      </c>
      <c r="D2014" s="68" t="s">
        <v>130</v>
      </c>
      <c r="E2014" s="10" t="str">
        <f>TRIM(VLOOKUP(D2014,TB!$B$9:$C$1500,2,FALSE))</f>
        <v>BCA TBB</v>
      </c>
      <c r="F2014" s="173" t="str">
        <f>F2013</f>
        <v>Bali Permatajaya Sukses - Inv. 0704 - 25 Mar 26</v>
      </c>
      <c r="G2014" s="130"/>
      <c r="H2014" s="10"/>
      <c r="I2014" s="10">
        <f t="shared" si="158"/>
        <v>5950000</v>
      </c>
      <c r="J2014" s="79" t="e">
        <f t="shared" si="129"/>
        <v>#VALUE!</v>
      </c>
      <c r="K2014" s="106"/>
      <c r="L2014" s="141"/>
      <c r="M2014" s="132"/>
      <c r="N2014" s="133"/>
      <c r="O2014" s="4"/>
      <c r="P2014" s="4"/>
      <c r="Q2014" s="4"/>
      <c r="R2014" s="4"/>
      <c r="S2014" s="4"/>
      <c r="T2014" s="4"/>
      <c r="U2014" s="4"/>
      <c r="V2014" s="4"/>
      <c r="W2014" s="4"/>
      <c r="X2014" s="4"/>
    </row>
    <row r="2015" spans="1:24" ht="14.25" customHeight="1">
      <c r="A2015" s="4"/>
      <c r="B2015" s="125"/>
      <c r="C2015" s="126"/>
      <c r="D2015" s="159"/>
      <c r="E2015" s="10" t="e">
        <f>TRIM(VLOOKUP(D2015,TB!$B$9:$C$1500,2,FALSE))</f>
        <v>#N/A</v>
      </c>
      <c r="F2015" s="173"/>
      <c r="G2015" s="130"/>
      <c r="H2015" s="10"/>
      <c r="I2015" s="10">
        <f t="shared" si="158"/>
        <v>0</v>
      </c>
      <c r="J2015" s="79" t="e">
        <f t="shared" si="129"/>
        <v>#VALUE!</v>
      </c>
      <c r="K2015" s="106"/>
      <c r="L2015" s="141"/>
      <c r="M2015" s="132"/>
      <c r="N2015" s="133"/>
      <c r="O2015" s="4"/>
      <c r="P2015" s="4"/>
      <c r="Q2015" s="4"/>
      <c r="R2015" s="4"/>
      <c r="S2015" s="4"/>
      <c r="T2015" s="4"/>
      <c r="U2015" s="4"/>
      <c r="V2015" s="4"/>
      <c r="W2015" s="4"/>
      <c r="X2015" s="4"/>
    </row>
    <row r="2016" spans="1:24" ht="14.25" customHeight="1">
      <c r="A2016" s="4"/>
      <c r="B2016" s="125">
        <v>46185</v>
      </c>
      <c r="C2016" s="126" t="s">
        <v>723</v>
      </c>
      <c r="D2016" s="68" t="s">
        <v>285</v>
      </c>
      <c r="E2016" s="10" t="str">
        <f>TRIM(VLOOKUP(D2016,TB!$B$9:$C$1500,2,FALSE))</f>
        <v>Misc Cash Purchase</v>
      </c>
      <c r="F2016" s="173" t="s">
        <v>724</v>
      </c>
      <c r="G2016" s="130"/>
      <c r="H2016" s="10">
        <v>1500000</v>
      </c>
      <c r="I2016" s="10">
        <f t="shared" si="158"/>
        <v>0</v>
      </c>
      <c r="J2016" s="79" t="e">
        <f t="shared" si="129"/>
        <v>#VALUE!</v>
      </c>
      <c r="K2016" s="106"/>
      <c r="L2016" s="141"/>
      <c r="M2016" s="132"/>
      <c r="N2016" s="133"/>
      <c r="O2016" s="4"/>
      <c r="P2016" s="4"/>
      <c r="Q2016" s="4"/>
      <c r="R2016" s="4"/>
      <c r="S2016" s="4"/>
      <c r="T2016" s="4"/>
      <c r="U2016" s="4"/>
      <c r="V2016" s="4"/>
      <c r="W2016" s="4"/>
      <c r="X2016" s="4"/>
    </row>
    <row r="2017" spans="1:24" ht="14.25" customHeight="1">
      <c r="A2017" s="4"/>
      <c r="B2017" s="125">
        <v>46185</v>
      </c>
      <c r="C2017" s="126" t="s">
        <v>723</v>
      </c>
      <c r="D2017" s="68" t="s">
        <v>130</v>
      </c>
      <c r="E2017" s="10" t="str">
        <f>TRIM(VLOOKUP(D2017,TB!$B$9:$C$1500,2,FALSE))</f>
        <v>BCA TBB</v>
      </c>
      <c r="F2017" s="173" t="str">
        <f>F2016</f>
        <v>Mi Bpsbli X - Inv. 0015 - 11 Mar 26</v>
      </c>
      <c r="G2017" s="130"/>
      <c r="H2017" s="10"/>
      <c r="I2017" s="10">
        <f t="shared" si="158"/>
        <v>1500000</v>
      </c>
      <c r="J2017" s="79" t="e">
        <f t="shared" si="129"/>
        <v>#VALUE!</v>
      </c>
      <c r="K2017" s="106"/>
      <c r="L2017" s="141"/>
      <c r="M2017" s="132"/>
      <c r="N2017" s="133"/>
      <c r="O2017" s="4"/>
      <c r="P2017" s="4"/>
      <c r="Q2017" s="4"/>
      <c r="R2017" s="4"/>
      <c r="S2017" s="4"/>
      <c r="T2017" s="4"/>
      <c r="U2017" s="4"/>
      <c r="V2017" s="4"/>
      <c r="W2017" s="4"/>
      <c r="X2017" s="4"/>
    </row>
    <row r="2018" spans="1:24" ht="14.25" customHeight="1">
      <c r="A2018" s="4"/>
      <c r="B2018" s="125"/>
      <c r="C2018" s="126"/>
      <c r="D2018" s="159"/>
      <c r="E2018" s="10" t="e">
        <f>TRIM(VLOOKUP(D2018,TB!$B$9:$C$1500,2,FALSE))</f>
        <v>#N/A</v>
      </c>
      <c r="F2018" s="173"/>
      <c r="G2018" s="130"/>
      <c r="H2018" s="10"/>
      <c r="I2018" s="10">
        <f t="shared" si="158"/>
        <v>0</v>
      </c>
      <c r="J2018" s="79" t="e">
        <f t="shared" si="129"/>
        <v>#VALUE!</v>
      </c>
      <c r="K2018" s="106"/>
      <c r="L2018" s="141"/>
      <c r="M2018" s="132"/>
      <c r="N2018" s="133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spans="1:24" ht="14.25" customHeight="1">
      <c r="A2019" s="4"/>
      <c r="B2019" s="125">
        <v>46185</v>
      </c>
      <c r="C2019" s="126" t="s">
        <v>725</v>
      </c>
      <c r="D2019" s="68" t="s">
        <v>285</v>
      </c>
      <c r="E2019" s="10" t="str">
        <f>TRIM(VLOOKUP(D2019,TB!$B$9:$C$1500,2,FALSE))</f>
        <v>Misc Cash Purchase</v>
      </c>
      <c r="F2019" s="173" t="s">
        <v>726</v>
      </c>
      <c r="G2019" s="130"/>
      <c r="H2019" s="10">
        <v>1670000</v>
      </c>
      <c r="I2019" s="10">
        <f t="shared" si="158"/>
        <v>0</v>
      </c>
      <c r="J2019" s="79" t="e">
        <f t="shared" si="129"/>
        <v>#VALUE!</v>
      </c>
      <c r="K2019" s="106"/>
      <c r="L2019" s="141"/>
      <c r="M2019" s="132"/>
      <c r="N2019" s="133"/>
      <c r="O2019" s="4"/>
      <c r="P2019" s="4"/>
      <c r="Q2019" s="4"/>
      <c r="R2019" s="4"/>
      <c r="S2019" s="4"/>
      <c r="T2019" s="4"/>
      <c r="U2019" s="4"/>
      <c r="V2019" s="4"/>
      <c r="W2019" s="4"/>
      <c r="X2019" s="4"/>
    </row>
    <row r="2020" spans="1:24" ht="14.25" customHeight="1">
      <c r="A2020" s="4"/>
      <c r="B2020" s="125">
        <v>46185</v>
      </c>
      <c r="C2020" s="126" t="s">
        <v>725</v>
      </c>
      <c r="D2020" s="68" t="s">
        <v>130</v>
      </c>
      <c r="E2020" s="10" t="str">
        <f>TRIM(VLOOKUP(D2020,TB!$B$9:$C$1500,2,FALSE))</f>
        <v>BCA TBB</v>
      </c>
      <c r="F2020" s="173" t="str">
        <f>F2019</f>
        <v>Ad Supplier - Inv. 1759 - 28  Apr 26</v>
      </c>
      <c r="G2020" s="130"/>
      <c r="H2020" s="10"/>
      <c r="I2020" s="10">
        <f t="shared" si="158"/>
        <v>1670000</v>
      </c>
      <c r="J2020" s="79" t="e">
        <f t="shared" si="129"/>
        <v>#VALUE!</v>
      </c>
      <c r="K2020" s="106"/>
      <c r="L2020" s="141"/>
      <c r="M2020" s="132"/>
      <c r="N2020" s="133"/>
      <c r="O2020" s="4"/>
      <c r="P2020" s="4"/>
      <c r="Q2020" s="4"/>
      <c r="R2020" s="4"/>
      <c r="S2020" s="4"/>
      <c r="T2020" s="4"/>
      <c r="U2020" s="4"/>
      <c r="V2020" s="4"/>
      <c r="W2020" s="4"/>
      <c r="X2020" s="4"/>
    </row>
    <row r="2021" spans="1:24" ht="14.25" customHeight="1">
      <c r="A2021" s="4"/>
      <c r="B2021" s="125"/>
      <c r="C2021" s="126"/>
      <c r="D2021" s="159"/>
      <c r="E2021" s="10" t="e">
        <f>TRIM(VLOOKUP(D2021,TB!$B$9:$C$1500,2,FALSE))</f>
        <v>#N/A</v>
      </c>
      <c r="F2021" s="173"/>
      <c r="G2021" s="130"/>
      <c r="H2021" s="10"/>
      <c r="I2021" s="10">
        <f t="shared" si="158"/>
        <v>0</v>
      </c>
      <c r="J2021" s="79" t="e">
        <f t="shared" si="129"/>
        <v>#VALUE!</v>
      </c>
      <c r="K2021" s="106"/>
      <c r="L2021" s="141"/>
      <c r="M2021" s="132"/>
      <c r="N2021" s="133"/>
      <c r="O2021" s="4"/>
      <c r="P2021" s="4"/>
      <c r="Q2021" s="4"/>
      <c r="R2021" s="4"/>
      <c r="S2021" s="4"/>
      <c r="T2021" s="4"/>
      <c r="U2021" s="4"/>
      <c r="V2021" s="4"/>
      <c r="W2021" s="4"/>
      <c r="X2021" s="4"/>
    </row>
    <row r="2022" spans="1:24" ht="14.25" customHeight="1">
      <c r="A2022" s="4"/>
      <c r="B2022" s="125">
        <v>46185</v>
      </c>
      <c r="C2022" s="126" t="s">
        <v>727</v>
      </c>
      <c r="D2022" s="68" t="s">
        <v>285</v>
      </c>
      <c r="E2022" s="10" t="str">
        <f>TRIM(VLOOKUP(D2022,TB!$B$9:$C$1500,2,FALSE))</f>
        <v>Misc Cash Purchase</v>
      </c>
      <c r="F2022" s="173" t="s">
        <v>728</v>
      </c>
      <c r="G2022" s="130"/>
      <c r="H2022" s="10">
        <v>1410000</v>
      </c>
      <c r="I2022" s="10">
        <f t="shared" si="158"/>
        <v>0</v>
      </c>
      <c r="J2022" s="79" t="e">
        <f t="shared" si="129"/>
        <v>#VALUE!</v>
      </c>
      <c r="K2022" s="106"/>
      <c r="L2022" s="141"/>
      <c r="M2022" s="132"/>
      <c r="N2022" s="133"/>
      <c r="O2022" s="4"/>
      <c r="P2022" s="4"/>
      <c r="Q2022" s="4"/>
      <c r="R2022" s="4"/>
      <c r="S2022" s="4"/>
      <c r="T2022" s="4"/>
      <c r="U2022" s="4"/>
      <c r="V2022" s="4"/>
      <c r="W2022" s="4"/>
      <c r="X2022" s="4"/>
    </row>
    <row r="2023" spans="1:24" ht="14.25" customHeight="1">
      <c r="A2023" s="4"/>
      <c r="B2023" s="125">
        <v>46185</v>
      </c>
      <c r="C2023" s="126" t="s">
        <v>727</v>
      </c>
      <c r="D2023" s="68" t="s">
        <v>130</v>
      </c>
      <c r="E2023" s="10" t="str">
        <f>TRIM(VLOOKUP(D2023,TB!$B$9:$C$1500,2,FALSE))</f>
        <v>BCA TBB</v>
      </c>
      <c r="F2023" s="173" t="str">
        <f>F2022</f>
        <v>Tiga Juragan Perkasa - Inv. 9144 - 05 May 26</v>
      </c>
      <c r="G2023" s="130"/>
      <c r="H2023" s="10"/>
      <c r="I2023" s="10">
        <f t="shared" si="158"/>
        <v>1410000</v>
      </c>
      <c r="J2023" s="79" t="e">
        <f t="shared" si="129"/>
        <v>#VALUE!</v>
      </c>
      <c r="K2023" s="106"/>
      <c r="L2023" s="141"/>
      <c r="M2023" s="132"/>
      <c r="N2023" s="133"/>
      <c r="O2023" s="4"/>
      <c r="P2023" s="4"/>
      <c r="Q2023" s="4"/>
      <c r="R2023" s="4"/>
      <c r="S2023" s="4"/>
      <c r="T2023" s="4"/>
      <c r="U2023" s="4"/>
      <c r="V2023" s="4"/>
      <c r="W2023" s="4"/>
      <c r="X2023" s="4"/>
    </row>
    <row r="2024" spans="1:24" ht="14.25" customHeight="1">
      <c r="A2024" s="4"/>
      <c r="B2024" s="125"/>
      <c r="C2024" s="126"/>
      <c r="D2024" s="159"/>
      <c r="E2024" s="10" t="e">
        <f>TRIM(VLOOKUP(D2024,TB!$B$9:$C$1500,2,FALSE))</f>
        <v>#N/A</v>
      </c>
      <c r="F2024" s="173"/>
      <c r="G2024" s="130"/>
      <c r="H2024" s="10"/>
      <c r="I2024" s="10">
        <f t="shared" si="158"/>
        <v>0</v>
      </c>
      <c r="J2024" s="79" t="e">
        <f t="shared" si="129"/>
        <v>#VALUE!</v>
      </c>
      <c r="K2024" s="106"/>
      <c r="L2024" s="141"/>
      <c r="M2024" s="132"/>
      <c r="N2024" s="133"/>
      <c r="O2024" s="4"/>
      <c r="P2024" s="4"/>
      <c r="Q2024" s="4"/>
      <c r="R2024" s="4"/>
      <c r="S2024" s="4"/>
      <c r="T2024" s="4"/>
      <c r="U2024" s="4"/>
      <c r="V2024" s="4"/>
      <c r="W2024" s="4"/>
      <c r="X2024" s="4"/>
    </row>
    <row r="2025" spans="1:24" ht="14.25" customHeight="1">
      <c r="A2025" s="4"/>
      <c r="B2025" s="125">
        <v>46185</v>
      </c>
      <c r="C2025" s="126" t="s">
        <v>729</v>
      </c>
      <c r="D2025" s="68" t="s">
        <v>285</v>
      </c>
      <c r="E2025" s="10" t="str">
        <f>TRIM(VLOOKUP(D2025,TB!$B$9:$C$1500,2,FALSE))</f>
        <v>Misc Cash Purchase</v>
      </c>
      <c r="F2025" s="173" t="s">
        <v>730</v>
      </c>
      <c r="G2025" s="130"/>
      <c r="H2025" s="10">
        <v>110000</v>
      </c>
      <c r="I2025" s="10">
        <f t="shared" si="158"/>
        <v>0</v>
      </c>
      <c r="J2025" s="79" t="e">
        <f t="shared" si="129"/>
        <v>#VALUE!</v>
      </c>
      <c r="K2025" s="106"/>
      <c r="L2025" s="141"/>
      <c r="M2025" s="132"/>
      <c r="N2025" s="133"/>
      <c r="O2025" s="4"/>
      <c r="P2025" s="4"/>
      <c r="Q2025" s="4"/>
      <c r="R2025" s="4"/>
      <c r="S2025" s="4"/>
      <c r="T2025" s="4"/>
      <c r="U2025" s="4"/>
      <c r="V2025" s="4"/>
      <c r="W2025" s="4"/>
      <c r="X2025" s="4"/>
    </row>
    <row r="2026" spans="1:24" ht="14.25" customHeight="1">
      <c r="A2026" s="4"/>
      <c r="B2026" s="125">
        <v>46185</v>
      </c>
      <c r="C2026" s="126" t="s">
        <v>729</v>
      </c>
      <c r="D2026" s="68" t="s">
        <v>130</v>
      </c>
      <c r="E2026" s="10" t="str">
        <f>TRIM(VLOOKUP(D2026,TB!$B$9:$C$1500,2,FALSE))</f>
        <v>BCA TBB</v>
      </c>
      <c r="F2026" s="173" t="str">
        <f>F2025</f>
        <v>CACA - COMM BOTTLE NO.5325</v>
      </c>
      <c r="G2026" s="130"/>
      <c r="H2026" s="10"/>
      <c r="I2026" s="10">
        <f t="shared" si="158"/>
        <v>110000</v>
      </c>
      <c r="J2026" s="79" t="e">
        <f t="shared" si="129"/>
        <v>#VALUE!</v>
      </c>
      <c r="K2026" s="106"/>
      <c r="L2026" s="141"/>
      <c r="M2026" s="132"/>
      <c r="N2026" s="133"/>
      <c r="O2026" s="4"/>
      <c r="P2026" s="4"/>
      <c r="Q2026" s="4"/>
      <c r="R2026" s="4"/>
      <c r="S2026" s="4"/>
      <c r="T2026" s="4"/>
      <c r="U2026" s="4"/>
      <c r="V2026" s="4"/>
      <c r="W2026" s="4"/>
      <c r="X2026" s="4"/>
    </row>
    <row r="2027" spans="1:24" ht="14.25" customHeight="1">
      <c r="A2027" s="4"/>
      <c r="B2027" s="125"/>
      <c r="C2027" s="126"/>
      <c r="D2027" s="159"/>
      <c r="E2027" s="10" t="e">
        <f>TRIM(VLOOKUP(D2027,TB!$B$9:$C$1500,2,FALSE))</f>
        <v>#N/A</v>
      </c>
      <c r="F2027" s="173"/>
      <c r="G2027" s="130"/>
      <c r="H2027" s="10"/>
      <c r="I2027" s="10">
        <f t="shared" si="158"/>
        <v>0</v>
      </c>
      <c r="J2027" s="79" t="e">
        <f t="shared" si="129"/>
        <v>#VALUE!</v>
      </c>
      <c r="K2027" s="106"/>
      <c r="L2027" s="141"/>
      <c r="M2027" s="132"/>
      <c r="N2027" s="133"/>
      <c r="O2027" s="4"/>
      <c r="P2027" s="4"/>
      <c r="Q2027" s="4"/>
      <c r="R2027" s="4"/>
      <c r="S2027" s="4"/>
      <c r="T2027" s="4"/>
      <c r="U2027" s="4"/>
      <c r="V2027" s="4"/>
      <c r="W2027" s="4"/>
      <c r="X2027" s="4"/>
    </row>
    <row r="2028" spans="1:24" ht="14.25" customHeight="1">
      <c r="A2028" s="4"/>
      <c r="B2028" s="125">
        <v>46185</v>
      </c>
      <c r="C2028" s="126" t="s">
        <v>731</v>
      </c>
      <c r="D2028" s="68" t="s">
        <v>285</v>
      </c>
      <c r="E2028" s="10" t="str">
        <f>TRIM(VLOOKUP(D2028,TB!$B$9:$C$1500,2,FALSE))</f>
        <v>Misc Cash Purchase</v>
      </c>
      <c r="F2028" s="173" t="s">
        <v>732</v>
      </c>
      <c r="G2028" s="130"/>
      <c r="H2028" s="10">
        <v>1700000</v>
      </c>
      <c r="I2028" s="10">
        <f t="shared" si="158"/>
        <v>0</v>
      </c>
      <c r="J2028" s="79" t="e">
        <f t="shared" si="129"/>
        <v>#VALUE!</v>
      </c>
      <c r="K2028" s="106" t="s">
        <v>733</v>
      </c>
      <c r="L2028" s="141"/>
      <c r="M2028" s="132"/>
      <c r="N2028" s="133"/>
      <c r="O2028" s="4"/>
      <c r="P2028" s="4"/>
      <c r="Q2028" s="4"/>
      <c r="R2028" s="4"/>
      <c r="S2028" s="4"/>
      <c r="T2028" s="4"/>
      <c r="U2028" s="4"/>
      <c r="V2028" s="4"/>
      <c r="W2028" s="4"/>
      <c r="X2028" s="4"/>
    </row>
    <row r="2029" spans="1:24" ht="14.25" customHeight="1">
      <c r="A2029" s="4"/>
      <c r="B2029" s="125">
        <v>46185</v>
      </c>
      <c r="C2029" s="126" t="s">
        <v>731</v>
      </c>
      <c r="D2029" s="68" t="s">
        <v>130</v>
      </c>
      <c r="E2029" s="10" t="str">
        <f>TRIM(VLOOKUP(D2029,TB!$B$9:$C$1500,2,FALSE))</f>
        <v>BCA TBB</v>
      </c>
      <c r="F2029" s="173" t="str">
        <f>F2028</f>
        <v>BLACK RVN - COMM BOTTLE NO.4406,4398,4388</v>
      </c>
      <c r="G2029" s="130"/>
      <c r="H2029" s="10"/>
      <c r="I2029" s="10">
        <f t="shared" si="158"/>
        <v>1700000</v>
      </c>
      <c r="J2029" s="79" t="e">
        <f t="shared" si="129"/>
        <v>#VALUE!</v>
      </c>
      <c r="K2029" s="106"/>
      <c r="L2029" s="141"/>
      <c r="M2029" s="132"/>
      <c r="N2029" s="133"/>
      <c r="O2029" s="4"/>
      <c r="P2029" s="4"/>
      <c r="Q2029" s="4"/>
      <c r="R2029" s="4"/>
      <c r="S2029" s="4"/>
      <c r="T2029" s="4"/>
      <c r="U2029" s="4"/>
      <c r="V2029" s="4"/>
      <c r="W2029" s="4"/>
      <c r="X2029" s="4"/>
    </row>
    <row r="2030" spans="1:24" ht="14.25" customHeight="1">
      <c r="A2030" s="4"/>
      <c r="B2030" s="125"/>
      <c r="C2030" s="126"/>
      <c r="D2030" s="159"/>
      <c r="E2030" s="10" t="e">
        <f>TRIM(VLOOKUP(D2030,TB!$B$9:$C$1500,2,FALSE))</f>
        <v>#N/A</v>
      </c>
      <c r="F2030" s="173"/>
      <c r="G2030" s="130"/>
      <c r="H2030" s="10"/>
      <c r="I2030" s="10">
        <f t="shared" si="158"/>
        <v>0</v>
      </c>
      <c r="J2030" s="79" t="e">
        <f t="shared" si="129"/>
        <v>#VALUE!</v>
      </c>
      <c r="K2030" s="106"/>
      <c r="L2030" s="141"/>
      <c r="M2030" s="132"/>
      <c r="N2030" s="133"/>
      <c r="O2030" s="4"/>
      <c r="P2030" s="4"/>
      <c r="Q2030" s="4"/>
      <c r="R2030" s="4"/>
      <c r="S2030" s="4"/>
      <c r="T2030" s="4"/>
      <c r="U2030" s="4"/>
      <c r="V2030" s="4"/>
      <c r="W2030" s="4"/>
      <c r="X2030" s="4"/>
    </row>
    <row r="2031" spans="1:24" ht="14.25" customHeight="1">
      <c r="A2031" s="4"/>
      <c r="B2031" s="125">
        <v>46185</v>
      </c>
      <c r="C2031" s="126" t="s">
        <v>734</v>
      </c>
      <c r="D2031" s="68" t="s">
        <v>285</v>
      </c>
      <c r="E2031" s="10" t="str">
        <f>TRIM(VLOOKUP(D2031,TB!$B$9:$C$1500,2,FALSE))</f>
        <v>Misc Cash Purchase</v>
      </c>
      <c r="F2031" s="173" t="s">
        <v>735</v>
      </c>
      <c r="G2031" s="130"/>
      <c r="H2031" s="10">
        <v>500000</v>
      </c>
      <c r="I2031" s="10">
        <f t="shared" si="158"/>
        <v>0</v>
      </c>
      <c r="J2031" s="79" t="e">
        <f t="shared" si="129"/>
        <v>#VALUE!</v>
      </c>
      <c r="K2031" s="106"/>
      <c r="L2031" s="141"/>
      <c r="M2031" s="132"/>
      <c r="N2031" s="133"/>
      <c r="O2031" s="4"/>
      <c r="P2031" s="4"/>
      <c r="Q2031" s="4"/>
      <c r="R2031" s="4"/>
      <c r="S2031" s="4"/>
      <c r="T2031" s="4"/>
      <c r="U2031" s="4"/>
      <c r="V2031" s="4"/>
      <c r="W2031" s="4"/>
      <c r="X2031" s="4"/>
    </row>
    <row r="2032" spans="1:24" ht="14.25" customHeight="1">
      <c r="A2032" s="4"/>
      <c r="B2032" s="125">
        <v>46185</v>
      </c>
      <c r="C2032" s="126" t="s">
        <v>734</v>
      </c>
      <c r="D2032" s="68" t="s">
        <v>130</v>
      </c>
      <c r="E2032" s="10" t="str">
        <f>TRIM(VLOOKUP(D2032,TB!$B$9:$C$1500,2,FALSE))</f>
        <v>BCA TBB</v>
      </c>
      <c r="F2032" s="173" t="str">
        <f>F2031</f>
        <v>Tiara - Fee Host Ladies 28,30 May 26</v>
      </c>
      <c r="G2032" s="130"/>
      <c r="H2032" s="10"/>
      <c r="I2032" s="10">
        <f t="shared" si="158"/>
        <v>500000</v>
      </c>
      <c r="J2032" s="79" t="e">
        <f t="shared" si="129"/>
        <v>#VALUE!</v>
      </c>
      <c r="K2032" s="106"/>
      <c r="L2032" s="141"/>
      <c r="M2032" s="132"/>
      <c r="N2032" s="133"/>
      <c r="O2032" s="4"/>
      <c r="P2032" s="4"/>
      <c r="Q2032" s="4"/>
      <c r="R2032" s="4"/>
      <c r="S2032" s="4"/>
      <c r="T2032" s="4"/>
      <c r="U2032" s="4"/>
      <c r="V2032" s="4"/>
      <c r="W2032" s="4"/>
      <c r="X2032" s="4"/>
    </row>
    <row r="2033" spans="1:24" ht="14.25" customHeight="1">
      <c r="A2033" s="4"/>
      <c r="B2033" s="125"/>
      <c r="C2033" s="126"/>
      <c r="D2033" s="159"/>
      <c r="E2033" s="10" t="e">
        <f>TRIM(VLOOKUP(D2033,TB!$B$9:$C$1500,2,FALSE))</f>
        <v>#N/A</v>
      </c>
      <c r="F2033" s="173"/>
      <c r="G2033" s="130"/>
      <c r="H2033" s="10"/>
      <c r="I2033" s="10">
        <f t="shared" si="158"/>
        <v>0</v>
      </c>
      <c r="J2033" s="79" t="e">
        <f t="shared" si="129"/>
        <v>#VALUE!</v>
      </c>
      <c r="K2033" s="106"/>
      <c r="L2033" s="141"/>
      <c r="M2033" s="132"/>
      <c r="N2033" s="133"/>
      <c r="O2033" s="4"/>
      <c r="P2033" s="4"/>
      <c r="Q2033" s="4"/>
      <c r="R2033" s="4"/>
      <c r="S2033" s="4"/>
      <c r="T2033" s="4"/>
      <c r="U2033" s="4"/>
      <c r="V2033" s="4"/>
      <c r="W2033" s="4"/>
      <c r="X2033" s="4"/>
    </row>
    <row r="2034" spans="1:24" ht="14.25" customHeight="1">
      <c r="A2034" s="4"/>
      <c r="B2034" s="125">
        <v>46185</v>
      </c>
      <c r="C2034" s="126" t="s">
        <v>736</v>
      </c>
      <c r="D2034" s="68" t="s">
        <v>285</v>
      </c>
      <c r="E2034" s="10" t="str">
        <f>TRIM(VLOOKUP(D2034,TB!$B$9:$C$1500,2,FALSE))</f>
        <v>Misc Cash Purchase</v>
      </c>
      <c r="F2034" s="173" t="s">
        <v>737</v>
      </c>
      <c r="G2034" s="130"/>
      <c r="H2034" s="10">
        <v>250000</v>
      </c>
      <c r="I2034" s="10">
        <f t="shared" si="158"/>
        <v>0</v>
      </c>
      <c r="J2034" s="79" t="e">
        <f t="shared" si="129"/>
        <v>#VALUE!</v>
      </c>
      <c r="K2034" s="106"/>
      <c r="L2034" s="141"/>
      <c r="M2034" s="132"/>
      <c r="N2034" s="133"/>
      <c r="O2034" s="4"/>
      <c r="P2034" s="4"/>
      <c r="Q2034" s="4"/>
      <c r="R2034" s="4"/>
      <c r="S2034" s="4"/>
      <c r="T2034" s="4"/>
      <c r="U2034" s="4"/>
      <c r="V2034" s="4"/>
      <c r="W2034" s="4"/>
      <c r="X2034" s="4"/>
    </row>
    <row r="2035" spans="1:24" ht="14.25" customHeight="1">
      <c r="A2035" s="4"/>
      <c r="B2035" s="125">
        <v>46185</v>
      </c>
      <c r="C2035" s="126" t="s">
        <v>736</v>
      </c>
      <c r="D2035" s="68" t="s">
        <v>130</v>
      </c>
      <c r="E2035" s="10" t="str">
        <f>TRIM(VLOOKUP(D2035,TB!$B$9:$C$1500,2,FALSE))</f>
        <v>BCA TBB</v>
      </c>
      <c r="F2035" s="173" t="str">
        <f>F2034</f>
        <v>Eka - Fee Host Ladies 30 May 26</v>
      </c>
      <c r="G2035" s="130"/>
      <c r="H2035" s="10"/>
      <c r="I2035" s="10">
        <f t="shared" si="158"/>
        <v>250000</v>
      </c>
      <c r="J2035" s="79" t="e">
        <f t="shared" si="129"/>
        <v>#VALUE!</v>
      </c>
      <c r="K2035" s="106"/>
      <c r="L2035" s="141"/>
      <c r="M2035" s="132"/>
      <c r="N2035" s="133"/>
      <c r="O2035" s="4"/>
      <c r="P2035" s="4"/>
      <c r="Q2035" s="4"/>
      <c r="R2035" s="4"/>
      <c r="S2035" s="4"/>
      <c r="T2035" s="4"/>
      <c r="U2035" s="4"/>
      <c r="V2035" s="4"/>
      <c r="W2035" s="4"/>
      <c r="X2035" s="4"/>
    </row>
    <row r="2036" spans="1:24" ht="14.25" customHeight="1">
      <c r="A2036" s="4"/>
      <c r="B2036" s="125"/>
      <c r="C2036" s="126"/>
      <c r="D2036" s="159"/>
      <c r="E2036" s="10" t="e">
        <f>TRIM(VLOOKUP(D2036,TB!$B$9:$C$1500,2,FALSE))</f>
        <v>#N/A</v>
      </c>
      <c r="F2036" s="173"/>
      <c r="G2036" s="130"/>
      <c r="H2036" s="10"/>
      <c r="I2036" s="10">
        <f t="shared" si="158"/>
        <v>0</v>
      </c>
      <c r="J2036" s="79" t="e">
        <f t="shared" si="129"/>
        <v>#VALUE!</v>
      </c>
      <c r="K2036" s="106"/>
      <c r="L2036" s="141"/>
      <c r="M2036" s="132"/>
      <c r="N2036" s="133"/>
      <c r="O2036" s="4"/>
      <c r="P2036" s="4"/>
      <c r="Q2036" s="4"/>
      <c r="R2036" s="4"/>
      <c r="S2036" s="4"/>
      <c r="T2036" s="4"/>
      <c r="U2036" s="4"/>
      <c r="V2036" s="4"/>
      <c r="W2036" s="4"/>
      <c r="X2036" s="4"/>
    </row>
    <row r="2037" spans="1:24" ht="14.25" customHeight="1">
      <c r="A2037" s="4"/>
      <c r="B2037" s="125">
        <v>46185</v>
      </c>
      <c r="C2037" s="126" t="s">
        <v>738</v>
      </c>
      <c r="D2037" s="68" t="s">
        <v>285</v>
      </c>
      <c r="E2037" s="10" t="str">
        <f>TRIM(VLOOKUP(D2037,TB!$B$9:$C$1500,2,FALSE))</f>
        <v>Misc Cash Purchase</v>
      </c>
      <c r="F2037" s="173" t="s">
        <v>739</v>
      </c>
      <c r="G2037" s="130"/>
      <c r="H2037" s="10">
        <v>250000</v>
      </c>
      <c r="I2037" s="10">
        <f t="shared" si="158"/>
        <v>0</v>
      </c>
      <c r="J2037" s="79" t="e">
        <f t="shared" si="129"/>
        <v>#VALUE!</v>
      </c>
      <c r="K2037" s="106"/>
      <c r="L2037" s="141"/>
      <c r="M2037" s="132"/>
      <c r="N2037" s="133"/>
      <c r="O2037" s="4"/>
      <c r="P2037" s="4"/>
      <c r="Q2037" s="4"/>
      <c r="R2037" s="4"/>
      <c r="S2037" s="4"/>
      <c r="T2037" s="4"/>
      <c r="U2037" s="4"/>
      <c r="V2037" s="4"/>
      <c r="W2037" s="4"/>
      <c r="X2037" s="4"/>
    </row>
    <row r="2038" spans="1:24" ht="14.25" customHeight="1">
      <c r="A2038" s="4"/>
      <c r="B2038" s="125">
        <v>46185</v>
      </c>
      <c r="C2038" s="126" t="s">
        <v>738</v>
      </c>
      <c r="D2038" s="68" t="s">
        <v>130</v>
      </c>
      <c r="E2038" s="10" t="str">
        <f>TRIM(VLOOKUP(D2038,TB!$B$9:$C$1500,2,FALSE))</f>
        <v>BCA TBB</v>
      </c>
      <c r="F2038" s="173" t="str">
        <f>F2037</f>
        <v>Cia - Fee Host Ladies 30 May 26</v>
      </c>
      <c r="G2038" s="130"/>
      <c r="H2038" s="10"/>
      <c r="I2038" s="10">
        <f t="shared" si="158"/>
        <v>250000</v>
      </c>
      <c r="J2038" s="79" t="e">
        <f t="shared" si="129"/>
        <v>#VALUE!</v>
      </c>
      <c r="K2038" s="106"/>
      <c r="L2038" s="141"/>
      <c r="M2038" s="132"/>
      <c r="N2038" s="133"/>
      <c r="O2038" s="4"/>
      <c r="P2038" s="4"/>
      <c r="Q2038" s="4"/>
      <c r="R2038" s="4"/>
      <c r="S2038" s="4"/>
      <c r="T2038" s="4"/>
      <c r="U2038" s="4"/>
      <c r="V2038" s="4"/>
      <c r="W2038" s="4"/>
      <c r="X2038" s="4"/>
    </row>
    <row r="2039" spans="1:24" ht="14.25" customHeight="1">
      <c r="A2039" s="4"/>
      <c r="B2039" s="125"/>
      <c r="C2039" s="126"/>
      <c r="D2039" s="159"/>
      <c r="E2039" s="10" t="e">
        <f>TRIM(VLOOKUP(D2039,TB!$B$9:$C$1500,2,FALSE))</f>
        <v>#N/A</v>
      </c>
      <c r="F2039" s="173"/>
      <c r="G2039" s="130"/>
      <c r="H2039" s="10"/>
      <c r="I2039" s="10">
        <f t="shared" si="158"/>
        <v>0</v>
      </c>
      <c r="J2039" s="79" t="e">
        <f t="shared" si="129"/>
        <v>#VALUE!</v>
      </c>
      <c r="K2039" s="106"/>
      <c r="L2039" s="141"/>
      <c r="M2039" s="132"/>
      <c r="N2039" s="133"/>
      <c r="O2039" s="4"/>
      <c r="P2039" s="4"/>
      <c r="Q2039" s="4"/>
      <c r="R2039" s="4"/>
      <c r="S2039" s="4"/>
      <c r="T2039" s="4"/>
      <c r="U2039" s="4"/>
      <c r="V2039" s="4"/>
      <c r="W2039" s="4"/>
      <c r="X2039" s="4"/>
    </row>
    <row r="2040" spans="1:24" ht="14.25" customHeight="1">
      <c r="A2040" s="4"/>
      <c r="B2040" s="125">
        <v>46185</v>
      </c>
      <c r="C2040" s="126" t="s">
        <v>740</v>
      </c>
      <c r="D2040" s="68" t="s">
        <v>285</v>
      </c>
      <c r="E2040" s="10" t="str">
        <f>TRIM(VLOOKUP(D2040,TB!$B$9:$C$1500,2,FALSE))</f>
        <v>Misc Cash Purchase</v>
      </c>
      <c r="F2040" s="173" t="s">
        <v>741</v>
      </c>
      <c r="G2040" s="130"/>
      <c r="H2040" s="10">
        <v>500000</v>
      </c>
      <c r="I2040" s="10">
        <f t="shared" si="158"/>
        <v>0</v>
      </c>
      <c r="J2040" s="79" t="e">
        <f t="shared" si="129"/>
        <v>#VALUE!</v>
      </c>
      <c r="K2040" s="106"/>
      <c r="L2040" s="141"/>
      <c r="M2040" s="132"/>
      <c r="N2040" s="133"/>
      <c r="O2040" s="4"/>
      <c r="P2040" s="4"/>
      <c r="Q2040" s="4"/>
      <c r="R2040" s="4"/>
      <c r="S2040" s="4"/>
      <c r="T2040" s="4"/>
      <c r="U2040" s="4"/>
      <c r="V2040" s="4"/>
      <c r="W2040" s="4"/>
      <c r="X2040" s="4"/>
    </row>
    <row r="2041" spans="1:24" ht="14.25" customHeight="1">
      <c r="A2041" s="4"/>
      <c r="B2041" s="125">
        <v>46185</v>
      </c>
      <c r="C2041" s="126" t="s">
        <v>740</v>
      </c>
      <c r="D2041" s="68" t="s">
        <v>130</v>
      </c>
      <c r="E2041" s="10" t="str">
        <f>TRIM(VLOOKUP(D2041,TB!$B$9:$C$1500,2,FALSE))</f>
        <v>BCA TBB</v>
      </c>
      <c r="F2041" s="173" t="str">
        <f>F2040</f>
        <v>Hanny - Fee Host Ladies 25,30 May 26</v>
      </c>
      <c r="G2041" s="130"/>
      <c r="H2041" s="10"/>
      <c r="I2041" s="10">
        <f t="shared" si="158"/>
        <v>500000</v>
      </c>
      <c r="J2041" s="79" t="e">
        <f t="shared" si="129"/>
        <v>#VALUE!</v>
      </c>
      <c r="K2041" s="106"/>
      <c r="L2041" s="141"/>
      <c r="M2041" s="132"/>
      <c r="N2041" s="133"/>
      <c r="O2041" s="4"/>
      <c r="P2041" s="4"/>
      <c r="Q2041" s="4"/>
      <c r="R2041" s="4"/>
      <c r="S2041" s="4"/>
      <c r="T2041" s="4"/>
      <c r="U2041" s="4"/>
      <c r="V2041" s="4"/>
      <c r="W2041" s="4"/>
      <c r="X2041" s="4"/>
    </row>
    <row r="2042" spans="1:24" ht="14.25" customHeight="1">
      <c r="A2042" s="4"/>
      <c r="B2042" s="125"/>
      <c r="C2042" s="126"/>
      <c r="D2042" s="159"/>
      <c r="E2042" s="10" t="e">
        <f>TRIM(VLOOKUP(D2042,TB!$B$9:$C$1500,2,FALSE))</f>
        <v>#N/A</v>
      </c>
      <c r="F2042" s="173"/>
      <c r="G2042" s="130"/>
      <c r="H2042" s="10"/>
      <c r="I2042" s="10">
        <f t="shared" si="158"/>
        <v>0</v>
      </c>
      <c r="J2042" s="79" t="e">
        <f t="shared" si="129"/>
        <v>#VALUE!</v>
      </c>
      <c r="K2042" s="106"/>
      <c r="L2042" s="141"/>
      <c r="M2042" s="132"/>
      <c r="N2042" s="133"/>
      <c r="O2042" s="4"/>
      <c r="P2042" s="4"/>
      <c r="Q2042" s="4"/>
      <c r="R2042" s="4"/>
      <c r="S2042" s="4"/>
      <c r="T2042" s="4"/>
      <c r="U2042" s="4"/>
      <c r="V2042" s="4"/>
      <c r="W2042" s="4"/>
      <c r="X2042" s="4"/>
    </row>
    <row r="2043" spans="1:24" ht="14.25" customHeight="1">
      <c r="A2043" s="4"/>
      <c r="B2043" s="125">
        <v>46185</v>
      </c>
      <c r="C2043" s="126" t="s">
        <v>742</v>
      </c>
      <c r="D2043" s="68" t="s">
        <v>285</v>
      </c>
      <c r="E2043" s="10" t="str">
        <f>TRIM(VLOOKUP(D2043,TB!$B$9:$C$1500,2,FALSE))</f>
        <v>Misc Cash Purchase</v>
      </c>
      <c r="F2043" s="173" t="s">
        <v>743</v>
      </c>
      <c r="G2043" s="130"/>
      <c r="H2043" s="10">
        <v>500000</v>
      </c>
      <c r="I2043" s="10">
        <f t="shared" si="158"/>
        <v>0</v>
      </c>
      <c r="J2043" s="79" t="e">
        <f t="shared" si="129"/>
        <v>#VALUE!</v>
      </c>
      <c r="K2043" s="106"/>
      <c r="L2043" s="141"/>
      <c r="M2043" s="132"/>
      <c r="N2043" s="133"/>
      <c r="O2043" s="4"/>
      <c r="P2043" s="4"/>
      <c r="Q2043" s="4"/>
      <c r="R2043" s="4"/>
      <c r="S2043" s="4"/>
      <c r="T2043" s="4"/>
      <c r="U2043" s="4"/>
      <c r="V2043" s="4"/>
      <c r="W2043" s="4"/>
      <c r="X2043" s="4"/>
    </row>
    <row r="2044" spans="1:24" ht="14.25" customHeight="1">
      <c r="A2044" s="4"/>
      <c r="B2044" s="125">
        <v>46185</v>
      </c>
      <c r="C2044" s="126" t="s">
        <v>742</v>
      </c>
      <c r="D2044" s="68" t="s">
        <v>130</v>
      </c>
      <c r="E2044" s="10" t="str">
        <f>TRIM(VLOOKUP(D2044,TB!$B$9:$C$1500,2,FALSE))</f>
        <v>BCA TBB</v>
      </c>
      <c r="F2044" s="173" t="str">
        <f>F2043</f>
        <v>Santi  - Fee Host Ladies 25,28 May 26</v>
      </c>
      <c r="G2044" s="130"/>
      <c r="H2044" s="10"/>
      <c r="I2044" s="10">
        <f t="shared" si="158"/>
        <v>500000</v>
      </c>
      <c r="J2044" s="79" t="e">
        <f t="shared" si="129"/>
        <v>#VALUE!</v>
      </c>
      <c r="K2044" s="106"/>
      <c r="L2044" s="141"/>
      <c r="M2044" s="132"/>
      <c r="N2044" s="133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spans="1:24" ht="14.25" customHeight="1">
      <c r="A2045" s="4"/>
      <c r="B2045" s="125"/>
      <c r="C2045" s="126"/>
      <c r="D2045" s="159"/>
      <c r="E2045" s="10" t="e">
        <f>TRIM(VLOOKUP(D2045,TB!$B$9:$C$1500,2,FALSE))</f>
        <v>#N/A</v>
      </c>
      <c r="F2045" s="173"/>
      <c r="G2045" s="130"/>
      <c r="H2045" s="10"/>
      <c r="I2045" s="10">
        <f t="shared" si="158"/>
        <v>0</v>
      </c>
      <c r="J2045" s="79" t="e">
        <f t="shared" si="129"/>
        <v>#VALUE!</v>
      </c>
      <c r="K2045" s="106"/>
      <c r="L2045" s="141"/>
      <c r="M2045" s="132"/>
      <c r="N2045" s="133"/>
      <c r="O2045" s="4"/>
      <c r="P2045" s="4"/>
      <c r="Q2045" s="4"/>
      <c r="R2045" s="4"/>
      <c r="S2045" s="4"/>
      <c r="T2045" s="4"/>
      <c r="U2045" s="4"/>
      <c r="V2045" s="4"/>
      <c r="W2045" s="4"/>
      <c r="X2045" s="4"/>
    </row>
    <row r="2046" spans="1:24" ht="14.25" customHeight="1">
      <c r="A2046" s="4"/>
      <c r="B2046" s="125">
        <v>46185</v>
      </c>
      <c r="C2046" s="126" t="s">
        <v>744</v>
      </c>
      <c r="D2046" s="68" t="s">
        <v>285</v>
      </c>
      <c r="E2046" s="10" t="str">
        <f>TRIM(VLOOKUP(D2046,TB!$B$9:$C$1500,2,FALSE))</f>
        <v>Misc Cash Purchase</v>
      </c>
      <c r="F2046" s="173" t="s">
        <v>745</v>
      </c>
      <c r="G2046" s="130"/>
      <c r="H2046" s="10">
        <v>250000</v>
      </c>
      <c r="I2046" s="10">
        <f t="shared" si="158"/>
        <v>0</v>
      </c>
      <c r="J2046" s="79" t="e">
        <f t="shared" si="129"/>
        <v>#VALUE!</v>
      </c>
      <c r="K2046" s="106"/>
      <c r="L2046" s="141"/>
      <c r="M2046" s="132"/>
      <c r="N2046" s="133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spans="1:24" ht="14.25" customHeight="1">
      <c r="A2047" s="4"/>
      <c r="B2047" s="125">
        <v>46185</v>
      </c>
      <c r="C2047" s="126" t="s">
        <v>744</v>
      </c>
      <c r="D2047" s="68" t="s">
        <v>130</v>
      </c>
      <c r="E2047" s="10" t="str">
        <f>TRIM(VLOOKUP(D2047,TB!$B$9:$C$1500,2,FALSE))</f>
        <v>BCA TBB</v>
      </c>
      <c r="F2047" s="173" t="str">
        <f>F2046</f>
        <v>Niara  - Fee Host Ladies 25 May 26</v>
      </c>
      <c r="G2047" s="130"/>
      <c r="H2047" s="10"/>
      <c r="I2047" s="10">
        <f t="shared" si="158"/>
        <v>250000</v>
      </c>
      <c r="J2047" s="79" t="e">
        <f t="shared" si="129"/>
        <v>#VALUE!</v>
      </c>
      <c r="K2047" s="106"/>
      <c r="L2047" s="141"/>
      <c r="M2047" s="132"/>
      <c r="N2047" s="133"/>
      <c r="O2047" s="4"/>
      <c r="P2047" s="4"/>
      <c r="Q2047" s="4"/>
      <c r="R2047" s="4"/>
      <c r="S2047" s="4"/>
      <c r="T2047" s="4"/>
      <c r="U2047" s="4"/>
      <c r="V2047" s="4"/>
      <c r="W2047" s="4"/>
      <c r="X2047" s="4"/>
    </row>
    <row r="2048" spans="1:24" ht="14.25" customHeight="1">
      <c r="A2048" s="4"/>
      <c r="B2048" s="125"/>
      <c r="C2048" s="126"/>
      <c r="D2048" s="159"/>
      <c r="E2048" s="10" t="e">
        <f>TRIM(VLOOKUP(D2048,TB!$B$9:$C$1500,2,FALSE))</f>
        <v>#N/A</v>
      </c>
      <c r="F2048" s="173"/>
      <c r="G2048" s="130"/>
      <c r="H2048" s="10"/>
      <c r="I2048" s="10">
        <f t="shared" si="158"/>
        <v>0</v>
      </c>
      <c r="J2048" s="79" t="e">
        <f t="shared" si="129"/>
        <v>#VALUE!</v>
      </c>
      <c r="K2048" s="106"/>
      <c r="L2048" s="141"/>
      <c r="M2048" s="132"/>
      <c r="N2048" s="133"/>
      <c r="O2048" s="4"/>
      <c r="P2048" s="4"/>
      <c r="Q2048" s="4"/>
      <c r="R2048" s="4"/>
      <c r="S2048" s="4"/>
      <c r="T2048" s="4"/>
      <c r="U2048" s="4"/>
      <c r="V2048" s="4"/>
      <c r="W2048" s="4"/>
      <c r="X2048" s="4"/>
    </row>
    <row r="2049" spans="1:24" ht="14.25" customHeight="1">
      <c r="A2049" s="4"/>
      <c r="B2049" s="125">
        <v>46185</v>
      </c>
      <c r="C2049" s="126" t="s">
        <v>746</v>
      </c>
      <c r="D2049" s="68" t="s">
        <v>285</v>
      </c>
      <c r="E2049" s="10" t="str">
        <f>TRIM(VLOOKUP(D2049,TB!$B$9:$C$1500,2,FALSE))</f>
        <v>Misc Cash Purchase</v>
      </c>
      <c r="F2049" s="173" t="s">
        <v>747</v>
      </c>
      <c r="G2049" s="130"/>
      <c r="H2049" s="10">
        <v>250000</v>
      </c>
      <c r="I2049" s="10">
        <f t="shared" si="158"/>
        <v>0</v>
      </c>
      <c r="J2049" s="79" t="e">
        <f t="shared" si="129"/>
        <v>#VALUE!</v>
      </c>
      <c r="K2049" s="106"/>
      <c r="L2049" s="141"/>
      <c r="M2049" s="132"/>
      <c r="N2049" s="133"/>
      <c r="O2049" s="4"/>
      <c r="P2049" s="4"/>
      <c r="Q2049" s="4"/>
      <c r="R2049" s="4"/>
      <c r="S2049" s="4"/>
      <c r="T2049" s="4"/>
      <c r="U2049" s="4"/>
      <c r="V2049" s="4"/>
      <c r="W2049" s="4"/>
      <c r="X2049" s="4"/>
    </row>
    <row r="2050" spans="1:24" ht="14.25" customHeight="1">
      <c r="A2050" s="4"/>
      <c r="B2050" s="125">
        <v>46185</v>
      </c>
      <c r="C2050" s="126" t="s">
        <v>746</v>
      </c>
      <c r="D2050" s="68" t="s">
        <v>130</v>
      </c>
      <c r="E2050" s="10" t="str">
        <f>TRIM(VLOOKUP(D2050,TB!$B$9:$C$1500,2,FALSE))</f>
        <v>BCA TBB</v>
      </c>
      <c r="F2050" s="173" t="str">
        <f>F2049</f>
        <v>Tasya  - Fee Host Ladies 28 May 26</v>
      </c>
      <c r="G2050" s="130"/>
      <c r="H2050" s="10"/>
      <c r="I2050" s="10">
        <f t="shared" si="158"/>
        <v>250000</v>
      </c>
      <c r="J2050" s="79" t="e">
        <f t="shared" si="129"/>
        <v>#VALUE!</v>
      </c>
      <c r="K2050" s="106"/>
      <c r="L2050" s="141"/>
      <c r="M2050" s="132"/>
      <c r="N2050" s="133"/>
      <c r="O2050" s="4"/>
      <c r="P2050" s="4"/>
      <c r="Q2050" s="4"/>
      <c r="R2050" s="4"/>
      <c r="S2050" s="4"/>
      <c r="T2050" s="4"/>
      <c r="U2050" s="4"/>
      <c r="V2050" s="4"/>
      <c r="W2050" s="4"/>
      <c r="X2050" s="4"/>
    </row>
    <row r="2051" spans="1:24" ht="14.25" customHeight="1">
      <c r="A2051" s="4"/>
      <c r="B2051" s="125"/>
      <c r="C2051" s="126"/>
      <c r="D2051" s="159"/>
      <c r="E2051" s="10" t="e">
        <f>TRIM(VLOOKUP(D2051,TB!$B$9:$C$1500,2,FALSE))</f>
        <v>#N/A</v>
      </c>
      <c r="F2051" s="173"/>
      <c r="G2051" s="130"/>
      <c r="H2051" s="10"/>
      <c r="I2051" s="10">
        <f t="shared" si="158"/>
        <v>0</v>
      </c>
      <c r="J2051" s="79" t="e">
        <f t="shared" si="129"/>
        <v>#VALUE!</v>
      </c>
      <c r="K2051" s="106"/>
      <c r="L2051" s="141"/>
      <c r="M2051" s="132"/>
      <c r="N2051" s="133"/>
      <c r="O2051" s="4"/>
      <c r="P2051" s="4"/>
      <c r="Q2051" s="4"/>
      <c r="R2051" s="4"/>
      <c r="S2051" s="4"/>
      <c r="T2051" s="4"/>
      <c r="U2051" s="4"/>
      <c r="V2051" s="4"/>
      <c r="W2051" s="4"/>
      <c r="X2051" s="4"/>
    </row>
    <row r="2052" spans="1:24" ht="14.25" customHeight="1">
      <c r="A2052" s="4"/>
      <c r="B2052" s="125">
        <v>46185</v>
      </c>
      <c r="C2052" s="126" t="s">
        <v>748</v>
      </c>
      <c r="D2052" s="68" t="s">
        <v>285</v>
      </c>
      <c r="E2052" s="10" t="str">
        <f>TRIM(VLOOKUP(D2052,TB!$B$9:$C$1500,2,FALSE))</f>
        <v>Misc Cash Purchase</v>
      </c>
      <c r="F2052" s="173" t="s">
        <v>749</v>
      </c>
      <c r="G2052" s="130"/>
      <c r="H2052" s="10">
        <v>250000</v>
      </c>
      <c r="I2052" s="10">
        <f t="shared" si="158"/>
        <v>0</v>
      </c>
      <c r="J2052" s="79" t="e">
        <f t="shared" si="129"/>
        <v>#VALUE!</v>
      </c>
      <c r="K2052" s="106"/>
      <c r="L2052" s="141"/>
      <c r="M2052" s="132"/>
      <c r="N2052" s="133"/>
      <c r="O2052" s="4"/>
      <c r="P2052" s="4"/>
      <c r="Q2052" s="4"/>
      <c r="R2052" s="4"/>
      <c r="S2052" s="4"/>
      <c r="T2052" s="4"/>
      <c r="U2052" s="4"/>
      <c r="V2052" s="4"/>
      <c r="W2052" s="4"/>
      <c r="X2052" s="4"/>
    </row>
    <row r="2053" spans="1:24" ht="14.25" customHeight="1">
      <c r="A2053" s="4"/>
      <c r="B2053" s="125">
        <v>46185</v>
      </c>
      <c r="C2053" s="126" t="s">
        <v>748</v>
      </c>
      <c r="D2053" s="68" t="s">
        <v>130</v>
      </c>
      <c r="E2053" s="10" t="str">
        <f>TRIM(VLOOKUP(D2053,TB!$B$9:$C$1500,2,FALSE))</f>
        <v>BCA TBB</v>
      </c>
      <c r="F2053" s="173" t="str">
        <f>F2052</f>
        <v>Sasha - Fee Host Ladies 30 May 26</v>
      </c>
      <c r="G2053" s="130"/>
      <c r="H2053" s="10"/>
      <c r="I2053" s="10">
        <f t="shared" si="158"/>
        <v>250000</v>
      </c>
      <c r="J2053" s="79" t="e">
        <f t="shared" si="129"/>
        <v>#VALUE!</v>
      </c>
      <c r="K2053" s="106"/>
      <c r="L2053" s="141"/>
      <c r="M2053" s="132"/>
      <c r="N2053" s="133"/>
      <c r="O2053" s="4"/>
      <c r="P2053" s="4"/>
      <c r="Q2053" s="4"/>
      <c r="R2053" s="4"/>
      <c r="S2053" s="4"/>
      <c r="T2053" s="4"/>
      <c r="U2053" s="4"/>
      <c r="V2053" s="4"/>
      <c r="W2053" s="4"/>
      <c r="X2053" s="4"/>
    </row>
    <row r="2054" spans="1:24" ht="14.25" customHeight="1">
      <c r="A2054" s="4"/>
      <c r="B2054" s="125"/>
      <c r="C2054" s="126"/>
      <c r="D2054" s="159"/>
      <c r="E2054" s="10" t="e">
        <f>TRIM(VLOOKUP(D2054,TB!$B$9:$C$1500,2,FALSE))</f>
        <v>#N/A</v>
      </c>
      <c r="F2054" s="173"/>
      <c r="G2054" s="130"/>
      <c r="H2054" s="10"/>
      <c r="I2054" s="10">
        <f t="shared" si="158"/>
        <v>0</v>
      </c>
      <c r="J2054" s="79" t="e">
        <f t="shared" si="129"/>
        <v>#VALUE!</v>
      </c>
      <c r="K2054" s="106"/>
      <c r="L2054" s="141"/>
      <c r="M2054" s="132"/>
      <c r="N2054" s="133"/>
      <c r="O2054" s="4"/>
      <c r="P2054" s="4"/>
      <c r="Q2054" s="4"/>
      <c r="R2054" s="4"/>
      <c r="S2054" s="4"/>
      <c r="T2054" s="4"/>
      <c r="U2054" s="4"/>
      <c r="V2054" s="4"/>
      <c r="W2054" s="4"/>
      <c r="X2054" s="4"/>
    </row>
    <row r="2055" spans="1:24" ht="14.25" customHeight="1">
      <c r="A2055" s="4"/>
      <c r="B2055" s="125">
        <v>46185</v>
      </c>
      <c r="C2055" s="126" t="s">
        <v>750</v>
      </c>
      <c r="D2055" s="68" t="s">
        <v>285</v>
      </c>
      <c r="E2055" s="10" t="str">
        <f>TRIM(VLOOKUP(D2055,TB!$B$9:$C$1500,2,FALSE))</f>
        <v>Misc Cash Purchase</v>
      </c>
      <c r="F2055" s="173" t="s">
        <v>751</v>
      </c>
      <c r="G2055" s="130"/>
      <c r="H2055" s="10">
        <v>250000</v>
      </c>
      <c r="I2055" s="10">
        <f t="shared" si="158"/>
        <v>0</v>
      </c>
      <c r="J2055" s="79" t="e">
        <f t="shared" si="129"/>
        <v>#VALUE!</v>
      </c>
      <c r="K2055" s="106"/>
      <c r="L2055" s="141"/>
      <c r="M2055" s="132"/>
      <c r="N2055" s="133"/>
      <c r="O2055" s="4"/>
      <c r="P2055" s="4"/>
      <c r="Q2055" s="4"/>
      <c r="R2055" s="4"/>
      <c r="S2055" s="4"/>
      <c r="T2055" s="4"/>
      <c r="U2055" s="4"/>
      <c r="V2055" s="4"/>
      <c r="W2055" s="4"/>
      <c r="X2055" s="4"/>
    </row>
    <row r="2056" spans="1:24" ht="14.25" customHeight="1">
      <c r="A2056" s="4"/>
      <c r="B2056" s="125">
        <v>46185</v>
      </c>
      <c r="C2056" s="126" t="s">
        <v>750</v>
      </c>
      <c r="D2056" s="15" t="s">
        <v>124</v>
      </c>
      <c r="E2056" s="10" t="str">
        <f>TRIM(VLOOKUP(D2056,TB!$B$9:$C$1500,2,FALSE))</f>
        <v>Bank charges</v>
      </c>
      <c r="F2056" s="173" t="s">
        <v>751</v>
      </c>
      <c r="G2056" s="130"/>
      <c r="H2056" s="10">
        <v>2500</v>
      </c>
      <c r="I2056" s="10"/>
      <c r="J2056" s="79" t="e">
        <f t="shared" si="129"/>
        <v>#VALUE!</v>
      </c>
      <c r="K2056" s="106"/>
      <c r="L2056" s="141"/>
      <c r="M2056" s="132"/>
      <c r="N2056" s="133"/>
      <c r="O2056" s="4"/>
      <c r="P2056" s="4"/>
      <c r="Q2056" s="4"/>
      <c r="R2056" s="4"/>
      <c r="S2056" s="4"/>
      <c r="T2056" s="4"/>
      <c r="U2056" s="4"/>
      <c r="V2056" s="4"/>
      <c r="W2056" s="4"/>
      <c r="X2056" s="4"/>
    </row>
    <row r="2057" spans="1:24" ht="14.25" customHeight="1">
      <c r="A2057" s="4"/>
      <c r="B2057" s="125">
        <v>46185</v>
      </c>
      <c r="C2057" s="126" t="s">
        <v>750</v>
      </c>
      <c r="D2057" s="68" t="s">
        <v>130</v>
      </c>
      <c r="E2057" s="10" t="str">
        <f>TRIM(VLOOKUP(D2057,TB!$B$9:$C$1500,2,FALSE))</f>
        <v>BCA TBB</v>
      </c>
      <c r="F2057" s="173" t="str">
        <f>F2055</f>
        <v>Kimberly  - Fee Host Ladies 28 May 26</v>
      </c>
      <c r="G2057" s="130"/>
      <c r="H2057" s="10"/>
      <c r="I2057" s="10">
        <f>SUM(H2055:H2056)</f>
        <v>252500</v>
      </c>
      <c r="J2057" s="79" t="e">
        <f t="shared" si="129"/>
        <v>#VALUE!</v>
      </c>
      <c r="K2057" s="106"/>
      <c r="L2057" s="141"/>
      <c r="M2057" s="132"/>
      <c r="N2057" s="133"/>
      <c r="O2057" s="4"/>
      <c r="P2057" s="4"/>
      <c r="Q2057" s="4"/>
      <c r="R2057" s="4"/>
      <c r="S2057" s="4"/>
      <c r="T2057" s="4"/>
      <c r="U2057" s="4"/>
      <c r="V2057" s="4"/>
      <c r="W2057" s="4"/>
      <c r="X2057" s="4"/>
    </row>
    <row r="2058" spans="1:24" ht="14.25" customHeight="1">
      <c r="A2058" s="4"/>
      <c r="B2058" s="125"/>
      <c r="C2058" s="126"/>
      <c r="D2058" s="159"/>
      <c r="E2058" s="10" t="e">
        <f>TRIM(VLOOKUP(D2058,TB!$B$9:$C$1500,2,FALSE))</f>
        <v>#N/A</v>
      </c>
      <c r="F2058" s="173"/>
      <c r="G2058" s="130"/>
      <c r="H2058" s="10"/>
      <c r="I2058" s="10">
        <f t="shared" ref="I2058:I2065" si="159">SUM(H2057)</f>
        <v>0</v>
      </c>
      <c r="J2058" s="79" t="e">
        <f t="shared" si="129"/>
        <v>#VALUE!</v>
      </c>
      <c r="K2058" s="106"/>
      <c r="L2058" s="141"/>
      <c r="M2058" s="132"/>
      <c r="N2058" s="133"/>
      <c r="O2058" s="4"/>
      <c r="P2058" s="4"/>
      <c r="Q2058" s="4"/>
      <c r="R2058" s="4"/>
      <c r="S2058" s="4"/>
      <c r="T2058" s="4"/>
      <c r="U2058" s="4"/>
      <c r="V2058" s="4"/>
      <c r="W2058" s="4"/>
      <c r="X2058" s="4"/>
    </row>
    <row r="2059" spans="1:24" ht="14.25" customHeight="1">
      <c r="A2059" s="4"/>
      <c r="B2059" s="125">
        <v>46185</v>
      </c>
      <c r="C2059" s="126" t="s">
        <v>752</v>
      </c>
      <c r="D2059" s="68" t="s">
        <v>285</v>
      </c>
      <c r="E2059" s="10" t="str">
        <f>TRIM(VLOOKUP(D2059,TB!$B$9:$C$1500,2,FALSE))</f>
        <v>Misc Cash Purchase</v>
      </c>
      <c r="F2059" s="173" t="s">
        <v>753</v>
      </c>
      <c r="G2059" s="130"/>
      <c r="H2059" s="10">
        <v>4250000</v>
      </c>
      <c r="I2059" s="10">
        <f t="shared" si="159"/>
        <v>0</v>
      </c>
      <c r="J2059" s="79" t="e">
        <f t="shared" si="129"/>
        <v>#VALUE!</v>
      </c>
      <c r="K2059" s="106"/>
      <c r="L2059" s="141"/>
      <c r="M2059" s="132"/>
      <c r="N2059" s="133"/>
      <c r="O2059" s="4"/>
      <c r="P2059" s="4"/>
      <c r="Q2059" s="4"/>
      <c r="R2059" s="4"/>
      <c r="S2059" s="4"/>
      <c r="T2059" s="4"/>
      <c r="U2059" s="4"/>
      <c r="V2059" s="4"/>
      <c r="W2059" s="4"/>
      <c r="X2059" s="4"/>
    </row>
    <row r="2060" spans="1:24" ht="14.25" customHeight="1">
      <c r="A2060" s="4"/>
      <c r="B2060" s="125">
        <v>46185</v>
      </c>
      <c r="C2060" s="126" t="s">
        <v>752</v>
      </c>
      <c r="D2060" s="68" t="s">
        <v>130</v>
      </c>
      <c r="E2060" s="10" t="str">
        <f>TRIM(VLOOKUP(D2060,TB!$B$9:$C$1500,2,FALSE))</f>
        <v>BCA TBB</v>
      </c>
      <c r="F2060" s="173" t="str">
        <f>F2059</f>
        <v>Eryka Team - Fee Host Ladies 27,29,31 May 26 + Coordination Fee 500K</v>
      </c>
      <c r="G2060" s="130"/>
      <c r="H2060" s="10"/>
      <c r="I2060" s="10">
        <f t="shared" si="159"/>
        <v>4250000</v>
      </c>
      <c r="J2060" s="79" t="e">
        <f t="shared" si="129"/>
        <v>#VALUE!</v>
      </c>
      <c r="K2060" s="106"/>
      <c r="L2060" s="141"/>
      <c r="M2060" s="132"/>
      <c r="N2060" s="133"/>
      <c r="O2060" s="4"/>
      <c r="P2060" s="4"/>
      <c r="Q2060" s="4"/>
      <c r="R2060" s="4"/>
      <c r="S2060" s="4"/>
      <c r="T2060" s="4"/>
      <c r="U2060" s="4"/>
      <c r="V2060" s="4"/>
      <c r="W2060" s="4"/>
      <c r="X2060" s="4"/>
    </row>
    <row r="2061" spans="1:24" ht="14.25" customHeight="1">
      <c r="A2061" s="4"/>
      <c r="B2061" s="125"/>
      <c r="C2061" s="126"/>
      <c r="D2061" s="159"/>
      <c r="E2061" s="10" t="e">
        <f>TRIM(VLOOKUP(D2061,TB!$B$9:$C$1500,2,FALSE))</f>
        <v>#N/A</v>
      </c>
      <c r="F2061" s="173"/>
      <c r="G2061" s="130"/>
      <c r="H2061" s="10"/>
      <c r="I2061" s="10">
        <f t="shared" si="159"/>
        <v>0</v>
      </c>
      <c r="J2061" s="79" t="e">
        <f t="shared" si="129"/>
        <v>#VALUE!</v>
      </c>
      <c r="K2061" s="106"/>
      <c r="L2061" s="141"/>
      <c r="M2061" s="132"/>
      <c r="N2061" s="133"/>
      <c r="O2061" s="4"/>
      <c r="P2061" s="4"/>
      <c r="Q2061" s="4"/>
      <c r="R2061" s="4"/>
      <c r="S2061" s="4"/>
      <c r="T2061" s="4"/>
      <c r="U2061" s="4"/>
      <c r="V2061" s="4"/>
      <c r="W2061" s="4"/>
      <c r="X2061" s="4"/>
    </row>
    <row r="2062" spans="1:24" ht="14.25" customHeight="1">
      <c r="A2062" s="4"/>
      <c r="B2062" s="125">
        <v>46185</v>
      </c>
      <c r="C2062" s="126" t="s">
        <v>754</v>
      </c>
      <c r="D2062" s="68" t="s">
        <v>285</v>
      </c>
      <c r="E2062" s="10" t="str">
        <f>TRIM(VLOOKUP(D2062,TB!$B$9:$C$1500,2,FALSE))</f>
        <v>Misc Cash Purchase</v>
      </c>
      <c r="F2062" s="173" t="s">
        <v>755</v>
      </c>
      <c r="G2062" s="130"/>
      <c r="H2062" s="10">
        <v>4000000</v>
      </c>
      <c r="I2062" s="10">
        <f t="shared" si="159"/>
        <v>0</v>
      </c>
      <c r="J2062" s="79" t="e">
        <f t="shared" si="129"/>
        <v>#VALUE!</v>
      </c>
      <c r="K2062" s="106"/>
      <c r="L2062" s="141"/>
      <c r="M2062" s="132"/>
      <c r="N2062" s="133"/>
      <c r="O2062" s="4"/>
      <c r="P2062" s="4"/>
      <c r="Q2062" s="4"/>
      <c r="R2062" s="4"/>
      <c r="S2062" s="4"/>
      <c r="T2062" s="4"/>
      <c r="U2062" s="4"/>
      <c r="V2062" s="4"/>
      <c r="W2062" s="4"/>
      <c r="X2062" s="4"/>
    </row>
    <row r="2063" spans="1:24" ht="14.25" customHeight="1">
      <c r="A2063" s="4"/>
      <c r="B2063" s="125">
        <v>46185</v>
      </c>
      <c r="C2063" s="126" t="s">
        <v>754</v>
      </c>
      <c r="D2063" s="68" t="s">
        <v>130</v>
      </c>
      <c r="E2063" s="10" t="str">
        <f>TRIM(VLOOKUP(D2063,TB!$B$9:$C$1500,2,FALSE))</f>
        <v>BCA TBB</v>
      </c>
      <c r="F2063" s="173" t="str">
        <f>F2062</f>
        <v>Cherry Team - Fee Host Ladies 26,27,28 May 26 + Coordination Fee 250K</v>
      </c>
      <c r="G2063" s="130"/>
      <c r="H2063" s="10"/>
      <c r="I2063" s="10">
        <f t="shared" si="159"/>
        <v>4000000</v>
      </c>
      <c r="J2063" s="79" t="e">
        <f t="shared" si="129"/>
        <v>#VALUE!</v>
      </c>
      <c r="K2063" s="106"/>
      <c r="L2063" s="141"/>
      <c r="M2063" s="132"/>
      <c r="N2063" s="133"/>
      <c r="O2063" s="4"/>
      <c r="P2063" s="4"/>
      <c r="Q2063" s="4"/>
      <c r="R2063" s="4"/>
      <c r="S2063" s="4"/>
      <c r="T2063" s="4"/>
      <c r="U2063" s="4"/>
      <c r="V2063" s="4"/>
      <c r="W2063" s="4"/>
      <c r="X2063" s="4"/>
    </row>
    <row r="2064" spans="1:24" ht="14.25" customHeight="1">
      <c r="A2064" s="4"/>
      <c r="B2064" s="125"/>
      <c r="C2064" s="126"/>
      <c r="D2064" s="159"/>
      <c r="E2064" s="10" t="e">
        <f>TRIM(VLOOKUP(D2064,TB!$B$9:$C$1500,2,FALSE))</f>
        <v>#N/A</v>
      </c>
      <c r="F2064" s="173"/>
      <c r="G2064" s="130"/>
      <c r="H2064" s="10"/>
      <c r="I2064" s="10">
        <f t="shared" si="159"/>
        <v>0</v>
      </c>
      <c r="J2064" s="79" t="e">
        <f t="shared" si="129"/>
        <v>#VALUE!</v>
      </c>
      <c r="K2064" s="106"/>
      <c r="L2064" s="141"/>
      <c r="M2064" s="132"/>
      <c r="N2064" s="133"/>
      <c r="O2064" s="4"/>
      <c r="P2064" s="4"/>
      <c r="Q2064" s="4"/>
      <c r="R2064" s="4"/>
      <c r="S2064" s="4"/>
      <c r="T2064" s="4"/>
      <c r="U2064" s="4"/>
      <c r="V2064" s="4"/>
      <c r="W2064" s="4"/>
      <c r="X2064" s="4"/>
    </row>
    <row r="2065" spans="1:24" ht="14.25" customHeight="1">
      <c r="A2065" s="4"/>
      <c r="B2065" s="125">
        <v>46185</v>
      </c>
      <c r="C2065" s="126" t="s">
        <v>756</v>
      </c>
      <c r="D2065" s="15" t="s">
        <v>188</v>
      </c>
      <c r="E2065" s="10" t="str">
        <f>TRIM(VLOOKUP(D2065,TB!$B$9:$C$1500,2,FALSE))</f>
        <v>Advertising Costs</v>
      </c>
      <c r="F2065" s="173" t="s">
        <v>757</v>
      </c>
      <c r="G2065" s="130"/>
      <c r="H2065" s="10">
        <v>4200000</v>
      </c>
      <c r="I2065" s="10">
        <f t="shared" si="159"/>
        <v>0</v>
      </c>
      <c r="J2065" s="79" t="e">
        <f t="shared" si="129"/>
        <v>#VALUE!</v>
      </c>
      <c r="K2065" s="106"/>
      <c r="L2065" s="141"/>
      <c r="M2065" s="132"/>
      <c r="N2065" s="133"/>
      <c r="O2065" s="4"/>
      <c r="P2065" s="4"/>
      <c r="Q2065" s="4"/>
      <c r="R2065" s="4"/>
      <c r="S2065" s="4"/>
      <c r="T2065" s="4"/>
      <c r="U2065" s="4"/>
      <c r="V2065" s="4"/>
      <c r="W2065" s="4"/>
      <c r="X2065" s="4"/>
    </row>
    <row r="2066" spans="1:24" ht="14.25" customHeight="1">
      <c r="A2066" s="4"/>
      <c r="B2066" s="125">
        <v>46185</v>
      </c>
      <c r="C2066" s="126" t="s">
        <v>756</v>
      </c>
      <c r="D2066" s="15" t="s">
        <v>124</v>
      </c>
      <c r="E2066" s="10" t="str">
        <f>TRIM(VLOOKUP(D2066,TB!$B$9:$C$1500,2,FALSE))</f>
        <v>Bank charges</v>
      </c>
      <c r="F2066" s="173" t="s">
        <v>757</v>
      </c>
      <c r="G2066" s="130"/>
      <c r="H2066" s="10">
        <v>1000</v>
      </c>
      <c r="I2066" s="10"/>
      <c r="J2066" s="79" t="e">
        <f t="shared" ref="J2066:J2320" si="160">J2065+H2066-I2066</f>
        <v>#VALUE!</v>
      </c>
      <c r="K2066" s="106"/>
      <c r="L2066" s="141"/>
      <c r="M2066" s="132"/>
      <c r="N2066" s="133"/>
      <c r="O2066" s="4"/>
      <c r="P2066" s="4"/>
      <c r="Q2066" s="4"/>
      <c r="R2066" s="4"/>
      <c r="S2066" s="4"/>
      <c r="T2066" s="4"/>
      <c r="U2066" s="4"/>
      <c r="V2066" s="4"/>
      <c r="W2066" s="4"/>
      <c r="X2066" s="4"/>
    </row>
    <row r="2067" spans="1:24" ht="14.25" customHeight="1">
      <c r="A2067" s="4"/>
      <c r="B2067" s="125">
        <v>46185</v>
      </c>
      <c r="C2067" s="126" t="s">
        <v>756</v>
      </c>
      <c r="D2067" s="68" t="s">
        <v>130</v>
      </c>
      <c r="E2067" s="10" t="str">
        <f>TRIM(VLOOKUP(D2067,TB!$B$9:$C$1500,2,FALSE))</f>
        <v>BCA TBB</v>
      </c>
      <c r="F2067" s="173" t="str">
        <f>F2065</f>
        <v>Top ads sos med 12 June 2026</v>
      </c>
      <c r="G2067" s="130"/>
      <c r="H2067" s="10"/>
      <c r="I2067" s="10">
        <f>SUM(H2065:H2066)</f>
        <v>4201000</v>
      </c>
      <c r="J2067" s="79" t="e">
        <f t="shared" si="160"/>
        <v>#VALUE!</v>
      </c>
      <c r="K2067" s="106"/>
      <c r="L2067" s="141"/>
      <c r="M2067" s="132"/>
      <c r="N2067" s="133"/>
      <c r="O2067" s="4"/>
      <c r="P2067" s="4"/>
      <c r="Q2067" s="4"/>
      <c r="R2067" s="4"/>
      <c r="S2067" s="4"/>
      <c r="T2067" s="4"/>
      <c r="U2067" s="4"/>
      <c r="V2067" s="4"/>
      <c r="W2067" s="4"/>
      <c r="X2067" s="4"/>
    </row>
    <row r="2068" spans="1:24" ht="14.25" customHeight="1">
      <c r="A2068" s="4"/>
      <c r="B2068" s="125"/>
      <c r="C2068" s="126"/>
      <c r="D2068" s="159"/>
      <c r="E2068" s="10" t="e">
        <f>TRIM(VLOOKUP(D2068,TB!$B$9:$C$1500,2,FALSE))</f>
        <v>#N/A</v>
      </c>
      <c r="F2068" s="173"/>
      <c r="G2068" s="130"/>
      <c r="H2068" s="10"/>
      <c r="I2068" s="10">
        <f t="shared" ref="I2068:I2077" si="161">SUM(H2067)</f>
        <v>0</v>
      </c>
      <c r="J2068" s="79" t="e">
        <f t="shared" si="160"/>
        <v>#VALUE!</v>
      </c>
      <c r="K2068" s="106"/>
      <c r="L2068" s="141"/>
      <c r="M2068" s="132"/>
      <c r="N2068" s="133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spans="1:24" ht="14.25" customHeight="1">
      <c r="A2069" s="4"/>
      <c r="B2069" s="125">
        <v>46185</v>
      </c>
      <c r="C2069" s="126" t="s">
        <v>758</v>
      </c>
      <c r="D2069" s="15" t="s">
        <v>438</v>
      </c>
      <c r="E2069" s="10" t="str">
        <f>TRIM(VLOOKUP(D2069,TB!$B$9:$C$1500,2,FALSE))</f>
        <v>Brochure Flyer Printing</v>
      </c>
      <c r="F2069" s="173" t="s">
        <v>759</v>
      </c>
      <c r="G2069" s="130"/>
      <c r="H2069" s="10">
        <v>268000</v>
      </c>
      <c r="I2069" s="10">
        <f t="shared" si="161"/>
        <v>0</v>
      </c>
      <c r="J2069" s="79" t="e">
        <f t="shared" si="160"/>
        <v>#VALUE!</v>
      </c>
      <c r="K2069" s="106"/>
      <c r="L2069" s="141"/>
      <c r="M2069" s="132"/>
      <c r="N2069" s="133"/>
      <c r="O2069" s="4"/>
      <c r="P2069" s="4"/>
      <c r="Q2069" s="4"/>
      <c r="R2069" s="4"/>
      <c r="S2069" s="4"/>
      <c r="T2069" s="4"/>
      <c r="U2069" s="4"/>
      <c r="V2069" s="4"/>
      <c r="W2069" s="4"/>
      <c r="X2069" s="4"/>
    </row>
    <row r="2070" spans="1:24" ht="14.25" customHeight="1">
      <c r="A2070" s="4"/>
      <c r="B2070" s="125">
        <v>46185</v>
      </c>
      <c r="C2070" s="126" t="s">
        <v>758</v>
      </c>
      <c r="D2070" s="68" t="s">
        <v>130</v>
      </c>
      <c r="E2070" s="10" t="str">
        <f>TRIM(VLOOKUP(D2070,TB!$B$9:$C$1500,2,FALSE))</f>
        <v>BCA TBB</v>
      </c>
      <c r="F2070" s="173" t="str">
        <f>F2069</f>
        <v>Angga - Reimburse Bali Star 11 Jun 26</v>
      </c>
      <c r="G2070" s="130"/>
      <c r="H2070" s="10"/>
      <c r="I2070" s="10">
        <f t="shared" si="161"/>
        <v>268000</v>
      </c>
      <c r="J2070" s="79" t="e">
        <f t="shared" si="160"/>
        <v>#VALUE!</v>
      </c>
      <c r="K2070" s="106"/>
      <c r="L2070" s="141"/>
      <c r="M2070" s="132"/>
      <c r="N2070" s="133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spans="1:24" ht="14.25" customHeight="1">
      <c r="A2071" s="4"/>
      <c r="B2071" s="125"/>
      <c r="C2071" s="126"/>
      <c r="D2071" s="159"/>
      <c r="E2071" s="10" t="e">
        <f>TRIM(VLOOKUP(D2071,TB!$B$9:$C$1500,2,FALSE))</f>
        <v>#N/A</v>
      </c>
      <c r="F2071" s="173"/>
      <c r="G2071" s="130"/>
      <c r="H2071" s="10"/>
      <c r="I2071" s="10">
        <f t="shared" si="161"/>
        <v>0</v>
      </c>
      <c r="J2071" s="79" t="e">
        <f t="shared" si="160"/>
        <v>#VALUE!</v>
      </c>
      <c r="K2071" s="106"/>
      <c r="L2071" s="141"/>
      <c r="M2071" s="132"/>
      <c r="N2071" s="133"/>
      <c r="O2071" s="4"/>
      <c r="P2071" s="4"/>
      <c r="Q2071" s="4"/>
      <c r="R2071" s="4"/>
      <c r="S2071" s="4"/>
      <c r="T2071" s="4"/>
      <c r="U2071" s="4"/>
      <c r="V2071" s="4"/>
      <c r="W2071" s="4"/>
      <c r="X2071" s="4"/>
    </row>
    <row r="2072" spans="1:24" ht="14.25" customHeight="1">
      <c r="A2072" s="4"/>
      <c r="B2072" s="125">
        <v>46185</v>
      </c>
      <c r="C2072" s="126" t="s">
        <v>760</v>
      </c>
      <c r="D2072" s="15" t="s">
        <v>403</v>
      </c>
      <c r="E2072" s="10" t="str">
        <f>TRIM(VLOOKUP(D2072,TB!$B$9:$C$1500,2,FALSE))</f>
        <v>Security/Police/Banjar Costs</v>
      </c>
      <c r="F2072" s="173" t="s">
        <v>761</v>
      </c>
      <c r="G2072" s="130"/>
      <c r="H2072" s="10">
        <v>5000000</v>
      </c>
      <c r="I2072" s="10">
        <f t="shared" si="161"/>
        <v>0</v>
      </c>
      <c r="J2072" s="79" t="e">
        <f t="shared" si="160"/>
        <v>#VALUE!</v>
      </c>
      <c r="K2072" s="106"/>
      <c r="L2072" s="141"/>
      <c r="M2072" s="132"/>
      <c r="N2072" s="133"/>
      <c r="O2072" s="4"/>
      <c r="P2072" s="4"/>
      <c r="Q2072" s="4"/>
      <c r="R2072" s="4"/>
      <c r="S2072" s="4"/>
      <c r="T2072" s="4"/>
      <c r="U2072" s="4"/>
      <c r="V2072" s="4"/>
      <c r="W2072" s="4"/>
      <c r="X2072" s="4"/>
    </row>
    <row r="2073" spans="1:24" ht="14.25" customHeight="1">
      <c r="A2073" s="4"/>
      <c r="B2073" s="125">
        <v>46185</v>
      </c>
      <c r="C2073" s="126" t="s">
        <v>760</v>
      </c>
      <c r="D2073" s="68" t="s">
        <v>130</v>
      </c>
      <c r="E2073" s="10" t="str">
        <f>TRIM(VLOOKUP(D2073,TB!$B$9:$C$1500,2,FALSE))</f>
        <v>BCA TBB</v>
      </c>
      <c r="F2073" s="173" t="str">
        <f>F2072</f>
        <v>BNN  Fee June 2026</v>
      </c>
      <c r="G2073" s="130"/>
      <c r="H2073" s="10"/>
      <c r="I2073" s="10">
        <f t="shared" si="161"/>
        <v>5000000</v>
      </c>
      <c r="J2073" s="79" t="e">
        <f t="shared" si="160"/>
        <v>#VALUE!</v>
      </c>
      <c r="K2073" s="106"/>
      <c r="L2073" s="141"/>
      <c r="M2073" s="132"/>
      <c r="N2073" s="133"/>
      <c r="O2073" s="4"/>
      <c r="P2073" s="4"/>
      <c r="Q2073" s="4"/>
      <c r="R2073" s="4"/>
      <c r="S2073" s="4"/>
      <c r="T2073" s="4"/>
      <c r="U2073" s="4"/>
      <c r="V2073" s="4"/>
      <c r="W2073" s="4"/>
      <c r="X2073" s="4"/>
    </row>
    <row r="2074" spans="1:24" ht="14.25" customHeight="1">
      <c r="A2074" s="4"/>
      <c r="B2074" s="125"/>
      <c r="C2074" s="126"/>
      <c r="D2074" s="159"/>
      <c r="E2074" s="10" t="e">
        <f>TRIM(VLOOKUP(D2074,TB!$B$9:$C$1500,2,FALSE))</f>
        <v>#N/A</v>
      </c>
      <c r="F2074" s="173"/>
      <c r="G2074" s="130"/>
      <c r="H2074" s="10"/>
      <c r="I2074" s="10">
        <f t="shared" si="161"/>
        <v>0</v>
      </c>
      <c r="J2074" s="79" t="e">
        <f t="shared" si="160"/>
        <v>#VALUE!</v>
      </c>
      <c r="K2074" s="106"/>
      <c r="L2074" s="141"/>
      <c r="M2074" s="132"/>
      <c r="N2074" s="133"/>
      <c r="O2074" s="4"/>
      <c r="P2074" s="4"/>
      <c r="Q2074" s="4"/>
      <c r="R2074" s="4"/>
      <c r="S2074" s="4"/>
      <c r="T2074" s="4"/>
      <c r="U2074" s="4"/>
      <c r="V2074" s="4"/>
      <c r="W2074" s="4"/>
      <c r="X2074" s="4"/>
    </row>
    <row r="2075" spans="1:24" ht="14.25" customHeight="1">
      <c r="A2075" s="4"/>
      <c r="B2075" s="125">
        <v>46185</v>
      </c>
      <c r="C2075" s="126" t="s">
        <v>762</v>
      </c>
      <c r="D2075" s="68" t="s">
        <v>285</v>
      </c>
      <c r="E2075" s="10" t="str">
        <f>TRIM(VLOOKUP(D2075,TB!$B$9:$C$1500,2,FALSE))</f>
        <v>Misc Cash Purchase</v>
      </c>
      <c r="F2075" s="173" t="s">
        <v>763</v>
      </c>
      <c r="G2075" s="130"/>
      <c r="H2075" s="10">
        <v>1630000</v>
      </c>
      <c r="I2075" s="10">
        <f t="shared" si="161"/>
        <v>0</v>
      </c>
      <c r="J2075" s="79" t="e">
        <f t="shared" si="160"/>
        <v>#VALUE!</v>
      </c>
      <c r="K2075" s="106" t="s">
        <v>733</v>
      </c>
      <c r="L2075" s="141"/>
      <c r="M2075" s="132"/>
      <c r="N2075" s="133"/>
      <c r="O2075" s="4"/>
      <c r="P2075" s="4"/>
      <c r="Q2075" s="4"/>
      <c r="R2075" s="4"/>
      <c r="S2075" s="4"/>
      <c r="T2075" s="4"/>
      <c r="U2075" s="4"/>
      <c r="V2075" s="4"/>
      <c r="W2075" s="4"/>
      <c r="X2075" s="4"/>
    </row>
    <row r="2076" spans="1:24" ht="14.25" customHeight="1">
      <c r="A2076" s="4"/>
      <c r="B2076" s="125">
        <v>46185</v>
      </c>
      <c r="C2076" s="126" t="s">
        <v>762</v>
      </c>
      <c r="D2076" s="68" t="s">
        <v>130</v>
      </c>
      <c r="E2076" s="10" t="str">
        <f>TRIM(VLOOKUP(D2076,TB!$B$9:$C$1500,2,FALSE))</f>
        <v>BCA TBB</v>
      </c>
      <c r="F2076" s="173" t="str">
        <f>F2075</f>
        <v>Black Rvn  - Comm Bottle No. 9255,9257,9236,9242,9234</v>
      </c>
      <c r="G2076" s="130"/>
      <c r="H2076" s="10"/>
      <c r="I2076" s="10">
        <f t="shared" si="161"/>
        <v>1630000</v>
      </c>
      <c r="J2076" s="79" t="e">
        <f t="shared" si="160"/>
        <v>#VALUE!</v>
      </c>
      <c r="K2076" s="106"/>
      <c r="L2076" s="141"/>
      <c r="M2076" s="132"/>
      <c r="N2076" s="133"/>
      <c r="O2076" s="4"/>
      <c r="P2076" s="4"/>
      <c r="Q2076" s="4"/>
      <c r="R2076" s="4"/>
      <c r="S2076" s="4"/>
      <c r="T2076" s="4"/>
      <c r="U2076" s="4"/>
      <c r="V2076" s="4"/>
      <c r="W2076" s="4"/>
      <c r="X2076" s="4"/>
    </row>
    <row r="2077" spans="1:24" ht="14.25" customHeight="1">
      <c r="A2077" s="4"/>
      <c r="B2077" s="125"/>
      <c r="C2077" s="126"/>
      <c r="D2077" s="159"/>
      <c r="E2077" s="10" t="e">
        <f>TRIM(VLOOKUP(D2077,TB!$B$9:$C$1500,2,FALSE))</f>
        <v>#N/A</v>
      </c>
      <c r="F2077" s="173"/>
      <c r="G2077" s="130"/>
      <c r="H2077" s="10"/>
      <c r="I2077" s="10">
        <f t="shared" si="161"/>
        <v>0</v>
      </c>
      <c r="J2077" s="79" t="e">
        <f t="shared" si="160"/>
        <v>#VALUE!</v>
      </c>
      <c r="K2077" s="106"/>
      <c r="L2077" s="141"/>
      <c r="M2077" s="132"/>
      <c r="N2077" s="133"/>
      <c r="O2077" s="4"/>
      <c r="P2077" s="4"/>
      <c r="Q2077" s="4"/>
      <c r="R2077" s="4"/>
      <c r="S2077" s="4"/>
      <c r="T2077" s="4"/>
      <c r="U2077" s="4"/>
      <c r="V2077" s="4"/>
      <c r="W2077" s="4"/>
      <c r="X2077" s="4"/>
    </row>
    <row r="2078" spans="1:24" ht="14.25" customHeight="1">
      <c r="A2078" s="4"/>
      <c r="B2078" s="125">
        <v>46185</v>
      </c>
      <c r="C2078" s="126" t="s">
        <v>764</v>
      </c>
      <c r="D2078" s="68" t="s">
        <v>130</v>
      </c>
      <c r="E2078" s="10" t="str">
        <f>TRIM(VLOOKUP(D2078,TB!$B$9:$C$1500,2,FALSE))</f>
        <v>BCA TBB</v>
      </c>
      <c r="F2078" s="173" t="s">
        <v>765</v>
      </c>
      <c r="G2078" s="130"/>
      <c r="H2078" s="157">
        <f>I2080-H2079</f>
        <v>1196267.49</v>
      </c>
      <c r="I2078" s="10"/>
      <c r="J2078" s="79" t="e">
        <f t="shared" si="160"/>
        <v>#VALUE!</v>
      </c>
      <c r="K2078" s="106"/>
      <c r="L2078" s="141"/>
      <c r="M2078" s="132"/>
      <c r="N2078" s="133"/>
      <c r="O2078" s="4"/>
      <c r="P2078" s="4"/>
      <c r="Q2078" s="4"/>
      <c r="R2078" s="4"/>
      <c r="S2078" s="4"/>
      <c r="T2078" s="4"/>
      <c r="U2078" s="4"/>
      <c r="V2078" s="4"/>
      <c r="W2078" s="4"/>
      <c r="X2078" s="4"/>
    </row>
    <row r="2079" spans="1:24" ht="14.25" customHeight="1">
      <c r="A2079" s="4"/>
      <c r="B2079" s="125">
        <v>46185</v>
      </c>
      <c r="C2079" s="126" t="s">
        <v>764</v>
      </c>
      <c r="D2079" s="15" t="s">
        <v>124</v>
      </c>
      <c r="E2079" s="10" t="str">
        <f>TRIM(VLOOKUP(D2079,TB!$B$9:$C$1500,2,FALSE))</f>
        <v>Bank charges</v>
      </c>
      <c r="F2079" s="173" t="str">
        <f t="shared" ref="F2079:F2080" si="162">F2078</f>
        <v>BCA CC  10-06-2026</v>
      </c>
      <c r="G2079" s="130"/>
      <c r="H2079" s="157">
        <f>I2080*1.8%</f>
        <v>21927.510000000002</v>
      </c>
      <c r="I2079" s="10"/>
      <c r="J2079" s="79" t="e">
        <f t="shared" si="160"/>
        <v>#VALUE!</v>
      </c>
      <c r="K2079" s="106"/>
      <c r="L2079" s="141"/>
      <c r="M2079" s="132"/>
      <c r="N2079" s="133"/>
      <c r="O2079" s="4"/>
      <c r="P2079" s="4"/>
      <c r="Q2079" s="4"/>
      <c r="R2079" s="4"/>
      <c r="S2079" s="4"/>
      <c r="T2079" s="4"/>
      <c r="U2079" s="4"/>
      <c r="V2079" s="4"/>
      <c r="W2079" s="4"/>
      <c r="X2079" s="4"/>
    </row>
    <row r="2080" spans="1:24" ht="14.25" customHeight="1">
      <c r="A2080" s="4"/>
      <c r="B2080" s="125">
        <v>46185</v>
      </c>
      <c r="C2080" s="126" t="s">
        <v>764</v>
      </c>
      <c r="D2080" s="15" t="s">
        <v>42</v>
      </c>
      <c r="E2080" s="10" t="str">
        <f>TRIM(VLOOKUP(D2080,TB!$B$9:$C$1500,2,FALSE))</f>
        <v>BCA Card TBB</v>
      </c>
      <c r="F2080" s="173" t="str">
        <f t="shared" si="162"/>
        <v>BCA CC  10-06-2026</v>
      </c>
      <c r="G2080" s="130"/>
      <c r="H2080" s="10"/>
      <c r="I2080" s="10">
        <v>1218195</v>
      </c>
      <c r="J2080" s="79" t="e">
        <f t="shared" si="160"/>
        <v>#VALUE!</v>
      </c>
      <c r="K2080" s="106"/>
      <c r="L2080" s="141"/>
      <c r="M2080" s="132"/>
      <c r="N2080" s="133"/>
      <c r="O2080" s="4"/>
      <c r="P2080" s="4"/>
      <c r="Q2080" s="4"/>
      <c r="R2080" s="4"/>
      <c r="S2080" s="4"/>
      <c r="T2080" s="4"/>
      <c r="U2080" s="4"/>
      <c r="V2080" s="4"/>
      <c r="W2080" s="4"/>
      <c r="X2080" s="4"/>
    </row>
    <row r="2081" spans="1:24" ht="14.25" customHeight="1">
      <c r="A2081" s="4"/>
      <c r="B2081" s="125"/>
      <c r="C2081" s="126"/>
      <c r="D2081" s="15"/>
      <c r="E2081" s="10" t="e">
        <f>TRIM(VLOOKUP(D2081,TB!$B$9:$C$1500,2,FALSE))</f>
        <v>#N/A</v>
      </c>
      <c r="F2081" s="173"/>
      <c r="G2081" s="130"/>
      <c r="H2081" s="10"/>
      <c r="I2081" s="10"/>
      <c r="J2081" s="79" t="e">
        <f t="shared" si="160"/>
        <v>#VALUE!</v>
      </c>
      <c r="K2081" s="106"/>
      <c r="L2081" s="141"/>
      <c r="M2081" s="132"/>
      <c r="N2081" s="133"/>
      <c r="O2081" s="4"/>
      <c r="P2081" s="4"/>
      <c r="Q2081" s="4"/>
      <c r="R2081" s="4"/>
      <c r="S2081" s="4"/>
      <c r="T2081" s="4"/>
      <c r="U2081" s="4"/>
      <c r="V2081" s="4"/>
      <c r="W2081" s="4"/>
      <c r="X2081" s="4"/>
    </row>
    <row r="2082" spans="1:24" ht="14.25" customHeight="1">
      <c r="A2082" s="4"/>
      <c r="B2082" s="125">
        <v>46185</v>
      </c>
      <c r="C2082" s="126" t="s">
        <v>766</v>
      </c>
      <c r="D2082" s="68" t="s">
        <v>130</v>
      </c>
      <c r="E2082" s="10" t="str">
        <f>TRIM(VLOOKUP(D2082,TB!$B$9:$C$1500,2,FALSE))</f>
        <v>BCA TBB</v>
      </c>
      <c r="F2082" s="173" t="s">
        <v>767</v>
      </c>
      <c r="G2082" s="130"/>
      <c r="H2082" s="157">
        <f>I2084-H2083</f>
        <v>167593.03</v>
      </c>
      <c r="I2082" s="10"/>
      <c r="J2082" s="79" t="e">
        <f t="shared" si="160"/>
        <v>#VALUE!</v>
      </c>
      <c r="K2082" s="106"/>
      <c r="L2082" s="141"/>
      <c r="M2082" s="132"/>
      <c r="N2082" s="133"/>
      <c r="O2082" s="4"/>
      <c r="P2082" s="4"/>
      <c r="Q2082" s="4"/>
      <c r="R2082" s="4"/>
      <c r="S2082" s="4"/>
      <c r="T2082" s="4"/>
      <c r="U2082" s="4"/>
      <c r="V2082" s="4"/>
      <c r="W2082" s="4"/>
      <c r="X2082" s="4"/>
    </row>
    <row r="2083" spans="1:24" ht="14.25" customHeight="1">
      <c r="A2083" s="4"/>
      <c r="B2083" s="125">
        <v>46185</v>
      </c>
      <c r="C2083" s="126" t="s">
        <v>766</v>
      </c>
      <c r="D2083" s="15" t="s">
        <v>124</v>
      </c>
      <c r="E2083" s="10" t="str">
        <f>TRIM(VLOOKUP(D2083,TB!$B$9:$C$1500,2,FALSE))</f>
        <v>Bank charges</v>
      </c>
      <c r="F2083" s="173" t="str">
        <f t="shared" ref="F2083:F2084" si="163">F2082</f>
        <v>BCA QR  10-06-2026</v>
      </c>
      <c r="G2083" s="130"/>
      <c r="H2083" s="157">
        <f>I2084*1.8%</f>
        <v>3071.9700000000003</v>
      </c>
      <c r="I2083" s="10"/>
      <c r="J2083" s="79" t="e">
        <f t="shared" si="160"/>
        <v>#VALUE!</v>
      </c>
      <c r="K2083" s="106"/>
      <c r="L2083" s="141"/>
      <c r="M2083" s="132"/>
      <c r="N2083" s="133"/>
      <c r="O2083" s="4"/>
      <c r="P2083" s="4"/>
      <c r="Q2083" s="4"/>
      <c r="R2083" s="4"/>
      <c r="S2083" s="4"/>
      <c r="T2083" s="4"/>
      <c r="U2083" s="4"/>
      <c r="V2083" s="4"/>
      <c r="W2083" s="4"/>
      <c r="X2083" s="4"/>
    </row>
    <row r="2084" spans="1:24" ht="14.25" customHeight="1">
      <c r="A2084" s="4"/>
      <c r="B2084" s="125">
        <v>46185</v>
      </c>
      <c r="C2084" s="126" t="s">
        <v>766</v>
      </c>
      <c r="D2084" s="15" t="s">
        <v>42</v>
      </c>
      <c r="E2084" s="10" t="str">
        <f>TRIM(VLOOKUP(D2084,TB!$B$9:$C$1500,2,FALSE))</f>
        <v>BCA Card TBB</v>
      </c>
      <c r="F2084" s="173" t="str">
        <f t="shared" si="163"/>
        <v>BCA QR  10-06-2026</v>
      </c>
      <c r="G2084" s="130"/>
      <c r="H2084" s="10"/>
      <c r="I2084" s="10">
        <v>170665</v>
      </c>
      <c r="J2084" s="79" t="e">
        <f t="shared" si="160"/>
        <v>#VALUE!</v>
      </c>
      <c r="K2084" s="106"/>
      <c r="L2084" s="141"/>
      <c r="M2084" s="132"/>
      <c r="N2084" s="133"/>
      <c r="O2084" s="4"/>
      <c r="P2084" s="4"/>
      <c r="Q2084" s="4"/>
      <c r="R2084" s="4"/>
      <c r="S2084" s="4"/>
      <c r="T2084" s="4"/>
      <c r="U2084" s="4"/>
      <c r="V2084" s="4"/>
      <c r="W2084" s="4"/>
      <c r="X2084" s="4"/>
    </row>
    <row r="2085" spans="1:24" ht="14.25" customHeight="1">
      <c r="A2085" s="4"/>
      <c r="B2085" s="125"/>
      <c r="C2085" s="126"/>
      <c r="D2085" s="159"/>
      <c r="E2085" s="10" t="e">
        <f>TRIM(VLOOKUP(D2085,TB!$B$9:$C$1500,2,FALSE))</f>
        <v>#N/A</v>
      </c>
      <c r="F2085" s="173"/>
      <c r="G2085" s="130"/>
      <c r="H2085" s="10"/>
      <c r="I2085" s="10">
        <f t="shared" ref="I2085:I2086" si="164">SUM(H2084)</f>
        <v>0</v>
      </c>
      <c r="J2085" s="79" t="e">
        <f t="shared" si="160"/>
        <v>#VALUE!</v>
      </c>
      <c r="K2085" s="106"/>
      <c r="L2085" s="141"/>
      <c r="M2085" s="132"/>
      <c r="N2085" s="133"/>
      <c r="O2085" s="4"/>
      <c r="P2085" s="4"/>
      <c r="Q2085" s="4"/>
      <c r="R2085" s="4"/>
      <c r="S2085" s="4"/>
      <c r="T2085" s="4"/>
      <c r="U2085" s="4"/>
      <c r="V2085" s="4"/>
      <c r="W2085" s="4"/>
      <c r="X2085" s="4"/>
    </row>
    <row r="2086" spans="1:24" ht="14.25" customHeight="1">
      <c r="A2086" s="4"/>
      <c r="B2086" s="125">
        <v>46185</v>
      </c>
      <c r="C2086" s="126" t="s">
        <v>768</v>
      </c>
      <c r="D2086" s="68" t="s">
        <v>285</v>
      </c>
      <c r="E2086" s="10" t="str">
        <f>TRIM(VLOOKUP(D2086,TB!$B$9:$C$1500,2,FALSE))</f>
        <v>Misc Cash Purchase</v>
      </c>
      <c r="F2086" s="173" t="s">
        <v>769</v>
      </c>
      <c r="G2086" s="130"/>
      <c r="H2086" s="10">
        <v>6500000</v>
      </c>
      <c r="I2086" s="10">
        <f t="shared" si="164"/>
        <v>0</v>
      </c>
      <c r="J2086" s="79" t="e">
        <f t="shared" si="160"/>
        <v>#VALUE!</v>
      </c>
      <c r="K2086" s="106"/>
      <c r="L2086" s="141"/>
      <c r="M2086" s="132"/>
      <c r="N2086" s="133"/>
      <c r="O2086" s="4"/>
      <c r="P2086" s="4"/>
      <c r="Q2086" s="4"/>
      <c r="R2086" s="4"/>
      <c r="S2086" s="4"/>
      <c r="T2086" s="4"/>
      <c r="U2086" s="4"/>
      <c r="V2086" s="4"/>
      <c r="W2086" s="4"/>
      <c r="X2086" s="4"/>
    </row>
    <row r="2087" spans="1:24" ht="14.25" customHeight="1">
      <c r="A2087" s="4"/>
      <c r="B2087" s="125">
        <v>46185</v>
      </c>
      <c r="C2087" s="126" t="s">
        <v>768</v>
      </c>
      <c r="D2087" s="15" t="s">
        <v>124</v>
      </c>
      <c r="E2087" s="10" t="str">
        <f>TRIM(VLOOKUP(D2087,TB!$B$9:$C$1500,2,FALSE))</f>
        <v>Bank charges</v>
      </c>
      <c r="F2087" s="173" t="s">
        <v>769</v>
      </c>
      <c r="G2087" s="130"/>
      <c r="H2087" s="10">
        <v>2500</v>
      </c>
      <c r="I2087" s="10"/>
      <c r="J2087" s="79" t="e">
        <f t="shared" si="160"/>
        <v>#VALUE!</v>
      </c>
      <c r="K2087" s="106"/>
      <c r="L2087" s="141"/>
      <c r="M2087" s="132"/>
      <c r="N2087" s="133"/>
      <c r="O2087" s="4"/>
      <c r="P2087" s="4"/>
      <c r="Q2087" s="4"/>
      <c r="R2087" s="4"/>
      <c r="S2087" s="4"/>
      <c r="T2087" s="4"/>
      <c r="U2087" s="4"/>
      <c r="V2087" s="4"/>
      <c r="W2087" s="4"/>
      <c r="X2087" s="4"/>
    </row>
    <row r="2088" spans="1:24" ht="14.25" customHeight="1">
      <c r="A2088" s="4"/>
      <c r="B2088" s="125">
        <v>46185</v>
      </c>
      <c r="C2088" s="126" t="s">
        <v>768</v>
      </c>
      <c r="D2088" s="68" t="s">
        <v>130</v>
      </c>
      <c r="E2088" s="10" t="str">
        <f>TRIM(VLOOKUP(D2088,TB!$B$9:$C$1500,2,FALSE))</f>
        <v>BCA TBB</v>
      </c>
      <c r="F2088" s="173" t="str">
        <f>F2086</f>
        <v>Pt. Galang Dananjaya Bali - Inv. 054 - 26 Mei 2026 (Ijin Motor Diesel)</v>
      </c>
      <c r="G2088" s="130"/>
      <c r="H2088" s="10"/>
      <c r="I2088" s="10">
        <f>SUM(H2086:H2087)</f>
        <v>6502500</v>
      </c>
      <c r="J2088" s="79" t="e">
        <f t="shared" si="160"/>
        <v>#VALUE!</v>
      </c>
      <c r="K2088" s="106"/>
      <c r="L2088" s="141"/>
      <c r="M2088" s="132"/>
      <c r="N2088" s="133"/>
      <c r="O2088" s="4"/>
      <c r="P2088" s="4"/>
      <c r="Q2088" s="4"/>
      <c r="R2088" s="4"/>
      <c r="S2088" s="4"/>
      <c r="T2088" s="4"/>
      <c r="U2088" s="4"/>
      <c r="V2088" s="4"/>
      <c r="W2088" s="4"/>
      <c r="X2088" s="4"/>
    </row>
    <row r="2089" spans="1:24" ht="14.25" customHeight="1">
      <c r="A2089" s="4"/>
      <c r="B2089" s="125"/>
      <c r="C2089" s="126"/>
      <c r="D2089" s="159"/>
      <c r="E2089" s="10" t="e">
        <f>TRIM(VLOOKUP(D2089,TB!$B$9:$C$1500,2,FALSE))</f>
        <v>#N/A</v>
      </c>
      <c r="F2089" s="173"/>
      <c r="G2089" s="130"/>
      <c r="H2089" s="10"/>
      <c r="I2089" s="10">
        <f t="shared" ref="I2089:I2093" si="165">SUM(H2088)</f>
        <v>0</v>
      </c>
      <c r="J2089" s="79" t="e">
        <f t="shared" si="160"/>
        <v>#VALUE!</v>
      </c>
      <c r="K2089" s="106"/>
      <c r="L2089" s="141"/>
      <c r="M2089" s="132"/>
      <c r="N2089" s="133"/>
      <c r="O2089" s="4"/>
      <c r="P2089" s="4"/>
      <c r="Q2089" s="4"/>
      <c r="R2089" s="4"/>
      <c r="S2089" s="4"/>
      <c r="T2089" s="4"/>
      <c r="U2089" s="4"/>
      <c r="V2089" s="4"/>
      <c r="W2089" s="4"/>
      <c r="X2089" s="4"/>
    </row>
    <row r="2090" spans="1:24" ht="14.25" customHeight="1">
      <c r="A2090" s="4"/>
      <c r="B2090" s="125">
        <v>46185</v>
      </c>
      <c r="C2090" s="126" t="s">
        <v>770</v>
      </c>
      <c r="D2090" s="68" t="s">
        <v>285</v>
      </c>
      <c r="E2090" s="10" t="str">
        <f>TRIM(VLOOKUP(D2090,TB!$B$9:$C$1500,2,FALSE))</f>
        <v>Misc Cash Purchase</v>
      </c>
      <c r="F2090" s="173" t="s">
        <v>771</v>
      </c>
      <c r="G2090" s="130"/>
      <c r="H2090" s="10">
        <v>4198500</v>
      </c>
      <c r="I2090" s="10">
        <f t="shared" si="165"/>
        <v>0</v>
      </c>
      <c r="J2090" s="79" t="e">
        <f t="shared" si="160"/>
        <v>#VALUE!</v>
      </c>
      <c r="K2090" s="106"/>
      <c r="L2090" s="141"/>
      <c r="M2090" s="132"/>
      <c r="N2090" s="133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spans="1:24" ht="14.25" customHeight="1">
      <c r="A2091" s="4"/>
      <c r="B2091" s="125">
        <v>46185</v>
      </c>
      <c r="C2091" s="126" t="s">
        <v>770</v>
      </c>
      <c r="D2091" s="68" t="s">
        <v>130</v>
      </c>
      <c r="E2091" s="10" t="str">
        <f>TRIM(VLOOKUP(D2091,TB!$B$9:$C$1500,2,FALSE))</f>
        <v>BCA TBB</v>
      </c>
      <c r="F2091" s="173" t="str">
        <f>F2090</f>
        <v>Mi Bpsbli X - Inv. 0032 - 25 Mar 26</v>
      </c>
      <c r="G2091" s="130"/>
      <c r="H2091" s="10"/>
      <c r="I2091" s="10">
        <f t="shared" si="165"/>
        <v>4198500</v>
      </c>
      <c r="J2091" s="79" t="e">
        <f t="shared" si="160"/>
        <v>#VALUE!</v>
      </c>
      <c r="K2091" s="106"/>
      <c r="L2091" s="141"/>
      <c r="M2091" s="132"/>
      <c r="N2091" s="133"/>
      <c r="O2091" s="4"/>
      <c r="P2091" s="4"/>
      <c r="Q2091" s="4"/>
      <c r="R2091" s="4"/>
      <c r="S2091" s="4"/>
      <c r="T2091" s="4"/>
      <c r="U2091" s="4"/>
      <c r="V2091" s="4"/>
      <c r="W2091" s="4"/>
      <c r="X2091" s="4"/>
    </row>
    <row r="2092" spans="1:24" ht="14.25" customHeight="1">
      <c r="A2092" s="4"/>
      <c r="B2092" s="125"/>
      <c r="C2092" s="126"/>
      <c r="D2092" s="159"/>
      <c r="E2092" s="10" t="e">
        <f>TRIM(VLOOKUP(D2092,TB!$B$9:$C$1500,2,FALSE))</f>
        <v>#N/A</v>
      </c>
      <c r="F2092" s="173"/>
      <c r="G2092" s="130"/>
      <c r="H2092" s="10"/>
      <c r="I2092" s="10">
        <f t="shared" si="165"/>
        <v>0</v>
      </c>
      <c r="J2092" s="79" t="e">
        <f t="shared" si="160"/>
        <v>#VALUE!</v>
      </c>
      <c r="K2092" s="106"/>
      <c r="L2092" s="141"/>
      <c r="M2092" s="132"/>
      <c r="N2092" s="133"/>
      <c r="O2092" s="4"/>
      <c r="P2092" s="4"/>
      <c r="Q2092" s="4"/>
      <c r="R2092" s="4"/>
      <c r="S2092" s="4"/>
      <c r="T2092" s="4"/>
      <c r="U2092" s="4"/>
      <c r="V2092" s="4"/>
      <c r="W2092" s="4"/>
      <c r="X2092" s="4"/>
    </row>
    <row r="2093" spans="1:24" ht="14.25" customHeight="1">
      <c r="A2093" s="4"/>
      <c r="B2093" s="125">
        <v>46186</v>
      </c>
      <c r="C2093" s="126" t="s">
        <v>772</v>
      </c>
      <c r="D2093" s="68" t="s">
        <v>130</v>
      </c>
      <c r="E2093" s="10" t="str">
        <f>TRIM(VLOOKUP(D2093,TB!$B$9:$C$1500,2,FALSE))</f>
        <v>BCA TBB</v>
      </c>
      <c r="F2093" s="173" t="s">
        <v>773</v>
      </c>
      <c r="G2093" s="130"/>
      <c r="H2093" s="157">
        <f>I2095-H2094</f>
        <v>2024559.94</v>
      </c>
      <c r="I2093" s="10">
        <f t="shared" si="165"/>
        <v>0</v>
      </c>
      <c r="J2093" s="79" t="e">
        <f t="shared" si="160"/>
        <v>#VALUE!</v>
      </c>
      <c r="K2093" s="106"/>
      <c r="L2093" s="141"/>
      <c r="M2093" s="132"/>
      <c r="N2093" s="133"/>
      <c r="O2093" s="4"/>
      <c r="P2093" s="4"/>
      <c r="Q2093" s="4"/>
      <c r="R2093" s="4"/>
      <c r="S2093" s="4"/>
      <c r="T2093" s="4"/>
      <c r="U2093" s="4"/>
      <c r="V2093" s="4"/>
      <c r="W2093" s="4"/>
      <c r="X2093" s="4"/>
    </row>
    <row r="2094" spans="1:24" ht="14.25" customHeight="1">
      <c r="A2094" s="4"/>
      <c r="B2094" s="125">
        <v>46186</v>
      </c>
      <c r="C2094" s="126" t="s">
        <v>772</v>
      </c>
      <c r="D2094" s="15" t="s">
        <v>124</v>
      </c>
      <c r="E2094" s="10" t="str">
        <f>TRIM(VLOOKUP(D2094,TB!$B$9:$C$1500,2,FALSE))</f>
        <v>Bank charges</v>
      </c>
      <c r="F2094" s="173" t="str">
        <f t="shared" ref="F2094:F2095" si="166">F2093</f>
        <v>BCA CC  11-06-2026</v>
      </c>
      <c r="G2094" s="130"/>
      <c r="H2094" s="157">
        <f>I2095*1.8%</f>
        <v>37110.060000000005</v>
      </c>
      <c r="I2094" s="10"/>
      <c r="J2094" s="79" t="e">
        <f t="shared" si="160"/>
        <v>#VALUE!</v>
      </c>
      <c r="K2094" s="106"/>
      <c r="L2094" s="141"/>
      <c r="M2094" s="132"/>
      <c r="N2094" s="133"/>
      <c r="O2094" s="4"/>
      <c r="P2094" s="4"/>
      <c r="Q2094" s="4"/>
      <c r="R2094" s="4"/>
      <c r="S2094" s="4"/>
      <c r="T2094" s="4"/>
      <c r="U2094" s="4"/>
      <c r="V2094" s="4"/>
      <c r="W2094" s="4"/>
      <c r="X2094" s="4"/>
    </row>
    <row r="2095" spans="1:24" ht="14.25" customHeight="1">
      <c r="A2095" s="4"/>
      <c r="B2095" s="125">
        <v>46186</v>
      </c>
      <c r="C2095" s="126" t="s">
        <v>772</v>
      </c>
      <c r="D2095" s="15" t="s">
        <v>42</v>
      </c>
      <c r="E2095" s="10" t="str">
        <f>TRIM(VLOOKUP(D2095,TB!$B$9:$C$1500,2,FALSE))</f>
        <v>BCA Card TBB</v>
      </c>
      <c r="F2095" s="173" t="str">
        <f t="shared" si="166"/>
        <v>BCA CC  11-06-2026</v>
      </c>
      <c r="G2095" s="130"/>
      <c r="H2095" s="10"/>
      <c r="I2095" s="10">
        <v>2061670</v>
      </c>
      <c r="J2095" s="79" t="e">
        <f t="shared" si="160"/>
        <v>#VALUE!</v>
      </c>
      <c r="K2095" s="106"/>
      <c r="L2095" s="141"/>
      <c r="M2095" s="132"/>
      <c r="N2095" s="133"/>
      <c r="O2095" s="4"/>
      <c r="P2095" s="4"/>
      <c r="Q2095" s="4"/>
      <c r="R2095" s="4"/>
      <c r="S2095" s="4"/>
      <c r="T2095" s="4"/>
      <c r="U2095" s="4"/>
      <c r="V2095" s="4"/>
      <c r="W2095" s="4"/>
      <c r="X2095" s="4"/>
    </row>
    <row r="2096" spans="1:24" ht="14.25" customHeight="1">
      <c r="A2096" s="4"/>
      <c r="B2096" s="125"/>
      <c r="C2096" s="126"/>
      <c r="D2096" s="15"/>
      <c r="E2096" s="10" t="e">
        <f>TRIM(VLOOKUP(D2096,TB!$B$9:$C$1500,2,FALSE))</f>
        <v>#N/A</v>
      </c>
      <c r="F2096" s="173"/>
      <c r="G2096" s="130"/>
      <c r="H2096" s="10"/>
      <c r="I2096" s="10"/>
      <c r="J2096" s="79" t="e">
        <f t="shared" si="160"/>
        <v>#VALUE!</v>
      </c>
      <c r="K2096" s="106"/>
      <c r="L2096" s="141"/>
      <c r="M2096" s="132"/>
      <c r="N2096" s="133"/>
      <c r="O2096" s="4"/>
      <c r="P2096" s="4"/>
      <c r="Q2096" s="4"/>
      <c r="R2096" s="4"/>
      <c r="S2096" s="4"/>
      <c r="T2096" s="4"/>
      <c r="U2096" s="4"/>
      <c r="V2096" s="4"/>
      <c r="W2096" s="4"/>
      <c r="X2096" s="4"/>
    </row>
    <row r="2097" spans="1:24" ht="14.25" customHeight="1">
      <c r="A2097" s="4"/>
      <c r="B2097" s="125">
        <v>46186</v>
      </c>
      <c r="C2097" s="126" t="s">
        <v>774</v>
      </c>
      <c r="D2097" s="68" t="s">
        <v>130</v>
      </c>
      <c r="E2097" s="10" t="str">
        <f>TRIM(VLOOKUP(D2097,TB!$B$9:$C$1500,2,FALSE))</f>
        <v>BCA TBB</v>
      </c>
      <c r="F2097" s="173" t="s">
        <v>775</v>
      </c>
      <c r="G2097" s="130"/>
      <c r="H2097" s="157">
        <f>I2099-H2098</f>
        <v>1358081.45</v>
      </c>
      <c r="I2097" s="10"/>
      <c r="J2097" s="79" t="e">
        <f t="shared" si="160"/>
        <v>#VALUE!</v>
      </c>
      <c r="K2097" s="106"/>
      <c r="L2097" s="141"/>
      <c r="M2097" s="132"/>
      <c r="N2097" s="133"/>
      <c r="O2097" s="4"/>
      <c r="P2097" s="4"/>
      <c r="Q2097" s="4"/>
      <c r="R2097" s="4"/>
      <c r="S2097" s="4"/>
      <c r="T2097" s="4"/>
      <c r="U2097" s="4"/>
      <c r="V2097" s="4"/>
      <c r="W2097" s="4"/>
      <c r="X2097" s="4"/>
    </row>
    <row r="2098" spans="1:24" ht="14.25" customHeight="1">
      <c r="A2098" s="4"/>
      <c r="B2098" s="125">
        <v>46186</v>
      </c>
      <c r="C2098" s="126" t="s">
        <v>774</v>
      </c>
      <c r="D2098" s="15" t="s">
        <v>124</v>
      </c>
      <c r="E2098" s="10" t="str">
        <f>TRIM(VLOOKUP(D2098,TB!$B$9:$C$1500,2,FALSE))</f>
        <v>Bank charges</v>
      </c>
      <c r="F2098" s="173" t="str">
        <f t="shared" ref="F2098:F2099" si="167">F2097</f>
        <v>BCA DEBT 11-06-2026</v>
      </c>
      <c r="G2098" s="130"/>
      <c r="H2098" s="157">
        <f>I2099*1.8%</f>
        <v>24893.550000000003</v>
      </c>
      <c r="I2098" s="10"/>
      <c r="J2098" s="79" t="e">
        <f t="shared" si="160"/>
        <v>#VALUE!</v>
      </c>
      <c r="K2098" s="106"/>
      <c r="L2098" s="141"/>
      <c r="M2098" s="132"/>
      <c r="N2098" s="133"/>
      <c r="O2098" s="4"/>
      <c r="P2098" s="4"/>
      <c r="Q2098" s="4"/>
      <c r="R2098" s="4"/>
      <c r="S2098" s="4"/>
      <c r="T2098" s="4"/>
      <c r="U2098" s="4"/>
      <c r="V2098" s="4"/>
      <c r="W2098" s="4"/>
      <c r="X2098" s="4"/>
    </row>
    <row r="2099" spans="1:24" ht="14.25" customHeight="1">
      <c r="A2099" s="4"/>
      <c r="B2099" s="125">
        <v>46186</v>
      </c>
      <c r="C2099" s="126" t="s">
        <v>774</v>
      </c>
      <c r="D2099" s="15" t="s">
        <v>42</v>
      </c>
      <c r="E2099" s="10" t="str">
        <f>TRIM(VLOOKUP(D2099,TB!$B$9:$C$1500,2,FALSE))</f>
        <v>BCA Card TBB</v>
      </c>
      <c r="F2099" s="173" t="str">
        <f t="shared" si="167"/>
        <v>BCA DEBT 11-06-2026</v>
      </c>
      <c r="G2099" s="130"/>
      <c r="H2099" s="10"/>
      <c r="I2099" s="10">
        <v>1382975</v>
      </c>
      <c r="J2099" s="79" t="e">
        <f t="shared" si="160"/>
        <v>#VALUE!</v>
      </c>
      <c r="K2099" s="106"/>
      <c r="L2099" s="141"/>
      <c r="M2099" s="132"/>
      <c r="N2099" s="133"/>
      <c r="O2099" s="4"/>
      <c r="P2099" s="4"/>
      <c r="Q2099" s="4"/>
      <c r="R2099" s="4"/>
      <c r="S2099" s="4"/>
      <c r="T2099" s="4"/>
      <c r="U2099" s="4"/>
      <c r="V2099" s="4"/>
      <c r="W2099" s="4"/>
      <c r="X2099" s="4"/>
    </row>
    <row r="2100" spans="1:24" ht="14.25" customHeight="1">
      <c r="A2100" s="4"/>
      <c r="B2100" s="125"/>
      <c r="C2100" s="126"/>
      <c r="D2100" s="159"/>
      <c r="E2100" s="10" t="e">
        <f>TRIM(VLOOKUP(D2100,TB!$B$9:$C$1500,2,FALSE))</f>
        <v>#N/A</v>
      </c>
      <c r="F2100" s="173"/>
      <c r="G2100" s="130"/>
      <c r="H2100" s="10"/>
      <c r="I2100" s="10"/>
      <c r="J2100" s="79" t="e">
        <f t="shared" si="160"/>
        <v>#VALUE!</v>
      </c>
      <c r="K2100" s="106"/>
      <c r="L2100" s="141"/>
      <c r="M2100" s="132"/>
      <c r="N2100" s="133"/>
      <c r="O2100" s="4"/>
      <c r="P2100" s="4"/>
      <c r="Q2100" s="4"/>
      <c r="R2100" s="4"/>
      <c r="S2100" s="4"/>
      <c r="T2100" s="4"/>
      <c r="U2100" s="4"/>
      <c r="V2100" s="4"/>
      <c r="W2100" s="4"/>
      <c r="X2100" s="4"/>
    </row>
    <row r="2101" spans="1:24" ht="14.25" customHeight="1">
      <c r="A2101" s="4"/>
      <c r="B2101" s="125">
        <v>46186</v>
      </c>
      <c r="C2101" s="126" t="s">
        <v>776</v>
      </c>
      <c r="D2101" s="68" t="s">
        <v>130</v>
      </c>
      <c r="E2101" s="10" t="str">
        <f>TRIM(VLOOKUP(D2101,TB!$B$9:$C$1500,2,FALSE))</f>
        <v>BCA TBB</v>
      </c>
      <c r="F2101" s="173" t="s">
        <v>777</v>
      </c>
      <c r="G2101" s="130"/>
      <c r="H2101" s="157">
        <f>I2103-H2102</f>
        <v>208046.52</v>
      </c>
      <c r="I2101" s="10"/>
      <c r="J2101" s="79" t="e">
        <f t="shared" si="160"/>
        <v>#VALUE!</v>
      </c>
      <c r="K2101" s="106"/>
      <c r="L2101" s="141"/>
      <c r="M2101" s="132"/>
      <c r="N2101" s="133"/>
      <c r="O2101" s="4"/>
      <c r="P2101" s="4"/>
      <c r="Q2101" s="4"/>
      <c r="R2101" s="4"/>
      <c r="S2101" s="4"/>
      <c r="T2101" s="4"/>
      <c r="U2101" s="4"/>
      <c r="V2101" s="4"/>
      <c r="W2101" s="4"/>
      <c r="X2101" s="4"/>
    </row>
    <row r="2102" spans="1:24" ht="14.25" customHeight="1">
      <c r="A2102" s="4"/>
      <c r="B2102" s="125">
        <v>46186</v>
      </c>
      <c r="C2102" s="126" t="s">
        <v>776</v>
      </c>
      <c r="D2102" s="15" t="s">
        <v>124</v>
      </c>
      <c r="E2102" s="10" t="str">
        <f>TRIM(VLOOKUP(D2102,TB!$B$9:$C$1500,2,FALSE))</f>
        <v>Bank charges</v>
      </c>
      <c r="F2102" s="173" t="str">
        <f t="shared" ref="F2102:F2103" si="168">F2101</f>
        <v>BCA QR  11-06-2026</v>
      </c>
      <c r="G2102" s="130"/>
      <c r="H2102" s="157">
        <f>I2103*1.8%</f>
        <v>3813.4800000000005</v>
      </c>
      <c r="I2102" s="10"/>
      <c r="J2102" s="79" t="e">
        <f t="shared" si="160"/>
        <v>#VALUE!</v>
      </c>
      <c r="K2102" s="106"/>
      <c r="L2102" s="141"/>
      <c r="M2102" s="132"/>
      <c r="N2102" s="133"/>
      <c r="O2102" s="4"/>
      <c r="P2102" s="4"/>
      <c r="Q2102" s="4"/>
      <c r="R2102" s="4"/>
      <c r="S2102" s="4"/>
      <c r="T2102" s="4"/>
      <c r="U2102" s="4"/>
      <c r="V2102" s="4"/>
      <c r="W2102" s="4"/>
      <c r="X2102" s="4"/>
    </row>
    <row r="2103" spans="1:24" ht="14.25" customHeight="1">
      <c r="A2103" s="4"/>
      <c r="B2103" s="125">
        <v>46186</v>
      </c>
      <c r="C2103" s="126" t="s">
        <v>776</v>
      </c>
      <c r="D2103" s="15" t="s">
        <v>42</v>
      </c>
      <c r="E2103" s="10" t="str">
        <f>TRIM(VLOOKUP(D2103,TB!$B$9:$C$1500,2,FALSE))</f>
        <v>BCA Card TBB</v>
      </c>
      <c r="F2103" s="173" t="str">
        <f t="shared" si="168"/>
        <v>BCA QR  11-06-2026</v>
      </c>
      <c r="G2103" s="130"/>
      <c r="H2103" s="10"/>
      <c r="I2103" s="10">
        <v>211860</v>
      </c>
      <c r="J2103" s="79" t="e">
        <f t="shared" si="160"/>
        <v>#VALUE!</v>
      </c>
      <c r="K2103" s="106"/>
      <c r="L2103" s="141"/>
      <c r="M2103" s="132"/>
      <c r="N2103" s="133"/>
      <c r="O2103" s="4"/>
      <c r="P2103" s="4"/>
      <c r="Q2103" s="4"/>
      <c r="R2103" s="4"/>
      <c r="S2103" s="4"/>
      <c r="T2103" s="4"/>
      <c r="U2103" s="4"/>
      <c r="V2103" s="4"/>
      <c r="W2103" s="4"/>
      <c r="X2103" s="4"/>
    </row>
    <row r="2104" spans="1:24" ht="14.25" customHeight="1">
      <c r="A2104" s="4"/>
      <c r="B2104" s="125"/>
      <c r="C2104" s="126"/>
      <c r="D2104" s="159"/>
      <c r="E2104" s="10" t="e">
        <f>TRIM(VLOOKUP(D2104,TB!$B$9:$C$1500,2,FALSE))</f>
        <v>#N/A</v>
      </c>
      <c r="F2104" s="173"/>
      <c r="G2104" s="130"/>
      <c r="H2104" s="10"/>
      <c r="I2104" s="10">
        <f>SUM(H2103)</f>
        <v>0</v>
      </c>
      <c r="J2104" s="79" t="e">
        <f t="shared" si="160"/>
        <v>#VALUE!</v>
      </c>
      <c r="K2104" s="106"/>
      <c r="L2104" s="141"/>
      <c r="M2104" s="132"/>
      <c r="N2104" s="133"/>
      <c r="O2104" s="4"/>
      <c r="P2104" s="4"/>
      <c r="Q2104" s="4"/>
      <c r="R2104" s="4"/>
      <c r="S2104" s="4"/>
      <c r="T2104" s="4"/>
      <c r="U2104" s="4"/>
      <c r="V2104" s="4"/>
      <c r="W2104" s="4"/>
      <c r="X2104" s="4"/>
    </row>
    <row r="2105" spans="1:24" ht="14.25" customHeight="1">
      <c r="A2105" s="4"/>
      <c r="B2105" s="125">
        <v>46186</v>
      </c>
      <c r="C2105" s="126" t="s">
        <v>778</v>
      </c>
      <c r="D2105" s="68" t="s">
        <v>130</v>
      </c>
      <c r="E2105" s="10" t="str">
        <f>TRIM(VLOOKUP(D2105,TB!$B$9:$C$1500,2,FALSE))</f>
        <v>BCA TBB</v>
      </c>
      <c r="F2105" s="142" t="s">
        <v>779</v>
      </c>
      <c r="G2105" s="130"/>
      <c r="H2105" s="182">
        <v>2000000</v>
      </c>
      <c r="I2105" s="10"/>
      <c r="J2105" s="79" t="e">
        <f t="shared" si="160"/>
        <v>#VALUE!</v>
      </c>
      <c r="K2105" s="106"/>
      <c r="L2105" s="141"/>
      <c r="M2105" s="132"/>
      <c r="N2105" s="133"/>
      <c r="O2105" s="4"/>
      <c r="P2105" s="4"/>
      <c r="Q2105" s="4"/>
      <c r="R2105" s="4"/>
      <c r="S2105" s="4"/>
      <c r="T2105" s="4"/>
      <c r="U2105" s="4"/>
      <c r="V2105" s="4"/>
      <c r="W2105" s="4"/>
      <c r="X2105" s="4"/>
    </row>
    <row r="2106" spans="1:24" ht="14.25" customHeight="1">
      <c r="A2106" s="4"/>
      <c r="B2106" s="125">
        <v>46186</v>
      </c>
      <c r="C2106" s="126" t="s">
        <v>778</v>
      </c>
      <c r="D2106" s="15" t="s">
        <v>124</v>
      </c>
      <c r="E2106" s="10" t="str">
        <f>TRIM(VLOOKUP(D2106,TB!$B$9:$C$1500,2,FALSE))</f>
        <v>Bank charges</v>
      </c>
      <c r="F2106" s="142" t="s">
        <v>779</v>
      </c>
      <c r="G2106" s="130"/>
      <c r="H2106" s="157"/>
      <c r="I2106" s="10">
        <v>2510</v>
      </c>
      <c r="J2106" s="79" t="e">
        <f t="shared" si="160"/>
        <v>#VALUE!</v>
      </c>
      <c r="K2106" s="106"/>
      <c r="L2106" s="141"/>
      <c r="M2106" s="132"/>
      <c r="N2106" s="133"/>
      <c r="O2106" s="4"/>
      <c r="P2106" s="4"/>
      <c r="Q2106" s="4"/>
      <c r="R2106" s="4"/>
      <c r="S2106" s="4"/>
      <c r="T2106" s="4"/>
      <c r="U2106" s="4"/>
      <c r="V2106" s="4"/>
      <c r="W2106" s="4"/>
      <c r="X2106" s="4"/>
    </row>
    <row r="2107" spans="1:24" ht="14.25" customHeight="1">
      <c r="A2107" s="4"/>
      <c r="B2107" s="125">
        <v>46186</v>
      </c>
      <c r="C2107" s="126" t="s">
        <v>778</v>
      </c>
      <c r="D2107" s="15" t="s">
        <v>42</v>
      </c>
      <c r="E2107" s="10" t="str">
        <f>TRIM(VLOOKUP(D2107,TB!$B$9:$C$1500,2,FALSE))</f>
        <v>BCA Card TBB</v>
      </c>
      <c r="F2107" s="142" t="s">
        <v>779</v>
      </c>
      <c r="G2107" s="130"/>
      <c r="H2107" s="157"/>
      <c r="I2107" s="10">
        <v>1997490</v>
      </c>
      <c r="J2107" s="79" t="e">
        <f t="shared" si="160"/>
        <v>#VALUE!</v>
      </c>
      <c r="K2107" s="106"/>
      <c r="L2107" s="141"/>
      <c r="M2107" s="132"/>
      <c r="N2107" s="133"/>
      <c r="O2107" s="4"/>
      <c r="P2107" s="4"/>
      <c r="Q2107" s="4"/>
      <c r="R2107" s="4"/>
      <c r="S2107" s="4"/>
      <c r="T2107" s="4"/>
      <c r="U2107" s="4"/>
      <c r="V2107" s="4"/>
      <c r="W2107" s="4"/>
      <c r="X2107" s="4"/>
    </row>
    <row r="2108" spans="1:24" ht="14.25" customHeight="1">
      <c r="A2108" s="4"/>
      <c r="B2108" s="125"/>
      <c r="C2108" s="126"/>
      <c r="D2108" s="159"/>
      <c r="E2108" s="10" t="e">
        <f>TRIM(VLOOKUP(D2108,TB!$B$9:$C$1500,2,FALSE))</f>
        <v>#N/A</v>
      </c>
      <c r="F2108" s="173"/>
      <c r="G2108" s="130"/>
      <c r="H2108" s="157"/>
      <c r="I2108" s="10"/>
      <c r="J2108" s="79" t="e">
        <f t="shared" si="160"/>
        <v>#VALUE!</v>
      </c>
      <c r="K2108" s="106"/>
      <c r="L2108" s="141"/>
      <c r="M2108" s="132"/>
      <c r="N2108" s="133"/>
      <c r="O2108" s="4"/>
      <c r="P2108" s="4"/>
      <c r="Q2108" s="4"/>
      <c r="R2108" s="4"/>
      <c r="S2108" s="4"/>
      <c r="T2108" s="4"/>
      <c r="U2108" s="4"/>
      <c r="V2108" s="4"/>
      <c r="W2108" s="4"/>
      <c r="X2108" s="4"/>
    </row>
    <row r="2109" spans="1:24" ht="14.25" customHeight="1">
      <c r="A2109" s="4"/>
      <c r="B2109" s="125">
        <v>46188</v>
      </c>
      <c r="C2109" s="126" t="s">
        <v>780</v>
      </c>
      <c r="D2109" s="68" t="s">
        <v>130</v>
      </c>
      <c r="E2109" s="10" t="str">
        <f>TRIM(VLOOKUP(D2109,TB!$B$9:$C$1500,2,FALSE))</f>
        <v>BCA TBB</v>
      </c>
      <c r="F2109" s="173" t="s">
        <v>781</v>
      </c>
      <c r="G2109" s="130"/>
      <c r="H2109" s="157">
        <f>I2111-H2110</f>
        <v>14443788.243999999</v>
      </c>
      <c r="I2109" s="10">
        <f>SUM(H2104)</f>
        <v>0</v>
      </c>
      <c r="J2109" s="79" t="e">
        <f t="shared" si="160"/>
        <v>#VALUE!</v>
      </c>
      <c r="K2109" s="106"/>
      <c r="L2109" s="141"/>
      <c r="M2109" s="132"/>
      <c r="N2109" s="133"/>
      <c r="O2109" s="4"/>
      <c r="P2109" s="4"/>
      <c r="Q2109" s="4"/>
      <c r="R2109" s="4"/>
      <c r="S2109" s="4"/>
      <c r="T2109" s="4"/>
      <c r="U2109" s="4"/>
      <c r="V2109" s="4"/>
      <c r="W2109" s="4"/>
      <c r="X2109" s="4"/>
    </row>
    <row r="2110" spans="1:24" ht="14.25" customHeight="1">
      <c r="A2110" s="4"/>
      <c r="B2110" s="125">
        <v>46188</v>
      </c>
      <c r="C2110" s="126" t="s">
        <v>780</v>
      </c>
      <c r="D2110" s="15" t="s">
        <v>124</v>
      </c>
      <c r="E2110" s="10" t="str">
        <f>TRIM(VLOOKUP(D2110,TB!$B$9:$C$1500,2,FALSE))</f>
        <v>Bank charges</v>
      </c>
      <c r="F2110" s="173" t="str">
        <f t="shared" ref="F2110:F2111" si="169">F2109</f>
        <v>BCA CC  12-06-2026</v>
      </c>
      <c r="G2110" s="130"/>
      <c r="H2110" s="157">
        <f>I2111*1.8%</f>
        <v>264753.75600000005</v>
      </c>
      <c r="I2110" s="10"/>
      <c r="J2110" s="79" t="e">
        <f t="shared" si="160"/>
        <v>#VALUE!</v>
      </c>
      <c r="K2110" s="106"/>
      <c r="L2110" s="141"/>
      <c r="M2110" s="132"/>
      <c r="N2110" s="133"/>
      <c r="O2110" s="4"/>
      <c r="P2110" s="4"/>
      <c r="Q2110" s="4"/>
      <c r="R2110" s="4"/>
      <c r="S2110" s="4"/>
      <c r="T2110" s="4"/>
      <c r="U2110" s="4"/>
      <c r="V2110" s="4"/>
      <c r="W2110" s="4"/>
      <c r="X2110" s="4"/>
    </row>
    <row r="2111" spans="1:24" ht="14.25" customHeight="1">
      <c r="A2111" s="4"/>
      <c r="B2111" s="125">
        <v>46188</v>
      </c>
      <c r="C2111" s="126" t="s">
        <v>780</v>
      </c>
      <c r="D2111" s="15" t="s">
        <v>42</v>
      </c>
      <c r="E2111" s="10" t="str">
        <f>TRIM(VLOOKUP(D2111,TB!$B$9:$C$1500,2,FALSE))</f>
        <v>BCA Card TBB</v>
      </c>
      <c r="F2111" s="173" t="str">
        <f t="shared" si="169"/>
        <v>BCA CC  12-06-2026</v>
      </c>
      <c r="G2111" s="130"/>
      <c r="H2111" s="10"/>
      <c r="I2111" s="10">
        <v>14708542</v>
      </c>
      <c r="J2111" s="79" t="e">
        <f t="shared" si="160"/>
        <v>#VALUE!</v>
      </c>
      <c r="K2111" s="106"/>
      <c r="L2111" s="141"/>
      <c r="M2111" s="132"/>
      <c r="N2111" s="133"/>
      <c r="O2111" s="4"/>
      <c r="P2111" s="4"/>
      <c r="Q2111" s="4"/>
      <c r="R2111" s="4"/>
      <c r="S2111" s="4"/>
      <c r="T2111" s="4"/>
      <c r="U2111" s="4"/>
      <c r="V2111" s="4"/>
      <c r="W2111" s="4"/>
      <c r="X2111" s="4"/>
    </row>
    <row r="2112" spans="1:24" ht="14.25" customHeight="1">
      <c r="A2112" s="4"/>
      <c r="B2112" s="125"/>
      <c r="C2112" s="126"/>
      <c r="D2112" s="15"/>
      <c r="E2112" s="10" t="e">
        <f>TRIM(VLOOKUP(D2112,TB!$B$9:$C$1500,2,FALSE))</f>
        <v>#N/A</v>
      </c>
      <c r="F2112" s="173"/>
      <c r="G2112" s="130"/>
      <c r="H2112" s="10"/>
      <c r="I2112" s="10"/>
      <c r="J2112" s="79" t="e">
        <f t="shared" si="160"/>
        <v>#VALUE!</v>
      </c>
      <c r="K2112" s="106"/>
      <c r="L2112" s="141"/>
      <c r="M2112" s="132"/>
      <c r="N2112" s="133"/>
      <c r="O2112" s="4"/>
      <c r="P2112" s="4"/>
      <c r="Q2112" s="4"/>
      <c r="R2112" s="4"/>
      <c r="S2112" s="4"/>
      <c r="T2112" s="4"/>
      <c r="U2112" s="4"/>
      <c r="V2112" s="4"/>
      <c r="W2112" s="4"/>
      <c r="X2112" s="4"/>
    </row>
    <row r="2113" spans="1:24" ht="14.25" customHeight="1">
      <c r="A2113" s="4"/>
      <c r="B2113" s="125">
        <v>46188</v>
      </c>
      <c r="C2113" s="126" t="s">
        <v>782</v>
      </c>
      <c r="D2113" s="68" t="s">
        <v>130</v>
      </c>
      <c r="E2113" s="10" t="str">
        <f>TRIM(VLOOKUP(D2113,TB!$B$9:$C$1500,2,FALSE))</f>
        <v>BCA TBB</v>
      </c>
      <c r="F2113" s="173" t="s">
        <v>783</v>
      </c>
      <c r="G2113" s="130"/>
      <c r="H2113" s="157">
        <f>I2115-H2114</f>
        <v>3652372.24</v>
      </c>
      <c r="I2113" s="10"/>
      <c r="J2113" s="79" t="e">
        <f t="shared" si="160"/>
        <v>#VALUE!</v>
      </c>
      <c r="K2113" s="106"/>
      <c r="L2113" s="141"/>
      <c r="M2113" s="132"/>
      <c r="N2113" s="133"/>
      <c r="O2113" s="4"/>
      <c r="P2113" s="4"/>
      <c r="Q2113" s="4"/>
      <c r="R2113" s="4"/>
      <c r="S2113" s="4"/>
      <c r="T2113" s="4"/>
      <c r="U2113" s="4"/>
      <c r="V2113" s="4"/>
      <c r="W2113" s="4"/>
      <c r="X2113" s="4"/>
    </row>
    <row r="2114" spans="1:24" ht="14.25" customHeight="1">
      <c r="A2114" s="4"/>
      <c r="B2114" s="125">
        <v>46188</v>
      </c>
      <c r="C2114" s="126" t="s">
        <v>782</v>
      </c>
      <c r="D2114" s="15" t="s">
        <v>124</v>
      </c>
      <c r="E2114" s="10" t="str">
        <f>TRIM(VLOOKUP(D2114,TB!$B$9:$C$1500,2,FALSE))</f>
        <v>Bank charges</v>
      </c>
      <c r="F2114" s="173" t="str">
        <f t="shared" ref="F2114:F2115" si="170">F2113</f>
        <v>BCA DEBT 12-06-2026</v>
      </c>
      <c r="G2114" s="130"/>
      <c r="H2114" s="157">
        <f>I2115*1.8%</f>
        <v>66947.760000000009</v>
      </c>
      <c r="I2114" s="10"/>
      <c r="J2114" s="79" t="e">
        <f t="shared" si="160"/>
        <v>#VALUE!</v>
      </c>
      <c r="K2114" s="106"/>
      <c r="L2114" s="141"/>
      <c r="M2114" s="132"/>
      <c r="N2114" s="133"/>
      <c r="O2114" s="4"/>
      <c r="P2114" s="4"/>
      <c r="Q2114" s="4"/>
      <c r="R2114" s="4"/>
      <c r="S2114" s="4"/>
      <c r="T2114" s="4"/>
      <c r="U2114" s="4"/>
      <c r="V2114" s="4"/>
      <c r="W2114" s="4"/>
      <c r="X2114" s="4"/>
    </row>
    <row r="2115" spans="1:24" ht="14.25" customHeight="1">
      <c r="A2115" s="4"/>
      <c r="B2115" s="125">
        <v>46188</v>
      </c>
      <c r="C2115" s="126" t="s">
        <v>782</v>
      </c>
      <c r="D2115" s="15" t="s">
        <v>42</v>
      </c>
      <c r="E2115" s="10" t="str">
        <f>TRIM(VLOOKUP(D2115,TB!$B$9:$C$1500,2,FALSE))</f>
        <v>BCA Card TBB</v>
      </c>
      <c r="F2115" s="173" t="str">
        <f t="shared" si="170"/>
        <v>BCA DEBT 12-06-2026</v>
      </c>
      <c r="G2115" s="130"/>
      <c r="H2115" s="10"/>
      <c r="I2115" s="10">
        <v>3719320</v>
      </c>
      <c r="J2115" s="79" t="e">
        <f t="shared" si="160"/>
        <v>#VALUE!</v>
      </c>
      <c r="K2115" s="106"/>
      <c r="L2115" s="141"/>
      <c r="M2115" s="132"/>
      <c r="N2115" s="133"/>
      <c r="O2115" s="4"/>
      <c r="P2115" s="4"/>
      <c r="Q2115" s="4"/>
      <c r="R2115" s="4"/>
      <c r="S2115" s="4"/>
      <c r="T2115" s="4"/>
      <c r="U2115" s="4"/>
      <c r="V2115" s="4"/>
      <c r="W2115" s="4"/>
      <c r="X2115" s="4"/>
    </row>
    <row r="2116" spans="1:24" ht="14.25" customHeight="1">
      <c r="A2116" s="4"/>
      <c r="B2116" s="125"/>
      <c r="C2116" s="126"/>
      <c r="D2116" s="159"/>
      <c r="E2116" s="10" t="e">
        <f>TRIM(VLOOKUP(D2116,TB!$B$9:$C$1500,2,FALSE))</f>
        <v>#N/A</v>
      </c>
      <c r="F2116" s="173"/>
      <c r="G2116" s="130"/>
      <c r="H2116" s="10"/>
      <c r="I2116" s="10"/>
      <c r="J2116" s="79" t="e">
        <f t="shared" si="160"/>
        <v>#VALUE!</v>
      </c>
      <c r="K2116" s="106"/>
      <c r="L2116" s="141"/>
      <c r="M2116" s="132"/>
      <c r="N2116" s="133"/>
      <c r="O2116" s="4"/>
      <c r="P2116" s="4"/>
      <c r="Q2116" s="4"/>
      <c r="R2116" s="4"/>
      <c r="S2116" s="4"/>
      <c r="T2116" s="4"/>
      <c r="U2116" s="4"/>
      <c r="V2116" s="4"/>
      <c r="W2116" s="4"/>
      <c r="X2116" s="4"/>
    </row>
    <row r="2117" spans="1:24" ht="14.25" customHeight="1">
      <c r="A2117" s="4"/>
      <c r="B2117" s="125">
        <v>46188</v>
      </c>
      <c r="C2117" s="126" t="s">
        <v>784</v>
      </c>
      <c r="D2117" s="68" t="s">
        <v>130</v>
      </c>
      <c r="E2117" s="10" t="str">
        <f>TRIM(VLOOKUP(D2117,TB!$B$9:$C$1500,2,FALSE))</f>
        <v>BCA TBB</v>
      </c>
      <c r="F2117" s="173" t="s">
        <v>785</v>
      </c>
      <c r="G2117" s="130"/>
      <c r="H2117" s="157">
        <f>I2119-H2118</f>
        <v>11487465.460000001</v>
      </c>
      <c r="I2117" s="10"/>
      <c r="J2117" s="79" t="e">
        <f t="shared" si="160"/>
        <v>#VALUE!</v>
      </c>
      <c r="K2117" s="106"/>
      <c r="L2117" s="141"/>
      <c r="M2117" s="132"/>
      <c r="N2117" s="133"/>
      <c r="O2117" s="4"/>
      <c r="P2117" s="4"/>
      <c r="Q2117" s="4"/>
      <c r="R2117" s="4"/>
      <c r="S2117" s="4"/>
      <c r="T2117" s="4"/>
      <c r="U2117" s="4"/>
      <c r="V2117" s="4"/>
      <c r="W2117" s="4"/>
      <c r="X2117" s="4"/>
    </row>
    <row r="2118" spans="1:24" ht="14.25" customHeight="1">
      <c r="A2118" s="4"/>
      <c r="B2118" s="125">
        <v>46188</v>
      </c>
      <c r="C2118" s="126" t="s">
        <v>784</v>
      </c>
      <c r="D2118" s="15" t="s">
        <v>124</v>
      </c>
      <c r="E2118" s="10" t="str">
        <f>TRIM(VLOOKUP(D2118,TB!$B$9:$C$1500,2,FALSE))</f>
        <v>Bank charges</v>
      </c>
      <c r="F2118" s="173" t="str">
        <f t="shared" ref="F2118:F2119" si="171">F2117</f>
        <v>BCA CC  13-06-2026</v>
      </c>
      <c r="G2118" s="130"/>
      <c r="H2118" s="157">
        <f>I2119*1.8%</f>
        <v>210564.54000000004</v>
      </c>
      <c r="I2118" s="10"/>
      <c r="J2118" s="79" t="e">
        <f t="shared" si="160"/>
        <v>#VALUE!</v>
      </c>
      <c r="K2118" s="106"/>
      <c r="L2118" s="141"/>
      <c r="M2118" s="132"/>
      <c r="N2118" s="133"/>
      <c r="O2118" s="4"/>
      <c r="P2118" s="4"/>
      <c r="Q2118" s="4"/>
      <c r="R2118" s="4"/>
      <c r="S2118" s="4"/>
      <c r="T2118" s="4"/>
      <c r="U2118" s="4"/>
      <c r="V2118" s="4"/>
      <c r="W2118" s="4"/>
      <c r="X2118" s="4"/>
    </row>
    <row r="2119" spans="1:24" ht="14.25" customHeight="1">
      <c r="A2119" s="4"/>
      <c r="B2119" s="125">
        <v>46188</v>
      </c>
      <c r="C2119" s="126" t="s">
        <v>784</v>
      </c>
      <c r="D2119" s="15" t="s">
        <v>42</v>
      </c>
      <c r="E2119" s="10" t="str">
        <f>TRIM(VLOOKUP(D2119,TB!$B$9:$C$1500,2,FALSE))</f>
        <v>BCA Card TBB</v>
      </c>
      <c r="F2119" s="173" t="str">
        <f t="shared" si="171"/>
        <v>BCA CC  13-06-2026</v>
      </c>
      <c r="G2119" s="130"/>
      <c r="H2119" s="10"/>
      <c r="I2119" s="10">
        <v>11698030</v>
      </c>
      <c r="J2119" s="79" t="e">
        <f t="shared" si="160"/>
        <v>#VALUE!</v>
      </c>
      <c r="K2119" s="106"/>
      <c r="L2119" s="141"/>
      <c r="M2119" s="132"/>
      <c r="N2119" s="133"/>
      <c r="O2119" s="4"/>
      <c r="P2119" s="4"/>
      <c r="Q2119" s="4"/>
      <c r="R2119" s="4"/>
      <c r="S2119" s="4"/>
      <c r="T2119" s="4"/>
      <c r="U2119" s="4"/>
      <c r="V2119" s="4"/>
      <c r="W2119" s="4"/>
      <c r="X2119" s="4"/>
    </row>
    <row r="2120" spans="1:24" ht="14.25" customHeight="1">
      <c r="A2120" s="4"/>
      <c r="B2120" s="125"/>
      <c r="C2120" s="126"/>
      <c r="D2120" s="159"/>
      <c r="E2120" s="10" t="e">
        <f>TRIM(VLOOKUP(D2120,TB!$B$9:$C$1500,2,FALSE))</f>
        <v>#N/A</v>
      </c>
      <c r="F2120" s="173"/>
      <c r="G2120" s="130"/>
      <c r="H2120" s="10"/>
      <c r="I2120" s="10"/>
      <c r="J2120" s="79" t="e">
        <f t="shared" si="160"/>
        <v>#VALUE!</v>
      </c>
      <c r="K2120" s="106"/>
      <c r="L2120" s="141"/>
      <c r="M2120" s="132"/>
      <c r="N2120" s="133"/>
      <c r="O2120" s="4"/>
      <c r="P2120" s="4"/>
      <c r="Q2120" s="4"/>
      <c r="R2120" s="4"/>
      <c r="S2120" s="4"/>
      <c r="T2120" s="4"/>
      <c r="U2120" s="4"/>
      <c r="V2120" s="4"/>
      <c r="W2120" s="4"/>
      <c r="X2120" s="4"/>
    </row>
    <row r="2121" spans="1:24" ht="14.25" customHeight="1">
      <c r="A2121" s="4"/>
      <c r="B2121" s="125">
        <v>46188</v>
      </c>
      <c r="C2121" s="126" t="s">
        <v>786</v>
      </c>
      <c r="D2121" s="68" t="s">
        <v>130</v>
      </c>
      <c r="E2121" s="10" t="str">
        <f>TRIM(VLOOKUP(D2121,TB!$B$9:$C$1500,2,FALSE))</f>
        <v>BCA TBB</v>
      </c>
      <c r="F2121" s="173" t="s">
        <v>787</v>
      </c>
      <c r="G2121" s="130"/>
      <c r="H2121" s="157">
        <f>I2123-H2122</f>
        <v>670372.12</v>
      </c>
      <c r="I2121" s="10"/>
      <c r="J2121" s="79" t="e">
        <f t="shared" si="160"/>
        <v>#VALUE!</v>
      </c>
      <c r="K2121" s="106"/>
      <c r="L2121" s="141"/>
      <c r="M2121" s="132"/>
      <c r="N2121" s="133"/>
      <c r="O2121" s="4"/>
      <c r="P2121" s="4"/>
      <c r="Q2121" s="4"/>
      <c r="R2121" s="4"/>
      <c r="S2121" s="4"/>
      <c r="T2121" s="4"/>
      <c r="U2121" s="4"/>
      <c r="V2121" s="4"/>
      <c r="W2121" s="4"/>
      <c r="X2121" s="4"/>
    </row>
    <row r="2122" spans="1:24" ht="14.25" customHeight="1">
      <c r="A2122" s="4"/>
      <c r="B2122" s="125">
        <v>46188</v>
      </c>
      <c r="C2122" s="126" t="s">
        <v>786</v>
      </c>
      <c r="D2122" s="15" t="s">
        <v>124</v>
      </c>
      <c r="E2122" s="10" t="str">
        <f>TRIM(VLOOKUP(D2122,TB!$B$9:$C$1500,2,FALSE))</f>
        <v>Bank charges</v>
      </c>
      <c r="F2122" s="173" t="str">
        <f t="shared" ref="F2122:F2123" si="172">F2121</f>
        <v>BCA DEBT 13-06-2026</v>
      </c>
      <c r="G2122" s="130"/>
      <c r="H2122" s="157">
        <f>I2123*1.8%</f>
        <v>12287.880000000001</v>
      </c>
      <c r="I2122" s="10"/>
      <c r="J2122" s="79" t="e">
        <f t="shared" si="160"/>
        <v>#VALUE!</v>
      </c>
      <c r="K2122" s="106"/>
      <c r="L2122" s="141"/>
      <c r="M2122" s="132"/>
      <c r="N2122" s="133"/>
      <c r="O2122" s="4"/>
      <c r="P2122" s="4"/>
      <c r="Q2122" s="4"/>
      <c r="R2122" s="4"/>
      <c r="S2122" s="4"/>
      <c r="T2122" s="4"/>
      <c r="U2122" s="4"/>
      <c r="V2122" s="4"/>
      <c r="W2122" s="4"/>
      <c r="X2122" s="4"/>
    </row>
    <row r="2123" spans="1:24" ht="14.25" customHeight="1">
      <c r="A2123" s="4"/>
      <c r="B2123" s="125">
        <v>46188</v>
      </c>
      <c r="C2123" s="126" t="s">
        <v>786</v>
      </c>
      <c r="D2123" s="15" t="s">
        <v>42</v>
      </c>
      <c r="E2123" s="10" t="str">
        <f>TRIM(VLOOKUP(D2123,TB!$B$9:$C$1500,2,FALSE))</f>
        <v>BCA Card TBB</v>
      </c>
      <c r="F2123" s="173" t="str">
        <f t="shared" si="172"/>
        <v>BCA DEBT 13-06-2026</v>
      </c>
      <c r="G2123" s="130"/>
      <c r="H2123" s="10"/>
      <c r="I2123" s="10">
        <v>682660</v>
      </c>
      <c r="J2123" s="79" t="e">
        <f t="shared" si="160"/>
        <v>#VALUE!</v>
      </c>
      <c r="K2123" s="106"/>
      <c r="L2123" s="141"/>
      <c r="M2123" s="132"/>
      <c r="N2123" s="133"/>
      <c r="O2123" s="4"/>
      <c r="P2123" s="4"/>
      <c r="Q2123" s="4"/>
      <c r="R2123" s="4"/>
      <c r="S2123" s="4"/>
      <c r="T2123" s="4"/>
      <c r="U2123" s="4"/>
      <c r="V2123" s="4"/>
      <c r="W2123" s="4"/>
      <c r="X2123" s="4"/>
    </row>
    <row r="2124" spans="1:24" ht="14.25" customHeight="1">
      <c r="A2124" s="4"/>
      <c r="B2124" s="125"/>
      <c r="C2124" s="126"/>
      <c r="D2124" s="159"/>
      <c r="E2124" s="10" t="e">
        <f>TRIM(VLOOKUP(D2124,TB!$B$9:$C$1500,2,FALSE))</f>
        <v>#N/A</v>
      </c>
      <c r="F2124" s="173"/>
      <c r="G2124" s="130"/>
      <c r="H2124" s="10"/>
      <c r="I2124" s="10"/>
      <c r="J2124" s="79" t="e">
        <f t="shared" si="160"/>
        <v>#VALUE!</v>
      </c>
      <c r="K2124" s="106"/>
      <c r="L2124" s="141"/>
      <c r="M2124" s="132"/>
      <c r="N2124" s="133"/>
      <c r="O2124" s="4"/>
      <c r="P2124" s="4"/>
      <c r="Q2124" s="4"/>
      <c r="R2124" s="4"/>
      <c r="S2124" s="4"/>
      <c r="T2124" s="4"/>
      <c r="U2124" s="4"/>
      <c r="V2124" s="4"/>
      <c r="W2124" s="4"/>
      <c r="X2124" s="4"/>
    </row>
    <row r="2125" spans="1:24" ht="14.25" customHeight="1">
      <c r="A2125" s="4"/>
      <c r="B2125" s="125">
        <v>46188</v>
      </c>
      <c r="C2125" s="126" t="s">
        <v>788</v>
      </c>
      <c r="D2125" s="68" t="s">
        <v>130</v>
      </c>
      <c r="E2125" s="10" t="str">
        <f>TRIM(VLOOKUP(D2125,TB!$B$9:$C$1500,2,FALSE))</f>
        <v>BCA TBB</v>
      </c>
      <c r="F2125" s="173" t="s">
        <v>789</v>
      </c>
      <c r="G2125" s="130"/>
      <c r="H2125" s="157">
        <f>I2127-H2126</f>
        <v>4723709.6900000004</v>
      </c>
      <c r="I2125" s="10"/>
      <c r="J2125" s="79" t="e">
        <f t="shared" si="160"/>
        <v>#VALUE!</v>
      </c>
      <c r="K2125" s="106"/>
      <c r="L2125" s="141"/>
      <c r="M2125" s="132"/>
      <c r="N2125" s="133"/>
      <c r="O2125" s="4"/>
      <c r="P2125" s="4"/>
      <c r="Q2125" s="4"/>
      <c r="R2125" s="4"/>
      <c r="S2125" s="4"/>
      <c r="T2125" s="4"/>
      <c r="U2125" s="4"/>
      <c r="V2125" s="4"/>
      <c r="W2125" s="4"/>
      <c r="X2125" s="4"/>
    </row>
    <row r="2126" spans="1:24" ht="14.25" customHeight="1">
      <c r="A2126" s="4"/>
      <c r="B2126" s="125">
        <v>46188</v>
      </c>
      <c r="C2126" s="126" t="s">
        <v>788</v>
      </c>
      <c r="D2126" s="15" t="s">
        <v>124</v>
      </c>
      <c r="E2126" s="10" t="str">
        <f>TRIM(VLOOKUP(D2126,TB!$B$9:$C$1500,2,FALSE))</f>
        <v>Bank charges</v>
      </c>
      <c r="F2126" s="173" t="str">
        <f t="shared" ref="F2126:F2127" si="173">F2125</f>
        <v>BCA QR  13-06-2026</v>
      </c>
      <c r="G2126" s="130"/>
      <c r="H2126" s="157">
        <f>I2127*1.8%</f>
        <v>86585.310000000012</v>
      </c>
      <c r="I2126" s="10"/>
      <c r="J2126" s="79" t="e">
        <f t="shared" si="160"/>
        <v>#VALUE!</v>
      </c>
      <c r="K2126" s="106"/>
      <c r="L2126" s="141"/>
      <c r="M2126" s="132"/>
      <c r="N2126" s="133"/>
      <c r="O2126" s="4"/>
      <c r="P2126" s="4"/>
      <c r="Q2126" s="4"/>
      <c r="R2126" s="4"/>
      <c r="S2126" s="4"/>
      <c r="T2126" s="4"/>
      <c r="U2126" s="4"/>
      <c r="V2126" s="4"/>
      <c r="W2126" s="4"/>
      <c r="X2126" s="4"/>
    </row>
    <row r="2127" spans="1:24" ht="14.25" customHeight="1">
      <c r="A2127" s="4"/>
      <c r="B2127" s="125">
        <v>46188</v>
      </c>
      <c r="C2127" s="126" t="s">
        <v>788</v>
      </c>
      <c r="D2127" s="15" t="s">
        <v>42</v>
      </c>
      <c r="E2127" s="10" t="str">
        <f>TRIM(VLOOKUP(D2127,TB!$B$9:$C$1500,2,FALSE))</f>
        <v>BCA Card TBB</v>
      </c>
      <c r="F2127" s="173" t="str">
        <f t="shared" si="173"/>
        <v>BCA QR  13-06-2026</v>
      </c>
      <c r="G2127" s="130"/>
      <c r="H2127" s="10"/>
      <c r="I2127" s="10">
        <v>4810295</v>
      </c>
      <c r="J2127" s="79" t="e">
        <f t="shared" si="160"/>
        <v>#VALUE!</v>
      </c>
      <c r="K2127" s="106"/>
      <c r="L2127" s="141"/>
      <c r="M2127" s="132"/>
      <c r="N2127" s="133"/>
      <c r="O2127" s="4"/>
      <c r="P2127" s="4"/>
      <c r="Q2127" s="4"/>
      <c r="R2127" s="4"/>
      <c r="S2127" s="4"/>
      <c r="T2127" s="4"/>
      <c r="U2127" s="4"/>
      <c r="V2127" s="4"/>
      <c r="W2127" s="4"/>
      <c r="X2127" s="4"/>
    </row>
    <row r="2128" spans="1:24" ht="14.25" customHeight="1">
      <c r="A2128" s="4"/>
      <c r="B2128" s="125"/>
      <c r="C2128" s="126"/>
      <c r="D2128" s="159"/>
      <c r="E2128" s="10" t="e">
        <f>TRIM(VLOOKUP(D2128,TB!$B$9:$C$1500,2,FALSE))</f>
        <v>#N/A</v>
      </c>
      <c r="F2128" s="173"/>
      <c r="G2128" s="130"/>
      <c r="H2128" s="10"/>
      <c r="I2128" s="10">
        <f t="shared" ref="I2128:I2132" si="174">SUM(H2127)</f>
        <v>0</v>
      </c>
      <c r="J2128" s="79" t="e">
        <f t="shared" si="160"/>
        <v>#VALUE!</v>
      </c>
      <c r="K2128" s="106"/>
      <c r="L2128" s="141"/>
      <c r="M2128" s="132"/>
      <c r="N2128" s="133"/>
      <c r="O2128" s="4"/>
      <c r="P2128" s="4"/>
      <c r="Q2128" s="4"/>
      <c r="R2128" s="4"/>
      <c r="S2128" s="4"/>
      <c r="T2128" s="4"/>
      <c r="U2128" s="4"/>
      <c r="V2128" s="4"/>
      <c r="W2128" s="4"/>
      <c r="X2128" s="4"/>
    </row>
    <row r="2129" spans="1:24" ht="14.25" customHeight="1">
      <c r="A2129" s="4"/>
      <c r="B2129" s="125">
        <v>46188</v>
      </c>
      <c r="C2129" s="126" t="s">
        <v>790</v>
      </c>
      <c r="D2129" s="68" t="s">
        <v>285</v>
      </c>
      <c r="E2129" s="10" t="str">
        <f>TRIM(VLOOKUP(D2129,TB!$B$9:$C$1500,2,FALSE))</f>
        <v>Misc Cash Purchase</v>
      </c>
      <c r="F2129" s="173" t="s">
        <v>791</v>
      </c>
      <c r="G2129" s="130"/>
      <c r="H2129" s="10">
        <v>22629000</v>
      </c>
      <c r="I2129" s="10">
        <f t="shared" si="174"/>
        <v>0</v>
      </c>
      <c r="J2129" s="79" t="e">
        <f t="shared" si="160"/>
        <v>#VALUE!</v>
      </c>
      <c r="K2129" s="106"/>
      <c r="L2129" s="141"/>
      <c r="M2129" s="132"/>
      <c r="N2129" s="133"/>
      <c r="O2129" s="4"/>
      <c r="P2129" s="4"/>
      <c r="Q2129" s="4"/>
      <c r="R2129" s="4"/>
      <c r="S2129" s="4"/>
      <c r="T2129" s="4"/>
      <c r="U2129" s="4"/>
      <c r="V2129" s="4"/>
      <c r="W2129" s="4"/>
      <c r="X2129" s="4"/>
    </row>
    <row r="2130" spans="1:24" ht="14.25" customHeight="1">
      <c r="A2130" s="4"/>
      <c r="B2130" s="125">
        <v>46188</v>
      </c>
      <c r="C2130" s="126" t="s">
        <v>790</v>
      </c>
      <c r="D2130" s="68" t="s">
        <v>130</v>
      </c>
      <c r="E2130" s="10" t="str">
        <f>TRIM(VLOOKUP(D2130,TB!$B$9:$C$1500,2,FALSE))</f>
        <v>BCA TBB</v>
      </c>
      <c r="F2130" s="173" t="str">
        <f>F2129</f>
        <v>Mmb - Inv. 1456 - 17 Mar 26</v>
      </c>
      <c r="G2130" s="130"/>
      <c r="H2130" s="10"/>
      <c r="I2130" s="10">
        <f t="shared" si="174"/>
        <v>22629000</v>
      </c>
      <c r="J2130" s="79" t="e">
        <f t="shared" si="160"/>
        <v>#VALUE!</v>
      </c>
      <c r="K2130" s="106"/>
      <c r="L2130" s="141"/>
      <c r="M2130" s="132"/>
      <c r="N2130" s="133"/>
      <c r="O2130" s="4"/>
      <c r="P2130" s="4"/>
      <c r="Q2130" s="4"/>
      <c r="R2130" s="4"/>
      <c r="S2130" s="4"/>
      <c r="T2130" s="4"/>
      <c r="U2130" s="4"/>
      <c r="V2130" s="4"/>
      <c r="W2130" s="4"/>
      <c r="X2130" s="4"/>
    </row>
    <row r="2131" spans="1:24" ht="14.25" customHeight="1">
      <c r="A2131" s="4"/>
      <c r="B2131" s="125"/>
      <c r="C2131" s="126"/>
      <c r="D2131" s="159"/>
      <c r="E2131" s="10" t="e">
        <f>TRIM(VLOOKUP(D2131,TB!$B$9:$C$1500,2,FALSE))</f>
        <v>#N/A</v>
      </c>
      <c r="F2131" s="173"/>
      <c r="G2131" s="130"/>
      <c r="H2131" s="10"/>
      <c r="I2131" s="10">
        <f t="shared" si="174"/>
        <v>0</v>
      </c>
      <c r="J2131" s="79" t="e">
        <f t="shared" si="160"/>
        <v>#VALUE!</v>
      </c>
      <c r="K2131" s="106"/>
      <c r="L2131" s="141"/>
      <c r="M2131" s="132"/>
      <c r="N2131" s="133"/>
      <c r="O2131" s="4"/>
      <c r="P2131" s="4"/>
      <c r="Q2131" s="4"/>
      <c r="R2131" s="4"/>
      <c r="S2131" s="4"/>
      <c r="T2131" s="4"/>
      <c r="U2131" s="4"/>
      <c r="V2131" s="4"/>
      <c r="W2131" s="4"/>
      <c r="X2131" s="4"/>
    </row>
    <row r="2132" spans="1:24" ht="14.25" customHeight="1">
      <c r="A2132" s="4"/>
      <c r="B2132" s="125">
        <v>46188</v>
      </c>
      <c r="C2132" s="126" t="s">
        <v>792</v>
      </c>
      <c r="D2132" s="68" t="s">
        <v>285</v>
      </c>
      <c r="E2132" s="10" t="str">
        <f>TRIM(VLOOKUP(D2132,TB!$B$9:$C$1500,2,FALSE))</f>
        <v>Misc Cash Purchase</v>
      </c>
      <c r="F2132" s="173" t="s">
        <v>793</v>
      </c>
      <c r="G2132" s="130"/>
      <c r="H2132" s="10">
        <v>390000</v>
      </c>
      <c r="I2132" s="10">
        <f t="shared" si="174"/>
        <v>0</v>
      </c>
      <c r="J2132" s="79" t="e">
        <f t="shared" si="160"/>
        <v>#VALUE!</v>
      </c>
      <c r="K2132" s="106"/>
      <c r="L2132" s="141"/>
      <c r="M2132" s="132"/>
      <c r="N2132" s="133"/>
      <c r="O2132" s="4"/>
      <c r="P2132" s="4"/>
      <c r="Q2132" s="4"/>
      <c r="R2132" s="4"/>
      <c r="S2132" s="4"/>
      <c r="T2132" s="4"/>
      <c r="U2132" s="4"/>
      <c r="V2132" s="4"/>
      <c r="W2132" s="4"/>
      <c r="X2132" s="4"/>
    </row>
    <row r="2133" spans="1:24" ht="14.25" customHeight="1">
      <c r="A2133" s="4"/>
      <c r="B2133" s="125">
        <v>46188</v>
      </c>
      <c r="C2133" s="126" t="s">
        <v>792</v>
      </c>
      <c r="D2133" s="15" t="s">
        <v>124</v>
      </c>
      <c r="E2133" s="10" t="str">
        <f>TRIM(VLOOKUP(D2133,TB!$B$9:$C$1500,2,FALSE))</f>
        <v>Bank charges</v>
      </c>
      <c r="F2133" s="173" t="s">
        <v>793</v>
      </c>
      <c r="G2133" s="130"/>
      <c r="H2133" s="10">
        <v>2500</v>
      </c>
      <c r="I2133" s="10"/>
      <c r="J2133" s="79" t="e">
        <f t="shared" si="160"/>
        <v>#VALUE!</v>
      </c>
      <c r="K2133" s="106"/>
      <c r="L2133" s="141"/>
      <c r="M2133" s="132"/>
      <c r="N2133" s="133"/>
      <c r="O2133" s="4"/>
      <c r="P2133" s="4"/>
      <c r="Q2133" s="4"/>
      <c r="R2133" s="4"/>
      <c r="S2133" s="4"/>
      <c r="T2133" s="4"/>
      <c r="U2133" s="4"/>
      <c r="V2133" s="4"/>
      <c r="W2133" s="4"/>
      <c r="X2133" s="4"/>
    </row>
    <row r="2134" spans="1:24" ht="14.25" customHeight="1">
      <c r="A2134" s="4"/>
      <c r="B2134" s="125">
        <v>46188</v>
      </c>
      <c r="C2134" s="126" t="s">
        <v>792</v>
      </c>
      <c r="D2134" s="68" t="s">
        <v>130</v>
      </c>
      <c r="E2134" s="10" t="str">
        <f>TRIM(VLOOKUP(D2134,TB!$B$9:$C$1500,2,FALSE))</f>
        <v>BCA TBB</v>
      </c>
      <c r="F2134" s="173" t="str">
        <f>F2132</f>
        <v>Bali Kalpawreksa - Inv. 9006 - 16 May 26</v>
      </c>
      <c r="G2134" s="130"/>
      <c r="H2134" s="10"/>
      <c r="I2134" s="10">
        <f>SUM(H2132:H2133)</f>
        <v>392500</v>
      </c>
      <c r="J2134" s="79" t="e">
        <f t="shared" si="160"/>
        <v>#VALUE!</v>
      </c>
      <c r="K2134" s="106"/>
      <c r="L2134" s="141"/>
      <c r="M2134" s="132"/>
      <c r="N2134" s="133"/>
      <c r="O2134" s="4"/>
      <c r="P2134" s="4"/>
      <c r="Q2134" s="4"/>
      <c r="R2134" s="4"/>
      <c r="S2134" s="4"/>
      <c r="T2134" s="4"/>
      <c r="U2134" s="4"/>
      <c r="V2134" s="4"/>
      <c r="W2134" s="4"/>
      <c r="X2134" s="4"/>
    </row>
    <row r="2135" spans="1:24" ht="14.25" customHeight="1">
      <c r="A2135" s="4"/>
      <c r="B2135" s="125"/>
      <c r="C2135" s="126"/>
      <c r="D2135" s="159"/>
      <c r="E2135" s="10" t="e">
        <f>TRIM(VLOOKUP(D2135,TB!$B$9:$C$1500,2,FALSE))</f>
        <v>#N/A</v>
      </c>
      <c r="F2135" s="173"/>
      <c r="G2135" s="130"/>
      <c r="H2135" s="10"/>
      <c r="I2135" s="10">
        <f t="shared" ref="I2135:I2142" si="175">SUM(H2134)</f>
        <v>0</v>
      </c>
      <c r="J2135" s="79" t="e">
        <f t="shared" si="160"/>
        <v>#VALUE!</v>
      </c>
      <c r="K2135" s="106"/>
      <c r="L2135" s="141"/>
      <c r="M2135" s="132"/>
      <c r="N2135" s="133"/>
      <c r="O2135" s="4"/>
      <c r="P2135" s="4"/>
      <c r="Q2135" s="4"/>
      <c r="R2135" s="4"/>
      <c r="S2135" s="4"/>
      <c r="T2135" s="4"/>
      <c r="U2135" s="4"/>
      <c r="V2135" s="4"/>
      <c r="W2135" s="4"/>
      <c r="X2135" s="4"/>
    </row>
    <row r="2136" spans="1:24" ht="14.25" customHeight="1">
      <c r="A2136" s="4"/>
      <c r="B2136" s="125">
        <v>46188</v>
      </c>
      <c r="C2136" s="126" t="s">
        <v>794</v>
      </c>
      <c r="D2136" s="68" t="s">
        <v>285</v>
      </c>
      <c r="E2136" s="10" t="str">
        <f>TRIM(VLOOKUP(D2136,TB!$B$9:$C$1500,2,FALSE))</f>
        <v>Misc Cash Purchase</v>
      </c>
      <c r="F2136" s="173" t="s">
        <v>795</v>
      </c>
      <c r="G2136" s="130"/>
      <c r="H2136" s="10">
        <v>1292000</v>
      </c>
      <c r="I2136" s="10">
        <f t="shared" si="175"/>
        <v>0</v>
      </c>
      <c r="J2136" s="79" t="e">
        <f t="shared" si="160"/>
        <v>#VALUE!</v>
      </c>
      <c r="K2136" s="106"/>
      <c r="L2136" s="141"/>
      <c r="M2136" s="132"/>
      <c r="N2136" s="133"/>
      <c r="O2136" s="4"/>
      <c r="P2136" s="4"/>
      <c r="Q2136" s="4"/>
      <c r="R2136" s="4"/>
      <c r="S2136" s="4"/>
      <c r="T2136" s="4"/>
      <c r="U2136" s="4"/>
      <c r="V2136" s="4"/>
      <c r="W2136" s="4"/>
      <c r="X2136" s="4"/>
    </row>
    <row r="2137" spans="1:24" ht="14.25" customHeight="1">
      <c r="A2137" s="4"/>
      <c r="B2137" s="125">
        <v>46188</v>
      </c>
      <c r="C2137" s="126" t="s">
        <v>794</v>
      </c>
      <c r="D2137" s="68" t="s">
        <v>130</v>
      </c>
      <c r="E2137" s="10" t="str">
        <f>TRIM(VLOOKUP(D2137,TB!$B$9:$C$1500,2,FALSE))</f>
        <v>BCA TBB</v>
      </c>
      <c r="F2137" s="173" t="str">
        <f>F2136</f>
        <v>Oasis Water - Inv. 0280 - 30 Apr 26</v>
      </c>
      <c r="G2137" s="130"/>
      <c r="H2137" s="10"/>
      <c r="I2137" s="10">
        <f t="shared" si="175"/>
        <v>1292000</v>
      </c>
      <c r="J2137" s="79" t="e">
        <f t="shared" si="160"/>
        <v>#VALUE!</v>
      </c>
      <c r="K2137" s="106"/>
      <c r="L2137" s="141"/>
      <c r="M2137" s="132"/>
      <c r="N2137" s="133"/>
      <c r="O2137" s="4"/>
      <c r="P2137" s="4"/>
      <c r="Q2137" s="4"/>
      <c r="R2137" s="4"/>
      <c r="S2137" s="4"/>
      <c r="T2137" s="4"/>
      <c r="U2137" s="4"/>
      <c r="V2137" s="4"/>
      <c r="W2137" s="4"/>
      <c r="X2137" s="4"/>
    </row>
    <row r="2138" spans="1:24" ht="14.25" customHeight="1">
      <c r="A2138" s="4"/>
      <c r="B2138" s="125"/>
      <c r="C2138" s="126"/>
      <c r="D2138" s="159"/>
      <c r="E2138" s="10" t="e">
        <f>TRIM(VLOOKUP(D2138,TB!$B$9:$C$1500,2,FALSE))</f>
        <v>#N/A</v>
      </c>
      <c r="F2138" s="173"/>
      <c r="G2138" s="130"/>
      <c r="H2138" s="10"/>
      <c r="I2138" s="10">
        <f t="shared" si="175"/>
        <v>0</v>
      </c>
      <c r="J2138" s="79" t="e">
        <f t="shared" si="160"/>
        <v>#VALUE!</v>
      </c>
      <c r="K2138" s="106"/>
      <c r="L2138" s="141"/>
      <c r="M2138" s="132"/>
      <c r="N2138" s="133"/>
      <c r="O2138" s="4"/>
      <c r="P2138" s="4"/>
      <c r="Q2138" s="4"/>
      <c r="R2138" s="4"/>
      <c r="S2138" s="4"/>
      <c r="T2138" s="4"/>
      <c r="U2138" s="4"/>
      <c r="V2138" s="4"/>
      <c r="W2138" s="4"/>
      <c r="X2138" s="4"/>
    </row>
    <row r="2139" spans="1:24" ht="14.25" customHeight="1">
      <c r="A2139" s="4"/>
      <c r="B2139" s="125">
        <v>46188</v>
      </c>
      <c r="C2139" s="126" t="s">
        <v>796</v>
      </c>
      <c r="D2139" s="68" t="s">
        <v>285</v>
      </c>
      <c r="E2139" s="10" t="str">
        <f>TRIM(VLOOKUP(D2139,TB!$B$9:$C$1500,2,FALSE))</f>
        <v>Misc Cash Purchase</v>
      </c>
      <c r="F2139" s="173" t="s">
        <v>797</v>
      </c>
      <c r="G2139" s="130"/>
      <c r="H2139" s="10">
        <v>420000</v>
      </c>
      <c r="I2139" s="10">
        <f t="shared" si="175"/>
        <v>0</v>
      </c>
      <c r="J2139" s="79" t="e">
        <f t="shared" si="160"/>
        <v>#VALUE!</v>
      </c>
      <c r="K2139" s="106"/>
      <c r="L2139" s="141"/>
      <c r="M2139" s="132"/>
      <c r="N2139" s="133"/>
      <c r="O2139" s="4"/>
      <c r="P2139" s="4"/>
      <c r="Q2139" s="4"/>
      <c r="R2139" s="4"/>
      <c r="S2139" s="4"/>
      <c r="T2139" s="4"/>
      <c r="U2139" s="4"/>
      <c r="V2139" s="4"/>
      <c r="W2139" s="4"/>
      <c r="X2139" s="4"/>
    </row>
    <row r="2140" spans="1:24" ht="14.25" customHeight="1">
      <c r="A2140" s="4"/>
      <c r="B2140" s="125">
        <v>46188</v>
      </c>
      <c r="C2140" s="126" t="s">
        <v>796</v>
      </c>
      <c r="D2140" s="68" t="s">
        <v>130</v>
      </c>
      <c r="E2140" s="10" t="str">
        <f>TRIM(VLOOKUP(D2140,TB!$B$9:$C$1500,2,FALSE))</f>
        <v>BCA TBB</v>
      </c>
      <c r="F2140" s="173" t="str">
        <f>F2139</f>
        <v>Tiga Juragan Perkasa - Inv. 9682 - 12 May 26</v>
      </c>
      <c r="G2140" s="130"/>
      <c r="H2140" s="10"/>
      <c r="I2140" s="10">
        <f t="shared" si="175"/>
        <v>420000</v>
      </c>
      <c r="J2140" s="79" t="e">
        <f t="shared" si="160"/>
        <v>#VALUE!</v>
      </c>
      <c r="K2140" s="106"/>
      <c r="L2140" s="141"/>
      <c r="M2140" s="132"/>
      <c r="N2140" s="133"/>
      <c r="O2140" s="4"/>
      <c r="P2140" s="4"/>
      <c r="Q2140" s="4"/>
      <c r="R2140" s="4"/>
      <c r="S2140" s="4"/>
      <c r="T2140" s="4"/>
      <c r="U2140" s="4"/>
      <c r="V2140" s="4"/>
      <c r="W2140" s="4"/>
      <c r="X2140" s="4"/>
    </row>
    <row r="2141" spans="1:24" ht="14.25" customHeight="1">
      <c r="A2141" s="4"/>
      <c r="B2141" s="125"/>
      <c r="C2141" s="126"/>
      <c r="D2141" s="159"/>
      <c r="E2141" s="10" t="e">
        <f>TRIM(VLOOKUP(D2141,TB!$B$9:$C$1500,2,FALSE))</f>
        <v>#N/A</v>
      </c>
      <c r="F2141" s="173"/>
      <c r="G2141" s="130"/>
      <c r="H2141" s="10"/>
      <c r="I2141" s="10">
        <f t="shared" si="175"/>
        <v>0</v>
      </c>
      <c r="J2141" s="79" t="e">
        <f t="shared" si="160"/>
        <v>#VALUE!</v>
      </c>
      <c r="K2141" s="106"/>
      <c r="L2141" s="141"/>
      <c r="M2141" s="132"/>
      <c r="N2141" s="133"/>
      <c r="O2141" s="4"/>
      <c r="P2141" s="4"/>
      <c r="Q2141" s="4"/>
      <c r="R2141" s="4"/>
      <c r="S2141" s="4"/>
      <c r="T2141" s="4"/>
      <c r="U2141" s="4"/>
      <c r="V2141" s="4"/>
      <c r="W2141" s="4"/>
      <c r="X2141" s="4"/>
    </row>
    <row r="2142" spans="1:24" ht="14.25" customHeight="1">
      <c r="A2142" s="4"/>
      <c r="B2142" s="125">
        <v>46188</v>
      </c>
      <c r="C2142" s="126" t="s">
        <v>798</v>
      </c>
      <c r="D2142" s="68" t="s">
        <v>285</v>
      </c>
      <c r="E2142" s="10" t="str">
        <f>TRIM(VLOOKUP(D2142,TB!$B$9:$C$1500,2,FALSE))</f>
        <v>Misc Cash Purchase</v>
      </c>
      <c r="F2142" s="173" t="s">
        <v>799</v>
      </c>
      <c r="G2142" s="130"/>
      <c r="H2142" s="10">
        <v>400000</v>
      </c>
      <c r="I2142" s="10">
        <f t="shared" si="175"/>
        <v>0</v>
      </c>
      <c r="J2142" s="79" t="e">
        <f t="shared" si="160"/>
        <v>#VALUE!</v>
      </c>
      <c r="K2142" s="106"/>
      <c r="L2142" s="141"/>
      <c r="M2142" s="132"/>
      <c r="N2142" s="133"/>
      <c r="O2142" s="4"/>
      <c r="P2142" s="4"/>
      <c r="Q2142" s="4"/>
      <c r="R2142" s="4"/>
      <c r="S2142" s="4"/>
      <c r="T2142" s="4"/>
      <c r="U2142" s="4"/>
      <c r="V2142" s="4"/>
      <c r="W2142" s="4"/>
      <c r="X2142" s="4"/>
    </row>
    <row r="2143" spans="1:24" ht="14.25" customHeight="1">
      <c r="A2143" s="4"/>
      <c r="B2143" s="125">
        <v>46188</v>
      </c>
      <c r="C2143" s="126" t="s">
        <v>798</v>
      </c>
      <c r="D2143" s="15" t="s">
        <v>124</v>
      </c>
      <c r="E2143" s="10" t="str">
        <f>TRIM(VLOOKUP(D2143,TB!$B$9:$C$1500,2,FALSE))</f>
        <v>Bank charges</v>
      </c>
      <c r="F2143" s="173" t="s">
        <v>799</v>
      </c>
      <c r="G2143" s="130"/>
      <c r="H2143" s="10">
        <v>2500</v>
      </c>
      <c r="I2143" s="10"/>
      <c r="J2143" s="79" t="e">
        <f t="shared" si="160"/>
        <v>#VALUE!</v>
      </c>
      <c r="K2143" s="106"/>
      <c r="L2143" s="141"/>
      <c r="M2143" s="132"/>
      <c r="N2143" s="133"/>
      <c r="O2143" s="4"/>
      <c r="P2143" s="4"/>
      <c r="Q2143" s="4"/>
      <c r="R2143" s="4"/>
      <c r="S2143" s="4"/>
      <c r="T2143" s="4"/>
      <c r="U2143" s="4"/>
      <c r="V2143" s="4"/>
      <c r="W2143" s="4"/>
      <c r="X2143" s="4"/>
    </row>
    <row r="2144" spans="1:24" ht="14.25" customHeight="1">
      <c r="A2144" s="4"/>
      <c r="B2144" s="125">
        <v>46188</v>
      </c>
      <c r="C2144" s="126" t="s">
        <v>798</v>
      </c>
      <c r="D2144" s="68" t="s">
        <v>130</v>
      </c>
      <c r="E2144" s="10" t="str">
        <f>TRIM(VLOOKUP(D2144,TB!$B$9:$C$1500,2,FALSE))</f>
        <v>BCA TBB</v>
      </c>
      <c r="F2144" s="173" t="str">
        <f>F2142</f>
        <v>Warung Pizza - Inv. 0440 - 12 May 26</v>
      </c>
      <c r="G2144" s="130"/>
      <c r="H2144" s="10"/>
      <c r="I2144" s="10">
        <f>SUM(H2142:H2143)</f>
        <v>402500</v>
      </c>
      <c r="J2144" s="79" t="e">
        <f t="shared" si="160"/>
        <v>#VALUE!</v>
      </c>
      <c r="K2144" s="106"/>
      <c r="L2144" s="141"/>
      <c r="M2144" s="132"/>
      <c r="N2144" s="133"/>
      <c r="O2144" s="4"/>
      <c r="P2144" s="4"/>
      <c r="Q2144" s="4"/>
      <c r="R2144" s="4"/>
      <c r="S2144" s="4"/>
      <c r="T2144" s="4"/>
      <c r="U2144" s="4"/>
      <c r="V2144" s="4"/>
      <c r="W2144" s="4"/>
      <c r="X2144" s="4"/>
    </row>
    <row r="2145" spans="1:24" ht="14.25" customHeight="1">
      <c r="A2145" s="4"/>
      <c r="B2145" s="125"/>
      <c r="C2145" s="126"/>
      <c r="D2145" s="159"/>
      <c r="E2145" s="10" t="e">
        <f>TRIM(VLOOKUP(D2145,TB!$B$9:$C$1500,2,FALSE))</f>
        <v>#N/A</v>
      </c>
      <c r="F2145" s="173"/>
      <c r="G2145" s="130"/>
      <c r="H2145" s="10"/>
      <c r="I2145" s="10">
        <f t="shared" ref="I2145:I2146" si="176">SUM(H2144)</f>
        <v>0</v>
      </c>
      <c r="J2145" s="79" t="e">
        <f t="shared" si="160"/>
        <v>#VALUE!</v>
      </c>
      <c r="K2145" s="106"/>
      <c r="L2145" s="141"/>
      <c r="M2145" s="132"/>
      <c r="N2145" s="133"/>
      <c r="O2145" s="4"/>
      <c r="P2145" s="4"/>
      <c r="Q2145" s="4"/>
      <c r="R2145" s="4"/>
      <c r="S2145" s="4"/>
      <c r="T2145" s="4"/>
      <c r="U2145" s="4"/>
      <c r="V2145" s="4"/>
      <c r="W2145" s="4"/>
      <c r="X2145" s="4"/>
    </row>
    <row r="2146" spans="1:24" ht="14.25" customHeight="1">
      <c r="A2146" s="4"/>
      <c r="B2146" s="125">
        <v>46188</v>
      </c>
      <c r="C2146" s="126" t="s">
        <v>800</v>
      </c>
      <c r="D2146" s="15" t="s">
        <v>801</v>
      </c>
      <c r="E2146" s="10" t="str">
        <f>TRIM(VLOOKUP(D2146,TB!$B$9:$C$1500,2,FALSE))</f>
        <v>Rental Sound Systems</v>
      </c>
      <c r="F2146" s="173" t="s">
        <v>802</v>
      </c>
      <c r="G2146" s="130"/>
      <c r="H2146" s="10">
        <v>2810000</v>
      </c>
      <c r="I2146" s="10">
        <f t="shared" si="176"/>
        <v>0</v>
      </c>
      <c r="J2146" s="79" t="e">
        <f t="shared" si="160"/>
        <v>#VALUE!</v>
      </c>
      <c r="K2146" s="106"/>
      <c r="L2146" s="141"/>
      <c r="M2146" s="132"/>
      <c r="N2146" s="133"/>
      <c r="O2146" s="4"/>
      <c r="P2146" s="4"/>
      <c r="Q2146" s="4"/>
      <c r="R2146" s="4"/>
      <c r="S2146" s="4"/>
      <c r="T2146" s="4"/>
      <c r="U2146" s="4"/>
      <c r="V2146" s="4"/>
      <c r="W2146" s="4"/>
      <c r="X2146" s="4"/>
    </row>
    <row r="2147" spans="1:24" ht="14.25" customHeight="1">
      <c r="A2147" s="4"/>
      <c r="B2147" s="125">
        <v>46188</v>
      </c>
      <c r="C2147" s="126" t="s">
        <v>800</v>
      </c>
      <c r="D2147" s="15" t="s">
        <v>124</v>
      </c>
      <c r="E2147" s="10" t="str">
        <f>TRIM(VLOOKUP(D2147,TB!$B$9:$C$1500,2,FALSE))</f>
        <v>Bank charges</v>
      </c>
      <c r="F2147" s="173" t="s">
        <v>802</v>
      </c>
      <c r="G2147" s="130"/>
      <c r="H2147" s="10">
        <v>2500</v>
      </c>
      <c r="I2147" s="10"/>
      <c r="J2147" s="79" t="e">
        <f t="shared" si="160"/>
        <v>#VALUE!</v>
      </c>
      <c r="K2147" s="106"/>
      <c r="L2147" s="141"/>
      <c r="M2147" s="132"/>
      <c r="N2147" s="133"/>
      <c r="O2147" s="4"/>
      <c r="P2147" s="4"/>
      <c r="Q2147" s="4"/>
      <c r="R2147" s="4"/>
      <c r="S2147" s="4"/>
      <c r="T2147" s="4"/>
      <c r="U2147" s="4"/>
      <c r="V2147" s="4"/>
      <c r="W2147" s="4"/>
      <c r="X2147" s="4"/>
    </row>
    <row r="2148" spans="1:24" ht="14.25" customHeight="1">
      <c r="A2148" s="4"/>
      <c r="B2148" s="125">
        <v>46188</v>
      </c>
      <c r="C2148" s="126" t="s">
        <v>800</v>
      </c>
      <c r="D2148" s="68" t="s">
        <v>130</v>
      </c>
      <c r="E2148" s="10" t="str">
        <f>TRIM(VLOOKUP(D2148,TB!$B$9:$C$1500,2,FALSE))</f>
        <v>BCA TBB</v>
      </c>
      <c r="F2148" s="173" t="str">
        <f>F2146</f>
        <v>Polar Audio Rental - Inv. 826 - 06 June 26</v>
      </c>
      <c r="G2148" s="130"/>
      <c r="H2148" s="10"/>
      <c r="I2148" s="10">
        <f>SUM(H2146:H2147)</f>
        <v>2812500</v>
      </c>
      <c r="J2148" s="79" t="e">
        <f t="shared" si="160"/>
        <v>#VALUE!</v>
      </c>
      <c r="K2148" s="106"/>
      <c r="L2148" s="141"/>
      <c r="M2148" s="132"/>
      <c r="N2148" s="133"/>
      <c r="O2148" s="4"/>
      <c r="P2148" s="4"/>
      <c r="Q2148" s="4"/>
      <c r="R2148" s="4"/>
      <c r="S2148" s="4"/>
      <c r="T2148" s="4"/>
      <c r="U2148" s="4"/>
      <c r="V2148" s="4"/>
      <c r="W2148" s="4"/>
      <c r="X2148" s="4"/>
    </row>
    <row r="2149" spans="1:24" ht="14.25" customHeight="1">
      <c r="A2149" s="4"/>
      <c r="B2149" s="125"/>
      <c r="C2149" s="126"/>
      <c r="D2149" s="159"/>
      <c r="E2149" s="10" t="e">
        <f>TRIM(VLOOKUP(D2149,TB!$B$9:$C$1500,2,FALSE))</f>
        <v>#N/A</v>
      </c>
      <c r="F2149" s="173"/>
      <c r="G2149" s="130"/>
      <c r="H2149" s="10"/>
      <c r="I2149" s="10">
        <f t="shared" ref="I2149:I2150" si="177">SUM(H2148)</f>
        <v>0</v>
      </c>
      <c r="J2149" s="79" t="e">
        <f t="shared" si="160"/>
        <v>#VALUE!</v>
      </c>
      <c r="K2149" s="106"/>
      <c r="L2149" s="141"/>
      <c r="M2149" s="132"/>
      <c r="N2149" s="133"/>
      <c r="O2149" s="4"/>
      <c r="P2149" s="4"/>
      <c r="Q2149" s="4"/>
      <c r="R2149" s="4"/>
      <c r="S2149" s="4"/>
      <c r="T2149" s="4"/>
      <c r="U2149" s="4"/>
      <c r="V2149" s="4"/>
      <c r="W2149" s="4"/>
      <c r="X2149" s="4"/>
    </row>
    <row r="2150" spans="1:24" ht="14.25" customHeight="1">
      <c r="A2150" s="4"/>
      <c r="B2150" s="125">
        <v>46188</v>
      </c>
      <c r="C2150" s="126" t="s">
        <v>803</v>
      </c>
      <c r="D2150" s="15" t="s">
        <v>188</v>
      </c>
      <c r="E2150" s="10" t="str">
        <f>TRIM(VLOOKUP(D2150,TB!$B$9:$C$1500,2,FALSE))</f>
        <v>Advertising Costs</v>
      </c>
      <c r="F2150" s="173" t="s">
        <v>804</v>
      </c>
      <c r="G2150" s="130"/>
      <c r="H2150" s="10">
        <v>5600000</v>
      </c>
      <c r="I2150" s="10">
        <f t="shared" si="177"/>
        <v>0</v>
      </c>
      <c r="J2150" s="79" t="e">
        <f t="shared" si="160"/>
        <v>#VALUE!</v>
      </c>
      <c r="K2150" s="106"/>
      <c r="L2150" s="141"/>
      <c r="M2150" s="132"/>
      <c r="N2150" s="133"/>
      <c r="O2150" s="4"/>
      <c r="P2150" s="4"/>
      <c r="Q2150" s="4"/>
      <c r="R2150" s="4"/>
      <c r="S2150" s="4"/>
      <c r="T2150" s="4"/>
      <c r="U2150" s="4"/>
      <c r="V2150" s="4"/>
      <c r="W2150" s="4"/>
      <c r="X2150" s="4"/>
    </row>
    <row r="2151" spans="1:24" ht="14.25" customHeight="1">
      <c r="A2151" s="4"/>
      <c r="B2151" s="125">
        <v>46188</v>
      </c>
      <c r="C2151" s="126" t="s">
        <v>803</v>
      </c>
      <c r="D2151" s="15" t="s">
        <v>124</v>
      </c>
      <c r="E2151" s="10" t="str">
        <f>TRIM(VLOOKUP(D2151,TB!$B$9:$C$1500,2,FALSE))</f>
        <v>Bank charges</v>
      </c>
      <c r="F2151" s="173" t="str">
        <f t="shared" ref="F2151:F2152" si="178">F2150</f>
        <v>Top ads sos med 15,16,17,18 June 2026</v>
      </c>
      <c r="G2151" s="130"/>
      <c r="H2151" s="10">
        <v>1000</v>
      </c>
      <c r="I2151" s="10"/>
      <c r="J2151" s="79" t="e">
        <f t="shared" si="160"/>
        <v>#VALUE!</v>
      </c>
      <c r="K2151" s="106"/>
      <c r="L2151" s="141"/>
      <c r="M2151" s="132"/>
      <c r="N2151" s="133"/>
      <c r="O2151" s="4"/>
      <c r="P2151" s="4"/>
      <c r="Q2151" s="4"/>
      <c r="R2151" s="4"/>
      <c r="S2151" s="4"/>
      <c r="T2151" s="4"/>
      <c r="U2151" s="4"/>
      <c r="V2151" s="4"/>
      <c r="W2151" s="4"/>
      <c r="X2151" s="4"/>
    </row>
    <row r="2152" spans="1:24" ht="14.25" customHeight="1">
      <c r="A2152" s="4"/>
      <c r="B2152" s="125">
        <v>46188</v>
      </c>
      <c r="C2152" s="126" t="s">
        <v>803</v>
      </c>
      <c r="D2152" s="68" t="s">
        <v>130</v>
      </c>
      <c r="E2152" s="10" t="str">
        <f>TRIM(VLOOKUP(D2152,TB!$B$9:$C$1500,2,FALSE))</f>
        <v>BCA TBB</v>
      </c>
      <c r="F2152" s="173" t="str">
        <f t="shared" si="178"/>
        <v>Top ads sos med 15,16,17,18 June 2026</v>
      </c>
      <c r="G2152" s="130"/>
      <c r="H2152" s="10"/>
      <c r="I2152" s="10">
        <f>SUM(H2150:H2151)</f>
        <v>5601000</v>
      </c>
      <c r="J2152" s="79" t="e">
        <f t="shared" si="160"/>
        <v>#VALUE!</v>
      </c>
      <c r="K2152" s="106"/>
      <c r="L2152" s="141"/>
      <c r="M2152" s="132"/>
      <c r="N2152" s="133"/>
      <c r="O2152" s="4"/>
      <c r="P2152" s="4"/>
      <c r="Q2152" s="4"/>
      <c r="R2152" s="4"/>
      <c r="S2152" s="4"/>
      <c r="T2152" s="4"/>
      <c r="U2152" s="4"/>
      <c r="V2152" s="4"/>
      <c r="W2152" s="4"/>
      <c r="X2152" s="4"/>
    </row>
    <row r="2153" spans="1:24" ht="14.25" customHeight="1">
      <c r="A2153" s="4"/>
      <c r="B2153" s="125"/>
      <c r="C2153" s="126"/>
      <c r="D2153" s="159"/>
      <c r="E2153" s="10" t="e">
        <f>TRIM(VLOOKUP(D2153,TB!$B$9:$C$1500,2,FALSE))</f>
        <v>#N/A</v>
      </c>
      <c r="F2153" s="173"/>
      <c r="G2153" s="130"/>
      <c r="H2153" s="10"/>
      <c r="I2153" s="10"/>
      <c r="J2153" s="79" t="e">
        <f t="shared" si="160"/>
        <v>#VALUE!</v>
      </c>
      <c r="K2153" s="106"/>
      <c r="L2153" s="141"/>
      <c r="M2153" s="132"/>
      <c r="N2153" s="133"/>
      <c r="O2153" s="4"/>
      <c r="P2153" s="4"/>
      <c r="Q2153" s="4"/>
      <c r="R2153" s="4"/>
      <c r="S2153" s="4"/>
      <c r="T2153" s="4"/>
      <c r="U2153" s="4"/>
      <c r="V2153" s="4"/>
      <c r="W2153" s="4"/>
      <c r="X2153" s="4"/>
    </row>
    <row r="2154" spans="1:24" ht="14.25" customHeight="1">
      <c r="A2154" s="4"/>
      <c r="B2154" s="125">
        <v>46188</v>
      </c>
      <c r="C2154" s="126" t="s">
        <v>805</v>
      </c>
      <c r="D2154" s="68" t="s">
        <v>478</v>
      </c>
      <c r="E2154" s="10" t="str">
        <f>TRIM(VLOOKUP(D2154,TB!$B$9:$C$1500,2,FALSE))</f>
        <v>Intercompany Payable – PT Star Hospitality Bali</v>
      </c>
      <c r="F2154" s="142" t="s">
        <v>806</v>
      </c>
      <c r="G2154" s="130"/>
      <c r="H2154" s="10">
        <v>84147862</v>
      </c>
      <c r="I2154" s="10"/>
      <c r="J2154" s="79" t="e">
        <f t="shared" si="160"/>
        <v>#VALUE!</v>
      </c>
      <c r="K2154" s="106"/>
      <c r="L2154" s="141"/>
      <c r="M2154" s="132"/>
      <c r="N2154" s="133"/>
      <c r="O2154" s="4"/>
      <c r="P2154" s="4"/>
      <c r="Q2154" s="4"/>
      <c r="R2154" s="4"/>
      <c r="S2154" s="4"/>
      <c r="T2154" s="4"/>
      <c r="U2154" s="4"/>
      <c r="V2154" s="4"/>
      <c r="W2154" s="4"/>
      <c r="X2154" s="4"/>
    </row>
    <row r="2155" spans="1:24" ht="14.25" customHeight="1">
      <c r="A2155" s="4"/>
      <c r="B2155" s="125">
        <v>46188</v>
      </c>
      <c r="C2155" s="126" t="s">
        <v>805</v>
      </c>
      <c r="D2155" s="15" t="s">
        <v>480</v>
      </c>
      <c r="E2155" s="10" t="str">
        <f>TRIM(VLOOKUP(D2155,TB!$B$9:$C$1500,2,FALSE))</f>
        <v>Interest Expenses</v>
      </c>
      <c r="F2155" s="142" t="s">
        <v>806</v>
      </c>
      <c r="G2155" s="130"/>
      <c r="H2155" s="10">
        <v>17352138</v>
      </c>
      <c r="I2155" s="10"/>
      <c r="J2155" s="79" t="e">
        <f t="shared" si="160"/>
        <v>#VALUE!</v>
      </c>
      <c r="K2155" s="106"/>
      <c r="L2155" s="141"/>
      <c r="M2155" s="132"/>
      <c r="N2155" s="133"/>
      <c r="O2155" s="4"/>
      <c r="P2155" s="4"/>
      <c r="Q2155" s="4"/>
      <c r="R2155" s="4"/>
      <c r="S2155" s="4"/>
      <c r="T2155" s="4"/>
      <c r="U2155" s="4"/>
      <c r="V2155" s="4"/>
      <c r="W2155" s="4"/>
      <c r="X2155" s="4"/>
    </row>
    <row r="2156" spans="1:24" ht="14.25" customHeight="1">
      <c r="A2156" s="4"/>
      <c r="B2156" s="125">
        <v>46188</v>
      </c>
      <c r="C2156" s="126" t="s">
        <v>805</v>
      </c>
      <c r="D2156" s="15" t="s">
        <v>124</v>
      </c>
      <c r="E2156" s="10" t="str">
        <f>TRIM(VLOOKUP(D2156,TB!$B$9:$C$1500,2,FALSE))</f>
        <v>Bank charges</v>
      </c>
      <c r="F2156" s="142" t="s">
        <v>806</v>
      </c>
      <c r="G2156" s="130"/>
      <c r="H2156" s="10">
        <v>2500</v>
      </c>
      <c r="I2156" s="10"/>
      <c r="J2156" s="79" t="e">
        <f t="shared" si="160"/>
        <v>#VALUE!</v>
      </c>
      <c r="K2156" s="106"/>
      <c r="L2156" s="141"/>
      <c r="M2156" s="132"/>
      <c r="N2156" s="133"/>
      <c r="O2156" s="4"/>
      <c r="P2156" s="4"/>
      <c r="Q2156" s="4"/>
      <c r="R2156" s="4"/>
      <c r="S2156" s="4"/>
      <c r="T2156" s="4"/>
      <c r="U2156" s="4"/>
      <c r="V2156" s="4"/>
      <c r="W2156" s="4"/>
      <c r="X2156" s="4"/>
    </row>
    <row r="2157" spans="1:24" ht="14.25" customHeight="1">
      <c r="A2157" s="4"/>
      <c r="B2157" s="125">
        <v>46188</v>
      </c>
      <c r="C2157" s="126" t="s">
        <v>805</v>
      </c>
      <c r="D2157" s="68" t="s">
        <v>130</v>
      </c>
      <c r="E2157" s="10" t="str">
        <f>TRIM(VLOOKUP(D2157,TB!$B$9:$C$1500,2,FALSE))</f>
        <v>BCA TBB</v>
      </c>
      <c r="F2157" s="142" t="s">
        <v>806</v>
      </c>
      <c r="G2157" s="130"/>
      <c r="H2157" s="10"/>
      <c r="I2157" s="10">
        <v>101502500</v>
      </c>
      <c r="J2157" s="79" t="e">
        <f t="shared" si="160"/>
        <v>#VALUE!</v>
      </c>
      <c r="K2157" s="106"/>
      <c r="L2157" s="141"/>
      <c r="M2157" s="132"/>
      <c r="N2157" s="133"/>
      <c r="O2157" s="4"/>
      <c r="P2157" s="4"/>
      <c r="Q2157" s="4"/>
      <c r="R2157" s="4"/>
      <c r="S2157" s="4"/>
      <c r="T2157" s="4"/>
      <c r="U2157" s="4"/>
      <c r="V2157" s="4"/>
      <c r="W2157" s="4"/>
      <c r="X2157" s="4"/>
    </row>
    <row r="2158" spans="1:24" ht="14.25" customHeight="1">
      <c r="A2158" s="4"/>
      <c r="B2158" s="125"/>
      <c r="C2158" s="126"/>
      <c r="D2158" s="159"/>
      <c r="E2158" s="10" t="e">
        <f>TRIM(VLOOKUP(D2158,TB!$B$9:$C$1500,2,FALSE))</f>
        <v>#N/A</v>
      </c>
      <c r="F2158" s="173"/>
      <c r="G2158" s="130"/>
      <c r="H2158" s="10"/>
      <c r="I2158" s="10"/>
      <c r="J2158" s="79" t="e">
        <f t="shared" si="160"/>
        <v>#VALUE!</v>
      </c>
      <c r="K2158" s="106"/>
      <c r="L2158" s="141"/>
      <c r="M2158" s="132"/>
      <c r="N2158" s="133"/>
      <c r="O2158" s="4"/>
      <c r="P2158" s="4"/>
      <c r="Q2158" s="4"/>
      <c r="R2158" s="4"/>
      <c r="S2158" s="4"/>
      <c r="T2158" s="4"/>
      <c r="U2158" s="4"/>
      <c r="V2158" s="4"/>
      <c r="W2158" s="4"/>
      <c r="X2158" s="4"/>
    </row>
    <row r="2159" spans="1:24" ht="14.25" customHeight="1">
      <c r="A2159" s="4"/>
      <c r="B2159" s="125">
        <v>46188</v>
      </c>
      <c r="C2159" s="126" t="s">
        <v>807</v>
      </c>
      <c r="D2159" s="68" t="s">
        <v>285</v>
      </c>
      <c r="E2159" s="10" t="str">
        <f>TRIM(VLOOKUP(D2159,TB!$B$9:$C$1500,2,FALSE))</f>
        <v>Misc Cash Purchase</v>
      </c>
      <c r="F2159" s="142" t="s">
        <v>808</v>
      </c>
      <c r="G2159" s="130"/>
      <c r="H2159" s="10">
        <v>13000</v>
      </c>
      <c r="I2159" s="10"/>
      <c r="J2159" s="79" t="e">
        <f t="shared" si="160"/>
        <v>#VALUE!</v>
      </c>
      <c r="K2159" s="106"/>
      <c r="L2159" s="141"/>
      <c r="M2159" s="132"/>
      <c r="N2159" s="133"/>
      <c r="O2159" s="4"/>
      <c r="P2159" s="4"/>
      <c r="Q2159" s="4"/>
      <c r="R2159" s="4"/>
      <c r="S2159" s="4"/>
      <c r="T2159" s="4"/>
      <c r="U2159" s="4"/>
      <c r="V2159" s="4"/>
      <c r="W2159" s="4"/>
      <c r="X2159" s="4"/>
    </row>
    <row r="2160" spans="1:24" ht="14.25" customHeight="1">
      <c r="A2160" s="4"/>
      <c r="B2160" s="125">
        <v>46188</v>
      </c>
      <c r="C2160" s="126" t="s">
        <v>807</v>
      </c>
      <c r="D2160" s="15" t="s">
        <v>124</v>
      </c>
      <c r="E2160" s="10" t="str">
        <f>TRIM(VLOOKUP(D2160,TB!$B$9:$C$1500,2,FALSE))</f>
        <v>Bank charges</v>
      </c>
      <c r="F2160" s="142" t="s">
        <v>808</v>
      </c>
      <c r="G2160" s="130"/>
      <c r="H2160" s="10">
        <v>2500</v>
      </c>
      <c r="I2160" s="10"/>
      <c r="J2160" s="79" t="e">
        <f t="shared" si="160"/>
        <v>#VALUE!</v>
      </c>
      <c r="K2160" s="106"/>
      <c r="L2160" s="141"/>
      <c r="M2160" s="132"/>
      <c r="N2160" s="133"/>
      <c r="O2160" s="4"/>
      <c r="P2160" s="4"/>
      <c r="Q2160" s="4"/>
      <c r="R2160" s="4"/>
      <c r="S2160" s="4"/>
      <c r="T2160" s="4"/>
      <c r="U2160" s="4"/>
      <c r="V2160" s="4"/>
      <c r="W2160" s="4"/>
      <c r="X2160" s="4"/>
    </row>
    <row r="2161" spans="1:24" ht="14.25" customHeight="1">
      <c r="A2161" s="4"/>
      <c r="B2161" s="125">
        <v>46188</v>
      </c>
      <c r="C2161" s="126" t="s">
        <v>807</v>
      </c>
      <c r="D2161" s="68" t="s">
        <v>130</v>
      </c>
      <c r="E2161" s="10" t="str">
        <f>TRIM(VLOOKUP(D2161,TB!$B$9:$C$1500,2,FALSE))</f>
        <v>BCA TBB</v>
      </c>
      <c r="F2161" s="142" t="s">
        <v>808</v>
      </c>
      <c r="G2161" s="130"/>
      <c r="H2161" s="10"/>
      <c r="I2161" s="10">
        <v>15500</v>
      </c>
      <c r="J2161" s="79" t="e">
        <f t="shared" si="160"/>
        <v>#VALUE!</v>
      </c>
      <c r="K2161" s="106"/>
      <c r="L2161" s="141"/>
      <c r="M2161" s="132"/>
      <c r="N2161" s="133"/>
      <c r="O2161" s="4"/>
      <c r="P2161" s="4"/>
      <c r="Q2161" s="4"/>
      <c r="R2161" s="4"/>
      <c r="S2161" s="4"/>
      <c r="T2161" s="4"/>
      <c r="U2161" s="4"/>
      <c r="V2161" s="4"/>
      <c r="W2161" s="4"/>
      <c r="X2161" s="4"/>
    </row>
    <row r="2162" spans="1:24" ht="14.25" customHeight="1">
      <c r="A2162" s="4"/>
      <c r="B2162" s="125"/>
      <c r="C2162" s="126"/>
      <c r="D2162" s="159"/>
      <c r="E2162" s="10" t="e">
        <f>TRIM(VLOOKUP(D2162,TB!$B$9:$C$1500,2,FALSE))</f>
        <v>#N/A</v>
      </c>
      <c r="F2162" s="173"/>
      <c r="G2162" s="130"/>
      <c r="H2162" s="10"/>
      <c r="I2162" s="10"/>
      <c r="J2162" s="79" t="e">
        <f t="shared" si="160"/>
        <v>#VALUE!</v>
      </c>
      <c r="K2162" s="106"/>
      <c r="L2162" s="141"/>
      <c r="M2162" s="132"/>
      <c r="N2162" s="133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spans="1:24" ht="14.25" customHeight="1">
      <c r="A2163" s="4"/>
      <c r="B2163" s="125">
        <v>46188</v>
      </c>
      <c r="C2163" s="126" t="s">
        <v>809</v>
      </c>
      <c r="D2163" s="15" t="s">
        <v>36</v>
      </c>
      <c r="E2163" s="10" t="str">
        <f>TRIM(VLOOKUP(D2163,TB!$B$9:$C$1500,2,FALSE))</f>
        <v>PHR PB1</v>
      </c>
      <c r="F2163" s="183" t="s">
        <v>810</v>
      </c>
      <c r="G2163" s="130"/>
      <c r="H2163" s="10">
        <v>37036063</v>
      </c>
      <c r="I2163" s="10"/>
      <c r="J2163" s="79" t="e">
        <f t="shared" si="160"/>
        <v>#VALUE!</v>
      </c>
      <c r="K2163" s="106"/>
      <c r="L2163" s="141"/>
      <c r="M2163" s="132"/>
      <c r="N2163" s="133"/>
      <c r="O2163" s="4"/>
      <c r="P2163" s="4"/>
      <c r="Q2163" s="4"/>
      <c r="R2163" s="4"/>
      <c r="S2163" s="4"/>
      <c r="T2163" s="4"/>
      <c r="U2163" s="4"/>
      <c r="V2163" s="4"/>
      <c r="W2163" s="4"/>
      <c r="X2163" s="4"/>
    </row>
    <row r="2164" spans="1:24" ht="14.25" customHeight="1">
      <c r="A2164" s="4"/>
      <c r="B2164" s="125">
        <v>46188</v>
      </c>
      <c r="C2164" s="126" t="s">
        <v>809</v>
      </c>
      <c r="D2164" s="68" t="s">
        <v>130</v>
      </c>
      <c r="E2164" s="10" t="str">
        <f>TRIM(VLOOKUP(D2164,TB!$B$9:$C$1500,2,FALSE))</f>
        <v>BCA TBB</v>
      </c>
      <c r="F2164" s="183" t="s">
        <v>810</v>
      </c>
      <c r="G2164" s="130"/>
      <c r="H2164" s="10"/>
      <c r="I2164" s="10">
        <v>37036063</v>
      </c>
      <c r="J2164" s="79" t="e">
        <f t="shared" si="160"/>
        <v>#VALUE!</v>
      </c>
      <c r="K2164" s="106"/>
      <c r="L2164" s="141"/>
      <c r="M2164" s="132"/>
      <c r="N2164" s="133"/>
      <c r="O2164" s="4"/>
      <c r="P2164" s="4"/>
      <c r="Q2164" s="4"/>
      <c r="R2164" s="4"/>
      <c r="S2164" s="4"/>
      <c r="T2164" s="4"/>
      <c r="U2164" s="4"/>
      <c r="V2164" s="4"/>
      <c r="W2164" s="4"/>
      <c r="X2164" s="4"/>
    </row>
    <row r="2165" spans="1:24" ht="14.25" customHeight="1">
      <c r="A2165" s="4"/>
      <c r="B2165" s="125"/>
      <c r="C2165" s="126"/>
      <c r="D2165" s="159"/>
      <c r="E2165" s="10" t="e">
        <f>TRIM(VLOOKUP(D2165,TB!$B$9:$C$1500,2,FALSE))</f>
        <v>#N/A</v>
      </c>
      <c r="F2165" s="173"/>
      <c r="G2165" s="130"/>
      <c r="H2165" s="10"/>
      <c r="I2165" s="10"/>
      <c r="J2165" s="79" t="e">
        <f t="shared" si="160"/>
        <v>#VALUE!</v>
      </c>
      <c r="K2165" s="106"/>
      <c r="L2165" s="141"/>
      <c r="M2165" s="132"/>
      <c r="N2165" s="133"/>
      <c r="O2165" s="4"/>
      <c r="P2165" s="4"/>
      <c r="Q2165" s="4"/>
      <c r="R2165" s="4"/>
      <c r="S2165" s="4"/>
      <c r="T2165" s="4"/>
      <c r="U2165" s="4"/>
      <c r="V2165" s="4"/>
      <c r="W2165" s="4"/>
      <c r="X2165" s="4"/>
    </row>
    <row r="2166" spans="1:24" ht="14.25" customHeight="1">
      <c r="A2166" s="4"/>
      <c r="B2166" s="125">
        <v>46188</v>
      </c>
      <c r="C2166" s="126" t="s">
        <v>811</v>
      </c>
      <c r="D2166" s="15" t="s">
        <v>812</v>
      </c>
      <c r="E2166" s="10" t="str">
        <f>TRIM(VLOOKUP(D2166,TB!$B$9:$C$1500,2,FALSE))</f>
        <v>PPh Ps 21</v>
      </c>
      <c r="F2166" s="142" t="s">
        <v>813</v>
      </c>
      <c r="G2166" s="130"/>
      <c r="H2166" s="10">
        <v>3565421</v>
      </c>
      <c r="I2166" s="10"/>
      <c r="J2166" s="79" t="e">
        <f t="shared" si="160"/>
        <v>#VALUE!</v>
      </c>
      <c r="K2166" s="106"/>
      <c r="L2166" s="141"/>
      <c r="M2166" s="132"/>
      <c r="N2166" s="133"/>
      <c r="O2166" s="4"/>
      <c r="P2166" s="4"/>
      <c r="Q2166" s="4"/>
      <c r="R2166" s="4"/>
      <c r="S2166" s="4"/>
      <c r="T2166" s="4"/>
      <c r="U2166" s="4"/>
      <c r="V2166" s="4"/>
      <c r="W2166" s="4"/>
      <c r="X2166" s="4"/>
    </row>
    <row r="2167" spans="1:24" ht="14.25" customHeight="1">
      <c r="A2167" s="4"/>
      <c r="B2167" s="125">
        <v>46188</v>
      </c>
      <c r="C2167" s="126" t="s">
        <v>811</v>
      </c>
      <c r="D2167" s="68" t="s">
        <v>175</v>
      </c>
      <c r="E2167" s="10" t="str">
        <f>TRIM(VLOOKUP(D2167,TB!$B$9:$C$1500,2,FALSE))</f>
        <v>Intercompany Receivable – Treasury StarPOINTS</v>
      </c>
      <c r="F2167" s="142" t="s">
        <v>814</v>
      </c>
      <c r="G2167" s="130"/>
      <c r="H2167" s="10">
        <v>1399175</v>
      </c>
      <c r="I2167" s="10"/>
      <c r="J2167" s="79" t="e">
        <f t="shared" si="160"/>
        <v>#VALUE!</v>
      </c>
      <c r="K2167" s="106"/>
      <c r="L2167" s="141"/>
      <c r="M2167" s="132"/>
      <c r="N2167" s="133"/>
      <c r="O2167" s="4"/>
      <c r="P2167" s="4"/>
      <c r="Q2167" s="4"/>
      <c r="R2167" s="4"/>
      <c r="S2167" s="4"/>
      <c r="T2167" s="4"/>
      <c r="U2167" s="4"/>
      <c r="V2167" s="4"/>
      <c r="W2167" s="4"/>
      <c r="X2167" s="4"/>
    </row>
    <row r="2168" spans="1:24" ht="14.25" customHeight="1">
      <c r="A2168" s="4"/>
      <c r="B2168" s="125">
        <v>46188</v>
      </c>
      <c r="C2168" s="126" t="s">
        <v>811</v>
      </c>
      <c r="D2168" s="15" t="s">
        <v>815</v>
      </c>
      <c r="E2168" s="10" t="str">
        <f>TRIM(VLOOKUP(D2168,TB!$B$9:$C$1500,2,FALSE))</f>
        <v>Other staff expenses</v>
      </c>
      <c r="F2168" s="142" t="s">
        <v>813</v>
      </c>
      <c r="G2168" s="130"/>
      <c r="H2168" s="10"/>
      <c r="I2168" s="10">
        <v>892920</v>
      </c>
      <c r="J2168" s="79" t="e">
        <f t="shared" si="160"/>
        <v>#VALUE!</v>
      </c>
      <c r="K2168" s="106"/>
      <c r="L2168" s="141"/>
      <c r="M2168" s="132"/>
      <c r="N2168" s="133"/>
      <c r="O2168" s="4"/>
      <c r="P2168" s="4"/>
      <c r="Q2168" s="4"/>
      <c r="R2168" s="4"/>
      <c r="S2168" s="4"/>
      <c r="T2168" s="4"/>
      <c r="U2168" s="4"/>
      <c r="V2168" s="4"/>
      <c r="W2168" s="4"/>
      <c r="X2168" s="4"/>
    </row>
    <row r="2169" spans="1:24" ht="14.25" customHeight="1">
      <c r="A2169" s="4"/>
      <c r="B2169" s="125">
        <v>46188</v>
      </c>
      <c r="C2169" s="126" t="s">
        <v>811</v>
      </c>
      <c r="D2169" s="68" t="s">
        <v>130</v>
      </c>
      <c r="E2169" s="10" t="str">
        <f>TRIM(VLOOKUP(D2169,TB!$B$9:$C$1500,2,FALSE))</f>
        <v>BCA TBB</v>
      </c>
      <c r="F2169" s="142" t="s">
        <v>816</v>
      </c>
      <c r="G2169" s="130"/>
      <c r="H2169" s="10"/>
      <c r="I2169" s="10">
        <v>4071676</v>
      </c>
      <c r="J2169" s="79" t="e">
        <f t="shared" si="160"/>
        <v>#VALUE!</v>
      </c>
      <c r="K2169" s="106"/>
      <c r="L2169" s="141"/>
      <c r="M2169" s="132"/>
      <c r="N2169" s="133"/>
      <c r="O2169" s="4"/>
      <c r="P2169" s="4"/>
      <c r="Q2169" s="4"/>
      <c r="R2169" s="4"/>
      <c r="S2169" s="4"/>
      <c r="T2169" s="4"/>
      <c r="U2169" s="4"/>
      <c r="V2169" s="4"/>
      <c r="W2169" s="4"/>
      <c r="X2169" s="4"/>
    </row>
    <row r="2170" spans="1:24" ht="14.25" customHeight="1">
      <c r="A2170" s="4"/>
      <c r="B2170" s="125"/>
      <c r="C2170" s="126"/>
      <c r="D2170" s="159"/>
      <c r="E2170" s="10" t="e">
        <f>TRIM(VLOOKUP(D2170,TB!$B$9:$C$1500,2,FALSE))</f>
        <v>#N/A</v>
      </c>
      <c r="F2170" s="173"/>
      <c r="G2170" s="130"/>
      <c r="H2170" s="10"/>
      <c r="I2170" s="10"/>
      <c r="J2170" s="79" t="e">
        <f t="shared" si="160"/>
        <v>#VALUE!</v>
      </c>
      <c r="K2170" s="106"/>
      <c r="L2170" s="141"/>
      <c r="M2170" s="132"/>
      <c r="N2170" s="133"/>
      <c r="O2170" s="4"/>
      <c r="P2170" s="4"/>
      <c r="Q2170" s="4"/>
      <c r="R2170" s="4"/>
      <c r="S2170" s="4"/>
      <c r="T2170" s="4"/>
      <c r="U2170" s="4"/>
      <c r="V2170" s="4"/>
      <c r="W2170" s="4"/>
      <c r="X2170" s="4"/>
    </row>
    <row r="2171" spans="1:24" ht="14.25" customHeight="1">
      <c r="A2171" s="4"/>
      <c r="B2171" s="125">
        <v>46188</v>
      </c>
      <c r="C2171" s="126" t="s">
        <v>817</v>
      </c>
      <c r="D2171" s="68" t="s">
        <v>175</v>
      </c>
      <c r="E2171" s="10" t="str">
        <f>TRIM(VLOOKUP(D2171,TB!$B$9:$C$1500,2,FALSE))</f>
        <v>Intercompany Receivable – Treasury StarPOINTS</v>
      </c>
      <c r="F2171" s="142" t="s">
        <v>818</v>
      </c>
      <c r="G2171" s="130"/>
      <c r="H2171" s="10">
        <v>1500000</v>
      </c>
      <c r="I2171" s="10"/>
      <c r="J2171" s="79" t="e">
        <f t="shared" si="160"/>
        <v>#VALUE!</v>
      </c>
      <c r="K2171" s="106"/>
      <c r="L2171" s="141"/>
      <c r="M2171" s="132"/>
      <c r="N2171" s="133"/>
      <c r="O2171" s="4"/>
      <c r="P2171" s="4"/>
      <c r="Q2171" s="4"/>
      <c r="R2171" s="4"/>
      <c r="S2171" s="4"/>
      <c r="T2171" s="4"/>
      <c r="U2171" s="4"/>
      <c r="V2171" s="4"/>
      <c r="W2171" s="4"/>
      <c r="X2171" s="4"/>
    </row>
    <row r="2172" spans="1:24" ht="14.25" customHeight="1">
      <c r="A2172" s="4"/>
      <c r="B2172" s="125">
        <v>46188</v>
      </c>
      <c r="C2172" s="126" t="s">
        <v>817</v>
      </c>
      <c r="D2172" s="68" t="s">
        <v>130</v>
      </c>
      <c r="E2172" s="10" t="str">
        <f>TRIM(VLOOKUP(D2172,TB!$B$9:$C$1500,2,FALSE))</f>
        <v>BCA TBB</v>
      </c>
      <c r="F2172" s="142" t="s">
        <v>818</v>
      </c>
      <c r="G2172" s="130"/>
      <c r="H2172" s="10"/>
      <c r="I2172" s="10">
        <v>1500000</v>
      </c>
      <c r="J2172" s="79" t="e">
        <f t="shared" si="160"/>
        <v>#VALUE!</v>
      </c>
      <c r="K2172" s="106"/>
      <c r="L2172" s="141"/>
      <c r="M2172" s="132"/>
      <c r="N2172" s="133"/>
      <c r="O2172" s="4"/>
      <c r="P2172" s="4"/>
      <c r="Q2172" s="4"/>
      <c r="R2172" s="4"/>
      <c r="S2172" s="4"/>
      <c r="T2172" s="4"/>
      <c r="U2172" s="4"/>
      <c r="V2172" s="4"/>
      <c r="W2172" s="4"/>
      <c r="X2172" s="4"/>
    </row>
    <row r="2173" spans="1:24" ht="14.25" customHeight="1">
      <c r="A2173" s="4"/>
      <c r="B2173" s="125"/>
      <c r="C2173" s="126"/>
      <c r="D2173" s="159"/>
      <c r="E2173" s="10" t="e">
        <f>TRIM(VLOOKUP(D2173,TB!$B$9:$C$1500,2,FALSE))</f>
        <v>#N/A</v>
      </c>
      <c r="F2173" s="173"/>
      <c r="G2173" s="130"/>
      <c r="H2173" s="10"/>
      <c r="I2173" s="10"/>
      <c r="J2173" s="79" t="e">
        <f t="shared" si="160"/>
        <v>#VALUE!</v>
      </c>
      <c r="K2173" s="106"/>
      <c r="L2173" s="141"/>
      <c r="M2173" s="132"/>
      <c r="N2173" s="133"/>
      <c r="O2173" s="4"/>
      <c r="P2173" s="4"/>
      <c r="Q2173" s="4"/>
      <c r="R2173" s="4"/>
      <c r="S2173" s="4"/>
      <c r="T2173" s="4"/>
      <c r="U2173" s="4"/>
      <c r="V2173" s="4"/>
      <c r="W2173" s="4"/>
      <c r="X2173" s="4"/>
    </row>
    <row r="2174" spans="1:24" ht="14.25" customHeight="1">
      <c r="A2174" s="4"/>
      <c r="B2174" s="125">
        <v>46188</v>
      </c>
      <c r="C2174" s="126" t="s">
        <v>819</v>
      </c>
      <c r="D2174" s="15" t="s">
        <v>438</v>
      </c>
      <c r="E2174" s="10" t="str">
        <f>TRIM(VLOOKUP(D2174,TB!$B$9:$C$1500,2,FALSE))</f>
        <v>Brochure Flyer Printing</v>
      </c>
      <c r="F2174" s="142" t="s">
        <v>820</v>
      </c>
      <c r="G2174" s="130"/>
      <c r="H2174" s="10">
        <v>249000</v>
      </c>
      <c r="I2174" s="10"/>
      <c r="J2174" s="79" t="e">
        <f t="shared" si="160"/>
        <v>#VALUE!</v>
      </c>
      <c r="K2174" s="106"/>
      <c r="L2174" s="141"/>
      <c r="M2174" s="132"/>
      <c r="N2174" s="133"/>
      <c r="O2174" s="4"/>
      <c r="P2174" s="4"/>
      <c r="Q2174" s="4"/>
      <c r="R2174" s="4"/>
      <c r="S2174" s="4"/>
      <c r="T2174" s="4"/>
      <c r="U2174" s="4"/>
      <c r="V2174" s="4"/>
      <c r="W2174" s="4"/>
      <c r="X2174" s="4"/>
    </row>
    <row r="2175" spans="1:24" ht="14.25" customHeight="1">
      <c r="A2175" s="4"/>
      <c r="B2175" s="125">
        <v>46188</v>
      </c>
      <c r="C2175" s="126" t="s">
        <v>819</v>
      </c>
      <c r="D2175" s="68" t="s">
        <v>130</v>
      </c>
      <c r="E2175" s="10" t="str">
        <f>TRIM(VLOOKUP(D2175,TB!$B$9:$C$1500,2,FALSE))</f>
        <v>BCA TBB</v>
      </c>
      <c r="F2175" s="142" t="s">
        <v>820</v>
      </c>
      <c r="G2175" s="130"/>
      <c r="H2175" s="10"/>
      <c r="I2175" s="10">
        <v>249000</v>
      </c>
      <c r="J2175" s="79" t="e">
        <f t="shared" si="160"/>
        <v>#VALUE!</v>
      </c>
      <c r="K2175" s="106"/>
      <c r="L2175" s="141"/>
      <c r="M2175" s="132"/>
      <c r="N2175" s="133"/>
      <c r="O2175" s="4"/>
      <c r="P2175" s="4"/>
      <c r="Q2175" s="4"/>
      <c r="R2175" s="4"/>
      <c r="S2175" s="4"/>
      <c r="T2175" s="4"/>
      <c r="U2175" s="4"/>
      <c r="V2175" s="4"/>
      <c r="W2175" s="4"/>
      <c r="X2175" s="4"/>
    </row>
    <row r="2176" spans="1:24" ht="14.25" customHeight="1">
      <c r="A2176" s="4"/>
      <c r="B2176" s="125"/>
      <c r="C2176" s="126"/>
      <c r="D2176" s="159"/>
      <c r="E2176" s="10" t="e">
        <f>TRIM(VLOOKUP(D2176,TB!$B$9:$C$1500,2,FALSE))</f>
        <v>#N/A</v>
      </c>
      <c r="F2176" s="173"/>
      <c r="G2176" s="130"/>
      <c r="H2176" s="10"/>
      <c r="I2176" s="10"/>
      <c r="J2176" s="79" t="e">
        <f t="shared" si="160"/>
        <v>#VALUE!</v>
      </c>
      <c r="K2176" s="106"/>
      <c r="L2176" s="141"/>
      <c r="M2176" s="132"/>
      <c r="N2176" s="133"/>
      <c r="O2176" s="4"/>
      <c r="P2176" s="4"/>
      <c r="Q2176" s="4"/>
      <c r="R2176" s="4"/>
      <c r="S2176" s="4"/>
      <c r="T2176" s="4"/>
      <c r="U2176" s="4"/>
      <c r="V2176" s="4"/>
      <c r="W2176" s="4"/>
      <c r="X2176" s="4"/>
    </row>
    <row r="2177" spans="1:24" ht="14.25" customHeight="1">
      <c r="A2177" s="4"/>
      <c r="B2177" s="125">
        <v>46188</v>
      </c>
      <c r="C2177" s="126" t="s">
        <v>821</v>
      </c>
      <c r="D2177" s="15" t="s">
        <v>140</v>
      </c>
      <c r="E2177" s="10" t="str">
        <f>TRIM(VLOOKUP(D2177,TB!$B$9:$C$1500,2,FALSE))</f>
        <v>Prepaid others</v>
      </c>
      <c r="F2177" s="142" t="s">
        <v>822</v>
      </c>
      <c r="G2177" s="130"/>
      <c r="H2177" s="184">
        <v>128070</v>
      </c>
      <c r="I2177" s="10"/>
      <c r="J2177" s="79" t="e">
        <f t="shared" si="160"/>
        <v>#VALUE!</v>
      </c>
      <c r="K2177" s="106"/>
      <c r="L2177" s="141"/>
      <c r="M2177" s="132"/>
      <c r="N2177" s="133"/>
      <c r="O2177" s="4"/>
      <c r="P2177" s="4"/>
      <c r="Q2177" s="4"/>
      <c r="R2177" s="4"/>
      <c r="S2177" s="4"/>
      <c r="T2177" s="4"/>
      <c r="U2177" s="4"/>
      <c r="V2177" s="4"/>
      <c r="W2177" s="4"/>
      <c r="X2177" s="4"/>
    </row>
    <row r="2178" spans="1:24" ht="14.25" customHeight="1">
      <c r="A2178" s="4"/>
      <c r="B2178" s="125">
        <v>46188</v>
      </c>
      <c r="C2178" s="126" t="s">
        <v>821</v>
      </c>
      <c r="D2178" s="68" t="s">
        <v>130</v>
      </c>
      <c r="E2178" s="10" t="str">
        <f>TRIM(VLOOKUP(D2178,TB!$B$9:$C$1500,2,FALSE))</f>
        <v>BCA TBB</v>
      </c>
      <c r="F2178" s="142" t="s">
        <v>822</v>
      </c>
      <c r="G2178" s="130"/>
      <c r="H2178" s="10"/>
      <c r="I2178" s="10">
        <v>128070</v>
      </c>
      <c r="J2178" s="79" t="e">
        <f t="shared" si="160"/>
        <v>#VALUE!</v>
      </c>
      <c r="K2178" s="106"/>
      <c r="L2178" s="141"/>
      <c r="M2178" s="132"/>
      <c r="N2178" s="133"/>
      <c r="O2178" s="4"/>
      <c r="P2178" s="4"/>
      <c r="Q2178" s="4"/>
      <c r="R2178" s="4"/>
      <c r="S2178" s="4"/>
      <c r="T2178" s="4"/>
      <c r="U2178" s="4"/>
      <c r="V2178" s="4"/>
      <c r="W2178" s="4"/>
      <c r="X2178" s="4"/>
    </row>
    <row r="2179" spans="1:24" ht="14.25" customHeight="1">
      <c r="A2179" s="4"/>
      <c r="B2179" s="125"/>
      <c r="C2179" s="126"/>
      <c r="D2179" s="159"/>
      <c r="E2179" s="10" t="e">
        <f>TRIM(VLOOKUP(D2179,TB!$B$9:$C$1500,2,FALSE))</f>
        <v>#N/A</v>
      </c>
      <c r="F2179" s="173"/>
      <c r="G2179" s="130"/>
      <c r="H2179" s="10"/>
      <c r="I2179" s="10"/>
      <c r="J2179" s="79" t="e">
        <f t="shared" si="160"/>
        <v>#VALUE!</v>
      </c>
      <c r="K2179" s="106"/>
      <c r="L2179" s="141"/>
      <c r="M2179" s="132"/>
      <c r="N2179" s="133"/>
      <c r="O2179" s="4"/>
      <c r="P2179" s="4"/>
      <c r="Q2179" s="4"/>
      <c r="R2179" s="4"/>
      <c r="S2179" s="4"/>
      <c r="T2179" s="4"/>
      <c r="U2179" s="4"/>
      <c r="V2179" s="4"/>
      <c r="W2179" s="4"/>
      <c r="X2179" s="4"/>
    </row>
    <row r="2180" spans="1:24" ht="14.25" customHeight="1">
      <c r="A2180" s="4"/>
      <c r="B2180" s="125">
        <v>46188</v>
      </c>
      <c r="C2180" s="126" t="s">
        <v>823</v>
      </c>
      <c r="D2180" s="15" t="s">
        <v>438</v>
      </c>
      <c r="E2180" s="10" t="str">
        <f>TRIM(VLOOKUP(D2180,TB!$B$9:$C$1500,2,FALSE))</f>
        <v>Brochure Flyer Printing</v>
      </c>
      <c r="F2180" s="142" t="s">
        <v>824</v>
      </c>
      <c r="G2180" s="130"/>
      <c r="H2180" s="10">
        <v>138000</v>
      </c>
      <c r="I2180" s="10"/>
      <c r="J2180" s="79" t="e">
        <f t="shared" si="160"/>
        <v>#VALUE!</v>
      </c>
      <c r="K2180" s="106"/>
      <c r="L2180" s="141"/>
      <c r="M2180" s="132"/>
      <c r="N2180" s="133"/>
      <c r="O2180" s="4"/>
      <c r="P2180" s="4"/>
      <c r="Q2180" s="4"/>
      <c r="R2180" s="4"/>
      <c r="S2180" s="4"/>
      <c r="T2180" s="4"/>
      <c r="U2180" s="4"/>
      <c r="V2180" s="4"/>
      <c r="W2180" s="4"/>
      <c r="X2180" s="4"/>
    </row>
    <row r="2181" spans="1:24" ht="14.25" customHeight="1">
      <c r="A2181" s="4"/>
      <c r="B2181" s="125">
        <v>46188</v>
      </c>
      <c r="C2181" s="126" t="s">
        <v>823</v>
      </c>
      <c r="D2181" s="68" t="s">
        <v>130</v>
      </c>
      <c r="E2181" s="10" t="str">
        <f>TRIM(VLOOKUP(D2181,TB!$B$9:$C$1500,2,FALSE))</f>
        <v>BCA TBB</v>
      </c>
      <c r="F2181" s="142" t="s">
        <v>824</v>
      </c>
      <c r="G2181" s="130"/>
      <c r="H2181" s="10"/>
      <c r="I2181" s="10">
        <v>138000</v>
      </c>
      <c r="J2181" s="79" t="e">
        <f t="shared" si="160"/>
        <v>#VALUE!</v>
      </c>
      <c r="K2181" s="106"/>
      <c r="L2181" s="141"/>
      <c r="M2181" s="132"/>
      <c r="N2181" s="133"/>
      <c r="O2181" s="4"/>
      <c r="P2181" s="4"/>
      <c r="Q2181" s="4"/>
      <c r="R2181" s="4"/>
      <c r="S2181" s="4"/>
      <c r="T2181" s="4"/>
      <c r="U2181" s="4"/>
      <c r="V2181" s="4"/>
      <c r="W2181" s="4"/>
      <c r="X2181" s="4"/>
    </row>
    <row r="2182" spans="1:24" ht="14.25" customHeight="1">
      <c r="A2182" s="4"/>
      <c r="B2182" s="125"/>
      <c r="C2182" s="126"/>
      <c r="D2182" s="159"/>
      <c r="E2182" s="10" t="e">
        <f>TRIM(VLOOKUP(D2182,TB!$B$9:$C$1500,2,FALSE))</f>
        <v>#N/A</v>
      </c>
      <c r="F2182" s="142"/>
      <c r="G2182" s="130"/>
      <c r="H2182" s="10"/>
      <c r="I2182" s="10"/>
      <c r="J2182" s="79" t="e">
        <f t="shared" si="160"/>
        <v>#VALUE!</v>
      </c>
      <c r="K2182" s="106"/>
      <c r="L2182" s="141"/>
      <c r="M2182" s="132"/>
      <c r="N2182" s="133"/>
      <c r="O2182" s="4"/>
      <c r="P2182" s="4"/>
      <c r="Q2182" s="4"/>
      <c r="R2182" s="4"/>
      <c r="S2182" s="4"/>
      <c r="T2182" s="4"/>
      <c r="U2182" s="4"/>
      <c r="V2182" s="4"/>
      <c r="W2182" s="4"/>
      <c r="X2182" s="4"/>
    </row>
    <row r="2183" spans="1:24" ht="14.25" customHeight="1">
      <c r="A2183" s="4"/>
      <c r="B2183" s="125">
        <v>46189</v>
      </c>
      <c r="C2183" s="126" t="s">
        <v>825</v>
      </c>
      <c r="D2183" s="68" t="s">
        <v>130</v>
      </c>
      <c r="E2183" s="10" t="str">
        <f>TRIM(VLOOKUP(D2183,TB!$B$9:$C$1500,2,FALSE))</f>
        <v>BCA TBB</v>
      </c>
      <c r="F2183" s="142" t="s">
        <v>826</v>
      </c>
      <c r="G2183" s="130"/>
      <c r="H2183" s="10">
        <f>I2185-H2184</f>
        <v>2063127.99</v>
      </c>
      <c r="I2183" s="10"/>
      <c r="J2183" s="79" t="e">
        <f t="shared" si="160"/>
        <v>#VALUE!</v>
      </c>
      <c r="K2183" s="106"/>
      <c r="L2183" s="141"/>
      <c r="M2183" s="132"/>
      <c r="N2183" s="133"/>
      <c r="O2183" s="4"/>
      <c r="P2183" s="4"/>
      <c r="Q2183" s="4"/>
      <c r="R2183" s="4"/>
      <c r="S2183" s="4"/>
      <c r="T2183" s="4"/>
      <c r="U2183" s="4"/>
      <c r="V2183" s="4"/>
      <c r="W2183" s="4"/>
      <c r="X2183" s="4"/>
    </row>
    <row r="2184" spans="1:24" ht="14.25" customHeight="1">
      <c r="A2184" s="4"/>
      <c r="B2184" s="125">
        <v>46189</v>
      </c>
      <c r="C2184" s="126" t="s">
        <v>825</v>
      </c>
      <c r="D2184" s="15" t="s">
        <v>124</v>
      </c>
      <c r="E2184" s="10" t="str">
        <f>TRIM(VLOOKUP(D2184,TB!$B$9:$C$1500,2,FALSE))</f>
        <v>Bank charges</v>
      </c>
      <c r="F2184" s="142" t="s">
        <v>826</v>
      </c>
      <c r="G2184" s="130"/>
      <c r="H2184" s="155">
        <v>37817.01</v>
      </c>
      <c r="I2184" s="10"/>
      <c r="J2184" s="79" t="e">
        <f t="shared" si="160"/>
        <v>#VALUE!</v>
      </c>
      <c r="K2184" s="106"/>
      <c r="L2184" s="141"/>
      <c r="M2184" s="132"/>
      <c r="N2184" s="133"/>
      <c r="O2184" s="4"/>
      <c r="P2184" s="4"/>
      <c r="Q2184" s="4"/>
      <c r="R2184" s="4"/>
      <c r="S2184" s="4"/>
      <c r="T2184" s="4"/>
      <c r="U2184" s="4"/>
      <c r="V2184" s="4"/>
      <c r="W2184" s="4"/>
      <c r="X2184" s="4"/>
    </row>
    <row r="2185" spans="1:24" ht="14.25" customHeight="1">
      <c r="A2185" s="4"/>
      <c r="B2185" s="125">
        <v>46189</v>
      </c>
      <c r="C2185" s="126" t="s">
        <v>825</v>
      </c>
      <c r="D2185" s="15" t="s">
        <v>42</v>
      </c>
      <c r="E2185" s="10" t="str">
        <f>TRIM(VLOOKUP(D2185,TB!$B$9:$C$1500,2,FALSE))</f>
        <v>BCA Card TBB</v>
      </c>
      <c r="F2185" s="142" t="s">
        <v>826</v>
      </c>
      <c r="G2185" s="130"/>
      <c r="H2185" s="10"/>
      <c r="I2185" s="10">
        <v>2100945</v>
      </c>
      <c r="J2185" s="79" t="e">
        <f t="shared" si="160"/>
        <v>#VALUE!</v>
      </c>
      <c r="K2185" s="106"/>
      <c r="L2185" s="141"/>
      <c r="M2185" s="132"/>
      <c r="N2185" s="133"/>
      <c r="O2185" s="4"/>
      <c r="P2185" s="4"/>
      <c r="Q2185" s="4"/>
      <c r="R2185" s="4"/>
      <c r="S2185" s="4"/>
      <c r="T2185" s="4"/>
      <c r="U2185" s="4"/>
      <c r="V2185" s="4"/>
      <c r="W2185" s="4"/>
      <c r="X2185" s="4"/>
    </row>
    <row r="2186" spans="1:24" ht="14.25" customHeight="1">
      <c r="A2186" s="4"/>
      <c r="B2186" s="125"/>
      <c r="C2186" s="126"/>
      <c r="D2186" s="159"/>
      <c r="E2186" s="10" t="e">
        <f>TRIM(VLOOKUP(D2186,TB!$B$9:$C$1500,2,FALSE))</f>
        <v>#N/A</v>
      </c>
      <c r="F2186" s="142"/>
      <c r="G2186" s="130"/>
      <c r="H2186" s="10"/>
      <c r="I2186" s="10"/>
      <c r="J2186" s="79" t="e">
        <f t="shared" si="160"/>
        <v>#VALUE!</v>
      </c>
      <c r="K2186" s="106"/>
      <c r="L2186" s="141"/>
      <c r="M2186" s="132"/>
      <c r="N2186" s="133"/>
      <c r="O2186" s="4"/>
      <c r="P2186" s="4"/>
      <c r="Q2186" s="4"/>
      <c r="R2186" s="4"/>
      <c r="S2186" s="4"/>
      <c r="T2186" s="4"/>
      <c r="U2186" s="4"/>
      <c r="V2186" s="4"/>
      <c r="W2186" s="4"/>
      <c r="X2186" s="4"/>
    </row>
    <row r="2187" spans="1:24" ht="14.25" customHeight="1">
      <c r="A2187" s="4"/>
      <c r="B2187" s="125">
        <v>46190</v>
      </c>
      <c r="C2187" s="126" t="s">
        <v>827</v>
      </c>
      <c r="D2187" s="68" t="s">
        <v>130</v>
      </c>
      <c r="E2187" s="10" t="str">
        <f>TRIM(VLOOKUP(D2187,TB!$B$9:$C$1500,2,FALSE))</f>
        <v>BCA TBB</v>
      </c>
      <c r="F2187" s="142" t="s">
        <v>828</v>
      </c>
      <c r="G2187" s="130"/>
      <c r="H2187" s="10">
        <f>I2189-H2188</f>
        <v>745500.03</v>
      </c>
      <c r="I2187" s="10"/>
      <c r="J2187" s="79" t="e">
        <f t="shared" si="160"/>
        <v>#VALUE!</v>
      </c>
      <c r="K2187" s="106"/>
      <c r="L2187" s="141"/>
      <c r="M2187" s="132"/>
      <c r="N2187" s="133"/>
      <c r="O2187" s="4"/>
      <c r="P2187" s="4"/>
      <c r="Q2187" s="4"/>
      <c r="R2187" s="4"/>
      <c r="S2187" s="4"/>
      <c r="T2187" s="4"/>
      <c r="U2187" s="4"/>
      <c r="V2187" s="4"/>
      <c r="W2187" s="4"/>
      <c r="X2187" s="4"/>
    </row>
    <row r="2188" spans="1:24" ht="14.25" customHeight="1">
      <c r="A2188" s="4"/>
      <c r="B2188" s="125">
        <v>46190</v>
      </c>
      <c r="C2188" s="126" t="s">
        <v>827</v>
      </c>
      <c r="D2188" s="15" t="s">
        <v>124</v>
      </c>
      <c r="E2188" s="10" t="str">
        <f>TRIM(VLOOKUP(D2188,TB!$B$9:$C$1500,2,FALSE))</f>
        <v>Bank charges</v>
      </c>
      <c r="F2188" s="142" t="s">
        <v>828</v>
      </c>
      <c r="G2188" s="130"/>
      <c r="H2188" s="155">
        <v>13664.970000000001</v>
      </c>
      <c r="I2188" s="10"/>
      <c r="J2188" s="79" t="e">
        <f t="shared" si="160"/>
        <v>#VALUE!</v>
      </c>
      <c r="K2188" s="106"/>
      <c r="L2188" s="141"/>
      <c r="M2188" s="132"/>
      <c r="N2188" s="133"/>
      <c r="O2188" s="4"/>
      <c r="P2188" s="4"/>
      <c r="Q2188" s="4"/>
      <c r="R2188" s="4"/>
      <c r="S2188" s="4"/>
      <c r="T2188" s="4"/>
      <c r="U2188" s="4"/>
      <c r="V2188" s="4"/>
      <c r="W2188" s="4"/>
      <c r="X2188" s="4"/>
    </row>
    <row r="2189" spans="1:24" ht="14.25" customHeight="1">
      <c r="A2189" s="4"/>
      <c r="B2189" s="125">
        <v>46190</v>
      </c>
      <c r="C2189" s="126" t="s">
        <v>827</v>
      </c>
      <c r="D2189" s="15" t="s">
        <v>42</v>
      </c>
      <c r="E2189" s="10" t="str">
        <f>TRIM(VLOOKUP(D2189,TB!$B$9:$C$1500,2,FALSE))</f>
        <v>BCA Card TBB</v>
      </c>
      <c r="F2189" s="142" t="s">
        <v>828</v>
      </c>
      <c r="G2189" s="130"/>
      <c r="H2189" s="10"/>
      <c r="I2189" s="10">
        <v>759165</v>
      </c>
      <c r="J2189" s="79" t="e">
        <f t="shared" si="160"/>
        <v>#VALUE!</v>
      </c>
      <c r="K2189" s="106"/>
      <c r="L2189" s="141"/>
      <c r="M2189" s="132"/>
      <c r="N2189" s="133"/>
      <c r="O2189" s="4"/>
      <c r="P2189" s="4"/>
      <c r="Q2189" s="4"/>
      <c r="R2189" s="4"/>
      <c r="S2189" s="4"/>
      <c r="T2189" s="4"/>
      <c r="U2189" s="4"/>
      <c r="V2189" s="4"/>
      <c r="W2189" s="4"/>
      <c r="X2189" s="4"/>
    </row>
    <row r="2190" spans="1:24" ht="14.25" customHeight="1">
      <c r="A2190" s="4"/>
      <c r="B2190" s="125"/>
      <c r="C2190" s="126"/>
      <c r="D2190" s="159"/>
      <c r="E2190" s="10" t="e">
        <f>TRIM(VLOOKUP(D2190,TB!$B$9:$C$1500,2,FALSE))</f>
        <v>#N/A</v>
      </c>
      <c r="F2190" s="142"/>
      <c r="G2190" s="130"/>
      <c r="H2190" s="10"/>
      <c r="I2190" s="10"/>
      <c r="J2190" s="79" t="e">
        <f t="shared" si="160"/>
        <v>#VALUE!</v>
      </c>
      <c r="K2190" s="106"/>
      <c r="L2190" s="141"/>
      <c r="M2190" s="132"/>
      <c r="N2190" s="133"/>
      <c r="O2190" s="4"/>
      <c r="P2190" s="4"/>
      <c r="Q2190" s="4"/>
      <c r="R2190" s="4"/>
      <c r="S2190" s="4"/>
      <c r="T2190" s="4"/>
      <c r="U2190" s="4"/>
      <c r="V2190" s="4"/>
      <c r="W2190" s="4"/>
      <c r="X2190" s="4"/>
    </row>
    <row r="2191" spans="1:24" ht="14.25" customHeight="1">
      <c r="A2191" s="4"/>
      <c r="B2191" s="125">
        <v>46190</v>
      </c>
      <c r="C2191" s="126" t="s">
        <v>829</v>
      </c>
      <c r="D2191" s="68" t="s">
        <v>130</v>
      </c>
      <c r="E2191" s="10" t="str">
        <f>TRIM(VLOOKUP(D2191,TB!$B$9:$C$1500,2,FALSE))</f>
        <v>BCA TBB</v>
      </c>
      <c r="F2191" s="142" t="s">
        <v>830</v>
      </c>
      <c r="G2191" s="130"/>
      <c r="H2191" s="10">
        <f>I2193-H2192</f>
        <v>716339.54</v>
      </c>
      <c r="I2191" s="10"/>
      <c r="J2191" s="79" t="e">
        <f t="shared" si="160"/>
        <v>#VALUE!</v>
      </c>
      <c r="K2191" s="106"/>
      <c r="L2191" s="141"/>
      <c r="M2191" s="132"/>
      <c r="N2191" s="133"/>
      <c r="O2191" s="4"/>
      <c r="P2191" s="4"/>
      <c r="Q2191" s="4"/>
      <c r="R2191" s="4"/>
      <c r="S2191" s="4"/>
      <c r="T2191" s="4"/>
      <c r="U2191" s="4"/>
      <c r="V2191" s="4"/>
      <c r="W2191" s="4"/>
      <c r="X2191" s="4"/>
    </row>
    <row r="2192" spans="1:24" ht="14.25" customHeight="1">
      <c r="A2192" s="4"/>
      <c r="B2192" s="125">
        <v>46190</v>
      </c>
      <c r="C2192" s="126" t="s">
        <v>829</v>
      </c>
      <c r="D2192" s="15" t="s">
        <v>124</v>
      </c>
      <c r="E2192" s="10" t="str">
        <f>TRIM(VLOOKUP(D2192,TB!$B$9:$C$1500,2,FALSE))</f>
        <v>Bank charges</v>
      </c>
      <c r="F2192" s="142" t="s">
        <v>830</v>
      </c>
      <c r="G2192" s="130"/>
      <c r="H2192" s="155">
        <v>13130.460000000001</v>
      </c>
      <c r="I2192" s="10"/>
      <c r="J2192" s="79" t="e">
        <f t="shared" si="160"/>
        <v>#VALUE!</v>
      </c>
      <c r="K2192" s="106"/>
      <c r="L2192" s="141"/>
      <c r="M2192" s="132"/>
      <c r="N2192" s="133"/>
      <c r="O2192" s="4"/>
      <c r="P2192" s="4"/>
      <c r="Q2192" s="4"/>
      <c r="R2192" s="4"/>
      <c r="S2192" s="4"/>
      <c r="T2192" s="4"/>
      <c r="U2192" s="4"/>
      <c r="V2192" s="4"/>
      <c r="W2192" s="4"/>
      <c r="X2192" s="4"/>
    </row>
    <row r="2193" spans="1:24" ht="14.25" customHeight="1">
      <c r="A2193" s="4"/>
      <c r="B2193" s="125">
        <v>46190</v>
      </c>
      <c r="C2193" s="126" t="s">
        <v>829</v>
      </c>
      <c r="D2193" s="15" t="s">
        <v>42</v>
      </c>
      <c r="E2193" s="10" t="str">
        <f>TRIM(VLOOKUP(D2193,TB!$B$9:$C$1500,2,FALSE))</f>
        <v>BCA Card TBB</v>
      </c>
      <c r="F2193" s="142" t="s">
        <v>830</v>
      </c>
      <c r="G2193" s="130"/>
      <c r="H2193" s="10"/>
      <c r="I2193" s="10">
        <v>729470</v>
      </c>
      <c r="J2193" s="79" t="e">
        <f t="shared" si="160"/>
        <v>#VALUE!</v>
      </c>
      <c r="K2193" s="106"/>
      <c r="L2193" s="141"/>
      <c r="M2193" s="132"/>
      <c r="N2193" s="133"/>
      <c r="O2193" s="4"/>
      <c r="P2193" s="4"/>
      <c r="Q2193" s="4"/>
      <c r="R2193" s="4"/>
      <c r="S2193" s="4"/>
      <c r="T2193" s="4"/>
      <c r="U2193" s="4"/>
      <c r="V2193" s="4"/>
      <c r="W2193" s="4"/>
      <c r="X2193" s="4"/>
    </row>
    <row r="2194" spans="1:24" ht="14.25" customHeight="1">
      <c r="A2194" s="4"/>
      <c r="B2194" s="125"/>
      <c r="C2194" s="126"/>
      <c r="D2194" s="159"/>
      <c r="E2194" s="10" t="e">
        <f>TRIM(VLOOKUP(D2194,TB!$B$9:$C$1500,2,FALSE))</f>
        <v>#N/A</v>
      </c>
      <c r="F2194" s="142"/>
      <c r="G2194" s="130"/>
      <c r="H2194" s="10"/>
      <c r="I2194" s="10"/>
      <c r="J2194" s="79" t="e">
        <f t="shared" si="160"/>
        <v>#VALUE!</v>
      </c>
      <c r="K2194" s="106"/>
      <c r="L2194" s="141"/>
      <c r="M2194" s="132"/>
      <c r="N2194" s="133"/>
      <c r="O2194" s="4"/>
      <c r="P2194" s="4"/>
      <c r="Q2194" s="4"/>
      <c r="R2194" s="4"/>
      <c r="S2194" s="4"/>
      <c r="T2194" s="4"/>
      <c r="U2194" s="4"/>
      <c r="V2194" s="4"/>
      <c r="W2194" s="4"/>
      <c r="X2194" s="4"/>
    </row>
    <row r="2195" spans="1:24" ht="14.25" customHeight="1">
      <c r="A2195" s="4"/>
      <c r="B2195" s="125">
        <v>46191</v>
      </c>
      <c r="C2195" s="126" t="s">
        <v>831</v>
      </c>
      <c r="D2195" s="68" t="s">
        <v>130</v>
      </c>
      <c r="E2195" s="10" t="str">
        <f>TRIM(VLOOKUP(D2195,TB!$B$9:$C$1500,2,FALSE))</f>
        <v>BCA TBB</v>
      </c>
      <c r="F2195" s="142" t="s">
        <v>832</v>
      </c>
      <c r="G2195" s="130"/>
      <c r="H2195" s="10">
        <f>I2197-H2196</f>
        <v>2367469.4300000002</v>
      </c>
      <c r="I2195" s="10"/>
      <c r="J2195" s="79" t="e">
        <f t="shared" si="160"/>
        <v>#VALUE!</v>
      </c>
      <c r="K2195" s="106"/>
      <c r="L2195" s="141"/>
      <c r="M2195" s="132"/>
      <c r="N2195" s="133"/>
      <c r="O2195" s="4"/>
      <c r="P2195" s="4"/>
      <c r="Q2195" s="4"/>
      <c r="R2195" s="4"/>
      <c r="S2195" s="4"/>
      <c r="T2195" s="4"/>
      <c r="U2195" s="4"/>
      <c r="V2195" s="4"/>
      <c r="W2195" s="4"/>
      <c r="X2195" s="4"/>
    </row>
    <row r="2196" spans="1:24" ht="14.25" customHeight="1">
      <c r="A2196" s="4"/>
      <c r="B2196" s="125">
        <v>46191</v>
      </c>
      <c r="C2196" s="126" t="s">
        <v>831</v>
      </c>
      <c r="D2196" s="15" t="s">
        <v>124</v>
      </c>
      <c r="E2196" s="10" t="str">
        <f>TRIM(VLOOKUP(D2196,TB!$B$9:$C$1500,2,FALSE))</f>
        <v>Bank charges</v>
      </c>
      <c r="F2196" s="142" t="s">
        <v>832</v>
      </c>
      <c r="G2196" s="130"/>
      <c r="H2196" s="155">
        <v>43395.570000000007</v>
      </c>
      <c r="I2196" s="10"/>
      <c r="J2196" s="79" t="e">
        <f t="shared" si="160"/>
        <v>#VALUE!</v>
      </c>
      <c r="K2196" s="106"/>
      <c r="L2196" s="141"/>
      <c r="M2196" s="132"/>
      <c r="N2196" s="133"/>
      <c r="O2196" s="4"/>
      <c r="P2196" s="4"/>
      <c r="Q2196" s="4"/>
      <c r="R2196" s="4"/>
      <c r="S2196" s="4"/>
      <c r="T2196" s="4"/>
      <c r="U2196" s="4"/>
      <c r="V2196" s="4"/>
      <c r="W2196" s="4"/>
      <c r="X2196" s="4"/>
    </row>
    <row r="2197" spans="1:24" ht="14.25" customHeight="1">
      <c r="A2197" s="4"/>
      <c r="B2197" s="125">
        <v>46191</v>
      </c>
      <c r="C2197" s="126" t="s">
        <v>831</v>
      </c>
      <c r="D2197" s="15" t="s">
        <v>42</v>
      </c>
      <c r="E2197" s="10" t="str">
        <f>TRIM(VLOOKUP(D2197,TB!$B$9:$C$1500,2,FALSE))</f>
        <v>BCA Card TBB</v>
      </c>
      <c r="F2197" s="142" t="s">
        <v>832</v>
      </c>
      <c r="G2197" s="130"/>
      <c r="H2197" s="10"/>
      <c r="I2197" s="10">
        <v>2410865</v>
      </c>
      <c r="J2197" s="79" t="e">
        <f t="shared" si="160"/>
        <v>#VALUE!</v>
      </c>
      <c r="K2197" s="106"/>
      <c r="L2197" s="141"/>
      <c r="M2197" s="132"/>
      <c r="N2197" s="133"/>
      <c r="O2197" s="4"/>
      <c r="P2197" s="4"/>
      <c r="Q2197" s="4"/>
      <c r="R2197" s="4"/>
      <c r="S2197" s="4"/>
      <c r="T2197" s="4"/>
      <c r="U2197" s="4"/>
      <c r="V2197" s="4"/>
      <c r="W2197" s="4"/>
      <c r="X2197" s="4"/>
    </row>
    <row r="2198" spans="1:24" ht="14.25" customHeight="1">
      <c r="A2198" s="4"/>
      <c r="B2198" s="125"/>
      <c r="C2198" s="126"/>
      <c r="D2198" s="159"/>
      <c r="E2198" s="10" t="e">
        <f>TRIM(VLOOKUP(D2198,TB!$B$9:$C$1500,2,FALSE))</f>
        <v>#N/A</v>
      </c>
      <c r="F2198" s="142"/>
      <c r="G2198" s="130"/>
      <c r="H2198" s="10"/>
      <c r="I2198" s="10"/>
      <c r="J2198" s="79" t="e">
        <f t="shared" si="160"/>
        <v>#VALUE!</v>
      </c>
      <c r="K2198" s="106"/>
      <c r="L2198" s="141"/>
      <c r="M2198" s="132"/>
      <c r="N2198" s="133"/>
      <c r="O2198" s="4"/>
      <c r="P2198" s="4"/>
      <c r="Q2198" s="4"/>
      <c r="R2198" s="4"/>
      <c r="S2198" s="4"/>
      <c r="T2198" s="4"/>
      <c r="U2198" s="4"/>
      <c r="V2198" s="4"/>
      <c r="W2198" s="4"/>
      <c r="X2198" s="4"/>
    </row>
    <row r="2199" spans="1:24" ht="14.25" customHeight="1">
      <c r="A2199" s="4"/>
      <c r="B2199" s="125">
        <v>46191</v>
      </c>
      <c r="C2199" s="126" t="s">
        <v>833</v>
      </c>
      <c r="D2199" s="68" t="s">
        <v>130</v>
      </c>
      <c r="E2199" s="10" t="str">
        <f>TRIM(VLOOKUP(D2199,TB!$B$9:$C$1500,2,FALSE))</f>
        <v>BCA TBB</v>
      </c>
      <c r="F2199" s="142" t="s">
        <v>834</v>
      </c>
      <c r="G2199" s="130"/>
      <c r="H2199" s="10">
        <f>I2201-H2200</f>
        <v>20122721.739999998</v>
      </c>
      <c r="I2199" s="10"/>
      <c r="J2199" s="79" t="e">
        <f t="shared" si="160"/>
        <v>#VALUE!</v>
      </c>
      <c r="K2199" s="106"/>
      <c r="L2199" s="141"/>
      <c r="M2199" s="132"/>
      <c r="N2199" s="133"/>
      <c r="O2199" s="4"/>
      <c r="P2199" s="4"/>
      <c r="Q2199" s="4"/>
      <c r="R2199" s="4"/>
      <c r="S2199" s="4"/>
      <c r="T2199" s="4"/>
      <c r="U2199" s="4"/>
      <c r="V2199" s="4"/>
      <c r="W2199" s="4"/>
      <c r="X2199" s="4"/>
    </row>
    <row r="2200" spans="1:24" ht="14.25" customHeight="1">
      <c r="A2200" s="4"/>
      <c r="B2200" s="125">
        <v>46191</v>
      </c>
      <c r="C2200" s="126" t="s">
        <v>833</v>
      </c>
      <c r="D2200" s="15" t="s">
        <v>124</v>
      </c>
      <c r="E2200" s="10" t="str">
        <f>TRIM(VLOOKUP(D2200,TB!$B$9:$C$1500,2,FALSE))</f>
        <v>Bank charges</v>
      </c>
      <c r="F2200" s="142" t="s">
        <v>834</v>
      </c>
      <c r="G2200" s="130"/>
      <c r="H2200" s="155">
        <v>368848.26000000007</v>
      </c>
      <c r="I2200" s="10"/>
      <c r="J2200" s="79" t="e">
        <f t="shared" si="160"/>
        <v>#VALUE!</v>
      </c>
      <c r="K2200" s="106"/>
      <c r="L2200" s="141"/>
      <c r="M2200" s="132"/>
      <c r="N2200" s="133"/>
      <c r="O2200" s="4"/>
      <c r="P2200" s="4"/>
      <c r="Q2200" s="4"/>
      <c r="R2200" s="4"/>
      <c r="S2200" s="4"/>
      <c r="T2200" s="4"/>
      <c r="U2200" s="4"/>
      <c r="V2200" s="4"/>
      <c r="W2200" s="4"/>
      <c r="X2200" s="4"/>
    </row>
    <row r="2201" spans="1:24" ht="14.25" customHeight="1">
      <c r="A2201" s="4"/>
      <c r="B2201" s="125">
        <v>46191</v>
      </c>
      <c r="C2201" s="126" t="s">
        <v>833</v>
      </c>
      <c r="D2201" s="15" t="s">
        <v>42</v>
      </c>
      <c r="E2201" s="10" t="str">
        <f>TRIM(VLOOKUP(D2201,TB!$B$9:$C$1500,2,FALSE))</f>
        <v>BCA Card TBB</v>
      </c>
      <c r="F2201" s="142" t="s">
        <v>834</v>
      </c>
      <c r="G2201" s="130"/>
      <c r="H2201" s="10"/>
      <c r="I2201" s="10">
        <v>20491570</v>
      </c>
      <c r="J2201" s="79" t="e">
        <f t="shared" si="160"/>
        <v>#VALUE!</v>
      </c>
      <c r="K2201" s="106"/>
      <c r="L2201" s="141"/>
      <c r="M2201" s="132"/>
      <c r="N2201" s="133"/>
      <c r="O2201" s="4"/>
      <c r="P2201" s="4"/>
      <c r="Q2201" s="4"/>
      <c r="R2201" s="4"/>
      <c r="S2201" s="4"/>
      <c r="T2201" s="4"/>
      <c r="U2201" s="4"/>
      <c r="V2201" s="4"/>
      <c r="W2201" s="4"/>
      <c r="X2201" s="4"/>
    </row>
    <row r="2202" spans="1:24" ht="14.25" customHeight="1">
      <c r="A2202" s="4"/>
      <c r="B2202" s="125"/>
      <c r="C2202" s="126"/>
      <c r="D2202" s="159"/>
      <c r="E2202" s="10" t="e">
        <f>TRIM(VLOOKUP(D2202,TB!$B$9:$C$1500,2,FALSE))</f>
        <v>#N/A</v>
      </c>
      <c r="F2202" s="142"/>
      <c r="G2202" s="130"/>
      <c r="H2202" s="10"/>
      <c r="I2202" s="10"/>
      <c r="J2202" s="79" t="e">
        <f t="shared" si="160"/>
        <v>#VALUE!</v>
      </c>
      <c r="K2202" s="106"/>
      <c r="L2202" s="141"/>
      <c r="M2202" s="132"/>
      <c r="N2202" s="133"/>
      <c r="O2202" s="4"/>
      <c r="P2202" s="4"/>
      <c r="Q2202" s="4"/>
      <c r="R2202" s="4"/>
      <c r="S2202" s="4"/>
      <c r="T2202" s="4"/>
      <c r="U2202" s="4"/>
      <c r="V2202" s="4"/>
      <c r="W2202" s="4"/>
      <c r="X2202" s="4"/>
    </row>
    <row r="2203" spans="1:24" ht="14.25" customHeight="1">
      <c r="A2203" s="4"/>
      <c r="B2203" s="125">
        <v>46191</v>
      </c>
      <c r="C2203" s="126" t="s">
        <v>835</v>
      </c>
      <c r="D2203" s="68" t="s">
        <v>130</v>
      </c>
      <c r="E2203" s="10" t="str">
        <f>TRIM(VLOOKUP(D2203,TB!$B$9:$C$1500,2,FALSE))</f>
        <v>BCA TBB</v>
      </c>
      <c r="F2203" s="142" t="s">
        <v>836</v>
      </c>
      <c r="G2203" s="130"/>
      <c r="H2203" s="10">
        <f>I2205-H2204</f>
        <v>1978391.21</v>
      </c>
      <c r="I2203" s="10"/>
      <c r="J2203" s="79" t="e">
        <f t="shared" si="160"/>
        <v>#VALUE!</v>
      </c>
      <c r="K2203" s="106"/>
      <c r="L2203" s="141"/>
      <c r="M2203" s="132"/>
      <c r="N2203" s="133"/>
      <c r="O2203" s="4"/>
      <c r="P2203" s="4"/>
      <c r="Q2203" s="4"/>
      <c r="R2203" s="4"/>
      <c r="S2203" s="4"/>
      <c r="T2203" s="4"/>
      <c r="U2203" s="4"/>
      <c r="V2203" s="4"/>
      <c r="W2203" s="4"/>
      <c r="X2203" s="4"/>
    </row>
    <row r="2204" spans="1:24" ht="14.25" customHeight="1">
      <c r="A2204" s="4"/>
      <c r="B2204" s="125">
        <v>46191</v>
      </c>
      <c r="C2204" s="126" t="s">
        <v>835</v>
      </c>
      <c r="D2204" s="15" t="s">
        <v>124</v>
      </c>
      <c r="E2204" s="10" t="str">
        <f>TRIM(VLOOKUP(D2204,TB!$B$9:$C$1500,2,FALSE))</f>
        <v>Bank charges</v>
      </c>
      <c r="F2204" s="142" t="s">
        <v>836</v>
      </c>
      <c r="G2204" s="130"/>
      <c r="H2204" s="155">
        <v>36263.79</v>
      </c>
      <c r="I2204" s="10"/>
      <c r="J2204" s="79" t="e">
        <f t="shared" si="160"/>
        <v>#VALUE!</v>
      </c>
      <c r="K2204" s="106"/>
      <c r="L2204" s="141"/>
      <c r="M2204" s="132"/>
      <c r="N2204" s="133"/>
      <c r="O2204" s="4"/>
      <c r="P2204" s="4"/>
      <c r="Q2204" s="4"/>
      <c r="R2204" s="4"/>
      <c r="S2204" s="4"/>
      <c r="T2204" s="4"/>
      <c r="U2204" s="4"/>
      <c r="V2204" s="4"/>
      <c r="W2204" s="4"/>
      <c r="X2204" s="4"/>
    </row>
    <row r="2205" spans="1:24" ht="14.25" customHeight="1">
      <c r="A2205" s="4"/>
      <c r="B2205" s="125">
        <v>46191</v>
      </c>
      <c r="C2205" s="126" t="s">
        <v>835</v>
      </c>
      <c r="D2205" s="15" t="s">
        <v>42</v>
      </c>
      <c r="E2205" s="10" t="str">
        <f>TRIM(VLOOKUP(D2205,TB!$B$9:$C$1500,2,FALSE))</f>
        <v>BCA Card TBB</v>
      </c>
      <c r="F2205" s="142" t="s">
        <v>836</v>
      </c>
      <c r="G2205" s="130"/>
      <c r="H2205" s="10"/>
      <c r="I2205" s="10">
        <v>2014655</v>
      </c>
      <c r="J2205" s="79" t="e">
        <f t="shared" si="160"/>
        <v>#VALUE!</v>
      </c>
      <c r="K2205" s="106"/>
      <c r="L2205" s="141"/>
      <c r="M2205" s="132"/>
      <c r="N2205" s="133"/>
      <c r="O2205" s="4"/>
      <c r="P2205" s="4"/>
      <c r="Q2205" s="4"/>
      <c r="R2205" s="4"/>
      <c r="S2205" s="4"/>
      <c r="T2205" s="4"/>
      <c r="U2205" s="4"/>
      <c r="V2205" s="4"/>
      <c r="W2205" s="4"/>
      <c r="X2205" s="4"/>
    </row>
    <row r="2206" spans="1:24" ht="14.25" customHeight="1">
      <c r="A2206" s="4"/>
      <c r="B2206" s="125"/>
      <c r="C2206" s="126"/>
      <c r="D2206" s="159"/>
      <c r="E2206" s="10" t="e">
        <f>TRIM(VLOOKUP(D2206,TB!$B$9:$C$1500,2,FALSE))</f>
        <v>#N/A</v>
      </c>
      <c r="F2206" s="142"/>
      <c r="G2206" s="130"/>
      <c r="H2206" s="10"/>
      <c r="I2206" s="10"/>
      <c r="J2206" s="79" t="e">
        <f t="shared" si="160"/>
        <v>#VALUE!</v>
      </c>
      <c r="K2206" s="106"/>
      <c r="L2206" s="141"/>
      <c r="M2206" s="132"/>
      <c r="N2206" s="133"/>
      <c r="O2206" s="4"/>
      <c r="P2206" s="4"/>
      <c r="Q2206" s="4"/>
      <c r="R2206" s="4"/>
      <c r="S2206" s="4"/>
      <c r="T2206" s="4"/>
      <c r="U2206" s="4"/>
      <c r="V2206" s="4"/>
      <c r="W2206" s="4"/>
      <c r="X2206" s="4"/>
    </row>
    <row r="2207" spans="1:24" ht="14.25" customHeight="1">
      <c r="A2207" s="4"/>
      <c r="B2207" s="125">
        <v>46192</v>
      </c>
      <c r="C2207" s="126" t="s">
        <v>837</v>
      </c>
      <c r="D2207" s="68" t="s">
        <v>130</v>
      </c>
      <c r="E2207" s="10" t="str">
        <f>TRIM(VLOOKUP(D2207,TB!$B$9:$C$1500,2,FALSE))</f>
        <v>BCA TBB</v>
      </c>
      <c r="F2207" s="142" t="s">
        <v>838</v>
      </c>
      <c r="G2207" s="130"/>
      <c r="H2207" s="10">
        <f>I2209-H2208</f>
        <v>1074907.02</v>
      </c>
      <c r="I2207" s="10"/>
      <c r="J2207" s="79" t="e">
        <f t="shared" si="160"/>
        <v>#VALUE!</v>
      </c>
      <c r="K2207" s="106"/>
      <c r="L2207" s="141"/>
      <c r="M2207" s="132"/>
      <c r="N2207" s="133"/>
      <c r="O2207" s="4"/>
      <c r="P2207" s="4"/>
      <c r="Q2207" s="4"/>
      <c r="R2207" s="4"/>
      <c r="S2207" s="4"/>
      <c r="T2207" s="4"/>
      <c r="U2207" s="4"/>
      <c r="V2207" s="4"/>
      <c r="W2207" s="4"/>
      <c r="X2207" s="4"/>
    </row>
    <row r="2208" spans="1:24" ht="14.25" customHeight="1">
      <c r="A2208" s="4"/>
      <c r="B2208" s="125">
        <v>46192</v>
      </c>
      <c r="C2208" s="126" t="s">
        <v>837</v>
      </c>
      <c r="D2208" s="15" t="s">
        <v>124</v>
      </c>
      <c r="E2208" s="10" t="str">
        <f>TRIM(VLOOKUP(D2208,TB!$B$9:$C$1500,2,FALSE))</f>
        <v>Bank charges</v>
      </c>
      <c r="F2208" s="142" t="s">
        <v>838</v>
      </c>
      <c r="G2208" s="130"/>
      <c r="H2208" s="155">
        <v>19702.980000000003</v>
      </c>
      <c r="I2208" s="10"/>
      <c r="J2208" s="79" t="e">
        <f t="shared" si="160"/>
        <v>#VALUE!</v>
      </c>
      <c r="K2208" s="106"/>
      <c r="L2208" s="141"/>
      <c r="M2208" s="132"/>
      <c r="N2208" s="133"/>
      <c r="O2208" s="4"/>
      <c r="P2208" s="4"/>
      <c r="Q2208" s="4"/>
      <c r="R2208" s="4"/>
      <c r="S2208" s="4"/>
      <c r="T2208" s="4"/>
      <c r="U2208" s="4"/>
      <c r="V2208" s="4"/>
      <c r="W2208" s="4"/>
      <c r="X2208" s="4"/>
    </row>
    <row r="2209" spans="1:24" ht="14.25" customHeight="1">
      <c r="A2209" s="4"/>
      <c r="B2209" s="125">
        <v>46192</v>
      </c>
      <c r="C2209" s="126" t="s">
        <v>837</v>
      </c>
      <c r="D2209" s="15" t="s">
        <v>42</v>
      </c>
      <c r="E2209" s="10" t="str">
        <f>TRIM(VLOOKUP(D2209,TB!$B$9:$C$1500,2,FALSE))</f>
        <v>BCA Card TBB</v>
      </c>
      <c r="F2209" s="142" t="s">
        <v>838</v>
      </c>
      <c r="G2209" s="130"/>
      <c r="H2209" s="10"/>
      <c r="I2209" s="10">
        <v>1094610</v>
      </c>
      <c r="J2209" s="79" t="e">
        <f t="shared" si="160"/>
        <v>#VALUE!</v>
      </c>
      <c r="K2209" s="106"/>
      <c r="L2209" s="141"/>
      <c r="M2209" s="132"/>
      <c r="N2209" s="133"/>
      <c r="O2209" s="4"/>
      <c r="P2209" s="4"/>
      <c r="Q2209" s="4"/>
      <c r="R2209" s="4"/>
      <c r="S2209" s="4"/>
      <c r="T2209" s="4"/>
      <c r="U2209" s="4"/>
      <c r="V2209" s="4"/>
      <c r="W2209" s="4"/>
      <c r="X2209" s="4"/>
    </row>
    <row r="2210" spans="1:24" ht="14.25" customHeight="1">
      <c r="A2210" s="4"/>
      <c r="B2210" s="125"/>
      <c r="C2210" s="126"/>
      <c r="D2210" s="159"/>
      <c r="E2210" s="10" t="e">
        <f>TRIM(VLOOKUP(D2210,TB!$B$9:$C$1500,2,FALSE))</f>
        <v>#N/A</v>
      </c>
      <c r="F2210" s="142"/>
      <c r="G2210" s="130"/>
      <c r="H2210" s="10"/>
      <c r="I2210" s="10"/>
      <c r="J2210" s="79" t="e">
        <f t="shared" si="160"/>
        <v>#VALUE!</v>
      </c>
      <c r="K2210" s="106"/>
      <c r="L2210" s="141"/>
      <c r="M2210" s="132"/>
      <c r="N2210" s="133"/>
      <c r="O2210" s="4"/>
      <c r="P2210" s="4"/>
      <c r="Q2210" s="4"/>
      <c r="R2210" s="4"/>
      <c r="S2210" s="4"/>
      <c r="T2210" s="4"/>
      <c r="U2210" s="4"/>
      <c r="V2210" s="4"/>
      <c r="W2210" s="4"/>
      <c r="X2210" s="4"/>
    </row>
    <row r="2211" spans="1:24" ht="14.25" customHeight="1">
      <c r="A2211" s="4"/>
      <c r="B2211" s="125">
        <v>46192</v>
      </c>
      <c r="C2211" s="126" t="s">
        <v>839</v>
      </c>
      <c r="D2211" s="68" t="s">
        <v>130</v>
      </c>
      <c r="E2211" s="10" t="str">
        <f>TRIM(VLOOKUP(D2211,TB!$B$9:$C$1500,2,FALSE))</f>
        <v>BCA TBB</v>
      </c>
      <c r="F2211" s="142" t="s">
        <v>840</v>
      </c>
      <c r="G2211" s="130"/>
      <c r="H2211" s="177">
        <v>3000000</v>
      </c>
      <c r="I2211" s="10"/>
      <c r="J2211" s="79" t="e">
        <f t="shared" si="160"/>
        <v>#VALUE!</v>
      </c>
      <c r="K2211" s="106"/>
      <c r="L2211" s="141"/>
      <c r="M2211" s="132"/>
      <c r="N2211" s="133"/>
      <c r="O2211" s="4"/>
      <c r="P2211" s="4"/>
      <c r="Q2211" s="4"/>
      <c r="R2211" s="4"/>
      <c r="S2211" s="4"/>
      <c r="T2211" s="4"/>
      <c r="U2211" s="4"/>
      <c r="V2211" s="4"/>
      <c r="W2211" s="4"/>
      <c r="X2211" s="4"/>
    </row>
    <row r="2212" spans="1:24" ht="14.25" customHeight="1">
      <c r="A2212" s="4"/>
      <c r="B2212" s="125">
        <v>46192</v>
      </c>
      <c r="C2212" s="126" t="s">
        <v>839</v>
      </c>
      <c r="D2212" s="15" t="s">
        <v>42</v>
      </c>
      <c r="E2212" s="10" t="str">
        <f>TRIM(VLOOKUP(D2212,TB!$B$9:$C$1500,2,FALSE))</f>
        <v>BCA Card TBB</v>
      </c>
      <c r="F2212" s="142" t="s">
        <v>840</v>
      </c>
      <c r="G2212" s="130"/>
      <c r="H2212" s="10"/>
      <c r="I2212" s="177">
        <v>3000000</v>
      </c>
      <c r="J2212" s="79" t="e">
        <f t="shared" si="160"/>
        <v>#VALUE!</v>
      </c>
      <c r="K2212" s="106"/>
      <c r="L2212" s="141"/>
      <c r="M2212" s="132"/>
      <c r="N2212" s="133"/>
      <c r="O2212" s="4"/>
      <c r="P2212" s="4"/>
      <c r="Q2212" s="4"/>
      <c r="R2212" s="4"/>
      <c r="S2212" s="4"/>
      <c r="T2212" s="4"/>
      <c r="U2212" s="4"/>
      <c r="V2212" s="4"/>
      <c r="W2212" s="4"/>
      <c r="X2212" s="4"/>
    </row>
    <row r="2213" spans="1:24" ht="14.25" customHeight="1">
      <c r="A2213" s="4"/>
      <c r="B2213" s="125"/>
      <c r="C2213" s="126"/>
      <c r="D2213" s="174"/>
      <c r="E2213" s="10" t="e">
        <f>TRIM(VLOOKUP(D2213,TB!$B$9:$C$1500,2,FALSE))</f>
        <v>#N/A</v>
      </c>
      <c r="F2213" s="142"/>
      <c r="G2213" s="130"/>
      <c r="H2213" s="10"/>
      <c r="I2213" s="10"/>
      <c r="J2213" s="79" t="e">
        <f t="shared" si="160"/>
        <v>#VALUE!</v>
      </c>
      <c r="K2213" s="106"/>
      <c r="L2213" s="141"/>
      <c r="M2213" s="132"/>
      <c r="N2213" s="133"/>
      <c r="O2213" s="4"/>
      <c r="P2213" s="4"/>
      <c r="Q2213" s="4"/>
      <c r="R2213" s="4"/>
      <c r="S2213" s="4"/>
      <c r="T2213" s="4"/>
      <c r="U2213" s="4"/>
      <c r="V2213" s="4"/>
      <c r="W2213" s="4"/>
      <c r="X2213" s="4"/>
    </row>
    <row r="2214" spans="1:24" ht="14.25" customHeight="1">
      <c r="A2214" s="4"/>
      <c r="B2214" s="125">
        <v>46192</v>
      </c>
      <c r="C2214" s="126" t="s">
        <v>841</v>
      </c>
      <c r="D2214" s="15" t="s">
        <v>188</v>
      </c>
      <c r="E2214" s="10" t="str">
        <f>TRIM(VLOOKUP(D2214,TB!$B$9:$C$1500,2,FALSE))</f>
        <v>Advertising Costs</v>
      </c>
      <c r="F2214" s="142" t="s">
        <v>842</v>
      </c>
      <c r="G2214" s="130"/>
      <c r="H2214" s="10">
        <v>4200000</v>
      </c>
      <c r="I2214" s="10"/>
      <c r="J2214" s="79" t="e">
        <f t="shared" si="160"/>
        <v>#VALUE!</v>
      </c>
      <c r="K2214" s="106"/>
      <c r="L2214" s="141"/>
      <c r="M2214" s="132"/>
      <c r="N2214" s="133"/>
      <c r="O2214" s="4"/>
      <c r="P2214" s="4"/>
      <c r="Q2214" s="4"/>
      <c r="R2214" s="4"/>
      <c r="S2214" s="4"/>
      <c r="T2214" s="4"/>
      <c r="U2214" s="4"/>
      <c r="V2214" s="4"/>
      <c r="W2214" s="4"/>
      <c r="X2214" s="4"/>
    </row>
    <row r="2215" spans="1:24" ht="14.25" customHeight="1">
      <c r="A2215" s="4"/>
      <c r="B2215" s="125">
        <v>46192</v>
      </c>
      <c r="C2215" s="126" t="s">
        <v>841</v>
      </c>
      <c r="D2215" s="15" t="s">
        <v>124</v>
      </c>
      <c r="E2215" s="10" t="str">
        <f>TRIM(VLOOKUP(D2215,TB!$B$9:$C$1500,2,FALSE))</f>
        <v>Bank charges</v>
      </c>
      <c r="F2215" s="142" t="s">
        <v>842</v>
      </c>
      <c r="G2215" s="130"/>
      <c r="H2215" s="10">
        <v>1000</v>
      </c>
      <c r="I2215" s="10"/>
      <c r="J2215" s="79" t="e">
        <f t="shared" si="160"/>
        <v>#VALUE!</v>
      </c>
      <c r="K2215" s="106"/>
      <c r="L2215" s="141"/>
      <c r="M2215" s="132"/>
      <c r="N2215" s="133"/>
      <c r="O2215" s="4"/>
      <c r="P2215" s="4"/>
      <c r="Q2215" s="4"/>
      <c r="R2215" s="4"/>
      <c r="S2215" s="4"/>
      <c r="T2215" s="4"/>
      <c r="U2215" s="4"/>
      <c r="V2215" s="4"/>
      <c r="W2215" s="4"/>
      <c r="X2215" s="4"/>
    </row>
    <row r="2216" spans="1:24" ht="14.25" customHeight="1">
      <c r="A2216" s="4"/>
      <c r="B2216" s="125">
        <v>46192</v>
      </c>
      <c r="C2216" s="126" t="s">
        <v>841</v>
      </c>
      <c r="D2216" s="68" t="s">
        <v>130</v>
      </c>
      <c r="E2216" s="10" t="str">
        <f>TRIM(VLOOKUP(D2216,TB!$B$9:$C$1500,2,FALSE))</f>
        <v>BCA TBB</v>
      </c>
      <c r="F2216" s="142" t="s">
        <v>842</v>
      </c>
      <c r="G2216" s="130"/>
      <c r="H2216" s="10"/>
      <c r="I2216" s="10">
        <v>4201000</v>
      </c>
      <c r="J2216" s="79" t="e">
        <f t="shared" si="160"/>
        <v>#VALUE!</v>
      </c>
      <c r="K2216" s="106"/>
      <c r="L2216" s="141"/>
      <c r="M2216" s="132"/>
      <c r="N2216" s="133"/>
      <c r="O2216" s="4"/>
      <c r="P2216" s="4"/>
      <c r="Q2216" s="4"/>
      <c r="R2216" s="4"/>
      <c r="S2216" s="4"/>
      <c r="T2216" s="4"/>
      <c r="U2216" s="4"/>
      <c r="V2216" s="4"/>
      <c r="W2216" s="4"/>
      <c r="X2216" s="4"/>
    </row>
    <row r="2217" spans="1:24" ht="14.25" customHeight="1">
      <c r="A2217" s="4"/>
      <c r="B2217" s="125"/>
      <c r="C2217" s="126"/>
      <c r="D2217" s="159"/>
      <c r="E2217" s="10" t="e">
        <f>TRIM(VLOOKUP(D2217,TB!$B$9:$C$1500,2,FALSE))</f>
        <v>#N/A</v>
      </c>
      <c r="F2217" s="142"/>
      <c r="G2217" s="130"/>
      <c r="H2217" s="10"/>
      <c r="I2217" s="10"/>
      <c r="J2217" s="79" t="e">
        <f t="shared" si="160"/>
        <v>#VALUE!</v>
      </c>
      <c r="K2217" s="106"/>
      <c r="L2217" s="141"/>
      <c r="M2217" s="132"/>
      <c r="N2217" s="133"/>
      <c r="O2217" s="4"/>
      <c r="P2217" s="4"/>
      <c r="Q2217" s="4"/>
      <c r="R2217" s="4"/>
      <c r="S2217" s="4"/>
      <c r="T2217" s="4"/>
      <c r="U2217" s="4"/>
      <c r="V2217" s="4"/>
      <c r="W2217" s="4"/>
      <c r="X2217" s="4"/>
    </row>
    <row r="2218" spans="1:24" ht="14.25" customHeight="1">
      <c r="A2218" s="4"/>
      <c r="B2218" s="125">
        <v>46192</v>
      </c>
      <c r="C2218" s="126" t="s">
        <v>843</v>
      </c>
      <c r="D2218" s="15" t="s">
        <v>438</v>
      </c>
      <c r="E2218" s="10" t="str">
        <f>TRIM(VLOOKUP(D2218,TB!$B$9:$C$1500,2,FALSE))</f>
        <v>Brochure Flyer Printing</v>
      </c>
      <c r="F2218" s="142" t="s">
        <v>844</v>
      </c>
      <c r="G2218" s="130"/>
      <c r="H2218" s="10">
        <v>130000</v>
      </c>
      <c r="I2218" s="10"/>
      <c r="J2218" s="79" t="e">
        <f t="shared" si="160"/>
        <v>#VALUE!</v>
      </c>
      <c r="K2218" s="106"/>
      <c r="L2218" s="141"/>
      <c r="M2218" s="132"/>
      <c r="N2218" s="133"/>
      <c r="O2218" s="4"/>
      <c r="P2218" s="4"/>
      <c r="Q2218" s="4"/>
      <c r="R2218" s="4"/>
      <c r="S2218" s="4"/>
      <c r="T2218" s="4"/>
      <c r="U2218" s="4"/>
      <c r="V2218" s="4"/>
      <c r="W2218" s="4"/>
      <c r="X2218" s="4"/>
    </row>
    <row r="2219" spans="1:24" ht="14.25" customHeight="1">
      <c r="A2219" s="4"/>
      <c r="B2219" s="125">
        <v>46192</v>
      </c>
      <c r="C2219" s="126" t="s">
        <v>843</v>
      </c>
      <c r="D2219" s="68" t="s">
        <v>130</v>
      </c>
      <c r="E2219" s="10" t="str">
        <f>TRIM(VLOOKUP(D2219,TB!$B$9:$C$1500,2,FALSE))</f>
        <v>BCA TBB</v>
      </c>
      <c r="F2219" s="142" t="s">
        <v>844</v>
      </c>
      <c r="G2219" s="130"/>
      <c r="H2219" s="10"/>
      <c r="I2219" s="10">
        <v>130000</v>
      </c>
      <c r="J2219" s="79" t="e">
        <f t="shared" si="160"/>
        <v>#VALUE!</v>
      </c>
      <c r="K2219" s="106"/>
      <c r="L2219" s="141"/>
      <c r="M2219" s="132"/>
      <c r="N2219" s="133"/>
      <c r="O2219" s="4"/>
      <c r="P2219" s="4"/>
      <c r="Q2219" s="4"/>
      <c r="R2219" s="4"/>
      <c r="S2219" s="4"/>
      <c r="T2219" s="4"/>
      <c r="U2219" s="4"/>
      <c r="V2219" s="4"/>
      <c r="W2219" s="4"/>
      <c r="X2219" s="4"/>
    </row>
    <row r="2220" spans="1:24" ht="14.25" customHeight="1">
      <c r="A2220" s="4"/>
      <c r="B2220" s="125"/>
      <c r="C2220" s="126"/>
      <c r="D2220" s="159"/>
      <c r="E2220" s="10" t="e">
        <f>TRIM(VLOOKUP(D2220,TB!$B$9:$C$1500,2,FALSE))</f>
        <v>#N/A</v>
      </c>
      <c r="F2220" s="142"/>
      <c r="G2220" s="130"/>
      <c r="H2220" s="10"/>
      <c r="I2220" s="10"/>
      <c r="J2220" s="79" t="e">
        <f t="shared" si="160"/>
        <v>#VALUE!</v>
      </c>
      <c r="K2220" s="106"/>
      <c r="L2220" s="141"/>
      <c r="M2220" s="132"/>
      <c r="N2220" s="133"/>
      <c r="O2220" s="4"/>
      <c r="P2220" s="4"/>
      <c r="Q2220" s="4"/>
      <c r="R2220" s="4"/>
      <c r="S2220" s="4"/>
      <c r="T2220" s="4"/>
      <c r="U2220" s="4"/>
      <c r="V2220" s="4"/>
      <c r="W2220" s="4"/>
      <c r="X2220" s="4"/>
    </row>
    <row r="2221" spans="1:24" ht="14.25" customHeight="1">
      <c r="A2221" s="4"/>
      <c r="B2221" s="125">
        <v>46192</v>
      </c>
      <c r="C2221" s="126" t="s">
        <v>845</v>
      </c>
      <c r="D2221" s="15" t="s">
        <v>617</v>
      </c>
      <c r="E2221" s="10" t="str">
        <f>TRIM(VLOOKUP(D2221,TB!$B$9:$C$1500,2,FALSE))</f>
        <v>Cleaning Supplies &amp; Expenses</v>
      </c>
      <c r="F2221" s="142" t="s">
        <v>846</v>
      </c>
      <c r="G2221" s="130"/>
      <c r="H2221" s="10">
        <v>1000000</v>
      </c>
      <c r="I2221" s="10"/>
      <c r="J2221" s="79" t="e">
        <f t="shared" si="160"/>
        <v>#VALUE!</v>
      </c>
      <c r="K2221" s="106"/>
      <c r="L2221" s="141"/>
      <c r="M2221" s="132"/>
      <c r="N2221" s="133"/>
      <c r="O2221" s="4"/>
      <c r="P2221" s="4"/>
      <c r="Q2221" s="4"/>
      <c r="R2221" s="4"/>
      <c r="S2221" s="4"/>
      <c r="T2221" s="4"/>
      <c r="U2221" s="4"/>
      <c r="V2221" s="4"/>
      <c r="W2221" s="4"/>
      <c r="X2221" s="4"/>
    </row>
    <row r="2222" spans="1:24" ht="14.25" customHeight="1">
      <c r="A2222" s="4"/>
      <c r="B2222" s="125">
        <v>46192</v>
      </c>
      <c r="C2222" s="126" t="s">
        <v>845</v>
      </c>
      <c r="D2222" s="15" t="s">
        <v>124</v>
      </c>
      <c r="E2222" s="10" t="str">
        <f>TRIM(VLOOKUP(D2222,TB!$B$9:$C$1500,2,FALSE))</f>
        <v>Bank charges</v>
      </c>
      <c r="F2222" s="142" t="s">
        <v>846</v>
      </c>
      <c r="G2222" s="130"/>
      <c r="H2222" s="10">
        <v>2500</v>
      </c>
      <c r="I2222" s="10"/>
      <c r="J2222" s="79" t="e">
        <f t="shared" si="160"/>
        <v>#VALUE!</v>
      </c>
      <c r="K2222" s="106"/>
      <c r="L2222" s="141"/>
      <c r="M2222" s="132"/>
      <c r="N2222" s="133"/>
      <c r="O2222" s="4"/>
      <c r="P2222" s="4"/>
      <c r="Q2222" s="4"/>
      <c r="R2222" s="4"/>
      <c r="S2222" s="4"/>
      <c r="T2222" s="4"/>
      <c r="U2222" s="4"/>
      <c r="V2222" s="4"/>
      <c r="W2222" s="4"/>
      <c r="X2222" s="4"/>
    </row>
    <row r="2223" spans="1:24" ht="14.25" customHeight="1">
      <c r="A2223" s="4"/>
      <c r="B2223" s="125">
        <v>46192</v>
      </c>
      <c r="C2223" s="126" t="s">
        <v>845</v>
      </c>
      <c r="D2223" s="68" t="s">
        <v>130</v>
      </c>
      <c r="E2223" s="10" t="str">
        <f>TRIM(VLOOKUP(D2223,TB!$B$9:$C$1500,2,FALSE))</f>
        <v>BCA TBB</v>
      </c>
      <c r="F2223" s="142" t="s">
        <v>846</v>
      </c>
      <c r="G2223" s="130"/>
      <c r="H2223" s="10"/>
      <c r="I2223" s="10">
        <v>1002500</v>
      </c>
      <c r="J2223" s="79" t="e">
        <f t="shared" si="160"/>
        <v>#VALUE!</v>
      </c>
      <c r="K2223" s="106"/>
      <c r="L2223" s="141"/>
      <c r="M2223" s="132"/>
      <c r="N2223" s="133"/>
      <c r="O2223" s="4"/>
      <c r="P2223" s="4"/>
      <c r="Q2223" s="4"/>
      <c r="R2223" s="4"/>
      <c r="S2223" s="4"/>
      <c r="T2223" s="4"/>
      <c r="U2223" s="4"/>
      <c r="V2223" s="4"/>
      <c r="W2223" s="4"/>
      <c r="X2223" s="4"/>
    </row>
    <row r="2224" spans="1:24" ht="14.25" customHeight="1">
      <c r="A2224" s="4"/>
      <c r="B2224" s="125"/>
      <c r="C2224" s="126"/>
      <c r="D2224" s="159"/>
      <c r="E2224" s="10" t="e">
        <f>TRIM(VLOOKUP(D2224,TB!$B$9:$C$1500,2,FALSE))</f>
        <v>#N/A</v>
      </c>
      <c r="F2224" s="142"/>
      <c r="G2224" s="130"/>
      <c r="H2224" s="10"/>
      <c r="I2224" s="10"/>
      <c r="J2224" s="79" t="e">
        <f t="shared" si="160"/>
        <v>#VALUE!</v>
      </c>
      <c r="K2224" s="106"/>
      <c r="L2224" s="141"/>
      <c r="M2224" s="132"/>
      <c r="N2224" s="133"/>
      <c r="O2224" s="4"/>
      <c r="P2224" s="4"/>
      <c r="Q2224" s="4"/>
      <c r="R2224" s="4"/>
      <c r="S2224" s="4"/>
      <c r="T2224" s="4"/>
      <c r="U2224" s="4"/>
      <c r="V2224" s="4"/>
      <c r="W2224" s="4"/>
      <c r="X2224" s="4"/>
    </row>
    <row r="2225" spans="1:24" ht="14.25" customHeight="1">
      <c r="A2225" s="4"/>
      <c r="B2225" s="125">
        <v>46192</v>
      </c>
      <c r="C2225" s="126" t="s">
        <v>847</v>
      </c>
      <c r="D2225" s="68" t="s">
        <v>285</v>
      </c>
      <c r="E2225" s="10" t="str">
        <f>TRIM(VLOOKUP(D2225,TB!$B$9:$C$1500,2,FALSE))</f>
        <v>Misc Cash Purchase</v>
      </c>
      <c r="F2225" s="142" t="s">
        <v>848</v>
      </c>
      <c r="G2225" s="130"/>
      <c r="H2225" s="10">
        <v>25491445</v>
      </c>
      <c r="I2225" s="10"/>
      <c r="J2225" s="79" t="e">
        <f t="shared" si="160"/>
        <v>#VALUE!</v>
      </c>
      <c r="K2225" s="106"/>
      <c r="L2225" s="141"/>
      <c r="M2225" s="132"/>
      <c r="N2225" s="133"/>
      <c r="O2225" s="4"/>
      <c r="P2225" s="4"/>
      <c r="Q2225" s="4"/>
      <c r="R2225" s="4"/>
      <c r="S2225" s="4"/>
      <c r="T2225" s="4"/>
      <c r="U2225" s="4"/>
      <c r="V2225" s="4"/>
      <c r="W2225" s="4"/>
      <c r="X2225" s="4"/>
    </row>
    <row r="2226" spans="1:24" ht="14.25" customHeight="1">
      <c r="A2226" s="4"/>
      <c r="B2226" s="125">
        <v>46192</v>
      </c>
      <c r="C2226" s="126" t="s">
        <v>847</v>
      </c>
      <c r="D2226" s="15" t="s">
        <v>124</v>
      </c>
      <c r="E2226" s="10" t="str">
        <f>TRIM(VLOOKUP(D2226,TB!$B$9:$C$1500,2,FALSE))</f>
        <v>Bank charges</v>
      </c>
      <c r="F2226" s="142" t="s">
        <v>848</v>
      </c>
      <c r="G2226" s="130"/>
      <c r="H2226" s="10">
        <v>3000</v>
      </c>
      <c r="I2226" s="10"/>
      <c r="J2226" s="79" t="e">
        <f t="shared" si="160"/>
        <v>#VALUE!</v>
      </c>
      <c r="K2226" s="106"/>
      <c r="L2226" s="141"/>
      <c r="M2226" s="132"/>
      <c r="N2226" s="133"/>
      <c r="O2226" s="4"/>
      <c r="P2226" s="4"/>
      <c r="Q2226" s="4"/>
      <c r="R2226" s="4"/>
      <c r="S2226" s="4"/>
      <c r="T2226" s="4"/>
      <c r="U2226" s="4"/>
      <c r="V2226" s="4"/>
      <c r="W2226" s="4"/>
      <c r="X2226" s="4"/>
    </row>
    <row r="2227" spans="1:24" ht="14.25" customHeight="1">
      <c r="A2227" s="4"/>
      <c r="B2227" s="125">
        <v>46192</v>
      </c>
      <c r="C2227" s="126" t="s">
        <v>847</v>
      </c>
      <c r="D2227" s="68" t="s">
        <v>130</v>
      </c>
      <c r="E2227" s="10" t="str">
        <f>TRIM(VLOOKUP(D2227,TB!$B$9:$C$1500,2,FALSE))</f>
        <v>BCA TBB</v>
      </c>
      <c r="F2227" s="142" t="s">
        <v>848</v>
      </c>
      <c r="G2227" s="130"/>
      <c r="H2227" s="10"/>
      <c r="I2227" s="10">
        <v>25494445</v>
      </c>
      <c r="J2227" s="79" t="e">
        <f t="shared" si="160"/>
        <v>#VALUE!</v>
      </c>
      <c r="K2227" s="106"/>
      <c r="L2227" s="141"/>
      <c r="M2227" s="132"/>
      <c r="N2227" s="133"/>
      <c r="O2227" s="4"/>
      <c r="P2227" s="4"/>
      <c r="Q2227" s="4"/>
      <c r="R2227" s="4"/>
      <c r="S2227" s="4"/>
      <c r="T2227" s="4"/>
      <c r="U2227" s="4"/>
      <c r="V2227" s="4"/>
      <c r="W2227" s="4"/>
      <c r="X2227" s="4"/>
    </row>
    <row r="2228" spans="1:24" ht="14.25" customHeight="1">
      <c r="A2228" s="4"/>
      <c r="B2228" s="125"/>
      <c r="C2228" s="126"/>
      <c r="D2228" s="159"/>
      <c r="E2228" s="10" t="e">
        <f>TRIM(VLOOKUP(D2228,TB!$B$9:$C$1500,2,FALSE))</f>
        <v>#N/A</v>
      </c>
      <c r="F2228" s="142"/>
      <c r="G2228" s="130"/>
      <c r="H2228" s="10"/>
      <c r="I2228" s="10"/>
      <c r="J2228" s="79" t="e">
        <f t="shared" si="160"/>
        <v>#VALUE!</v>
      </c>
      <c r="K2228" s="106"/>
      <c r="L2228" s="141"/>
      <c r="M2228" s="132"/>
      <c r="N2228" s="133"/>
      <c r="O2228" s="4"/>
      <c r="P2228" s="4"/>
      <c r="Q2228" s="4"/>
      <c r="R2228" s="4"/>
      <c r="S2228" s="4"/>
      <c r="T2228" s="4"/>
      <c r="U2228" s="4"/>
      <c r="V2228" s="4"/>
      <c r="W2228" s="4"/>
      <c r="X2228" s="4"/>
    </row>
    <row r="2229" spans="1:24" ht="14.25" customHeight="1">
      <c r="A2229" s="4"/>
      <c r="B2229" s="125">
        <v>46192</v>
      </c>
      <c r="C2229" s="126" t="s">
        <v>849</v>
      </c>
      <c r="D2229" s="68" t="s">
        <v>130</v>
      </c>
      <c r="E2229" s="10" t="str">
        <f>TRIM(VLOOKUP(D2229,TB!$B$9:$C$1500,2,FALSE))</f>
        <v>BCA TBB</v>
      </c>
      <c r="F2229" s="142" t="s">
        <v>850</v>
      </c>
      <c r="G2229" s="130"/>
      <c r="H2229" s="10">
        <v>200000</v>
      </c>
      <c r="I2229" s="10"/>
      <c r="J2229" s="79" t="e">
        <f t="shared" si="160"/>
        <v>#VALUE!</v>
      </c>
      <c r="K2229" s="106"/>
      <c r="L2229" s="141"/>
      <c r="M2229" s="132"/>
      <c r="N2229" s="133"/>
      <c r="O2229" s="4"/>
      <c r="P2229" s="4"/>
      <c r="Q2229" s="4"/>
      <c r="R2229" s="4"/>
      <c r="S2229" s="4"/>
      <c r="T2229" s="4"/>
      <c r="U2229" s="4"/>
      <c r="V2229" s="4"/>
      <c r="W2229" s="4"/>
      <c r="X2229" s="4"/>
    </row>
    <row r="2230" spans="1:24" ht="14.25" customHeight="1">
      <c r="A2230" s="4"/>
      <c r="B2230" s="125">
        <v>46192</v>
      </c>
      <c r="C2230" s="126" t="s">
        <v>849</v>
      </c>
      <c r="D2230" s="68" t="s">
        <v>63</v>
      </c>
      <c r="E2230" s="10" t="str">
        <f>TRIM(VLOOKUP(D2230,TB!$B$9:$C$1500,2,FALSE))</f>
        <v>City Ledger</v>
      </c>
      <c r="F2230" s="142" t="s">
        <v>850</v>
      </c>
      <c r="G2230" s="130"/>
      <c r="H2230" s="10"/>
      <c r="I2230" s="10">
        <v>200000</v>
      </c>
      <c r="J2230" s="79" t="e">
        <f t="shared" si="160"/>
        <v>#VALUE!</v>
      </c>
      <c r="K2230" s="106"/>
      <c r="L2230" s="141"/>
      <c r="M2230" s="132"/>
      <c r="N2230" s="133"/>
      <c r="O2230" s="4"/>
      <c r="P2230" s="4"/>
      <c r="Q2230" s="4"/>
      <c r="R2230" s="4"/>
      <c r="S2230" s="4"/>
      <c r="T2230" s="4"/>
      <c r="U2230" s="4"/>
      <c r="V2230" s="4"/>
      <c r="W2230" s="4"/>
      <c r="X2230" s="4"/>
    </row>
    <row r="2231" spans="1:24" ht="14.25" customHeight="1">
      <c r="A2231" s="4"/>
      <c r="B2231" s="125"/>
      <c r="C2231" s="126"/>
      <c r="D2231" s="159"/>
      <c r="E2231" s="10" t="e">
        <f>TRIM(VLOOKUP(D2231,TB!$B$9:$C$1500,2,FALSE))</f>
        <v>#N/A</v>
      </c>
      <c r="F2231" s="142"/>
      <c r="G2231" s="130"/>
      <c r="H2231" s="10"/>
      <c r="I2231" s="10"/>
      <c r="J2231" s="79" t="e">
        <f t="shared" si="160"/>
        <v>#VALUE!</v>
      </c>
      <c r="K2231" s="106"/>
      <c r="L2231" s="141"/>
      <c r="M2231" s="132"/>
      <c r="N2231" s="133"/>
      <c r="O2231" s="4"/>
      <c r="P2231" s="4"/>
      <c r="Q2231" s="4"/>
      <c r="R2231" s="4"/>
      <c r="S2231" s="4"/>
      <c r="T2231" s="4"/>
      <c r="U2231" s="4"/>
      <c r="V2231" s="4"/>
      <c r="W2231" s="4"/>
      <c r="X2231" s="4"/>
    </row>
    <row r="2232" spans="1:24" ht="14.25" customHeight="1">
      <c r="A2232" s="4"/>
      <c r="B2232" s="125">
        <v>46195</v>
      </c>
      <c r="C2232" s="126" t="s">
        <v>851</v>
      </c>
      <c r="D2232" s="68" t="s">
        <v>130</v>
      </c>
      <c r="E2232" s="10" t="str">
        <f>TRIM(VLOOKUP(D2232,TB!$B$9:$C$1500,2,FALSE))</f>
        <v>BCA TBB</v>
      </c>
      <c r="F2232" s="142" t="s">
        <v>852</v>
      </c>
      <c r="G2232" s="130"/>
      <c r="H2232" s="10">
        <f>I2234-H2233</f>
        <v>1236720.98</v>
      </c>
      <c r="I2232" s="10"/>
      <c r="J2232" s="79" t="e">
        <f t="shared" si="160"/>
        <v>#VALUE!</v>
      </c>
      <c r="K2232" s="106"/>
      <c r="L2232" s="141"/>
      <c r="M2232" s="132"/>
      <c r="N2232" s="133"/>
      <c r="O2232" s="4"/>
      <c r="P2232" s="4"/>
      <c r="Q2232" s="4"/>
      <c r="R2232" s="4"/>
      <c r="S2232" s="4"/>
      <c r="T2232" s="4"/>
      <c r="U2232" s="4"/>
      <c r="V2232" s="4"/>
      <c r="W2232" s="4"/>
      <c r="X2232" s="4"/>
    </row>
    <row r="2233" spans="1:24" ht="14.25" customHeight="1">
      <c r="A2233" s="4"/>
      <c r="B2233" s="125">
        <v>46195</v>
      </c>
      <c r="C2233" s="126" t="s">
        <v>851</v>
      </c>
      <c r="D2233" s="15" t="s">
        <v>124</v>
      </c>
      <c r="E2233" s="10" t="str">
        <f>TRIM(VLOOKUP(D2233,TB!$B$9:$C$1500,2,FALSE))</f>
        <v>Bank charges</v>
      </c>
      <c r="F2233" s="142" t="s">
        <v>852</v>
      </c>
      <c r="G2233" s="130"/>
      <c r="H2233" s="155">
        <v>22669.020000000004</v>
      </c>
      <c r="I2233" s="10"/>
      <c r="J2233" s="79" t="e">
        <f t="shared" si="160"/>
        <v>#VALUE!</v>
      </c>
      <c r="K2233" s="106"/>
      <c r="L2233" s="141"/>
      <c r="M2233" s="132"/>
      <c r="N2233" s="133"/>
      <c r="O2233" s="4"/>
      <c r="P2233" s="4"/>
      <c r="Q2233" s="4"/>
      <c r="R2233" s="4"/>
      <c r="S2233" s="4"/>
      <c r="T2233" s="4"/>
      <c r="U2233" s="4"/>
      <c r="V2233" s="4"/>
      <c r="W2233" s="4"/>
      <c r="X2233" s="4"/>
    </row>
    <row r="2234" spans="1:24" ht="14.25" customHeight="1">
      <c r="A2234" s="4"/>
      <c r="B2234" s="125">
        <v>46195</v>
      </c>
      <c r="C2234" s="126" t="s">
        <v>851</v>
      </c>
      <c r="D2234" s="15" t="s">
        <v>42</v>
      </c>
      <c r="E2234" s="10" t="str">
        <f>TRIM(VLOOKUP(D2234,TB!$B$9:$C$1500,2,FALSE))</f>
        <v>BCA Card TBB</v>
      </c>
      <c r="F2234" s="142" t="s">
        <v>852</v>
      </c>
      <c r="G2234" s="130"/>
      <c r="H2234" s="10"/>
      <c r="I2234" s="10">
        <v>1259390</v>
      </c>
      <c r="J2234" s="79" t="e">
        <f t="shared" si="160"/>
        <v>#VALUE!</v>
      </c>
      <c r="K2234" s="132"/>
      <c r="L2234" s="141"/>
      <c r="M2234" s="132"/>
      <c r="N2234" s="133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spans="1:24" ht="14.25" customHeight="1">
      <c r="A2235" s="4"/>
      <c r="B2235" s="125"/>
      <c r="C2235" s="126"/>
      <c r="D2235" s="159"/>
      <c r="E2235" s="10" t="e">
        <f>TRIM(VLOOKUP(D2235,TB!$B$9:$C$1500,2,FALSE))</f>
        <v>#N/A</v>
      </c>
      <c r="F2235" s="142"/>
      <c r="G2235" s="130"/>
      <c r="H2235" s="10"/>
      <c r="I2235" s="10"/>
      <c r="J2235" s="79" t="e">
        <f t="shared" si="160"/>
        <v>#VALUE!</v>
      </c>
      <c r="K2235" s="106"/>
      <c r="L2235" s="141"/>
      <c r="M2235" s="132"/>
      <c r="N2235" s="133"/>
      <c r="O2235" s="4"/>
      <c r="P2235" s="4"/>
      <c r="Q2235" s="4"/>
      <c r="R2235" s="4"/>
      <c r="S2235" s="4"/>
      <c r="T2235" s="4"/>
      <c r="U2235" s="4"/>
      <c r="V2235" s="4"/>
      <c r="W2235" s="4"/>
      <c r="X2235" s="4"/>
    </row>
    <row r="2236" spans="1:24" ht="14.25" customHeight="1">
      <c r="A2236" s="4"/>
      <c r="B2236" s="125">
        <v>46195</v>
      </c>
      <c r="C2236" s="126" t="s">
        <v>853</v>
      </c>
      <c r="D2236" s="68" t="s">
        <v>130</v>
      </c>
      <c r="E2236" s="10" t="str">
        <f>TRIM(VLOOKUP(D2236,TB!$B$9:$C$1500,2,FALSE))</f>
        <v>BCA TBB</v>
      </c>
      <c r="F2236" s="142" t="s">
        <v>854</v>
      </c>
      <c r="G2236" s="130"/>
      <c r="H2236" s="10">
        <f>I2238-H2237</f>
        <v>136386.052</v>
      </c>
      <c r="I2236" s="10"/>
      <c r="J2236" s="79" t="e">
        <f t="shared" si="160"/>
        <v>#VALUE!</v>
      </c>
      <c r="K2236" s="106"/>
      <c r="L2236" s="141"/>
      <c r="M2236" s="132"/>
      <c r="N2236" s="133"/>
      <c r="O2236" s="4"/>
      <c r="P2236" s="4"/>
      <c r="Q2236" s="4"/>
      <c r="R2236" s="4"/>
      <c r="S2236" s="4"/>
      <c r="T2236" s="4"/>
      <c r="U2236" s="4"/>
      <c r="V2236" s="4"/>
      <c r="W2236" s="4"/>
      <c r="X2236" s="4"/>
    </row>
    <row r="2237" spans="1:24" ht="14.25" customHeight="1">
      <c r="A2237" s="4"/>
      <c r="B2237" s="125">
        <v>46195</v>
      </c>
      <c r="C2237" s="126" t="s">
        <v>853</v>
      </c>
      <c r="D2237" s="15" t="s">
        <v>124</v>
      </c>
      <c r="E2237" s="10" t="str">
        <f>TRIM(VLOOKUP(D2237,TB!$B$9:$C$1500,2,FALSE))</f>
        <v>Bank charges</v>
      </c>
      <c r="F2237" s="142" t="s">
        <v>854</v>
      </c>
      <c r="G2237" s="130"/>
      <c r="H2237" s="155">
        <v>2499.9480000000003</v>
      </c>
      <c r="I2237" s="10"/>
      <c r="J2237" s="79" t="e">
        <f t="shared" si="160"/>
        <v>#VALUE!</v>
      </c>
      <c r="K2237" s="106"/>
      <c r="L2237" s="141"/>
      <c r="M2237" s="132"/>
      <c r="N2237" s="133"/>
      <c r="O2237" s="4"/>
      <c r="P2237" s="4"/>
      <c r="Q2237" s="4"/>
      <c r="R2237" s="4"/>
      <c r="S2237" s="4"/>
      <c r="T2237" s="4"/>
      <c r="U2237" s="4"/>
      <c r="V2237" s="4"/>
      <c r="W2237" s="4"/>
      <c r="X2237" s="4"/>
    </row>
    <row r="2238" spans="1:24" ht="14.25" customHeight="1">
      <c r="A2238" s="4"/>
      <c r="B2238" s="125">
        <v>46195</v>
      </c>
      <c r="C2238" s="126" t="s">
        <v>853</v>
      </c>
      <c r="D2238" s="15" t="s">
        <v>42</v>
      </c>
      <c r="E2238" s="10" t="str">
        <f>TRIM(VLOOKUP(D2238,TB!$B$9:$C$1500,2,FALSE))</f>
        <v>BCA Card TBB</v>
      </c>
      <c r="F2238" s="142" t="s">
        <v>854</v>
      </c>
      <c r="G2238" s="130"/>
      <c r="H2238" s="10"/>
      <c r="I2238" s="10">
        <v>138886</v>
      </c>
      <c r="J2238" s="79" t="e">
        <f t="shared" si="160"/>
        <v>#VALUE!</v>
      </c>
      <c r="K2238" s="106"/>
      <c r="L2238" s="141"/>
      <c r="M2238" s="132"/>
      <c r="N2238" s="133"/>
      <c r="O2238" s="4"/>
      <c r="P2238" s="4"/>
      <c r="Q2238" s="4"/>
      <c r="R2238" s="4"/>
      <c r="S2238" s="4"/>
      <c r="T2238" s="4"/>
      <c r="U2238" s="4"/>
      <c r="V2238" s="4"/>
      <c r="W2238" s="4"/>
      <c r="X2238" s="4"/>
    </row>
    <row r="2239" spans="1:24" ht="14.25" customHeight="1">
      <c r="A2239" s="4"/>
      <c r="B2239" s="125"/>
      <c r="C2239" s="126"/>
      <c r="D2239" s="159"/>
      <c r="E2239" s="10" t="e">
        <f>TRIM(VLOOKUP(D2239,TB!$B$9:$C$1500,2,FALSE))</f>
        <v>#N/A</v>
      </c>
      <c r="F2239" s="142"/>
      <c r="G2239" s="130"/>
      <c r="H2239" s="10"/>
      <c r="I2239" s="10"/>
      <c r="J2239" s="79" t="e">
        <f t="shared" si="160"/>
        <v>#VALUE!</v>
      </c>
      <c r="K2239" s="106"/>
      <c r="L2239" s="141"/>
      <c r="M2239" s="132"/>
      <c r="N2239" s="133"/>
      <c r="O2239" s="4"/>
      <c r="P2239" s="4"/>
      <c r="Q2239" s="4"/>
      <c r="R2239" s="4"/>
      <c r="S2239" s="4"/>
      <c r="T2239" s="4"/>
      <c r="U2239" s="4"/>
      <c r="V2239" s="4"/>
      <c r="W2239" s="4"/>
      <c r="X2239" s="4"/>
    </row>
    <row r="2240" spans="1:24" ht="14.25" customHeight="1">
      <c r="A2240" s="4"/>
      <c r="B2240" s="125">
        <v>46195</v>
      </c>
      <c r="C2240" s="126" t="s">
        <v>855</v>
      </c>
      <c r="D2240" s="68" t="s">
        <v>130</v>
      </c>
      <c r="E2240" s="10" t="str">
        <f>TRIM(VLOOKUP(D2240,TB!$B$9:$C$1500,2,FALSE))</f>
        <v>BCA TBB</v>
      </c>
      <c r="F2240" s="142" t="s">
        <v>856</v>
      </c>
      <c r="G2240" s="130"/>
      <c r="H2240" s="10">
        <f>I2242-H2241</f>
        <v>7304744.4800000004</v>
      </c>
      <c r="I2240" s="10"/>
      <c r="J2240" s="79" t="e">
        <f t="shared" si="160"/>
        <v>#VALUE!</v>
      </c>
      <c r="K2240" s="106"/>
      <c r="L2240" s="141"/>
      <c r="M2240" s="132"/>
      <c r="N2240" s="133"/>
      <c r="O2240" s="4"/>
      <c r="P2240" s="4"/>
      <c r="Q2240" s="4"/>
      <c r="R2240" s="4"/>
      <c r="S2240" s="4"/>
      <c r="T2240" s="4"/>
      <c r="U2240" s="4"/>
      <c r="V2240" s="4"/>
      <c r="W2240" s="4"/>
      <c r="X2240" s="4"/>
    </row>
    <row r="2241" spans="1:24" ht="14.25" customHeight="1">
      <c r="A2241" s="4"/>
      <c r="B2241" s="125">
        <v>46195</v>
      </c>
      <c r="C2241" s="126" t="s">
        <v>855</v>
      </c>
      <c r="D2241" s="15" t="s">
        <v>124</v>
      </c>
      <c r="E2241" s="10" t="str">
        <f>TRIM(VLOOKUP(D2241,TB!$B$9:$C$1500,2,FALSE))</f>
        <v>Bank charges</v>
      </c>
      <c r="F2241" s="142" t="s">
        <v>856</v>
      </c>
      <c r="G2241" s="130"/>
      <c r="H2241" s="155">
        <v>133895.52000000002</v>
      </c>
      <c r="I2241" s="10"/>
      <c r="J2241" s="79" t="e">
        <f t="shared" si="160"/>
        <v>#VALUE!</v>
      </c>
      <c r="K2241" s="106"/>
      <c r="L2241" s="141"/>
      <c r="M2241" s="132"/>
      <c r="N2241" s="133"/>
      <c r="O2241" s="4"/>
      <c r="P2241" s="4"/>
      <c r="Q2241" s="4"/>
      <c r="R2241" s="4"/>
      <c r="S2241" s="4"/>
      <c r="T2241" s="4"/>
      <c r="U2241" s="4"/>
      <c r="V2241" s="4"/>
      <c r="W2241" s="4"/>
      <c r="X2241" s="4"/>
    </row>
    <row r="2242" spans="1:24" ht="14.25" customHeight="1">
      <c r="A2242" s="4"/>
      <c r="B2242" s="125">
        <v>46195</v>
      </c>
      <c r="C2242" s="126" t="s">
        <v>855</v>
      </c>
      <c r="D2242" s="15" t="s">
        <v>42</v>
      </c>
      <c r="E2242" s="10" t="str">
        <f>TRIM(VLOOKUP(D2242,TB!$B$9:$C$1500,2,FALSE))</f>
        <v>BCA Card TBB</v>
      </c>
      <c r="F2242" s="142" t="s">
        <v>856</v>
      </c>
      <c r="G2242" s="130"/>
      <c r="H2242" s="10"/>
      <c r="I2242" s="177">
        <v>7438640</v>
      </c>
      <c r="J2242" s="79" t="e">
        <f t="shared" si="160"/>
        <v>#VALUE!</v>
      </c>
      <c r="K2242" s="106"/>
      <c r="L2242" s="141"/>
      <c r="M2242" s="132"/>
      <c r="N2242" s="133"/>
      <c r="O2242" s="4"/>
      <c r="P2242" s="4"/>
      <c r="Q2242" s="4"/>
      <c r="R2242" s="4"/>
      <c r="S2242" s="4"/>
      <c r="T2242" s="4"/>
      <c r="U2242" s="4"/>
      <c r="V2242" s="4"/>
      <c r="W2242" s="4"/>
      <c r="X2242" s="4"/>
    </row>
    <row r="2243" spans="1:24" ht="14.25" customHeight="1">
      <c r="A2243" s="4"/>
      <c r="B2243" s="125"/>
      <c r="C2243" s="126"/>
      <c r="D2243" s="68"/>
      <c r="E2243" s="10" t="e">
        <f>TRIM(VLOOKUP(D2243,TB!$B$9:$C$1500,2,FALSE))</f>
        <v>#N/A</v>
      </c>
      <c r="F2243" s="142"/>
      <c r="G2243" s="130"/>
      <c r="H2243" s="10"/>
      <c r="I2243" s="10"/>
      <c r="J2243" s="79" t="e">
        <f t="shared" si="160"/>
        <v>#VALUE!</v>
      </c>
      <c r="K2243" s="106"/>
      <c r="L2243" s="141"/>
      <c r="M2243" s="132"/>
      <c r="N2243" s="133"/>
      <c r="O2243" s="4"/>
      <c r="P2243" s="4"/>
      <c r="Q2243" s="4"/>
      <c r="R2243" s="4"/>
      <c r="S2243" s="4"/>
      <c r="T2243" s="4"/>
      <c r="U2243" s="4"/>
      <c r="V2243" s="4"/>
      <c r="W2243" s="4"/>
      <c r="X2243" s="4"/>
    </row>
    <row r="2244" spans="1:24" ht="14.25" customHeight="1">
      <c r="A2244" s="4"/>
      <c r="B2244" s="125">
        <v>46195</v>
      </c>
      <c r="C2244" s="126" t="s">
        <v>857</v>
      </c>
      <c r="D2244" s="68" t="s">
        <v>130</v>
      </c>
      <c r="E2244" s="10" t="str">
        <f>TRIM(VLOOKUP(D2244,TB!$B$9:$C$1500,2,FALSE))</f>
        <v>BCA TBB</v>
      </c>
      <c r="F2244" s="142" t="s">
        <v>858</v>
      </c>
      <c r="G2244" s="130"/>
      <c r="H2244" s="10">
        <f>I2246-H2245</f>
        <v>797511.66</v>
      </c>
      <c r="I2244" s="10"/>
      <c r="J2244" s="79" t="e">
        <f t="shared" si="160"/>
        <v>#VALUE!</v>
      </c>
      <c r="K2244" s="106"/>
      <c r="L2244" s="141"/>
      <c r="M2244" s="132"/>
      <c r="N2244" s="133"/>
      <c r="O2244" s="4"/>
      <c r="P2244" s="4"/>
      <c r="Q2244" s="4"/>
      <c r="R2244" s="4"/>
      <c r="S2244" s="4"/>
      <c r="T2244" s="4"/>
      <c r="U2244" s="4"/>
      <c r="V2244" s="4"/>
      <c r="W2244" s="4"/>
      <c r="X2244" s="4"/>
    </row>
    <row r="2245" spans="1:24" ht="14.25" customHeight="1">
      <c r="A2245" s="4"/>
      <c r="B2245" s="125">
        <v>46195</v>
      </c>
      <c r="C2245" s="126" t="s">
        <v>857</v>
      </c>
      <c r="D2245" s="15" t="s">
        <v>124</v>
      </c>
      <c r="E2245" s="10" t="str">
        <f>TRIM(VLOOKUP(D2245,TB!$B$9:$C$1500,2,FALSE))</f>
        <v>Bank charges</v>
      </c>
      <c r="F2245" s="142" t="s">
        <v>858</v>
      </c>
      <c r="G2245" s="130"/>
      <c r="H2245" s="155">
        <v>14618.340000000002</v>
      </c>
      <c r="I2245" s="10"/>
      <c r="J2245" s="79" t="e">
        <f t="shared" si="160"/>
        <v>#VALUE!</v>
      </c>
      <c r="K2245" s="106"/>
      <c r="L2245" s="141"/>
      <c r="M2245" s="132"/>
      <c r="N2245" s="133"/>
      <c r="O2245" s="4"/>
      <c r="P2245" s="4"/>
      <c r="Q2245" s="4"/>
      <c r="R2245" s="4"/>
      <c r="S2245" s="4"/>
      <c r="T2245" s="4"/>
      <c r="U2245" s="4"/>
      <c r="V2245" s="4"/>
      <c r="W2245" s="4"/>
      <c r="X2245" s="4"/>
    </row>
    <row r="2246" spans="1:24" ht="14.25" customHeight="1">
      <c r="A2246" s="4"/>
      <c r="B2246" s="125">
        <v>46195</v>
      </c>
      <c r="C2246" s="126" t="s">
        <v>857</v>
      </c>
      <c r="D2246" s="15" t="s">
        <v>42</v>
      </c>
      <c r="E2246" s="10" t="str">
        <f>TRIM(VLOOKUP(D2246,TB!$B$9:$C$1500,2,FALSE))</f>
        <v>BCA Card TBB</v>
      </c>
      <c r="F2246" s="142" t="s">
        <v>858</v>
      </c>
      <c r="G2246" s="130"/>
      <c r="H2246" s="10"/>
      <c r="I2246" s="177">
        <v>812130</v>
      </c>
      <c r="J2246" s="79" t="e">
        <f t="shared" si="160"/>
        <v>#VALUE!</v>
      </c>
      <c r="K2246" s="106"/>
      <c r="L2246" s="141"/>
      <c r="M2246" s="132"/>
      <c r="N2246" s="133"/>
      <c r="O2246" s="4"/>
      <c r="P2246" s="4"/>
      <c r="Q2246" s="4"/>
      <c r="R2246" s="4"/>
      <c r="S2246" s="4"/>
      <c r="T2246" s="4"/>
      <c r="U2246" s="4"/>
      <c r="V2246" s="4"/>
      <c r="W2246" s="4"/>
      <c r="X2246" s="4"/>
    </row>
    <row r="2247" spans="1:24" ht="14.25" customHeight="1">
      <c r="A2247" s="4"/>
      <c r="B2247" s="125"/>
      <c r="C2247" s="126"/>
      <c r="D2247" s="159"/>
      <c r="E2247" s="10" t="e">
        <f>TRIM(VLOOKUP(D2247,TB!$B$9:$C$1500,2,FALSE))</f>
        <v>#N/A</v>
      </c>
      <c r="F2247" s="142"/>
      <c r="G2247" s="130"/>
      <c r="H2247" s="10"/>
      <c r="I2247" s="10"/>
      <c r="J2247" s="79" t="e">
        <f t="shared" si="160"/>
        <v>#VALUE!</v>
      </c>
      <c r="K2247" s="106"/>
      <c r="L2247" s="141"/>
      <c r="M2247" s="132"/>
      <c r="N2247" s="133"/>
      <c r="O2247" s="4"/>
      <c r="P2247" s="4"/>
      <c r="Q2247" s="4"/>
      <c r="R2247" s="4"/>
      <c r="S2247" s="4"/>
      <c r="T2247" s="4"/>
      <c r="U2247" s="4"/>
      <c r="V2247" s="4"/>
      <c r="W2247" s="4"/>
      <c r="X2247" s="4"/>
    </row>
    <row r="2248" spans="1:24" ht="14.25" customHeight="1">
      <c r="A2248" s="4"/>
      <c r="B2248" s="125">
        <v>46195</v>
      </c>
      <c r="C2248" s="126" t="s">
        <v>859</v>
      </c>
      <c r="D2248" s="68" t="s">
        <v>130</v>
      </c>
      <c r="E2248" s="10" t="str">
        <f>TRIM(VLOOKUP(D2248,TB!$B$9:$C$1500,2,FALSE))</f>
        <v>BCA TBB</v>
      </c>
      <c r="F2248" s="142" t="s">
        <v>860</v>
      </c>
      <c r="G2248" s="130"/>
      <c r="H2248" s="10">
        <f>I2250-H2249</f>
        <v>6840209.3799999999</v>
      </c>
      <c r="I2248" s="10"/>
      <c r="J2248" s="79" t="e">
        <f t="shared" si="160"/>
        <v>#VALUE!</v>
      </c>
      <c r="K2248" s="106"/>
      <c r="L2248" s="141"/>
      <c r="M2248" s="132"/>
      <c r="N2248" s="133"/>
      <c r="O2248" s="4"/>
      <c r="P2248" s="4"/>
      <c r="Q2248" s="4"/>
      <c r="R2248" s="4"/>
      <c r="S2248" s="4"/>
      <c r="T2248" s="4"/>
      <c r="U2248" s="4"/>
      <c r="V2248" s="4"/>
      <c r="W2248" s="4"/>
      <c r="X2248" s="4"/>
    </row>
    <row r="2249" spans="1:24" ht="14.25" customHeight="1">
      <c r="A2249" s="4"/>
      <c r="B2249" s="125">
        <v>46195</v>
      </c>
      <c r="C2249" s="126" t="s">
        <v>859</v>
      </c>
      <c r="D2249" s="15" t="s">
        <v>124</v>
      </c>
      <c r="E2249" s="10" t="str">
        <f>TRIM(VLOOKUP(D2249,TB!$B$9:$C$1500,2,FALSE))</f>
        <v>Bank charges</v>
      </c>
      <c r="F2249" s="142" t="s">
        <v>860</v>
      </c>
      <c r="G2249" s="130"/>
      <c r="H2249" s="155">
        <v>125380.62000000001</v>
      </c>
      <c r="I2249" s="10"/>
      <c r="J2249" s="79" t="e">
        <f t="shared" si="160"/>
        <v>#VALUE!</v>
      </c>
      <c r="K2249" s="106"/>
      <c r="L2249" s="141"/>
      <c r="M2249" s="132"/>
      <c r="N2249" s="133"/>
      <c r="O2249" s="4"/>
      <c r="P2249" s="4"/>
      <c r="Q2249" s="4"/>
      <c r="R2249" s="4"/>
      <c r="S2249" s="4"/>
      <c r="T2249" s="4"/>
      <c r="U2249" s="4"/>
      <c r="V2249" s="4"/>
      <c r="W2249" s="4"/>
      <c r="X2249" s="4"/>
    </row>
    <row r="2250" spans="1:24" ht="14.25" customHeight="1">
      <c r="A2250" s="4"/>
      <c r="B2250" s="125">
        <v>46195</v>
      </c>
      <c r="C2250" s="126" t="s">
        <v>859</v>
      </c>
      <c r="D2250" s="15" t="s">
        <v>42</v>
      </c>
      <c r="E2250" s="10" t="str">
        <f>TRIM(VLOOKUP(D2250,TB!$B$9:$C$1500,2,FALSE))</f>
        <v>BCA Card TBB</v>
      </c>
      <c r="F2250" s="142" t="s">
        <v>860</v>
      </c>
      <c r="G2250" s="130"/>
      <c r="H2250" s="10"/>
      <c r="I2250" s="177">
        <v>6965590</v>
      </c>
      <c r="J2250" s="79" t="e">
        <f t="shared" si="160"/>
        <v>#VALUE!</v>
      </c>
      <c r="K2250" s="106"/>
      <c r="L2250" s="141"/>
      <c r="M2250" s="132"/>
      <c r="N2250" s="133"/>
      <c r="O2250" s="4"/>
      <c r="P2250" s="4"/>
      <c r="Q2250" s="4"/>
      <c r="R2250" s="4"/>
      <c r="S2250" s="4"/>
      <c r="T2250" s="4"/>
      <c r="U2250" s="4"/>
      <c r="V2250" s="4"/>
      <c r="W2250" s="4"/>
      <c r="X2250" s="4"/>
    </row>
    <row r="2251" spans="1:24" ht="14.25" customHeight="1">
      <c r="A2251" s="4"/>
      <c r="B2251" s="125"/>
      <c r="C2251" s="126"/>
      <c r="D2251" s="159"/>
      <c r="E2251" s="10" t="e">
        <f>TRIM(VLOOKUP(D2251,TB!$B$9:$C$1500,2,FALSE))</f>
        <v>#N/A</v>
      </c>
      <c r="F2251" s="142"/>
      <c r="G2251" s="130"/>
      <c r="H2251" s="10"/>
      <c r="I2251" s="10"/>
      <c r="J2251" s="79" t="e">
        <f t="shared" si="160"/>
        <v>#VALUE!</v>
      </c>
      <c r="K2251" s="106"/>
      <c r="L2251" s="141"/>
      <c r="M2251" s="132"/>
      <c r="N2251" s="133"/>
      <c r="O2251" s="4"/>
      <c r="P2251" s="4"/>
      <c r="Q2251" s="4"/>
      <c r="R2251" s="4"/>
      <c r="S2251" s="4"/>
      <c r="T2251" s="4"/>
      <c r="U2251" s="4"/>
      <c r="V2251" s="4"/>
      <c r="W2251" s="4"/>
      <c r="X2251" s="4"/>
    </row>
    <row r="2252" spans="1:24" ht="14.25" customHeight="1">
      <c r="A2252" s="4"/>
      <c r="B2252" s="125">
        <v>46195</v>
      </c>
      <c r="C2252" s="126" t="s">
        <v>861</v>
      </c>
      <c r="D2252" s="68" t="s">
        <v>130</v>
      </c>
      <c r="E2252" s="10" t="str">
        <f>TRIM(VLOOKUP(D2252,TB!$B$9:$C$1500,2,FALSE))</f>
        <v>BCA TBB</v>
      </c>
      <c r="F2252" s="142" t="s">
        <v>862</v>
      </c>
      <c r="G2252" s="130"/>
      <c r="H2252" s="10">
        <f>I2254-H2253</f>
        <v>16962896.149999999</v>
      </c>
      <c r="I2252" s="10"/>
      <c r="J2252" s="79" t="e">
        <f t="shared" si="160"/>
        <v>#VALUE!</v>
      </c>
      <c r="K2252" s="106"/>
      <c r="L2252" s="141"/>
      <c r="M2252" s="132"/>
      <c r="N2252" s="133"/>
      <c r="O2252" s="4"/>
      <c r="P2252" s="4"/>
      <c r="Q2252" s="4"/>
      <c r="R2252" s="4"/>
      <c r="S2252" s="4"/>
      <c r="T2252" s="4"/>
      <c r="U2252" s="4"/>
      <c r="V2252" s="4"/>
      <c r="W2252" s="4"/>
      <c r="X2252" s="4"/>
    </row>
    <row r="2253" spans="1:24" ht="14.25" customHeight="1">
      <c r="A2253" s="4"/>
      <c r="B2253" s="125">
        <v>46195</v>
      </c>
      <c r="C2253" s="126" t="s">
        <v>861</v>
      </c>
      <c r="D2253" s="15" t="s">
        <v>124</v>
      </c>
      <c r="E2253" s="10" t="str">
        <f>TRIM(VLOOKUP(D2253,TB!$B$9:$C$1500,2,FALSE))</f>
        <v>Bank charges</v>
      </c>
      <c r="F2253" s="142" t="s">
        <v>862</v>
      </c>
      <c r="G2253" s="130"/>
      <c r="H2253" s="155">
        <v>310928.85000000003</v>
      </c>
      <c r="I2253" s="10"/>
      <c r="J2253" s="79" t="e">
        <f t="shared" si="160"/>
        <v>#VALUE!</v>
      </c>
      <c r="K2253" s="106"/>
      <c r="L2253" s="141"/>
      <c r="M2253" s="132"/>
      <c r="N2253" s="133"/>
      <c r="O2253" s="4"/>
      <c r="P2253" s="4"/>
      <c r="Q2253" s="4"/>
      <c r="R2253" s="4"/>
      <c r="S2253" s="4"/>
      <c r="T2253" s="4"/>
      <c r="U2253" s="4"/>
      <c r="V2253" s="4"/>
      <c r="W2253" s="4"/>
      <c r="X2253" s="4"/>
    </row>
    <row r="2254" spans="1:24" ht="14.25" customHeight="1">
      <c r="A2254" s="4"/>
      <c r="B2254" s="125">
        <v>46195</v>
      </c>
      <c r="C2254" s="126" t="s">
        <v>861</v>
      </c>
      <c r="D2254" s="15" t="s">
        <v>42</v>
      </c>
      <c r="E2254" s="10" t="str">
        <f>TRIM(VLOOKUP(D2254,TB!$B$9:$C$1500,2,FALSE))</f>
        <v>BCA Card TBB</v>
      </c>
      <c r="F2254" s="142" t="s">
        <v>862</v>
      </c>
      <c r="G2254" s="130"/>
      <c r="H2254" s="10"/>
      <c r="I2254" s="177">
        <v>17273825</v>
      </c>
      <c r="J2254" s="79" t="e">
        <f t="shared" si="160"/>
        <v>#VALUE!</v>
      </c>
      <c r="K2254" s="106"/>
      <c r="L2254" s="141"/>
      <c r="M2254" s="132"/>
      <c r="N2254" s="133"/>
      <c r="O2254" s="4"/>
      <c r="P2254" s="4"/>
      <c r="Q2254" s="4"/>
      <c r="R2254" s="4"/>
      <c r="S2254" s="4"/>
      <c r="T2254" s="4"/>
      <c r="U2254" s="4"/>
      <c r="V2254" s="4"/>
      <c r="W2254" s="4"/>
      <c r="X2254" s="4"/>
    </row>
    <row r="2255" spans="1:24" ht="14.25" customHeight="1">
      <c r="A2255" s="4"/>
      <c r="B2255" s="125"/>
      <c r="C2255" s="126"/>
      <c r="D2255" s="159"/>
      <c r="E2255" s="10" t="e">
        <f>TRIM(VLOOKUP(D2255,TB!$B$9:$C$1500,2,FALSE))</f>
        <v>#N/A</v>
      </c>
      <c r="F2255" s="142"/>
      <c r="G2255" s="130"/>
      <c r="H2255" s="10"/>
      <c r="I2255" s="10"/>
      <c r="J2255" s="79" t="e">
        <f t="shared" si="160"/>
        <v>#VALUE!</v>
      </c>
      <c r="K2255" s="106"/>
      <c r="L2255" s="141"/>
      <c r="M2255" s="132"/>
      <c r="N2255" s="133"/>
      <c r="O2255" s="4"/>
      <c r="P2255" s="4"/>
      <c r="Q2255" s="4"/>
      <c r="R2255" s="4"/>
      <c r="S2255" s="4"/>
      <c r="T2255" s="4"/>
      <c r="U2255" s="4"/>
      <c r="V2255" s="4"/>
      <c r="W2255" s="4"/>
      <c r="X2255" s="4"/>
    </row>
    <row r="2256" spans="1:24" ht="14.25" customHeight="1">
      <c r="A2256" s="4"/>
      <c r="B2256" s="125">
        <v>46195</v>
      </c>
      <c r="C2256" s="126" t="s">
        <v>863</v>
      </c>
      <c r="D2256" s="68" t="s">
        <v>130</v>
      </c>
      <c r="E2256" s="10" t="str">
        <f>TRIM(VLOOKUP(D2256,TB!$B$9:$C$1500,2,FALSE))</f>
        <v>BCA TBB</v>
      </c>
      <c r="F2256" s="142" t="s">
        <v>864</v>
      </c>
      <c r="G2256" s="130"/>
      <c r="H2256" s="10">
        <f>I2258-H2257</f>
        <v>3520779.33</v>
      </c>
      <c r="I2256" s="10"/>
      <c r="J2256" s="79" t="e">
        <f t="shared" si="160"/>
        <v>#VALUE!</v>
      </c>
      <c r="K2256" s="106"/>
      <c r="L2256" s="141"/>
      <c r="M2256" s="132"/>
      <c r="N2256" s="133"/>
      <c r="O2256" s="4"/>
      <c r="P2256" s="4"/>
      <c r="Q2256" s="4"/>
      <c r="R2256" s="4"/>
      <c r="S2256" s="4"/>
      <c r="T2256" s="4"/>
      <c r="U2256" s="4"/>
      <c r="V2256" s="4"/>
      <c r="W2256" s="4"/>
      <c r="X2256" s="4"/>
    </row>
    <row r="2257" spans="1:24" ht="14.25" customHeight="1">
      <c r="A2257" s="4"/>
      <c r="B2257" s="125">
        <v>46195</v>
      </c>
      <c r="C2257" s="126" t="s">
        <v>863</v>
      </c>
      <c r="D2257" s="15" t="s">
        <v>124</v>
      </c>
      <c r="E2257" s="10" t="str">
        <f>TRIM(VLOOKUP(D2257,TB!$B$9:$C$1500,2,FALSE))</f>
        <v>Bank charges</v>
      </c>
      <c r="F2257" s="142" t="s">
        <v>864</v>
      </c>
      <c r="G2257" s="130"/>
      <c r="H2257" s="155">
        <v>64535.670000000006</v>
      </c>
      <c r="I2257" s="10"/>
      <c r="J2257" s="79" t="e">
        <f t="shared" si="160"/>
        <v>#VALUE!</v>
      </c>
      <c r="K2257" s="106"/>
      <c r="L2257" s="141"/>
      <c r="M2257" s="132"/>
      <c r="N2257" s="133"/>
      <c r="O2257" s="4"/>
      <c r="P2257" s="4"/>
      <c r="Q2257" s="4"/>
      <c r="R2257" s="4"/>
      <c r="S2257" s="4"/>
      <c r="T2257" s="4"/>
      <c r="U2257" s="4"/>
      <c r="V2257" s="4"/>
      <c r="W2257" s="4"/>
      <c r="X2257" s="4"/>
    </row>
    <row r="2258" spans="1:24" ht="14.25" customHeight="1">
      <c r="A2258" s="4"/>
      <c r="B2258" s="125">
        <v>46195</v>
      </c>
      <c r="C2258" s="126" t="s">
        <v>863</v>
      </c>
      <c r="D2258" s="15" t="s">
        <v>42</v>
      </c>
      <c r="E2258" s="10" t="str">
        <f>TRIM(VLOOKUP(D2258,TB!$B$9:$C$1500,2,FALSE))</f>
        <v>BCA Card TBB</v>
      </c>
      <c r="F2258" s="142" t="s">
        <v>864</v>
      </c>
      <c r="G2258" s="130"/>
      <c r="H2258" s="10"/>
      <c r="I2258" s="177">
        <v>3585315</v>
      </c>
      <c r="J2258" s="79" t="e">
        <f t="shared" si="160"/>
        <v>#VALUE!</v>
      </c>
      <c r="K2258" s="106"/>
      <c r="L2258" s="141"/>
      <c r="M2258" s="132"/>
      <c r="N2258" s="133"/>
      <c r="O2258" s="4"/>
      <c r="P2258" s="4"/>
      <c r="Q2258" s="4"/>
      <c r="R2258" s="4"/>
      <c r="S2258" s="4"/>
      <c r="T2258" s="4"/>
      <c r="U2258" s="4"/>
      <c r="V2258" s="4"/>
      <c r="W2258" s="4"/>
      <c r="X2258" s="4"/>
    </row>
    <row r="2259" spans="1:24" ht="14.25" customHeight="1">
      <c r="A2259" s="4"/>
      <c r="B2259" s="125"/>
      <c r="C2259" s="126"/>
      <c r="D2259" s="159"/>
      <c r="E2259" s="10" t="e">
        <f>TRIM(VLOOKUP(D2259,TB!$B$9:$C$1500,2,FALSE))</f>
        <v>#N/A</v>
      </c>
      <c r="F2259" s="142"/>
      <c r="G2259" s="130"/>
      <c r="H2259" s="10"/>
      <c r="I2259" s="10"/>
      <c r="J2259" s="79" t="e">
        <f t="shared" si="160"/>
        <v>#VALUE!</v>
      </c>
      <c r="K2259" s="106"/>
      <c r="L2259" s="141"/>
      <c r="M2259" s="132"/>
      <c r="N2259" s="133"/>
      <c r="O2259" s="4"/>
      <c r="P2259" s="4"/>
      <c r="Q2259" s="4"/>
      <c r="R2259" s="4"/>
      <c r="S2259" s="4"/>
      <c r="T2259" s="4"/>
      <c r="U2259" s="4"/>
      <c r="V2259" s="4"/>
      <c r="W2259" s="4"/>
      <c r="X2259" s="4"/>
    </row>
    <row r="2260" spans="1:24" ht="14.25" customHeight="1">
      <c r="A2260" s="4"/>
      <c r="B2260" s="125">
        <v>46195</v>
      </c>
      <c r="C2260" s="126" t="s">
        <v>865</v>
      </c>
      <c r="D2260" s="68" t="s">
        <v>130</v>
      </c>
      <c r="E2260" s="10" t="str">
        <f>TRIM(VLOOKUP(D2260,TB!$B$9:$C$1500,2,FALSE))</f>
        <v>BCA TBB</v>
      </c>
      <c r="F2260" s="142" t="s">
        <v>866</v>
      </c>
      <c r="G2260" s="130"/>
      <c r="H2260" s="10">
        <f>I2262-H2261</f>
        <v>8914895.5099999998</v>
      </c>
      <c r="I2260" s="10"/>
      <c r="J2260" s="79" t="e">
        <f t="shared" si="160"/>
        <v>#VALUE!</v>
      </c>
      <c r="K2260" s="106"/>
      <c r="L2260" s="141"/>
      <c r="M2260" s="132"/>
      <c r="N2260" s="133"/>
      <c r="O2260" s="4"/>
      <c r="P2260" s="4"/>
      <c r="Q2260" s="4"/>
      <c r="R2260" s="4"/>
      <c r="S2260" s="4"/>
      <c r="T2260" s="4"/>
      <c r="U2260" s="4"/>
      <c r="V2260" s="4"/>
      <c r="W2260" s="4"/>
      <c r="X2260" s="4"/>
    </row>
    <row r="2261" spans="1:24" ht="14.25" customHeight="1">
      <c r="A2261" s="4"/>
      <c r="B2261" s="125">
        <v>46195</v>
      </c>
      <c r="C2261" s="126" t="s">
        <v>865</v>
      </c>
      <c r="D2261" s="15" t="s">
        <v>124</v>
      </c>
      <c r="E2261" s="10" t="str">
        <f>TRIM(VLOOKUP(D2261,TB!$B$9:$C$1500,2,FALSE))</f>
        <v>Bank charges</v>
      </c>
      <c r="F2261" s="142" t="s">
        <v>866</v>
      </c>
      <c r="G2261" s="130"/>
      <c r="H2261" s="155">
        <v>163409.49000000002</v>
      </c>
      <c r="I2261" s="10"/>
      <c r="J2261" s="79" t="e">
        <f t="shared" si="160"/>
        <v>#VALUE!</v>
      </c>
      <c r="K2261" s="106"/>
      <c r="L2261" s="141"/>
      <c r="M2261" s="132"/>
      <c r="N2261" s="133"/>
      <c r="O2261" s="4"/>
      <c r="P2261" s="4"/>
      <c r="Q2261" s="4"/>
      <c r="R2261" s="4"/>
      <c r="S2261" s="4"/>
      <c r="T2261" s="4"/>
      <c r="U2261" s="4"/>
      <c r="V2261" s="4"/>
      <c r="W2261" s="4"/>
      <c r="X2261" s="4"/>
    </row>
    <row r="2262" spans="1:24" ht="14.25" customHeight="1">
      <c r="A2262" s="4"/>
      <c r="B2262" s="125">
        <v>46195</v>
      </c>
      <c r="C2262" s="126" t="s">
        <v>865</v>
      </c>
      <c r="D2262" s="15" t="s">
        <v>42</v>
      </c>
      <c r="E2262" s="10" t="str">
        <f>TRIM(VLOOKUP(D2262,TB!$B$9:$C$1500,2,FALSE))</f>
        <v>BCA Card TBB</v>
      </c>
      <c r="F2262" s="142" t="s">
        <v>866</v>
      </c>
      <c r="G2262" s="130"/>
      <c r="H2262" s="10"/>
      <c r="I2262" s="177">
        <v>9078305</v>
      </c>
      <c r="J2262" s="79" t="e">
        <f t="shared" si="160"/>
        <v>#VALUE!</v>
      </c>
      <c r="K2262" s="106"/>
      <c r="L2262" s="141"/>
      <c r="M2262" s="132"/>
      <c r="N2262" s="133"/>
      <c r="O2262" s="4"/>
      <c r="P2262" s="4"/>
      <c r="Q2262" s="4"/>
      <c r="R2262" s="4"/>
      <c r="S2262" s="4"/>
      <c r="T2262" s="4"/>
      <c r="U2262" s="4"/>
      <c r="V2262" s="4"/>
      <c r="W2262" s="4"/>
      <c r="X2262" s="4"/>
    </row>
    <row r="2263" spans="1:24" ht="14.25" customHeight="1">
      <c r="A2263" s="4"/>
      <c r="B2263" s="125"/>
      <c r="C2263" s="126"/>
      <c r="D2263" s="159"/>
      <c r="E2263" s="10" t="e">
        <f>TRIM(VLOOKUP(D2263,TB!$B$9:$C$1500,2,FALSE))</f>
        <v>#N/A</v>
      </c>
      <c r="F2263" s="142"/>
      <c r="G2263" s="130"/>
      <c r="H2263" s="10"/>
      <c r="I2263" s="10"/>
      <c r="J2263" s="79" t="e">
        <f t="shared" si="160"/>
        <v>#VALUE!</v>
      </c>
      <c r="K2263" s="106"/>
      <c r="L2263" s="141"/>
      <c r="M2263" s="132"/>
      <c r="N2263" s="133"/>
      <c r="O2263" s="4"/>
      <c r="P2263" s="4"/>
      <c r="Q2263" s="4"/>
      <c r="R2263" s="4"/>
      <c r="S2263" s="4"/>
      <c r="T2263" s="4"/>
      <c r="U2263" s="4"/>
      <c r="V2263" s="4"/>
      <c r="W2263" s="4"/>
      <c r="X2263" s="4"/>
    </row>
    <row r="2264" spans="1:24" ht="14.25" customHeight="1">
      <c r="A2264" s="4"/>
      <c r="B2264" s="125">
        <v>46195</v>
      </c>
      <c r="C2264" s="126" t="s">
        <v>867</v>
      </c>
      <c r="D2264" s="68" t="s">
        <v>130</v>
      </c>
      <c r="E2264" s="10" t="str">
        <f>TRIM(VLOOKUP(D2264,TB!$B$9:$C$1500,2,FALSE))</f>
        <v>BCA TBB</v>
      </c>
      <c r="F2264" s="142" t="s">
        <v>868</v>
      </c>
      <c r="G2264" s="130"/>
      <c r="H2264" s="155">
        <v>2170000</v>
      </c>
      <c r="I2264" s="10"/>
      <c r="J2264" s="79" t="e">
        <f t="shared" si="160"/>
        <v>#VALUE!</v>
      </c>
      <c r="K2264" s="106"/>
      <c r="L2264" s="141"/>
      <c r="M2264" s="132"/>
      <c r="N2264" s="133"/>
      <c r="O2264" s="4"/>
      <c r="P2264" s="4"/>
      <c r="Q2264" s="4"/>
      <c r="R2264" s="4"/>
      <c r="S2264" s="4"/>
      <c r="T2264" s="4"/>
      <c r="U2264" s="4"/>
      <c r="V2264" s="4"/>
      <c r="W2264" s="4"/>
      <c r="X2264" s="4"/>
    </row>
    <row r="2265" spans="1:24" ht="14.25" customHeight="1">
      <c r="A2265" s="4"/>
      <c r="B2265" s="125">
        <v>46195</v>
      </c>
      <c r="C2265" s="126" t="s">
        <v>867</v>
      </c>
      <c r="D2265" s="15" t="s">
        <v>869</v>
      </c>
      <c r="E2265" s="10" t="str">
        <f>TRIM(VLOOKUP(D2265,TB!$B$9:$C$1500,2,FALSE))</f>
        <v>Other income</v>
      </c>
      <c r="F2265" s="142" t="s">
        <v>868</v>
      </c>
      <c r="G2265" s="130"/>
      <c r="H2265" s="155"/>
      <c r="I2265" s="10">
        <v>170000</v>
      </c>
      <c r="J2265" s="79" t="e">
        <f t="shared" si="160"/>
        <v>#VALUE!</v>
      </c>
      <c r="K2265" s="106"/>
      <c r="L2265" s="141"/>
      <c r="M2265" s="132"/>
      <c r="N2265" s="133"/>
      <c r="O2265" s="4"/>
      <c r="P2265" s="4"/>
      <c r="Q2265" s="4"/>
      <c r="R2265" s="4"/>
      <c r="S2265" s="4"/>
      <c r="T2265" s="4"/>
      <c r="U2265" s="4"/>
      <c r="V2265" s="4"/>
      <c r="W2265" s="4"/>
      <c r="X2265" s="4"/>
    </row>
    <row r="2266" spans="1:24" ht="14.25" customHeight="1">
      <c r="A2266" s="4"/>
      <c r="B2266" s="125">
        <v>46195</v>
      </c>
      <c r="C2266" s="126" t="s">
        <v>867</v>
      </c>
      <c r="D2266" s="68" t="s">
        <v>63</v>
      </c>
      <c r="E2266" s="10" t="str">
        <f>TRIM(VLOOKUP(D2266,TB!$B$9:$C$1500,2,FALSE))</f>
        <v>City Ledger</v>
      </c>
      <c r="F2266" s="142" t="s">
        <v>868</v>
      </c>
      <c r="G2266" s="130"/>
      <c r="H2266" s="155"/>
      <c r="I2266" s="10">
        <v>2000000</v>
      </c>
      <c r="J2266" s="79" t="e">
        <f t="shared" si="160"/>
        <v>#VALUE!</v>
      </c>
      <c r="K2266" s="106"/>
      <c r="L2266" s="141"/>
      <c r="M2266" s="132"/>
      <c r="N2266" s="133"/>
      <c r="O2266" s="4"/>
      <c r="P2266" s="4"/>
      <c r="Q2266" s="4"/>
      <c r="R2266" s="4"/>
      <c r="S2266" s="4"/>
      <c r="T2266" s="4"/>
      <c r="U2266" s="4"/>
      <c r="V2266" s="4"/>
      <c r="W2266" s="4"/>
      <c r="X2266" s="4"/>
    </row>
    <row r="2267" spans="1:24" ht="14.25" customHeight="1">
      <c r="A2267" s="4"/>
      <c r="B2267" s="125"/>
      <c r="C2267" s="126"/>
      <c r="D2267" s="181"/>
      <c r="E2267" s="10" t="e">
        <f>TRIM(VLOOKUP(D2267,TB!$B$9:$C$1500,2,FALSE))</f>
        <v>#N/A</v>
      </c>
      <c r="F2267" s="185"/>
      <c r="G2267" s="130"/>
      <c r="H2267" s="155"/>
      <c r="I2267" s="10"/>
      <c r="J2267" s="79" t="e">
        <f t="shared" si="160"/>
        <v>#VALUE!</v>
      </c>
      <c r="K2267" s="106"/>
      <c r="L2267" s="141"/>
      <c r="M2267" s="132"/>
      <c r="N2267" s="133"/>
      <c r="O2267" s="4"/>
      <c r="P2267" s="4"/>
      <c r="Q2267" s="4"/>
      <c r="R2267" s="4"/>
      <c r="S2267" s="4"/>
      <c r="T2267" s="4"/>
      <c r="U2267" s="4"/>
      <c r="V2267" s="4"/>
      <c r="W2267" s="4"/>
      <c r="X2267" s="4"/>
    </row>
    <row r="2268" spans="1:24" ht="14.25" customHeight="1">
      <c r="A2268" s="4"/>
      <c r="B2268" s="125">
        <v>46195</v>
      </c>
      <c r="C2268" s="126" t="s">
        <v>870</v>
      </c>
      <c r="D2268" s="176" t="s">
        <v>285</v>
      </c>
      <c r="E2268" s="10" t="str">
        <f>TRIM(VLOOKUP(D2268,TB!$B$9:$C$1500,2,FALSE))</f>
        <v>Misc Cash Purchase</v>
      </c>
      <c r="F2268" s="185" t="s">
        <v>871</v>
      </c>
      <c r="G2268" s="130"/>
      <c r="H2268" s="155">
        <v>2018920</v>
      </c>
      <c r="I2268" s="10"/>
      <c r="J2268" s="79" t="e">
        <f t="shared" si="160"/>
        <v>#VALUE!</v>
      </c>
      <c r="K2268" s="106"/>
      <c r="L2268" s="141"/>
      <c r="M2268" s="132"/>
      <c r="N2268" s="133"/>
      <c r="O2268" s="4"/>
      <c r="P2268" s="4"/>
      <c r="Q2268" s="4"/>
      <c r="R2268" s="4"/>
      <c r="S2268" s="4"/>
      <c r="T2268" s="4"/>
      <c r="U2268" s="4"/>
      <c r="V2268" s="4"/>
      <c r="W2268" s="4"/>
      <c r="X2268" s="4"/>
    </row>
    <row r="2269" spans="1:24" ht="14.25" customHeight="1">
      <c r="A2269" s="4"/>
      <c r="B2269" s="125">
        <v>46195</v>
      </c>
      <c r="C2269" s="126" t="s">
        <v>870</v>
      </c>
      <c r="D2269" s="68" t="s">
        <v>130</v>
      </c>
      <c r="E2269" s="10" t="str">
        <f>TRIM(VLOOKUP(D2269,TB!$B$9:$C$1500,2,FALSE))</f>
        <v>BCA TBB</v>
      </c>
      <c r="F2269" s="185" t="s">
        <v>871</v>
      </c>
      <c r="G2269" s="130"/>
      <c r="H2269" s="10"/>
      <c r="I2269" s="155">
        <v>2018920</v>
      </c>
      <c r="J2269" s="79" t="e">
        <f t="shared" si="160"/>
        <v>#VALUE!</v>
      </c>
      <c r="K2269" s="106"/>
      <c r="L2269" s="141"/>
      <c r="M2269" s="132"/>
      <c r="N2269" s="133"/>
      <c r="O2269" s="4"/>
      <c r="P2269" s="4"/>
      <c r="Q2269" s="4"/>
      <c r="R2269" s="4"/>
      <c r="S2269" s="4"/>
      <c r="T2269" s="4"/>
      <c r="U2269" s="4"/>
      <c r="V2269" s="4"/>
      <c r="W2269" s="4"/>
      <c r="X2269" s="4"/>
    </row>
    <row r="2270" spans="1:24" ht="14.25" customHeight="1">
      <c r="A2270" s="4"/>
      <c r="B2270" s="125"/>
      <c r="C2270" s="126"/>
      <c r="D2270" s="68"/>
      <c r="E2270" s="10" t="e">
        <f>TRIM(VLOOKUP(D2270,TB!$B$9:$C$1500,2,FALSE))</f>
        <v>#N/A</v>
      </c>
      <c r="F2270" s="142"/>
      <c r="G2270" s="130"/>
      <c r="H2270" s="10"/>
      <c r="I2270" s="10"/>
      <c r="J2270" s="79" t="e">
        <f t="shared" si="160"/>
        <v>#VALUE!</v>
      </c>
      <c r="K2270" s="106"/>
      <c r="L2270" s="141"/>
      <c r="M2270" s="132"/>
      <c r="N2270" s="133"/>
      <c r="O2270" s="4"/>
      <c r="P2270" s="4"/>
      <c r="Q2270" s="4"/>
      <c r="R2270" s="4"/>
      <c r="S2270" s="4"/>
      <c r="T2270" s="4"/>
      <c r="U2270" s="4"/>
      <c r="V2270" s="4"/>
      <c r="W2270" s="4"/>
      <c r="X2270" s="4"/>
    </row>
    <row r="2271" spans="1:24" ht="14.25" customHeight="1">
      <c r="A2271" s="4"/>
      <c r="B2271" s="125">
        <v>46195</v>
      </c>
      <c r="C2271" s="126" t="s">
        <v>872</v>
      </c>
      <c r="D2271" s="176" t="s">
        <v>285</v>
      </c>
      <c r="E2271" s="10" t="str">
        <f>TRIM(VLOOKUP(D2271,TB!$B$9:$C$1500,2,FALSE))</f>
        <v>Misc Cash Purchase</v>
      </c>
      <c r="F2271" s="186" t="s">
        <v>873</v>
      </c>
      <c r="G2271" s="130"/>
      <c r="H2271" s="10">
        <v>69556400</v>
      </c>
      <c r="I2271" s="10"/>
      <c r="J2271" s="79" t="e">
        <f t="shared" si="160"/>
        <v>#VALUE!</v>
      </c>
      <c r="K2271" s="106"/>
      <c r="L2271" s="141"/>
      <c r="M2271" s="132"/>
      <c r="N2271" s="133"/>
      <c r="O2271" s="4"/>
      <c r="P2271" s="4"/>
      <c r="Q2271" s="4"/>
      <c r="R2271" s="4"/>
      <c r="S2271" s="4"/>
      <c r="T2271" s="4"/>
      <c r="U2271" s="4"/>
      <c r="V2271" s="4"/>
      <c r="W2271" s="4"/>
      <c r="X2271" s="4"/>
    </row>
    <row r="2272" spans="1:24" ht="14.25" customHeight="1">
      <c r="A2272" s="4"/>
      <c r="B2272" s="125">
        <v>46195</v>
      </c>
      <c r="C2272" s="126" t="s">
        <v>872</v>
      </c>
      <c r="D2272" s="68" t="s">
        <v>130</v>
      </c>
      <c r="E2272" s="10" t="str">
        <f>TRIM(VLOOKUP(D2272,TB!$B$9:$C$1500,2,FALSE))</f>
        <v>BCA TBB</v>
      </c>
      <c r="F2272" s="186" t="s">
        <v>873</v>
      </c>
      <c r="G2272" s="130"/>
      <c r="H2272" s="10"/>
      <c r="I2272" s="10">
        <v>69556400</v>
      </c>
      <c r="J2272" s="79" t="e">
        <f t="shared" si="160"/>
        <v>#VALUE!</v>
      </c>
      <c r="K2272" s="106"/>
      <c r="L2272" s="141"/>
      <c r="M2272" s="132"/>
      <c r="N2272" s="133"/>
      <c r="O2272" s="4"/>
      <c r="P2272" s="4"/>
      <c r="Q2272" s="4"/>
      <c r="R2272" s="4"/>
      <c r="S2272" s="4"/>
      <c r="T2272" s="4"/>
      <c r="U2272" s="4"/>
      <c r="V2272" s="4"/>
      <c r="W2272" s="4"/>
      <c r="X2272" s="4"/>
    </row>
    <row r="2273" spans="1:24" ht="14.25" customHeight="1">
      <c r="A2273" s="4"/>
      <c r="B2273" s="125"/>
      <c r="C2273" s="126"/>
      <c r="D2273" s="159"/>
      <c r="E2273" s="10" t="e">
        <f>TRIM(VLOOKUP(D2273,TB!$B$9:$C$1500,2,FALSE))</f>
        <v>#N/A</v>
      </c>
      <c r="F2273" s="142"/>
      <c r="G2273" s="130"/>
      <c r="H2273" s="10"/>
      <c r="I2273" s="10"/>
      <c r="J2273" s="79" t="e">
        <f t="shared" si="160"/>
        <v>#VALUE!</v>
      </c>
      <c r="K2273" s="106"/>
      <c r="L2273" s="141"/>
      <c r="M2273" s="132"/>
      <c r="N2273" s="133"/>
      <c r="O2273" s="4"/>
      <c r="P2273" s="4"/>
      <c r="Q2273" s="4"/>
      <c r="R2273" s="4"/>
      <c r="S2273" s="4"/>
      <c r="T2273" s="4"/>
      <c r="U2273" s="4"/>
      <c r="V2273" s="4"/>
      <c r="W2273" s="4"/>
      <c r="X2273" s="4"/>
    </row>
    <row r="2274" spans="1:24" ht="14.25" customHeight="1">
      <c r="A2274" s="4"/>
      <c r="B2274" s="125">
        <v>46195</v>
      </c>
      <c r="C2274" s="126" t="s">
        <v>874</v>
      </c>
      <c r="D2274" s="176" t="s">
        <v>285</v>
      </c>
      <c r="E2274" s="10" t="str">
        <f>TRIM(VLOOKUP(D2274,TB!$B$9:$C$1500,2,FALSE))</f>
        <v>Misc Cash Purchase</v>
      </c>
      <c r="F2274" s="142" t="s">
        <v>875</v>
      </c>
      <c r="G2274" s="130"/>
      <c r="H2274" s="10">
        <v>3734706</v>
      </c>
      <c r="I2274" s="10"/>
      <c r="J2274" s="79" t="e">
        <f t="shared" si="160"/>
        <v>#VALUE!</v>
      </c>
      <c r="K2274" s="106"/>
      <c r="L2274" s="141"/>
      <c r="M2274" s="132"/>
      <c r="N2274" s="133"/>
      <c r="O2274" s="4"/>
      <c r="P2274" s="4"/>
      <c r="Q2274" s="4"/>
      <c r="R2274" s="4"/>
      <c r="S2274" s="4"/>
      <c r="T2274" s="4"/>
      <c r="U2274" s="4"/>
      <c r="V2274" s="4"/>
      <c r="W2274" s="4"/>
      <c r="X2274" s="4"/>
    </row>
    <row r="2275" spans="1:24" ht="14.25" customHeight="1">
      <c r="A2275" s="4"/>
      <c r="B2275" s="125">
        <v>46195</v>
      </c>
      <c r="C2275" s="126" t="s">
        <v>874</v>
      </c>
      <c r="D2275" s="68" t="s">
        <v>130</v>
      </c>
      <c r="E2275" s="10" t="str">
        <f>TRIM(VLOOKUP(D2275,TB!$B$9:$C$1500,2,FALSE))</f>
        <v>BCA TBB</v>
      </c>
      <c r="F2275" s="142" t="s">
        <v>875</v>
      </c>
      <c r="G2275" s="130"/>
      <c r="H2275" s="10"/>
      <c r="I2275" s="10">
        <v>3734706</v>
      </c>
      <c r="J2275" s="79" t="e">
        <f t="shared" si="160"/>
        <v>#VALUE!</v>
      </c>
      <c r="K2275" s="106"/>
      <c r="L2275" s="141"/>
      <c r="M2275" s="132"/>
      <c r="N2275" s="133"/>
      <c r="O2275" s="4"/>
      <c r="P2275" s="4"/>
      <c r="Q2275" s="4"/>
      <c r="R2275" s="4"/>
      <c r="S2275" s="4"/>
      <c r="T2275" s="4"/>
      <c r="U2275" s="4"/>
      <c r="V2275" s="4"/>
      <c r="W2275" s="4"/>
      <c r="X2275" s="4"/>
    </row>
    <row r="2276" spans="1:24" ht="14.25" customHeight="1">
      <c r="A2276" s="4"/>
      <c r="B2276" s="125"/>
      <c r="C2276" s="126"/>
      <c r="D2276" s="159"/>
      <c r="E2276" s="10" t="e">
        <f>TRIM(VLOOKUP(D2276,TB!$B$9:$C$1500,2,FALSE))</f>
        <v>#N/A</v>
      </c>
      <c r="F2276" s="142"/>
      <c r="G2276" s="130"/>
      <c r="H2276" s="10"/>
      <c r="I2276" s="10"/>
      <c r="J2276" s="79" t="e">
        <f t="shared" si="160"/>
        <v>#VALUE!</v>
      </c>
      <c r="K2276" s="106"/>
      <c r="L2276" s="141"/>
      <c r="M2276" s="132"/>
      <c r="N2276" s="133"/>
      <c r="O2276" s="4"/>
      <c r="P2276" s="4"/>
      <c r="Q2276" s="4"/>
      <c r="R2276" s="4"/>
      <c r="S2276" s="4"/>
      <c r="T2276" s="4"/>
      <c r="U2276" s="4"/>
      <c r="V2276" s="4"/>
      <c r="W2276" s="4"/>
      <c r="X2276" s="4"/>
    </row>
    <row r="2277" spans="1:24" ht="14.25" customHeight="1">
      <c r="A2277" s="4"/>
      <c r="B2277" s="125">
        <v>46195</v>
      </c>
      <c r="C2277" s="126" t="s">
        <v>876</v>
      </c>
      <c r="D2277" s="176" t="s">
        <v>285</v>
      </c>
      <c r="E2277" s="10" t="str">
        <f>TRIM(VLOOKUP(D2277,TB!$B$9:$C$1500,2,FALSE))</f>
        <v>Misc Cash Purchase</v>
      </c>
      <c r="F2277" s="142" t="s">
        <v>877</v>
      </c>
      <c r="G2277" s="130"/>
      <c r="H2277" s="155">
        <v>2098800</v>
      </c>
      <c r="I2277" s="10"/>
      <c r="J2277" s="79" t="e">
        <f t="shared" si="160"/>
        <v>#VALUE!</v>
      </c>
      <c r="K2277" s="106"/>
      <c r="L2277" s="141"/>
      <c r="M2277" s="132"/>
      <c r="N2277" s="133"/>
      <c r="O2277" s="4"/>
      <c r="P2277" s="4"/>
      <c r="Q2277" s="4"/>
      <c r="R2277" s="4"/>
      <c r="S2277" s="4"/>
      <c r="T2277" s="4"/>
      <c r="U2277" s="4"/>
      <c r="V2277" s="4"/>
      <c r="W2277" s="4"/>
      <c r="X2277" s="4"/>
    </row>
    <row r="2278" spans="1:24" ht="14.25" customHeight="1">
      <c r="A2278" s="4"/>
      <c r="B2278" s="125">
        <v>46195</v>
      </c>
      <c r="C2278" s="126" t="s">
        <v>876</v>
      </c>
      <c r="D2278" s="68" t="s">
        <v>130</v>
      </c>
      <c r="E2278" s="10" t="str">
        <f>TRIM(VLOOKUP(D2278,TB!$B$9:$C$1500,2,FALSE))</f>
        <v>BCA TBB</v>
      </c>
      <c r="F2278" s="142" t="s">
        <v>877</v>
      </c>
      <c r="G2278" s="130"/>
      <c r="H2278" s="155"/>
      <c r="I2278" s="155">
        <v>2098800</v>
      </c>
      <c r="J2278" s="79" t="e">
        <f t="shared" si="160"/>
        <v>#VALUE!</v>
      </c>
      <c r="K2278" s="106"/>
      <c r="L2278" s="141"/>
      <c r="M2278" s="132"/>
      <c r="N2278" s="133"/>
      <c r="O2278" s="4"/>
      <c r="P2278" s="4"/>
      <c r="Q2278" s="4"/>
      <c r="R2278" s="4"/>
      <c r="S2278" s="4"/>
      <c r="T2278" s="4"/>
      <c r="U2278" s="4"/>
      <c r="V2278" s="4"/>
      <c r="W2278" s="4"/>
      <c r="X2278" s="4"/>
    </row>
    <row r="2279" spans="1:24" ht="14.25" customHeight="1">
      <c r="A2279" s="4"/>
      <c r="B2279" s="125"/>
      <c r="C2279" s="126"/>
      <c r="D2279" s="68"/>
      <c r="E2279" s="10" t="e">
        <f>TRIM(VLOOKUP(D2279,TB!$B$9:$C$1500,2,FALSE))</f>
        <v>#N/A</v>
      </c>
      <c r="F2279" s="142"/>
      <c r="G2279" s="130"/>
      <c r="H2279" s="155"/>
      <c r="I2279" s="10"/>
      <c r="J2279" s="79" t="e">
        <f t="shared" si="160"/>
        <v>#VALUE!</v>
      </c>
      <c r="K2279" s="106"/>
      <c r="L2279" s="141"/>
      <c r="M2279" s="132"/>
      <c r="N2279" s="133"/>
      <c r="O2279" s="4"/>
      <c r="P2279" s="4"/>
      <c r="Q2279" s="4"/>
      <c r="R2279" s="4"/>
      <c r="S2279" s="4"/>
      <c r="T2279" s="4"/>
      <c r="U2279" s="4"/>
      <c r="V2279" s="4"/>
      <c r="W2279" s="4"/>
      <c r="X2279" s="4"/>
    </row>
    <row r="2280" spans="1:24" ht="14.25" customHeight="1">
      <c r="A2280" s="4"/>
      <c r="B2280" s="125">
        <v>46195</v>
      </c>
      <c r="C2280" s="126" t="s">
        <v>878</v>
      </c>
      <c r="D2280" s="15" t="s">
        <v>188</v>
      </c>
      <c r="E2280" s="10" t="str">
        <f>TRIM(VLOOKUP(D2280,TB!$B$9:$C$1500,2,FALSE))</f>
        <v>Advertising Costs</v>
      </c>
      <c r="F2280" s="142" t="s">
        <v>879</v>
      </c>
      <c r="G2280" s="130"/>
      <c r="H2280" s="10">
        <v>1400000</v>
      </c>
      <c r="I2280" s="10"/>
      <c r="J2280" s="79" t="e">
        <f t="shared" si="160"/>
        <v>#VALUE!</v>
      </c>
      <c r="K2280" s="106"/>
      <c r="L2280" s="141"/>
      <c r="M2280" s="132"/>
      <c r="N2280" s="133"/>
      <c r="O2280" s="4"/>
      <c r="P2280" s="4"/>
      <c r="Q2280" s="4"/>
      <c r="R2280" s="4"/>
      <c r="S2280" s="4"/>
      <c r="T2280" s="4"/>
      <c r="U2280" s="4"/>
      <c r="V2280" s="4"/>
      <c r="W2280" s="4"/>
      <c r="X2280" s="4"/>
    </row>
    <row r="2281" spans="1:24" ht="14.25" customHeight="1">
      <c r="A2281" s="4"/>
      <c r="B2281" s="125">
        <v>46195</v>
      </c>
      <c r="C2281" s="126" t="s">
        <v>878</v>
      </c>
      <c r="D2281" s="15" t="s">
        <v>124</v>
      </c>
      <c r="E2281" s="10" t="str">
        <f>TRIM(VLOOKUP(D2281,TB!$B$9:$C$1500,2,FALSE))</f>
        <v>Bank charges</v>
      </c>
      <c r="F2281" s="142" t="s">
        <v>879</v>
      </c>
      <c r="G2281" s="130"/>
      <c r="H2281" s="10">
        <v>1000</v>
      </c>
      <c r="I2281" s="10"/>
      <c r="J2281" s="79" t="e">
        <f t="shared" si="160"/>
        <v>#VALUE!</v>
      </c>
      <c r="K2281" s="106"/>
      <c r="L2281" s="141"/>
      <c r="M2281" s="132"/>
      <c r="N2281" s="133"/>
      <c r="O2281" s="4"/>
      <c r="P2281" s="4"/>
      <c r="Q2281" s="4"/>
      <c r="R2281" s="4"/>
      <c r="S2281" s="4"/>
      <c r="T2281" s="4"/>
      <c r="U2281" s="4"/>
      <c r="V2281" s="4"/>
      <c r="W2281" s="4"/>
      <c r="X2281" s="4"/>
    </row>
    <row r="2282" spans="1:24" ht="14.25" customHeight="1">
      <c r="A2282" s="4"/>
      <c r="B2282" s="125">
        <v>46195</v>
      </c>
      <c r="C2282" s="126" t="s">
        <v>878</v>
      </c>
      <c r="D2282" s="68" t="s">
        <v>130</v>
      </c>
      <c r="E2282" s="10" t="str">
        <f>TRIM(VLOOKUP(D2282,TB!$B$9:$C$1500,2,FALSE))</f>
        <v>BCA TBB</v>
      </c>
      <c r="F2282" s="142" t="s">
        <v>879</v>
      </c>
      <c r="G2282" s="130"/>
      <c r="H2282" s="10"/>
      <c r="I2282" s="10">
        <v>1401000</v>
      </c>
      <c r="J2282" s="79" t="e">
        <f t="shared" si="160"/>
        <v>#VALUE!</v>
      </c>
      <c r="K2282" s="106"/>
      <c r="L2282" s="141"/>
      <c r="M2282" s="132"/>
      <c r="N2282" s="133"/>
      <c r="O2282" s="4"/>
      <c r="P2282" s="4"/>
      <c r="Q2282" s="4"/>
      <c r="R2282" s="4"/>
      <c r="S2282" s="4"/>
      <c r="T2282" s="4"/>
      <c r="U2282" s="4"/>
      <c r="V2282" s="4"/>
      <c r="W2282" s="4"/>
      <c r="X2282" s="4"/>
    </row>
    <row r="2283" spans="1:24" ht="14.25" customHeight="1">
      <c r="A2283" s="4"/>
      <c r="B2283" s="125"/>
      <c r="C2283" s="126"/>
      <c r="D2283" s="68"/>
      <c r="E2283" s="10" t="e">
        <f>TRIM(VLOOKUP(D2283,TB!$B$9:$C$1500,2,FALSE))</f>
        <v>#N/A</v>
      </c>
      <c r="F2283" s="142"/>
      <c r="G2283" s="130"/>
      <c r="H2283" s="155"/>
      <c r="I2283" s="10"/>
      <c r="J2283" s="79" t="e">
        <f t="shared" si="160"/>
        <v>#VALUE!</v>
      </c>
      <c r="K2283" s="106"/>
      <c r="L2283" s="141"/>
      <c r="M2283" s="132"/>
      <c r="N2283" s="133"/>
      <c r="O2283" s="4"/>
      <c r="P2283" s="4"/>
      <c r="Q2283" s="4"/>
      <c r="R2283" s="4"/>
      <c r="S2283" s="4"/>
      <c r="T2283" s="4"/>
      <c r="U2283" s="4"/>
      <c r="V2283" s="4"/>
      <c r="W2283" s="4"/>
      <c r="X2283" s="4"/>
    </row>
    <row r="2284" spans="1:24" ht="14.25" customHeight="1">
      <c r="A2284" s="4"/>
      <c r="B2284" s="125">
        <v>46195</v>
      </c>
      <c r="C2284" s="126" t="s">
        <v>880</v>
      </c>
      <c r="D2284" s="176" t="s">
        <v>285</v>
      </c>
      <c r="E2284" s="10" t="str">
        <f>TRIM(VLOOKUP(D2284,TB!$B$9:$C$1500,2,FALSE))</f>
        <v>Misc Cash Purchase</v>
      </c>
      <c r="F2284" s="142" t="s">
        <v>881</v>
      </c>
      <c r="G2284" s="130"/>
      <c r="H2284" s="155">
        <v>7000000</v>
      </c>
      <c r="I2284" s="10"/>
      <c r="J2284" s="79" t="e">
        <f t="shared" si="160"/>
        <v>#VALUE!</v>
      </c>
      <c r="K2284" s="106"/>
      <c r="L2284" s="141"/>
      <c r="M2284" s="132"/>
      <c r="N2284" s="133"/>
      <c r="O2284" s="4"/>
      <c r="P2284" s="4"/>
      <c r="Q2284" s="4"/>
      <c r="R2284" s="4"/>
      <c r="S2284" s="4"/>
      <c r="T2284" s="4"/>
      <c r="U2284" s="4"/>
      <c r="V2284" s="4"/>
      <c r="W2284" s="4"/>
      <c r="X2284" s="4"/>
    </row>
    <row r="2285" spans="1:24" ht="14.25" customHeight="1">
      <c r="A2285" s="4"/>
      <c r="B2285" s="125">
        <v>46195</v>
      </c>
      <c r="C2285" s="126" t="s">
        <v>880</v>
      </c>
      <c r="D2285" s="68" t="s">
        <v>130</v>
      </c>
      <c r="E2285" s="10" t="str">
        <f>TRIM(VLOOKUP(D2285,TB!$B$9:$C$1500,2,FALSE))</f>
        <v>BCA TBB</v>
      </c>
      <c r="F2285" s="142" t="s">
        <v>881</v>
      </c>
      <c r="G2285" s="130"/>
      <c r="H2285" s="10"/>
      <c r="I2285" s="155">
        <v>7000000</v>
      </c>
      <c r="J2285" s="79" t="e">
        <f t="shared" si="160"/>
        <v>#VALUE!</v>
      </c>
      <c r="K2285" s="106"/>
      <c r="L2285" s="141"/>
      <c r="M2285" s="132"/>
      <c r="N2285" s="133"/>
      <c r="O2285" s="4"/>
      <c r="P2285" s="4"/>
      <c r="Q2285" s="4"/>
      <c r="R2285" s="4"/>
      <c r="S2285" s="4"/>
      <c r="T2285" s="4"/>
      <c r="U2285" s="4"/>
      <c r="V2285" s="4"/>
      <c r="W2285" s="4"/>
      <c r="X2285" s="4"/>
    </row>
    <row r="2286" spans="1:24" ht="14.25" customHeight="1">
      <c r="A2286" s="4"/>
      <c r="B2286" s="125"/>
      <c r="C2286" s="126"/>
      <c r="D2286" s="159"/>
      <c r="E2286" s="10" t="e">
        <f>TRIM(VLOOKUP(D2286,TB!$B$9:$C$1500,2,FALSE))</f>
        <v>#N/A</v>
      </c>
      <c r="F2286" s="142"/>
      <c r="G2286" s="130"/>
      <c r="H2286" s="10"/>
      <c r="I2286" s="10"/>
      <c r="J2286" s="79" t="e">
        <f t="shared" si="160"/>
        <v>#VALUE!</v>
      </c>
      <c r="K2286" s="106"/>
      <c r="L2286" s="141"/>
      <c r="M2286" s="132"/>
      <c r="N2286" s="133"/>
      <c r="O2286" s="4"/>
      <c r="P2286" s="4"/>
      <c r="Q2286" s="4"/>
      <c r="R2286" s="4"/>
      <c r="S2286" s="4"/>
      <c r="T2286" s="4"/>
      <c r="U2286" s="4"/>
      <c r="V2286" s="4"/>
      <c r="W2286" s="4"/>
      <c r="X2286" s="4"/>
    </row>
    <row r="2287" spans="1:24" ht="14.25" customHeight="1">
      <c r="A2287" s="4"/>
      <c r="B2287" s="125">
        <v>46195</v>
      </c>
      <c r="C2287" s="126" t="s">
        <v>882</v>
      </c>
      <c r="D2287" s="176" t="s">
        <v>285</v>
      </c>
      <c r="E2287" s="10" t="str">
        <f>TRIM(VLOOKUP(D2287,TB!$B$9:$C$1500,2,FALSE))</f>
        <v>Misc Cash Purchase</v>
      </c>
      <c r="F2287" s="142" t="s">
        <v>883</v>
      </c>
      <c r="G2287" s="130"/>
      <c r="H2287" s="10">
        <v>12240000</v>
      </c>
      <c r="I2287" s="10"/>
      <c r="J2287" s="79" t="e">
        <f t="shared" si="160"/>
        <v>#VALUE!</v>
      </c>
      <c r="K2287" s="106"/>
      <c r="L2287" s="141"/>
      <c r="M2287" s="132"/>
      <c r="N2287" s="133"/>
      <c r="O2287" s="4"/>
      <c r="P2287" s="4"/>
      <c r="Q2287" s="4"/>
      <c r="R2287" s="4"/>
      <c r="S2287" s="4"/>
      <c r="T2287" s="4"/>
      <c r="U2287" s="4"/>
      <c r="V2287" s="4"/>
      <c r="W2287" s="4"/>
      <c r="X2287" s="4"/>
    </row>
    <row r="2288" spans="1:24" ht="14.25" customHeight="1">
      <c r="A2288" s="4"/>
      <c r="B2288" s="125">
        <v>46195</v>
      </c>
      <c r="C2288" s="126" t="s">
        <v>882</v>
      </c>
      <c r="D2288" s="68" t="s">
        <v>130</v>
      </c>
      <c r="E2288" s="10" t="str">
        <f>TRIM(VLOOKUP(D2288,TB!$B$9:$C$1500,2,FALSE))</f>
        <v>BCA TBB</v>
      </c>
      <c r="F2288" s="142" t="s">
        <v>883</v>
      </c>
      <c r="G2288" s="130"/>
      <c r="H2288" s="10"/>
      <c r="I2288" s="10">
        <v>12240000</v>
      </c>
      <c r="J2288" s="79" t="e">
        <f t="shared" si="160"/>
        <v>#VALUE!</v>
      </c>
      <c r="K2288" s="106"/>
      <c r="L2288" s="141"/>
      <c r="M2288" s="132"/>
      <c r="N2288" s="133"/>
      <c r="O2288" s="4"/>
      <c r="P2288" s="4"/>
      <c r="Q2288" s="4"/>
      <c r="R2288" s="4"/>
      <c r="S2288" s="4"/>
      <c r="T2288" s="4"/>
      <c r="U2288" s="4"/>
      <c r="V2288" s="4"/>
      <c r="W2288" s="4"/>
      <c r="X2288" s="4"/>
    </row>
    <row r="2289" spans="1:24" ht="14.25" customHeight="1">
      <c r="A2289" s="4"/>
      <c r="B2289" s="125"/>
      <c r="C2289" s="126"/>
      <c r="D2289" s="159"/>
      <c r="E2289" s="10" t="e">
        <f>TRIM(VLOOKUP(D2289,TB!$B$9:$C$1500,2,FALSE))</f>
        <v>#N/A</v>
      </c>
      <c r="F2289" s="142"/>
      <c r="G2289" s="130"/>
      <c r="H2289" s="10"/>
      <c r="I2289" s="10"/>
      <c r="J2289" s="79" t="e">
        <f t="shared" si="160"/>
        <v>#VALUE!</v>
      </c>
      <c r="K2289" s="106"/>
      <c r="L2289" s="141"/>
      <c r="M2289" s="132"/>
      <c r="N2289" s="133"/>
      <c r="O2289" s="4"/>
      <c r="P2289" s="4"/>
      <c r="Q2289" s="4"/>
      <c r="R2289" s="4"/>
      <c r="S2289" s="4"/>
      <c r="T2289" s="4"/>
      <c r="U2289" s="4"/>
      <c r="V2289" s="4"/>
      <c r="W2289" s="4"/>
      <c r="X2289" s="4"/>
    </row>
    <row r="2290" spans="1:24" ht="14.25" customHeight="1">
      <c r="A2290" s="4"/>
      <c r="B2290" s="125">
        <v>46195</v>
      </c>
      <c r="C2290" s="126" t="s">
        <v>884</v>
      </c>
      <c r="D2290" s="176" t="s">
        <v>285</v>
      </c>
      <c r="E2290" s="10" t="str">
        <f>TRIM(VLOOKUP(D2290,TB!$B$9:$C$1500,2,FALSE))</f>
        <v>Misc Cash Purchase</v>
      </c>
      <c r="F2290" s="142" t="s">
        <v>885</v>
      </c>
      <c r="G2290" s="130"/>
      <c r="H2290" s="155">
        <v>11900000</v>
      </c>
      <c r="I2290" s="10"/>
      <c r="J2290" s="79" t="e">
        <f t="shared" si="160"/>
        <v>#VALUE!</v>
      </c>
      <c r="K2290" s="106"/>
      <c r="L2290" s="141"/>
      <c r="M2290" s="132"/>
      <c r="N2290" s="133"/>
      <c r="O2290" s="4"/>
      <c r="P2290" s="4"/>
      <c r="Q2290" s="4"/>
      <c r="R2290" s="4"/>
      <c r="S2290" s="4"/>
      <c r="T2290" s="4"/>
      <c r="U2290" s="4"/>
      <c r="V2290" s="4"/>
      <c r="W2290" s="4"/>
      <c r="X2290" s="4"/>
    </row>
    <row r="2291" spans="1:24" ht="14.25" customHeight="1">
      <c r="A2291" s="4"/>
      <c r="B2291" s="125">
        <v>46195</v>
      </c>
      <c r="C2291" s="126" t="s">
        <v>884</v>
      </c>
      <c r="D2291" s="68" t="s">
        <v>130</v>
      </c>
      <c r="E2291" s="10" t="str">
        <f>TRIM(VLOOKUP(D2291,TB!$B$9:$C$1500,2,FALSE))</f>
        <v>BCA TBB</v>
      </c>
      <c r="F2291" s="142" t="s">
        <v>885</v>
      </c>
      <c r="G2291" s="130"/>
      <c r="H2291" s="155"/>
      <c r="I2291" s="155">
        <v>11900000</v>
      </c>
      <c r="J2291" s="79" t="e">
        <f t="shared" si="160"/>
        <v>#VALUE!</v>
      </c>
      <c r="K2291" s="106"/>
      <c r="L2291" s="141"/>
      <c r="M2291" s="132"/>
      <c r="N2291" s="133"/>
      <c r="O2291" s="4"/>
      <c r="P2291" s="4"/>
      <c r="Q2291" s="4"/>
      <c r="R2291" s="4"/>
      <c r="S2291" s="4"/>
      <c r="T2291" s="4"/>
      <c r="U2291" s="4"/>
      <c r="V2291" s="4"/>
      <c r="W2291" s="4"/>
      <c r="X2291" s="4"/>
    </row>
    <row r="2292" spans="1:24" ht="14.25" customHeight="1">
      <c r="A2292" s="4"/>
      <c r="B2292" s="125"/>
      <c r="C2292" s="126"/>
      <c r="D2292" s="159"/>
      <c r="E2292" s="10" t="e">
        <f>TRIM(VLOOKUP(D2292,TB!$B$9:$C$1500,2,FALSE))</f>
        <v>#N/A</v>
      </c>
      <c r="F2292" s="142"/>
      <c r="G2292" s="130"/>
      <c r="H2292" s="10"/>
      <c r="I2292" s="10"/>
      <c r="J2292" s="79" t="e">
        <f t="shared" si="160"/>
        <v>#VALUE!</v>
      </c>
      <c r="K2292" s="106"/>
      <c r="L2292" s="141"/>
      <c r="M2292" s="132"/>
      <c r="N2292" s="133"/>
      <c r="O2292" s="4"/>
      <c r="P2292" s="4"/>
      <c r="Q2292" s="4"/>
      <c r="R2292" s="4"/>
      <c r="S2292" s="4"/>
      <c r="T2292" s="4"/>
      <c r="U2292" s="4"/>
      <c r="V2292" s="4"/>
      <c r="W2292" s="4"/>
      <c r="X2292" s="4"/>
    </row>
    <row r="2293" spans="1:24" ht="14.25" customHeight="1">
      <c r="A2293" s="4"/>
      <c r="B2293" s="125">
        <v>46195</v>
      </c>
      <c r="C2293" s="126" t="s">
        <v>886</v>
      </c>
      <c r="D2293" s="15" t="s">
        <v>438</v>
      </c>
      <c r="E2293" s="10" t="str">
        <f>TRIM(VLOOKUP(D2293,TB!$B$9:$C$1500,2,FALSE))</f>
        <v>Brochure Flyer Printing</v>
      </c>
      <c r="F2293" s="142" t="s">
        <v>887</v>
      </c>
      <c r="G2293" s="130"/>
      <c r="H2293" s="10">
        <v>276000</v>
      </c>
      <c r="I2293" s="10"/>
      <c r="J2293" s="79" t="e">
        <f t="shared" si="160"/>
        <v>#VALUE!</v>
      </c>
      <c r="K2293" s="106"/>
      <c r="L2293" s="141"/>
      <c r="M2293" s="132"/>
      <c r="N2293" s="133"/>
      <c r="O2293" s="4"/>
      <c r="P2293" s="4"/>
      <c r="Q2293" s="4"/>
      <c r="R2293" s="4"/>
      <c r="S2293" s="4"/>
      <c r="T2293" s="4"/>
      <c r="U2293" s="4"/>
      <c r="V2293" s="4"/>
      <c r="W2293" s="4"/>
      <c r="X2293" s="4"/>
    </row>
    <row r="2294" spans="1:24" ht="14.25" customHeight="1">
      <c r="A2294" s="4"/>
      <c r="B2294" s="125">
        <v>46195</v>
      </c>
      <c r="C2294" s="126" t="s">
        <v>886</v>
      </c>
      <c r="D2294" s="68" t="s">
        <v>130</v>
      </c>
      <c r="E2294" s="10" t="str">
        <f>TRIM(VLOOKUP(D2294,TB!$B$9:$C$1500,2,FALSE))</f>
        <v>BCA TBB</v>
      </c>
      <c r="F2294" s="142" t="s">
        <v>887</v>
      </c>
      <c r="G2294" s="130"/>
      <c r="H2294" s="10"/>
      <c r="I2294" s="10">
        <v>276000</v>
      </c>
      <c r="J2294" s="79" t="e">
        <f t="shared" si="160"/>
        <v>#VALUE!</v>
      </c>
      <c r="K2294" s="106"/>
      <c r="L2294" s="141"/>
      <c r="M2294" s="132"/>
      <c r="N2294" s="133"/>
      <c r="O2294" s="4"/>
      <c r="P2294" s="4"/>
      <c r="Q2294" s="4"/>
      <c r="R2294" s="4"/>
      <c r="S2294" s="4"/>
      <c r="T2294" s="4"/>
      <c r="U2294" s="4"/>
      <c r="V2294" s="4"/>
      <c r="W2294" s="4"/>
      <c r="X2294" s="4"/>
    </row>
    <row r="2295" spans="1:24" ht="14.25" customHeight="1">
      <c r="A2295" s="4"/>
      <c r="B2295" s="125"/>
      <c r="C2295" s="126"/>
      <c r="D2295" s="187"/>
      <c r="E2295" s="10" t="e">
        <f>TRIM(VLOOKUP(D2295,TB!$B$9:$C$1500,2,FALSE))</f>
        <v>#N/A</v>
      </c>
      <c r="F2295" s="142"/>
      <c r="G2295" s="130"/>
      <c r="H2295" s="10"/>
      <c r="I2295" s="10"/>
      <c r="J2295" s="79" t="e">
        <f t="shared" si="160"/>
        <v>#VALUE!</v>
      </c>
      <c r="K2295" s="106"/>
      <c r="L2295" s="141"/>
      <c r="M2295" s="132"/>
      <c r="N2295" s="133"/>
      <c r="O2295" s="4"/>
      <c r="P2295" s="4"/>
      <c r="Q2295" s="4"/>
      <c r="R2295" s="4"/>
      <c r="S2295" s="4"/>
      <c r="T2295" s="4"/>
      <c r="U2295" s="4"/>
      <c r="V2295" s="4"/>
      <c r="W2295" s="4"/>
      <c r="X2295" s="4"/>
    </row>
    <row r="2296" spans="1:24" ht="14.25" customHeight="1">
      <c r="A2296" s="4"/>
      <c r="B2296" s="125">
        <v>46195</v>
      </c>
      <c r="C2296" s="126" t="s">
        <v>888</v>
      </c>
      <c r="D2296" s="15" t="s">
        <v>617</v>
      </c>
      <c r="E2296" s="10" t="str">
        <f>TRIM(VLOOKUP(D2296,TB!$B$9:$C$1500,2,FALSE))</f>
        <v>Cleaning Supplies &amp; Expenses</v>
      </c>
      <c r="F2296" s="142" t="s">
        <v>618</v>
      </c>
      <c r="G2296" s="130"/>
      <c r="H2296" s="10">
        <v>488350</v>
      </c>
      <c r="I2296" s="10"/>
      <c r="J2296" s="79" t="e">
        <f t="shared" si="160"/>
        <v>#VALUE!</v>
      </c>
      <c r="K2296" s="106"/>
      <c r="L2296" s="141"/>
      <c r="M2296" s="132"/>
      <c r="N2296" s="133"/>
      <c r="O2296" s="4"/>
      <c r="P2296" s="4"/>
      <c r="Q2296" s="4"/>
      <c r="R2296" s="4"/>
      <c r="S2296" s="4"/>
      <c r="T2296" s="4"/>
      <c r="U2296" s="4"/>
      <c r="V2296" s="4"/>
      <c r="W2296" s="4"/>
      <c r="X2296" s="4"/>
    </row>
    <row r="2297" spans="1:24" ht="14.25" customHeight="1">
      <c r="A2297" s="4"/>
      <c r="B2297" s="125">
        <v>46195</v>
      </c>
      <c r="C2297" s="126" t="s">
        <v>888</v>
      </c>
      <c r="D2297" s="68" t="s">
        <v>130</v>
      </c>
      <c r="E2297" s="10" t="str">
        <f>TRIM(VLOOKUP(D2297,TB!$B$9:$C$1500,2,FALSE))</f>
        <v>BCA TBB</v>
      </c>
      <c r="F2297" s="142" t="s">
        <v>618</v>
      </c>
      <c r="G2297" s="130"/>
      <c r="H2297" s="10"/>
      <c r="I2297" s="10">
        <v>488350</v>
      </c>
      <c r="J2297" s="79" t="e">
        <f t="shared" si="160"/>
        <v>#VALUE!</v>
      </c>
      <c r="K2297" s="106"/>
      <c r="L2297" s="141"/>
      <c r="M2297" s="132"/>
      <c r="N2297" s="133"/>
      <c r="O2297" s="4"/>
      <c r="P2297" s="4"/>
      <c r="Q2297" s="4"/>
      <c r="R2297" s="4"/>
      <c r="S2297" s="4"/>
      <c r="T2297" s="4"/>
      <c r="U2297" s="4"/>
      <c r="V2297" s="4"/>
      <c r="W2297" s="4"/>
      <c r="X2297" s="4"/>
    </row>
    <row r="2298" spans="1:24" ht="14.25" customHeight="1">
      <c r="A2298" s="4"/>
      <c r="B2298" s="125"/>
      <c r="C2298" s="126"/>
      <c r="D2298" s="159"/>
      <c r="E2298" s="10" t="e">
        <f>TRIM(VLOOKUP(D2298,TB!$B$9:$C$1500,2,FALSE))</f>
        <v>#N/A</v>
      </c>
      <c r="F2298" s="142"/>
      <c r="G2298" s="130"/>
      <c r="H2298" s="10"/>
      <c r="I2298" s="10"/>
      <c r="J2298" s="79" t="e">
        <f t="shared" si="160"/>
        <v>#VALUE!</v>
      </c>
      <c r="K2298" s="106"/>
      <c r="L2298" s="141"/>
      <c r="M2298" s="132"/>
      <c r="N2298" s="133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spans="1:24" ht="14.25" customHeight="1">
      <c r="A2299" s="4"/>
      <c r="B2299" s="125">
        <v>46195</v>
      </c>
      <c r="C2299" s="126" t="s">
        <v>889</v>
      </c>
      <c r="D2299" s="68" t="s">
        <v>285</v>
      </c>
      <c r="E2299" s="10" t="str">
        <f>TRIM(VLOOKUP(D2299,TB!$B$9:$C$1500,2,FALSE))</f>
        <v>Misc Cash Purchase</v>
      </c>
      <c r="F2299" s="142" t="s">
        <v>890</v>
      </c>
      <c r="G2299" s="130"/>
      <c r="H2299" s="10">
        <v>1400000</v>
      </c>
      <c r="I2299" s="10"/>
      <c r="J2299" s="79" t="e">
        <f t="shared" si="160"/>
        <v>#VALUE!</v>
      </c>
      <c r="K2299" s="106"/>
      <c r="L2299" s="141"/>
      <c r="M2299" s="132"/>
      <c r="N2299" s="133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spans="1:24" ht="14.25" customHeight="1">
      <c r="A2300" s="4"/>
      <c r="B2300" s="125">
        <v>46195</v>
      </c>
      <c r="C2300" s="126" t="s">
        <v>889</v>
      </c>
      <c r="D2300" s="68" t="s">
        <v>130</v>
      </c>
      <c r="E2300" s="10" t="str">
        <f>TRIM(VLOOKUP(D2300,TB!$B$9:$C$1500,2,FALSE))</f>
        <v>BCA TBB</v>
      </c>
      <c r="F2300" s="142" t="s">
        <v>890</v>
      </c>
      <c r="G2300" s="130"/>
      <c r="H2300" s="10"/>
      <c r="I2300" s="10">
        <v>1400000</v>
      </c>
      <c r="J2300" s="79" t="e">
        <f t="shared" si="160"/>
        <v>#VALUE!</v>
      </c>
      <c r="K2300" s="106"/>
      <c r="L2300" s="141"/>
      <c r="M2300" s="132"/>
      <c r="N2300" s="133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spans="1:24" ht="14.25" customHeight="1">
      <c r="A2301" s="4"/>
      <c r="B2301" s="125"/>
      <c r="C2301" s="126"/>
      <c r="D2301" s="68"/>
      <c r="E2301" s="10" t="e">
        <f>TRIM(VLOOKUP(D2301,TB!$B$9:$C$1500,2,FALSE))</f>
        <v>#N/A</v>
      </c>
      <c r="F2301" s="142"/>
      <c r="G2301" s="130"/>
      <c r="H2301" s="10"/>
      <c r="I2301" s="10"/>
      <c r="J2301" s="79" t="e">
        <f t="shared" si="160"/>
        <v>#VALUE!</v>
      </c>
      <c r="K2301" s="106"/>
      <c r="L2301" s="141"/>
      <c r="M2301" s="132"/>
      <c r="N2301" s="133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spans="1:24" ht="14.25" customHeight="1">
      <c r="A2302" s="4"/>
      <c r="B2302" s="125">
        <v>46195</v>
      </c>
      <c r="C2302" s="126" t="s">
        <v>891</v>
      </c>
      <c r="D2302" s="68" t="s">
        <v>285</v>
      </c>
      <c r="E2302" s="10" t="str">
        <f>TRIM(VLOOKUP(D2302,TB!$B$9:$C$1500,2,FALSE))</f>
        <v>Misc Cash Purchase</v>
      </c>
      <c r="F2302" s="185" t="s">
        <v>892</v>
      </c>
      <c r="G2302" s="130"/>
      <c r="H2302" s="10">
        <v>300000</v>
      </c>
      <c r="I2302" s="10"/>
      <c r="J2302" s="79" t="e">
        <f t="shared" si="160"/>
        <v>#VALUE!</v>
      </c>
      <c r="K2302" s="132"/>
      <c r="L2302" s="141"/>
      <c r="M2302" s="132"/>
      <c r="N2302" s="133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spans="1:24" ht="14.25" customHeight="1">
      <c r="A2303" s="4"/>
      <c r="B2303" s="125">
        <v>46195</v>
      </c>
      <c r="C2303" s="126" t="s">
        <v>891</v>
      </c>
      <c r="D2303" s="68" t="s">
        <v>130</v>
      </c>
      <c r="E2303" s="10" t="str">
        <f>TRIM(VLOOKUP(D2303,TB!$B$9:$C$1500,2,FALSE))</f>
        <v>BCA TBB</v>
      </c>
      <c r="F2303" s="185" t="s">
        <v>893</v>
      </c>
      <c r="G2303" s="130"/>
      <c r="H2303" s="10"/>
      <c r="I2303" s="10">
        <v>300000</v>
      </c>
      <c r="J2303" s="79" t="e">
        <f t="shared" si="160"/>
        <v>#VALUE!</v>
      </c>
      <c r="K2303" s="106"/>
      <c r="L2303" s="141"/>
      <c r="M2303" s="132"/>
      <c r="N2303" s="133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spans="1:24" ht="14.25" customHeight="1">
      <c r="A2304" s="4"/>
      <c r="B2304" s="125"/>
      <c r="C2304" s="126"/>
      <c r="D2304" s="159"/>
      <c r="E2304" s="10" t="e">
        <f>TRIM(VLOOKUP(D2304,TB!$B$9:$C$1500,2,FALSE))</f>
        <v>#N/A</v>
      </c>
      <c r="F2304" s="142"/>
      <c r="G2304" s="130"/>
      <c r="H2304" s="10"/>
      <c r="I2304" s="10"/>
      <c r="J2304" s="79" t="e">
        <f t="shared" si="160"/>
        <v>#VALUE!</v>
      </c>
      <c r="K2304" s="106"/>
      <c r="L2304" s="141"/>
      <c r="M2304" s="132"/>
      <c r="N2304" s="133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spans="1:24" ht="14.25" customHeight="1">
      <c r="A2305" s="4"/>
      <c r="B2305" s="125">
        <v>46195</v>
      </c>
      <c r="C2305" s="126" t="s">
        <v>894</v>
      </c>
      <c r="D2305" s="15" t="s">
        <v>221</v>
      </c>
      <c r="E2305" s="10" t="str">
        <f>TRIM(VLOOKUP(D2305,TB!$B$9:$C$1500,2,FALSE))</f>
        <v>COS - Promotor Fees Other</v>
      </c>
      <c r="F2305" s="185" t="s">
        <v>895</v>
      </c>
      <c r="G2305" s="130"/>
      <c r="H2305" s="10">
        <v>300000</v>
      </c>
      <c r="I2305" s="10"/>
      <c r="J2305" s="79" t="e">
        <f t="shared" si="160"/>
        <v>#VALUE!</v>
      </c>
      <c r="K2305" s="106"/>
      <c r="L2305" s="141"/>
      <c r="M2305" s="132"/>
      <c r="N2305" s="133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spans="1:24" ht="14.25" customHeight="1">
      <c r="A2306" s="4"/>
      <c r="B2306" s="125">
        <v>46195</v>
      </c>
      <c r="C2306" s="126" t="s">
        <v>894</v>
      </c>
      <c r="D2306" s="15" t="s">
        <v>124</v>
      </c>
      <c r="E2306" s="10" t="str">
        <f>TRIM(VLOOKUP(D2306,TB!$B$9:$C$1500,2,FALSE))</f>
        <v>Bank charges</v>
      </c>
      <c r="F2306" s="185" t="s">
        <v>895</v>
      </c>
      <c r="G2306" s="130"/>
      <c r="H2306" s="10">
        <v>2500</v>
      </c>
      <c r="I2306" s="10"/>
      <c r="J2306" s="79" t="e">
        <f t="shared" si="160"/>
        <v>#VALUE!</v>
      </c>
      <c r="K2306" s="106"/>
      <c r="L2306" s="141"/>
      <c r="M2306" s="132"/>
      <c r="N2306" s="133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 ht="14.25" customHeight="1">
      <c r="A2307" s="4"/>
      <c r="B2307" s="125">
        <v>46195</v>
      </c>
      <c r="C2307" s="126" t="s">
        <v>894</v>
      </c>
      <c r="D2307" s="68" t="s">
        <v>130</v>
      </c>
      <c r="E2307" s="10" t="str">
        <f>TRIM(VLOOKUP(D2307,TB!$B$9:$C$1500,2,FALSE))</f>
        <v>BCA TBB</v>
      </c>
      <c r="F2307" s="185" t="s">
        <v>895</v>
      </c>
      <c r="G2307" s="130"/>
      <c r="H2307" s="10"/>
      <c r="I2307" s="10">
        <v>302500</v>
      </c>
      <c r="J2307" s="79" t="e">
        <f t="shared" si="160"/>
        <v>#VALUE!</v>
      </c>
      <c r="K2307" s="106"/>
      <c r="L2307" s="141"/>
      <c r="M2307" s="132"/>
      <c r="N2307" s="133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spans="1:24" ht="14.25" customHeight="1">
      <c r="A2308" s="4"/>
      <c r="B2308" s="125"/>
      <c r="C2308" s="126"/>
      <c r="D2308" s="159"/>
      <c r="E2308" s="10" t="e">
        <f>TRIM(VLOOKUP(D2308,TB!$B$9:$C$1500,2,FALSE))</f>
        <v>#N/A</v>
      </c>
      <c r="F2308" s="142"/>
      <c r="G2308" s="130"/>
      <c r="H2308" s="10"/>
      <c r="I2308" s="10"/>
      <c r="J2308" s="79" t="e">
        <f t="shared" si="160"/>
        <v>#VALUE!</v>
      </c>
      <c r="K2308" s="106"/>
      <c r="L2308" s="141"/>
      <c r="M2308" s="132"/>
      <c r="N2308" s="133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spans="1:24" ht="14.25" customHeight="1">
      <c r="A2309" s="4"/>
      <c r="B2309" s="125">
        <v>46195</v>
      </c>
      <c r="C2309" s="126" t="s">
        <v>896</v>
      </c>
      <c r="D2309" s="15" t="s">
        <v>221</v>
      </c>
      <c r="E2309" s="10" t="str">
        <f>TRIM(VLOOKUP(D2309,TB!$B$9:$C$1500,2,FALSE))</f>
        <v>COS - Promotor Fees Other</v>
      </c>
      <c r="F2309" s="185" t="s">
        <v>897</v>
      </c>
      <c r="G2309" s="130"/>
      <c r="H2309" s="10">
        <v>300000</v>
      </c>
      <c r="I2309" s="10"/>
      <c r="J2309" s="79" t="e">
        <f t="shared" si="160"/>
        <v>#VALUE!</v>
      </c>
      <c r="K2309" s="106"/>
      <c r="L2309" s="141"/>
      <c r="M2309" s="132"/>
      <c r="N2309" s="133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spans="1:24" ht="14.25" customHeight="1">
      <c r="A2310" s="4"/>
      <c r="B2310" s="125">
        <v>46195</v>
      </c>
      <c r="C2310" s="126" t="s">
        <v>896</v>
      </c>
      <c r="D2310" s="68" t="s">
        <v>130</v>
      </c>
      <c r="E2310" s="10" t="str">
        <f>TRIM(VLOOKUP(D2310,TB!$B$9:$C$1500,2,FALSE))</f>
        <v>BCA TBB</v>
      </c>
      <c r="F2310" s="185" t="s">
        <v>897</v>
      </c>
      <c r="G2310" s="130"/>
      <c r="H2310" s="10"/>
      <c r="I2310" s="10">
        <v>300000</v>
      </c>
      <c r="J2310" s="79" t="e">
        <f t="shared" si="160"/>
        <v>#VALUE!</v>
      </c>
      <c r="K2310" s="106"/>
      <c r="L2310" s="141"/>
      <c r="M2310" s="132"/>
      <c r="N2310" s="133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spans="1:24" ht="14.25" customHeight="1">
      <c r="A2311" s="4"/>
      <c r="B2311" s="125"/>
      <c r="C2311" s="126"/>
      <c r="D2311" s="159"/>
      <c r="E2311" s="10" t="e">
        <f>TRIM(VLOOKUP(D2311,TB!$B$9:$C$1500,2,FALSE))</f>
        <v>#N/A</v>
      </c>
      <c r="F2311" s="142"/>
      <c r="G2311" s="130"/>
      <c r="H2311" s="10"/>
      <c r="I2311" s="10"/>
      <c r="J2311" s="79" t="e">
        <f t="shared" si="160"/>
        <v>#VALUE!</v>
      </c>
      <c r="K2311" s="106"/>
      <c r="L2311" s="141"/>
      <c r="M2311" s="132"/>
      <c r="N2311" s="133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spans="1:24" ht="14.25" customHeight="1">
      <c r="A2312" s="4"/>
      <c r="B2312" s="125">
        <v>46195</v>
      </c>
      <c r="C2312" s="126" t="s">
        <v>898</v>
      </c>
      <c r="D2312" s="15" t="s">
        <v>659</v>
      </c>
      <c r="E2312" s="10" t="str">
        <f>TRIM(VLOOKUP(D2312,TB!$B$9:$C$1500,2,FALSE))</f>
        <v>COS - Entertainment</v>
      </c>
      <c r="F2312" s="185" t="s">
        <v>899</v>
      </c>
      <c r="G2312" s="130"/>
      <c r="H2312" s="10">
        <v>7000000</v>
      </c>
      <c r="I2312" s="10"/>
      <c r="J2312" s="79" t="e">
        <f t="shared" si="160"/>
        <v>#VALUE!</v>
      </c>
      <c r="K2312" s="106"/>
      <c r="L2312" s="141"/>
      <c r="M2312" s="132"/>
      <c r="N2312" s="133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spans="1:24" ht="14.25" customHeight="1">
      <c r="A2313" s="4"/>
      <c r="B2313" s="125">
        <v>46195</v>
      </c>
      <c r="C2313" s="126" t="s">
        <v>898</v>
      </c>
      <c r="D2313" s="15" t="s">
        <v>659</v>
      </c>
      <c r="E2313" s="10" t="str">
        <f>TRIM(VLOOKUP(D2313,TB!$B$9:$C$1500,2,FALSE))</f>
        <v>COS - Entertainment</v>
      </c>
      <c r="F2313" s="185" t="s">
        <v>900</v>
      </c>
      <c r="G2313" s="130"/>
      <c r="H2313" s="10">
        <v>1000000</v>
      </c>
      <c r="I2313" s="10"/>
      <c r="J2313" s="79" t="e">
        <f t="shared" si="160"/>
        <v>#VALUE!</v>
      </c>
      <c r="K2313" s="106"/>
      <c r="L2313" s="141"/>
      <c r="M2313" s="132"/>
      <c r="N2313" s="133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spans="1:24" ht="14.25" customHeight="1">
      <c r="A2314" s="4"/>
      <c r="B2314" s="125">
        <v>46195</v>
      </c>
      <c r="C2314" s="126" t="s">
        <v>898</v>
      </c>
      <c r="D2314" s="15" t="s">
        <v>659</v>
      </c>
      <c r="E2314" s="10" t="str">
        <f>TRIM(VLOOKUP(D2314,TB!$B$9:$C$1500,2,FALSE))</f>
        <v>COS - Entertainment</v>
      </c>
      <c r="F2314" s="185" t="s">
        <v>901</v>
      </c>
      <c r="G2314" s="130"/>
      <c r="H2314" s="10">
        <v>2500000</v>
      </c>
      <c r="I2314" s="10"/>
      <c r="J2314" s="79" t="e">
        <f t="shared" si="160"/>
        <v>#VALUE!</v>
      </c>
      <c r="K2314" s="106"/>
      <c r="L2314" s="141"/>
      <c r="M2314" s="132"/>
      <c r="N2314" s="133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spans="1:24" ht="14.25" customHeight="1">
      <c r="A2315" s="4"/>
      <c r="B2315" s="125">
        <v>46195</v>
      </c>
      <c r="C2315" s="126" t="s">
        <v>898</v>
      </c>
      <c r="D2315" s="15" t="s">
        <v>659</v>
      </c>
      <c r="E2315" s="10" t="str">
        <f>TRIM(VLOOKUP(D2315,TB!$B$9:$C$1500,2,FALSE))</f>
        <v>COS - Entertainment</v>
      </c>
      <c r="F2315" s="185" t="s">
        <v>902</v>
      </c>
      <c r="G2315" s="130"/>
      <c r="H2315" s="10">
        <v>6500160</v>
      </c>
      <c r="I2315" s="10"/>
      <c r="J2315" s="79" t="e">
        <f t="shared" si="160"/>
        <v>#VALUE!</v>
      </c>
      <c r="K2315" s="106"/>
      <c r="L2315" s="141"/>
      <c r="M2315" s="132"/>
      <c r="N2315" s="133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spans="1:24" ht="14.25" customHeight="1">
      <c r="A2316" s="4"/>
      <c r="B2316" s="125">
        <v>46195</v>
      </c>
      <c r="C2316" s="126" t="s">
        <v>898</v>
      </c>
      <c r="D2316" s="15" t="s">
        <v>659</v>
      </c>
      <c r="E2316" s="10" t="str">
        <f>TRIM(VLOOKUP(D2316,TB!$B$9:$C$1500,2,FALSE))</f>
        <v>COS - Entertainment</v>
      </c>
      <c r="F2316" s="185" t="s">
        <v>903</v>
      </c>
      <c r="G2316" s="130"/>
      <c r="H2316" s="10">
        <v>1392600</v>
      </c>
      <c r="I2316" s="10"/>
      <c r="J2316" s="79" t="e">
        <f t="shared" si="160"/>
        <v>#VALUE!</v>
      </c>
      <c r="K2316" s="106"/>
      <c r="L2316" s="141"/>
      <c r="M2316" s="132"/>
      <c r="N2316" s="133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spans="1:24" ht="14.25" customHeight="1">
      <c r="A2317" s="4"/>
      <c r="B2317" s="125">
        <v>46195</v>
      </c>
      <c r="C2317" s="126" t="s">
        <v>898</v>
      </c>
      <c r="D2317" s="68" t="s">
        <v>130</v>
      </c>
      <c r="E2317" s="10" t="str">
        <f>TRIM(VLOOKUP(D2317,TB!$B$9:$C$1500,2,FALSE))</f>
        <v>BCA TBB</v>
      </c>
      <c r="F2317" s="185" t="s">
        <v>904</v>
      </c>
      <c r="G2317" s="130"/>
      <c r="H2317" s="10"/>
      <c r="I2317" s="10">
        <v>18392760</v>
      </c>
      <c r="J2317" s="79" t="e">
        <f t="shared" si="160"/>
        <v>#VALUE!</v>
      </c>
      <c r="K2317" s="106"/>
      <c r="L2317" s="141"/>
      <c r="M2317" s="132"/>
      <c r="N2317" s="133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spans="1:24" ht="14.25" customHeight="1">
      <c r="A2318" s="4"/>
      <c r="B2318" s="125"/>
      <c r="C2318" s="126"/>
      <c r="D2318" s="159"/>
      <c r="E2318" s="10" t="e">
        <f>TRIM(VLOOKUP(D2318,TB!$B$9:$C$1500,2,FALSE))</f>
        <v>#N/A</v>
      </c>
      <c r="F2318" s="142"/>
      <c r="G2318" s="130"/>
      <c r="H2318" s="10"/>
      <c r="I2318" s="10"/>
      <c r="J2318" s="79" t="e">
        <f t="shared" si="160"/>
        <v>#VALUE!</v>
      </c>
      <c r="K2318" s="106"/>
      <c r="L2318" s="141"/>
      <c r="M2318" s="132"/>
      <c r="N2318" s="133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spans="1:24" ht="14.25" customHeight="1">
      <c r="A2319" s="4"/>
      <c r="B2319" s="125">
        <v>46195</v>
      </c>
      <c r="C2319" s="126" t="s">
        <v>905</v>
      </c>
      <c r="D2319" s="15" t="s">
        <v>351</v>
      </c>
      <c r="E2319" s="10" t="str">
        <f>TRIM(VLOOKUP(D2319,TB!$B$9:$C$1500,2,FALSE))</f>
        <v>Tomato Peeled</v>
      </c>
      <c r="F2319" s="142" t="s">
        <v>906</v>
      </c>
      <c r="G2319" s="130">
        <f>2*6</f>
        <v>12</v>
      </c>
      <c r="H2319" s="10">
        <v>1148716</v>
      </c>
      <c r="I2319" s="10"/>
      <c r="J2319" s="79" t="e">
        <f t="shared" si="160"/>
        <v>#VALUE!</v>
      </c>
      <c r="K2319" s="106"/>
      <c r="L2319" s="141"/>
      <c r="M2319" s="132"/>
      <c r="N2319" s="133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spans="1:24" ht="14.25" customHeight="1">
      <c r="A2320" s="4"/>
      <c r="B2320" s="125">
        <v>46195</v>
      </c>
      <c r="C2320" s="126" t="s">
        <v>905</v>
      </c>
      <c r="D2320" s="68" t="s">
        <v>130</v>
      </c>
      <c r="E2320" s="10" t="str">
        <f>TRIM(VLOOKUP(D2320,TB!$B$9:$C$1500,2,FALSE))</f>
        <v>BCA TBB</v>
      </c>
      <c r="F2320" s="142" t="s">
        <v>907</v>
      </c>
      <c r="G2320" s="130"/>
      <c r="H2320" s="10"/>
      <c r="I2320" s="10">
        <v>1148716</v>
      </c>
      <c r="J2320" s="79" t="e">
        <f t="shared" si="160"/>
        <v>#VALUE!</v>
      </c>
      <c r="K2320" s="106"/>
      <c r="L2320" s="141"/>
      <c r="M2320" s="132"/>
      <c r="N2320" s="133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spans="1:24" ht="14.25" customHeight="1">
      <c r="A2321" s="4"/>
      <c r="B2321" s="125"/>
      <c r="C2321" s="126"/>
      <c r="D2321" s="159"/>
      <c r="E2321" s="10" t="e">
        <f>TRIM(VLOOKUP(D2321,TB!$B$9:$C$1500,2,FALSE))</f>
        <v>#N/A</v>
      </c>
      <c r="F2321" s="142"/>
      <c r="G2321" s="130"/>
      <c r="H2321" s="10"/>
      <c r="I2321" s="10"/>
      <c r="J2321" s="79" t="e">
        <f t="shared" ref="J2321:J2575" si="179">J2320+H2321-I2321</f>
        <v>#VALUE!</v>
      </c>
      <c r="K2321" s="106"/>
      <c r="L2321" s="141"/>
      <c r="M2321" s="132"/>
      <c r="N2321" s="133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spans="1:24" ht="14.25" customHeight="1">
      <c r="A2322" s="4"/>
      <c r="B2322" s="125">
        <v>46196</v>
      </c>
      <c r="C2322" s="126" t="s">
        <v>908</v>
      </c>
      <c r="D2322" s="68" t="s">
        <v>130</v>
      </c>
      <c r="E2322" s="10" t="str">
        <f>TRIM(VLOOKUP(D2322,TB!$B$9:$C$1500,2,FALSE))</f>
        <v>BCA TBB</v>
      </c>
      <c r="F2322" s="142" t="s">
        <v>909</v>
      </c>
      <c r="G2322" s="130"/>
      <c r="H2322" s="10">
        <f>I2324-H2323</f>
        <v>996302.83</v>
      </c>
      <c r="I2322" s="10"/>
      <c r="J2322" s="79" t="e">
        <f t="shared" si="179"/>
        <v>#VALUE!</v>
      </c>
      <c r="K2322" s="106"/>
      <c r="L2322" s="141"/>
      <c r="M2322" s="132"/>
      <c r="N2322" s="133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spans="1:24" ht="14.25" customHeight="1">
      <c r="A2323" s="4"/>
      <c r="B2323" s="125">
        <v>46196</v>
      </c>
      <c r="C2323" s="126" t="s">
        <v>908</v>
      </c>
      <c r="D2323" s="15" t="s">
        <v>124</v>
      </c>
      <c r="E2323" s="10" t="str">
        <f>TRIM(VLOOKUP(D2323,TB!$B$9:$C$1500,2,FALSE))</f>
        <v>Bank charges</v>
      </c>
      <c r="F2323" s="142" t="s">
        <v>909</v>
      </c>
      <c r="G2323" s="130"/>
      <c r="H2323" s="155">
        <v>18262.170000000002</v>
      </c>
      <c r="I2323" s="10"/>
      <c r="J2323" s="79" t="e">
        <f t="shared" si="179"/>
        <v>#VALUE!</v>
      </c>
      <c r="K2323" s="106"/>
      <c r="L2323" s="141"/>
      <c r="M2323" s="132"/>
      <c r="N2323" s="133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spans="1:24" ht="14.25" customHeight="1">
      <c r="A2324" s="4"/>
      <c r="B2324" s="125">
        <v>46196</v>
      </c>
      <c r="C2324" s="126" t="s">
        <v>908</v>
      </c>
      <c r="D2324" s="15" t="s">
        <v>42</v>
      </c>
      <c r="E2324" s="10" t="str">
        <f>TRIM(VLOOKUP(D2324,TB!$B$9:$C$1500,2,FALSE))</f>
        <v>BCA Card TBB</v>
      </c>
      <c r="F2324" s="142" t="s">
        <v>909</v>
      </c>
      <c r="G2324" s="130"/>
      <c r="H2324" s="10"/>
      <c r="I2324" s="177">
        <v>1014565</v>
      </c>
      <c r="J2324" s="79" t="e">
        <f t="shared" si="179"/>
        <v>#VALUE!</v>
      </c>
      <c r="K2324" s="106"/>
      <c r="L2324" s="141"/>
      <c r="M2324" s="132"/>
      <c r="N2324" s="133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spans="1:24" ht="14.25" customHeight="1">
      <c r="A2325" s="4"/>
      <c r="B2325" s="125"/>
      <c r="C2325" s="126"/>
      <c r="D2325" s="159"/>
      <c r="E2325" s="10" t="e">
        <f>TRIM(VLOOKUP(D2325,TB!$B$9:$C$1500,2,FALSE))</f>
        <v>#N/A</v>
      </c>
      <c r="F2325" s="142"/>
      <c r="G2325" s="130"/>
      <c r="H2325" s="10"/>
      <c r="I2325" s="10"/>
      <c r="J2325" s="79" t="e">
        <f t="shared" si="179"/>
        <v>#VALUE!</v>
      </c>
      <c r="K2325" s="106"/>
      <c r="L2325" s="141"/>
      <c r="M2325" s="132"/>
      <c r="N2325" s="133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spans="1:24" ht="14.25" customHeight="1">
      <c r="A2326" s="4"/>
      <c r="B2326" s="125">
        <v>46196</v>
      </c>
      <c r="C2326" s="126" t="s">
        <v>910</v>
      </c>
      <c r="D2326" s="68" t="s">
        <v>130</v>
      </c>
      <c r="E2326" s="10" t="str">
        <f>TRIM(VLOOKUP(D2326,TB!$B$9:$C$1500,2,FALSE))</f>
        <v>BCA TBB</v>
      </c>
      <c r="F2326" s="142" t="s">
        <v>911</v>
      </c>
      <c r="G2326" s="130"/>
      <c r="H2326" s="10">
        <f>I2328-H2327</f>
        <v>300511.64</v>
      </c>
      <c r="I2326" s="10"/>
      <c r="J2326" s="79" t="e">
        <f t="shared" si="179"/>
        <v>#VALUE!</v>
      </c>
      <c r="K2326" s="106"/>
      <c r="L2326" s="141"/>
      <c r="M2326" s="132"/>
      <c r="N2326" s="133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spans="1:24" ht="14.25" customHeight="1">
      <c r="A2327" s="4"/>
      <c r="B2327" s="125">
        <v>46196</v>
      </c>
      <c r="C2327" s="126" t="s">
        <v>910</v>
      </c>
      <c r="D2327" s="15" t="s">
        <v>124</v>
      </c>
      <c r="E2327" s="10" t="str">
        <f>TRIM(VLOOKUP(D2327,TB!$B$9:$C$1500,2,FALSE))</f>
        <v>Bank charges</v>
      </c>
      <c r="F2327" s="142" t="s">
        <v>911</v>
      </c>
      <c r="G2327" s="130"/>
      <c r="H2327" s="155">
        <v>5508.3600000000006</v>
      </c>
      <c r="I2327" s="10"/>
      <c r="J2327" s="79" t="e">
        <f t="shared" si="179"/>
        <v>#VALUE!</v>
      </c>
      <c r="K2327" s="106"/>
      <c r="L2327" s="141"/>
      <c r="M2327" s="132"/>
      <c r="N2327" s="133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spans="1:24" ht="14.25" customHeight="1">
      <c r="A2328" s="4"/>
      <c r="B2328" s="125">
        <v>46196</v>
      </c>
      <c r="C2328" s="126" t="s">
        <v>910</v>
      </c>
      <c r="D2328" s="15" t="s">
        <v>42</v>
      </c>
      <c r="E2328" s="10" t="str">
        <f>TRIM(VLOOKUP(D2328,TB!$B$9:$C$1500,2,FALSE))</f>
        <v>BCA Card TBB</v>
      </c>
      <c r="F2328" s="142" t="s">
        <v>911</v>
      </c>
      <c r="G2328" s="130"/>
      <c r="H2328" s="10"/>
      <c r="I2328" s="177">
        <v>306020</v>
      </c>
      <c r="J2328" s="79" t="e">
        <f t="shared" si="179"/>
        <v>#VALUE!</v>
      </c>
      <c r="K2328" s="106"/>
      <c r="L2328" s="141"/>
      <c r="M2328" s="132"/>
      <c r="N2328" s="133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spans="1:24" ht="14.25" customHeight="1">
      <c r="A2329" s="4"/>
      <c r="B2329" s="125"/>
      <c r="C2329" s="126"/>
      <c r="D2329" s="159"/>
      <c r="E2329" s="10" t="e">
        <f>TRIM(VLOOKUP(D2329,TB!$B$9:$C$1500,2,FALSE))</f>
        <v>#N/A</v>
      </c>
      <c r="F2329" s="142"/>
      <c r="G2329" s="130"/>
      <c r="H2329" s="10"/>
      <c r="I2329" s="10"/>
      <c r="J2329" s="79" t="e">
        <f t="shared" si="179"/>
        <v>#VALUE!</v>
      </c>
      <c r="K2329" s="106"/>
      <c r="L2329" s="141"/>
      <c r="M2329" s="132"/>
      <c r="N2329" s="133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spans="1:24" ht="14.25" customHeight="1">
      <c r="A2330" s="4"/>
      <c r="B2330" s="125">
        <v>46196</v>
      </c>
      <c r="C2330" s="126" t="s">
        <v>912</v>
      </c>
      <c r="D2330" s="15" t="s">
        <v>188</v>
      </c>
      <c r="E2330" s="10" t="str">
        <f>TRIM(VLOOKUP(D2330,TB!$B$9:$C$1500,2,FALSE))</f>
        <v>Advertising Costs</v>
      </c>
      <c r="F2330" s="142" t="s">
        <v>913</v>
      </c>
      <c r="G2330" s="130"/>
      <c r="H2330" s="10">
        <v>1400000</v>
      </c>
      <c r="I2330" s="10"/>
      <c r="J2330" s="79" t="e">
        <f t="shared" si="179"/>
        <v>#VALUE!</v>
      </c>
      <c r="K2330" s="106"/>
      <c r="L2330" s="141"/>
      <c r="M2330" s="132"/>
      <c r="N2330" s="133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spans="1:24" ht="14.25" customHeight="1">
      <c r="A2331" s="4"/>
      <c r="B2331" s="125">
        <v>46196</v>
      </c>
      <c r="C2331" s="126" t="s">
        <v>912</v>
      </c>
      <c r="D2331" s="15" t="s">
        <v>124</v>
      </c>
      <c r="E2331" s="10" t="str">
        <f>TRIM(VLOOKUP(D2331,TB!$B$9:$C$1500,2,FALSE))</f>
        <v>Bank charges</v>
      </c>
      <c r="F2331" s="142" t="s">
        <v>913</v>
      </c>
      <c r="G2331" s="130"/>
      <c r="H2331" s="10">
        <v>1000</v>
      </c>
      <c r="I2331" s="10"/>
      <c r="J2331" s="79" t="e">
        <f t="shared" si="179"/>
        <v>#VALUE!</v>
      </c>
      <c r="K2331" s="106"/>
      <c r="L2331" s="141"/>
      <c r="M2331" s="132"/>
      <c r="N2331" s="133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spans="1:24" ht="14.25" customHeight="1">
      <c r="A2332" s="4"/>
      <c r="B2332" s="125">
        <v>46196</v>
      </c>
      <c r="C2332" s="126" t="s">
        <v>912</v>
      </c>
      <c r="D2332" s="68" t="s">
        <v>130</v>
      </c>
      <c r="E2332" s="10" t="str">
        <f>TRIM(VLOOKUP(D2332,TB!$B$9:$C$1500,2,FALSE))</f>
        <v>BCA TBB</v>
      </c>
      <c r="F2332" s="142" t="s">
        <v>913</v>
      </c>
      <c r="G2332" s="130"/>
      <c r="H2332" s="10"/>
      <c r="I2332" s="10">
        <f>SUM(H2330:H2331)</f>
        <v>1401000</v>
      </c>
      <c r="J2332" s="79" t="e">
        <f t="shared" si="179"/>
        <v>#VALUE!</v>
      </c>
      <c r="K2332" s="106"/>
      <c r="L2332" s="141"/>
      <c r="M2332" s="132"/>
      <c r="N2332" s="133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spans="1:24" ht="14.25" customHeight="1">
      <c r="A2333" s="4"/>
      <c r="B2333" s="125"/>
      <c r="C2333" s="126"/>
      <c r="D2333" s="159"/>
      <c r="E2333" s="10" t="e">
        <f>TRIM(VLOOKUP(D2333,TB!$B$9:$C$1500,2,FALSE))</f>
        <v>#N/A</v>
      </c>
      <c r="F2333" s="142"/>
      <c r="G2333" s="130"/>
      <c r="H2333" s="10"/>
      <c r="I2333" s="10"/>
      <c r="J2333" s="79" t="e">
        <f t="shared" si="179"/>
        <v>#VALUE!</v>
      </c>
      <c r="K2333" s="106"/>
      <c r="L2333" s="141"/>
      <c r="M2333" s="132"/>
      <c r="N2333" s="133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spans="1:24" ht="14.25" customHeight="1">
      <c r="A2334" s="4"/>
      <c r="B2334" s="125">
        <v>46196</v>
      </c>
      <c r="C2334" s="126" t="s">
        <v>914</v>
      </c>
      <c r="D2334" s="68" t="s">
        <v>130</v>
      </c>
      <c r="E2334" s="10" t="str">
        <f>TRIM(VLOOKUP(D2334,TB!$B$9:$C$1500,2,FALSE))</f>
        <v>BCA TBB</v>
      </c>
      <c r="F2334" s="142" t="s">
        <v>915</v>
      </c>
      <c r="G2334" s="130"/>
      <c r="H2334" s="157">
        <v>3000000</v>
      </c>
      <c r="I2334" s="10"/>
      <c r="J2334" s="79" t="e">
        <f t="shared" si="179"/>
        <v>#VALUE!</v>
      </c>
      <c r="K2334" s="106"/>
      <c r="L2334" s="141"/>
      <c r="M2334" s="132"/>
      <c r="N2334" s="133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spans="1:24" ht="14.25" customHeight="1">
      <c r="A2335" s="4"/>
      <c r="B2335" s="125">
        <v>46196</v>
      </c>
      <c r="C2335" s="126" t="s">
        <v>914</v>
      </c>
      <c r="D2335" s="15" t="s">
        <v>71</v>
      </c>
      <c r="E2335" s="10" t="str">
        <f>TRIM(VLOOKUP(D2335,TB!$B$9:$C$1500,2,FALSE))</f>
        <v>Guest Typing Charges Payable to Staff</v>
      </c>
      <c r="F2335" s="142" t="s">
        <v>915</v>
      </c>
      <c r="G2335" s="130"/>
      <c r="H2335" s="157"/>
      <c r="I2335" s="10">
        <v>32610</v>
      </c>
      <c r="J2335" s="79" t="e">
        <f t="shared" si="179"/>
        <v>#VALUE!</v>
      </c>
      <c r="K2335" s="106"/>
      <c r="L2335" s="141"/>
      <c r="M2335" s="132"/>
      <c r="N2335" s="133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spans="1:24" ht="14.25" customHeight="1">
      <c r="A2336" s="4"/>
      <c r="B2336" s="125">
        <v>46196</v>
      </c>
      <c r="C2336" s="126" t="s">
        <v>914</v>
      </c>
      <c r="D2336" s="15" t="s">
        <v>42</v>
      </c>
      <c r="E2336" s="10" t="str">
        <f>TRIM(VLOOKUP(D2336,TB!$B$9:$C$1500,2,FALSE))</f>
        <v>BCA Card TBB</v>
      </c>
      <c r="F2336" s="142" t="s">
        <v>915</v>
      </c>
      <c r="G2336" s="130"/>
      <c r="H2336" s="157"/>
      <c r="I2336" s="10">
        <v>2967390</v>
      </c>
      <c r="J2336" s="79" t="e">
        <f t="shared" si="179"/>
        <v>#VALUE!</v>
      </c>
      <c r="K2336" s="106"/>
      <c r="L2336" s="141"/>
      <c r="M2336" s="132"/>
      <c r="N2336" s="133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spans="1:24" ht="14.25" customHeight="1">
      <c r="A2337" s="4"/>
      <c r="B2337" s="125"/>
      <c r="C2337" s="126"/>
      <c r="D2337" s="159"/>
      <c r="E2337" s="10" t="e">
        <f>TRIM(VLOOKUP(D2337,TB!$B$9:$C$1500,2,FALSE))</f>
        <v>#N/A</v>
      </c>
      <c r="F2337" s="142"/>
      <c r="G2337" s="130"/>
      <c r="H2337" s="157"/>
      <c r="I2337" s="10"/>
      <c r="J2337" s="79" t="e">
        <f t="shared" si="179"/>
        <v>#VALUE!</v>
      </c>
      <c r="K2337" s="106"/>
      <c r="L2337" s="141"/>
      <c r="M2337" s="132"/>
      <c r="N2337" s="133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spans="1:24" ht="14.25" customHeight="1">
      <c r="A2338" s="4"/>
      <c r="B2338" s="125">
        <v>46196</v>
      </c>
      <c r="C2338" s="126" t="s">
        <v>916</v>
      </c>
      <c r="D2338" s="68" t="s">
        <v>130</v>
      </c>
      <c r="E2338" s="10" t="str">
        <f>TRIM(VLOOKUP(D2338,TB!$B$9:$C$1500,2,FALSE))</f>
        <v>BCA TBB</v>
      </c>
      <c r="F2338" s="142" t="s">
        <v>917</v>
      </c>
      <c r="G2338" s="130"/>
      <c r="H2338" s="157">
        <f>I2340-H2339</f>
        <v>1970660.906</v>
      </c>
      <c r="I2338" s="10"/>
      <c r="J2338" s="79" t="e">
        <f t="shared" si="179"/>
        <v>#VALUE!</v>
      </c>
      <c r="K2338" s="106"/>
      <c r="L2338" s="141"/>
      <c r="M2338" s="132"/>
      <c r="N2338" s="133"/>
      <c r="O2338" s="4"/>
      <c r="P2338" s="4"/>
      <c r="Q2338" s="4"/>
      <c r="R2338" s="4"/>
      <c r="S2338" s="4"/>
      <c r="T2338" s="4"/>
      <c r="U2338" s="4"/>
      <c r="V2338" s="4"/>
      <c r="W2338" s="4"/>
      <c r="X2338" s="4"/>
    </row>
    <row r="2339" spans="1:24" ht="14.25" customHeight="1">
      <c r="A2339" s="4"/>
      <c r="B2339" s="125">
        <v>46196</v>
      </c>
      <c r="C2339" s="126" t="s">
        <v>916</v>
      </c>
      <c r="D2339" s="15" t="s">
        <v>124</v>
      </c>
      <c r="E2339" s="10" t="str">
        <f>TRIM(VLOOKUP(D2339,TB!$B$9:$C$1500,2,FALSE))</f>
        <v>Bank charges</v>
      </c>
      <c r="F2339" s="142" t="s">
        <v>917</v>
      </c>
      <c r="G2339" s="130"/>
      <c r="H2339" s="157">
        <f>I2340*1.8%</f>
        <v>36122.094000000005</v>
      </c>
      <c r="I2339" s="10"/>
      <c r="J2339" s="79" t="e">
        <f t="shared" si="179"/>
        <v>#VALUE!</v>
      </c>
      <c r="K2339" s="106"/>
      <c r="L2339" s="141"/>
      <c r="M2339" s="132"/>
      <c r="N2339" s="133"/>
      <c r="O2339" s="4"/>
      <c r="P2339" s="4"/>
      <c r="Q2339" s="4"/>
      <c r="R2339" s="4"/>
      <c r="S2339" s="4"/>
      <c r="T2339" s="4"/>
      <c r="U2339" s="4"/>
      <c r="V2339" s="4"/>
      <c r="W2339" s="4"/>
      <c r="X2339" s="4"/>
    </row>
    <row r="2340" spans="1:24" ht="14.25" customHeight="1">
      <c r="A2340" s="4"/>
      <c r="B2340" s="125">
        <v>46196</v>
      </c>
      <c r="C2340" s="126" t="s">
        <v>916</v>
      </c>
      <c r="D2340" s="15" t="s">
        <v>42</v>
      </c>
      <c r="E2340" s="10" t="str">
        <f>TRIM(VLOOKUP(D2340,TB!$B$9:$C$1500,2,FALSE))</f>
        <v>BCA Card TBB</v>
      </c>
      <c r="F2340" s="142" t="s">
        <v>917</v>
      </c>
      <c r="G2340" s="130"/>
      <c r="H2340" s="10"/>
      <c r="I2340" s="10">
        <v>2006783</v>
      </c>
      <c r="J2340" s="79" t="e">
        <f t="shared" si="179"/>
        <v>#VALUE!</v>
      </c>
      <c r="K2340" s="106"/>
      <c r="L2340" s="141"/>
      <c r="M2340" s="132"/>
      <c r="N2340" s="133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spans="1:24" ht="14.25" customHeight="1">
      <c r="A2341" s="4"/>
      <c r="B2341" s="125"/>
      <c r="C2341" s="126"/>
      <c r="D2341" s="159"/>
      <c r="E2341" s="10" t="e">
        <f>TRIM(VLOOKUP(D2341,TB!$B$9:$C$1500,2,FALSE))</f>
        <v>#N/A</v>
      </c>
      <c r="F2341" s="142"/>
      <c r="G2341" s="130"/>
      <c r="H2341" s="10"/>
      <c r="I2341" s="10"/>
      <c r="J2341" s="79" t="e">
        <f t="shared" si="179"/>
        <v>#VALUE!</v>
      </c>
      <c r="K2341" s="106"/>
      <c r="L2341" s="141"/>
      <c r="M2341" s="132"/>
      <c r="N2341" s="133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spans="1:24" ht="14.25" customHeight="1">
      <c r="A2342" s="4"/>
      <c r="B2342" s="125">
        <v>46197</v>
      </c>
      <c r="C2342" s="126" t="s">
        <v>918</v>
      </c>
      <c r="D2342" s="15" t="s">
        <v>188</v>
      </c>
      <c r="E2342" s="10" t="str">
        <f>TRIM(VLOOKUP(D2342,TB!$B$9:$C$1500,2,FALSE))</f>
        <v>Advertising Costs</v>
      </c>
      <c r="F2342" s="142" t="s">
        <v>919</v>
      </c>
      <c r="G2342" s="130"/>
      <c r="H2342" s="10">
        <v>1400000</v>
      </c>
      <c r="I2342" s="10"/>
      <c r="J2342" s="79" t="e">
        <f t="shared" si="179"/>
        <v>#VALUE!</v>
      </c>
      <c r="K2342" s="106"/>
      <c r="L2342" s="141"/>
      <c r="M2342" s="132"/>
      <c r="N2342" s="133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spans="1:24" ht="14.25" customHeight="1">
      <c r="A2343" s="4"/>
      <c r="B2343" s="125">
        <v>46197</v>
      </c>
      <c r="C2343" s="126" t="s">
        <v>918</v>
      </c>
      <c r="D2343" s="15" t="s">
        <v>124</v>
      </c>
      <c r="E2343" s="10" t="str">
        <f>TRIM(VLOOKUP(D2343,TB!$B$9:$C$1500,2,FALSE))</f>
        <v>Bank charges</v>
      </c>
      <c r="F2343" s="142" t="s">
        <v>919</v>
      </c>
      <c r="G2343" s="130"/>
      <c r="H2343" s="10">
        <v>1000</v>
      </c>
      <c r="I2343" s="10"/>
      <c r="J2343" s="79" t="e">
        <f t="shared" si="179"/>
        <v>#VALUE!</v>
      </c>
      <c r="K2343" s="106"/>
      <c r="L2343" s="141"/>
      <c r="M2343" s="132"/>
      <c r="N2343" s="133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spans="1:24" ht="14.25" customHeight="1">
      <c r="A2344" s="4"/>
      <c r="B2344" s="125">
        <v>46197</v>
      </c>
      <c r="C2344" s="126" t="s">
        <v>918</v>
      </c>
      <c r="D2344" s="68" t="s">
        <v>130</v>
      </c>
      <c r="E2344" s="10" t="str">
        <f>TRIM(VLOOKUP(D2344,TB!$B$9:$C$1500,2,FALSE))</f>
        <v>BCA TBB</v>
      </c>
      <c r="F2344" s="142" t="s">
        <v>919</v>
      </c>
      <c r="G2344" s="130"/>
      <c r="H2344" s="10"/>
      <c r="I2344" s="10">
        <f>SUM(H2342:H2343)</f>
        <v>1401000</v>
      </c>
      <c r="J2344" s="79" t="e">
        <f t="shared" si="179"/>
        <v>#VALUE!</v>
      </c>
      <c r="K2344" s="106"/>
      <c r="L2344" s="141"/>
      <c r="M2344" s="132"/>
      <c r="N2344" s="133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spans="1:24" ht="14.25" customHeight="1">
      <c r="A2345" s="4"/>
      <c r="B2345" s="125"/>
      <c r="C2345" s="126"/>
      <c r="D2345" s="159"/>
      <c r="E2345" s="10" t="e">
        <f>TRIM(VLOOKUP(D2345,TB!$B$9:$C$1500,2,FALSE))</f>
        <v>#N/A</v>
      </c>
      <c r="F2345" s="142"/>
      <c r="G2345" s="130"/>
      <c r="H2345" s="10"/>
      <c r="I2345" s="10"/>
      <c r="J2345" s="79" t="e">
        <f t="shared" si="179"/>
        <v>#VALUE!</v>
      </c>
      <c r="K2345" s="106"/>
      <c r="L2345" s="141"/>
      <c r="M2345" s="132"/>
      <c r="N2345" s="133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spans="1:24" ht="14.25" customHeight="1">
      <c r="A2346" s="4"/>
      <c r="B2346" s="125">
        <v>46197</v>
      </c>
      <c r="C2346" s="126" t="s">
        <v>920</v>
      </c>
      <c r="D2346" s="15" t="s">
        <v>921</v>
      </c>
      <c r="E2346" s="10" t="str">
        <f>TRIM(VLOOKUP(D2346,TB!$B$9:$C$1500,2,FALSE))</f>
        <v>Vuse Grape</v>
      </c>
      <c r="F2346" s="185" t="s">
        <v>922</v>
      </c>
      <c r="G2346" s="130">
        <v>1</v>
      </c>
      <c r="H2346" s="10">
        <v>60720</v>
      </c>
      <c r="I2346" s="10"/>
      <c r="J2346" s="79" t="e">
        <f t="shared" si="179"/>
        <v>#VALUE!</v>
      </c>
      <c r="K2346" s="106"/>
      <c r="L2346" s="141"/>
      <c r="M2346" s="132"/>
      <c r="N2346" s="133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spans="1:24" ht="14.25" customHeight="1">
      <c r="A2347" s="4"/>
      <c r="B2347" s="125">
        <v>46197</v>
      </c>
      <c r="C2347" s="126" t="s">
        <v>920</v>
      </c>
      <c r="D2347" s="15" t="s">
        <v>923</v>
      </c>
      <c r="E2347" s="10" t="str">
        <f>TRIM(VLOOKUP(D2347,TB!$B$9:$C$1500,2,FALSE))</f>
        <v>Vuse Manggo</v>
      </c>
      <c r="F2347" s="185" t="s">
        <v>924</v>
      </c>
      <c r="G2347" s="130">
        <v>3</v>
      </c>
      <c r="H2347" s="10">
        <v>182160</v>
      </c>
      <c r="I2347" s="10"/>
      <c r="J2347" s="79" t="e">
        <f t="shared" si="179"/>
        <v>#VALUE!</v>
      </c>
      <c r="K2347" s="106"/>
      <c r="L2347" s="141"/>
      <c r="M2347" s="132"/>
      <c r="N2347" s="133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spans="1:24" ht="14.25" customHeight="1">
      <c r="A2348" s="4"/>
      <c r="B2348" s="125">
        <v>46197</v>
      </c>
      <c r="C2348" s="126" t="s">
        <v>920</v>
      </c>
      <c r="D2348" s="15" t="s">
        <v>925</v>
      </c>
      <c r="E2348" s="10" t="str">
        <f>TRIM(VLOOKUP(D2348,TB!$B$9:$C$1500,2,FALSE))</f>
        <v>Vuse Blueberry</v>
      </c>
      <c r="F2348" s="185" t="s">
        <v>926</v>
      </c>
      <c r="G2348" s="130">
        <v>3</v>
      </c>
      <c r="H2348" s="10">
        <v>182160</v>
      </c>
      <c r="I2348" s="10"/>
      <c r="J2348" s="79" t="e">
        <f t="shared" si="179"/>
        <v>#VALUE!</v>
      </c>
      <c r="K2348" s="106"/>
      <c r="L2348" s="141"/>
      <c r="M2348" s="132"/>
      <c r="N2348" s="133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spans="1:24" ht="14.25" customHeight="1">
      <c r="A2349" s="4"/>
      <c r="B2349" s="125">
        <v>46197</v>
      </c>
      <c r="C2349" s="126" t="s">
        <v>920</v>
      </c>
      <c r="D2349" s="15" t="s">
        <v>927</v>
      </c>
      <c r="E2349" s="10" t="str">
        <f>TRIM(VLOOKUP(D2349,TB!$B$9:$C$1500,2,FALSE))</f>
        <v>Vuse Strawberry</v>
      </c>
      <c r="F2349" s="185" t="s">
        <v>928</v>
      </c>
      <c r="G2349" s="130">
        <v>2</v>
      </c>
      <c r="H2349" s="10">
        <v>121440</v>
      </c>
      <c r="I2349" s="10"/>
      <c r="J2349" s="79" t="e">
        <f t="shared" si="179"/>
        <v>#VALUE!</v>
      </c>
      <c r="K2349" s="106"/>
      <c r="L2349" s="141"/>
      <c r="M2349" s="132"/>
      <c r="N2349" s="133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spans="1:24" ht="14.25" customHeight="1">
      <c r="A2350" s="4"/>
      <c r="B2350" s="125">
        <v>46197</v>
      </c>
      <c r="C2350" s="126" t="s">
        <v>920</v>
      </c>
      <c r="D2350" s="15" t="s">
        <v>929</v>
      </c>
      <c r="E2350" s="10" t="str">
        <f>TRIM(VLOOKUP(D2350,TB!$B$9:$C$1500,2,FALSE))</f>
        <v>Vuse Watermelon</v>
      </c>
      <c r="F2350" s="185" t="s">
        <v>930</v>
      </c>
      <c r="G2350" s="130">
        <v>3</v>
      </c>
      <c r="H2350" s="10">
        <v>182160</v>
      </c>
      <c r="I2350" s="10"/>
      <c r="J2350" s="79" t="e">
        <f t="shared" si="179"/>
        <v>#VALUE!</v>
      </c>
      <c r="K2350" s="106"/>
      <c r="L2350" s="141"/>
      <c r="M2350" s="132"/>
      <c r="N2350" s="133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spans="1:24" ht="14.25" customHeight="1">
      <c r="A2351" s="4"/>
      <c r="B2351" s="125">
        <v>46197</v>
      </c>
      <c r="C2351" s="126" t="s">
        <v>920</v>
      </c>
      <c r="D2351" s="15" t="s">
        <v>931</v>
      </c>
      <c r="E2351" s="10" t="str">
        <f>TRIM(VLOOKUP(D2351,TB!$B$9:$C$1500,2,FALSE))</f>
        <v>Vuse Mint Ice</v>
      </c>
      <c r="F2351" s="185" t="s">
        <v>932</v>
      </c>
      <c r="G2351" s="130">
        <v>1</v>
      </c>
      <c r="H2351" s="10">
        <v>60720</v>
      </c>
      <c r="I2351" s="10"/>
      <c r="J2351" s="79" t="e">
        <f t="shared" si="179"/>
        <v>#VALUE!</v>
      </c>
      <c r="K2351" s="106"/>
      <c r="L2351" s="141"/>
      <c r="M2351" s="132"/>
      <c r="N2351" s="133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spans="1:24" ht="14.25" customHeight="1">
      <c r="A2352" s="4"/>
      <c r="B2352" s="125">
        <v>46197</v>
      </c>
      <c r="C2352" s="126" t="s">
        <v>920</v>
      </c>
      <c r="D2352" s="15" t="s">
        <v>933</v>
      </c>
      <c r="E2352" s="10" t="str">
        <f>TRIM(VLOOKUP(D2352,TB!$B$9:$C$1500,2,FALSE))</f>
        <v>Other</v>
      </c>
      <c r="F2352" s="185" t="s">
        <v>934</v>
      </c>
      <c r="G2352" s="130"/>
      <c r="H2352" s="10"/>
      <c r="I2352" s="10">
        <v>325000</v>
      </c>
      <c r="J2352" s="79" t="e">
        <f t="shared" si="179"/>
        <v>#VALUE!</v>
      </c>
      <c r="K2352" s="106"/>
      <c r="L2352" s="141"/>
      <c r="M2352" s="132"/>
      <c r="N2352" s="133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spans="1:24" ht="14.25" customHeight="1">
      <c r="A2353" s="4"/>
      <c r="B2353" s="125">
        <v>46197</v>
      </c>
      <c r="C2353" s="126" t="s">
        <v>920</v>
      </c>
      <c r="D2353" s="68" t="s">
        <v>130</v>
      </c>
      <c r="E2353" s="10" t="str">
        <f>TRIM(VLOOKUP(D2353,TB!$B$9:$C$1500,2,FALSE))</f>
        <v>BCA TBB</v>
      </c>
      <c r="F2353" s="185" t="s">
        <v>934</v>
      </c>
      <c r="G2353" s="130"/>
      <c r="H2353" s="10"/>
      <c r="I2353" s="10">
        <v>464360</v>
      </c>
      <c r="J2353" s="79" t="e">
        <f t="shared" si="179"/>
        <v>#VALUE!</v>
      </c>
      <c r="K2353" s="106"/>
      <c r="L2353" s="141"/>
      <c r="M2353" s="132"/>
      <c r="N2353" s="133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spans="1:24" ht="14.25" customHeight="1">
      <c r="A2354" s="4"/>
      <c r="B2354" s="125"/>
      <c r="C2354" s="126"/>
      <c r="D2354" s="159"/>
      <c r="E2354" s="10" t="e">
        <f>TRIM(VLOOKUP(D2354,TB!$B$9:$C$1500,2,FALSE))</f>
        <v>#N/A</v>
      </c>
      <c r="F2354" s="142"/>
      <c r="G2354" s="130"/>
      <c r="H2354" s="10"/>
      <c r="I2354" s="10"/>
      <c r="J2354" s="79" t="e">
        <f t="shared" si="179"/>
        <v>#VALUE!</v>
      </c>
      <c r="K2354" s="106"/>
      <c r="L2354" s="141"/>
      <c r="M2354" s="132"/>
      <c r="N2354" s="133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spans="1:24" ht="14.25" customHeight="1">
      <c r="A2355" s="4"/>
      <c r="B2355" s="125">
        <v>46197</v>
      </c>
      <c r="C2355" s="126" t="s">
        <v>935</v>
      </c>
      <c r="D2355" s="68" t="s">
        <v>285</v>
      </c>
      <c r="E2355" s="10" t="str">
        <f>TRIM(VLOOKUP(D2355,TB!$B$9:$C$1500,2,FALSE))</f>
        <v>Misc Cash Purchase</v>
      </c>
      <c r="F2355" s="142" t="s">
        <v>936</v>
      </c>
      <c r="G2355" s="130"/>
      <c r="H2355" s="10">
        <v>100000</v>
      </c>
      <c r="I2355" s="10"/>
      <c r="J2355" s="79" t="e">
        <f t="shared" si="179"/>
        <v>#VALUE!</v>
      </c>
      <c r="K2355" s="106"/>
      <c r="L2355" s="141"/>
      <c r="M2355" s="132"/>
      <c r="N2355" s="133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spans="1:24" ht="14.25" customHeight="1">
      <c r="A2356" s="4"/>
      <c r="B2356" s="125">
        <v>46197</v>
      </c>
      <c r="C2356" s="126" t="s">
        <v>935</v>
      </c>
      <c r="D2356" s="68" t="s">
        <v>130</v>
      </c>
      <c r="E2356" s="10" t="str">
        <f>TRIM(VLOOKUP(D2356,TB!$B$9:$C$1500,2,FALSE))</f>
        <v>BCA TBB</v>
      </c>
      <c r="F2356" s="142" t="s">
        <v>936</v>
      </c>
      <c r="G2356" s="130"/>
      <c r="H2356" s="10"/>
      <c r="I2356" s="10">
        <v>100000</v>
      </c>
      <c r="J2356" s="79" t="e">
        <f t="shared" si="179"/>
        <v>#VALUE!</v>
      </c>
      <c r="K2356" s="106"/>
      <c r="L2356" s="141"/>
      <c r="M2356" s="132"/>
      <c r="N2356" s="133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spans="1:24" ht="14.25" customHeight="1">
      <c r="A2357" s="4"/>
      <c r="B2357" s="125"/>
      <c r="C2357" s="126"/>
      <c r="D2357" s="159"/>
      <c r="E2357" s="10" t="e">
        <f>TRIM(VLOOKUP(D2357,TB!$B$9:$C$1500,2,FALSE))</f>
        <v>#N/A</v>
      </c>
      <c r="F2357" s="142"/>
      <c r="G2357" s="130"/>
      <c r="H2357" s="10"/>
      <c r="I2357" s="10"/>
      <c r="J2357" s="79" t="e">
        <f t="shared" si="179"/>
        <v>#VALUE!</v>
      </c>
      <c r="K2357" s="106"/>
      <c r="L2357" s="141"/>
      <c r="M2357" s="132"/>
      <c r="N2357" s="133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spans="1:24" ht="14.25" customHeight="1">
      <c r="A2358" s="4"/>
      <c r="B2358" s="125">
        <v>46197</v>
      </c>
      <c r="C2358" s="126" t="s">
        <v>937</v>
      </c>
      <c r="D2358" s="68" t="s">
        <v>285</v>
      </c>
      <c r="E2358" s="10" t="str">
        <f>TRIM(VLOOKUP(D2358,TB!$B$9:$C$1500,2,FALSE))</f>
        <v>Misc Cash Purchase</v>
      </c>
      <c r="F2358" s="142" t="s">
        <v>938</v>
      </c>
      <c r="G2358" s="130"/>
      <c r="H2358" s="10">
        <v>240000</v>
      </c>
      <c r="I2358" s="10"/>
      <c r="J2358" s="79" t="e">
        <f t="shared" si="179"/>
        <v>#VALUE!</v>
      </c>
      <c r="K2358" s="106"/>
      <c r="L2358" s="141"/>
      <c r="M2358" s="132"/>
      <c r="N2358" s="133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spans="1:24" ht="14.25" customHeight="1">
      <c r="A2359" s="4"/>
      <c r="B2359" s="125">
        <v>46197</v>
      </c>
      <c r="C2359" s="126" t="s">
        <v>937</v>
      </c>
      <c r="D2359" s="68" t="s">
        <v>130</v>
      </c>
      <c r="E2359" s="10" t="str">
        <f>TRIM(VLOOKUP(D2359,TB!$B$9:$C$1500,2,FALSE))</f>
        <v>BCA TBB</v>
      </c>
      <c r="F2359" s="142" t="s">
        <v>938</v>
      </c>
      <c r="G2359" s="130"/>
      <c r="H2359" s="10"/>
      <c r="I2359" s="10">
        <v>240000</v>
      </c>
      <c r="J2359" s="79" t="e">
        <f t="shared" si="179"/>
        <v>#VALUE!</v>
      </c>
      <c r="K2359" s="106"/>
      <c r="L2359" s="141"/>
      <c r="M2359" s="132"/>
      <c r="N2359" s="133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spans="1:24" ht="14.25" customHeight="1">
      <c r="A2360" s="4"/>
      <c r="B2360" s="125"/>
      <c r="C2360" s="126"/>
      <c r="D2360" s="159"/>
      <c r="E2360" s="10" t="e">
        <f>TRIM(VLOOKUP(D2360,TB!$B$9:$C$1500,2,FALSE))</f>
        <v>#N/A</v>
      </c>
      <c r="F2360" s="142"/>
      <c r="G2360" s="130"/>
      <c r="H2360" s="10"/>
      <c r="I2360" s="10"/>
      <c r="J2360" s="79" t="e">
        <f t="shared" si="179"/>
        <v>#VALUE!</v>
      </c>
      <c r="K2360" s="106"/>
      <c r="L2360" s="141"/>
      <c r="M2360" s="132"/>
      <c r="N2360" s="133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spans="1:24" ht="14.25" customHeight="1">
      <c r="A2361" s="4"/>
      <c r="B2361" s="125">
        <v>46197</v>
      </c>
      <c r="C2361" s="126" t="s">
        <v>939</v>
      </c>
      <c r="D2361" s="68" t="s">
        <v>285</v>
      </c>
      <c r="E2361" s="10" t="str">
        <f>TRIM(VLOOKUP(D2361,TB!$B$9:$C$1500,2,FALSE))</f>
        <v>Misc Cash Purchase</v>
      </c>
      <c r="F2361" s="142" t="s">
        <v>940</v>
      </c>
      <c r="G2361" s="130"/>
      <c r="H2361" s="10">
        <v>240000</v>
      </c>
      <c r="I2361" s="10"/>
      <c r="J2361" s="79" t="e">
        <f t="shared" si="179"/>
        <v>#VALUE!</v>
      </c>
      <c r="K2361" s="106"/>
      <c r="L2361" s="141"/>
      <c r="M2361" s="132"/>
      <c r="N2361" s="133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spans="1:24" ht="14.25" customHeight="1">
      <c r="A2362" s="4"/>
      <c r="B2362" s="125">
        <v>46197</v>
      </c>
      <c r="C2362" s="126" t="s">
        <v>939</v>
      </c>
      <c r="D2362" s="68" t="s">
        <v>130</v>
      </c>
      <c r="E2362" s="10" t="str">
        <f>TRIM(VLOOKUP(D2362,TB!$B$9:$C$1500,2,FALSE))</f>
        <v>BCA TBB</v>
      </c>
      <c r="F2362" s="142" t="s">
        <v>940</v>
      </c>
      <c r="G2362" s="130"/>
      <c r="H2362" s="10"/>
      <c r="I2362" s="10">
        <f t="shared" ref="I2362:I2370" si="180">H2361</f>
        <v>240000</v>
      </c>
      <c r="J2362" s="79" t="e">
        <f t="shared" si="179"/>
        <v>#VALUE!</v>
      </c>
      <c r="K2362" s="106"/>
      <c r="L2362" s="141"/>
      <c r="M2362" s="132"/>
      <c r="N2362" s="133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spans="1:24" ht="14.25" customHeight="1">
      <c r="A2363" s="4"/>
      <c r="B2363" s="125"/>
      <c r="C2363" s="126"/>
      <c r="D2363" s="159"/>
      <c r="E2363" s="10" t="e">
        <f>TRIM(VLOOKUP(D2363,TB!$B$9:$C$1500,2,FALSE))</f>
        <v>#N/A</v>
      </c>
      <c r="F2363" s="142"/>
      <c r="G2363" s="130"/>
      <c r="H2363" s="10"/>
      <c r="I2363" s="10">
        <f t="shared" si="180"/>
        <v>0</v>
      </c>
      <c r="J2363" s="79" t="e">
        <f t="shared" si="179"/>
        <v>#VALUE!</v>
      </c>
      <c r="K2363" s="106"/>
      <c r="L2363" s="141"/>
      <c r="M2363" s="132"/>
      <c r="N2363" s="133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spans="1:24" ht="14.25" customHeight="1">
      <c r="A2364" s="4"/>
      <c r="B2364" s="125">
        <v>46197</v>
      </c>
      <c r="C2364" s="126" t="s">
        <v>941</v>
      </c>
      <c r="D2364" s="68" t="s">
        <v>285</v>
      </c>
      <c r="E2364" s="10" t="str">
        <f>TRIM(VLOOKUP(D2364,TB!$B$9:$C$1500,2,FALSE))</f>
        <v>Misc Cash Purchase</v>
      </c>
      <c r="F2364" s="142" t="s">
        <v>942</v>
      </c>
      <c r="G2364" s="130"/>
      <c r="H2364" s="10">
        <v>60000</v>
      </c>
      <c r="I2364" s="10">
        <f t="shared" si="180"/>
        <v>0</v>
      </c>
      <c r="J2364" s="79" t="e">
        <f t="shared" si="179"/>
        <v>#VALUE!</v>
      </c>
      <c r="K2364" s="106"/>
      <c r="L2364" s="141"/>
      <c r="M2364" s="132"/>
      <c r="N2364" s="133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spans="1:24" ht="14.25" customHeight="1">
      <c r="A2365" s="4"/>
      <c r="B2365" s="125">
        <v>46197</v>
      </c>
      <c r="C2365" s="126" t="s">
        <v>941</v>
      </c>
      <c r="D2365" s="68" t="s">
        <v>130</v>
      </c>
      <c r="E2365" s="10" t="str">
        <f>TRIM(VLOOKUP(D2365,TB!$B$9:$C$1500,2,FALSE))</f>
        <v>BCA TBB</v>
      </c>
      <c r="F2365" s="142" t="s">
        <v>942</v>
      </c>
      <c r="G2365" s="130"/>
      <c r="H2365" s="10"/>
      <c r="I2365" s="10">
        <f t="shared" si="180"/>
        <v>60000</v>
      </c>
      <c r="J2365" s="79" t="e">
        <f t="shared" si="179"/>
        <v>#VALUE!</v>
      </c>
      <c r="K2365" s="106"/>
      <c r="L2365" s="141"/>
      <c r="M2365" s="132"/>
      <c r="N2365" s="133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spans="1:24" ht="14.25" customHeight="1">
      <c r="A2366" s="4"/>
      <c r="B2366" s="125"/>
      <c r="C2366" s="126"/>
      <c r="D2366" s="159"/>
      <c r="E2366" s="10" t="e">
        <f>TRIM(VLOOKUP(D2366,TB!$B$9:$C$1500,2,FALSE))</f>
        <v>#N/A</v>
      </c>
      <c r="F2366" s="142"/>
      <c r="G2366" s="130"/>
      <c r="H2366" s="10"/>
      <c r="I2366" s="10">
        <f t="shared" si="180"/>
        <v>0</v>
      </c>
      <c r="J2366" s="79" t="e">
        <f t="shared" si="179"/>
        <v>#VALUE!</v>
      </c>
      <c r="K2366" s="106"/>
      <c r="L2366" s="141"/>
      <c r="M2366" s="132"/>
      <c r="N2366" s="133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spans="1:24" ht="14.25" customHeight="1">
      <c r="A2367" s="4"/>
      <c r="B2367" s="125">
        <v>46197</v>
      </c>
      <c r="C2367" s="126" t="s">
        <v>943</v>
      </c>
      <c r="D2367" s="68" t="s">
        <v>285</v>
      </c>
      <c r="E2367" s="10" t="str">
        <f>TRIM(VLOOKUP(D2367,TB!$B$9:$C$1500,2,FALSE))</f>
        <v>Misc Cash Purchase</v>
      </c>
      <c r="F2367" s="142" t="s">
        <v>944</v>
      </c>
      <c r="G2367" s="130"/>
      <c r="H2367" s="10">
        <v>60000</v>
      </c>
      <c r="I2367" s="10">
        <f t="shared" si="180"/>
        <v>0</v>
      </c>
      <c r="J2367" s="79" t="e">
        <f t="shared" si="179"/>
        <v>#VALUE!</v>
      </c>
      <c r="K2367" s="106"/>
      <c r="L2367" s="141"/>
      <c r="M2367" s="132"/>
      <c r="N2367" s="133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spans="1:24" ht="14.25" customHeight="1">
      <c r="A2368" s="4"/>
      <c r="B2368" s="125">
        <v>46197</v>
      </c>
      <c r="C2368" s="126" t="s">
        <v>943</v>
      </c>
      <c r="D2368" s="68" t="s">
        <v>130</v>
      </c>
      <c r="E2368" s="10" t="str">
        <f>TRIM(VLOOKUP(D2368,TB!$B$9:$C$1500,2,FALSE))</f>
        <v>BCA TBB</v>
      </c>
      <c r="F2368" s="142" t="s">
        <v>944</v>
      </c>
      <c r="G2368" s="130"/>
      <c r="H2368" s="10"/>
      <c r="I2368" s="10">
        <f t="shared" si="180"/>
        <v>60000</v>
      </c>
      <c r="J2368" s="79" t="e">
        <f t="shared" si="179"/>
        <v>#VALUE!</v>
      </c>
      <c r="K2368" s="106"/>
      <c r="L2368" s="141"/>
      <c r="M2368" s="132"/>
      <c r="N2368" s="133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spans="1:24" ht="14.25" customHeight="1">
      <c r="A2369" s="4"/>
      <c r="B2369" s="125"/>
      <c r="C2369" s="126"/>
      <c r="D2369" s="159"/>
      <c r="E2369" s="10" t="e">
        <f>TRIM(VLOOKUP(D2369,TB!$B$9:$C$1500,2,FALSE))</f>
        <v>#N/A</v>
      </c>
      <c r="F2369" s="142"/>
      <c r="G2369" s="130"/>
      <c r="H2369" s="10"/>
      <c r="I2369" s="10">
        <f t="shared" si="180"/>
        <v>0</v>
      </c>
      <c r="J2369" s="79" t="e">
        <f t="shared" si="179"/>
        <v>#VALUE!</v>
      </c>
      <c r="K2369" s="106"/>
      <c r="L2369" s="141"/>
      <c r="M2369" s="132"/>
      <c r="N2369" s="133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spans="1:24" ht="14.25" customHeight="1">
      <c r="A2370" s="4"/>
      <c r="B2370" s="125">
        <v>46197</v>
      </c>
      <c r="C2370" s="126" t="s">
        <v>945</v>
      </c>
      <c r="D2370" s="68" t="s">
        <v>285</v>
      </c>
      <c r="E2370" s="10" t="str">
        <f>TRIM(VLOOKUP(D2370,TB!$B$9:$C$1500,2,FALSE))</f>
        <v>Misc Cash Purchase</v>
      </c>
      <c r="F2370" s="142" t="s">
        <v>946</v>
      </c>
      <c r="G2370" s="130"/>
      <c r="H2370" s="10">
        <v>40000</v>
      </c>
      <c r="I2370" s="10">
        <f t="shared" si="180"/>
        <v>0</v>
      </c>
      <c r="J2370" s="79" t="e">
        <f t="shared" si="179"/>
        <v>#VALUE!</v>
      </c>
      <c r="K2370" s="106"/>
      <c r="L2370" s="141"/>
      <c r="M2370" s="132"/>
      <c r="N2370" s="133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spans="1:24" ht="14.25" customHeight="1">
      <c r="A2371" s="4"/>
      <c r="B2371" s="125">
        <v>46197</v>
      </c>
      <c r="C2371" s="126" t="s">
        <v>945</v>
      </c>
      <c r="D2371" s="15" t="s">
        <v>124</v>
      </c>
      <c r="E2371" s="10" t="str">
        <f>TRIM(VLOOKUP(D2371,TB!$B$9:$C$1500,2,FALSE))</f>
        <v>Bank charges</v>
      </c>
      <c r="F2371" s="142" t="s">
        <v>946</v>
      </c>
      <c r="G2371" s="130"/>
      <c r="H2371" s="10">
        <v>2500</v>
      </c>
      <c r="I2371" s="10"/>
      <c r="J2371" s="79" t="e">
        <f t="shared" si="179"/>
        <v>#VALUE!</v>
      </c>
      <c r="K2371" s="106"/>
      <c r="L2371" s="141"/>
      <c r="M2371" s="132"/>
      <c r="N2371" s="133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spans="1:24" ht="14.25" customHeight="1">
      <c r="A2372" s="4"/>
      <c r="B2372" s="125">
        <v>46197</v>
      </c>
      <c r="C2372" s="126" t="s">
        <v>945</v>
      </c>
      <c r="D2372" s="68" t="s">
        <v>130</v>
      </c>
      <c r="E2372" s="10" t="str">
        <f>TRIM(VLOOKUP(D2372,TB!$B$9:$C$1500,2,FALSE))</f>
        <v>BCA TBB</v>
      </c>
      <c r="F2372" s="142" t="s">
        <v>946</v>
      </c>
      <c r="G2372" s="130"/>
      <c r="H2372" s="10"/>
      <c r="I2372" s="10">
        <f>SUM(H2370:H2371)</f>
        <v>42500</v>
      </c>
      <c r="J2372" s="79" t="e">
        <f t="shared" si="179"/>
        <v>#VALUE!</v>
      </c>
      <c r="K2372" s="106"/>
      <c r="L2372" s="141"/>
      <c r="M2372" s="132"/>
      <c r="N2372" s="133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spans="1:24" ht="14.25" customHeight="1">
      <c r="A2373" s="4"/>
      <c r="B2373" s="125"/>
      <c r="C2373" s="126"/>
      <c r="D2373" s="159"/>
      <c r="E2373" s="10" t="e">
        <f>TRIM(VLOOKUP(D2373,TB!$B$9:$C$1500,2,FALSE))</f>
        <v>#N/A</v>
      </c>
      <c r="F2373" s="142"/>
      <c r="G2373" s="130"/>
      <c r="H2373" s="10"/>
      <c r="I2373" s="10">
        <f t="shared" ref="I2373:I2377" si="181">H2372</f>
        <v>0</v>
      </c>
      <c r="J2373" s="79" t="e">
        <f t="shared" si="179"/>
        <v>#VALUE!</v>
      </c>
      <c r="K2373" s="106"/>
      <c r="L2373" s="141"/>
      <c r="M2373" s="132"/>
      <c r="N2373" s="133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spans="1:24" ht="14.25" customHeight="1">
      <c r="A2374" s="4"/>
      <c r="B2374" s="125">
        <v>46197</v>
      </c>
      <c r="C2374" s="126" t="s">
        <v>947</v>
      </c>
      <c r="D2374" s="68" t="s">
        <v>285</v>
      </c>
      <c r="E2374" s="10" t="str">
        <f>TRIM(VLOOKUP(D2374,TB!$B$9:$C$1500,2,FALSE))</f>
        <v>Misc Cash Purchase</v>
      </c>
      <c r="F2374" s="142" t="s">
        <v>948</v>
      </c>
      <c r="G2374" s="130"/>
      <c r="H2374" s="10">
        <v>120000</v>
      </c>
      <c r="I2374" s="10">
        <f t="shared" si="181"/>
        <v>0</v>
      </c>
      <c r="J2374" s="79" t="e">
        <f t="shared" si="179"/>
        <v>#VALUE!</v>
      </c>
      <c r="K2374" s="106"/>
      <c r="L2374" s="141"/>
      <c r="M2374" s="132"/>
      <c r="N2374" s="133"/>
      <c r="O2374" s="4"/>
      <c r="P2374" s="4"/>
      <c r="Q2374" s="4"/>
      <c r="R2374" s="4"/>
      <c r="S2374" s="4"/>
      <c r="T2374" s="4"/>
      <c r="U2374" s="4"/>
      <c r="V2374" s="4"/>
      <c r="W2374" s="4"/>
      <c r="X2374" s="4"/>
    </row>
    <row r="2375" spans="1:24" ht="14.25" customHeight="1">
      <c r="A2375" s="4"/>
      <c r="B2375" s="125">
        <v>46197</v>
      </c>
      <c r="C2375" s="126" t="s">
        <v>947</v>
      </c>
      <c r="D2375" s="68" t="s">
        <v>130</v>
      </c>
      <c r="E2375" s="10" t="str">
        <f>TRIM(VLOOKUP(D2375,TB!$B$9:$C$1500,2,FALSE))</f>
        <v>BCA TBB</v>
      </c>
      <c r="F2375" s="142" t="s">
        <v>948</v>
      </c>
      <c r="G2375" s="130"/>
      <c r="H2375" s="10"/>
      <c r="I2375" s="10">
        <f t="shared" si="181"/>
        <v>120000</v>
      </c>
      <c r="J2375" s="79" t="e">
        <f t="shared" si="179"/>
        <v>#VALUE!</v>
      </c>
      <c r="K2375" s="106"/>
      <c r="L2375" s="141"/>
      <c r="M2375" s="132"/>
      <c r="N2375" s="133"/>
      <c r="O2375" s="4"/>
      <c r="P2375" s="4"/>
      <c r="Q2375" s="4"/>
      <c r="R2375" s="4"/>
      <c r="S2375" s="4"/>
      <c r="T2375" s="4"/>
      <c r="U2375" s="4"/>
      <c r="V2375" s="4"/>
      <c r="W2375" s="4"/>
      <c r="X2375" s="4"/>
    </row>
    <row r="2376" spans="1:24" ht="14.25" customHeight="1">
      <c r="A2376" s="4"/>
      <c r="B2376" s="125"/>
      <c r="C2376" s="126"/>
      <c r="D2376" s="159"/>
      <c r="E2376" s="10" t="e">
        <f>TRIM(VLOOKUP(D2376,TB!$B$9:$C$1500,2,FALSE))</f>
        <v>#N/A</v>
      </c>
      <c r="F2376" s="142"/>
      <c r="G2376" s="130"/>
      <c r="H2376" s="10"/>
      <c r="I2376" s="10">
        <f t="shared" si="181"/>
        <v>0</v>
      </c>
      <c r="J2376" s="79" t="e">
        <f t="shared" si="179"/>
        <v>#VALUE!</v>
      </c>
      <c r="K2376" s="106"/>
      <c r="L2376" s="141"/>
      <c r="M2376" s="132"/>
      <c r="N2376" s="133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spans="1:24" ht="14.25" customHeight="1">
      <c r="A2377" s="4"/>
      <c r="B2377" s="125">
        <v>46197</v>
      </c>
      <c r="C2377" s="126" t="s">
        <v>949</v>
      </c>
      <c r="D2377" s="68" t="s">
        <v>285</v>
      </c>
      <c r="E2377" s="10" t="str">
        <f>TRIM(VLOOKUP(D2377,TB!$B$9:$C$1500,2,FALSE))</f>
        <v>Misc Cash Purchase</v>
      </c>
      <c r="F2377" s="142" t="s">
        <v>950</v>
      </c>
      <c r="G2377" s="130"/>
      <c r="H2377" s="10">
        <v>40000</v>
      </c>
      <c r="I2377" s="10">
        <f t="shared" si="181"/>
        <v>0</v>
      </c>
      <c r="J2377" s="79" t="e">
        <f t="shared" si="179"/>
        <v>#VALUE!</v>
      </c>
      <c r="K2377" s="106"/>
      <c r="L2377" s="141"/>
      <c r="M2377" s="132"/>
      <c r="N2377" s="133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spans="1:24" ht="14.25" customHeight="1">
      <c r="A2378" s="4"/>
      <c r="B2378" s="125">
        <v>46197</v>
      </c>
      <c r="C2378" s="126" t="s">
        <v>949</v>
      </c>
      <c r="D2378" s="15" t="s">
        <v>124</v>
      </c>
      <c r="E2378" s="10" t="str">
        <f>TRIM(VLOOKUP(D2378,TB!$B$9:$C$1500,2,FALSE))</f>
        <v>Bank charges</v>
      </c>
      <c r="F2378" s="142" t="s">
        <v>950</v>
      </c>
      <c r="G2378" s="130"/>
      <c r="H2378" s="10">
        <v>2500</v>
      </c>
      <c r="I2378" s="10"/>
      <c r="J2378" s="79" t="e">
        <f t="shared" si="179"/>
        <v>#VALUE!</v>
      </c>
      <c r="K2378" s="106"/>
      <c r="L2378" s="141"/>
      <c r="M2378" s="132"/>
      <c r="N2378" s="133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spans="1:24" ht="14.25" customHeight="1">
      <c r="A2379" s="4"/>
      <c r="B2379" s="125">
        <v>46197</v>
      </c>
      <c r="C2379" s="126" t="s">
        <v>949</v>
      </c>
      <c r="D2379" s="68" t="s">
        <v>130</v>
      </c>
      <c r="E2379" s="10" t="str">
        <f>TRIM(VLOOKUP(D2379,TB!$B$9:$C$1500,2,FALSE))</f>
        <v>BCA TBB</v>
      </c>
      <c r="F2379" s="142" t="s">
        <v>950</v>
      </c>
      <c r="G2379" s="130"/>
      <c r="H2379" s="10"/>
      <c r="I2379" s="10">
        <f>SUM(H2377:H2378)</f>
        <v>42500</v>
      </c>
      <c r="J2379" s="79" t="e">
        <f t="shared" si="179"/>
        <v>#VALUE!</v>
      </c>
      <c r="K2379" s="106"/>
      <c r="L2379" s="141"/>
      <c r="M2379" s="132"/>
      <c r="N2379" s="133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spans="1:24" ht="14.25" customHeight="1">
      <c r="A2380" s="4"/>
      <c r="B2380" s="125"/>
      <c r="C2380" s="126"/>
      <c r="D2380" s="159"/>
      <c r="E2380" s="10" t="e">
        <f>TRIM(VLOOKUP(D2380,TB!$B$9:$C$1500,2,FALSE))</f>
        <v>#N/A</v>
      </c>
      <c r="F2380" s="142"/>
      <c r="G2380" s="130"/>
      <c r="H2380" s="10"/>
      <c r="I2380" s="10">
        <f t="shared" ref="I2380:I2381" si="182">H2379</f>
        <v>0</v>
      </c>
      <c r="J2380" s="79" t="e">
        <f t="shared" si="179"/>
        <v>#VALUE!</v>
      </c>
      <c r="K2380" s="106"/>
      <c r="L2380" s="141"/>
      <c r="M2380" s="132"/>
      <c r="N2380" s="133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spans="1:24" ht="14.25" customHeight="1">
      <c r="A2381" s="4"/>
      <c r="B2381" s="125">
        <v>46197</v>
      </c>
      <c r="C2381" s="126" t="s">
        <v>951</v>
      </c>
      <c r="D2381" s="68" t="s">
        <v>285</v>
      </c>
      <c r="E2381" s="10" t="str">
        <f>TRIM(VLOOKUP(D2381,TB!$B$9:$C$1500,2,FALSE))</f>
        <v>Misc Cash Purchase</v>
      </c>
      <c r="F2381" s="142" t="s">
        <v>952</v>
      </c>
      <c r="G2381" s="130"/>
      <c r="H2381" s="10">
        <v>80000</v>
      </c>
      <c r="I2381" s="10">
        <f t="shared" si="182"/>
        <v>0</v>
      </c>
      <c r="J2381" s="79" t="e">
        <f t="shared" si="179"/>
        <v>#VALUE!</v>
      </c>
      <c r="K2381" s="106"/>
      <c r="L2381" s="141"/>
      <c r="M2381" s="132"/>
      <c r="N2381" s="133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spans="1:24" ht="14.25" customHeight="1">
      <c r="A2382" s="4"/>
      <c r="B2382" s="125">
        <v>46197</v>
      </c>
      <c r="C2382" s="126" t="s">
        <v>951</v>
      </c>
      <c r="D2382" s="15" t="s">
        <v>124</v>
      </c>
      <c r="E2382" s="10" t="str">
        <f>TRIM(VLOOKUP(D2382,TB!$B$9:$C$1500,2,FALSE))</f>
        <v>Bank charges</v>
      </c>
      <c r="F2382" s="142" t="s">
        <v>952</v>
      </c>
      <c r="G2382" s="130"/>
      <c r="H2382" s="10">
        <v>2500</v>
      </c>
      <c r="I2382" s="10"/>
      <c r="J2382" s="79" t="e">
        <f t="shared" si="179"/>
        <v>#VALUE!</v>
      </c>
      <c r="K2382" s="106"/>
      <c r="L2382" s="141"/>
      <c r="M2382" s="132"/>
      <c r="N2382" s="133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spans="1:24" ht="14.25" customHeight="1">
      <c r="A2383" s="4"/>
      <c r="B2383" s="125">
        <v>46197</v>
      </c>
      <c r="C2383" s="126" t="s">
        <v>951</v>
      </c>
      <c r="D2383" s="68" t="s">
        <v>130</v>
      </c>
      <c r="E2383" s="10" t="str">
        <f>TRIM(VLOOKUP(D2383,TB!$B$9:$C$1500,2,FALSE))</f>
        <v>BCA TBB</v>
      </c>
      <c r="F2383" s="142" t="s">
        <v>952</v>
      </c>
      <c r="G2383" s="130"/>
      <c r="H2383" s="10"/>
      <c r="I2383" s="10">
        <f>SUM(H2381:H2382)</f>
        <v>82500</v>
      </c>
      <c r="J2383" s="79" t="e">
        <f t="shared" si="179"/>
        <v>#VALUE!</v>
      </c>
      <c r="K2383" s="106"/>
      <c r="L2383" s="141"/>
      <c r="M2383" s="132"/>
      <c r="N2383" s="133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spans="1:24" ht="14.25" customHeight="1">
      <c r="A2384" s="4"/>
      <c r="B2384" s="125"/>
      <c r="C2384" s="126"/>
      <c r="D2384" s="159"/>
      <c r="E2384" s="10" t="e">
        <f>TRIM(VLOOKUP(D2384,TB!$B$9:$C$1500,2,FALSE))</f>
        <v>#N/A</v>
      </c>
      <c r="F2384" s="142"/>
      <c r="G2384" s="130"/>
      <c r="H2384" s="10"/>
      <c r="I2384" s="10">
        <f t="shared" ref="I2384:I2386" si="183">H2383</f>
        <v>0</v>
      </c>
      <c r="J2384" s="79" t="e">
        <f t="shared" si="179"/>
        <v>#VALUE!</v>
      </c>
      <c r="K2384" s="106"/>
      <c r="L2384" s="141"/>
      <c r="M2384" s="132"/>
      <c r="N2384" s="133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spans="1:24" ht="14.25" customHeight="1">
      <c r="A2385" s="4"/>
      <c r="B2385" s="125">
        <v>46197</v>
      </c>
      <c r="C2385" s="126" t="s">
        <v>953</v>
      </c>
      <c r="D2385" s="68" t="s">
        <v>285</v>
      </c>
      <c r="E2385" s="10" t="str">
        <f>TRIM(VLOOKUP(D2385,TB!$B$9:$C$1500,2,FALSE))</f>
        <v>Misc Cash Purchase</v>
      </c>
      <c r="F2385" s="142" t="s">
        <v>954</v>
      </c>
      <c r="G2385" s="130"/>
      <c r="H2385" s="10">
        <v>220000</v>
      </c>
      <c r="I2385" s="10">
        <f t="shared" si="183"/>
        <v>0</v>
      </c>
      <c r="J2385" s="79" t="e">
        <f t="shared" si="179"/>
        <v>#VALUE!</v>
      </c>
      <c r="K2385" s="106"/>
      <c r="L2385" s="141"/>
      <c r="M2385" s="132"/>
      <c r="N2385" s="133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spans="1:24" ht="14.25" customHeight="1">
      <c r="A2386" s="4"/>
      <c r="B2386" s="125">
        <v>46197</v>
      </c>
      <c r="C2386" s="126" t="s">
        <v>953</v>
      </c>
      <c r="D2386" s="68" t="s">
        <v>130</v>
      </c>
      <c r="E2386" s="10" t="str">
        <f>TRIM(VLOOKUP(D2386,TB!$B$9:$C$1500,2,FALSE))</f>
        <v>BCA TBB</v>
      </c>
      <c r="F2386" s="142" t="s">
        <v>954</v>
      </c>
      <c r="G2386" s="130"/>
      <c r="H2386" s="10"/>
      <c r="I2386" s="10">
        <f t="shared" si="183"/>
        <v>220000</v>
      </c>
      <c r="J2386" s="79" t="e">
        <f t="shared" si="179"/>
        <v>#VALUE!</v>
      </c>
      <c r="K2386" s="106"/>
      <c r="L2386" s="141"/>
      <c r="M2386" s="132"/>
      <c r="N2386" s="133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spans="1:24" ht="14.25" customHeight="1">
      <c r="A2387" s="4"/>
      <c r="B2387" s="125"/>
      <c r="C2387" s="126"/>
      <c r="D2387" s="159"/>
      <c r="E2387" s="10" t="e">
        <f>TRIM(VLOOKUP(D2387,TB!$B$9:$C$1500,2,FALSE))</f>
        <v>#N/A</v>
      </c>
      <c r="F2387" s="142"/>
      <c r="G2387" s="130"/>
      <c r="H2387" s="10"/>
      <c r="I2387" s="10"/>
      <c r="J2387" s="79" t="e">
        <f t="shared" si="179"/>
        <v>#VALUE!</v>
      </c>
      <c r="K2387" s="106"/>
      <c r="L2387" s="141"/>
      <c r="M2387" s="132"/>
      <c r="N2387" s="133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spans="1:24" ht="14.25" customHeight="1">
      <c r="A2388" s="4"/>
      <c r="B2388" s="125">
        <v>46197</v>
      </c>
      <c r="C2388" s="126" t="s">
        <v>955</v>
      </c>
      <c r="D2388" s="15" t="s">
        <v>221</v>
      </c>
      <c r="E2388" s="10" t="str">
        <f>TRIM(VLOOKUP(D2388,TB!$B$9:$C$1500,2,FALSE))</f>
        <v>COS - Promotor Fees Other</v>
      </c>
      <c r="F2388" s="142" t="s">
        <v>956</v>
      </c>
      <c r="G2388" s="130"/>
      <c r="H2388" s="10">
        <v>517392</v>
      </c>
      <c r="I2388" s="10"/>
      <c r="J2388" s="79" t="e">
        <f t="shared" si="179"/>
        <v>#VALUE!</v>
      </c>
      <c r="K2388" s="106"/>
      <c r="L2388" s="141"/>
      <c r="M2388" s="132"/>
      <c r="N2388" s="133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spans="1:24" ht="14.25" customHeight="1">
      <c r="A2389" s="4"/>
      <c r="B2389" s="125">
        <v>46197</v>
      </c>
      <c r="C2389" s="126" t="s">
        <v>955</v>
      </c>
      <c r="D2389" s="68" t="s">
        <v>130</v>
      </c>
      <c r="E2389" s="10" t="str">
        <f>TRIM(VLOOKUP(D2389,TB!$B$9:$C$1500,2,FALSE))</f>
        <v>BCA TBB</v>
      </c>
      <c r="F2389" s="142" t="s">
        <v>956</v>
      </c>
      <c r="G2389" s="130"/>
      <c r="H2389" s="10"/>
      <c r="I2389" s="10">
        <v>517392</v>
      </c>
      <c r="J2389" s="79" t="e">
        <f t="shared" si="179"/>
        <v>#VALUE!</v>
      </c>
      <c r="K2389" s="106"/>
      <c r="L2389" s="141"/>
      <c r="M2389" s="132"/>
      <c r="N2389" s="133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spans="1:24" ht="14.25" customHeight="1">
      <c r="A2390" s="4"/>
      <c r="B2390" s="125"/>
      <c r="C2390" s="126"/>
      <c r="D2390" s="159"/>
      <c r="E2390" s="10" t="e">
        <f>TRIM(VLOOKUP(D2390,TB!$B$9:$C$1500,2,FALSE))</f>
        <v>#N/A</v>
      </c>
      <c r="F2390" s="142"/>
      <c r="G2390" s="130"/>
      <c r="H2390" s="10"/>
      <c r="I2390" s="10"/>
      <c r="J2390" s="79" t="e">
        <f t="shared" si="179"/>
        <v>#VALUE!</v>
      </c>
      <c r="K2390" s="106"/>
      <c r="L2390" s="141"/>
      <c r="M2390" s="132"/>
      <c r="N2390" s="133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spans="1:24" ht="14.25" customHeight="1">
      <c r="A2391" s="4"/>
      <c r="B2391" s="125">
        <v>46197</v>
      </c>
      <c r="C2391" s="126" t="s">
        <v>957</v>
      </c>
      <c r="D2391" s="15" t="s">
        <v>221</v>
      </c>
      <c r="E2391" s="10" t="str">
        <f>TRIM(VLOOKUP(D2391,TB!$B$9:$C$1500,2,FALSE))</f>
        <v>COS - Promotor Fees Other</v>
      </c>
      <c r="F2391" s="142" t="s">
        <v>958</v>
      </c>
      <c r="G2391" s="130"/>
      <c r="H2391" s="10">
        <v>517392</v>
      </c>
      <c r="I2391" s="10"/>
      <c r="J2391" s="79" t="e">
        <f t="shared" si="179"/>
        <v>#VALUE!</v>
      </c>
      <c r="K2391" s="106"/>
      <c r="L2391" s="141"/>
      <c r="M2391" s="132"/>
      <c r="N2391" s="133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spans="1:24" ht="14.25" customHeight="1">
      <c r="A2392" s="4"/>
      <c r="B2392" s="125">
        <v>46197</v>
      </c>
      <c r="C2392" s="126" t="s">
        <v>957</v>
      </c>
      <c r="D2392" s="68" t="s">
        <v>130</v>
      </c>
      <c r="E2392" s="10" t="str">
        <f>TRIM(VLOOKUP(D2392,TB!$B$9:$C$1500,2,FALSE))</f>
        <v>BCA TBB</v>
      </c>
      <c r="F2392" s="142" t="s">
        <v>958</v>
      </c>
      <c r="G2392" s="130"/>
      <c r="H2392" s="10"/>
      <c r="I2392" s="10">
        <v>517392</v>
      </c>
      <c r="J2392" s="79" t="e">
        <f t="shared" si="179"/>
        <v>#VALUE!</v>
      </c>
      <c r="K2392" s="106"/>
      <c r="L2392" s="141"/>
      <c r="M2392" s="132"/>
      <c r="N2392" s="133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spans="1:24" ht="14.25" customHeight="1">
      <c r="A2393" s="4"/>
      <c r="B2393" s="125"/>
      <c r="C2393" s="126"/>
      <c r="D2393" s="159"/>
      <c r="E2393" s="10" t="e">
        <f>TRIM(VLOOKUP(D2393,TB!$B$9:$C$1500,2,FALSE))</f>
        <v>#N/A</v>
      </c>
      <c r="F2393" s="142"/>
      <c r="G2393" s="130"/>
      <c r="H2393" s="10"/>
      <c r="I2393" s="10"/>
      <c r="J2393" s="79" t="e">
        <f t="shared" si="179"/>
        <v>#VALUE!</v>
      </c>
      <c r="K2393" s="106"/>
      <c r="L2393" s="141"/>
      <c r="M2393" s="132"/>
      <c r="N2393" s="133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spans="1:24" ht="14.25" customHeight="1">
      <c r="A2394" s="4"/>
      <c r="B2394" s="125">
        <v>46197</v>
      </c>
      <c r="C2394" s="126" t="s">
        <v>959</v>
      </c>
      <c r="D2394" s="188" t="s">
        <v>285</v>
      </c>
      <c r="E2394" s="10" t="str">
        <f>TRIM(VLOOKUP(D2394,TB!$B$9:$C$1500,2,FALSE))</f>
        <v>Misc Cash Purchase</v>
      </c>
      <c r="F2394" s="142" t="s">
        <v>960</v>
      </c>
      <c r="G2394" s="130"/>
      <c r="H2394" s="10">
        <v>800000</v>
      </c>
      <c r="I2394" s="10"/>
      <c r="J2394" s="79" t="e">
        <f t="shared" si="179"/>
        <v>#VALUE!</v>
      </c>
      <c r="K2394" s="106"/>
      <c r="L2394" s="141"/>
      <c r="M2394" s="132"/>
      <c r="N2394" s="133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spans="1:24" ht="14.25" customHeight="1">
      <c r="A2395" s="4"/>
      <c r="B2395" s="125">
        <v>46197</v>
      </c>
      <c r="C2395" s="126" t="s">
        <v>959</v>
      </c>
      <c r="D2395" s="188" t="s">
        <v>130</v>
      </c>
      <c r="E2395" s="10" t="str">
        <f>TRIM(VLOOKUP(D2395,TB!$B$9:$C$1500,2,FALSE))</f>
        <v>BCA TBB</v>
      </c>
      <c r="F2395" s="142" t="s">
        <v>960</v>
      </c>
      <c r="G2395" s="130"/>
      <c r="H2395" s="10"/>
      <c r="I2395" s="10">
        <f>H2394</f>
        <v>800000</v>
      </c>
      <c r="J2395" s="79" t="e">
        <f t="shared" si="179"/>
        <v>#VALUE!</v>
      </c>
      <c r="K2395" s="106"/>
      <c r="L2395" s="141"/>
      <c r="M2395" s="132"/>
      <c r="N2395" s="133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spans="1:24" ht="14.25" customHeight="1">
      <c r="A2396" s="4"/>
      <c r="B2396" s="125"/>
      <c r="C2396" s="126"/>
      <c r="D2396" s="159"/>
      <c r="E2396" s="10" t="e">
        <f>TRIM(VLOOKUP(D2396,TB!$B$9:$C$1500,2,FALSE))</f>
        <v>#N/A</v>
      </c>
      <c r="F2396" s="142"/>
      <c r="G2396" s="130"/>
      <c r="H2396" s="10"/>
      <c r="I2396" s="10"/>
      <c r="J2396" s="79" t="e">
        <f t="shared" si="179"/>
        <v>#VALUE!</v>
      </c>
      <c r="K2396" s="106"/>
      <c r="L2396" s="141"/>
      <c r="M2396" s="132"/>
      <c r="N2396" s="133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spans="1:24" ht="14.25" customHeight="1">
      <c r="A2397" s="4"/>
      <c r="B2397" s="125">
        <v>46197</v>
      </c>
      <c r="C2397" s="126" t="s">
        <v>961</v>
      </c>
      <c r="D2397" s="188" t="s">
        <v>285</v>
      </c>
      <c r="E2397" s="10" t="str">
        <f>TRIM(VLOOKUP(D2397,TB!$B$9:$C$1500,2,FALSE))</f>
        <v>Misc Cash Purchase</v>
      </c>
      <c r="F2397" s="142" t="s">
        <v>962</v>
      </c>
      <c r="G2397" s="130"/>
      <c r="H2397" s="10">
        <v>500000</v>
      </c>
      <c r="I2397" s="10"/>
      <c r="J2397" s="79" t="e">
        <f t="shared" si="179"/>
        <v>#VALUE!</v>
      </c>
      <c r="K2397" s="106"/>
      <c r="L2397" s="141"/>
      <c r="M2397" s="132"/>
      <c r="N2397" s="133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spans="1:24" ht="14.25" customHeight="1">
      <c r="A2398" s="4"/>
      <c r="B2398" s="125">
        <v>46197</v>
      </c>
      <c r="C2398" s="126" t="s">
        <v>961</v>
      </c>
      <c r="D2398" s="188" t="s">
        <v>130</v>
      </c>
      <c r="E2398" s="10" t="str">
        <f>TRIM(VLOOKUP(D2398,TB!$B$9:$C$1500,2,FALSE))</f>
        <v>BCA TBB</v>
      </c>
      <c r="F2398" s="142" t="s">
        <v>962</v>
      </c>
      <c r="G2398" s="130"/>
      <c r="H2398" s="10"/>
      <c r="I2398" s="10">
        <f>H2397</f>
        <v>500000</v>
      </c>
      <c r="J2398" s="79" t="e">
        <f t="shared" si="179"/>
        <v>#VALUE!</v>
      </c>
      <c r="K2398" s="106"/>
      <c r="L2398" s="141"/>
      <c r="M2398" s="132"/>
      <c r="N2398" s="133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spans="1:24" ht="14.25" customHeight="1">
      <c r="A2399" s="4"/>
      <c r="B2399" s="125"/>
      <c r="C2399" s="126"/>
      <c r="D2399" s="159"/>
      <c r="E2399" s="10" t="e">
        <f>TRIM(VLOOKUP(D2399,TB!$B$9:$C$1500,2,FALSE))</f>
        <v>#N/A</v>
      </c>
      <c r="F2399" s="142"/>
      <c r="G2399" s="130"/>
      <c r="H2399" s="10"/>
      <c r="I2399" s="10"/>
      <c r="J2399" s="79" t="e">
        <f t="shared" si="179"/>
        <v>#VALUE!</v>
      </c>
      <c r="K2399" s="106"/>
      <c r="L2399" s="141"/>
      <c r="M2399" s="132"/>
      <c r="N2399" s="133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spans="1:24" ht="14.25" customHeight="1">
      <c r="A2400" s="4"/>
      <c r="B2400" s="125">
        <v>46197</v>
      </c>
      <c r="C2400" s="126" t="s">
        <v>963</v>
      </c>
      <c r="D2400" s="188" t="s">
        <v>285</v>
      </c>
      <c r="E2400" s="10" t="str">
        <f>TRIM(VLOOKUP(D2400,TB!$B$9:$C$1500,2,FALSE))</f>
        <v>Misc Cash Purchase</v>
      </c>
      <c r="F2400" s="142" t="s">
        <v>964</v>
      </c>
      <c r="G2400" s="130"/>
      <c r="H2400" s="10">
        <v>500000</v>
      </c>
      <c r="I2400" s="10"/>
      <c r="J2400" s="79" t="e">
        <f t="shared" si="179"/>
        <v>#VALUE!</v>
      </c>
      <c r="K2400" s="106"/>
      <c r="L2400" s="141"/>
      <c r="M2400" s="132"/>
      <c r="N2400" s="133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spans="1:24" ht="14.25" customHeight="1">
      <c r="A2401" s="4"/>
      <c r="B2401" s="125">
        <v>46197</v>
      </c>
      <c r="C2401" s="126" t="s">
        <v>963</v>
      </c>
      <c r="D2401" s="188" t="s">
        <v>130</v>
      </c>
      <c r="E2401" s="10" t="str">
        <f>TRIM(VLOOKUP(D2401,TB!$B$9:$C$1500,2,FALSE))</f>
        <v>BCA TBB</v>
      </c>
      <c r="F2401" s="142" t="s">
        <v>964</v>
      </c>
      <c r="G2401" s="130"/>
      <c r="H2401" s="10"/>
      <c r="I2401" s="10">
        <f>H2400</f>
        <v>500000</v>
      </c>
      <c r="J2401" s="79" t="e">
        <f t="shared" si="179"/>
        <v>#VALUE!</v>
      </c>
      <c r="K2401" s="106"/>
      <c r="L2401" s="141"/>
      <c r="M2401" s="132"/>
      <c r="N2401" s="133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spans="1:24" ht="14.25" customHeight="1">
      <c r="A2402" s="4"/>
      <c r="B2402" s="125"/>
      <c r="C2402" s="126"/>
      <c r="D2402" s="159"/>
      <c r="E2402" s="10" t="e">
        <f>TRIM(VLOOKUP(D2402,TB!$B$9:$C$1500,2,FALSE))</f>
        <v>#N/A</v>
      </c>
      <c r="F2402" s="142"/>
      <c r="G2402" s="130"/>
      <c r="H2402" s="10"/>
      <c r="I2402" s="10"/>
      <c r="J2402" s="79" t="e">
        <f t="shared" si="179"/>
        <v>#VALUE!</v>
      </c>
      <c r="K2402" s="106"/>
      <c r="L2402" s="141"/>
      <c r="M2402" s="132"/>
      <c r="N2402" s="133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spans="1:24" ht="14.25" customHeight="1">
      <c r="A2403" s="4"/>
      <c r="B2403" s="125">
        <v>46197</v>
      </c>
      <c r="C2403" s="126" t="s">
        <v>965</v>
      </c>
      <c r="D2403" s="188" t="s">
        <v>285</v>
      </c>
      <c r="E2403" s="10" t="str">
        <f>TRIM(VLOOKUP(D2403,TB!$B$9:$C$1500,2,FALSE))</f>
        <v>Misc Cash Purchase</v>
      </c>
      <c r="F2403" s="142" t="s">
        <v>966</v>
      </c>
      <c r="G2403" s="130"/>
      <c r="H2403" s="10">
        <v>500000</v>
      </c>
      <c r="I2403" s="10"/>
      <c r="J2403" s="79" t="e">
        <f t="shared" si="179"/>
        <v>#VALUE!</v>
      </c>
      <c r="K2403" s="106"/>
      <c r="L2403" s="141"/>
      <c r="M2403" s="132"/>
      <c r="N2403" s="133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spans="1:24" ht="14.25" customHeight="1">
      <c r="A2404" s="4"/>
      <c r="B2404" s="125">
        <v>46197</v>
      </c>
      <c r="C2404" s="126" t="s">
        <v>965</v>
      </c>
      <c r="D2404" s="188" t="s">
        <v>130</v>
      </c>
      <c r="E2404" s="10" t="str">
        <f>TRIM(VLOOKUP(D2404,TB!$B$9:$C$1500,2,FALSE))</f>
        <v>BCA TBB</v>
      </c>
      <c r="F2404" s="142" t="s">
        <v>966</v>
      </c>
      <c r="G2404" s="130"/>
      <c r="H2404" s="10"/>
      <c r="I2404" s="10">
        <f>H2403</f>
        <v>500000</v>
      </c>
      <c r="J2404" s="79" t="e">
        <f t="shared" si="179"/>
        <v>#VALUE!</v>
      </c>
      <c r="K2404" s="106"/>
      <c r="L2404" s="141"/>
      <c r="M2404" s="132"/>
      <c r="N2404" s="133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spans="1:24" ht="14.25" customHeight="1">
      <c r="A2405" s="4"/>
      <c r="B2405" s="125"/>
      <c r="C2405" s="126"/>
      <c r="D2405" s="159"/>
      <c r="E2405" s="10" t="e">
        <f>TRIM(VLOOKUP(D2405,TB!$B$9:$C$1500,2,FALSE))</f>
        <v>#N/A</v>
      </c>
      <c r="F2405" s="142"/>
      <c r="G2405" s="130"/>
      <c r="H2405" s="10"/>
      <c r="I2405" s="10"/>
      <c r="J2405" s="79" t="e">
        <f t="shared" si="179"/>
        <v>#VALUE!</v>
      </c>
      <c r="K2405" s="106"/>
      <c r="L2405" s="141"/>
      <c r="M2405" s="132"/>
      <c r="N2405" s="133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spans="1:24" ht="14.25" customHeight="1">
      <c r="A2406" s="4"/>
      <c r="B2406" s="125">
        <v>46197</v>
      </c>
      <c r="C2406" s="126" t="s">
        <v>967</v>
      </c>
      <c r="D2406" s="68" t="s">
        <v>285</v>
      </c>
      <c r="E2406" s="10" t="str">
        <f>TRIM(VLOOKUP(D2406,TB!$B$9:$C$1500,2,FALSE))</f>
        <v>Misc Cash Purchase</v>
      </c>
      <c r="F2406" s="142" t="s">
        <v>968</v>
      </c>
      <c r="G2406" s="130"/>
      <c r="H2406" s="10">
        <v>1400000</v>
      </c>
      <c r="I2406" s="10"/>
      <c r="J2406" s="79" t="e">
        <f t="shared" si="179"/>
        <v>#VALUE!</v>
      </c>
      <c r="K2406" s="106"/>
      <c r="L2406" s="141"/>
      <c r="M2406" s="132"/>
      <c r="N2406" s="133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spans="1:24" ht="14.25" customHeight="1">
      <c r="A2407" s="4"/>
      <c r="B2407" s="125">
        <v>46197</v>
      </c>
      <c r="C2407" s="126" t="s">
        <v>967</v>
      </c>
      <c r="D2407" s="188" t="s">
        <v>130</v>
      </c>
      <c r="E2407" s="10" t="str">
        <f>TRIM(VLOOKUP(D2407,TB!$B$9:$C$1500,2,FALSE))</f>
        <v>BCA TBB</v>
      </c>
      <c r="F2407" s="142" t="s">
        <v>968</v>
      </c>
      <c r="G2407" s="130"/>
      <c r="H2407" s="10"/>
      <c r="I2407" s="10">
        <f>H2406</f>
        <v>1400000</v>
      </c>
      <c r="J2407" s="79" t="e">
        <f t="shared" si="179"/>
        <v>#VALUE!</v>
      </c>
      <c r="K2407" s="106"/>
      <c r="L2407" s="141"/>
      <c r="M2407" s="132"/>
      <c r="N2407" s="133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spans="1:24" ht="14.25" customHeight="1">
      <c r="A2408" s="4"/>
      <c r="B2408" s="125"/>
      <c r="C2408" s="126"/>
      <c r="D2408" s="159"/>
      <c r="E2408" s="10" t="e">
        <f>TRIM(VLOOKUP(D2408,TB!$B$9:$C$1500,2,FALSE))</f>
        <v>#N/A</v>
      </c>
      <c r="F2408" s="142"/>
      <c r="G2408" s="130"/>
      <c r="H2408" s="10"/>
      <c r="I2408" s="10"/>
      <c r="J2408" s="79" t="e">
        <f t="shared" si="179"/>
        <v>#VALUE!</v>
      </c>
      <c r="K2408" s="106"/>
      <c r="L2408" s="141"/>
      <c r="M2408" s="132"/>
      <c r="N2408" s="133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spans="1:24" ht="14.25" customHeight="1">
      <c r="A2409" s="4"/>
      <c r="B2409" s="125">
        <v>46197</v>
      </c>
      <c r="C2409" s="126" t="s">
        <v>969</v>
      </c>
      <c r="D2409" s="15" t="s">
        <v>438</v>
      </c>
      <c r="E2409" s="10" t="str">
        <f>TRIM(VLOOKUP(D2409,TB!$B$9:$C$1500,2,FALSE))</f>
        <v>Brochure Flyer Printing</v>
      </c>
      <c r="F2409" s="142" t="s">
        <v>970</v>
      </c>
      <c r="G2409" s="130"/>
      <c r="H2409" s="10">
        <v>118000</v>
      </c>
      <c r="I2409" s="10"/>
      <c r="J2409" s="79" t="e">
        <f t="shared" si="179"/>
        <v>#VALUE!</v>
      </c>
      <c r="K2409" s="106"/>
      <c r="L2409" s="141"/>
      <c r="M2409" s="132"/>
      <c r="N2409" s="133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spans="1:24" ht="14.25" customHeight="1">
      <c r="A2410" s="4"/>
      <c r="B2410" s="125">
        <v>46197</v>
      </c>
      <c r="C2410" s="126" t="s">
        <v>969</v>
      </c>
      <c r="D2410" s="188" t="s">
        <v>130</v>
      </c>
      <c r="E2410" s="10" t="str">
        <f>TRIM(VLOOKUP(D2410,TB!$B$9:$C$1500,2,FALSE))</f>
        <v>BCA TBB</v>
      </c>
      <c r="F2410" s="142" t="s">
        <v>970</v>
      </c>
      <c r="G2410" s="130"/>
      <c r="H2410" s="10"/>
      <c r="I2410" s="10">
        <v>118000</v>
      </c>
      <c r="J2410" s="79" t="e">
        <f t="shared" si="179"/>
        <v>#VALUE!</v>
      </c>
      <c r="K2410" s="106"/>
      <c r="L2410" s="141"/>
      <c r="M2410" s="132"/>
      <c r="N2410" s="133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spans="1:24" ht="14.25" customHeight="1">
      <c r="A2411" s="4"/>
      <c r="B2411" s="125"/>
      <c r="C2411" s="126"/>
      <c r="D2411" s="159"/>
      <c r="E2411" s="10" t="e">
        <f>TRIM(VLOOKUP(D2411,TB!$B$9:$C$1500,2,FALSE))</f>
        <v>#N/A</v>
      </c>
      <c r="F2411" s="142"/>
      <c r="G2411" s="130"/>
      <c r="H2411" s="10"/>
      <c r="I2411" s="10"/>
      <c r="J2411" s="79" t="e">
        <f t="shared" si="179"/>
        <v>#VALUE!</v>
      </c>
      <c r="K2411" s="106"/>
      <c r="L2411" s="141"/>
      <c r="M2411" s="132"/>
      <c r="N2411" s="133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spans="1:24" ht="14.25" customHeight="1">
      <c r="A2412" s="4"/>
      <c r="B2412" s="125">
        <v>46197</v>
      </c>
      <c r="C2412" s="126" t="s">
        <v>971</v>
      </c>
      <c r="D2412" s="188" t="s">
        <v>285</v>
      </c>
      <c r="E2412" s="10" t="str">
        <f>TRIM(VLOOKUP(D2412,TB!$B$9:$C$1500,2,FALSE))</f>
        <v>Misc Cash Purchase</v>
      </c>
      <c r="F2412" s="142" t="s">
        <v>972</v>
      </c>
      <c r="G2412" s="130"/>
      <c r="H2412" s="10">
        <v>100000</v>
      </c>
      <c r="I2412" s="10"/>
      <c r="J2412" s="79" t="e">
        <f t="shared" si="179"/>
        <v>#VALUE!</v>
      </c>
      <c r="K2412" s="106"/>
      <c r="L2412" s="141"/>
      <c r="M2412" s="132"/>
      <c r="N2412" s="133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spans="1:24" ht="14.25" customHeight="1">
      <c r="A2413" s="4"/>
      <c r="B2413" s="125">
        <v>46197</v>
      </c>
      <c r="C2413" s="126" t="s">
        <v>971</v>
      </c>
      <c r="D2413" s="188" t="s">
        <v>130</v>
      </c>
      <c r="E2413" s="10" t="str">
        <f>TRIM(VLOOKUP(D2413,TB!$B$9:$C$1500,2,FALSE))</f>
        <v>BCA TBB</v>
      </c>
      <c r="F2413" s="142" t="s">
        <v>972</v>
      </c>
      <c r="G2413" s="130"/>
      <c r="H2413" s="10"/>
      <c r="I2413" s="10">
        <f>H2412</f>
        <v>100000</v>
      </c>
      <c r="J2413" s="79" t="e">
        <f t="shared" si="179"/>
        <v>#VALUE!</v>
      </c>
      <c r="K2413" s="106"/>
      <c r="L2413" s="141"/>
      <c r="M2413" s="132"/>
      <c r="N2413" s="133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spans="1:24" ht="14.25" customHeight="1">
      <c r="A2414" s="4"/>
      <c r="B2414" s="125"/>
      <c r="C2414" s="126"/>
      <c r="D2414" s="159"/>
      <c r="E2414" s="10" t="e">
        <f>TRIM(VLOOKUP(D2414,TB!$B$9:$C$1500,2,FALSE))</f>
        <v>#N/A</v>
      </c>
      <c r="F2414" s="142"/>
      <c r="G2414" s="130"/>
      <c r="H2414" s="10"/>
      <c r="I2414" s="10"/>
      <c r="J2414" s="79" t="e">
        <f t="shared" si="179"/>
        <v>#VALUE!</v>
      </c>
      <c r="K2414" s="106"/>
      <c r="L2414" s="141"/>
      <c r="M2414" s="132"/>
      <c r="N2414" s="133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spans="1:24" ht="14.25" customHeight="1">
      <c r="A2415" s="4"/>
      <c r="B2415" s="125">
        <v>46197</v>
      </c>
      <c r="C2415" s="126" t="s">
        <v>973</v>
      </c>
      <c r="D2415" s="188" t="s">
        <v>285</v>
      </c>
      <c r="E2415" s="10" t="str">
        <f>TRIM(VLOOKUP(D2415,TB!$B$9:$C$1500,2,FALSE))</f>
        <v>Misc Cash Purchase</v>
      </c>
      <c r="F2415" s="142" t="s">
        <v>974</v>
      </c>
      <c r="G2415" s="130"/>
      <c r="H2415" s="10">
        <v>260000</v>
      </c>
      <c r="I2415" s="10"/>
      <c r="J2415" s="79" t="e">
        <f t="shared" si="179"/>
        <v>#VALUE!</v>
      </c>
      <c r="K2415" s="106"/>
      <c r="L2415" s="141"/>
      <c r="M2415" s="132"/>
      <c r="N2415" s="133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spans="1:24" ht="14.25" customHeight="1">
      <c r="A2416" s="4"/>
      <c r="B2416" s="125">
        <v>46197</v>
      </c>
      <c r="C2416" s="126" t="s">
        <v>973</v>
      </c>
      <c r="D2416" s="188" t="s">
        <v>130</v>
      </c>
      <c r="E2416" s="10" t="str">
        <f>TRIM(VLOOKUP(D2416,TB!$B$9:$C$1500,2,FALSE))</f>
        <v>BCA TBB</v>
      </c>
      <c r="F2416" s="142" t="s">
        <v>974</v>
      </c>
      <c r="G2416" s="130"/>
      <c r="H2416" s="10"/>
      <c r="I2416" s="10">
        <f>H2415</f>
        <v>260000</v>
      </c>
      <c r="J2416" s="79" t="e">
        <f t="shared" si="179"/>
        <v>#VALUE!</v>
      </c>
      <c r="K2416" s="106"/>
      <c r="L2416" s="141"/>
      <c r="M2416" s="132"/>
      <c r="N2416" s="133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spans="1:24" ht="14.25" customHeight="1">
      <c r="A2417" s="4"/>
      <c r="B2417" s="125"/>
      <c r="C2417" s="126"/>
      <c r="D2417" s="159"/>
      <c r="E2417" s="10" t="e">
        <f>TRIM(VLOOKUP(D2417,TB!$B$9:$C$1500,2,FALSE))</f>
        <v>#N/A</v>
      </c>
      <c r="F2417" s="142"/>
      <c r="G2417" s="130"/>
      <c r="H2417" s="10"/>
      <c r="I2417" s="10"/>
      <c r="J2417" s="79" t="e">
        <f t="shared" si="179"/>
        <v>#VALUE!</v>
      </c>
      <c r="K2417" s="106"/>
      <c r="L2417" s="141"/>
      <c r="M2417" s="132"/>
      <c r="N2417" s="133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spans="1:24" ht="14.25" customHeight="1">
      <c r="A2418" s="4"/>
      <c r="B2418" s="125">
        <v>46197</v>
      </c>
      <c r="C2418" s="126" t="s">
        <v>975</v>
      </c>
      <c r="D2418" s="188" t="s">
        <v>285</v>
      </c>
      <c r="E2418" s="10" t="str">
        <f>TRIM(VLOOKUP(D2418,TB!$B$9:$C$1500,2,FALSE))</f>
        <v>Misc Cash Purchase</v>
      </c>
      <c r="F2418" s="142" t="s">
        <v>976</v>
      </c>
      <c r="G2418" s="130"/>
      <c r="H2418" s="10">
        <v>320000</v>
      </c>
      <c r="I2418" s="10"/>
      <c r="J2418" s="79" t="e">
        <f t="shared" si="179"/>
        <v>#VALUE!</v>
      </c>
      <c r="K2418" s="106"/>
      <c r="L2418" s="141"/>
      <c r="M2418" s="132"/>
      <c r="N2418" s="133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spans="1:24" ht="14.25" customHeight="1">
      <c r="A2419" s="4"/>
      <c r="B2419" s="125">
        <v>46197</v>
      </c>
      <c r="C2419" s="126" t="s">
        <v>975</v>
      </c>
      <c r="D2419" s="188" t="s">
        <v>130</v>
      </c>
      <c r="E2419" s="10" t="str">
        <f>TRIM(VLOOKUP(D2419,TB!$B$9:$C$1500,2,FALSE))</f>
        <v>BCA TBB</v>
      </c>
      <c r="F2419" s="142" t="s">
        <v>976</v>
      </c>
      <c r="G2419" s="130"/>
      <c r="H2419" s="10"/>
      <c r="I2419" s="10">
        <f>H2418</f>
        <v>320000</v>
      </c>
      <c r="J2419" s="79" t="e">
        <f t="shared" si="179"/>
        <v>#VALUE!</v>
      </c>
      <c r="K2419" s="106"/>
      <c r="L2419" s="141"/>
      <c r="M2419" s="132"/>
      <c r="N2419" s="133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spans="1:24" ht="14.25" customHeight="1">
      <c r="A2420" s="4"/>
      <c r="B2420" s="125"/>
      <c r="C2420" s="126"/>
      <c r="D2420" s="159"/>
      <c r="E2420" s="10" t="e">
        <f>TRIM(VLOOKUP(D2420,TB!$B$9:$C$1500,2,FALSE))</f>
        <v>#N/A</v>
      </c>
      <c r="F2420" s="142"/>
      <c r="G2420" s="130"/>
      <c r="H2420" s="10"/>
      <c r="I2420" s="10"/>
      <c r="J2420" s="79" t="e">
        <f t="shared" si="179"/>
        <v>#VALUE!</v>
      </c>
      <c r="K2420" s="106"/>
      <c r="L2420" s="141"/>
      <c r="M2420" s="132"/>
      <c r="N2420" s="133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spans="1:24" ht="14.25" customHeight="1">
      <c r="A2421" s="4"/>
      <c r="B2421" s="125">
        <v>46197</v>
      </c>
      <c r="C2421" s="126" t="s">
        <v>977</v>
      </c>
      <c r="D2421" s="188" t="s">
        <v>285</v>
      </c>
      <c r="E2421" s="10" t="str">
        <f>TRIM(VLOOKUP(D2421,TB!$B$9:$C$1500,2,FALSE))</f>
        <v>Misc Cash Purchase</v>
      </c>
      <c r="F2421" s="142" t="s">
        <v>978</v>
      </c>
      <c r="G2421" s="130"/>
      <c r="H2421" s="10">
        <v>80000</v>
      </c>
      <c r="I2421" s="10"/>
      <c r="J2421" s="79" t="e">
        <f t="shared" si="179"/>
        <v>#VALUE!</v>
      </c>
      <c r="K2421" s="106"/>
      <c r="L2421" s="141"/>
      <c r="M2421" s="132"/>
      <c r="N2421" s="133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spans="1:24" ht="14.25" customHeight="1">
      <c r="A2422" s="4"/>
      <c r="B2422" s="125">
        <v>46197</v>
      </c>
      <c r="C2422" s="126" t="s">
        <v>977</v>
      </c>
      <c r="D2422" s="188" t="s">
        <v>130</v>
      </c>
      <c r="E2422" s="10" t="str">
        <f>TRIM(VLOOKUP(D2422,TB!$B$9:$C$1500,2,FALSE))</f>
        <v>BCA TBB</v>
      </c>
      <c r="F2422" s="142" t="s">
        <v>978</v>
      </c>
      <c r="G2422" s="130"/>
      <c r="H2422" s="10"/>
      <c r="I2422" s="10">
        <f>H2421</f>
        <v>80000</v>
      </c>
      <c r="J2422" s="79" t="e">
        <f t="shared" si="179"/>
        <v>#VALUE!</v>
      </c>
      <c r="K2422" s="106"/>
      <c r="L2422" s="141"/>
      <c r="M2422" s="132"/>
      <c r="N2422" s="133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spans="1:24" ht="14.25" customHeight="1">
      <c r="A2423" s="4"/>
      <c r="B2423" s="125"/>
      <c r="C2423" s="126"/>
      <c r="D2423" s="159"/>
      <c r="E2423" s="10" t="e">
        <f>TRIM(VLOOKUP(D2423,TB!$B$9:$C$1500,2,FALSE))</f>
        <v>#N/A</v>
      </c>
      <c r="F2423" s="142"/>
      <c r="G2423" s="130"/>
      <c r="H2423" s="10"/>
      <c r="I2423" s="10"/>
      <c r="J2423" s="79" t="e">
        <f t="shared" si="179"/>
        <v>#VALUE!</v>
      </c>
      <c r="K2423" s="106"/>
      <c r="L2423" s="141"/>
      <c r="M2423" s="132"/>
      <c r="N2423" s="133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spans="1:24" ht="14.25" customHeight="1">
      <c r="A2424" s="4"/>
      <c r="B2424" s="125">
        <v>46197</v>
      </c>
      <c r="C2424" s="126" t="s">
        <v>979</v>
      </c>
      <c r="D2424" s="188" t="s">
        <v>285</v>
      </c>
      <c r="E2424" s="10" t="str">
        <f>TRIM(VLOOKUP(D2424,TB!$B$9:$C$1500,2,FALSE))</f>
        <v>Misc Cash Purchase</v>
      </c>
      <c r="F2424" s="142" t="s">
        <v>980</v>
      </c>
      <c r="G2424" s="130"/>
      <c r="H2424" s="10">
        <v>99900</v>
      </c>
      <c r="I2424" s="10"/>
      <c r="J2424" s="79" t="e">
        <f t="shared" si="179"/>
        <v>#VALUE!</v>
      </c>
      <c r="K2424" s="106"/>
      <c r="L2424" s="141"/>
      <c r="M2424" s="132"/>
      <c r="N2424" s="133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spans="1:24" ht="14.25" customHeight="1">
      <c r="A2425" s="4"/>
      <c r="B2425" s="125">
        <v>46197</v>
      </c>
      <c r="C2425" s="126" t="s">
        <v>979</v>
      </c>
      <c r="D2425" s="188" t="s">
        <v>130</v>
      </c>
      <c r="E2425" s="10" t="str">
        <f>TRIM(VLOOKUP(D2425,TB!$B$9:$C$1500,2,FALSE))</f>
        <v>BCA TBB</v>
      </c>
      <c r="F2425" s="142" t="s">
        <v>980</v>
      </c>
      <c r="G2425" s="130"/>
      <c r="H2425" s="10"/>
      <c r="I2425" s="10">
        <f>H2424</f>
        <v>99900</v>
      </c>
      <c r="J2425" s="79" t="e">
        <f t="shared" si="179"/>
        <v>#VALUE!</v>
      </c>
      <c r="K2425" s="106"/>
      <c r="L2425" s="141"/>
      <c r="M2425" s="132"/>
      <c r="N2425" s="133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spans="1:24" ht="14.25" customHeight="1">
      <c r="A2426" s="4"/>
      <c r="B2426" s="125"/>
      <c r="C2426" s="126"/>
      <c r="D2426" s="159"/>
      <c r="E2426" s="10" t="e">
        <f>TRIM(VLOOKUP(D2426,TB!$B$9:$C$1500,2,FALSE))</f>
        <v>#N/A</v>
      </c>
      <c r="F2426" s="142"/>
      <c r="G2426" s="130"/>
      <c r="H2426" s="10"/>
      <c r="I2426" s="10"/>
      <c r="J2426" s="79" t="e">
        <f t="shared" si="179"/>
        <v>#VALUE!</v>
      </c>
      <c r="K2426" s="106"/>
      <c r="L2426" s="141"/>
      <c r="M2426" s="132"/>
      <c r="N2426" s="133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spans="1:24" ht="14.25" customHeight="1">
      <c r="A2427" s="4"/>
      <c r="B2427" s="125">
        <v>46197</v>
      </c>
      <c r="C2427" s="126" t="s">
        <v>981</v>
      </c>
      <c r="D2427" s="188" t="s">
        <v>285</v>
      </c>
      <c r="E2427" s="10" t="str">
        <f>TRIM(VLOOKUP(D2427,TB!$B$9:$C$1500,2,FALSE))</f>
        <v>Misc Cash Purchase</v>
      </c>
      <c r="F2427" s="142" t="s">
        <v>982</v>
      </c>
      <c r="G2427" s="130"/>
      <c r="H2427" s="10">
        <v>99900</v>
      </c>
      <c r="I2427" s="10"/>
      <c r="J2427" s="79" t="e">
        <f t="shared" si="179"/>
        <v>#VALUE!</v>
      </c>
      <c r="K2427" s="106"/>
      <c r="L2427" s="141"/>
      <c r="M2427" s="132"/>
      <c r="N2427" s="133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spans="1:24" ht="14.25" customHeight="1">
      <c r="A2428" s="4"/>
      <c r="B2428" s="125">
        <v>46197</v>
      </c>
      <c r="C2428" s="126" t="s">
        <v>981</v>
      </c>
      <c r="D2428" s="188" t="s">
        <v>130</v>
      </c>
      <c r="E2428" s="10" t="str">
        <f>TRIM(VLOOKUP(D2428,TB!$B$9:$C$1500,2,FALSE))</f>
        <v>BCA TBB</v>
      </c>
      <c r="F2428" s="142" t="s">
        <v>982</v>
      </c>
      <c r="G2428" s="130"/>
      <c r="H2428" s="10"/>
      <c r="I2428" s="10">
        <f>H2427</f>
        <v>99900</v>
      </c>
      <c r="J2428" s="79" t="e">
        <f t="shared" si="179"/>
        <v>#VALUE!</v>
      </c>
      <c r="K2428" s="106"/>
      <c r="L2428" s="141"/>
      <c r="M2428" s="132"/>
      <c r="N2428" s="133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spans="1:24" ht="14.25" customHeight="1">
      <c r="A2429" s="4"/>
      <c r="B2429" s="125"/>
      <c r="C2429" s="126"/>
      <c r="D2429" s="159"/>
      <c r="E2429" s="10" t="e">
        <f>TRIM(VLOOKUP(D2429,TB!$B$9:$C$1500,2,FALSE))</f>
        <v>#N/A</v>
      </c>
      <c r="F2429" s="142"/>
      <c r="G2429" s="130"/>
      <c r="H2429" s="10"/>
      <c r="I2429" s="10"/>
      <c r="J2429" s="79" t="e">
        <f t="shared" si="179"/>
        <v>#VALUE!</v>
      </c>
      <c r="K2429" s="106"/>
      <c r="L2429" s="141"/>
      <c r="M2429" s="132"/>
      <c r="N2429" s="133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spans="1:24" ht="14.25" customHeight="1">
      <c r="A2430" s="4"/>
      <c r="B2430" s="125">
        <v>46198</v>
      </c>
      <c r="C2430" s="126" t="s">
        <v>983</v>
      </c>
      <c r="D2430" s="68" t="s">
        <v>130</v>
      </c>
      <c r="E2430" s="10" t="str">
        <f>TRIM(VLOOKUP(D2430,TB!$B$9:$C$1500,2,FALSE))</f>
        <v>BCA TBB</v>
      </c>
      <c r="F2430" s="142" t="s">
        <v>984</v>
      </c>
      <c r="G2430" s="130"/>
      <c r="H2430" s="10">
        <f>I2432-H2431</f>
        <v>2200669.8560000001</v>
      </c>
      <c r="I2430" s="10"/>
      <c r="J2430" s="79" t="e">
        <f t="shared" si="179"/>
        <v>#VALUE!</v>
      </c>
      <c r="K2430" s="106"/>
      <c r="L2430" s="141"/>
      <c r="M2430" s="132"/>
      <c r="N2430" s="133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spans="1:24" ht="14.25" customHeight="1">
      <c r="A2431" s="4"/>
      <c r="B2431" s="125">
        <v>46198</v>
      </c>
      <c r="C2431" s="126" t="s">
        <v>983</v>
      </c>
      <c r="D2431" s="15" t="s">
        <v>124</v>
      </c>
      <c r="E2431" s="10" t="str">
        <f>TRIM(VLOOKUP(D2431,TB!$B$9:$C$1500,2,FALSE))</f>
        <v>Bank charges</v>
      </c>
      <c r="F2431" s="142" t="s">
        <v>984</v>
      </c>
      <c r="G2431" s="130"/>
      <c r="H2431" s="155">
        <f>I2432*1.8%</f>
        <v>40338.144000000008</v>
      </c>
      <c r="I2431" s="10"/>
      <c r="J2431" s="79" t="e">
        <f t="shared" si="179"/>
        <v>#VALUE!</v>
      </c>
      <c r="K2431" s="106"/>
      <c r="L2431" s="141"/>
      <c r="M2431" s="132"/>
      <c r="N2431" s="133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spans="1:24" ht="14.25" customHeight="1">
      <c r="A2432" s="4"/>
      <c r="B2432" s="125">
        <v>46198</v>
      </c>
      <c r="C2432" s="126" t="s">
        <v>983</v>
      </c>
      <c r="D2432" s="15" t="s">
        <v>42</v>
      </c>
      <c r="E2432" s="10" t="str">
        <f>TRIM(VLOOKUP(D2432,TB!$B$9:$C$1500,2,FALSE))</f>
        <v>BCA Card TBB</v>
      </c>
      <c r="F2432" s="142" t="s">
        <v>984</v>
      </c>
      <c r="G2432" s="130"/>
      <c r="H2432" s="10"/>
      <c r="I2432" s="10">
        <v>2241008</v>
      </c>
      <c r="J2432" s="79" t="e">
        <f t="shared" si="179"/>
        <v>#VALUE!</v>
      </c>
      <c r="K2432" s="106"/>
      <c r="L2432" s="141"/>
      <c r="M2432" s="132"/>
      <c r="N2432" s="133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spans="1:24" ht="14.25" customHeight="1">
      <c r="A2433" s="4"/>
      <c r="B2433" s="125"/>
      <c r="C2433" s="126"/>
      <c r="D2433" s="159"/>
      <c r="E2433" s="10" t="e">
        <f>TRIM(VLOOKUP(D2433,TB!$B$9:$C$1500,2,FALSE))</f>
        <v>#N/A</v>
      </c>
      <c r="F2433" s="142"/>
      <c r="G2433" s="130"/>
      <c r="H2433" s="10"/>
      <c r="I2433" s="10"/>
      <c r="J2433" s="79" t="e">
        <f t="shared" si="179"/>
        <v>#VALUE!</v>
      </c>
      <c r="K2433" s="106"/>
      <c r="L2433" s="141"/>
      <c r="M2433" s="132"/>
      <c r="N2433" s="133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spans="1:24" ht="14.25" customHeight="1">
      <c r="A2434" s="4"/>
      <c r="B2434" s="125">
        <v>46198</v>
      </c>
      <c r="C2434" s="126" t="s">
        <v>985</v>
      </c>
      <c r="D2434" s="68" t="s">
        <v>130</v>
      </c>
      <c r="E2434" s="10" t="str">
        <f>TRIM(VLOOKUP(D2434,TB!$B$9:$C$1500,2,FALSE))</f>
        <v>BCA TBB</v>
      </c>
      <c r="F2434" s="142" t="s">
        <v>986</v>
      </c>
      <c r="G2434" s="130"/>
      <c r="H2434" s="10">
        <f>I2436-H2435</f>
        <v>537453.51</v>
      </c>
      <c r="I2434" s="10"/>
      <c r="J2434" s="79" t="e">
        <f t="shared" si="179"/>
        <v>#VALUE!</v>
      </c>
      <c r="K2434" s="106"/>
      <c r="L2434" s="141"/>
      <c r="M2434" s="132"/>
      <c r="N2434" s="133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spans="1:24" ht="14.25" customHeight="1">
      <c r="A2435" s="4"/>
      <c r="B2435" s="125">
        <v>46198</v>
      </c>
      <c r="C2435" s="126" t="s">
        <v>985</v>
      </c>
      <c r="D2435" s="15" t="s">
        <v>124</v>
      </c>
      <c r="E2435" s="10" t="str">
        <f>TRIM(VLOOKUP(D2435,TB!$B$9:$C$1500,2,FALSE))</f>
        <v>Bank charges</v>
      </c>
      <c r="F2435" s="142" t="s">
        <v>986</v>
      </c>
      <c r="G2435" s="130"/>
      <c r="H2435" s="155">
        <f>I2436*1.8%</f>
        <v>9851.4900000000016</v>
      </c>
      <c r="I2435" s="10"/>
      <c r="J2435" s="79" t="e">
        <f t="shared" si="179"/>
        <v>#VALUE!</v>
      </c>
      <c r="K2435" s="106"/>
      <c r="L2435" s="141"/>
      <c r="M2435" s="132"/>
      <c r="N2435" s="133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spans="1:24" ht="14.25" customHeight="1">
      <c r="A2436" s="4"/>
      <c r="B2436" s="125">
        <v>46198</v>
      </c>
      <c r="C2436" s="126" t="s">
        <v>985</v>
      </c>
      <c r="D2436" s="15" t="s">
        <v>42</v>
      </c>
      <c r="E2436" s="10" t="str">
        <f>TRIM(VLOOKUP(D2436,TB!$B$9:$C$1500,2,FALSE))</f>
        <v>BCA Card TBB</v>
      </c>
      <c r="F2436" s="142" t="s">
        <v>986</v>
      </c>
      <c r="G2436" s="130"/>
      <c r="H2436" s="10"/>
      <c r="I2436" s="10">
        <v>547305</v>
      </c>
      <c r="J2436" s="79" t="e">
        <f t="shared" si="179"/>
        <v>#VALUE!</v>
      </c>
      <c r="K2436" s="106"/>
      <c r="L2436" s="141"/>
      <c r="M2436" s="132"/>
      <c r="N2436" s="133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spans="1:24" ht="14.25" customHeight="1">
      <c r="A2437" s="4"/>
      <c r="B2437" s="125"/>
      <c r="C2437" s="126"/>
      <c r="D2437" s="159"/>
      <c r="E2437" s="10" t="e">
        <f>TRIM(VLOOKUP(D2437,TB!$B$9:$C$1500,2,FALSE))</f>
        <v>#N/A</v>
      </c>
      <c r="F2437" s="142"/>
      <c r="G2437" s="130"/>
      <c r="H2437" s="10"/>
      <c r="I2437" s="10"/>
      <c r="J2437" s="79" t="e">
        <f t="shared" si="179"/>
        <v>#VALUE!</v>
      </c>
      <c r="K2437" s="106"/>
      <c r="L2437" s="141"/>
      <c r="M2437" s="132"/>
      <c r="N2437" s="133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spans="1:24" ht="14.25" customHeight="1">
      <c r="A2438" s="4"/>
      <c r="B2438" s="125">
        <v>46198</v>
      </c>
      <c r="C2438" s="126" t="s">
        <v>987</v>
      </c>
      <c r="D2438" s="68" t="s">
        <v>130</v>
      </c>
      <c r="E2438" s="10" t="str">
        <f>TRIM(VLOOKUP(D2438,TB!$B$9:$C$1500,2,FALSE))</f>
        <v>BCA TBB</v>
      </c>
      <c r="F2438" s="142" t="s">
        <v>988</v>
      </c>
      <c r="G2438" s="130"/>
      <c r="H2438" s="10">
        <f>I2440-H2439</f>
        <v>4194449.0060000001</v>
      </c>
      <c r="I2438" s="10"/>
      <c r="J2438" s="79" t="e">
        <f t="shared" si="179"/>
        <v>#VALUE!</v>
      </c>
      <c r="K2438" s="106"/>
      <c r="L2438" s="141"/>
      <c r="M2438" s="132"/>
      <c r="N2438" s="133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spans="1:24" ht="14.25" customHeight="1">
      <c r="A2439" s="4"/>
      <c r="B2439" s="125">
        <v>46198</v>
      </c>
      <c r="C2439" s="126" t="s">
        <v>987</v>
      </c>
      <c r="D2439" s="15" t="s">
        <v>124</v>
      </c>
      <c r="E2439" s="10" t="str">
        <f>TRIM(VLOOKUP(D2439,TB!$B$9:$C$1500,2,FALSE))</f>
        <v>Bank charges</v>
      </c>
      <c r="F2439" s="142" t="s">
        <v>988</v>
      </c>
      <c r="G2439" s="130"/>
      <c r="H2439" s="155">
        <f>I2440*1.8%</f>
        <v>76883.994000000006</v>
      </c>
      <c r="I2439" s="10"/>
      <c r="J2439" s="79" t="e">
        <f t="shared" si="179"/>
        <v>#VALUE!</v>
      </c>
      <c r="K2439" s="106"/>
      <c r="L2439" s="141"/>
      <c r="M2439" s="132"/>
      <c r="N2439" s="133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spans="1:24" ht="14.25" customHeight="1">
      <c r="A2440" s="4"/>
      <c r="B2440" s="125">
        <v>46198</v>
      </c>
      <c r="C2440" s="126" t="s">
        <v>987</v>
      </c>
      <c r="D2440" s="15" t="s">
        <v>42</v>
      </c>
      <c r="E2440" s="10" t="str">
        <f>TRIM(VLOOKUP(D2440,TB!$B$9:$C$1500,2,FALSE))</f>
        <v>BCA Card TBB</v>
      </c>
      <c r="F2440" s="142" t="s">
        <v>988</v>
      </c>
      <c r="G2440" s="130"/>
      <c r="H2440" s="10"/>
      <c r="I2440" s="10">
        <v>4271333</v>
      </c>
      <c r="J2440" s="79" t="e">
        <f t="shared" si="179"/>
        <v>#VALUE!</v>
      </c>
      <c r="K2440" s="106"/>
      <c r="L2440" s="141"/>
      <c r="M2440" s="132"/>
      <c r="N2440" s="133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spans="1:24" ht="14.25" customHeight="1">
      <c r="A2441" s="4"/>
      <c r="B2441" s="125"/>
      <c r="C2441" s="126"/>
      <c r="D2441" s="159"/>
      <c r="E2441" s="10" t="e">
        <f>TRIM(VLOOKUP(D2441,TB!$B$9:$C$1500,2,FALSE))</f>
        <v>#N/A</v>
      </c>
      <c r="F2441" s="142"/>
      <c r="G2441" s="130"/>
      <c r="H2441" s="10"/>
      <c r="I2441" s="10"/>
      <c r="J2441" s="79" t="e">
        <f t="shared" si="179"/>
        <v>#VALUE!</v>
      </c>
      <c r="K2441" s="106"/>
      <c r="L2441" s="141"/>
      <c r="M2441" s="132"/>
      <c r="N2441" s="133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spans="1:24" ht="14.25" customHeight="1">
      <c r="A2442" s="4"/>
      <c r="B2442" s="125">
        <v>46198</v>
      </c>
      <c r="C2442" s="126" t="s">
        <v>989</v>
      </c>
      <c r="D2442" s="15" t="s">
        <v>188</v>
      </c>
      <c r="E2442" s="10" t="str">
        <f>TRIM(VLOOKUP(D2442,TB!$B$9:$C$1500,2,FALSE))</f>
        <v>Advertising Costs</v>
      </c>
      <c r="F2442" s="142" t="s">
        <v>990</v>
      </c>
      <c r="G2442" s="130"/>
      <c r="H2442" s="10">
        <v>1400000</v>
      </c>
      <c r="I2442" s="10"/>
      <c r="J2442" s="79" t="e">
        <f t="shared" si="179"/>
        <v>#VALUE!</v>
      </c>
      <c r="K2442" s="106"/>
      <c r="L2442" s="141"/>
      <c r="M2442" s="132"/>
      <c r="N2442" s="133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spans="1:24" ht="14.25" customHeight="1">
      <c r="A2443" s="4"/>
      <c r="B2443" s="125">
        <v>46198</v>
      </c>
      <c r="C2443" s="126" t="s">
        <v>989</v>
      </c>
      <c r="D2443" s="15" t="s">
        <v>124</v>
      </c>
      <c r="E2443" s="10" t="str">
        <f>TRIM(VLOOKUP(D2443,TB!$B$9:$C$1500,2,FALSE))</f>
        <v>Bank charges</v>
      </c>
      <c r="F2443" s="142" t="s">
        <v>990</v>
      </c>
      <c r="G2443" s="130"/>
      <c r="H2443" s="10">
        <v>1000</v>
      </c>
      <c r="I2443" s="10"/>
      <c r="J2443" s="79" t="e">
        <f t="shared" si="179"/>
        <v>#VALUE!</v>
      </c>
      <c r="K2443" s="106"/>
      <c r="L2443" s="141"/>
      <c r="M2443" s="132"/>
      <c r="N2443" s="133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spans="1:24" ht="14.25" customHeight="1">
      <c r="A2444" s="4"/>
      <c r="B2444" s="125">
        <v>46198</v>
      </c>
      <c r="C2444" s="126" t="s">
        <v>989</v>
      </c>
      <c r="D2444" s="68" t="s">
        <v>130</v>
      </c>
      <c r="E2444" s="10" t="str">
        <f>TRIM(VLOOKUP(D2444,TB!$B$9:$C$1500,2,FALSE))</f>
        <v>BCA TBB</v>
      </c>
      <c r="F2444" s="142" t="s">
        <v>990</v>
      </c>
      <c r="G2444" s="130"/>
      <c r="H2444" s="10"/>
      <c r="I2444" s="10">
        <f>SUM(H2442:H2443)</f>
        <v>1401000</v>
      </c>
      <c r="J2444" s="79" t="e">
        <f t="shared" si="179"/>
        <v>#VALUE!</v>
      </c>
      <c r="K2444" s="106"/>
      <c r="L2444" s="141"/>
      <c r="M2444" s="132"/>
      <c r="N2444" s="133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spans="1:24" ht="14.25" customHeight="1">
      <c r="A2445" s="4"/>
      <c r="B2445" s="125"/>
      <c r="C2445" s="126"/>
      <c r="D2445" s="159"/>
      <c r="E2445" s="10" t="e">
        <f>TRIM(VLOOKUP(D2445,TB!$B$9:$C$1500,2,FALSE))</f>
        <v>#N/A</v>
      </c>
      <c r="F2445" s="142"/>
      <c r="G2445" s="130"/>
      <c r="H2445" s="10"/>
      <c r="I2445" s="10"/>
      <c r="J2445" s="79" t="e">
        <f t="shared" si="179"/>
        <v>#VALUE!</v>
      </c>
      <c r="K2445" s="106"/>
      <c r="L2445" s="141"/>
      <c r="M2445" s="132"/>
      <c r="N2445" s="133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spans="1:24" ht="14.25" customHeight="1">
      <c r="A2446" s="4"/>
      <c r="B2446" s="125">
        <v>46198</v>
      </c>
      <c r="C2446" s="126" t="s">
        <v>991</v>
      </c>
      <c r="D2446" s="68" t="s">
        <v>158</v>
      </c>
      <c r="E2446" s="10" t="str">
        <f>TRIM(VLOOKUP(D2446,TB!$B$9:$C$1500,2,FALSE))</f>
        <v>Mandiri TBB IDR</v>
      </c>
      <c r="F2446" s="142" t="s">
        <v>992</v>
      </c>
      <c r="G2446" s="130"/>
      <c r="H2446" s="10">
        <v>29790000</v>
      </c>
      <c r="I2446" s="10"/>
      <c r="J2446" s="79" t="e">
        <f t="shared" si="179"/>
        <v>#VALUE!</v>
      </c>
      <c r="K2446" s="106"/>
      <c r="L2446" s="141"/>
      <c r="M2446" s="132"/>
      <c r="N2446" s="133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spans="1:24" ht="14.25" customHeight="1">
      <c r="A2447" s="4"/>
      <c r="B2447" s="125">
        <v>46198</v>
      </c>
      <c r="C2447" s="126" t="s">
        <v>991</v>
      </c>
      <c r="D2447" s="15" t="s">
        <v>124</v>
      </c>
      <c r="E2447" s="10" t="str">
        <f>TRIM(VLOOKUP(D2447,TB!$B$9:$C$1500,2,FALSE))</f>
        <v>Bank charges</v>
      </c>
      <c r="F2447" s="142" t="s">
        <v>992</v>
      </c>
      <c r="G2447" s="130"/>
      <c r="H2447" s="10">
        <v>2500</v>
      </c>
      <c r="I2447" s="10"/>
      <c r="J2447" s="79" t="e">
        <f t="shared" si="179"/>
        <v>#VALUE!</v>
      </c>
      <c r="K2447" s="106"/>
      <c r="L2447" s="141"/>
      <c r="M2447" s="132"/>
      <c r="N2447" s="133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spans="1:24" ht="14.25" customHeight="1">
      <c r="A2448" s="4"/>
      <c r="B2448" s="125">
        <v>46198</v>
      </c>
      <c r="C2448" s="126" t="s">
        <v>991</v>
      </c>
      <c r="D2448" s="68" t="s">
        <v>130</v>
      </c>
      <c r="E2448" s="10" t="str">
        <f>TRIM(VLOOKUP(D2448,TB!$B$9:$C$1500,2,FALSE))</f>
        <v>BCA TBB</v>
      </c>
      <c r="F2448" s="142" t="s">
        <v>992</v>
      </c>
      <c r="G2448" s="130"/>
      <c r="H2448" s="10"/>
      <c r="I2448" s="10">
        <f>SUM(H2446:H2447)</f>
        <v>29792500</v>
      </c>
      <c r="J2448" s="79" t="e">
        <f t="shared" si="179"/>
        <v>#VALUE!</v>
      </c>
      <c r="K2448" s="106"/>
      <c r="L2448" s="141"/>
      <c r="M2448" s="132"/>
      <c r="N2448" s="133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spans="1:24" ht="14.25" customHeight="1">
      <c r="A2449" s="4"/>
      <c r="B2449" s="125"/>
      <c r="C2449" s="126"/>
      <c r="D2449" s="159"/>
      <c r="E2449" s="10" t="e">
        <f>TRIM(VLOOKUP(D2449,TB!$B$9:$C$1500,2,FALSE))</f>
        <v>#N/A</v>
      </c>
      <c r="F2449" s="142"/>
      <c r="G2449" s="130"/>
      <c r="H2449" s="10"/>
      <c r="I2449" s="10"/>
      <c r="J2449" s="79" t="e">
        <f t="shared" si="179"/>
        <v>#VALUE!</v>
      </c>
      <c r="K2449" s="106"/>
      <c r="L2449" s="141"/>
      <c r="M2449" s="132"/>
      <c r="N2449" s="133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spans="1:24" ht="14.25" customHeight="1">
      <c r="A2450" s="4"/>
      <c r="B2450" s="125">
        <v>46199</v>
      </c>
      <c r="C2450" s="126" t="s">
        <v>993</v>
      </c>
      <c r="D2450" s="68" t="s">
        <v>130</v>
      </c>
      <c r="E2450" s="10" t="str">
        <f>TRIM(VLOOKUP(D2450,TB!$B$9:$C$1500,2,FALSE))</f>
        <v>BCA TBB</v>
      </c>
      <c r="F2450" s="142" t="s">
        <v>994</v>
      </c>
      <c r="G2450" s="130"/>
      <c r="H2450" s="10">
        <f>I2452-H2451</f>
        <v>5547907.2000000002</v>
      </c>
      <c r="I2450" s="10"/>
      <c r="J2450" s="79" t="e">
        <f t="shared" si="179"/>
        <v>#VALUE!</v>
      </c>
      <c r="K2450" s="106"/>
      <c r="L2450" s="141"/>
      <c r="M2450" s="132"/>
      <c r="N2450" s="133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spans="1:24" ht="14.25" customHeight="1">
      <c r="A2451" s="4"/>
      <c r="B2451" s="125">
        <v>46199</v>
      </c>
      <c r="C2451" s="126" t="s">
        <v>993</v>
      </c>
      <c r="D2451" s="15" t="s">
        <v>124</v>
      </c>
      <c r="E2451" s="10" t="str">
        <f>TRIM(VLOOKUP(D2451,TB!$B$9:$C$1500,2,FALSE))</f>
        <v>Bank charges</v>
      </c>
      <c r="F2451" s="142" t="s">
        <v>994</v>
      </c>
      <c r="G2451" s="130"/>
      <c r="H2451" s="155">
        <f>I2452*1.8%</f>
        <v>101692.80000000002</v>
      </c>
      <c r="I2451" s="10"/>
      <c r="J2451" s="79" t="e">
        <f t="shared" si="179"/>
        <v>#VALUE!</v>
      </c>
      <c r="K2451" s="106"/>
      <c r="L2451" s="141"/>
      <c r="M2451" s="132"/>
      <c r="N2451" s="133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spans="1:24" ht="14.25" customHeight="1">
      <c r="A2452" s="4"/>
      <c r="B2452" s="125">
        <v>46199</v>
      </c>
      <c r="C2452" s="126" t="s">
        <v>993</v>
      </c>
      <c r="D2452" s="15" t="s">
        <v>42</v>
      </c>
      <c r="E2452" s="10" t="str">
        <f>TRIM(VLOOKUP(D2452,TB!$B$9:$C$1500,2,FALSE))</f>
        <v>BCA Card TBB</v>
      </c>
      <c r="F2452" s="142" t="s">
        <v>994</v>
      </c>
      <c r="G2452" s="130"/>
      <c r="H2452" s="10"/>
      <c r="I2452" s="10">
        <v>5649600</v>
      </c>
      <c r="J2452" s="79" t="e">
        <f t="shared" si="179"/>
        <v>#VALUE!</v>
      </c>
      <c r="K2452" s="106"/>
      <c r="L2452" s="141"/>
      <c r="M2452" s="132"/>
      <c r="N2452" s="133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spans="1:24" ht="14.25" customHeight="1">
      <c r="A2453" s="4"/>
      <c r="B2453" s="125"/>
      <c r="C2453" s="126"/>
      <c r="D2453" s="159"/>
      <c r="E2453" s="10" t="e">
        <f>TRIM(VLOOKUP(D2453,TB!$B$9:$C$1500,2,FALSE))</f>
        <v>#N/A</v>
      </c>
      <c r="F2453" s="142"/>
      <c r="G2453" s="130"/>
      <c r="H2453" s="10"/>
      <c r="I2453" s="10"/>
      <c r="J2453" s="79" t="e">
        <f t="shared" si="179"/>
        <v>#VALUE!</v>
      </c>
      <c r="K2453" s="106"/>
      <c r="L2453" s="141"/>
      <c r="M2453" s="132"/>
      <c r="N2453" s="133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spans="1:24" ht="14.25" customHeight="1">
      <c r="A2454" s="4"/>
      <c r="B2454" s="125">
        <v>46199</v>
      </c>
      <c r="C2454" s="126" t="s">
        <v>995</v>
      </c>
      <c r="D2454" s="68" t="s">
        <v>130</v>
      </c>
      <c r="E2454" s="10" t="str">
        <f>TRIM(VLOOKUP(D2454,TB!$B$9:$C$1500,2,FALSE))</f>
        <v>BCA TBB</v>
      </c>
      <c r="F2454" s="142" t="s">
        <v>996</v>
      </c>
      <c r="G2454" s="130"/>
      <c r="H2454" s="10">
        <f>I2456-H2455</f>
        <v>231162.8</v>
      </c>
      <c r="I2454" s="10"/>
      <c r="J2454" s="79" t="e">
        <f t="shared" si="179"/>
        <v>#VALUE!</v>
      </c>
      <c r="K2454" s="106"/>
      <c r="L2454" s="141"/>
      <c r="M2454" s="132"/>
      <c r="N2454" s="133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spans="1:24" ht="14.25" customHeight="1">
      <c r="A2455" s="4"/>
      <c r="B2455" s="125">
        <v>46199</v>
      </c>
      <c r="C2455" s="126" t="s">
        <v>995</v>
      </c>
      <c r="D2455" s="15" t="s">
        <v>124</v>
      </c>
      <c r="E2455" s="10" t="str">
        <f>TRIM(VLOOKUP(D2455,TB!$B$9:$C$1500,2,FALSE))</f>
        <v>Bank charges</v>
      </c>
      <c r="F2455" s="142" t="s">
        <v>996</v>
      </c>
      <c r="G2455" s="130"/>
      <c r="H2455" s="155">
        <f>I2456*1.8%</f>
        <v>4237.2000000000007</v>
      </c>
      <c r="I2455" s="10"/>
      <c r="J2455" s="79" t="e">
        <f t="shared" si="179"/>
        <v>#VALUE!</v>
      </c>
      <c r="K2455" s="106"/>
      <c r="L2455" s="141"/>
      <c r="M2455" s="132"/>
      <c r="N2455" s="133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spans="1:24" ht="14.25" customHeight="1">
      <c r="A2456" s="4"/>
      <c r="B2456" s="125">
        <v>46199</v>
      </c>
      <c r="C2456" s="126" t="s">
        <v>995</v>
      </c>
      <c r="D2456" s="15" t="s">
        <v>42</v>
      </c>
      <c r="E2456" s="10" t="str">
        <f>TRIM(VLOOKUP(D2456,TB!$B$9:$C$1500,2,FALSE))</f>
        <v>BCA Card TBB</v>
      </c>
      <c r="F2456" s="142" t="s">
        <v>996</v>
      </c>
      <c r="G2456" s="130"/>
      <c r="H2456" s="10"/>
      <c r="I2456" s="10">
        <v>235400</v>
      </c>
      <c r="J2456" s="79" t="e">
        <f t="shared" si="179"/>
        <v>#VALUE!</v>
      </c>
      <c r="K2456" s="106"/>
      <c r="L2456" s="141"/>
      <c r="M2456" s="132"/>
      <c r="N2456" s="133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spans="1:24" ht="14.25" customHeight="1">
      <c r="A2457" s="4"/>
      <c r="B2457" s="125"/>
      <c r="C2457" s="126"/>
      <c r="D2457" s="159"/>
      <c r="E2457" s="10" t="e">
        <f>TRIM(VLOOKUP(D2457,TB!$B$9:$C$1500,2,FALSE))</f>
        <v>#N/A</v>
      </c>
      <c r="F2457" s="142"/>
      <c r="G2457" s="130"/>
      <c r="H2457" s="10"/>
      <c r="I2457" s="10"/>
      <c r="J2457" s="79" t="e">
        <f t="shared" si="179"/>
        <v>#VALUE!</v>
      </c>
      <c r="K2457" s="106"/>
      <c r="L2457" s="141"/>
      <c r="M2457" s="132"/>
      <c r="N2457" s="133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spans="1:24" ht="14.25" customHeight="1">
      <c r="A2458" s="4"/>
      <c r="B2458" s="125">
        <v>46199</v>
      </c>
      <c r="C2458" s="126" t="s">
        <v>997</v>
      </c>
      <c r="D2458" s="68" t="s">
        <v>130</v>
      </c>
      <c r="E2458" s="10" t="str">
        <f>TRIM(VLOOKUP(D2458,TB!$B$9:$C$1500,2,FALSE))</f>
        <v>BCA TBB</v>
      </c>
      <c r="F2458" s="142" t="s">
        <v>998</v>
      </c>
      <c r="G2458" s="130"/>
      <c r="H2458" s="10">
        <f>I2460-H2459</f>
        <v>156034.89000000001</v>
      </c>
      <c r="I2458" s="10"/>
      <c r="J2458" s="79" t="e">
        <f t="shared" si="179"/>
        <v>#VALUE!</v>
      </c>
      <c r="K2458" s="106"/>
      <c r="L2458" s="141"/>
      <c r="M2458" s="132"/>
      <c r="N2458" s="133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spans="1:24" ht="14.25" customHeight="1">
      <c r="A2459" s="4"/>
      <c r="B2459" s="125">
        <v>46199</v>
      </c>
      <c r="C2459" s="126" t="s">
        <v>997</v>
      </c>
      <c r="D2459" s="15" t="s">
        <v>124</v>
      </c>
      <c r="E2459" s="10" t="str">
        <f>TRIM(VLOOKUP(D2459,TB!$B$9:$C$1500,2,FALSE))</f>
        <v>Bank charges</v>
      </c>
      <c r="F2459" s="142" t="s">
        <v>998</v>
      </c>
      <c r="G2459" s="130"/>
      <c r="H2459" s="155">
        <f>I2460*1.8%</f>
        <v>2860.11</v>
      </c>
      <c r="I2459" s="10"/>
      <c r="J2459" s="79" t="e">
        <f t="shared" si="179"/>
        <v>#VALUE!</v>
      </c>
      <c r="K2459" s="106"/>
      <c r="L2459" s="141"/>
      <c r="M2459" s="132"/>
      <c r="N2459" s="133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spans="1:24" ht="14.25" customHeight="1">
      <c r="A2460" s="4"/>
      <c r="B2460" s="125">
        <v>46199</v>
      </c>
      <c r="C2460" s="126" t="s">
        <v>997</v>
      </c>
      <c r="D2460" s="15" t="s">
        <v>42</v>
      </c>
      <c r="E2460" s="10" t="str">
        <f>TRIM(VLOOKUP(D2460,TB!$B$9:$C$1500,2,FALSE))</f>
        <v>BCA Card TBB</v>
      </c>
      <c r="F2460" s="142" t="s">
        <v>998</v>
      </c>
      <c r="G2460" s="130"/>
      <c r="H2460" s="10"/>
      <c r="I2460" s="10">
        <v>158895</v>
      </c>
      <c r="J2460" s="79" t="e">
        <f t="shared" si="179"/>
        <v>#VALUE!</v>
      </c>
      <c r="K2460" s="106"/>
      <c r="L2460" s="141"/>
      <c r="M2460" s="132"/>
      <c r="N2460" s="133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spans="1:24" ht="14.25" customHeight="1">
      <c r="A2461" s="4"/>
      <c r="B2461" s="125"/>
      <c r="C2461" s="126"/>
      <c r="D2461" s="159"/>
      <c r="E2461" s="10" t="e">
        <f>TRIM(VLOOKUP(D2461,TB!$B$9:$C$1500,2,FALSE))</f>
        <v>#N/A</v>
      </c>
      <c r="F2461" s="142"/>
      <c r="G2461" s="130"/>
      <c r="H2461" s="10"/>
      <c r="I2461" s="10"/>
      <c r="J2461" s="79" t="e">
        <f t="shared" si="179"/>
        <v>#VALUE!</v>
      </c>
      <c r="K2461" s="106"/>
      <c r="L2461" s="141"/>
      <c r="M2461" s="132"/>
      <c r="N2461" s="133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spans="1:24" ht="14.25" customHeight="1">
      <c r="A2462" s="4"/>
      <c r="B2462" s="125">
        <v>46199</v>
      </c>
      <c r="C2462" s="126" t="s">
        <v>999</v>
      </c>
      <c r="D2462" s="15" t="s">
        <v>438</v>
      </c>
      <c r="E2462" s="10" t="str">
        <f>TRIM(VLOOKUP(D2462,TB!$B$9:$C$1500,2,FALSE))</f>
        <v>Brochure Flyer Printing</v>
      </c>
      <c r="F2462" s="142" t="s">
        <v>1000</v>
      </c>
      <c r="G2462" s="130"/>
      <c r="H2462" s="10">
        <v>248000</v>
      </c>
      <c r="I2462" s="10"/>
      <c r="J2462" s="79" t="e">
        <f t="shared" si="179"/>
        <v>#VALUE!</v>
      </c>
      <c r="K2462" s="106"/>
      <c r="L2462" s="141"/>
      <c r="M2462" s="132"/>
      <c r="N2462" s="133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spans="1:24" ht="14.25" customHeight="1">
      <c r="A2463" s="4"/>
      <c r="B2463" s="125">
        <v>46199</v>
      </c>
      <c r="C2463" s="126" t="s">
        <v>999</v>
      </c>
      <c r="D2463" s="68" t="s">
        <v>130</v>
      </c>
      <c r="E2463" s="10" t="str">
        <f>TRIM(VLOOKUP(D2463,TB!$B$9:$C$1500,2,FALSE))</f>
        <v>BCA TBB</v>
      </c>
      <c r="F2463" s="142" t="s">
        <v>1000</v>
      </c>
      <c r="G2463" s="130"/>
      <c r="H2463" s="10"/>
      <c r="I2463" s="10">
        <v>248000</v>
      </c>
      <c r="J2463" s="79" t="e">
        <f t="shared" si="179"/>
        <v>#VALUE!</v>
      </c>
      <c r="K2463" s="106"/>
      <c r="L2463" s="141"/>
      <c r="M2463" s="132"/>
      <c r="N2463" s="133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spans="1:24" ht="14.25" customHeight="1">
      <c r="A2464" s="4"/>
      <c r="B2464" s="125"/>
      <c r="C2464" s="126"/>
      <c r="D2464" s="159"/>
      <c r="E2464" s="10" t="e">
        <f>TRIM(VLOOKUP(D2464,TB!$B$9:$C$1500,2,FALSE))</f>
        <v>#N/A</v>
      </c>
      <c r="F2464" s="142"/>
      <c r="G2464" s="130"/>
      <c r="H2464" s="10"/>
      <c r="I2464" s="10"/>
      <c r="J2464" s="79" t="e">
        <f t="shared" si="179"/>
        <v>#VALUE!</v>
      </c>
      <c r="K2464" s="106"/>
      <c r="L2464" s="141"/>
      <c r="M2464" s="132"/>
      <c r="N2464" s="133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spans="1:24" ht="14.25" customHeight="1">
      <c r="A2465" s="4"/>
      <c r="B2465" s="125">
        <v>46199</v>
      </c>
      <c r="C2465" s="126" t="s">
        <v>1001</v>
      </c>
      <c r="D2465" s="68" t="s">
        <v>285</v>
      </c>
      <c r="E2465" s="10" t="str">
        <f>TRIM(VLOOKUP(D2465,TB!$B$9:$C$1500,2,FALSE))</f>
        <v>Misc Cash Purchase</v>
      </c>
      <c r="F2465" s="142" t="s">
        <v>1002</v>
      </c>
      <c r="G2465" s="130"/>
      <c r="H2465" s="10">
        <v>1500000</v>
      </c>
      <c r="I2465" s="10"/>
      <c r="J2465" s="79" t="e">
        <f t="shared" si="179"/>
        <v>#VALUE!</v>
      </c>
      <c r="K2465" s="106"/>
      <c r="L2465" s="141"/>
      <c r="M2465" s="132"/>
      <c r="N2465" s="133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spans="1:24" ht="14.25" customHeight="1">
      <c r="A2466" s="4"/>
      <c r="B2466" s="125">
        <v>46199</v>
      </c>
      <c r="C2466" s="126" t="s">
        <v>1001</v>
      </c>
      <c r="D2466" s="15" t="s">
        <v>124</v>
      </c>
      <c r="E2466" s="10" t="str">
        <f>TRIM(VLOOKUP(D2466,TB!$B$9:$C$1500,2,FALSE))</f>
        <v>Bank charges</v>
      </c>
      <c r="F2466" s="142" t="s">
        <v>1002</v>
      </c>
      <c r="G2466" s="130"/>
      <c r="H2466" s="10">
        <v>2500</v>
      </c>
      <c r="I2466" s="10"/>
      <c r="J2466" s="79" t="e">
        <f t="shared" si="179"/>
        <v>#VALUE!</v>
      </c>
      <c r="K2466" s="106"/>
      <c r="L2466" s="141"/>
      <c r="M2466" s="132"/>
      <c r="N2466" s="133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spans="1:24" ht="14.25" customHeight="1">
      <c r="A2467" s="4"/>
      <c r="B2467" s="125">
        <v>46199</v>
      </c>
      <c r="C2467" s="126" t="s">
        <v>1001</v>
      </c>
      <c r="D2467" s="68" t="s">
        <v>130</v>
      </c>
      <c r="E2467" s="10" t="str">
        <f>TRIM(VLOOKUP(D2467,TB!$B$9:$C$1500,2,FALSE))</f>
        <v>BCA TBB</v>
      </c>
      <c r="F2467" s="142" t="s">
        <v>1002</v>
      </c>
      <c r="G2467" s="130"/>
      <c r="H2467" s="10"/>
      <c r="I2467" s="10">
        <f>SUM(H2465:H2466)</f>
        <v>1502500</v>
      </c>
      <c r="J2467" s="79" t="e">
        <f t="shared" si="179"/>
        <v>#VALUE!</v>
      </c>
      <c r="K2467" s="106"/>
      <c r="L2467" s="141"/>
      <c r="M2467" s="132"/>
      <c r="N2467" s="133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spans="1:24" ht="14.25" customHeight="1">
      <c r="A2468" s="4"/>
      <c r="B2468" s="125"/>
      <c r="C2468" s="126"/>
      <c r="D2468" s="159"/>
      <c r="E2468" s="10" t="e">
        <f>TRIM(VLOOKUP(D2468,TB!$B$9:$C$1500,2,FALSE))</f>
        <v>#N/A</v>
      </c>
      <c r="F2468" s="142"/>
      <c r="G2468" s="130"/>
      <c r="H2468" s="10"/>
      <c r="I2468" s="10"/>
      <c r="J2468" s="79" t="e">
        <f t="shared" si="179"/>
        <v>#VALUE!</v>
      </c>
      <c r="K2468" s="106"/>
      <c r="L2468" s="141"/>
      <c r="M2468" s="132"/>
      <c r="N2468" s="133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spans="1:24" ht="14.25" customHeight="1">
      <c r="A2469" s="4"/>
      <c r="B2469" s="125">
        <v>46199</v>
      </c>
      <c r="C2469" s="126" t="s">
        <v>1003</v>
      </c>
      <c r="D2469" s="68" t="s">
        <v>285</v>
      </c>
      <c r="E2469" s="10" t="str">
        <f>TRIM(VLOOKUP(D2469,TB!$B$9:$C$1500,2,FALSE))</f>
        <v>Misc Cash Purchase</v>
      </c>
      <c r="F2469" s="142" t="s">
        <v>1004</v>
      </c>
      <c r="G2469" s="130"/>
      <c r="H2469" s="10">
        <v>3500000</v>
      </c>
      <c r="I2469" s="10"/>
      <c r="J2469" s="79" t="e">
        <f t="shared" si="179"/>
        <v>#VALUE!</v>
      </c>
      <c r="K2469" s="106"/>
      <c r="L2469" s="141"/>
      <c r="M2469" s="132"/>
      <c r="N2469" s="133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spans="1:24" ht="14.25" customHeight="1">
      <c r="A2470" s="4"/>
      <c r="B2470" s="125">
        <v>46199</v>
      </c>
      <c r="C2470" s="126" t="s">
        <v>1003</v>
      </c>
      <c r="D2470" s="68" t="s">
        <v>130</v>
      </c>
      <c r="E2470" s="10" t="str">
        <f>TRIM(VLOOKUP(D2470,TB!$B$9:$C$1500,2,FALSE))</f>
        <v>BCA TBB</v>
      </c>
      <c r="F2470" s="142" t="s">
        <v>1004</v>
      </c>
      <c r="G2470" s="130"/>
      <c r="H2470" s="10"/>
      <c r="I2470" s="10">
        <v>3500000</v>
      </c>
      <c r="J2470" s="79" t="e">
        <f t="shared" si="179"/>
        <v>#VALUE!</v>
      </c>
      <c r="K2470" s="106"/>
      <c r="L2470" s="141"/>
      <c r="M2470" s="132"/>
      <c r="N2470" s="133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spans="1:24" ht="14.25" customHeight="1">
      <c r="A2471" s="4"/>
      <c r="B2471" s="125"/>
      <c r="C2471" s="126"/>
      <c r="D2471" s="159"/>
      <c r="E2471" s="10" t="e">
        <f>TRIM(VLOOKUP(D2471,TB!$B$9:$C$1500,2,FALSE))</f>
        <v>#N/A</v>
      </c>
      <c r="F2471" s="142"/>
      <c r="G2471" s="130"/>
      <c r="H2471" s="10"/>
      <c r="I2471" s="10"/>
      <c r="J2471" s="79" t="e">
        <f t="shared" si="179"/>
        <v>#VALUE!</v>
      </c>
      <c r="K2471" s="106"/>
      <c r="L2471" s="141"/>
      <c r="M2471" s="132"/>
      <c r="N2471" s="133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spans="1:24" ht="14.25" customHeight="1">
      <c r="A2472" s="4"/>
      <c r="B2472" s="125">
        <v>46199</v>
      </c>
      <c r="C2472" s="126" t="s">
        <v>1005</v>
      </c>
      <c r="D2472" s="68" t="s">
        <v>285</v>
      </c>
      <c r="E2472" s="10" t="str">
        <f>TRIM(VLOOKUP(D2472,TB!$B$9:$C$1500,2,FALSE))</f>
        <v>Misc Cash Purchase</v>
      </c>
      <c r="F2472" s="142" t="s">
        <v>1006</v>
      </c>
      <c r="G2472" s="130"/>
      <c r="H2472" s="10">
        <v>2000000</v>
      </c>
      <c r="I2472" s="10"/>
      <c r="J2472" s="79" t="e">
        <f t="shared" si="179"/>
        <v>#VALUE!</v>
      </c>
      <c r="K2472" s="106"/>
      <c r="L2472" s="141"/>
      <c r="M2472" s="132"/>
      <c r="N2472" s="133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spans="1:24" ht="14.25" customHeight="1">
      <c r="A2473" s="4"/>
      <c r="B2473" s="125">
        <v>46199</v>
      </c>
      <c r="C2473" s="126" t="s">
        <v>1005</v>
      </c>
      <c r="D2473" s="68" t="s">
        <v>130</v>
      </c>
      <c r="E2473" s="10" t="str">
        <f>TRIM(VLOOKUP(D2473,TB!$B$9:$C$1500,2,FALSE))</f>
        <v>BCA TBB</v>
      </c>
      <c r="F2473" s="142" t="s">
        <v>1006</v>
      </c>
      <c r="G2473" s="130"/>
      <c r="H2473" s="10"/>
      <c r="I2473" s="10">
        <v>2000000</v>
      </c>
      <c r="J2473" s="79" t="e">
        <f t="shared" si="179"/>
        <v>#VALUE!</v>
      </c>
      <c r="K2473" s="106"/>
      <c r="L2473" s="141"/>
      <c r="M2473" s="132"/>
      <c r="N2473" s="133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spans="1:24" ht="14.25" customHeight="1">
      <c r="A2474" s="4"/>
      <c r="B2474" s="125"/>
      <c r="C2474" s="126"/>
      <c r="D2474" s="159"/>
      <c r="E2474" s="10" t="e">
        <f>TRIM(VLOOKUP(D2474,TB!$B$9:$C$1500,2,FALSE))</f>
        <v>#N/A</v>
      </c>
      <c r="F2474" s="142"/>
      <c r="G2474" s="130"/>
      <c r="H2474" s="10"/>
      <c r="I2474" s="10"/>
      <c r="J2474" s="79" t="e">
        <f t="shared" si="179"/>
        <v>#VALUE!</v>
      </c>
      <c r="K2474" s="106"/>
      <c r="L2474" s="141"/>
      <c r="M2474" s="132"/>
      <c r="N2474" s="133"/>
      <c r="O2474" s="4"/>
      <c r="P2474" s="4"/>
      <c r="Q2474" s="4"/>
      <c r="R2474" s="4"/>
      <c r="S2474" s="4"/>
      <c r="T2474" s="4"/>
      <c r="U2474" s="4"/>
      <c r="V2474" s="4"/>
      <c r="W2474" s="4"/>
      <c r="X2474" s="4"/>
    </row>
    <row r="2475" spans="1:24" ht="14.25" customHeight="1">
      <c r="A2475" s="4"/>
      <c r="B2475" s="125">
        <v>46199</v>
      </c>
      <c r="C2475" s="126" t="s">
        <v>1007</v>
      </c>
      <c r="D2475" s="68" t="s">
        <v>285</v>
      </c>
      <c r="E2475" s="10" t="str">
        <f>TRIM(VLOOKUP(D2475,TB!$B$9:$C$1500,2,FALSE))</f>
        <v>Misc Cash Purchase</v>
      </c>
      <c r="F2475" s="142" t="s">
        <v>1008</v>
      </c>
      <c r="G2475" s="130"/>
      <c r="H2475" s="10">
        <v>2000000</v>
      </c>
      <c r="I2475" s="10"/>
      <c r="J2475" s="79" t="e">
        <f t="shared" si="179"/>
        <v>#VALUE!</v>
      </c>
      <c r="K2475" s="106"/>
      <c r="L2475" s="141"/>
      <c r="M2475" s="132"/>
      <c r="N2475" s="133"/>
      <c r="O2475" s="4"/>
      <c r="P2475" s="4"/>
      <c r="Q2475" s="4"/>
      <c r="R2475" s="4"/>
      <c r="S2475" s="4"/>
      <c r="T2475" s="4"/>
      <c r="U2475" s="4"/>
      <c r="V2475" s="4"/>
      <c r="W2475" s="4"/>
      <c r="X2475" s="4"/>
    </row>
    <row r="2476" spans="1:24" ht="14.25" customHeight="1">
      <c r="A2476" s="4"/>
      <c r="B2476" s="125">
        <v>46199</v>
      </c>
      <c r="C2476" s="126" t="s">
        <v>1007</v>
      </c>
      <c r="D2476" s="15" t="s">
        <v>124</v>
      </c>
      <c r="E2476" s="10" t="str">
        <f>TRIM(VLOOKUP(D2476,TB!$B$9:$C$1500,2,FALSE))</f>
        <v>Bank charges</v>
      </c>
      <c r="F2476" s="142" t="s">
        <v>1008</v>
      </c>
      <c r="G2476" s="130"/>
      <c r="H2476" s="10">
        <v>2500</v>
      </c>
      <c r="I2476" s="10"/>
      <c r="J2476" s="79" t="e">
        <f t="shared" si="179"/>
        <v>#VALUE!</v>
      </c>
      <c r="K2476" s="106"/>
      <c r="L2476" s="141"/>
      <c r="M2476" s="132"/>
      <c r="N2476" s="133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 ht="14.25" customHeight="1">
      <c r="A2477" s="4"/>
      <c r="B2477" s="125">
        <v>46199</v>
      </c>
      <c r="C2477" s="126" t="s">
        <v>1007</v>
      </c>
      <c r="D2477" s="68" t="s">
        <v>130</v>
      </c>
      <c r="E2477" s="10" t="str">
        <f>TRIM(VLOOKUP(D2477,TB!$B$9:$C$1500,2,FALSE))</f>
        <v>BCA TBB</v>
      </c>
      <c r="F2477" s="142" t="s">
        <v>1008</v>
      </c>
      <c r="G2477" s="130"/>
      <c r="H2477" s="10"/>
      <c r="I2477" s="10">
        <f>SUM(H2475:H2476)</f>
        <v>2002500</v>
      </c>
      <c r="J2477" s="79" t="e">
        <f t="shared" si="179"/>
        <v>#VALUE!</v>
      </c>
      <c r="K2477" s="106"/>
      <c r="L2477" s="141"/>
      <c r="M2477" s="132"/>
      <c r="N2477" s="133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spans="1:24" ht="14.25" customHeight="1">
      <c r="A2478" s="4"/>
      <c r="B2478" s="125"/>
      <c r="C2478" s="126"/>
      <c r="D2478" s="159"/>
      <c r="E2478" s="10" t="e">
        <f>TRIM(VLOOKUP(D2478,TB!$B$9:$C$1500,2,FALSE))</f>
        <v>#N/A</v>
      </c>
      <c r="F2478" s="142"/>
      <c r="G2478" s="130"/>
      <c r="H2478" s="10"/>
      <c r="I2478" s="10"/>
      <c r="J2478" s="79" t="e">
        <f t="shared" si="179"/>
        <v>#VALUE!</v>
      </c>
      <c r="K2478" s="106"/>
      <c r="L2478" s="141"/>
      <c r="M2478" s="132"/>
      <c r="N2478" s="133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spans="1:24" ht="14.25" customHeight="1">
      <c r="A2479" s="4"/>
      <c r="B2479" s="125">
        <v>46199</v>
      </c>
      <c r="C2479" s="126" t="s">
        <v>1009</v>
      </c>
      <c r="D2479" s="68" t="s">
        <v>285</v>
      </c>
      <c r="E2479" s="10" t="str">
        <f>TRIM(VLOOKUP(D2479,TB!$B$9:$C$1500,2,FALSE))</f>
        <v>Misc Cash Purchase</v>
      </c>
      <c r="F2479" s="142" t="s">
        <v>1010</v>
      </c>
      <c r="G2479" s="130"/>
      <c r="H2479" s="10">
        <v>2000000</v>
      </c>
      <c r="I2479" s="10"/>
      <c r="J2479" s="79" t="e">
        <f t="shared" si="179"/>
        <v>#VALUE!</v>
      </c>
      <c r="K2479" s="106"/>
      <c r="L2479" s="141"/>
      <c r="M2479" s="132"/>
      <c r="N2479" s="133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spans="1:24" ht="14.25" customHeight="1">
      <c r="A2480" s="4"/>
      <c r="B2480" s="125">
        <v>46199</v>
      </c>
      <c r="C2480" s="126" t="s">
        <v>1009</v>
      </c>
      <c r="D2480" s="68" t="s">
        <v>130</v>
      </c>
      <c r="E2480" s="10" t="str">
        <f>TRIM(VLOOKUP(D2480,TB!$B$9:$C$1500,2,FALSE))</f>
        <v>BCA TBB</v>
      </c>
      <c r="F2480" s="142" t="s">
        <v>1010</v>
      </c>
      <c r="G2480" s="130"/>
      <c r="H2480" s="10"/>
      <c r="I2480" s="10">
        <v>2000000</v>
      </c>
      <c r="J2480" s="79" t="e">
        <f t="shared" si="179"/>
        <v>#VALUE!</v>
      </c>
      <c r="K2480" s="106"/>
      <c r="L2480" s="141"/>
      <c r="M2480" s="132"/>
      <c r="N2480" s="133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spans="1:24" ht="14.25" customHeight="1">
      <c r="A2481" s="4"/>
      <c r="B2481" s="125"/>
      <c r="C2481" s="126"/>
      <c r="D2481" s="159"/>
      <c r="E2481" s="10" t="e">
        <f>TRIM(VLOOKUP(D2481,TB!$B$9:$C$1500,2,FALSE))</f>
        <v>#N/A</v>
      </c>
      <c r="F2481" s="142"/>
      <c r="G2481" s="130"/>
      <c r="H2481" s="10"/>
      <c r="I2481" s="10"/>
      <c r="J2481" s="79" t="e">
        <f t="shared" si="179"/>
        <v>#VALUE!</v>
      </c>
      <c r="K2481" s="106"/>
      <c r="L2481" s="141"/>
      <c r="M2481" s="132"/>
      <c r="N2481" s="133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spans="1:24" ht="14.25" customHeight="1">
      <c r="A2482" s="4"/>
      <c r="B2482" s="125">
        <v>46199</v>
      </c>
      <c r="C2482" s="126" t="s">
        <v>1011</v>
      </c>
      <c r="D2482" s="68" t="s">
        <v>285</v>
      </c>
      <c r="E2482" s="10" t="str">
        <f>TRIM(VLOOKUP(D2482,TB!$B$9:$C$1500,2,FALSE))</f>
        <v>Misc Cash Purchase</v>
      </c>
      <c r="F2482" s="142" t="s">
        <v>1012</v>
      </c>
      <c r="G2482" s="130"/>
      <c r="H2482" s="10">
        <v>2000000</v>
      </c>
      <c r="I2482" s="10"/>
      <c r="J2482" s="79" t="e">
        <f t="shared" si="179"/>
        <v>#VALUE!</v>
      </c>
      <c r="K2482" s="106"/>
      <c r="L2482" s="141"/>
      <c r="M2482" s="132"/>
      <c r="N2482" s="133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spans="1:24" ht="14.25" customHeight="1">
      <c r="A2483" s="4"/>
      <c r="B2483" s="125">
        <v>46199</v>
      </c>
      <c r="C2483" s="126" t="s">
        <v>1011</v>
      </c>
      <c r="D2483" s="15" t="s">
        <v>124</v>
      </c>
      <c r="E2483" s="10" t="str">
        <f>TRIM(VLOOKUP(D2483,TB!$B$9:$C$1500,2,FALSE))</f>
        <v>Bank charges</v>
      </c>
      <c r="F2483" s="142" t="s">
        <v>1012</v>
      </c>
      <c r="G2483" s="130"/>
      <c r="H2483" s="10">
        <v>2500</v>
      </c>
      <c r="I2483" s="10"/>
      <c r="J2483" s="79" t="e">
        <f t="shared" si="179"/>
        <v>#VALUE!</v>
      </c>
      <c r="K2483" s="106"/>
      <c r="L2483" s="141"/>
      <c r="M2483" s="132"/>
      <c r="N2483" s="133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spans="1:24" ht="14.25" customHeight="1">
      <c r="A2484" s="4"/>
      <c r="B2484" s="125">
        <v>46199</v>
      </c>
      <c r="C2484" s="126" t="s">
        <v>1011</v>
      </c>
      <c r="D2484" s="68" t="s">
        <v>130</v>
      </c>
      <c r="E2484" s="10" t="str">
        <f>TRIM(VLOOKUP(D2484,TB!$B$9:$C$1500,2,FALSE))</f>
        <v>BCA TBB</v>
      </c>
      <c r="F2484" s="142" t="s">
        <v>1012</v>
      </c>
      <c r="G2484" s="130"/>
      <c r="H2484" s="10"/>
      <c r="I2484" s="10">
        <f>SUM(H2482:H2483)</f>
        <v>2002500</v>
      </c>
      <c r="J2484" s="79" t="e">
        <f t="shared" si="179"/>
        <v>#VALUE!</v>
      </c>
      <c r="K2484" s="106"/>
      <c r="L2484" s="141"/>
      <c r="M2484" s="132"/>
      <c r="N2484" s="133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spans="1:24" ht="14.25" customHeight="1">
      <c r="A2485" s="4"/>
      <c r="B2485" s="125"/>
      <c r="C2485" s="126"/>
      <c r="D2485" s="159"/>
      <c r="E2485" s="10" t="e">
        <f>TRIM(VLOOKUP(D2485,TB!$B$9:$C$1500,2,FALSE))</f>
        <v>#N/A</v>
      </c>
      <c r="F2485" s="142"/>
      <c r="G2485" s="130"/>
      <c r="H2485" s="10"/>
      <c r="I2485" s="10"/>
      <c r="J2485" s="79" t="e">
        <f t="shared" si="179"/>
        <v>#VALUE!</v>
      </c>
      <c r="K2485" s="106"/>
      <c r="L2485" s="141"/>
      <c r="M2485" s="132"/>
      <c r="N2485" s="133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spans="1:24" ht="14.25" customHeight="1">
      <c r="A2486" s="4"/>
      <c r="B2486" s="125">
        <v>46199</v>
      </c>
      <c r="C2486" s="126" t="s">
        <v>1013</v>
      </c>
      <c r="D2486" s="68" t="s">
        <v>285</v>
      </c>
      <c r="E2486" s="10" t="str">
        <f>TRIM(VLOOKUP(D2486,TB!$B$9:$C$1500,2,FALSE))</f>
        <v>Misc Cash Purchase</v>
      </c>
      <c r="F2486" s="142" t="s">
        <v>1014</v>
      </c>
      <c r="G2486" s="130"/>
      <c r="H2486" s="10">
        <v>4000000</v>
      </c>
      <c r="I2486" s="10"/>
      <c r="J2486" s="79" t="e">
        <f t="shared" si="179"/>
        <v>#VALUE!</v>
      </c>
      <c r="K2486" s="106"/>
      <c r="L2486" s="141"/>
      <c r="M2486" s="132"/>
      <c r="N2486" s="133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spans="1:24" ht="14.25" customHeight="1">
      <c r="A2487" s="4"/>
      <c r="B2487" s="125">
        <v>46199</v>
      </c>
      <c r="C2487" s="126" t="s">
        <v>1013</v>
      </c>
      <c r="D2487" s="15" t="s">
        <v>124</v>
      </c>
      <c r="E2487" s="10" t="str">
        <f>TRIM(VLOOKUP(D2487,TB!$B$9:$C$1500,2,FALSE))</f>
        <v>Bank charges</v>
      </c>
      <c r="F2487" s="142" t="s">
        <v>1014</v>
      </c>
      <c r="G2487" s="130"/>
      <c r="H2487" s="10">
        <v>2500</v>
      </c>
      <c r="I2487" s="10"/>
      <c r="J2487" s="79" t="e">
        <f t="shared" si="179"/>
        <v>#VALUE!</v>
      </c>
      <c r="K2487" s="106"/>
      <c r="L2487" s="141"/>
      <c r="M2487" s="132"/>
      <c r="N2487" s="133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spans="1:24" ht="14.25" customHeight="1">
      <c r="A2488" s="4"/>
      <c r="B2488" s="125">
        <v>46199</v>
      </c>
      <c r="C2488" s="126" t="s">
        <v>1013</v>
      </c>
      <c r="D2488" s="68" t="s">
        <v>130</v>
      </c>
      <c r="E2488" s="10" t="str">
        <f>TRIM(VLOOKUP(D2488,TB!$B$9:$C$1500,2,FALSE))</f>
        <v>BCA TBB</v>
      </c>
      <c r="F2488" s="142" t="s">
        <v>1014</v>
      </c>
      <c r="G2488" s="130"/>
      <c r="H2488" s="10"/>
      <c r="I2488" s="10">
        <f>SUM(H2486:H2487)</f>
        <v>4002500</v>
      </c>
      <c r="J2488" s="79" t="e">
        <f t="shared" si="179"/>
        <v>#VALUE!</v>
      </c>
      <c r="K2488" s="106"/>
      <c r="L2488" s="141"/>
      <c r="M2488" s="132"/>
      <c r="N2488" s="133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spans="1:24" ht="14.25" customHeight="1">
      <c r="A2489" s="4"/>
      <c r="B2489" s="125"/>
      <c r="C2489" s="126"/>
      <c r="D2489" s="159"/>
      <c r="E2489" s="10" t="e">
        <f>TRIM(VLOOKUP(D2489,TB!$B$9:$C$1500,2,FALSE))</f>
        <v>#N/A</v>
      </c>
      <c r="F2489" s="142"/>
      <c r="G2489" s="130"/>
      <c r="H2489" s="10"/>
      <c r="I2489" s="10"/>
      <c r="J2489" s="79" t="e">
        <f t="shared" si="179"/>
        <v>#VALUE!</v>
      </c>
      <c r="K2489" s="106"/>
      <c r="L2489" s="141"/>
      <c r="M2489" s="132"/>
      <c r="N2489" s="133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spans="1:24" ht="14.25" customHeight="1">
      <c r="A2490" s="4"/>
      <c r="B2490" s="125">
        <v>46199</v>
      </c>
      <c r="C2490" s="126" t="s">
        <v>1015</v>
      </c>
      <c r="D2490" s="68" t="s">
        <v>285</v>
      </c>
      <c r="E2490" s="10" t="str">
        <f>TRIM(VLOOKUP(D2490,TB!$B$9:$C$1500,2,FALSE))</f>
        <v>Misc Cash Purchase</v>
      </c>
      <c r="F2490" s="142" t="s">
        <v>1016</v>
      </c>
      <c r="G2490" s="130"/>
      <c r="H2490" s="10">
        <v>4000000</v>
      </c>
      <c r="I2490" s="10"/>
      <c r="J2490" s="79" t="e">
        <f t="shared" si="179"/>
        <v>#VALUE!</v>
      </c>
      <c r="K2490" s="106"/>
      <c r="L2490" s="141"/>
      <c r="M2490" s="132"/>
      <c r="N2490" s="133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spans="1:24" ht="14.25" customHeight="1">
      <c r="A2491" s="4"/>
      <c r="B2491" s="125">
        <v>46199</v>
      </c>
      <c r="C2491" s="126" t="s">
        <v>1015</v>
      </c>
      <c r="D2491" s="15" t="s">
        <v>124</v>
      </c>
      <c r="E2491" s="10" t="str">
        <f>TRIM(VLOOKUP(D2491,TB!$B$9:$C$1500,2,FALSE))</f>
        <v>Bank charges</v>
      </c>
      <c r="F2491" s="142" t="s">
        <v>1016</v>
      </c>
      <c r="G2491" s="130"/>
      <c r="H2491" s="10">
        <v>2500</v>
      </c>
      <c r="I2491" s="10"/>
      <c r="J2491" s="79" t="e">
        <f t="shared" si="179"/>
        <v>#VALUE!</v>
      </c>
      <c r="K2491" s="106"/>
      <c r="L2491" s="141"/>
      <c r="M2491" s="132"/>
      <c r="N2491" s="133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spans="1:24" ht="14.25" customHeight="1">
      <c r="A2492" s="4"/>
      <c r="B2492" s="125">
        <v>46199</v>
      </c>
      <c r="C2492" s="126" t="s">
        <v>1015</v>
      </c>
      <c r="D2492" s="68" t="s">
        <v>130</v>
      </c>
      <c r="E2492" s="10" t="str">
        <f>TRIM(VLOOKUP(D2492,TB!$B$9:$C$1500,2,FALSE))</f>
        <v>BCA TBB</v>
      </c>
      <c r="F2492" s="142" t="s">
        <v>1016</v>
      </c>
      <c r="G2492" s="130"/>
      <c r="H2492" s="10"/>
      <c r="I2492" s="10">
        <f>SUM(H2490:H2491)</f>
        <v>4002500</v>
      </c>
      <c r="J2492" s="79" t="e">
        <f t="shared" si="179"/>
        <v>#VALUE!</v>
      </c>
      <c r="K2492" s="106"/>
      <c r="L2492" s="141"/>
      <c r="M2492" s="132"/>
      <c r="N2492" s="133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spans="1:24" ht="14.25" customHeight="1">
      <c r="A2493" s="4"/>
      <c r="B2493" s="125"/>
      <c r="C2493" s="126"/>
      <c r="D2493" s="159"/>
      <c r="E2493" s="10" t="e">
        <f>TRIM(VLOOKUP(D2493,TB!$B$9:$C$1500,2,FALSE))</f>
        <v>#N/A</v>
      </c>
      <c r="F2493" s="142"/>
      <c r="G2493" s="130"/>
      <c r="H2493" s="10"/>
      <c r="I2493" s="10"/>
      <c r="J2493" s="79" t="e">
        <f t="shared" si="179"/>
        <v>#VALUE!</v>
      </c>
      <c r="K2493" s="106"/>
      <c r="L2493" s="141"/>
      <c r="M2493" s="132"/>
      <c r="N2493" s="133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spans="1:24" ht="14.25" customHeight="1">
      <c r="A2494" s="4"/>
      <c r="B2494" s="125">
        <v>46199</v>
      </c>
      <c r="C2494" s="126" t="s">
        <v>1017</v>
      </c>
      <c r="D2494" s="68" t="s">
        <v>285</v>
      </c>
      <c r="E2494" s="10" t="str">
        <f>TRIM(VLOOKUP(D2494,TB!$B$9:$C$1500,2,FALSE))</f>
        <v>Misc Cash Purchase</v>
      </c>
      <c r="F2494" s="142" t="s">
        <v>1018</v>
      </c>
      <c r="G2494" s="130"/>
      <c r="H2494" s="10">
        <v>3000000</v>
      </c>
      <c r="I2494" s="10"/>
      <c r="J2494" s="79" t="e">
        <f t="shared" si="179"/>
        <v>#VALUE!</v>
      </c>
      <c r="K2494" s="106"/>
      <c r="L2494" s="141"/>
      <c r="M2494" s="132"/>
      <c r="N2494" s="133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spans="1:24" ht="14.25" customHeight="1">
      <c r="A2495" s="4"/>
      <c r="B2495" s="125">
        <v>46199</v>
      </c>
      <c r="C2495" s="126" t="s">
        <v>1017</v>
      </c>
      <c r="D2495" s="68" t="s">
        <v>130</v>
      </c>
      <c r="E2495" s="10" t="str">
        <f>TRIM(VLOOKUP(D2495,TB!$B$9:$C$1500,2,FALSE))</f>
        <v>BCA TBB</v>
      </c>
      <c r="F2495" s="142" t="s">
        <v>1018</v>
      </c>
      <c r="G2495" s="130"/>
      <c r="H2495" s="10"/>
      <c r="I2495" s="10">
        <v>3000000</v>
      </c>
      <c r="J2495" s="79" t="e">
        <f t="shared" si="179"/>
        <v>#VALUE!</v>
      </c>
      <c r="K2495" s="106"/>
      <c r="L2495" s="141"/>
      <c r="M2495" s="132"/>
      <c r="N2495" s="133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spans="1:24" ht="14.25" customHeight="1">
      <c r="A2496" s="4"/>
      <c r="B2496" s="125"/>
      <c r="C2496" s="126"/>
      <c r="D2496" s="159"/>
      <c r="E2496" s="10" t="e">
        <f>TRIM(VLOOKUP(D2496,TB!$B$9:$C$1500,2,FALSE))</f>
        <v>#N/A</v>
      </c>
      <c r="F2496" s="142"/>
      <c r="G2496" s="130"/>
      <c r="H2496" s="10"/>
      <c r="I2496" s="10"/>
      <c r="J2496" s="79" t="e">
        <f t="shared" si="179"/>
        <v>#VALUE!</v>
      </c>
      <c r="K2496" s="106"/>
      <c r="L2496" s="141"/>
      <c r="M2496" s="132"/>
      <c r="N2496" s="133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spans="1:24" ht="14.25" customHeight="1">
      <c r="A2497" s="4"/>
      <c r="B2497" s="125">
        <v>46199</v>
      </c>
      <c r="C2497" s="126" t="s">
        <v>1019</v>
      </c>
      <c r="D2497" s="188" t="s">
        <v>285</v>
      </c>
      <c r="E2497" s="10" t="str">
        <f>TRIM(VLOOKUP(D2497,TB!$B$9:$C$1500,2,FALSE))</f>
        <v>Misc Cash Purchase</v>
      </c>
      <c r="F2497" s="142" t="s">
        <v>1020</v>
      </c>
      <c r="G2497" s="130"/>
      <c r="H2497" s="10">
        <v>1500000</v>
      </c>
      <c r="I2497" s="10"/>
      <c r="J2497" s="79" t="e">
        <f t="shared" si="179"/>
        <v>#VALUE!</v>
      </c>
      <c r="K2497" s="106"/>
      <c r="L2497" s="141"/>
      <c r="M2497" s="132"/>
      <c r="N2497" s="133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spans="1:24" ht="14.25" customHeight="1">
      <c r="A2498" s="4"/>
      <c r="B2498" s="125">
        <v>46199</v>
      </c>
      <c r="C2498" s="126" t="s">
        <v>1019</v>
      </c>
      <c r="D2498" s="188" t="s">
        <v>130</v>
      </c>
      <c r="E2498" s="10" t="str">
        <f>TRIM(VLOOKUP(D2498,TB!$B$9:$C$1500,2,FALSE))</f>
        <v>BCA TBB</v>
      </c>
      <c r="F2498" s="142" t="s">
        <v>1020</v>
      </c>
      <c r="G2498" s="130"/>
      <c r="H2498" s="10"/>
      <c r="I2498" s="10">
        <f>H2497</f>
        <v>1500000</v>
      </c>
      <c r="J2498" s="79" t="e">
        <f t="shared" si="179"/>
        <v>#VALUE!</v>
      </c>
      <c r="K2498" s="106"/>
      <c r="L2498" s="141"/>
      <c r="M2498" s="132"/>
      <c r="N2498" s="133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spans="1:24" ht="14.25" customHeight="1">
      <c r="A2499" s="4"/>
      <c r="B2499" s="125"/>
      <c r="C2499" s="126"/>
      <c r="D2499" s="159"/>
      <c r="E2499" s="10" t="e">
        <f>TRIM(VLOOKUP(D2499,TB!$B$9:$C$1500,2,FALSE))</f>
        <v>#N/A</v>
      </c>
      <c r="F2499" s="142"/>
      <c r="G2499" s="130"/>
      <c r="H2499" s="10"/>
      <c r="I2499" s="10"/>
      <c r="J2499" s="79" t="e">
        <f t="shared" si="179"/>
        <v>#VALUE!</v>
      </c>
      <c r="K2499" s="106"/>
      <c r="L2499" s="141"/>
      <c r="M2499" s="132"/>
      <c r="N2499" s="133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spans="1:24" ht="14.25" customHeight="1">
      <c r="A2500" s="4"/>
      <c r="B2500" s="125">
        <v>46199</v>
      </c>
      <c r="C2500" s="126" t="s">
        <v>1021</v>
      </c>
      <c r="D2500" s="188" t="s">
        <v>285</v>
      </c>
      <c r="E2500" s="10" t="str">
        <f>TRIM(VLOOKUP(D2500,TB!$B$9:$C$1500,2,FALSE))</f>
        <v>Misc Cash Purchase</v>
      </c>
      <c r="F2500" s="142" t="s">
        <v>1022</v>
      </c>
      <c r="G2500" s="130"/>
      <c r="H2500" s="10">
        <v>3260000</v>
      </c>
      <c r="I2500" s="10"/>
      <c r="J2500" s="79" t="e">
        <f t="shared" si="179"/>
        <v>#VALUE!</v>
      </c>
      <c r="K2500" s="106"/>
      <c r="L2500" s="141"/>
      <c r="M2500" s="132"/>
      <c r="N2500" s="133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spans="1:24" ht="14.25" customHeight="1">
      <c r="A2501" s="4"/>
      <c r="B2501" s="125">
        <v>46199</v>
      </c>
      <c r="C2501" s="126" t="s">
        <v>1021</v>
      </c>
      <c r="D2501" s="188" t="s">
        <v>130</v>
      </c>
      <c r="E2501" s="10" t="str">
        <f>TRIM(VLOOKUP(D2501,TB!$B$9:$C$1500,2,FALSE))</f>
        <v>BCA TBB</v>
      </c>
      <c r="F2501" s="142" t="s">
        <v>1022</v>
      </c>
      <c r="G2501" s="130"/>
      <c r="H2501" s="10"/>
      <c r="I2501" s="10">
        <f>H2500</f>
        <v>3260000</v>
      </c>
      <c r="J2501" s="79" t="e">
        <f t="shared" si="179"/>
        <v>#VALUE!</v>
      </c>
      <c r="K2501" s="106"/>
      <c r="L2501" s="141"/>
      <c r="M2501" s="132"/>
      <c r="N2501" s="133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spans="1:24" ht="14.25" customHeight="1">
      <c r="A2502" s="4"/>
      <c r="B2502" s="125"/>
      <c r="C2502" s="126"/>
      <c r="D2502" s="159"/>
      <c r="E2502" s="10" t="e">
        <f>TRIM(VLOOKUP(D2502,TB!$B$9:$C$1500,2,FALSE))</f>
        <v>#N/A</v>
      </c>
      <c r="F2502" s="142"/>
      <c r="G2502" s="130"/>
      <c r="H2502" s="10"/>
      <c r="I2502" s="10"/>
      <c r="J2502" s="79" t="e">
        <f t="shared" si="179"/>
        <v>#VALUE!</v>
      </c>
      <c r="K2502" s="106"/>
      <c r="L2502" s="141"/>
      <c r="M2502" s="132"/>
      <c r="N2502" s="133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spans="1:24" ht="14.25" customHeight="1">
      <c r="A2503" s="4"/>
      <c r="B2503" s="125">
        <v>46199</v>
      </c>
      <c r="C2503" s="126" t="s">
        <v>1023</v>
      </c>
      <c r="D2503" s="188" t="s">
        <v>285</v>
      </c>
      <c r="E2503" s="10" t="str">
        <f>TRIM(VLOOKUP(D2503,TB!$B$9:$C$1500,2,FALSE))</f>
        <v>Misc Cash Purchase</v>
      </c>
      <c r="F2503" s="142" t="s">
        <v>1024</v>
      </c>
      <c r="G2503" s="130"/>
      <c r="H2503" s="10">
        <v>820000</v>
      </c>
      <c r="I2503" s="10"/>
      <c r="J2503" s="79" t="e">
        <f t="shared" si="179"/>
        <v>#VALUE!</v>
      </c>
      <c r="K2503" s="106"/>
      <c r="L2503" s="141"/>
      <c r="M2503" s="132"/>
      <c r="N2503" s="133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spans="1:24" ht="14.25" customHeight="1">
      <c r="A2504" s="4"/>
      <c r="B2504" s="125">
        <v>46199</v>
      </c>
      <c r="C2504" s="126" t="s">
        <v>1023</v>
      </c>
      <c r="D2504" s="188" t="s">
        <v>130</v>
      </c>
      <c r="E2504" s="10" t="str">
        <f>TRIM(VLOOKUP(D2504,TB!$B$9:$C$1500,2,FALSE))</f>
        <v>BCA TBB</v>
      </c>
      <c r="F2504" s="142" t="s">
        <v>1024</v>
      </c>
      <c r="G2504" s="130"/>
      <c r="H2504" s="10"/>
      <c r="I2504" s="10">
        <f>H2503</f>
        <v>820000</v>
      </c>
      <c r="J2504" s="79" t="e">
        <f t="shared" si="179"/>
        <v>#VALUE!</v>
      </c>
      <c r="K2504" s="106"/>
      <c r="L2504" s="141"/>
      <c r="M2504" s="132"/>
      <c r="N2504" s="133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spans="1:24" ht="14.25" customHeight="1">
      <c r="A2505" s="4"/>
      <c r="B2505" s="125"/>
      <c r="C2505" s="126"/>
      <c r="D2505" s="159"/>
      <c r="E2505" s="10" t="e">
        <f>TRIM(VLOOKUP(D2505,TB!$B$9:$C$1500,2,FALSE))</f>
        <v>#N/A</v>
      </c>
      <c r="F2505" s="142"/>
      <c r="G2505" s="130"/>
      <c r="H2505" s="10"/>
      <c r="I2505" s="10"/>
      <c r="J2505" s="79" t="e">
        <f t="shared" si="179"/>
        <v>#VALUE!</v>
      </c>
      <c r="K2505" s="106"/>
      <c r="L2505" s="141"/>
      <c r="M2505" s="132"/>
      <c r="N2505" s="133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spans="1:24" ht="14.25" customHeight="1">
      <c r="A2506" s="4"/>
      <c r="B2506" s="125">
        <v>46199</v>
      </c>
      <c r="C2506" s="126" t="s">
        <v>1025</v>
      </c>
      <c r="D2506" s="188" t="s">
        <v>285</v>
      </c>
      <c r="E2506" s="10" t="str">
        <f>TRIM(VLOOKUP(D2506,TB!$B$9:$C$1500,2,FALSE))</f>
        <v>Misc Cash Purchase</v>
      </c>
      <c r="F2506" s="142" t="s">
        <v>1026</v>
      </c>
      <c r="G2506" s="130"/>
      <c r="H2506" s="10">
        <v>60000</v>
      </c>
      <c r="I2506" s="10">
        <f t="shared" ref="I2506:I2508" si="184">H2505</f>
        <v>0</v>
      </c>
      <c r="J2506" s="79" t="e">
        <f t="shared" si="179"/>
        <v>#VALUE!</v>
      </c>
      <c r="K2506" s="106"/>
      <c r="L2506" s="141"/>
      <c r="M2506" s="132"/>
      <c r="N2506" s="133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spans="1:24" ht="14.25" customHeight="1">
      <c r="A2507" s="4"/>
      <c r="B2507" s="125">
        <v>46199</v>
      </c>
      <c r="C2507" s="126" t="s">
        <v>1025</v>
      </c>
      <c r="D2507" s="188" t="s">
        <v>130</v>
      </c>
      <c r="E2507" s="10" t="str">
        <f>TRIM(VLOOKUP(D2507,TB!$B$9:$C$1500,2,FALSE))</f>
        <v>BCA TBB</v>
      </c>
      <c r="F2507" s="142" t="s">
        <v>1026</v>
      </c>
      <c r="G2507" s="130"/>
      <c r="H2507" s="10"/>
      <c r="I2507" s="10">
        <f t="shared" si="184"/>
        <v>60000</v>
      </c>
      <c r="J2507" s="79" t="e">
        <f t="shared" si="179"/>
        <v>#VALUE!</v>
      </c>
      <c r="K2507" s="106"/>
      <c r="L2507" s="141"/>
      <c r="M2507" s="132"/>
      <c r="N2507" s="133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spans="1:24" ht="14.25" customHeight="1">
      <c r="A2508" s="4"/>
      <c r="B2508" s="125"/>
      <c r="C2508" s="126"/>
      <c r="D2508" s="159"/>
      <c r="E2508" s="10" t="e">
        <f>TRIM(VLOOKUP(D2508,TB!$B$9:$C$1500,2,FALSE))</f>
        <v>#N/A</v>
      </c>
      <c r="F2508" s="142"/>
      <c r="G2508" s="130"/>
      <c r="H2508" s="10"/>
      <c r="I2508" s="10">
        <f t="shared" si="184"/>
        <v>0</v>
      </c>
      <c r="J2508" s="79" t="e">
        <f t="shared" si="179"/>
        <v>#VALUE!</v>
      </c>
      <c r="K2508" s="106"/>
      <c r="L2508" s="141"/>
      <c r="M2508" s="132"/>
      <c r="N2508" s="133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spans="1:24" ht="14.25" customHeight="1">
      <c r="A2509" s="4"/>
      <c r="B2509" s="125">
        <v>46199</v>
      </c>
      <c r="C2509" s="126" t="s">
        <v>1027</v>
      </c>
      <c r="D2509" s="188" t="s">
        <v>285</v>
      </c>
      <c r="E2509" s="10" t="str">
        <f>TRIM(VLOOKUP(D2509,TB!$B$9:$C$1500,2,FALSE))</f>
        <v>Misc Cash Purchase</v>
      </c>
      <c r="F2509" s="142" t="s">
        <v>1028</v>
      </c>
      <c r="G2509" s="130"/>
      <c r="H2509" s="10">
        <v>160000</v>
      </c>
      <c r="I2509" s="10"/>
      <c r="J2509" s="79" t="e">
        <f t="shared" si="179"/>
        <v>#VALUE!</v>
      </c>
      <c r="K2509" s="106"/>
      <c r="L2509" s="141"/>
      <c r="M2509" s="132"/>
      <c r="N2509" s="133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spans="1:24" ht="14.25" customHeight="1">
      <c r="A2510" s="4"/>
      <c r="B2510" s="125">
        <v>46199</v>
      </c>
      <c r="C2510" s="126" t="s">
        <v>1027</v>
      </c>
      <c r="D2510" s="188" t="s">
        <v>130</v>
      </c>
      <c r="E2510" s="10" t="str">
        <f>TRIM(VLOOKUP(D2510,TB!$B$9:$C$1500,2,FALSE))</f>
        <v>BCA TBB</v>
      </c>
      <c r="F2510" s="142" t="s">
        <v>1028</v>
      </c>
      <c r="G2510" s="130"/>
      <c r="H2510" s="10"/>
      <c r="I2510" s="10">
        <f>H2509</f>
        <v>160000</v>
      </c>
      <c r="J2510" s="79" t="e">
        <f t="shared" si="179"/>
        <v>#VALUE!</v>
      </c>
      <c r="K2510" s="106"/>
      <c r="L2510" s="141"/>
      <c r="M2510" s="132"/>
      <c r="N2510" s="133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spans="1:24" ht="14.25" customHeight="1">
      <c r="A2511" s="4"/>
      <c r="B2511" s="125"/>
      <c r="C2511" s="126"/>
      <c r="D2511" s="159"/>
      <c r="E2511" s="10" t="e">
        <f>TRIM(VLOOKUP(D2511,TB!$B$9:$C$1500,2,FALSE))</f>
        <v>#N/A</v>
      </c>
      <c r="F2511" s="142"/>
      <c r="G2511" s="130"/>
      <c r="H2511" s="10"/>
      <c r="I2511" s="10"/>
      <c r="J2511" s="79" t="e">
        <f t="shared" si="179"/>
        <v>#VALUE!</v>
      </c>
      <c r="K2511" s="106"/>
      <c r="L2511" s="141"/>
      <c r="M2511" s="132"/>
      <c r="N2511" s="133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spans="1:24" ht="14.25" customHeight="1">
      <c r="A2512" s="4"/>
      <c r="B2512" s="125">
        <v>46199</v>
      </c>
      <c r="C2512" s="126" t="s">
        <v>1029</v>
      </c>
      <c r="D2512" s="188" t="s">
        <v>285</v>
      </c>
      <c r="E2512" s="10" t="str">
        <f>TRIM(VLOOKUP(D2512,TB!$B$9:$C$1500,2,FALSE))</f>
        <v>Misc Cash Purchase</v>
      </c>
      <c r="F2512" s="142" t="s">
        <v>1030</v>
      </c>
      <c r="G2512" s="130"/>
      <c r="H2512" s="10">
        <v>40000</v>
      </c>
      <c r="I2512" s="10"/>
      <c r="J2512" s="79" t="e">
        <f t="shared" si="179"/>
        <v>#VALUE!</v>
      </c>
      <c r="K2512" s="106"/>
      <c r="L2512" s="141"/>
      <c r="M2512" s="132"/>
      <c r="N2512" s="133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spans="1:24" ht="14.25" customHeight="1">
      <c r="A2513" s="4"/>
      <c r="B2513" s="125">
        <v>46199</v>
      </c>
      <c r="C2513" s="126" t="s">
        <v>1029</v>
      </c>
      <c r="D2513" s="15" t="s">
        <v>124</v>
      </c>
      <c r="E2513" s="10" t="str">
        <f>TRIM(VLOOKUP(D2513,TB!$B$9:$C$1500,2,FALSE))</f>
        <v>Bank charges</v>
      </c>
      <c r="F2513" s="142" t="s">
        <v>1030</v>
      </c>
      <c r="G2513" s="130"/>
      <c r="H2513" s="10">
        <v>2500</v>
      </c>
      <c r="I2513" s="10"/>
      <c r="J2513" s="79" t="e">
        <f t="shared" si="179"/>
        <v>#VALUE!</v>
      </c>
      <c r="K2513" s="106"/>
      <c r="L2513" s="141"/>
      <c r="M2513" s="132"/>
      <c r="N2513" s="133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spans="1:24" ht="14.25" customHeight="1">
      <c r="A2514" s="4"/>
      <c r="B2514" s="125">
        <v>46199</v>
      </c>
      <c r="C2514" s="126" t="s">
        <v>1029</v>
      </c>
      <c r="D2514" s="68" t="s">
        <v>130</v>
      </c>
      <c r="E2514" s="10" t="str">
        <f>TRIM(VLOOKUP(D2514,TB!$B$9:$C$1500,2,FALSE))</f>
        <v>BCA TBB</v>
      </c>
      <c r="F2514" s="142" t="s">
        <v>1030</v>
      </c>
      <c r="G2514" s="130"/>
      <c r="H2514" s="10"/>
      <c r="I2514" s="10">
        <f>SUM(H2512:H2513)</f>
        <v>42500</v>
      </c>
      <c r="J2514" s="79" t="e">
        <f t="shared" si="179"/>
        <v>#VALUE!</v>
      </c>
      <c r="K2514" s="106"/>
      <c r="L2514" s="141"/>
      <c r="M2514" s="132"/>
      <c r="N2514" s="133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spans="1:24" ht="14.25" customHeight="1">
      <c r="A2515" s="4"/>
      <c r="B2515" s="125"/>
      <c r="C2515" s="126"/>
      <c r="D2515" s="159"/>
      <c r="E2515" s="10" t="e">
        <f>TRIM(VLOOKUP(D2515,TB!$B$9:$C$1500,2,FALSE))</f>
        <v>#N/A</v>
      </c>
      <c r="F2515" s="142"/>
      <c r="G2515" s="130"/>
      <c r="H2515" s="10"/>
      <c r="I2515" s="10"/>
      <c r="J2515" s="79" t="e">
        <f t="shared" si="179"/>
        <v>#VALUE!</v>
      </c>
      <c r="K2515" s="106"/>
      <c r="L2515" s="141"/>
      <c r="M2515" s="132"/>
      <c r="N2515" s="133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spans="1:24" ht="14.25" customHeight="1">
      <c r="A2516" s="4"/>
      <c r="B2516" s="125">
        <v>46199</v>
      </c>
      <c r="C2516" s="126" t="s">
        <v>1031</v>
      </c>
      <c r="D2516" s="188" t="s">
        <v>285</v>
      </c>
      <c r="E2516" s="10" t="str">
        <f>TRIM(VLOOKUP(D2516,TB!$B$9:$C$1500,2,FALSE))</f>
        <v>Misc Cash Purchase</v>
      </c>
      <c r="F2516" s="142" t="s">
        <v>1032</v>
      </c>
      <c r="G2516" s="130"/>
      <c r="H2516" s="10">
        <v>160000</v>
      </c>
      <c r="I2516" s="10"/>
      <c r="J2516" s="79" t="e">
        <f t="shared" si="179"/>
        <v>#VALUE!</v>
      </c>
      <c r="K2516" s="106"/>
      <c r="L2516" s="141"/>
      <c r="M2516" s="132"/>
      <c r="N2516" s="133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spans="1:24" ht="14.25" customHeight="1">
      <c r="A2517" s="4"/>
      <c r="B2517" s="125">
        <v>46199</v>
      </c>
      <c r="C2517" s="126" t="s">
        <v>1031</v>
      </c>
      <c r="D2517" s="188" t="s">
        <v>130</v>
      </c>
      <c r="E2517" s="10" t="str">
        <f>TRIM(VLOOKUP(D2517,TB!$B$9:$C$1500,2,FALSE))</f>
        <v>BCA TBB</v>
      </c>
      <c r="F2517" s="142" t="s">
        <v>1032</v>
      </c>
      <c r="G2517" s="130"/>
      <c r="H2517" s="10"/>
      <c r="I2517" s="10">
        <f>H2516</f>
        <v>160000</v>
      </c>
      <c r="J2517" s="79" t="e">
        <f t="shared" si="179"/>
        <v>#VALUE!</v>
      </c>
      <c r="K2517" s="106"/>
      <c r="L2517" s="141"/>
      <c r="M2517" s="132"/>
      <c r="N2517" s="133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spans="1:24" ht="14.25" customHeight="1">
      <c r="A2518" s="4"/>
      <c r="B2518" s="125"/>
      <c r="C2518" s="126"/>
      <c r="D2518" s="159"/>
      <c r="E2518" s="10" t="e">
        <f>TRIM(VLOOKUP(D2518,TB!$B$9:$C$1500,2,FALSE))</f>
        <v>#N/A</v>
      </c>
      <c r="F2518" s="142"/>
      <c r="G2518" s="130"/>
      <c r="H2518" s="10"/>
      <c r="I2518" s="10"/>
      <c r="J2518" s="79" t="e">
        <f t="shared" si="179"/>
        <v>#VALUE!</v>
      </c>
      <c r="K2518" s="106"/>
      <c r="L2518" s="141"/>
      <c r="M2518" s="132"/>
      <c r="N2518" s="133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spans="1:24" ht="14.25" customHeight="1">
      <c r="A2519" s="4"/>
      <c r="B2519" s="125">
        <v>46199</v>
      </c>
      <c r="C2519" s="126" t="s">
        <v>1033</v>
      </c>
      <c r="D2519" s="188" t="s">
        <v>285</v>
      </c>
      <c r="E2519" s="10" t="str">
        <f>TRIM(VLOOKUP(D2519,TB!$B$9:$C$1500,2,FALSE))</f>
        <v>Misc Cash Purchase</v>
      </c>
      <c r="F2519" s="142" t="s">
        <v>1034</v>
      </c>
      <c r="G2519" s="130"/>
      <c r="H2519" s="10">
        <v>660000</v>
      </c>
      <c r="I2519" s="10"/>
      <c r="J2519" s="79" t="e">
        <f t="shared" si="179"/>
        <v>#VALUE!</v>
      </c>
      <c r="K2519" s="106"/>
      <c r="L2519" s="141"/>
      <c r="M2519" s="132"/>
      <c r="N2519" s="133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spans="1:24" ht="14.25" customHeight="1">
      <c r="A2520" s="4"/>
      <c r="B2520" s="125">
        <v>46199</v>
      </c>
      <c r="C2520" s="126" t="s">
        <v>1033</v>
      </c>
      <c r="D2520" s="188" t="s">
        <v>130</v>
      </c>
      <c r="E2520" s="10" t="str">
        <f>TRIM(VLOOKUP(D2520,TB!$B$9:$C$1500,2,FALSE))</f>
        <v>BCA TBB</v>
      </c>
      <c r="F2520" s="142" t="s">
        <v>1034</v>
      </c>
      <c r="G2520" s="130"/>
      <c r="H2520" s="10"/>
      <c r="I2520" s="10">
        <f>H2519</f>
        <v>660000</v>
      </c>
      <c r="J2520" s="79" t="e">
        <f t="shared" si="179"/>
        <v>#VALUE!</v>
      </c>
      <c r="K2520" s="106"/>
      <c r="L2520" s="141"/>
      <c r="M2520" s="132"/>
      <c r="N2520" s="133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spans="1:24" ht="14.25" customHeight="1">
      <c r="A2521" s="4"/>
      <c r="B2521" s="125"/>
      <c r="C2521" s="126"/>
      <c r="D2521" s="159"/>
      <c r="E2521" s="10" t="e">
        <f>TRIM(VLOOKUP(D2521,TB!$B$9:$C$1500,2,FALSE))</f>
        <v>#N/A</v>
      </c>
      <c r="F2521" s="142"/>
      <c r="G2521" s="130"/>
      <c r="H2521" s="10"/>
      <c r="I2521" s="10"/>
      <c r="J2521" s="79" t="e">
        <f t="shared" si="179"/>
        <v>#VALUE!</v>
      </c>
      <c r="K2521" s="106"/>
      <c r="L2521" s="141"/>
      <c r="M2521" s="132"/>
      <c r="N2521" s="133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spans="1:24" ht="14.25" customHeight="1">
      <c r="A2522" s="4"/>
      <c r="B2522" s="125">
        <v>46199</v>
      </c>
      <c r="C2522" s="126" t="s">
        <v>1035</v>
      </c>
      <c r="D2522" s="188" t="s">
        <v>285</v>
      </c>
      <c r="E2522" s="10" t="str">
        <f>TRIM(VLOOKUP(D2522,TB!$B$9:$C$1500,2,FALSE))</f>
        <v>Misc Cash Purchase</v>
      </c>
      <c r="F2522" s="142" t="s">
        <v>1036</v>
      </c>
      <c r="G2522" s="130"/>
      <c r="H2522" s="10">
        <v>90000</v>
      </c>
      <c r="I2522" s="10"/>
      <c r="J2522" s="79" t="e">
        <f t="shared" si="179"/>
        <v>#VALUE!</v>
      </c>
      <c r="K2522" s="106"/>
      <c r="L2522" s="141"/>
      <c r="M2522" s="132"/>
      <c r="N2522" s="133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spans="1:24" ht="14.25" customHeight="1">
      <c r="A2523" s="4"/>
      <c r="B2523" s="125">
        <v>46199</v>
      </c>
      <c r="C2523" s="126" t="s">
        <v>1035</v>
      </c>
      <c r="D2523" s="188" t="s">
        <v>130</v>
      </c>
      <c r="E2523" s="10" t="str">
        <f>TRIM(VLOOKUP(D2523,TB!$B$9:$C$1500,2,FALSE))</f>
        <v>BCA TBB</v>
      </c>
      <c r="F2523" s="142" t="s">
        <v>1036</v>
      </c>
      <c r="G2523" s="130"/>
      <c r="H2523" s="10"/>
      <c r="I2523" s="10">
        <v>90000</v>
      </c>
      <c r="J2523" s="79" t="e">
        <f t="shared" si="179"/>
        <v>#VALUE!</v>
      </c>
      <c r="K2523" s="106"/>
      <c r="L2523" s="141"/>
      <c r="M2523" s="132"/>
      <c r="N2523" s="133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spans="1:24" ht="14.25" customHeight="1">
      <c r="A2524" s="4"/>
      <c r="B2524" s="125"/>
      <c r="C2524" s="126"/>
      <c r="D2524" s="159"/>
      <c r="E2524" s="10" t="e">
        <f>TRIM(VLOOKUP(D2524,TB!$B$9:$C$1500,2,FALSE))</f>
        <v>#N/A</v>
      </c>
      <c r="F2524" s="142"/>
      <c r="G2524" s="130"/>
      <c r="H2524" s="10"/>
      <c r="I2524" s="10"/>
      <c r="J2524" s="79" t="e">
        <f t="shared" si="179"/>
        <v>#VALUE!</v>
      </c>
      <c r="K2524" s="106"/>
      <c r="L2524" s="141"/>
      <c r="M2524" s="132"/>
      <c r="N2524" s="133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spans="1:24" ht="14.25" customHeight="1">
      <c r="A2525" s="4"/>
      <c r="B2525" s="125">
        <v>46199</v>
      </c>
      <c r="C2525" s="126" t="s">
        <v>1037</v>
      </c>
      <c r="D2525" s="188" t="s">
        <v>285</v>
      </c>
      <c r="E2525" s="10" t="str">
        <f>TRIM(VLOOKUP(D2525,TB!$B$9:$C$1500,2,FALSE))</f>
        <v>Misc Cash Purchase</v>
      </c>
      <c r="F2525" s="142" t="s">
        <v>1038</v>
      </c>
      <c r="G2525" s="130"/>
      <c r="H2525" s="10">
        <v>180000</v>
      </c>
      <c r="I2525" s="10"/>
      <c r="J2525" s="79" t="e">
        <f t="shared" si="179"/>
        <v>#VALUE!</v>
      </c>
      <c r="K2525" s="106"/>
      <c r="L2525" s="141"/>
      <c r="M2525" s="132"/>
      <c r="N2525" s="133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spans="1:24" ht="14.25" customHeight="1">
      <c r="A2526" s="4"/>
      <c r="B2526" s="125">
        <v>46199</v>
      </c>
      <c r="C2526" s="126" t="s">
        <v>1037</v>
      </c>
      <c r="D2526" s="15" t="s">
        <v>124</v>
      </c>
      <c r="E2526" s="10" t="str">
        <f>TRIM(VLOOKUP(D2526,TB!$B$9:$C$1500,2,FALSE))</f>
        <v>Bank charges</v>
      </c>
      <c r="F2526" s="142" t="s">
        <v>1038</v>
      </c>
      <c r="G2526" s="130"/>
      <c r="H2526" s="10">
        <v>2500</v>
      </c>
      <c r="I2526" s="10"/>
      <c r="J2526" s="79" t="e">
        <f t="shared" si="179"/>
        <v>#VALUE!</v>
      </c>
      <c r="K2526" s="106"/>
      <c r="L2526" s="141"/>
      <c r="M2526" s="132"/>
      <c r="N2526" s="133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spans="1:24" ht="14.25" customHeight="1">
      <c r="A2527" s="4"/>
      <c r="B2527" s="125">
        <v>46199</v>
      </c>
      <c r="C2527" s="126" t="s">
        <v>1037</v>
      </c>
      <c r="D2527" s="68" t="s">
        <v>130</v>
      </c>
      <c r="E2527" s="10" t="str">
        <f>TRIM(VLOOKUP(D2527,TB!$B$9:$C$1500,2,FALSE))</f>
        <v>BCA TBB</v>
      </c>
      <c r="F2527" s="142" t="s">
        <v>1038</v>
      </c>
      <c r="G2527" s="130"/>
      <c r="H2527" s="10"/>
      <c r="I2527" s="10">
        <f>SUM(H2525:H2526)</f>
        <v>182500</v>
      </c>
      <c r="J2527" s="79" t="e">
        <f t="shared" si="179"/>
        <v>#VALUE!</v>
      </c>
      <c r="K2527" s="106"/>
      <c r="L2527" s="141"/>
      <c r="M2527" s="132"/>
      <c r="N2527" s="133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spans="1:24" ht="14.25" customHeight="1">
      <c r="A2528" s="4"/>
      <c r="B2528" s="125"/>
      <c r="C2528" s="126"/>
      <c r="D2528" s="159"/>
      <c r="E2528" s="10" t="e">
        <f>TRIM(VLOOKUP(D2528,TB!$B$9:$C$1500,2,FALSE))</f>
        <v>#N/A</v>
      </c>
      <c r="F2528" s="142"/>
      <c r="G2528" s="130"/>
      <c r="H2528" s="10"/>
      <c r="I2528" s="10"/>
      <c r="J2528" s="79" t="e">
        <f t="shared" si="179"/>
        <v>#VALUE!</v>
      </c>
      <c r="K2528" s="106"/>
      <c r="L2528" s="141"/>
      <c r="M2528" s="132"/>
      <c r="N2528" s="133"/>
      <c r="O2528" s="4"/>
      <c r="P2528" s="4"/>
      <c r="Q2528" s="4"/>
      <c r="R2528" s="4"/>
      <c r="S2528" s="4"/>
      <c r="T2528" s="4"/>
      <c r="U2528" s="4"/>
      <c r="V2528" s="4"/>
      <c r="W2528" s="4"/>
      <c r="X2528" s="4"/>
    </row>
    <row r="2529" spans="1:24" ht="14.25" customHeight="1">
      <c r="A2529" s="4"/>
      <c r="B2529" s="125">
        <v>46199</v>
      </c>
      <c r="C2529" s="126" t="s">
        <v>1039</v>
      </c>
      <c r="D2529" s="68" t="s">
        <v>285</v>
      </c>
      <c r="E2529" s="10" t="str">
        <f>TRIM(VLOOKUP(D2529,TB!$B$9:$C$1500,2,FALSE))</f>
        <v>Misc Cash Purchase</v>
      </c>
      <c r="F2529" s="142" t="s">
        <v>1040</v>
      </c>
      <c r="G2529" s="130"/>
      <c r="H2529" s="10">
        <v>1802264</v>
      </c>
      <c r="I2529" s="10"/>
      <c r="J2529" s="79" t="e">
        <f t="shared" si="179"/>
        <v>#VALUE!</v>
      </c>
      <c r="K2529" s="106"/>
      <c r="L2529" s="141"/>
      <c r="M2529" s="132"/>
      <c r="N2529" s="133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spans="1:24" ht="14.25" customHeight="1">
      <c r="A2530" s="4"/>
      <c r="B2530" s="125">
        <v>46199</v>
      </c>
      <c r="C2530" s="126" t="s">
        <v>1039</v>
      </c>
      <c r="D2530" s="15" t="s">
        <v>124</v>
      </c>
      <c r="E2530" s="10" t="str">
        <f>TRIM(VLOOKUP(D2530,TB!$B$9:$C$1500,2,FALSE))</f>
        <v>Bank charges</v>
      </c>
      <c r="F2530" s="142" t="s">
        <v>1040</v>
      </c>
      <c r="G2530" s="130"/>
      <c r="H2530" s="10">
        <v>2500</v>
      </c>
      <c r="I2530" s="10"/>
      <c r="J2530" s="79" t="e">
        <f t="shared" si="179"/>
        <v>#VALUE!</v>
      </c>
      <c r="K2530" s="106"/>
      <c r="L2530" s="141"/>
      <c r="M2530" s="132"/>
      <c r="N2530" s="133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spans="1:24" ht="14.25" customHeight="1">
      <c r="A2531" s="4"/>
      <c r="B2531" s="125">
        <v>46199</v>
      </c>
      <c r="C2531" s="126" t="s">
        <v>1039</v>
      </c>
      <c r="D2531" s="68" t="s">
        <v>130</v>
      </c>
      <c r="E2531" s="10" t="str">
        <f>TRIM(VLOOKUP(D2531,TB!$B$9:$C$1500,2,FALSE))</f>
        <v>BCA TBB</v>
      </c>
      <c r="F2531" s="142" t="s">
        <v>1040</v>
      </c>
      <c r="G2531" s="130"/>
      <c r="H2531" s="10"/>
      <c r="I2531" s="10">
        <f>SUM(H2529:H2530)</f>
        <v>1804764</v>
      </c>
      <c r="J2531" s="79" t="e">
        <f t="shared" si="179"/>
        <v>#VALUE!</v>
      </c>
      <c r="K2531" s="106"/>
      <c r="L2531" s="141"/>
      <c r="M2531" s="132"/>
      <c r="N2531" s="133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spans="1:24" ht="14.25" customHeight="1">
      <c r="A2532" s="4"/>
      <c r="B2532" s="125"/>
      <c r="C2532" s="126"/>
      <c r="D2532" s="159"/>
      <c r="E2532" s="10" t="e">
        <f>TRIM(VLOOKUP(D2532,TB!$B$9:$C$1500,2,FALSE))</f>
        <v>#N/A</v>
      </c>
      <c r="F2532" s="142"/>
      <c r="G2532" s="130"/>
      <c r="H2532" s="10"/>
      <c r="I2532" s="10"/>
      <c r="J2532" s="79" t="e">
        <f t="shared" si="179"/>
        <v>#VALUE!</v>
      </c>
      <c r="K2532" s="106"/>
      <c r="L2532" s="141"/>
      <c r="M2532" s="132"/>
      <c r="N2532" s="133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spans="1:24" ht="14.25" customHeight="1">
      <c r="A2533" s="4"/>
      <c r="B2533" s="125">
        <v>46199</v>
      </c>
      <c r="C2533" s="126" t="s">
        <v>1041</v>
      </c>
      <c r="D2533" s="68" t="s">
        <v>285</v>
      </c>
      <c r="E2533" s="10" t="str">
        <f>TRIM(VLOOKUP(D2533,TB!$B$9:$C$1500,2,FALSE))</f>
        <v>Misc Cash Purchase</v>
      </c>
      <c r="F2533" s="142" t="s">
        <v>1042</v>
      </c>
      <c r="G2533" s="130"/>
      <c r="H2533" s="10">
        <v>1279676</v>
      </c>
      <c r="I2533" s="10"/>
      <c r="J2533" s="79" t="e">
        <f t="shared" si="179"/>
        <v>#VALUE!</v>
      </c>
      <c r="K2533" s="106"/>
      <c r="L2533" s="141"/>
      <c r="M2533" s="132"/>
      <c r="N2533" s="133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spans="1:24" ht="14.25" customHeight="1">
      <c r="A2534" s="4"/>
      <c r="B2534" s="125">
        <v>46199</v>
      </c>
      <c r="C2534" s="126" t="s">
        <v>1041</v>
      </c>
      <c r="D2534" s="68" t="s">
        <v>130</v>
      </c>
      <c r="E2534" s="10" t="str">
        <f>TRIM(VLOOKUP(D2534,TB!$B$9:$C$1500,2,FALSE))</f>
        <v>BCA TBB</v>
      </c>
      <c r="F2534" s="142" t="s">
        <v>1042</v>
      </c>
      <c r="G2534" s="130"/>
      <c r="H2534" s="10"/>
      <c r="I2534" s="10">
        <v>1279676</v>
      </c>
      <c r="J2534" s="79" t="e">
        <f t="shared" si="179"/>
        <v>#VALUE!</v>
      </c>
      <c r="K2534" s="106"/>
      <c r="L2534" s="141"/>
      <c r="M2534" s="132"/>
      <c r="N2534" s="133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spans="1:24" ht="14.25" customHeight="1">
      <c r="A2535" s="4"/>
      <c r="B2535" s="125"/>
      <c r="C2535" s="126"/>
      <c r="D2535" s="159"/>
      <c r="E2535" s="10" t="e">
        <f>TRIM(VLOOKUP(D2535,TB!$B$9:$C$1500,2,FALSE))</f>
        <v>#N/A</v>
      </c>
      <c r="F2535" s="142"/>
      <c r="G2535" s="130"/>
      <c r="H2535" s="10"/>
      <c r="I2535" s="10"/>
      <c r="J2535" s="79" t="e">
        <f t="shared" si="179"/>
        <v>#VALUE!</v>
      </c>
      <c r="K2535" s="106"/>
      <c r="L2535" s="141"/>
      <c r="M2535" s="132"/>
      <c r="N2535" s="133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spans="1:24" ht="14.25" customHeight="1">
      <c r="A2536" s="4"/>
      <c r="B2536" s="125">
        <v>46199</v>
      </c>
      <c r="C2536" s="126" t="s">
        <v>1043</v>
      </c>
      <c r="D2536" s="68" t="s">
        <v>285</v>
      </c>
      <c r="E2536" s="10" t="str">
        <f>TRIM(VLOOKUP(D2536,TB!$B$9:$C$1500,2,FALSE))</f>
        <v>Misc Cash Purchase</v>
      </c>
      <c r="F2536" s="142" t="s">
        <v>1044</v>
      </c>
      <c r="G2536" s="130"/>
      <c r="H2536" s="10">
        <v>2905840</v>
      </c>
      <c r="I2536" s="10"/>
      <c r="J2536" s="79" t="e">
        <f t="shared" si="179"/>
        <v>#VALUE!</v>
      </c>
      <c r="K2536" s="106"/>
      <c r="L2536" s="141"/>
      <c r="M2536" s="132"/>
      <c r="N2536" s="133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spans="1:24" ht="14.25" customHeight="1">
      <c r="A2537" s="4"/>
      <c r="B2537" s="125">
        <v>46199</v>
      </c>
      <c r="C2537" s="126" t="s">
        <v>1043</v>
      </c>
      <c r="D2537" s="68" t="s">
        <v>130</v>
      </c>
      <c r="E2537" s="10" t="str">
        <f>TRIM(VLOOKUP(D2537,TB!$B$9:$C$1500,2,FALSE))</f>
        <v>BCA TBB</v>
      </c>
      <c r="F2537" s="142" t="s">
        <v>1044</v>
      </c>
      <c r="G2537" s="130"/>
      <c r="H2537" s="10"/>
      <c r="I2537" s="10">
        <v>2905840</v>
      </c>
      <c r="J2537" s="79" t="e">
        <f t="shared" si="179"/>
        <v>#VALUE!</v>
      </c>
      <c r="K2537" s="106"/>
      <c r="L2537" s="141"/>
      <c r="M2537" s="132"/>
      <c r="N2537" s="133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spans="1:24" ht="14.25" customHeight="1">
      <c r="A2538" s="4"/>
      <c r="B2538" s="125"/>
      <c r="C2538" s="126"/>
      <c r="D2538" s="159"/>
      <c r="E2538" s="10" t="e">
        <f>TRIM(VLOOKUP(D2538,TB!$B$9:$C$1500,2,FALSE))</f>
        <v>#N/A</v>
      </c>
      <c r="F2538" s="142"/>
      <c r="G2538" s="130"/>
      <c r="H2538" s="10"/>
      <c r="I2538" s="10"/>
      <c r="J2538" s="79" t="e">
        <f t="shared" si="179"/>
        <v>#VALUE!</v>
      </c>
      <c r="K2538" s="106"/>
      <c r="L2538" s="141"/>
      <c r="M2538" s="132"/>
      <c r="N2538" s="133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spans="1:24" ht="14.25" customHeight="1">
      <c r="A2539" s="4"/>
      <c r="B2539" s="125">
        <v>46202</v>
      </c>
      <c r="C2539" s="126" t="s">
        <v>1045</v>
      </c>
      <c r="D2539" s="68" t="s">
        <v>130</v>
      </c>
      <c r="E2539" s="10" t="str">
        <f>TRIM(VLOOKUP(D2539,TB!$B$9:$C$1500,2,FALSE))</f>
        <v>BCA TBB</v>
      </c>
      <c r="F2539" s="142" t="s">
        <v>1046</v>
      </c>
      <c r="G2539" s="130"/>
      <c r="H2539" s="10">
        <f>I2541-H2540</f>
        <v>4761806.38</v>
      </c>
      <c r="I2539" s="10"/>
      <c r="J2539" s="79" t="e">
        <f t="shared" si="179"/>
        <v>#VALUE!</v>
      </c>
      <c r="K2539" s="106"/>
      <c r="L2539" s="141"/>
      <c r="M2539" s="132"/>
      <c r="N2539" s="133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spans="1:24" ht="14.25" customHeight="1">
      <c r="A2540" s="4"/>
      <c r="B2540" s="125">
        <v>46202</v>
      </c>
      <c r="C2540" s="126" t="s">
        <v>1045</v>
      </c>
      <c r="D2540" s="15" t="s">
        <v>124</v>
      </c>
      <c r="E2540" s="10" t="str">
        <f>TRIM(VLOOKUP(D2540,TB!$B$9:$C$1500,2,FALSE))</f>
        <v>Bank charges</v>
      </c>
      <c r="F2540" s="142" t="s">
        <v>1046</v>
      </c>
      <c r="G2540" s="130"/>
      <c r="H2540" s="155">
        <f>I2541*1.8%</f>
        <v>87283.62000000001</v>
      </c>
      <c r="I2540" s="10"/>
      <c r="J2540" s="79" t="e">
        <f t="shared" si="179"/>
        <v>#VALUE!</v>
      </c>
      <c r="K2540" s="106"/>
      <c r="L2540" s="141"/>
      <c r="M2540" s="132"/>
      <c r="N2540" s="133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spans="1:24" ht="14.25" customHeight="1">
      <c r="A2541" s="4"/>
      <c r="B2541" s="125">
        <v>46202</v>
      </c>
      <c r="C2541" s="126" t="s">
        <v>1045</v>
      </c>
      <c r="D2541" s="15" t="s">
        <v>42</v>
      </c>
      <c r="E2541" s="10" t="str">
        <f>TRIM(VLOOKUP(D2541,TB!$B$9:$C$1500,2,FALSE))</f>
        <v>BCA Card TBB</v>
      </c>
      <c r="F2541" s="142" t="s">
        <v>1046</v>
      </c>
      <c r="G2541" s="130"/>
      <c r="H2541" s="10"/>
      <c r="I2541" s="10">
        <v>4849090</v>
      </c>
      <c r="J2541" s="79" t="e">
        <f t="shared" si="179"/>
        <v>#VALUE!</v>
      </c>
      <c r="K2541" s="106"/>
      <c r="L2541" s="141"/>
      <c r="M2541" s="132"/>
      <c r="N2541" s="133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spans="1:24" ht="14.25" customHeight="1">
      <c r="A2542" s="4"/>
      <c r="B2542" s="125"/>
      <c r="C2542" s="126"/>
      <c r="D2542" s="159"/>
      <c r="E2542" s="10" t="e">
        <f>TRIM(VLOOKUP(D2542,TB!$B$9:$C$1500,2,FALSE))</f>
        <v>#N/A</v>
      </c>
      <c r="F2542" s="142"/>
      <c r="G2542" s="130"/>
      <c r="H2542" s="10"/>
      <c r="I2542" s="10"/>
      <c r="J2542" s="79" t="e">
        <f t="shared" si="179"/>
        <v>#VALUE!</v>
      </c>
      <c r="K2542" s="106"/>
      <c r="L2542" s="141"/>
      <c r="M2542" s="132"/>
      <c r="N2542" s="133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spans="1:24" ht="14.25" customHeight="1">
      <c r="A2543" s="4"/>
      <c r="B2543" s="125">
        <v>46202</v>
      </c>
      <c r="C2543" s="126" t="s">
        <v>1047</v>
      </c>
      <c r="D2543" s="68" t="s">
        <v>130</v>
      </c>
      <c r="E2543" s="10" t="str">
        <f>TRIM(VLOOKUP(D2543,TB!$B$9:$C$1500,2,FALSE))</f>
        <v>BCA TBB</v>
      </c>
      <c r="F2543" s="142" t="s">
        <v>1048</v>
      </c>
      <c r="G2543" s="130"/>
      <c r="H2543" s="10">
        <f>I2545-H2544</f>
        <v>531674.43999999994</v>
      </c>
      <c r="I2543" s="10"/>
      <c r="J2543" s="79" t="e">
        <f t="shared" si="179"/>
        <v>#VALUE!</v>
      </c>
      <c r="K2543" s="106"/>
      <c r="L2543" s="141"/>
      <c r="M2543" s="132"/>
      <c r="N2543" s="133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spans="1:24" ht="14.25" customHeight="1">
      <c r="A2544" s="4"/>
      <c r="B2544" s="125">
        <v>46202</v>
      </c>
      <c r="C2544" s="126" t="s">
        <v>1047</v>
      </c>
      <c r="D2544" s="15" t="s">
        <v>124</v>
      </c>
      <c r="E2544" s="10" t="str">
        <f>TRIM(VLOOKUP(D2544,TB!$B$9:$C$1500,2,FALSE))</f>
        <v>Bank charges</v>
      </c>
      <c r="F2544" s="142" t="s">
        <v>1048</v>
      </c>
      <c r="G2544" s="130"/>
      <c r="H2544" s="155">
        <f>I2545*1.8%</f>
        <v>9745.5600000000013</v>
      </c>
      <c r="I2544" s="10"/>
      <c r="J2544" s="79" t="e">
        <f t="shared" si="179"/>
        <v>#VALUE!</v>
      </c>
      <c r="K2544" s="106"/>
      <c r="L2544" s="141"/>
      <c r="M2544" s="132"/>
      <c r="N2544" s="133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spans="1:24" ht="14.25" customHeight="1">
      <c r="A2545" s="4"/>
      <c r="B2545" s="125">
        <v>46202</v>
      </c>
      <c r="C2545" s="126" t="s">
        <v>1047</v>
      </c>
      <c r="D2545" s="15" t="s">
        <v>42</v>
      </c>
      <c r="E2545" s="10" t="str">
        <f>TRIM(VLOOKUP(D2545,TB!$B$9:$C$1500,2,FALSE))</f>
        <v>BCA Card TBB</v>
      </c>
      <c r="F2545" s="142" t="s">
        <v>1048</v>
      </c>
      <c r="G2545" s="130"/>
      <c r="H2545" s="10"/>
      <c r="I2545" s="10">
        <v>541420</v>
      </c>
      <c r="J2545" s="79" t="e">
        <f t="shared" si="179"/>
        <v>#VALUE!</v>
      </c>
      <c r="K2545" s="106"/>
      <c r="L2545" s="141"/>
      <c r="M2545" s="132"/>
      <c r="N2545" s="133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spans="1:24" ht="14.25" customHeight="1">
      <c r="A2546" s="4"/>
      <c r="B2546" s="125"/>
      <c r="C2546" s="126"/>
      <c r="D2546" s="159"/>
      <c r="E2546" s="10" t="e">
        <f>TRIM(VLOOKUP(D2546,TB!$B$9:$C$1500,2,FALSE))</f>
        <v>#N/A</v>
      </c>
      <c r="F2546" s="142"/>
      <c r="G2546" s="130"/>
      <c r="H2546" s="10"/>
      <c r="I2546" s="10"/>
      <c r="J2546" s="79" t="e">
        <f t="shared" si="179"/>
        <v>#VALUE!</v>
      </c>
      <c r="K2546" s="106"/>
      <c r="L2546" s="141"/>
      <c r="M2546" s="132"/>
      <c r="N2546" s="133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spans="1:24" ht="14.25" customHeight="1">
      <c r="A2547" s="4"/>
      <c r="B2547" s="125">
        <v>46202</v>
      </c>
      <c r="C2547" s="126" t="s">
        <v>1049</v>
      </c>
      <c r="D2547" s="68" t="s">
        <v>130</v>
      </c>
      <c r="E2547" s="10" t="str">
        <f>TRIM(VLOOKUP(D2547,TB!$B$9:$C$1500,2,FALSE))</f>
        <v>BCA TBB</v>
      </c>
      <c r="F2547" s="142" t="s">
        <v>1050</v>
      </c>
      <c r="G2547" s="130"/>
      <c r="H2547" s="10">
        <f>I2549-H2548</f>
        <v>8022674.8600000003</v>
      </c>
      <c r="I2547" s="10"/>
      <c r="J2547" s="79" t="e">
        <f t="shared" si="179"/>
        <v>#VALUE!</v>
      </c>
      <c r="K2547" s="106"/>
      <c r="L2547" s="141"/>
      <c r="M2547" s="132"/>
      <c r="N2547" s="133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spans="1:24" ht="14.25" customHeight="1">
      <c r="A2548" s="4"/>
      <c r="B2548" s="125">
        <v>46202</v>
      </c>
      <c r="C2548" s="126" t="s">
        <v>1049</v>
      </c>
      <c r="D2548" s="15" t="s">
        <v>124</v>
      </c>
      <c r="E2548" s="10" t="str">
        <f>TRIM(VLOOKUP(D2548,TB!$B$9:$C$1500,2,FALSE))</f>
        <v>Bank charges</v>
      </c>
      <c r="F2548" s="142" t="s">
        <v>1050</v>
      </c>
      <c r="G2548" s="130"/>
      <c r="H2548" s="155">
        <f>I2549*1.8%</f>
        <v>147055.14000000001</v>
      </c>
      <c r="I2548" s="10"/>
      <c r="J2548" s="79" t="e">
        <f t="shared" si="179"/>
        <v>#VALUE!</v>
      </c>
      <c r="K2548" s="106"/>
      <c r="L2548" s="141"/>
      <c r="M2548" s="132"/>
      <c r="N2548" s="133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spans="1:24" ht="14.25" customHeight="1">
      <c r="A2549" s="4"/>
      <c r="B2549" s="125">
        <v>46202</v>
      </c>
      <c r="C2549" s="126" t="s">
        <v>1049</v>
      </c>
      <c r="D2549" s="15" t="s">
        <v>42</v>
      </c>
      <c r="E2549" s="10" t="str">
        <f>TRIM(VLOOKUP(D2549,TB!$B$9:$C$1500,2,FALSE))</f>
        <v>BCA Card TBB</v>
      </c>
      <c r="F2549" s="142" t="s">
        <v>1050</v>
      </c>
      <c r="G2549" s="130"/>
      <c r="H2549" s="10"/>
      <c r="I2549" s="10">
        <v>8169730</v>
      </c>
      <c r="J2549" s="79" t="e">
        <f t="shared" si="179"/>
        <v>#VALUE!</v>
      </c>
      <c r="K2549" s="106"/>
      <c r="L2549" s="141"/>
      <c r="M2549" s="132"/>
      <c r="N2549" s="133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spans="1:24" ht="14.25" customHeight="1">
      <c r="A2550" s="4"/>
      <c r="B2550" s="125"/>
      <c r="C2550" s="126"/>
      <c r="D2550" s="159"/>
      <c r="E2550" s="10" t="e">
        <f>TRIM(VLOOKUP(D2550,TB!$B$9:$C$1500,2,FALSE))</f>
        <v>#N/A</v>
      </c>
      <c r="F2550" s="142"/>
      <c r="G2550" s="130"/>
      <c r="H2550" s="10"/>
      <c r="I2550" s="10"/>
      <c r="J2550" s="79" t="e">
        <f t="shared" si="179"/>
        <v>#VALUE!</v>
      </c>
      <c r="K2550" s="106"/>
      <c r="L2550" s="141"/>
      <c r="M2550" s="132"/>
      <c r="N2550" s="133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spans="1:24" ht="14.25" customHeight="1">
      <c r="A2551" s="4"/>
      <c r="B2551" s="125">
        <v>46202</v>
      </c>
      <c r="C2551" s="126" t="s">
        <v>1051</v>
      </c>
      <c r="D2551" s="68" t="s">
        <v>130</v>
      </c>
      <c r="E2551" s="10" t="str">
        <f>TRIM(VLOOKUP(D2551,TB!$B$9:$C$1500,2,FALSE))</f>
        <v>BCA TBB</v>
      </c>
      <c r="F2551" s="142" t="s">
        <v>1052</v>
      </c>
      <c r="G2551" s="130"/>
      <c r="H2551" s="10">
        <f>I2553-H2552</f>
        <v>7928884.04</v>
      </c>
      <c r="I2551" s="10"/>
      <c r="J2551" s="79" t="e">
        <f t="shared" si="179"/>
        <v>#VALUE!</v>
      </c>
      <c r="K2551" s="106"/>
      <c r="L2551" s="141"/>
      <c r="M2551" s="132"/>
      <c r="N2551" s="133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spans="1:24" ht="14.25" customHeight="1">
      <c r="A2552" s="4"/>
      <c r="B2552" s="125">
        <v>46202</v>
      </c>
      <c r="C2552" s="126" t="s">
        <v>1051</v>
      </c>
      <c r="D2552" s="15" t="s">
        <v>124</v>
      </c>
      <c r="E2552" s="10" t="str">
        <f>TRIM(VLOOKUP(D2552,TB!$B$9:$C$1500,2,FALSE))</f>
        <v>Bank charges</v>
      </c>
      <c r="F2552" s="142" t="s">
        <v>1052</v>
      </c>
      <c r="G2552" s="130"/>
      <c r="H2552" s="155">
        <f>I2553*1.8%</f>
        <v>145335.96000000002</v>
      </c>
      <c r="I2552" s="10"/>
      <c r="J2552" s="79" t="e">
        <f t="shared" si="179"/>
        <v>#VALUE!</v>
      </c>
      <c r="K2552" s="106"/>
      <c r="L2552" s="141"/>
      <c r="M2552" s="132"/>
      <c r="N2552" s="133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spans="1:24" ht="14.25" customHeight="1">
      <c r="A2553" s="4"/>
      <c r="B2553" s="125">
        <v>46202</v>
      </c>
      <c r="C2553" s="126" t="s">
        <v>1051</v>
      </c>
      <c r="D2553" s="15" t="s">
        <v>42</v>
      </c>
      <c r="E2553" s="10" t="str">
        <f>TRIM(VLOOKUP(D2553,TB!$B$9:$C$1500,2,FALSE))</f>
        <v>BCA Card TBB</v>
      </c>
      <c r="F2553" s="142" t="s">
        <v>1052</v>
      </c>
      <c r="G2553" s="130"/>
      <c r="H2553" s="10"/>
      <c r="I2553" s="10">
        <v>8074220</v>
      </c>
      <c r="J2553" s="79" t="e">
        <f t="shared" si="179"/>
        <v>#VALUE!</v>
      </c>
      <c r="K2553" s="106"/>
      <c r="L2553" s="141"/>
      <c r="M2553" s="132"/>
      <c r="N2553" s="133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spans="1:24" ht="14.25" customHeight="1">
      <c r="A2554" s="4"/>
      <c r="B2554" s="125"/>
      <c r="C2554" s="126"/>
      <c r="D2554" s="159"/>
      <c r="E2554" s="10" t="e">
        <f>TRIM(VLOOKUP(D2554,TB!$B$9:$C$1500,2,FALSE))</f>
        <v>#N/A</v>
      </c>
      <c r="F2554" s="142"/>
      <c r="G2554" s="130"/>
      <c r="H2554" s="10"/>
      <c r="I2554" s="10"/>
      <c r="J2554" s="79" t="e">
        <f t="shared" si="179"/>
        <v>#VALUE!</v>
      </c>
      <c r="K2554" s="106"/>
      <c r="L2554" s="141"/>
      <c r="M2554" s="132"/>
      <c r="N2554" s="133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spans="1:24" ht="14.25" customHeight="1">
      <c r="A2555" s="4"/>
      <c r="B2555" s="125">
        <v>46202</v>
      </c>
      <c r="C2555" s="126" t="s">
        <v>1053</v>
      </c>
      <c r="D2555" s="68" t="s">
        <v>130</v>
      </c>
      <c r="E2555" s="10" t="str">
        <f>TRIM(VLOOKUP(D2555,TB!$B$9:$C$1500,2,FALSE))</f>
        <v>BCA TBB</v>
      </c>
      <c r="F2555" s="142" t="s">
        <v>1054</v>
      </c>
      <c r="G2555" s="130"/>
      <c r="H2555" s="10">
        <f>I2557-H2556</f>
        <v>832186.08</v>
      </c>
      <c r="I2555" s="10"/>
      <c r="J2555" s="79" t="e">
        <f t="shared" si="179"/>
        <v>#VALUE!</v>
      </c>
      <c r="K2555" s="106"/>
      <c r="L2555" s="141"/>
      <c r="M2555" s="132"/>
      <c r="N2555" s="133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spans="1:24" ht="14.25" customHeight="1">
      <c r="A2556" s="4"/>
      <c r="B2556" s="125">
        <v>46202</v>
      </c>
      <c r="C2556" s="126" t="s">
        <v>1053</v>
      </c>
      <c r="D2556" s="15" t="s">
        <v>124</v>
      </c>
      <c r="E2556" s="10" t="str">
        <f>TRIM(VLOOKUP(D2556,TB!$B$9:$C$1500,2,FALSE))</f>
        <v>Bank charges</v>
      </c>
      <c r="F2556" s="142" t="s">
        <v>1054</v>
      </c>
      <c r="G2556" s="130"/>
      <c r="H2556" s="155">
        <f>I2557*1.8%</f>
        <v>15253.920000000002</v>
      </c>
      <c r="I2556" s="10"/>
      <c r="J2556" s="79" t="e">
        <f t="shared" si="179"/>
        <v>#VALUE!</v>
      </c>
      <c r="K2556" s="106"/>
      <c r="L2556" s="141"/>
      <c r="M2556" s="132"/>
      <c r="N2556" s="133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spans="1:24" ht="14.25" customHeight="1">
      <c r="A2557" s="4"/>
      <c r="B2557" s="125">
        <v>46202</v>
      </c>
      <c r="C2557" s="126" t="s">
        <v>1053</v>
      </c>
      <c r="D2557" s="15" t="s">
        <v>42</v>
      </c>
      <c r="E2557" s="10" t="str">
        <f>TRIM(VLOOKUP(D2557,TB!$B$9:$C$1500,2,FALSE))</f>
        <v>BCA Card TBB</v>
      </c>
      <c r="F2557" s="142" t="s">
        <v>1054</v>
      </c>
      <c r="G2557" s="130"/>
      <c r="H2557" s="10"/>
      <c r="I2557" s="10">
        <v>847440</v>
      </c>
      <c r="J2557" s="79" t="e">
        <f t="shared" si="179"/>
        <v>#VALUE!</v>
      </c>
      <c r="K2557" s="106"/>
      <c r="L2557" s="141"/>
      <c r="M2557" s="132"/>
      <c r="N2557" s="133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spans="1:24" ht="14.25" customHeight="1">
      <c r="A2558" s="4"/>
      <c r="B2558" s="125"/>
      <c r="C2558" s="126"/>
      <c r="D2558" s="159"/>
      <c r="E2558" s="10" t="e">
        <f>TRIM(VLOOKUP(D2558,TB!$B$9:$C$1500,2,FALSE))</f>
        <v>#N/A</v>
      </c>
      <c r="F2558" s="142"/>
      <c r="G2558" s="130"/>
      <c r="H2558" s="10"/>
      <c r="I2558" s="10"/>
      <c r="J2558" s="79" t="e">
        <f t="shared" si="179"/>
        <v>#VALUE!</v>
      </c>
      <c r="K2558" s="106"/>
      <c r="L2558" s="141"/>
      <c r="M2558" s="132"/>
      <c r="N2558" s="133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spans="1:24" ht="14.25" customHeight="1">
      <c r="A2559" s="4"/>
      <c r="B2559" s="125">
        <v>46202</v>
      </c>
      <c r="C2559" s="126" t="s">
        <v>1055</v>
      </c>
      <c r="D2559" s="68" t="s">
        <v>130</v>
      </c>
      <c r="E2559" s="10" t="str">
        <f>TRIM(VLOOKUP(D2559,TB!$B$9:$C$1500,2,FALSE))</f>
        <v>BCA TBB</v>
      </c>
      <c r="F2559" s="142" t="s">
        <v>1056</v>
      </c>
      <c r="G2559" s="130"/>
      <c r="H2559" s="10">
        <f>I2561-H2560</f>
        <v>7246953.7800000003</v>
      </c>
      <c r="I2559" s="10"/>
      <c r="J2559" s="79" t="e">
        <f t="shared" si="179"/>
        <v>#VALUE!</v>
      </c>
      <c r="K2559" s="106"/>
      <c r="L2559" s="141"/>
      <c r="M2559" s="132"/>
      <c r="N2559" s="133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spans="1:24" ht="14.25" customHeight="1">
      <c r="A2560" s="4"/>
      <c r="B2560" s="125">
        <v>46202</v>
      </c>
      <c r="C2560" s="126" t="s">
        <v>1055</v>
      </c>
      <c r="D2560" s="15" t="s">
        <v>124</v>
      </c>
      <c r="E2560" s="10" t="str">
        <f>TRIM(VLOOKUP(D2560,TB!$B$9:$C$1500,2,FALSE))</f>
        <v>Bank charges</v>
      </c>
      <c r="F2560" s="142" t="s">
        <v>1056</v>
      </c>
      <c r="G2560" s="130"/>
      <c r="H2560" s="155">
        <f>I2561*1.8%</f>
        <v>132836.22</v>
      </c>
      <c r="I2560" s="10"/>
      <c r="J2560" s="79" t="e">
        <f t="shared" si="179"/>
        <v>#VALUE!</v>
      </c>
      <c r="K2560" s="106"/>
      <c r="L2560" s="141"/>
      <c r="M2560" s="132"/>
      <c r="N2560" s="133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spans="1:24" ht="14.25" customHeight="1">
      <c r="A2561" s="4"/>
      <c r="B2561" s="125">
        <v>46202</v>
      </c>
      <c r="C2561" s="126" t="s">
        <v>1055</v>
      </c>
      <c r="D2561" s="15" t="s">
        <v>42</v>
      </c>
      <c r="E2561" s="10" t="str">
        <f>TRIM(VLOOKUP(D2561,TB!$B$9:$C$1500,2,FALSE))</f>
        <v>BCA Card TBB</v>
      </c>
      <c r="F2561" s="142" t="s">
        <v>1056</v>
      </c>
      <c r="G2561" s="130"/>
      <c r="H2561" s="10"/>
      <c r="I2561" s="10">
        <v>7379790</v>
      </c>
      <c r="J2561" s="79" t="e">
        <f t="shared" si="179"/>
        <v>#VALUE!</v>
      </c>
      <c r="K2561" s="106"/>
      <c r="L2561" s="141"/>
      <c r="M2561" s="132"/>
      <c r="N2561" s="133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spans="1:24" ht="14.25" customHeight="1">
      <c r="A2562" s="4"/>
      <c r="B2562" s="125"/>
      <c r="C2562" s="126"/>
      <c r="D2562" s="159"/>
      <c r="E2562" s="10" t="e">
        <f>TRIM(VLOOKUP(D2562,TB!$B$9:$C$1500,2,FALSE))</f>
        <v>#N/A</v>
      </c>
      <c r="F2562" s="142"/>
      <c r="G2562" s="130"/>
      <c r="H2562" s="10"/>
      <c r="I2562" s="10"/>
      <c r="J2562" s="79" t="e">
        <f t="shared" si="179"/>
        <v>#VALUE!</v>
      </c>
      <c r="K2562" s="106"/>
      <c r="L2562" s="141"/>
      <c r="M2562" s="132"/>
      <c r="N2562" s="133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spans="1:24" ht="14.25" customHeight="1">
      <c r="A2563" s="4"/>
      <c r="B2563" s="125">
        <v>46202</v>
      </c>
      <c r="C2563" s="126" t="s">
        <v>1057</v>
      </c>
      <c r="D2563" s="68" t="s">
        <v>130</v>
      </c>
      <c r="E2563" s="10" t="str">
        <f>TRIM(VLOOKUP(D2563,TB!$B$9:$C$1500,2,FALSE))</f>
        <v>BCA TBB</v>
      </c>
      <c r="F2563" s="142" t="s">
        <v>1058</v>
      </c>
      <c r="G2563" s="130"/>
      <c r="H2563" s="10">
        <f>I2565-H2564</f>
        <v>1808848.91</v>
      </c>
      <c r="I2563" s="10"/>
      <c r="J2563" s="79" t="e">
        <f t="shared" si="179"/>
        <v>#VALUE!</v>
      </c>
      <c r="K2563" s="106"/>
      <c r="L2563" s="141"/>
      <c r="M2563" s="132"/>
      <c r="N2563" s="133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spans="1:24" ht="14.25" customHeight="1">
      <c r="A2564" s="4"/>
      <c r="B2564" s="125">
        <v>46202</v>
      </c>
      <c r="C2564" s="126" t="s">
        <v>1057</v>
      </c>
      <c r="D2564" s="15" t="s">
        <v>124</v>
      </c>
      <c r="E2564" s="10" t="str">
        <f>TRIM(VLOOKUP(D2564,TB!$B$9:$C$1500,2,FALSE))</f>
        <v>Bank charges</v>
      </c>
      <c r="F2564" s="142" t="s">
        <v>1058</v>
      </c>
      <c r="G2564" s="130"/>
      <c r="H2564" s="155">
        <f>I2565*1.8%</f>
        <v>33156.090000000004</v>
      </c>
      <c r="I2564" s="10"/>
      <c r="J2564" s="79" t="e">
        <f t="shared" si="179"/>
        <v>#VALUE!</v>
      </c>
      <c r="K2564" s="106"/>
      <c r="L2564" s="141"/>
      <c r="M2564" s="132"/>
      <c r="N2564" s="133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spans="1:24" ht="14.25" customHeight="1">
      <c r="A2565" s="4"/>
      <c r="B2565" s="125">
        <v>46202</v>
      </c>
      <c r="C2565" s="126" t="s">
        <v>1057</v>
      </c>
      <c r="D2565" s="15" t="s">
        <v>42</v>
      </c>
      <c r="E2565" s="10" t="str">
        <f>TRIM(VLOOKUP(D2565,TB!$B$9:$C$1500,2,FALSE))</f>
        <v>BCA Card TBB</v>
      </c>
      <c r="F2565" s="142" t="s">
        <v>1058</v>
      </c>
      <c r="G2565" s="130"/>
      <c r="H2565" s="10"/>
      <c r="I2565" s="10">
        <v>1842005</v>
      </c>
      <c r="J2565" s="79" t="e">
        <f t="shared" si="179"/>
        <v>#VALUE!</v>
      </c>
      <c r="K2565" s="106"/>
      <c r="L2565" s="141"/>
      <c r="M2565" s="132"/>
      <c r="N2565" s="133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spans="1:24" ht="14.25" customHeight="1">
      <c r="A2566" s="4"/>
      <c r="B2566" s="125"/>
      <c r="C2566" s="126"/>
      <c r="D2566" s="159"/>
      <c r="E2566" s="10" t="e">
        <f>TRIM(VLOOKUP(D2566,TB!$B$9:$C$1500,2,FALSE))</f>
        <v>#N/A</v>
      </c>
      <c r="F2566" s="142"/>
      <c r="G2566" s="130"/>
      <c r="H2566" s="10"/>
      <c r="I2566" s="10"/>
      <c r="J2566" s="79" t="e">
        <f t="shared" si="179"/>
        <v>#VALUE!</v>
      </c>
      <c r="K2566" s="106"/>
      <c r="L2566" s="141"/>
      <c r="M2566" s="132"/>
      <c r="N2566" s="133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spans="1:24" ht="14.25" customHeight="1">
      <c r="A2567" s="4"/>
      <c r="B2567" s="125">
        <v>46202</v>
      </c>
      <c r="C2567" s="126" t="s">
        <v>1059</v>
      </c>
      <c r="D2567" s="68" t="s">
        <v>130</v>
      </c>
      <c r="E2567" s="10" t="str">
        <f>TRIM(VLOOKUP(D2567,TB!$B$9:$C$1500,2,FALSE))</f>
        <v>BCA TBB</v>
      </c>
      <c r="F2567" s="142" t="s">
        <v>1060</v>
      </c>
      <c r="G2567" s="130"/>
      <c r="H2567" s="10">
        <f>I2569-H2568</f>
        <v>1022895.39</v>
      </c>
      <c r="I2567" s="10"/>
      <c r="J2567" s="79" t="e">
        <f t="shared" si="179"/>
        <v>#VALUE!</v>
      </c>
      <c r="K2567" s="106"/>
      <c r="L2567" s="141"/>
      <c r="M2567" s="132"/>
      <c r="N2567" s="133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spans="1:24" ht="14.25" customHeight="1">
      <c r="A2568" s="4"/>
      <c r="B2568" s="125">
        <v>46202</v>
      </c>
      <c r="C2568" s="126" t="s">
        <v>1059</v>
      </c>
      <c r="D2568" s="15" t="s">
        <v>124</v>
      </c>
      <c r="E2568" s="10" t="str">
        <f>TRIM(VLOOKUP(D2568,TB!$B$9:$C$1500,2,FALSE))</f>
        <v>Bank charges</v>
      </c>
      <c r="F2568" s="142" t="s">
        <v>1060</v>
      </c>
      <c r="G2568" s="130"/>
      <c r="H2568" s="155">
        <f>I2569*1.8%</f>
        <v>18749.61</v>
      </c>
      <c r="I2568" s="10"/>
      <c r="J2568" s="79" t="e">
        <f t="shared" si="179"/>
        <v>#VALUE!</v>
      </c>
      <c r="K2568" s="106"/>
      <c r="L2568" s="141"/>
      <c r="M2568" s="132"/>
      <c r="N2568" s="133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spans="1:24" ht="14.25" customHeight="1">
      <c r="A2569" s="4"/>
      <c r="B2569" s="125">
        <v>46202</v>
      </c>
      <c r="C2569" s="126" t="s">
        <v>1059</v>
      </c>
      <c r="D2569" s="15" t="s">
        <v>42</v>
      </c>
      <c r="E2569" s="10" t="str">
        <f>TRIM(VLOOKUP(D2569,TB!$B$9:$C$1500,2,FALSE))</f>
        <v>BCA Card TBB</v>
      </c>
      <c r="F2569" s="142" t="s">
        <v>1060</v>
      </c>
      <c r="G2569" s="130"/>
      <c r="H2569" s="10"/>
      <c r="I2569" s="10">
        <v>1041645</v>
      </c>
      <c r="J2569" s="79" t="e">
        <f t="shared" si="179"/>
        <v>#VALUE!</v>
      </c>
      <c r="K2569" s="106"/>
      <c r="L2569" s="141"/>
      <c r="M2569" s="132"/>
      <c r="N2569" s="133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spans="1:24" ht="14.25" customHeight="1">
      <c r="A2570" s="4"/>
      <c r="B2570" s="125"/>
      <c r="C2570" s="126"/>
      <c r="D2570" s="159"/>
      <c r="E2570" s="10" t="e">
        <f>TRIM(VLOOKUP(D2570,TB!$B$9:$C$1500,2,FALSE))</f>
        <v>#N/A</v>
      </c>
      <c r="F2570" s="142"/>
      <c r="G2570" s="130"/>
      <c r="H2570" s="10"/>
      <c r="I2570" s="10"/>
      <c r="J2570" s="79" t="e">
        <f t="shared" si="179"/>
        <v>#VALUE!</v>
      </c>
      <c r="K2570" s="106"/>
      <c r="L2570" s="141"/>
      <c r="M2570" s="132"/>
      <c r="N2570" s="133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spans="1:24" ht="14.25" customHeight="1">
      <c r="A2571" s="4"/>
      <c r="B2571" s="125">
        <v>46202</v>
      </c>
      <c r="C2571" s="126" t="s">
        <v>1061</v>
      </c>
      <c r="D2571" s="68" t="s">
        <v>130</v>
      </c>
      <c r="E2571" s="10" t="str">
        <f>TRIM(VLOOKUP(D2571,TB!$B$9:$C$1500,2,FALSE))</f>
        <v>BCA TBB</v>
      </c>
      <c r="F2571" s="142" t="s">
        <v>1062</v>
      </c>
      <c r="G2571" s="130"/>
      <c r="H2571" s="10">
        <f>I2573-H2572</f>
        <v>1002669.1359999999</v>
      </c>
      <c r="I2571" s="10"/>
      <c r="J2571" s="79" t="e">
        <f t="shared" si="179"/>
        <v>#VALUE!</v>
      </c>
      <c r="K2571" s="106"/>
      <c r="L2571" s="141"/>
      <c r="M2571" s="132"/>
      <c r="N2571" s="133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spans="1:24" ht="14.25" customHeight="1">
      <c r="A2572" s="4"/>
      <c r="B2572" s="125">
        <v>46202</v>
      </c>
      <c r="C2572" s="126" t="s">
        <v>1061</v>
      </c>
      <c r="D2572" s="15" t="s">
        <v>124</v>
      </c>
      <c r="E2572" s="10" t="str">
        <f>TRIM(VLOOKUP(D2572,TB!$B$9:$C$1500,2,FALSE))</f>
        <v>Bank charges</v>
      </c>
      <c r="F2572" s="142" t="s">
        <v>1062</v>
      </c>
      <c r="G2572" s="130"/>
      <c r="H2572" s="155">
        <f>I2573*1.8%</f>
        <v>18378.864000000001</v>
      </c>
      <c r="I2572" s="10"/>
      <c r="J2572" s="79" t="e">
        <f t="shared" si="179"/>
        <v>#VALUE!</v>
      </c>
      <c r="K2572" s="106"/>
      <c r="L2572" s="141"/>
      <c r="M2572" s="132"/>
      <c r="N2572" s="133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spans="1:24" ht="14.25" customHeight="1">
      <c r="A2573" s="4"/>
      <c r="B2573" s="125">
        <v>46202</v>
      </c>
      <c r="C2573" s="126" t="s">
        <v>1061</v>
      </c>
      <c r="D2573" s="15" t="s">
        <v>42</v>
      </c>
      <c r="E2573" s="10" t="str">
        <f>TRIM(VLOOKUP(D2573,TB!$B$9:$C$1500,2,FALSE))</f>
        <v>BCA Card TBB</v>
      </c>
      <c r="F2573" s="142" t="s">
        <v>1062</v>
      </c>
      <c r="G2573" s="130"/>
      <c r="H2573" s="10"/>
      <c r="I2573" s="10">
        <v>1021048</v>
      </c>
      <c r="J2573" s="79" t="e">
        <f t="shared" si="179"/>
        <v>#VALUE!</v>
      </c>
      <c r="K2573" s="106"/>
      <c r="L2573" s="141"/>
      <c r="M2573" s="132"/>
      <c r="N2573" s="133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spans="1:24" ht="14.25" customHeight="1">
      <c r="A2574" s="4"/>
      <c r="B2574" s="125"/>
      <c r="C2574" s="126"/>
      <c r="D2574" s="159"/>
      <c r="E2574" s="10" t="e">
        <f>TRIM(VLOOKUP(D2574,TB!$B$9:$C$1500,2,FALSE))</f>
        <v>#N/A</v>
      </c>
      <c r="F2574" s="142"/>
      <c r="G2574" s="130"/>
      <c r="H2574" s="10"/>
      <c r="I2574" s="10"/>
      <c r="J2574" s="79" t="e">
        <f t="shared" si="179"/>
        <v>#VALUE!</v>
      </c>
      <c r="K2574" s="106"/>
      <c r="L2574" s="141"/>
      <c r="M2574" s="132"/>
      <c r="N2574" s="133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spans="1:24" ht="14.25" customHeight="1">
      <c r="A2575" s="4"/>
      <c r="B2575" s="125">
        <v>46202</v>
      </c>
      <c r="C2575" s="126" t="s">
        <v>1063</v>
      </c>
      <c r="D2575" s="68" t="s">
        <v>285</v>
      </c>
      <c r="E2575" s="10" t="str">
        <f>TRIM(VLOOKUP(D2575,TB!$B$9:$C$1500,2,FALSE))</f>
        <v>Misc Cash Purchase</v>
      </c>
      <c r="F2575" s="142" t="s">
        <v>1064</v>
      </c>
      <c r="G2575" s="130"/>
      <c r="H2575" s="10">
        <v>6840000</v>
      </c>
      <c r="I2575" s="10"/>
      <c r="J2575" s="79" t="e">
        <f t="shared" si="179"/>
        <v>#VALUE!</v>
      </c>
      <c r="K2575" s="106"/>
      <c r="L2575" s="141"/>
      <c r="M2575" s="132"/>
      <c r="N2575" s="133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spans="1:24" ht="14.25" customHeight="1">
      <c r="A2576" s="4"/>
      <c r="B2576" s="125">
        <v>46202</v>
      </c>
      <c r="C2576" s="126" t="s">
        <v>1063</v>
      </c>
      <c r="D2576" s="68" t="s">
        <v>130</v>
      </c>
      <c r="E2576" s="10" t="str">
        <f>TRIM(VLOOKUP(D2576,TB!$B$9:$C$1500,2,FALSE))</f>
        <v>BCA TBB</v>
      </c>
      <c r="F2576" s="142" t="s">
        <v>1064</v>
      </c>
      <c r="G2576" s="130"/>
      <c r="H2576" s="10"/>
      <c r="I2576" s="10">
        <v>6840000</v>
      </c>
      <c r="J2576" s="79" t="e">
        <f t="shared" ref="J2576:J2830" si="185">J2575+H2576-I2576</f>
        <v>#VALUE!</v>
      </c>
      <c r="K2576" s="106"/>
      <c r="L2576" s="141"/>
      <c r="M2576" s="132"/>
      <c r="N2576" s="133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spans="1:24" ht="14.25" customHeight="1">
      <c r="A2577" s="4"/>
      <c r="B2577" s="125"/>
      <c r="C2577" s="126"/>
      <c r="D2577" s="159"/>
      <c r="E2577" s="10" t="e">
        <f>TRIM(VLOOKUP(D2577,TB!$B$9:$C$1500,2,FALSE))</f>
        <v>#N/A</v>
      </c>
      <c r="F2577" s="142"/>
      <c r="G2577" s="130"/>
      <c r="H2577" s="10"/>
      <c r="I2577" s="10"/>
      <c r="J2577" s="79" t="e">
        <f t="shared" si="185"/>
        <v>#VALUE!</v>
      </c>
      <c r="K2577" s="106"/>
      <c r="L2577" s="141"/>
      <c r="M2577" s="132"/>
      <c r="N2577" s="133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spans="1:24" ht="14.25" customHeight="1">
      <c r="A2578" s="4"/>
      <c r="B2578" s="125">
        <v>46202</v>
      </c>
      <c r="C2578" s="126" t="s">
        <v>1065</v>
      </c>
      <c r="D2578" s="68" t="s">
        <v>285</v>
      </c>
      <c r="E2578" s="10" t="str">
        <f>TRIM(VLOOKUP(D2578,TB!$B$9:$C$1500,2,FALSE))</f>
        <v>Misc Cash Purchase</v>
      </c>
      <c r="F2578" s="142" t="s">
        <v>1066</v>
      </c>
      <c r="G2578" s="130"/>
      <c r="H2578" s="10">
        <v>41904615</v>
      </c>
      <c r="I2578" s="10"/>
      <c r="J2578" s="79" t="e">
        <f t="shared" si="185"/>
        <v>#VALUE!</v>
      </c>
      <c r="K2578" s="106"/>
      <c r="L2578" s="141"/>
      <c r="M2578" s="132"/>
      <c r="N2578" s="133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spans="1:24" ht="14.25" customHeight="1">
      <c r="A2579" s="4"/>
      <c r="B2579" s="125">
        <v>46202</v>
      </c>
      <c r="C2579" s="126" t="s">
        <v>1065</v>
      </c>
      <c r="D2579" s="68" t="s">
        <v>130</v>
      </c>
      <c r="E2579" s="10" t="str">
        <f>TRIM(VLOOKUP(D2579,TB!$B$9:$C$1500,2,FALSE))</f>
        <v>BCA TBB</v>
      </c>
      <c r="F2579" s="142" t="s">
        <v>1066</v>
      </c>
      <c r="G2579" s="130"/>
      <c r="H2579" s="10"/>
      <c r="I2579" s="10">
        <v>41904615</v>
      </c>
      <c r="J2579" s="79" t="e">
        <f t="shared" si="185"/>
        <v>#VALUE!</v>
      </c>
      <c r="K2579" s="106"/>
      <c r="L2579" s="141"/>
      <c r="M2579" s="132"/>
      <c r="N2579" s="133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spans="1:24" ht="14.25" customHeight="1">
      <c r="A2580" s="4"/>
      <c r="B2580" s="125"/>
      <c r="C2580" s="126"/>
      <c r="D2580" s="159"/>
      <c r="E2580" s="10" t="e">
        <f>TRIM(VLOOKUP(D2580,TB!$B$9:$C$1500,2,FALSE))</f>
        <v>#N/A</v>
      </c>
      <c r="F2580" s="142"/>
      <c r="G2580" s="130"/>
      <c r="H2580" s="10"/>
      <c r="I2580" s="10"/>
      <c r="J2580" s="79" t="e">
        <f t="shared" si="185"/>
        <v>#VALUE!</v>
      </c>
      <c r="K2580" s="106"/>
      <c r="L2580" s="141"/>
      <c r="M2580" s="132"/>
      <c r="N2580" s="133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spans="1:24" ht="14.25" customHeight="1">
      <c r="A2581" s="4"/>
      <c r="B2581" s="125">
        <v>46202</v>
      </c>
      <c r="C2581" s="126" t="s">
        <v>1067</v>
      </c>
      <c r="D2581" s="68" t="s">
        <v>285</v>
      </c>
      <c r="E2581" s="10" t="str">
        <f>TRIM(VLOOKUP(D2581,TB!$B$9:$C$1500,2,FALSE))</f>
        <v>Misc Cash Purchase</v>
      </c>
      <c r="F2581" s="142" t="s">
        <v>1068</v>
      </c>
      <c r="G2581" s="130"/>
      <c r="H2581" s="10">
        <v>9792000</v>
      </c>
      <c r="I2581" s="10"/>
      <c r="J2581" s="79" t="e">
        <f t="shared" si="185"/>
        <v>#VALUE!</v>
      </c>
      <c r="K2581" s="106"/>
      <c r="L2581" s="141"/>
      <c r="M2581" s="132"/>
      <c r="N2581" s="133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spans="1:24" ht="14.25" customHeight="1">
      <c r="A2582" s="4"/>
      <c r="B2582" s="125">
        <v>46202</v>
      </c>
      <c r="C2582" s="126" t="s">
        <v>1067</v>
      </c>
      <c r="D2582" s="68" t="s">
        <v>130</v>
      </c>
      <c r="E2582" s="10" t="str">
        <f>TRIM(VLOOKUP(D2582,TB!$B$9:$C$1500,2,FALSE))</f>
        <v>BCA TBB</v>
      </c>
      <c r="F2582" s="142" t="s">
        <v>1068</v>
      </c>
      <c r="G2582" s="130"/>
      <c r="H2582" s="10"/>
      <c r="I2582" s="10">
        <v>9792000</v>
      </c>
      <c r="J2582" s="79" t="e">
        <f t="shared" si="185"/>
        <v>#VALUE!</v>
      </c>
      <c r="K2582" s="106"/>
      <c r="L2582" s="141"/>
      <c r="M2582" s="132"/>
      <c r="N2582" s="133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spans="1:24" ht="14.25" customHeight="1">
      <c r="A2583" s="4"/>
      <c r="B2583" s="125"/>
      <c r="C2583" s="126"/>
      <c r="D2583" s="159"/>
      <c r="E2583" s="10" t="e">
        <f>TRIM(VLOOKUP(D2583,TB!$B$9:$C$1500,2,FALSE))</f>
        <v>#N/A</v>
      </c>
      <c r="F2583" s="142"/>
      <c r="G2583" s="130"/>
      <c r="H2583" s="10"/>
      <c r="I2583" s="10"/>
      <c r="J2583" s="79" t="e">
        <f t="shared" si="185"/>
        <v>#VALUE!</v>
      </c>
      <c r="K2583" s="106"/>
      <c r="L2583" s="141"/>
      <c r="M2583" s="132"/>
      <c r="N2583" s="133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spans="1:24" ht="14.25" customHeight="1">
      <c r="A2584" s="4"/>
      <c r="B2584" s="125">
        <v>46202</v>
      </c>
      <c r="C2584" s="126" t="s">
        <v>1069</v>
      </c>
      <c r="D2584" s="68" t="s">
        <v>285</v>
      </c>
      <c r="E2584" s="10" t="str">
        <f>TRIM(VLOOKUP(D2584,TB!$B$9:$C$1500,2,FALSE))</f>
        <v>Misc Cash Purchase</v>
      </c>
      <c r="F2584" s="142" t="s">
        <v>1070</v>
      </c>
      <c r="G2584" s="130"/>
      <c r="H2584" s="10">
        <v>12332000</v>
      </c>
      <c r="I2584" s="10"/>
      <c r="J2584" s="79" t="e">
        <f t="shared" si="185"/>
        <v>#VALUE!</v>
      </c>
      <c r="K2584" s="106"/>
      <c r="L2584" s="141"/>
      <c r="M2584" s="132"/>
      <c r="N2584" s="133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spans="1:24" ht="14.25" customHeight="1">
      <c r="A2585" s="4"/>
      <c r="B2585" s="125">
        <v>46202</v>
      </c>
      <c r="C2585" s="126" t="s">
        <v>1069</v>
      </c>
      <c r="D2585" s="68" t="s">
        <v>130</v>
      </c>
      <c r="E2585" s="10" t="str">
        <f>TRIM(VLOOKUP(D2585,TB!$B$9:$C$1500,2,FALSE))</f>
        <v>BCA TBB</v>
      </c>
      <c r="F2585" s="142" t="s">
        <v>1070</v>
      </c>
      <c r="G2585" s="130"/>
      <c r="H2585" s="10"/>
      <c r="I2585" s="10">
        <v>12332000</v>
      </c>
      <c r="J2585" s="79" t="e">
        <f t="shared" si="185"/>
        <v>#VALUE!</v>
      </c>
      <c r="K2585" s="106"/>
      <c r="L2585" s="141"/>
      <c r="M2585" s="132"/>
      <c r="N2585" s="133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spans="1:24" ht="14.25" customHeight="1">
      <c r="A2586" s="4"/>
      <c r="B2586" s="125"/>
      <c r="C2586" s="126"/>
      <c r="D2586" s="159"/>
      <c r="E2586" s="10" t="e">
        <f>TRIM(VLOOKUP(D2586,TB!$B$9:$C$1500,2,FALSE))</f>
        <v>#N/A</v>
      </c>
      <c r="F2586" s="142"/>
      <c r="G2586" s="130"/>
      <c r="H2586" s="10"/>
      <c r="I2586" s="10"/>
      <c r="J2586" s="79" t="e">
        <f t="shared" si="185"/>
        <v>#VALUE!</v>
      </c>
      <c r="K2586" s="106"/>
      <c r="L2586" s="141"/>
      <c r="M2586" s="132"/>
      <c r="N2586" s="133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spans="1:24" ht="14.25" customHeight="1">
      <c r="A2587" s="4"/>
      <c r="B2587" s="125">
        <v>46202</v>
      </c>
      <c r="C2587" s="126" t="s">
        <v>1071</v>
      </c>
      <c r="D2587" s="68" t="s">
        <v>285</v>
      </c>
      <c r="E2587" s="10" t="str">
        <f>TRIM(VLOOKUP(D2587,TB!$B$9:$C$1500,2,FALSE))</f>
        <v>Misc Cash Purchase</v>
      </c>
      <c r="F2587" s="142" t="s">
        <v>1072</v>
      </c>
      <c r="G2587" s="130"/>
      <c r="H2587" s="10">
        <v>6780000</v>
      </c>
      <c r="I2587" s="10"/>
      <c r="J2587" s="79" t="e">
        <f t="shared" si="185"/>
        <v>#VALUE!</v>
      </c>
      <c r="K2587" s="106"/>
      <c r="L2587" s="141"/>
      <c r="M2587" s="132"/>
      <c r="N2587" s="133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spans="1:24" ht="14.25" customHeight="1">
      <c r="A2588" s="4"/>
      <c r="B2588" s="125">
        <v>46202</v>
      </c>
      <c r="C2588" s="126" t="s">
        <v>1071</v>
      </c>
      <c r="D2588" s="68" t="s">
        <v>130</v>
      </c>
      <c r="E2588" s="10" t="str">
        <f>TRIM(VLOOKUP(D2588,TB!$B$9:$C$1500,2,FALSE))</f>
        <v>BCA TBB</v>
      </c>
      <c r="F2588" s="142" t="s">
        <v>1072</v>
      </c>
      <c r="G2588" s="130"/>
      <c r="H2588" s="10"/>
      <c r="I2588" s="10">
        <v>6780000</v>
      </c>
      <c r="J2588" s="79" t="e">
        <f t="shared" si="185"/>
        <v>#VALUE!</v>
      </c>
      <c r="K2588" s="106"/>
      <c r="L2588" s="141"/>
      <c r="M2588" s="132"/>
      <c r="N2588" s="133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spans="1:24" ht="14.25" customHeight="1">
      <c r="A2589" s="4"/>
      <c r="B2589" s="125"/>
      <c r="C2589" s="126"/>
      <c r="D2589" s="159"/>
      <c r="E2589" s="10" t="e">
        <f>TRIM(VLOOKUP(D2589,TB!$B$9:$C$1500,2,FALSE))</f>
        <v>#N/A</v>
      </c>
      <c r="F2589" s="142"/>
      <c r="G2589" s="130"/>
      <c r="H2589" s="10"/>
      <c r="I2589" s="10"/>
      <c r="J2589" s="79" t="e">
        <f t="shared" si="185"/>
        <v>#VALUE!</v>
      </c>
      <c r="K2589" s="106"/>
      <c r="L2589" s="141"/>
      <c r="M2589" s="132"/>
      <c r="N2589" s="133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spans="1:24" ht="14.25" customHeight="1">
      <c r="A2590" s="4"/>
      <c r="B2590" s="125">
        <v>46202</v>
      </c>
      <c r="C2590" s="126" t="s">
        <v>1073</v>
      </c>
      <c r="D2590" s="68" t="s">
        <v>285</v>
      </c>
      <c r="E2590" s="10" t="str">
        <f>TRIM(VLOOKUP(D2590,TB!$B$9:$C$1500,2,FALSE))</f>
        <v>Misc Cash Purchase</v>
      </c>
      <c r="F2590" s="142" t="s">
        <v>1074</v>
      </c>
      <c r="G2590" s="130"/>
      <c r="H2590" s="10">
        <v>3308000</v>
      </c>
      <c r="I2590" s="10"/>
      <c r="J2590" s="79" t="e">
        <f t="shared" si="185"/>
        <v>#VALUE!</v>
      </c>
      <c r="K2590" s="106"/>
      <c r="L2590" s="141"/>
      <c r="M2590" s="132"/>
      <c r="N2590" s="133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spans="1:24" ht="14.25" customHeight="1">
      <c r="A2591" s="4"/>
      <c r="B2591" s="125">
        <v>46202</v>
      </c>
      <c r="C2591" s="126" t="s">
        <v>1073</v>
      </c>
      <c r="D2591" s="68" t="s">
        <v>130</v>
      </c>
      <c r="E2591" s="10" t="str">
        <f>TRIM(VLOOKUP(D2591,TB!$B$9:$C$1500,2,FALSE))</f>
        <v>BCA TBB</v>
      </c>
      <c r="F2591" s="142" t="s">
        <v>1074</v>
      </c>
      <c r="G2591" s="130"/>
      <c r="H2591" s="10"/>
      <c r="I2591" s="10">
        <v>3308000</v>
      </c>
      <c r="J2591" s="79" t="e">
        <f t="shared" si="185"/>
        <v>#VALUE!</v>
      </c>
      <c r="K2591" s="106"/>
      <c r="L2591" s="141"/>
      <c r="M2591" s="132"/>
      <c r="N2591" s="133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spans="1:24" ht="14.25" customHeight="1">
      <c r="A2592" s="4"/>
      <c r="B2592" s="125"/>
      <c r="C2592" s="126"/>
      <c r="D2592" s="159"/>
      <c r="E2592" s="10" t="e">
        <f>TRIM(VLOOKUP(D2592,TB!$B$9:$C$1500,2,FALSE))</f>
        <v>#N/A</v>
      </c>
      <c r="F2592" s="142"/>
      <c r="G2592" s="130"/>
      <c r="H2592" s="10"/>
      <c r="I2592" s="10"/>
      <c r="J2592" s="79" t="e">
        <f t="shared" si="185"/>
        <v>#VALUE!</v>
      </c>
      <c r="K2592" s="106"/>
      <c r="L2592" s="141"/>
      <c r="M2592" s="132"/>
      <c r="N2592" s="133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spans="1:24" ht="14.25" customHeight="1">
      <c r="A2593" s="4"/>
      <c r="B2593" s="125">
        <v>46202</v>
      </c>
      <c r="C2593" s="126" t="s">
        <v>1075</v>
      </c>
      <c r="D2593" s="68" t="s">
        <v>285</v>
      </c>
      <c r="E2593" s="10" t="str">
        <f>TRIM(VLOOKUP(D2593,TB!$B$9:$C$1500,2,FALSE))</f>
        <v>Misc Cash Purchase</v>
      </c>
      <c r="F2593" s="142" t="s">
        <v>1076</v>
      </c>
      <c r="G2593" s="130"/>
      <c r="H2593" s="10">
        <v>635000</v>
      </c>
      <c r="I2593" s="10"/>
      <c r="J2593" s="79" t="e">
        <f t="shared" si="185"/>
        <v>#VALUE!</v>
      </c>
      <c r="K2593" s="106"/>
      <c r="L2593" s="141"/>
      <c r="M2593" s="132"/>
      <c r="N2593" s="133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spans="1:24" ht="14.25" customHeight="1">
      <c r="A2594" s="4"/>
      <c r="B2594" s="125">
        <v>46202</v>
      </c>
      <c r="C2594" s="126" t="s">
        <v>1075</v>
      </c>
      <c r="D2594" s="68" t="s">
        <v>130</v>
      </c>
      <c r="E2594" s="10" t="str">
        <f>TRIM(VLOOKUP(D2594,TB!$B$9:$C$1500,2,FALSE))</f>
        <v>BCA TBB</v>
      </c>
      <c r="F2594" s="142" t="s">
        <v>1076</v>
      </c>
      <c r="G2594" s="130"/>
      <c r="H2594" s="10"/>
      <c r="I2594" s="10">
        <v>635000</v>
      </c>
      <c r="J2594" s="79" t="e">
        <f t="shared" si="185"/>
        <v>#VALUE!</v>
      </c>
      <c r="K2594" s="106"/>
      <c r="L2594" s="141"/>
      <c r="M2594" s="132"/>
      <c r="N2594" s="133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spans="1:24" ht="14.25" customHeight="1">
      <c r="A2595" s="4"/>
      <c r="B2595" s="125"/>
      <c r="C2595" s="126"/>
      <c r="D2595" s="159"/>
      <c r="E2595" s="10" t="e">
        <f>TRIM(VLOOKUP(D2595,TB!$B$9:$C$1500,2,FALSE))</f>
        <v>#N/A</v>
      </c>
      <c r="F2595" s="142"/>
      <c r="G2595" s="130"/>
      <c r="H2595" s="10"/>
      <c r="I2595" s="10"/>
      <c r="J2595" s="79" t="e">
        <f t="shared" si="185"/>
        <v>#VALUE!</v>
      </c>
      <c r="K2595" s="106"/>
      <c r="L2595" s="141"/>
      <c r="M2595" s="132"/>
      <c r="N2595" s="133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spans="1:24" ht="14.25" customHeight="1">
      <c r="A2596" s="4"/>
      <c r="B2596" s="125">
        <v>46202</v>
      </c>
      <c r="C2596" s="126" t="s">
        <v>1077</v>
      </c>
      <c r="D2596" s="68" t="s">
        <v>285</v>
      </c>
      <c r="E2596" s="10" t="str">
        <f>TRIM(VLOOKUP(D2596,TB!$B$9:$C$1500,2,FALSE))</f>
        <v>Misc Cash Purchase</v>
      </c>
      <c r="F2596" s="142" t="s">
        <v>1078</v>
      </c>
      <c r="G2596" s="130"/>
      <c r="H2596" s="10">
        <v>24854467</v>
      </c>
      <c r="I2596" s="10"/>
      <c r="J2596" s="79" t="e">
        <f t="shared" si="185"/>
        <v>#VALUE!</v>
      </c>
      <c r="K2596" s="106"/>
      <c r="L2596" s="141"/>
      <c r="M2596" s="132"/>
      <c r="N2596" s="133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spans="1:24" ht="14.25" customHeight="1">
      <c r="A2597" s="4"/>
      <c r="B2597" s="125">
        <v>46202</v>
      </c>
      <c r="C2597" s="126" t="s">
        <v>1077</v>
      </c>
      <c r="D2597" s="68" t="s">
        <v>130</v>
      </c>
      <c r="E2597" s="10" t="str">
        <f>TRIM(VLOOKUP(D2597,TB!$B$9:$C$1500,2,FALSE))</f>
        <v>BCA TBB</v>
      </c>
      <c r="F2597" s="142" t="s">
        <v>1078</v>
      </c>
      <c r="G2597" s="130"/>
      <c r="H2597" s="10"/>
      <c r="I2597" s="10">
        <v>24854467</v>
      </c>
      <c r="J2597" s="79" t="e">
        <f t="shared" si="185"/>
        <v>#VALUE!</v>
      </c>
      <c r="K2597" s="106"/>
      <c r="L2597" s="141"/>
      <c r="M2597" s="132"/>
      <c r="N2597" s="133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spans="1:24" ht="14.25" customHeight="1">
      <c r="A2598" s="4"/>
      <c r="B2598" s="125"/>
      <c r="C2598" s="126"/>
      <c r="D2598" s="159"/>
      <c r="E2598" s="10" t="e">
        <f>TRIM(VLOOKUP(D2598,TB!$B$9:$C$1500,2,FALSE))</f>
        <v>#N/A</v>
      </c>
      <c r="F2598" s="142"/>
      <c r="G2598" s="130"/>
      <c r="H2598" s="10"/>
      <c r="I2598" s="10"/>
      <c r="J2598" s="79" t="e">
        <f t="shared" si="185"/>
        <v>#VALUE!</v>
      </c>
      <c r="K2598" s="106"/>
      <c r="L2598" s="141"/>
      <c r="M2598" s="132"/>
      <c r="N2598" s="133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spans="1:24" ht="14.25" customHeight="1">
      <c r="A2599" s="4"/>
      <c r="B2599" s="125">
        <v>46202</v>
      </c>
      <c r="C2599" s="126" t="s">
        <v>1079</v>
      </c>
      <c r="D2599" s="68" t="s">
        <v>285</v>
      </c>
      <c r="E2599" s="10" t="str">
        <f>TRIM(VLOOKUP(D2599,TB!$B$9:$C$1500,2,FALSE))</f>
        <v>Misc Cash Purchase</v>
      </c>
      <c r="F2599" s="142" t="s">
        <v>1080</v>
      </c>
      <c r="G2599" s="130"/>
      <c r="H2599" s="10">
        <v>624000</v>
      </c>
      <c r="I2599" s="10"/>
      <c r="J2599" s="79" t="e">
        <f t="shared" si="185"/>
        <v>#VALUE!</v>
      </c>
      <c r="K2599" s="106"/>
      <c r="L2599" s="141"/>
      <c r="M2599" s="132"/>
      <c r="N2599" s="133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spans="1:24" ht="14.25" customHeight="1">
      <c r="A2600" s="4"/>
      <c r="B2600" s="125">
        <v>46202</v>
      </c>
      <c r="C2600" s="126" t="s">
        <v>1079</v>
      </c>
      <c r="D2600" s="68" t="s">
        <v>130</v>
      </c>
      <c r="E2600" s="10" t="str">
        <f>TRIM(VLOOKUP(D2600,TB!$B$9:$C$1500,2,FALSE))</f>
        <v>BCA TBB</v>
      </c>
      <c r="F2600" s="142" t="s">
        <v>1080</v>
      </c>
      <c r="G2600" s="130"/>
      <c r="H2600" s="10"/>
      <c r="I2600" s="10">
        <v>624000</v>
      </c>
      <c r="J2600" s="79" t="e">
        <f t="shared" si="185"/>
        <v>#VALUE!</v>
      </c>
      <c r="K2600" s="106"/>
      <c r="L2600" s="141"/>
      <c r="M2600" s="132"/>
      <c r="N2600" s="133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spans="1:24" ht="14.25" customHeight="1">
      <c r="A2601" s="4"/>
      <c r="B2601" s="125"/>
      <c r="C2601" s="126"/>
      <c r="D2601" s="159"/>
      <c r="E2601" s="10" t="e">
        <f>TRIM(VLOOKUP(D2601,TB!$B$9:$C$1500,2,FALSE))</f>
        <v>#N/A</v>
      </c>
      <c r="F2601" s="142"/>
      <c r="G2601" s="130"/>
      <c r="H2601" s="10"/>
      <c r="I2601" s="10"/>
      <c r="J2601" s="79" t="e">
        <f t="shared" si="185"/>
        <v>#VALUE!</v>
      </c>
      <c r="K2601" s="106"/>
      <c r="L2601" s="141"/>
      <c r="M2601" s="132"/>
      <c r="N2601" s="133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spans="1:24" ht="14.25" customHeight="1">
      <c r="A2602" s="4"/>
      <c r="B2602" s="125">
        <v>46202</v>
      </c>
      <c r="C2602" s="126" t="s">
        <v>1081</v>
      </c>
      <c r="D2602" s="68" t="s">
        <v>285</v>
      </c>
      <c r="E2602" s="10" t="str">
        <f>TRIM(VLOOKUP(D2602,TB!$B$9:$C$1500,2,FALSE))</f>
        <v>Misc Cash Purchase</v>
      </c>
      <c r="F2602" s="142" t="s">
        <v>1082</v>
      </c>
      <c r="G2602" s="130"/>
      <c r="H2602" s="10">
        <v>693000</v>
      </c>
      <c r="I2602" s="10"/>
      <c r="J2602" s="79" t="e">
        <f t="shared" si="185"/>
        <v>#VALUE!</v>
      </c>
      <c r="K2602" s="106"/>
      <c r="L2602" s="141"/>
      <c r="M2602" s="132"/>
      <c r="N2602" s="133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spans="1:24" ht="14.25" customHeight="1">
      <c r="A2603" s="4"/>
      <c r="B2603" s="125">
        <v>46202</v>
      </c>
      <c r="C2603" s="126" t="s">
        <v>1081</v>
      </c>
      <c r="D2603" s="68" t="s">
        <v>130</v>
      </c>
      <c r="E2603" s="10" t="str">
        <f>TRIM(VLOOKUP(D2603,TB!$B$9:$C$1500,2,FALSE))</f>
        <v>BCA TBB</v>
      </c>
      <c r="F2603" s="142" t="s">
        <v>1082</v>
      </c>
      <c r="G2603" s="130"/>
      <c r="H2603" s="10"/>
      <c r="I2603" s="10">
        <v>693000</v>
      </c>
      <c r="J2603" s="79" t="e">
        <f t="shared" si="185"/>
        <v>#VALUE!</v>
      </c>
      <c r="K2603" s="106"/>
      <c r="L2603" s="141"/>
      <c r="M2603" s="132"/>
      <c r="N2603" s="133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spans="1:24" ht="14.25" customHeight="1">
      <c r="A2604" s="4"/>
      <c r="B2604" s="125"/>
      <c r="C2604" s="126"/>
      <c r="D2604" s="159"/>
      <c r="E2604" s="10" t="e">
        <f>TRIM(VLOOKUP(D2604,TB!$B$9:$C$1500,2,FALSE))</f>
        <v>#N/A</v>
      </c>
      <c r="F2604" s="142"/>
      <c r="G2604" s="130"/>
      <c r="H2604" s="10"/>
      <c r="I2604" s="10"/>
      <c r="J2604" s="79" t="e">
        <f t="shared" si="185"/>
        <v>#VALUE!</v>
      </c>
      <c r="K2604" s="106"/>
      <c r="L2604" s="141"/>
      <c r="M2604" s="132"/>
      <c r="N2604" s="133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spans="1:24" ht="14.25" customHeight="1">
      <c r="A2605" s="4"/>
      <c r="B2605" s="125">
        <v>46202</v>
      </c>
      <c r="C2605" s="126" t="s">
        <v>1083</v>
      </c>
      <c r="D2605" s="68" t="s">
        <v>285</v>
      </c>
      <c r="E2605" s="10" t="str">
        <f>TRIM(VLOOKUP(D2605,TB!$B$9:$C$1500,2,FALSE))</f>
        <v>Misc Cash Purchase</v>
      </c>
      <c r="F2605" s="142" t="s">
        <v>1084</v>
      </c>
      <c r="G2605" s="130"/>
      <c r="H2605" s="10">
        <v>2650000</v>
      </c>
      <c r="I2605" s="10"/>
      <c r="J2605" s="79" t="e">
        <f t="shared" si="185"/>
        <v>#VALUE!</v>
      </c>
      <c r="K2605" s="106"/>
      <c r="L2605" s="141"/>
      <c r="M2605" s="132"/>
      <c r="N2605" s="133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spans="1:24" ht="14.25" customHeight="1">
      <c r="A2606" s="4"/>
      <c r="B2606" s="125">
        <v>46202</v>
      </c>
      <c r="C2606" s="126" t="s">
        <v>1083</v>
      </c>
      <c r="D2606" s="68" t="s">
        <v>130</v>
      </c>
      <c r="E2606" s="10" t="str">
        <f>TRIM(VLOOKUP(D2606,TB!$B$9:$C$1500,2,FALSE))</f>
        <v>BCA TBB</v>
      </c>
      <c r="F2606" s="142" t="s">
        <v>1084</v>
      </c>
      <c r="G2606" s="130"/>
      <c r="H2606" s="10"/>
      <c r="I2606" s="10">
        <v>2650000</v>
      </c>
      <c r="J2606" s="79" t="e">
        <f t="shared" si="185"/>
        <v>#VALUE!</v>
      </c>
      <c r="K2606" s="106"/>
      <c r="L2606" s="141"/>
      <c r="M2606" s="132"/>
      <c r="N2606" s="133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spans="1:24" ht="14.25" customHeight="1">
      <c r="A2607" s="4"/>
      <c r="B2607" s="125"/>
      <c r="C2607" s="126"/>
      <c r="D2607" s="159"/>
      <c r="E2607" s="10" t="e">
        <f>TRIM(VLOOKUP(D2607,TB!$B$9:$C$1500,2,FALSE))</f>
        <v>#N/A</v>
      </c>
      <c r="F2607" s="142"/>
      <c r="G2607" s="130"/>
      <c r="H2607" s="10"/>
      <c r="I2607" s="10"/>
      <c r="J2607" s="79" t="e">
        <f t="shared" si="185"/>
        <v>#VALUE!</v>
      </c>
      <c r="K2607" s="106"/>
      <c r="L2607" s="141"/>
      <c r="M2607" s="132"/>
      <c r="N2607" s="133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spans="1:24" ht="14.25" customHeight="1">
      <c r="A2608" s="4"/>
      <c r="B2608" s="125">
        <v>46202</v>
      </c>
      <c r="C2608" s="126" t="s">
        <v>1085</v>
      </c>
      <c r="D2608" s="68" t="s">
        <v>285</v>
      </c>
      <c r="E2608" s="10" t="str">
        <f>TRIM(VLOOKUP(D2608,TB!$B$9:$C$1500,2,FALSE))</f>
        <v>Misc Cash Purchase</v>
      </c>
      <c r="F2608" s="142" t="s">
        <v>1086</v>
      </c>
      <c r="G2608" s="130"/>
      <c r="H2608" s="10">
        <v>420000</v>
      </c>
      <c r="I2608" s="10"/>
      <c r="J2608" s="79" t="e">
        <f t="shared" si="185"/>
        <v>#VALUE!</v>
      </c>
      <c r="K2608" s="106"/>
      <c r="L2608" s="141"/>
      <c r="M2608" s="132"/>
      <c r="N2608" s="133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spans="1:24" ht="14.25" customHeight="1">
      <c r="A2609" s="4"/>
      <c r="B2609" s="125">
        <v>46202</v>
      </c>
      <c r="C2609" s="126" t="s">
        <v>1085</v>
      </c>
      <c r="D2609" s="68" t="s">
        <v>130</v>
      </c>
      <c r="E2609" s="10" t="str">
        <f>TRIM(VLOOKUP(D2609,TB!$B$9:$C$1500,2,FALSE))</f>
        <v>BCA TBB</v>
      </c>
      <c r="F2609" s="142" t="s">
        <v>1086</v>
      </c>
      <c r="G2609" s="130"/>
      <c r="H2609" s="10"/>
      <c r="I2609" s="10">
        <v>420000</v>
      </c>
      <c r="J2609" s="79" t="e">
        <f t="shared" si="185"/>
        <v>#VALUE!</v>
      </c>
      <c r="K2609" s="106"/>
      <c r="L2609" s="141"/>
      <c r="M2609" s="132"/>
      <c r="N2609" s="133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spans="1:24" ht="14.25" customHeight="1">
      <c r="A2610" s="4"/>
      <c r="B2610" s="125"/>
      <c r="C2610" s="126"/>
      <c r="D2610" s="159"/>
      <c r="E2610" s="10" t="e">
        <f>TRIM(VLOOKUP(D2610,TB!$B$9:$C$1500,2,FALSE))</f>
        <v>#N/A</v>
      </c>
      <c r="F2610" s="142"/>
      <c r="G2610" s="130"/>
      <c r="H2610" s="10"/>
      <c r="I2610" s="10"/>
      <c r="J2610" s="79" t="e">
        <f t="shared" si="185"/>
        <v>#VALUE!</v>
      </c>
      <c r="K2610" s="106"/>
      <c r="L2610" s="141"/>
      <c r="M2610" s="132"/>
      <c r="N2610" s="133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spans="1:24" ht="14.25" customHeight="1">
      <c r="A2611" s="4"/>
      <c r="B2611" s="125">
        <v>46202</v>
      </c>
      <c r="C2611" s="126" t="s">
        <v>1087</v>
      </c>
      <c r="D2611" s="68" t="s">
        <v>285</v>
      </c>
      <c r="E2611" s="10" t="str">
        <f>TRIM(VLOOKUP(D2611,TB!$B$9:$C$1500,2,FALSE))</f>
        <v>Misc Cash Purchase</v>
      </c>
      <c r="F2611" s="142" t="s">
        <v>1088</v>
      </c>
      <c r="G2611" s="130"/>
      <c r="H2611" s="10">
        <v>1617000</v>
      </c>
      <c r="I2611" s="10"/>
      <c r="J2611" s="79" t="e">
        <f t="shared" si="185"/>
        <v>#VALUE!</v>
      </c>
      <c r="K2611" s="106"/>
      <c r="L2611" s="141"/>
      <c r="M2611" s="132"/>
      <c r="N2611" s="133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spans="1:24" ht="14.25" customHeight="1">
      <c r="A2612" s="4"/>
      <c r="B2612" s="125">
        <v>46202</v>
      </c>
      <c r="C2612" s="126" t="s">
        <v>1087</v>
      </c>
      <c r="D2612" s="68" t="s">
        <v>130</v>
      </c>
      <c r="E2612" s="10" t="str">
        <f>TRIM(VLOOKUP(D2612,TB!$B$9:$C$1500,2,FALSE))</f>
        <v>BCA TBB</v>
      </c>
      <c r="F2612" s="142" t="s">
        <v>1088</v>
      </c>
      <c r="G2612" s="130"/>
      <c r="H2612" s="10"/>
      <c r="I2612" s="10">
        <v>1617000</v>
      </c>
      <c r="J2612" s="79" t="e">
        <f t="shared" si="185"/>
        <v>#VALUE!</v>
      </c>
      <c r="K2612" s="106"/>
      <c r="L2612" s="141"/>
      <c r="M2612" s="132"/>
      <c r="N2612" s="133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spans="1:24" ht="14.25" customHeight="1">
      <c r="A2613" s="4"/>
      <c r="B2613" s="125"/>
      <c r="C2613" s="126"/>
      <c r="D2613" s="159"/>
      <c r="E2613" s="10" t="e">
        <f>TRIM(VLOOKUP(D2613,TB!$B$9:$C$1500,2,FALSE))</f>
        <v>#N/A</v>
      </c>
      <c r="F2613" s="142"/>
      <c r="G2613" s="130"/>
      <c r="H2613" s="10"/>
      <c r="I2613" s="10"/>
      <c r="J2613" s="79" t="e">
        <f t="shared" si="185"/>
        <v>#VALUE!</v>
      </c>
      <c r="K2613" s="106"/>
      <c r="L2613" s="141"/>
      <c r="M2613" s="132"/>
      <c r="N2613" s="133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spans="1:24" ht="14.25" customHeight="1">
      <c r="A2614" s="4"/>
      <c r="B2614" s="125">
        <v>46202</v>
      </c>
      <c r="C2614" s="126" t="s">
        <v>1089</v>
      </c>
      <c r="D2614" s="68" t="s">
        <v>285</v>
      </c>
      <c r="E2614" s="10" t="str">
        <f>TRIM(VLOOKUP(D2614,TB!$B$9:$C$1500,2,FALSE))</f>
        <v>Misc Cash Purchase</v>
      </c>
      <c r="F2614" s="142" t="s">
        <v>1090</v>
      </c>
      <c r="G2614" s="130"/>
      <c r="H2614" s="10">
        <v>1063000</v>
      </c>
      <c r="I2614" s="10"/>
      <c r="J2614" s="79" t="e">
        <f t="shared" si="185"/>
        <v>#VALUE!</v>
      </c>
      <c r="K2614" s="106"/>
      <c r="L2614" s="141"/>
      <c r="M2614" s="132"/>
      <c r="N2614" s="133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spans="1:24" ht="14.25" customHeight="1">
      <c r="A2615" s="4"/>
      <c r="B2615" s="125">
        <v>46202</v>
      </c>
      <c r="C2615" s="126" t="s">
        <v>1089</v>
      </c>
      <c r="D2615" s="68" t="s">
        <v>130</v>
      </c>
      <c r="E2615" s="10" t="str">
        <f>TRIM(VLOOKUP(D2615,TB!$B$9:$C$1500,2,FALSE))</f>
        <v>BCA TBB</v>
      </c>
      <c r="F2615" s="142" t="s">
        <v>1090</v>
      </c>
      <c r="G2615" s="130"/>
      <c r="H2615" s="10"/>
      <c r="I2615" s="10">
        <v>1063000</v>
      </c>
      <c r="J2615" s="79" t="e">
        <f t="shared" si="185"/>
        <v>#VALUE!</v>
      </c>
      <c r="K2615" s="106"/>
      <c r="L2615" s="141"/>
      <c r="M2615" s="132"/>
      <c r="N2615" s="133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spans="1:24" ht="14.25" customHeight="1">
      <c r="A2616" s="4"/>
      <c r="B2616" s="125"/>
      <c r="C2616" s="126"/>
      <c r="D2616" s="159"/>
      <c r="E2616" s="10" t="e">
        <f>TRIM(VLOOKUP(D2616,TB!$B$9:$C$1500,2,FALSE))</f>
        <v>#N/A</v>
      </c>
      <c r="F2616" s="142"/>
      <c r="G2616" s="130"/>
      <c r="H2616" s="10"/>
      <c r="I2616" s="10"/>
      <c r="J2616" s="79" t="e">
        <f t="shared" si="185"/>
        <v>#VALUE!</v>
      </c>
      <c r="K2616" s="106"/>
      <c r="L2616" s="141"/>
      <c r="M2616" s="132"/>
      <c r="N2616" s="133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spans="1:24" ht="14.25" customHeight="1">
      <c r="A2617" s="4"/>
      <c r="B2617" s="125">
        <v>46202</v>
      </c>
      <c r="C2617" s="126" t="s">
        <v>1091</v>
      </c>
      <c r="D2617" s="68" t="s">
        <v>285</v>
      </c>
      <c r="E2617" s="10" t="str">
        <f>TRIM(VLOOKUP(D2617,TB!$B$9:$C$1500,2,FALSE))</f>
        <v>Misc Cash Purchase</v>
      </c>
      <c r="F2617" s="142" t="s">
        <v>1092</v>
      </c>
      <c r="G2617" s="130"/>
      <c r="H2617" s="10">
        <v>1255000</v>
      </c>
      <c r="I2617" s="10"/>
      <c r="J2617" s="79" t="e">
        <f t="shared" si="185"/>
        <v>#VALUE!</v>
      </c>
      <c r="K2617" s="106"/>
      <c r="L2617" s="141"/>
      <c r="M2617" s="132"/>
      <c r="N2617" s="133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spans="1:24" ht="14.25" customHeight="1">
      <c r="A2618" s="4"/>
      <c r="B2618" s="125">
        <v>46202</v>
      </c>
      <c r="C2618" s="126" t="s">
        <v>1091</v>
      </c>
      <c r="D2618" s="68" t="s">
        <v>130</v>
      </c>
      <c r="E2618" s="10" t="str">
        <f>TRIM(VLOOKUP(D2618,TB!$B$9:$C$1500,2,FALSE))</f>
        <v>BCA TBB</v>
      </c>
      <c r="F2618" s="142" t="s">
        <v>1092</v>
      </c>
      <c r="G2618" s="130"/>
      <c r="H2618" s="10"/>
      <c r="I2618" s="10">
        <v>1255000</v>
      </c>
      <c r="J2618" s="79" t="e">
        <f t="shared" si="185"/>
        <v>#VALUE!</v>
      </c>
      <c r="K2618" s="106"/>
      <c r="L2618" s="141"/>
      <c r="M2618" s="132"/>
      <c r="N2618" s="133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spans="1:24" ht="14.25" customHeight="1">
      <c r="A2619" s="4"/>
      <c r="B2619" s="125"/>
      <c r="C2619" s="126"/>
      <c r="D2619" s="159"/>
      <c r="E2619" s="10" t="e">
        <f>TRIM(VLOOKUP(D2619,TB!$B$9:$C$1500,2,FALSE))</f>
        <v>#N/A</v>
      </c>
      <c r="F2619" s="142"/>
      <c r="G2619" s="130"/>
      <c r="H2619" s="10"/>
      <c r="I2619" s="10"/>
      <c r="J2619" s="79" t="e">
        <f t="shared" si="185"/>
        <v>#VALUE!</v>
      </c>
      <c r="K2619" s="106"/>
      <c r="L2619" s="141"/>
      <c r="M2619" s="132"/>
      <c r="N2619" s="133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spans="1:24" ht="14.25" customHeight="1">
      <c r="A2620" s="4"/>
      <c r="B2620" s="125">
        <v>46202</v>
      </c>
      <c r="C2620" s="126" t="s">
        <v>1093</v>
      </c>
      <c r="D2620" s="68" t="s">
        <v>285</v>
      </c>
      <c r="E2620" s="10" t="str">
        <f>TRIM(VLOOKUP(D2620,TB!$B$9:$C$1500,2,FALSE))</f>
        <v>Misc Cash Purchase</v>
      </c>
      <c r="F2620" s="142" t="s">
        <v>1094</v>
      </c>
      <c r="G2620" s="130"/>
      <c r="H2620" s="10">
        <v>260000</v>
      </c>
      <c r="I2620" s="10"/>
      <c r="J2620" s="79" t="e">
        <f t="shared" si="185"/>
        <v>#VALUE!</v>
      </c>
      <c r="K2620" s="106"/>
      <c r="L2620" s="141"/>
      <c r="M2620" s="132"/>
      <c r="N2620" s="133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spans="1:24" ht="14.25" customHeight="1">
      <c r="A2621" s="4"/>
      <c r="B2621" s="125">
        <v>46202</v>
      </c>
      <c r="C2621" s="126" t="s">
        <v>1093</v>
      </c>
      <c r="D2621" s="68" t="s">
        <v>130</v>
      </c>
      <c r="E2621" s="10" t="str">
        <f>TRIM(VLOOKUP(D2621,TB!$B$9:$C$1500,2,FALSE))</f>
        <v>BCA TBB</v>
      </c>
      <c r="F2621" s="142" t="s">
        <v>1094</v>
      </c>
      <c r="G2621" s="130"/>
      <c r="H2621" s="10"/>
      <c r="I2621" s="10">
        <v>260000</v>
      </c>
      <c r="J2621" s="79" t="e">
        <f t="shared" si="185"/>
        <v>#VALUE!</v>
      </c>
      <c r="K2621" s="106"/>
      <c r="L2621" s="141"/>
      <c r="M2621" s="132"/>
      <c r="N2621" s="133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spans="1:24" ht="14.25" customHeight="1">
      <c r="A2622" s="4"/>
      <c r="B2622" s="125"/>
      <c r="C2622" s="126"/>
      <c r="D2622" s="159"/>
      <c r="E2622" s="10" t="e">
        <f>TRIM(VLOOKUP(D2622,TB!$B$9:$C$1500,2,FALSE))</f>
        <v>#N/A</v>
      </c>
      <c r="F2622" s="142"/>
      <c r="G2622" s="130"/>
      <c r="H2622" s="10"/>
      <c r="I2622" s="10"/>
      <c r="J2622" s="79" t="e">
        <f t="shared" si="185"/>
        <v>#VALUE!</v>
      </c>
      <c r="K2622" s="106"/>
      <c r="L2622" s="141"/>
      <c r="M2622" s="132"/>
      <c r="N2622" s="133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spans="1:24" ht="14.25" customHeight="1">
      <c r="A2623" s="4"/>
      <c r="B2623" s="125">
        <v>46202</v>
      </c>
      <c r="C2623" s="126" t="s">
        <v>1095</v>
      </c>
      <c r="D2623" s="68" t="s">
        <v>285</v>
      </c>
      <c r="E2623" s="10" t="str">
        <f>TRIM(VLOOKUP(D2623,TB!$B$9:$C$1500,2,FALSE))</f>
        <v>Misc Cash Purchase</v>
      </c>
      <c r="F2623" s="142" t="s">
        <v>1096</v>
      </c>
      <c r="G2623" s="130"/>
      <c r="H2623" s="10">
        <v>1056720</v>
      </c>
      <c r="I2623" s="10"/>
      <c r="J2623" s="79" t="e">
        <f t="shared" si="185"/>
        <v>#VALUE!</v>
      </c>
      <c r="K2623" s="106"/>
      <c r="L2623" s="141"/>
      <c r="M2623" s="132"/>
      <c r="N2623" s="133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spans="1:24" ht="14.25" customHeight="1">
      <c r="A2624" s="4"/>
      <c r="B2624" s="125">
        <v>46202</v>
      </c>
      <c r="C2624" s="126" t="s">
        <v>1095</v>
      </c>
      <c r="D2624" s="68" t="s">
        <v>130</v>
      </c>
      <c r="E2624" s="10" t="str">
        <f>TRIM(VLOOKUP(D2624,TB!$B$9:$C$1500,2,FALSE))</f>
        <v>BCA TBB</v>
      </c>
      <c r="F2624" s="142" t="s">
        <v>1096</v>
      </c>
      <c r="G2624" s="130"/>
      <c r="H2624" s="10"/>
      <c r="I2624" s="10">
        <v>1056720</v>
      </c>
      <c r="J2624" s="79" t="e">
        <f t="shared" si="185"/>
        <v>#VALUE!</v>
      </c>
      <c r="K2624" s="106"/>
      <c r="L2624" s="141"/>
      <c r="M2624" s="132"/>
      <c r="N2624" s="133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spans="1:24" ht="14.25" customHeight="1">
      <c r="A2625" s="4"/>
      <c r="B2625" s="125"/>
      <c r="C2625" s="126"/>
      <c r="D2625" s="159"/>
      <c r="E2625" s="10" t="e">
        <f>TRIM(VLOOKUP(D2625,TB!$B$9:$C$1500,2,FALSE))</f>
        <v>#N/A</v>
      </c>
      <c r="F2625" s="142"/>
      <c r="G2625" s="130"/>
      <c r="H2625" s="10"/>
      <c r="I2625" s="10"/>
      <c r="J2625" s="79" t="e">
        <f t="shared" si="185"/>
        <v>#VALUE!</v>
      </c>
      <c r="K2625" s="106"/>
      <c r="L2625" s="141"/>
      <c r="M2625" s="132"/>
      <c r="N2625" s="133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spans="1:24" ht="14.25" customHeight="1">
      <c r="A2626" s="4"/>
      <c r="B2626" s="125">
        <v>46202</v>
      </c>
      <c r="C2626" s="126" t="s">
        <v>1097</v>
      </c>
      <c r="D2626" s="68" t="s">
        <v>285</v>
      </c>
      <c r="E2626" s="10" t="str">
        <f>TRIM(VLOOKUP(D2626,TB!$B$9:$C$1500,2,FALSE))</f>
        <v>Misc Cash Purchase</v>
      </c>
      <c r="F2626" s="142" t="s">
        <v>1098</v>
      </c>
      <c r="G2626" s="130"/>
      <c r="H2626" s="10">
        <v>1537000</v>
      </c>
      <c r="I2626" s="10"/>
      <c r="J2626" s="79" t="e">
        <f t="shared" si="185"/>
        <v>#VALUE!</v>
      </c>
      <c r="K2626" s="106"/>
      <c r="L2626" s="141"/>
      <c r="M2626" s="132"/>
      <c r="N2626" s="133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spans="1:24" ht="14.25" customHeight="1">
      <c r="A2627" s="4"/>
      <c r="B2627" s="125">
        <v>46202</v>
      </c>
      <c r="C2627" s="126" t="s">
        <v>1097</v>
      </c>
      <c r="D2627" s="68" t="s">
        <v>130</v>
      </c>
      <c r="E2627" s="10" t="str">
        <f>TRIM(VLOOKUP(D2627,TB!$B$9:$C$1500,2,FALSE))</f>
        <v>BCA TBB</v>
      </c>
      <c r="F2627" s="142" t="s">
        <v>1098</v>
      </c>
      <c r="G2627" s="130"/>
      <c r="H2627" s="10"/>
      <c r="I2627" s="10">
        <v>1537000</v>
      </c>
      <c r="J2627" s="79" t="e">
        <f t="shared" si="185"/>
        <v>#VALUE!</v>
      </c>
      <c r="K2627" s="106"/>
      <c r="L2627" s="141"/>
      <c r="M2627" s="132"/>
      <c r="N2627" s="133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spans="1:24" ht="14.25" customHeight="1">
      <c r="A2628" s="4"/>
      <c r="B2628" s="125"/>
      <c r="C2628" s="126"/>
      <c r="D2628" s="159"/>
      <c r="E2628" s="10" t="e">
        <f>TRIM(VLOOKUP(D2628,TB!$B$9:$C$1500,2,FALSE))</f>
        <v>#N/A</v>
      </c>
      <c r="F2628" s="142"/>
      <c r="G2628" s="130"/>
      <c r="H2628" s="10"/>
      <c r="I2628" s="10"/>
      <c r="J2628" s="79" t="e">
        <f t="shared" si="185"/>
        <v>#VALUE!</v>
      </c>
      <c r="K2628" s="106"/>
      <c r="L2628" s="141"/>
      <c r="M2628" s="132"/>
      <c r="N2628" s="133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spans="1:24" ht="14.25" customHeight="1">
      <c r="A2629" s="4"/>
      <c r="B2629" s="125">
        <v>46202</v>
      </c>
      <c r="C2629" s="126" t="s">
        <v>1099</v>
      </c>
      <c r="D2629" s="68" t="s">
        <v>285</v>
      </c>
      <c r="E2629" s="10" t="str">
        <f>TRIM(VLOOKUP(D2629,TB!$B$9:$C$1500,2,FALSE))</f>
        <v>Misc Cash Purchase</v>
      </c>
      <c r="F2629" s="142" t="s">
        <v>1100</v>
      </c>
      <c r="G2629" s="130"/>
      <c r="H2629" s="10">
        <v>660450</v>
      </c>
      <c r="I2629" s="10"/>
      <c r="J2629" s="79" t="e">
        <f t="shared" si="185"/>
        <v>#VALUE!</v>
      </c>
      <c r="K2629" s="106"/>
      <c r="L2629" s="141"/>
      <c r="M2629" s="132"/>
      <c r="N2629" s="133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spans="1:24" ht="14.25" customHeight="1">
      <c r="A2630" s="4"/>
      <c r="B2630" s="125">
        <v>46202</v>
      </c>
      <c r="C2630" s="126" t="s">
        <v>1099</v>
      </c>
      <c r="D2630" s="68" t="s">
        <v>130</v>
      </c>
      <c r="E2630" s="10" t="str">
        <f>TRIM(VLOOKUP(D2630,TB!$B$9:$C$1500,2,FALSE))</f>
        <v>BCA TBB</v>
      </c>
      <c r="F2630" s="142" t="s">
        <v>1100</v>
      </c>
      <c r="G2630" s="130"/>
      <c r="H2630" s="10"/>
      <c r="I2630" s="10">
        <v>660450</v>
      </c>
      <c r="J2630" s="79" t="e">
        <f t="shared" si="185"/>
        <v>#VALUE!</v>
      </c>
      <c r="K2630" s="106"/>
      <c r="L2630" s="141"/>
      <c r="M2630" s="132"/>
      <c r="N2630" s="133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spans="1:24" ht="14.25" customHeight="1">
      <c r="A2631" s="4"/>
      <c r="B2631" s="125"/>
      <c r="C2631" s="126"/>
      <c r="D2631" s="159"/>
      <c r="E2631" s="10" t="e">
        <f>TRIM(VLOOKUP(D2631,TB!$B$9:$C$1500,2,FALSE))</f>
        <v>#N/A</v>
      </c>
      <c r="F2631" s="142"/>
      <c r="G2631" s="130"/>
      <c r="H2631" s="10"/>
      <c r="I2631" s="10"/>
      <c r="J2631" s="79" t="e">
        <f t="shared" si="185"/>
        <v>#VALUE!</v>
      </c>
      <c r="K2631" s="106"/>
      <c r="L2631" s="141"/>
      <c r="M2631" s="132"/>
      <c r="N2631" s="133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spans="1:24" ht="14.25" customHeight="1">
      <c r="A2632" s="4"/>
      <c r="B2632" s="125">
        <v>46202</v>
      </c>
      <c r="C2632" s="126" t="s">
        <v>1101</v>
      </c>
      <c r="D2632" s="68" t="s">
        <v>285</v>
      </c>
      <c r="E2632" s="10" t="str">
        <f>TRIM(VLOOKUP(D2632,TB!$B$9:$C$1500,2,FALSE))</f>
        <v>Misc Cash Purchase</v>
      </c>
      <c r="F2632" s="142" t="s">
        <v>1102</v>
      </c>
      <c r="G2632" s="130"/>
      <c r="H2632" s="10">
        <v>19502150</v>
      </c>
      <c r="I2632" s="10"/>
      <c r="J2632" s="79" t="e">
        <f t="shared" si="185"/>
        <v>#VALUE!</v>
      </c>
      <c r="K2632" s="106"/>
      <c r="L2632" s="141"/>
      <c r="M2632" s="132"/>
      <c r="N2632" s="133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spans="1:24" ht="14.25" customHeight="1">
      <c r="A2633" s="4"/>
      <c r="B2633" s="125">
        <v>46202</v>
      </c>
      <c r="C2633" s="126" t="s">
        <v>1101</v>
      </c>
      <c r="D2633" s="68" t="s">
        <v>130</v>
      </c>
      <c r="E2633" s="10" t="str">
        <f>TRIM(VLOOKUP(D2633,TB!$B$9:$C$1500,2,FALSE))</f>
        <v>BCA TBB</v>
      </c>
      <c r="F2633" s="142" t="s">
        <v>1102</v>
      </c>
      <c r="G2633" s="130"/>
      <c r="H2633" s="10"/>
      <c r="I2633" s="10">
        <v>19502150</v>
      </c>
      <c r="J2633" s="79" t="e">
        <f t="shared" si="185"/>
        <v>#VALUE!</v>
      </c>
      <c r="K2633" s="106"/>
      <c r="L2633" s="141"/>
      <c r="M2633" s="132"/>
      <c r="N2633" s="133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spans="1:24" ht="14.25" customHeight="1">
      <c r="A2634" s="4"/>
      <c r="B2634" s="125"/>
      <c r="C2634" s="126"/>
      <c r="D2634" s="159"/>
      <c r="E2634" s="10" t="e">
        <f>TRIM(VLOOKUP(D2634,TB!$B$9:$C$1500,2,FALSE))</f>
        <v>#N/A</v>
      </c>
      <c r="F2634" s="142"/>
      <c r="G2634" s="130"/>
      <c r="H2634" s="10"/>
      <c r="I2634" s="10"/>
      <c r="J2634" s="79" t="e">
        <f t="shared" si="185"/>
        <v>#VALUE!</v>
      </c>
      <c r="K2634" s="106"/>
      <c r="L2634" s="141"/>
      <c r="M2634" s="132"/>
      <c r="N2634" s="133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spans="1:24" ht="14.25" customHeight="1">
      <c r="A2635" s="4"/>
      <c r="B2635" s="125">
        <v>46202</v>
      </c>
      <c r="C2635" s="126" t="s">
        <v>1103</v>
      </c>
      <c r="D2635" s="68" t="s">
        <v>285</v>
      </c>
      <c r="E2635" s="10" t="str">
        <f>TRIM(VLOOKUP(D2635,TB!$B$9:$C$1500,2,FALSE))</f>
        <v>Misc Cash Purchase</v>
      </c>
      <c r="F2635" s="142" t="s">
        <v>1104</v>
      </c>
      <c r="G2635" s="130"/>
      <c r="H2635" s="10">
        <v>1500000</v>
      </c>
      <c r="I2635" s="10"/>
      <c r="J2635" s="79" t="e">
        <f t="shared" si="185"/>
        <v>#VALUE!</v>
      </c>
      <c r="K2635" s="106"/>
      <c r="L2635" s="141"/>
      <c r="M2635" s="132"/>
      <c r="N2635" s="133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spans="1:24" ht="14.25" customHeight="1">
      <c r="A2636" s="4"/>
      <c r="B2636" s="125">
        <v>46202</v>
      </c>
      <c r="C2636" s="126" t="s">
        <v>1103</v>
      </c>
      <c r="D2636" s="68" t="s">
        <v>130</v>
      </c>
      <c r="E2636" s="10" t="str">
        <f>TRIM(VLOOKUP(D2636,TB!$B$9:$C$1500,2,FALSE))</f>
        <v>BCA TBB</v>
      </c>
      <c r="F2636" s="142" t="s">
        <v>1104</v>
      </c>
      <c r="G2636" s="130"/>
      <c r="H2636" s="10"/>
      <c r="I2636" s="10">
        <v>1500000</v>
      </c>
      <c r="J2636" s="79" t="e">
        <f t="shared" si="185"/>
        <v>#VALUE!</v>
      </c>
      <c r="K2636" s="106"/>
      <c r="L2636" s="141"/>
      <c r="M2636" s="132"/>
      <c r="N2636" s="133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spans="1:24" ht="14.25" customHeight="1">
      <c r="A2637" s="4"/>
      <c r="B2637" s="125"/>
      <c r="C2637" s="126"/>
      <c r="D2637" s="159"/>
      <c r="E2637" s="10" t="e">
        <f>TRIM(VLOOKUP(D2637,TB!$B$9:$C$1500,2,FALSE))</f>
        <v>#N/A</v>
      </c>
      <c r="F2637" s="142"/>
      <c r="G2637" s="130"/>
      <c r="H2637" s="10"/>
      <c r="I2637" s="10"/>
      <c r="J2637" s="79" t="e">
        <f t="shared" si="185"/>
        <v>#VALUE!</v>
      </c>
      <c r="K2637" s="106"/>
      <c r="L2637" s="141"/>
      <c r="M2637" s="132"/>
      <c r="N2637" s="133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spans="1:24" ht="14.25" customHeight="1">
      <c r="A2638" s="4"/>
      <c r="B2638" s="125">
        <v>46202</v>
      </c>
      <c r="C2638" s="126" t="s">
        <v>1105</v>
      </c>
      <c r="D2638" s="68" t="s">
        <v>285</v>
      </c>
      <c r="E2638" s="10" t="str">
        <f>TRIM(VLOOKUP(D2638,TB!$B$9:$C$1500,2,FALSE))</f>
        <v>Misc Cash Purchase</v>
      </c>
      <c r="F2638" s="142" t="s">
        <v>1106</v>
      </c>
      <c r="G2638" s="130"/>
      <c r="H2638" s="10">
        <v>1500000</v>
      </c>
      <c r="I2638" s="10"/>
      <c r="J2638" s="79" t="e">
        <f t="shared" si="185"/>
        <v>#VALUE!</v>
      </c>
      <c r="K2638" s="106"/>
      <c r="L2638" s="141"/>
      <c r="M2638" s="132"/>
      <c r="N2638" s="133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spans="1:24" ht="14.25" customHeight="1">
      <c r="A2639" s="4"/>
      <c r="B2639" s="125">
        <v>46202</v>
      </c>
      <c r="C2639" s="126" t="s">
        <v>1105</v>
      </c>
      <c r="D2639" s="15" t="s">
        <v>124</v>
      </c>
      <c r="E2639" s="10" t="str">
        <f>TRIM(VLOOKUP(D2639,TB!$B$9:$C$1500,2,FALSE))</f>
        <v>Bank charges</v>
      </c>
      <c r="F2639" s="142" t="s">
        <v>1106</v>
      </c>
      <c r="G2639" s="130"/>
      <c r="H2639" s="10">
        <v>2500</v>
      </c>
      <c r="I2639" s="10"/>
      <c r="J2639" s="79" t="e">
        <f t="shared" si="185"/>
        <v>#VALUE!</v>
      </c>
      <c r="K2639" s="106"/>
      <c r="L2639" s="141"/>
      <c r="M2639" s="132"/>
      <c r="N2639" s="133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spans="1:24" ht="14.25" customHeight="1">
      <c r="A2640" s="4"/>
      <c r="B2640" s="125">
        <v>46202</v>
      </c>
      <c r="C2640" s="126" t="s">
        <v>1105</v>
      </c>
      <c r="D2640" s="68" t="s">
        <v>130</v>
      </c>
      <c r="E2640" s="10" t="str">
        <f>TRIM(VLOOKUP(D2640,TB!$B$9:$C$1500,2,FALSE))</f>
        <v>BCA TBB</v>
      </c>
      <c r="F2640" s="142" t="s">
        <v>1106</v>
      </c>
      <c r="G2640" s="130"/>
      <c r="H2640" s="10"/>
      <c r="I2640" s="10">
        <f>SUM(H2638:H2639)</f>
        <v>1502500</v>
      </c>
      <c r="J2640" s="79" t="e">
        <f t="shared" si="185"/>
        <v>#VALUE!</v>
      </c>
      <c r="K2640" s="106"/>
      <c r="L2640" s="141"/>
      <c r="M2640" s="132"/>
      <c r="N2640" s="133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spans="1:24" ht="14.25" customHeight="1">
      <c r="A2641" s="4"/>
      <c r="B2641" s="125"/>
      <c r="C2641" s="126"/>
      <c r="D2641" s="159"/>
      <c r="E2641" s="10" t="e">
        <f>TRIM(VLOOKUP(D2641,TB!$B$9:$C$1500,2,FALSE))</f>
        <v>#N/A</v>
      </c>
      <c r="F2641" s="142"/>
      <c r="G2641" s="130"/>
      <c r="H2641" s="10"/>
      <c r="I2641" s="10"/>
      <c r="J2641" s="79" t="e">
        <f t="shared" si="185"/>
        <v>#VALUE!</v>
      </c>
      <c r="K2641" s="106"/>
      <c r="L2641" s="141"/>
      <c r="M2641" s="132"/>
      <c r="N2641" s="133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spans="1:24" ht="14.25" customHeight="1">
      <c r="A2642" s="4"/>
      <c r="B2642" s="125">
        <v>46202</v>
      </c>
      <c r="C2642" s="126" t="s">
        <v>1107</v>
      </c>
      <c r="D2642" s="68" t="s">
        <v>285</v>
      </c>
      <c r="E2642" s="10" t="str">
        <f>TRIM(VLOOKUP(D2642,TB!$B$9:$C$1500,2,FALSE))</f>
        <v>Misc Cash Purchase</v>
      </c>
      <c r="F2642" s="142" t="s">
        <v>1108</v>
      </c>
      <c r="G2642" s="130"/>
      <c r="H2642" s="10">
        <v>5500000</v>
      </c>
      <c r="I2642" s="10"/>
      <c r="J2642" s="79" t="e">
        <f t="shared" si="185"/>
        <v>#VALUE!</v>
      </c>
      <c r="K2642" s="106"/>
      <c r="L2642" s="141"/>
      <c r="M2642" s="132"/>
      <c r="N2642" s="133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spans="1:24" ht="14.25" customHeight="1">
      <c r="A2643" s="4"/>
      <c r="B2643" s="125">
        <v>46202</v>
      </c>
      <c r="C2643" s="126" t="s">
        <v>1107</v>
      </c>
      <c r="D2643" s="15" t="s">
        <v>124</v>
      </c>
      <c r="E2643" s="10" t="str">
        <f>TRIM(VLOOKUP(D2643,TB!$B$9:$C$1500,2,FALSE))</f>
        <v>Bank charges</v>
      </c>
      <c r="F2643" s="142" t="s">
        <v>1108</v>
      </c>
      <c r="G2643" s="130"/>
      <c r="H2643" s="10">
        <v>2500</v>
      </c>
      <c r="I2643" s="10"/>
      <c r="J2643" s="79" t="e">
        <f t="shared" si="185"/>
        <v>#VALUE!</v>
      </c>
      <c r="K2643" s="106"/>
      <c r="L2643" s="141"/>
      <c r="M2643" s="132"/>
      <c r="N2643" s="133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spans="1:24" ht="14.25" customHeight="1">
      <c r="A2644" s="4"/>
      <c r="B2644" s="125">
        <v>46202</v>
      </c>
      <c r="C2644" s="126" t="s">
        <v>1107</v>
      </c>
      <c r="D2644" s="68" t="s">
        <v>130</v>
      </c>
      <c r="E2644" s="10" t="str">
        <f>TRIM(VLOOKUP(D2644,TB!$B$9:$C$1500,2,FALSE))</f>
        <v>BCA TBB</v>
      </c>
      <c r="F2644" s="142" t="s">
        <v>1108</v>
      </c>
      <c r="G2644" s="130"/>
      <c r="H2644" s="10"/>
      <c r="I2644" s="10">
        <f>SUM(H2642:H2643)</f>
        <v>5502500</v>
      </c>
      <c r="J2644" s="79" t="e">
        <f t="shared" si="185"/>
        <v>#VALUE!</v>
      </c>
      <c r="K2644" s="106"/>
      <c r="L2644" s="141"/>
      <c r="M2644" s="132"/>
      <c r="N2644" s="133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spans="1:24" ht="14.25" customHeight="1">
      <c r="A2645" s="4"/>
      <c r="B2645" s="125"/>
      <c r="C2645" s="126"/>
      <c r="D2645" s="159"/>
      <c r="E2645" s="10" t="e">
        <f>TRIM(VLOOKUP(D2645,TB!$B$9:$C$1500,2,FALSE))</f>
        <v>#N/A</v>
      </c>
      <c r="F2645" s="142"/>
      <c r="G2645" s="130"/>
      <c r="H2645" s="10"/>
      <c r="I2645" s="10"/>
      <c r="J2645" s="79" t="e">
        <f t="shared" si="185"/>
        <v>#VALUE!</v>
      </c>
      <c r="K2645" s="106"/>
      <c r="L2645" s="141"/>
      <c r="M2645" s="132"/>
      <c r="N2645" s="133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spans="1:24" ht="14.25" customHeight="1">
      <c r="A2646" s="4"/>
      <c r="B2646" s="125">
        <v>46202</v>
      </c>
      <c r="C2646" s="126" t="s">
        <v>1109</v>
      </c>
      <c r="D2646" s="68" t="s">
        <v>285</v>
      </c>
      <c r="E2646" s="10" t="str">
        <f>TRIM(VLOOKUP(D2646,TB!$B$9:$C$1500,2,FALSE))</f>
        <v>Misc Cash Purchase</v>
      </c>
      <c r="F2646" s="142" t="s">
        <v>1110</v>
      </c>
      <c r="G2646" s="130"/>
      <c r="H2646" s="10">
        <v>2000000</v>
      </c>
      <c r="I2646" s="10"/>
      <c r="J2646" s="79" t="e">
        <f t="shared" si="185"/>
        <v>#VALUE!</v>
      </c>
      <c r="K2646" s="106"/>
      <c r="L2646" s="141"/>
      <c r="M2646" s="132"/>
      <c r="N2646" s="133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 ht="14.25" customHeight="1">
      <c r="A2647" s="4"/>
      <c r="B2647" s="125">
        <v>46202</v>
      </c>
      <c r="C2647" s="126" t="s">
        <v>1109</v>
      </c>
      <c r="D2647" s="68" t="s">
        <v>130</v>
      </c>
      <c r="E2647" s="10" t="str">
        <f>TRIM(VLOOKUP(D2647,TB!$B$9:$C$1500,2,FALSE))</f>
        <v>BCA TBB</v>
      </c>
      <c r="F2647" s="142" t="s">
        <v>1110</v>
      </c>
      <c r="G2647" s="130"/>
      <c r="H2647" s="10"/>
      <c r="I2647" s="10">
        <v>2000000</v>
      </c>
      <c r="J2647" s="79" t="e">
        <f t="shared" si="185"/>
        <v>#VALUE!</v>
      </c>
      <c r="K2647" s="106"/>
      <c r="L2647" s="141"/>
      <c r="M2647" s="132"/>
      <c r="N2647" s="133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spans="1:24" ht="14.25" customHeight="1">
      <c r="A2648" s="4"/>
      <c r="B2648" s="125"/>
      <c r="C2648" s="126"/>
      <c r="D2648" s="159"/>
      <c r="E2648" s="10" t="e">
        <f>TRIM(VLOOKUP(D2648,TB!$B$9:$C$1500,2,FALSE))</f>
        <v>#N/A</v>
      </c>
      <c r="F2648" s="142"/>
      <c r="G2648" s="130"/>
      <c r="H2648" s="10"/>
      <c r="I2648" s="10"/>
      <c r="J2648" s="79" t="e">
        <f t="shared" si="185"/>
        <v>#VALUE!</v>
      </c>
      <c r="K2648" s="106"/>
      <c r="L2648" s="141"/>
      <c r="M2648" s="132"/>
      <c r="N2648" s="133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spans="1:24" ht="14.25" customHeight="1">
      <c r="A2649" s="4"/>
      <c r="B2649" s="125">
        <v>46202</v>
      </c>
      <c r="C2649" s="126" t="s">
        <v>1111</v>
      </c>
      <c r="D2649" s="68" t="s">
        <v>285</v>
      </c>
      <c r="E2649" s="10" t="str">
        <f>TRIM(VLOOKUP(D2649,TB!$B$9:$C$1500,2,FALSE))</f>
        <v>Misc Cash Purchase</v>
      </c>
      <c r="F2649" s="142" t="s">
        <v>1112</v>
      </c>
      <c r="G2649" s="130"/>
      <c r="H2649" s="10">
        <v>2000000</v>
      </c>
      <c r="I2649" s="10"/>
      <c r="J2649" s="79" t="e">
        <f t="shared" si="185"/>
        <v>#VALUE!</v>
      </c>
      <c r="K2649" s="106"/>
      <c r="L2649" s="141"/>
      <c r="M2649" s="132"/>
      <c r="N2649" s="133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spans="1:24" ht="14.25" customHeight="1">
      <c r="A2650" s="4"/>
      <c r="B2650" s="125">
        <v>46202</v>
      </c>
      <c r="C2650" s="126" t="s">
        <v>1111</v>
      </c>
      <c r="D2650" s="15" t="s">
        <v>124</v>
      </c>
      <c r="E2650" s="10" t="str">
        <f>TRIM(VLOOKUP(D2650,TB!$B$9:$C$1500,2,FALSE))</f>
        <v>Bank charges</v>
      </c>
      <c r="F2650" s="142" t="s">
        <v>1112</v>
      </c>
      <c r="G2650" s="130"/>
      <c r="H2650" s="10">
        <v>2500</v>
      </c>
      <c r="I2650" s="10"/>
      <c r="J2650" s="79" t="e">
        <f t="shared" si="185"/>
        <v>#VALUE!</v>
      </c>
      <c r="K2650" s="106"/>
      <c r="L2650" s="141"/>
      <c r="M2650" s="132"/>
      <c r="N2650" s="133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spans="1:24" ht="14.25" customHeight="1">
      <c r="A2651" s="4"/>
      <c r="B2651" s="125">
        <v>46202</v>
      </c>
      <c r="C2651" s="126" t="s">
        <v>1111</v>
      </c>
      <c r="D2651" s="68" t="s">
        <v>130</v>
      </c>
      <c r="E2651" s="10" t="str">
        <f>TRIM(VLOOKUP(D2651,TB!$B$9:$C$1500,2,FALSE))</f>
        <v>BCA TBB</v>
      </c>
      <c r="F2651" s="142" t="s">
        <v>1112</v>
      </c>
      <c r="G2651" s="130"/>
      <c r="H2651" s="10"/>
      <c r="I2651" s="10">
        <f>SUM(H2649:H2650)</f>
        <v>2002500</v>
      </c>
      <c r="J2651" s="79" t="e">
        <f t="shared" si="185"/>
        <v>#VALUE!</v>
      </c>
      <c r="K2651" s="106"/>
      <c r="L2651" s="141"/>
      <c r="M2651" s="132"/>
      <c r="N2651" s="133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spans="1:24" ht="14.25" customHeight="1">
      <c r="A2652" s="4"/>
      <c r="B2652" s="125"/>
      <c r="C2652" s="126"/>
      <c r="D2652" s="159"/>
      <c r="E2652" s="10" t="e">
        <f>TRIM(VLOOKUP(D2652,TB!$B$9:$C$1500,2,FALSE))</f>
        <v>#N/A</v>
      </c>
      <c r="F2652" s="142"/>
      <c r="G2652" s="130"/>
      <c r="H2652" s="10"/>
      <c r="I2652" s="10"/>
      <c r="J2652" s="79" t="e">
        <f t="shared" si="185"/>
        <v>#VALUE!</v>
      </c>
      <c r="K2652" s="106"/>
      <c r="L2652" s="141"/>
      <c r="M2652" s="132"/>
      <c r="N2652" s="133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spans="1:24" ht="14.25" customHeight="1">
      <c r="A2653" s="4"/>
      <c r="B2653" s="125">
        <v>46202</v>
      </c>
      <c r="C2653" s="126" t="s">
        <v>1113</v>
      </c>
      <c r="D2653" s="68" t="s">
        <v>285</v>
      </c>
      <c r="E2653" s="10" t="str">
        <f>TRIM(VLOOKUP(D2653,TB!$B$9:$C$1500,2,FALSE))</f>
        <v>Misc Cash Purchase</v>
      </c>
      <c r="F2653" s="142" t="s">
        <v>1114</v>
      </c>
      <c r="G2653" s="130"/>
      <c r="H2653" s="10">
        <v>2000000</v>
      </c>
      <c r="I2653" s="10"/>
      <c r="J2653" s="79" t="e">
        <f t="shared" si="185"/>
        <v>#VALUE!</v>
      </c>
      <c r="K2653" s="106"/>
      <c r="L2653" s="141"/>
      <c r="M2653" s="132"/>
      <c r="N2653" s="133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spans="1:24" ht="14.25" customHeight="1">
      <c r="A2654" s="4"/>
      <c r="B2654" s="125">
        <v>46202</v>
      </c>
      <c r="C2654" s="126" t="s">
        <v>1113</v>
      </c>
      <c r="D2654" s="15" t="s">
        <v>124</v>
      </c>
      <c r="E2654" s="10" t="str">
        <f>TRIM(VLOOKUP(D2654,TB!$B$9:$C$1500,2,FALSE))</f>
        <v>Bank charges</v>
      </c>
      <c r="F2654" s="142" t="s">
        <v>1114</v>
      </c>
      <c r="G2654" s="130"/>
      <c r="H2654" s="10">
        <v>2500</v>
      </c>
      <c r="I2654" s="10"/>
      <c r="J2654" s="79" t="e">
        <f t="shared" si="185"/>
        <v>#VALUE!</v>
      </c>
      <c r="K2654" s="106"/>
      <c r="L2654" s="141"/>
      <c r="M2654" s="132"/>
      <c r="N2654" s="133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spans="1:24" ht="14.25" customHeight="1">
      <c r="A2655" s="4"/>
      <c r="B2655" s="125">
        <v>46202</v>
      </c>
      <c r="C2655" s="126" t="s">
        <v>1113</v>
      </c>
      <c r="D2655" s="68" t="s">
        <v>130</v>
      </c>
      <c r="E2655" s="10" t="str">
        <f>TRIM(VLOOKUP(D2655,TB!$B$9:$C$1500,2,FALSE))</f>
        <v>BCA TBB</v>
      </c>
      <c r="F2655" s="142" t="s">
        <v>1114</v>
      </c>
      <c r="G2655" s="130"/>
      <c r="H2655" s="10"/>
      <c r="I2655" s="10">
        <f>SUM(H2653:H2654)</f>
        <v>2002500</v>
      </c>
      <c r="J2655" s="79" t="e">
        <f t="shared" si="185"/>
        <v>#VALUE!</v>
      </c>
      <c r="K2655" s="106"/>
      <c r="L2655" s="141"/>
      <c r="M2655" s="132"/>
      <c r="N2655" s="133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spans="1:24" ht="14.25" customHeight="1">
      <c r="A2656" s="4"/>
      <c r="B2656" s="125"/>
      <c r="C2656" s="126"/>
      <c r="D2656" s="159"/>
      <c r="E2656" s="10" t="e">
        <f>TRIM(VLOOKUP(D2656,TB!$B$9:$C$1500,2,FALSE))</f>
        <v>#N/A</v>
      </c>
      <c r="F2656" s="142"/>
      <c r="G2656" s="130"/>
      <c r="H2656" s="10"/>
      <c r="I2656" s="10"/>
      <c r="J2656" s="79" t="e">
        <f t="shared" si="185"/>
        <v>#VALUE!</v>
      </c>
      <c r="K2656" s="106"/>
      <c r="L2656" s="141"/>
      <c r="M2656" s="132"/>
      <c r="N2656" s="133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spans="1:24" ht="14.25" customHeight="1">
      <c r="A2657" s="4"/>
      <c r="B2657" s="125">
        <v>46202</v>
      </c>
      <c r="C2657" s="126" t="s">
        <v>1115</v>
      </c>
      <c r="D2657" s="68" t="s">
        <v>285</v>
      </c>
      <c r="E2657" s="10" t="str">
        <f>TRIM(VLOOKUP(D2657,TB!$B$9:$C$1500,2,FALSE))</f>
        <v>Misc Cash Purchase</v>
      </c>
      <c r="F2657" s="142" t="s">
        <v>1116</v>
      </c>
      <c r="G2657" s="130"/>
      <c r="H2657" s="10">
        <v>2000000</v>
      </c>
      <c r="I2657" s="10"/>
      <c r="J2657" s="79" t="e">
        <f t="shared" si="185"/>
        <v>#VALUE!</v>
      </c>
      <c r="K2657" s="106"/>
      <c r="L2657" s="141"/>
      <c r="M2657" s="132"/>
      <c r="N2657" s="133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spans="1:24" ht="14.25" customHeight="1">
      <c r="A2658" s="4"/>
      <c r="B2658" s="125">
        <v>46202</v>
      </c>
      <c r="C2658" s="126" t="s">
        <v>1115</v>
      </c>
      <c r="D2658" s="15" t="s">
        <v>124</v>
      </c>
      <c r="E2658" s="10" t="str">
        <f>TRIM(VLOOKUP(D2658,TB!$B$9:$C$1500,2,FALSE))</f>
        <v>Bank charges</v>
      </c>
      <c r="F2658" s="142" t="s">
        <v>1116</v>
      </c>
      <c r="G2658" s="130"/>
      <c r="H2658" s="10">
        <v>2500</v>
      </c>
      <c r="I2658" s="10"/>
      <c r="J2658" s="79" t="e">
        <f t="shared" si="185"/>
        <v>#VALUE!</v>
      </c>
      <c r="K2658" s="106"/>
      <c r="L2658" s="141"/>
      <c r="M2658" s="132"/>
      <c r="N2658" s="133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spans="1:24" ht="14.25" customHeight="1">
      <c r="A2659" s="4"/>
      <c r="B2659" s="125">
        <v>46202</v>
      </c>
      <c r="C2659" s="126" t="s">
        <v>1115</v>
      </c>
      <c r="D2659" s="68" t="s">
        <v>130</v>
      </c>
      <c r="E2659" s="10" t="str">
        <f>TRIM(VLOOKUP(D2659,TB!$B$9:$C$1500,2,FALSE))</f>
        <v>BCA TBB</v>
      </c>
      <c r="F2659" s="142" t="s">
        <v>1116</v>
      </c>
      <c r="G2659" s="130"/>
      <c r="H2659" s="10"/>
      <c r="I2659" s="10">
        <f>SUM(H2657:H2658)</f>
        <v>2002500</v>
      </c>
      <c r="J2659" s="79" t="e">
        <f t="shared" si="185"/>
        <v>#VALUE!</v>
      </c>
      <c r="K2659" s="106"/>
      <c r="L2659" s="141"/>
      <c r="M2659" s="132"/>
      <c r="N2659" s="133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spans="1:24" ht="14.25" customHeight="1">
      <c r="A2660" s="4"/>
      <c r="B2660" s="125"/>
      <c r="C2660" s="126"/>
      <c r="D2660" s="159"/>
      <c r="E2660" s="10" t="e">
        <f>TRIM(VLOOKUP(D2660,TB!$B$9:$C$1500,2,FALSE))</f>
        <v>#N/A</v>
      </c>
      <c r="F2660" s="142"/>
      <c r="G2660" s="130"/>
      <c r="H2660" s="10"/>
      <c r="I2660" s="10"/>
      <c r="J2660" s="79" t="e">
        <f t="shared" si="185"/>
        <v>#VALUE!</v>
      </c>
      <c r="K2660" s="106"/>
      <c r="L2660" s="141"/>
      <c r="M2660" s="132"/>
      <c r="N2660" s="133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spans="1:24" ht="14.25" customHeight="1">
      <c r="A2661" s="4"/>
      <c r="B2661" s="125">
        <v>46202</v>
      </c>
      <c r="C2661" s="126" t="s">
        <v>1117</v>
      </c>
      <c r="D2661" s="68" t="s">
        <v>285</v>
      </c>
      <c r="E2661" s="10" t="str">
        <f>TRIM(VLOOKUP(D2661,TB!$B$9:$C$1500,2,FALSE))</f>
        <v>Misc Cash Purchase</v>
      </c>
      <c r="F2661" s="142" t="s">
        <v>1118</v>
      </c>
      <c r="G2661" s="130"/>
      <c r="H2661" s="10">
        <v>2000000</v>
      </c>
      <c r="I2661" s="10"/>
      <c r="J2661" s="79" t="e">
        <f t="shared" si="185"/>
        <v>#VALUE!</v>
      </c>
      <c r="K2661" s="106"/>
      <c r="L2661" s="141"/>
      <c r="M2661" s="132"/>
      <c r="N2661" s="133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spans="1:24" ht="14.25" customHeight="1">
      <c r="A2662" s="4"/>
      <c r="B2662" s="125">
        <v>46202</v>
      </c>
      <c r="C2662" s="126" t="s">
        <v>1117</v>
      </c>
      <c r="D2662" s="68" t="s">
        <v>130</v>
      </c>
      <c r="E2662" s="10" t="str">
        <f>TRIM(VLOOKUP(D2662,TB!$B$9:$C$1500,2,FALSE))</f>
        <v>BCA TBB</v>
      </c>
      <c r="F2662" s="142" t="s">
        <v>1118</v>
      </c>
      <c r="G2662" s="130"/>
      <c r="H2662" s="10"/>
      <c r="I2662" s="10">
        <v>2000000</v>
      </c>
      <c r="J2662" s="79" t="e">
        <f t="shared" si="185"/>
        <v>#VALUE!</v>
      </c>
      <c r="K2662" s="106"/>
      <c r="L2662" s="141"/>
      <c r="M2662" s="132"/>
      <c r="N2662" s="133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spans="1:24" ht="14.25" customHeight="1">
      <c r="A2663" s="4"/>
      <c r="B2663" s="125"/>
      <c r="C2663" s="126"/>
      <c r="D2663" s="159"/>
      <c r="E2663" s="10" t="e">
        <f>TRIM(VLOOKUP(D2663,TB!$B$9:$C$1500,2,FALSE))</f>
        <v>#N/A</v>
      </c>
      <c r="F2663" s="142"/>
      <c r="G2663" s="130"/>
      <c r="H2663" s="10"/>
      <c r="I2663" s="10"/>
      <c r="J2663" s="79" t="e">
        <f t="shared" si="185"/>
        <v>#VALUE!</v>
      </c>
      <c r="K2663" s="106"/>
      <c r="L2663" s="141"/>
      <c r="M2663" s="132"/>
      <c r="N2663" s="133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spans="1:24" ht="14.25" customHeight="1">
      <c r="A2664" s="4"/>
      <c r="B2664" s="125">
        <v>46202</v>
      </c>
      <c r="C2664" s="126" t="s">
        <v>1119</v>
      </c>
      <c r="D2664" s="68" t="s">
        <v>285</v>
      </c>
      <c r="E2664" s="10" t="str">
        <f>TRIM(VLOOKUP(D2664,TB!$B$9:$C$1500,2,FALSE))</f>
        <v>Misc Cash Purchase</v>
      </c>
      <c r="F2664" s="142" t="s">
        <v>1120</v>
      </c>
      <c r="G2664" s="130"/>
      <c r="H2664" s="10">
        <v>1000000</v>
      </c>
      <c r="I2664" s="10"/>
      <c r="J2664" s="79" t="e">
        <f t="shared" si="185"/>
        <v>#VALUE!</v>
      </c>
      <c r="K2664" s="106"/>
      <c r="L2664" s="141"/>
      <c r="M2664" s="132"/>
      <c r="N2664" s="133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spans="1:24" ht="14.25" customHeight="1">
      <c r="A2665" s="4"/>
      <c r="B2665" s="125">
        <v>46202</v>
      </c>
      <c r="C2665" s="126" t="s">
        <v>1119</v>
      </c>
      <c r="D2665" s="68" t="s">
        <v>130</v>
      </c>
      <c r="E2665" s="10" t="str">
        <f>TRIM(VLOOKUP(D2665,TB!$B$9:$C$1500,2,FALSE))</f>
        <v>BCA TBB</v>
      </c>
      <c r="F2665" s="142" t="s">
        <v>1120</v>
      </c>
      <c r="G2665" s="130"/>
      <c r="H2665" s="10"/>
      <c r="I2665" s="10">
        <v>1000000</v>
      </c>
      <c r="J2665" s="79" t="e">
        <f t="shared" si="185"/>
        <v>#VALUE!</v>
      </c>
      <c r="K2665" s="106"/>
      <c r="L2665" s="141"/>
      <c r="M2665" s="132"/>
      <c r="N2665" s="133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spans="1:24" ht="14.25" customHeight="1">
      <c r="A2666" s="4"/>
      <c r="B2666" s="125"/>
      <c r="C2666" s="126"/>
      <c r="D2666" s="159"/>
      <c r="E2666" s="10" t="e">
        <f>TRIM(VLOOKUP(D2666,TB!$B$9:$C$1500,2,FALSE))</f>
        <v>#N/A</v>
      </c>
      <c r="F2666" s="142"/>
      <c r="G2666" s="130"/>
      <c r="H2666" s="10"/>
      <c r="I2666" s="10"/>
      <c r="J2666" s="79" t="e">
        <f t="shared" si="185"/>
        <v>#VALUE!</v>
      </c>
      <c r="K2666" s="106"/>
      <c r="L2666" s="141"/>
      <c r="M2666" s="132"/>
      <c r="N2666" s="133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spans="1:24" ht="14.25" customHeight="1">
      <c r="A2667" s="4"/>
      <c r="B2667" s="125">
        <v>46202</v>
      </c>
      <c r="C2667" s="126" t="s">
        <v>1121</v>
      </c>
      <c r="D2667" s="68" t="s">
        <v>285</v>
      </c>
      <c r="E2667" s="10" t="str">
        <f>TRIM(VLOOKUP(D2667,TB!$B$9:$C$1500,2,FALSE))</f>
        <v>Misc Cash Purchase</v>
      </c>
      <c r="F2667" s="142" t="s">
        <v>1122</v>
      </c>
      <c r="G2667" s="130"/>
      <c r="H2667" s="10">
        <v>6000000</v>
      </c>
      <c r="I2667" s="10"/>
      <c r="J2667" s="79" t="e">
        <f t="shared" si="185"/>
        <v>#VALUE!</v>
      </c>
      <c r="K2667" s="106"/>
      <c r="L2667" s="141"/>
      <c r="M2667" s="132"/>
      <c r="N2667" s="133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spans="1:24" ht="14.25" customHeight="1">
      <c r="A2668" s="4"/>
      <c r="B2668" s="125">
        <v>46202</v>
      </c>
      <c r="C2668" s="126" t="s">
        <v>1121</v>
      </c>
      <c r="D2668" s="15" t="s">
        <v>124</v>
      </c>
      <c r="E2668" s="10" t="str">
        <f>TRIM(VLOOKUP(D2668,TB!$B$9:$C$1500,2,FALSE))</f>
        <v>Bank charges</v>
      </c>
      <c r="F2668" s="142" t="s">
        <v>1122</v>
      </c>
      <c r="G2668" s="130"/>
      <c r="H2668" s="10">
        <v>2500</v>
      </c>
      <c r="I2668" s="10"/>
      <c r="J2668" s="79" t="e">
        <f t="shared" si="185"/>
        <v>#VALUE!</v>
      </c>
      <c r="K2668" s="106"/>
      <c r="L2668" s="141"/>
      <c r="M2668" s="132"/>
      <c r="N2668" s="133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spans="1:24" ht="14.25" customHeight="1">
      <c r="A2669" s="4"/>
      <c r="B2669" s="125">
        <v>46202</v>
      </c>
      <c r="C2669" s="126" t="s">
        <v>1121</v>
      </c>
      <c r="D2669" s="68" t="s">
        <v>130</v>
      </c>
      <c r="E2669" s="10" t="str">
        <f>TRIM(VLOOKUP(D2669,TB!$B$9:$C$1500,2,FALSE))</f>
        <v>BCA TBB</v>
      </c>
      <c r="F2669" s="142" t="s">
        <v>1122</v>
      </c>
      <c r="G2669" s="130"/>
      <c r="H2669" s="10"/>
      <c r="I2669" s="10">
        <f>SUM(H2667:H2668)</f>
        <v>6002500</v>
      </c>
      <c r="J2669" s="79" t="e">
        <f t="shared" si="185"/>
        <v>#VALUE!</v>
      </c>
      <c r="K2669" s="106"/>
      <c r="L2669" s="141"/>
      <c r="M2669" s="132"/>
      <c r="N2669" s="133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spans="1:24" ht="14.25" customHeight="1">
      <c r="A2670" s="4"/>
      <c r="B2670" s="125"/>
      <c r="C2670" s="126"/>
      <c r="D2670" s="159"/>
      <c r="E2670" s="10" t="e">
        <f>TRIM(VLOOKUP(D2670,TB!$B$9:$C$1500,2,FALSE))</f>
        <v>#N/A</v>
      </c>
      <c r="F2670" s="142"/>
      <c r="G2670" s="130"/>
      <c r="H2670" s="10"/>
      <c r="I2670" s="10"/>
      <c r="J2670" s="79" t="e">
        <f t="shared" si="185"/>
        <v>#VALUE!</v>
      </c>
      <c r="K2670" s="106"/>
      <c r="L2670" s="141"/>
      <c r="M2670" s="132"/>
      <c r="N2670" s="133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spans="1:24" ht="14.25" customHeight="1">
      <c r="A2671" s="4"/>
      <c r="B2671" s="125">
        <v>46202</v>
      </c>
      <c r="C2671" s="126" t="s">
        <v>1123</v>
      </c>
      <c r="D2671" s="68" t="s">
        <v>285</v>
      </c>
      <c r="E2671" s="10" t="str">
        <f>TRIM(VLOOKUP(D2671,TB!$B$9:$C$1500,2,FALSE))</f>
        <v>Misc Cash Purchase</v>
      </c>
      <c r="F2671" s="142" t="s">
        <v>1124</v>
      </c>
      <c r="G2671" s="130"/>
      <c r="H2671" s="10">
        <v>2000000</v>
      </c>
      <c r="I2671" s="10"/>
      <c r="J2671" s="79" t="e">
        <f t="shared" si="185"/>
        <v>#VALUE!</v>
      </c>
      <c r="K2671" s="106"/>
      <c r="L2671" s="141"/>
      <c r="M2671" s="132"/>
      <c r="N2671" s="133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spans="1:24" ht="14.25" customHeight="1">
      <c r="A2672" s="4"/>
      <c r="B2672" s="125">
        <v>46202</v>
      </c>
      <c r="C2672" s="126" t="s">
        <v>1123</v>
      </c>
      <c r="D2672" s="15" t="s">
        <v>124</v>
      </c>
      <c r="E2672" s="10" t="str">
        <f>TRIM(VLOOKUP(D2672,TB!$B$9:$C$1500,2,FALSE))</f>
        <v>Bank charges</v>
      </c>
      <c r="F2672" s="142" t="s">
        <v>1124</v>
      </c>
      <c r="G2672" s="130"/>
      <c r="H2672" s="10">
        <v>2500</v>
      </c>
      <c r="I2672" s="10"/>
      <c r="J2672" s="79" t="e">
        <f t="shared" si="185"/>
        <v>#VALUE!</v>
      </c>
      <c r="K2672" s="106"/>
      <c r="L2672" s="141"/>
      <c r="M2672" s="132"/>
      <c r="N2672" s="133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spans="1:24" ht="14.25" customHeight="1">
      <c r="A2673" s="4"/>
      <c r="B2673" s="125">
        <v>46202</v>
      </c>
      <c r="C2673" s="126" t="s">
        <v>1123</v>
      </c>
      <c r="D2673" s="68" t="s">
        <v>130</v>
      </c>
      <c r="E2673" s="10" t="str">
        <f>TRIM(VLOOKUP(D2673,TB!$B$9:$C$1500,2,FALSE))</f>
        <v>BCA TBB</v>
      </c>
      <c r="F2673" s="142" t="s">
        <v>1124</v>
      </c>
      <c r="G2673" s="130"/>
      <c r="H2673" s="10"/>
      <c r="I2673" s="10">
        <f>SUM(H2671:H2672)</f>
        <v>2002500</v>
      </c>
      <c r="J2673" s="79" t="e">
        <f t="shared" si="185"/>
        <v>#VALUE!</v>
      </c>
      <c r="K2673" s="106"/>
      <c r="L2673" s="141"/>
      <c r="M2673" s="132"/>
      <c r="N2673" s="133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spans="1:24" ht="14.25" customHeight="1">
      <c r="A2674" s="4"/>
      <c r="B2674" s="125"/>
      <c r="C2674" s="126"/>
      <c r="D2674" s="159"/>
      <c r="E2674" s="10" t="e">
        <f>TRIM(VLOOKUP(D2674,TB!$B$9:$C$1500,2,FALSE))</f>
        <v>#N/A</v>
      </c>
      <c r="F2674" s="142"/>
      <c r="G2674" s="130"/>
      <c r="H2674" s="10"/>
      <c r="I2674" s="10"/>
      <c r="J2674" s="79" t="e">
        <f t="shared" si="185"/>
        <v>#VALUE!</v>
      </c>
      <c r="K2674" s="106"/>
      <c r="L2674" s="141"/>
      <c r="M2674" s="132"/>
      <c r="N2674" s="133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spans="1:24" ht="14.25" customHeight="1">
      <c r="A2675" s="4"/>
      <c r="B2675" s="125">
        <v>46202</v>
      </c>
      <c r="C2675" s="126" t="s">
        <v>1125</v>
      </c>
      <c r="D2675" s="68" t="s">
        <v>285</v>
      </c>
      <c r="E2675" s="10" t="str">
        <f>TRIM(VLOOKUP(D2675,TB!$B$9:$C$1500,2,FALSE))</f>
        <v>Misc Cash Purchase</v>
      </c>
      <c r="F2675" s="142" t="s">
        <v>1126</v>
      </c>
      <c r="G2675" s="130"/>
      <c r="H2675" s="10">
        <v>2000000</v>
      </c>
      <c r="I2675" s="10"/>
      <c r="J2675" s="79" t="e">
        <f t="shared" si="185"/>
        <v>#VALUE!</v>
      </c>
      <c r="K2675" s="106"/>
      <c r="L2675" s="141"/>
      <c r="M2675" s="132"/>
      <c r="N2675" s="133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spans="1:24" ht="14.25" customHeight="1">
      <c r="A2676" s="4"/>
      <c r="B2676" s="125">
        <v>46202</v>
      </c>
      <c r="C2676" s="126" t="s">
        <v>1125</v>
      </c>
      <c r="D2676" s="15" t="s">
        <v>124</v>
      </c>
      <c r="E2676" s="10" t="str">
        <f>TRIM(VLOOKUP(D2676,TB!$B$9:$C$1500,2,FALSE))</f>
        <v>Bank charges</v>
      </c>
      <c r="F2676" s="142" t="s">
        <v>1126</v>
      </c>
      <c r="G2676" s="130"/>
      <c r="H2676" s="10">
        <v>2500</v>
      </c>
      <c r="I2676" s="10"/>
      <c r="J2676" s="79" t="e">
        <f t="shared" si="185"/>
        <v>#VALUE!</v>
      </c>
      <c r="K2676" s="106"/>
      <c r="L2676" s="141"/>
      <c r="M2676" s="132"/>
      <c r="N2676" s="133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spans="1:24" ht="14.25" customHeight="1">
      <c r="A2677" s="4"/>
      <c r="B2677" s="125">
        <v>46202</v>
      </c>
      <c r="C2677" s="126" t="s">
        <v>1125</v>
      </c>
      <c r="D2677" s="68" t="s">
        <v>130</v>
      </c>
      <c r="E2677" s="10" t="str">
        <f>TRIM(VLOOKUP(D2677,TB!$B$9:$C$1500,2,FALSE))</f>
        <v>BCA TBB</v>
      </c>
      <c r="F2677" s="142" t="s">
        <v>1126</v>
      </c>
      <c r="G2677" s="130"/>
      <c r="H2677" s="10"/>
      <c r="I2677" s="10">
        <f>SUM(H2675:H2676)</f>
        <v>2002500</v>
      </c>
      <c r="J2677" s="79" t="e">
        <f t="shared" si="185"/>
        <v>#VALUE!</v>
      </c>
      <c r="K2677" s="106"/>
      <c r="L2677" s="141"/>
      <c r="M2677" s="132"/>
      <c r="N2677" s="133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spans="1:24" ht="14.25" customHeight="1">
      <c r="A2678" s="4"/>
      <c r="B2678" s="125"/>
      <c r="C2678" s="126"/>
      <c r="D2678" s="159"/>
      <c r="E2678" s="10" t="e">
        <f>TRIM(VLOOKUP(D2678,TB!$B$9:$C$1500,2,FALSE))</f>
        <v>#N/A</v>
      </c>
      <c r="F2678" s="142"/>
      <c r="G2678" s="130"/>
      <c r="H2678" s="10"/>
      <c r="I2678" s="10"/>
      <c r="J2678" s="79" t="e">
        <f t="shared" si="185"/>
        <v>#VALUE!</v>
      </c>
      <c r="K2678" s="106"/>
      <c r="L2678" s="141"/>
      <c r="M2678" s="132"/>
      <c r="N2678" s="133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spans="1:24" ht="14.25" customHeight="1">
      <c r="A2679" s="4"/>
      <c r="B2679" s="125">
        <v>46202</v>
      </c>
      <c r="C2679" s="126" t="s">
        <v>1127</v>
      </c>
      <c r="D2679" s="68" t="s">
        <v>285</v>
      </c>
      <c r="E2679" s="10" t="str">
        <f>TRIM(VLOOKUP(D2679,TB!$B$9:$C$1500,2,FALSE))</f>
        <v>Misc Cash Purchase</v>
      </c>
      <c r="F2679" s="142" t="s">
        <v>1128</v>
      </c>
      <c r="G2679" s="130"/>
      <c r="H2679" s="10">
        <v>2000000</v>
      </c>
      <c r="I2679" s="10"/>
      <c r="J2679" s="79" t="e">
        <f t="shared" si="185"/>
        <v>#VALUE!</v>
      </c>
      <c r="K2679" s="106"/>
      <c r="L2679" s="141"/>
      <c r="M2679" s="132"/>
      <c r="N2679" s="133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spans="1:24" ht="14.25" customHeight="1">
      <c r="A2680" s="4"/>
      <c r="B2680" s="125">
        <v>46202</v>
      </c>
      <c r="C2680" s="126" t="s">
        <v>1127</v>
      </c>
      <c r="D2680" s="15" t="s">
        <v>124</v>
      </c>
      <c r="E2680" s="10" t="str">
        <f>TRIM(VLOOKUP(D2680,TB!$B$9:$C$1500,2,FALSE))</f>
        <v>Bank charges</v>
      </c>
      <c r="F2680" s="142" t="s">
        <v>1128</v>
      </c>
      <c r="G2680" s="130"/>
      <c r="H2680" s="10">
        <v>2500</v>
      </c>
      <c r="I2680" s="10"/>
      <c r="J2680" s="79" t="e">
        <f t="shared" si="185"/>
        <v>#VALUE!</v>
      </c>
      <c r="K2680" s="106"/>
      <c r="L2680" s="141"/>
      <c r="M2680" s="132"/>
      <c r="N2680" s="133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spans="1:24" ht="14.25" customHeight="1">
      <c r="A2681" s="4"/>
      <c r="B2681" s="125">
        <v>46202</v>
      </c>
      <c r="C2681" s="126" t="s">
        <v>1127</v>
      </c>
      <c r="D2681" s="68" t="s">
        <v>130</v>
      </c>
      <c r="E2681" s="10" t="str">
        <f>TRIM(VLOOKUP(D2681,TB!$B$9:$C$1500,2,FALSE))</f>
        <v>BCA TBB</v>
      </c>
      <c r="F2681" s="142" t="s">
        <v>1128</v>
      </c>
      <c r="G2681" s="130"/>
      <c r="H2681" s="10"/>
      <c r="I2681" s="10">
        <f>SUM(H2679:H2680)</f>
        <v>2002500</v>
      </c>
      <c r="J2681" s="79" t="e">
        <f t="shared" si="185"/>
        <v>#VALUE!</v>
      </c>
      <c r="K2681" s="106"/>
      <c r="L2681" s="141"/>
      <c r="M2681" s="132"/>
      <c r="N2681" s="133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spans="1:24" ht="14.25" customHeight="1">
      <c r="A2682" s="4"/>
      <c r="B2682" s="125"/>
      <c r="C2682" s="126"/>
      <c r="D2682" s="159"/>
      <c r="E2682" s="10" t="e">
        <f>TRIM(VLOOKUP(D2682,TB!$B$9:$C$1500,2,FALSE))</f>
        <v>#N/A</v>
      </c>
      <c r="F2682" s="142"/>
      <c r="G2682" s="130"/>
      <c r="H2682" s="10"/>
      <c r="I2682" s="10"/>
      <c r="J2682" s="79" t="e">
        <f t="shared" si="185"/>
        <v>#VALUE!</v>
      </c>
      <c r="K2682" s="106"/>
      <c r="L2682" s="141"/>
      <c r="M2682" s="132"/>
      <c r="N2682" s="133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spans="1:24" ht="14.25" customHeight="1">
      <c r="A2683" s="4"/>
      <c r="B2683" s="125">
        <v>46202</v>
      </c>
      <c r="C2683" s="126" t="s">
        <v>1129</v>
      </c>
      <c r="D2683" s="68" t="s">
        <v>1130</v>
      </c>
      <c r="E2683" s="10" t="str">
        <f>TRIM(VLOOKUP(D2683,TB!$B$9:$C$1500,2,FALSE))</f>
        <v>Accrued Employee Welfare Payable</v>
      </c>
      <c r="F2683" s="142" t="s">
        <v>1131</v>
      </c>
      <c r="G2683" s="130"/>
      <c r="H2683" s="10">
        <v>1000000</v>
      </c>
      <c r="I2683" s="10"/>
      <c r="J2683" s="79" t="e">
        <f t="shared" si="185"/>
        <v>#VALUE!</v>
      </c>
      <c r="K2683" s="106"/>
      <c r="L2683" s="141"/>
      <c r="M2683" s="132"/>
      <c r="N2683" s="133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spans="1:24" ht="14.25" customHeight="1">
      <c r="A2684" s="4"/>
      <c r="B2684" s="125">
        <v>46202</v>
      </c>
      <c r="C2684" s="126" t="s">
        <v>1129</v>
      </c>
      <c r="D2684" s="68" t="s">
        <v>130</v>
      </c>
      <c r="E2684" s="10" t="str">
        <f>TRIM(VLOOKUP(D2684,TB!$B$9:$C$1500,2,FALSE))</f>
        <v>BCA TBB</v>
      </c>
      <c r="F2684" s="142" t="s">
        <v>1131</v>
      </c>
      <c r="G2684" s="130"/>
      <c r="H2684" s="10"/>
      <c r="I2684" s="10">
        <v>1000000</v>
      </c>
      <c r="J2684" s="79" t="e">
        <f t="shared" si="185"/>
        <v>#VALUE!</v>
      </c>
      <c r="K2684" s="106"/>
      <c r="L2684" s="141"/>
      <c r="M2684" s="132"/>
      <c r="N2684" s="133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spans="1:24" ht="14.25" customHeight="1">
      <c r="A2685" s="4"/>
      <c r="B2685" s="125"/>
      <c r="C2685" s="126"/>
      <c r="D2685" s="159"/>
      <c r="E2685" s="10" t="e">
        <f>TRIM(VLOOKUP(D2685,TB!$B$9:$C$1500,2,FALSE))</f>
        <v>#N/A</v>
      </c>
      <c r="F2685" s="142"/>
      <c r="G2685" s="130"/>
      <c r="H2685" s="10"/>
      <c r="I2685" s="10"/>
      <c r="J2685" s="79" t="e">
        <f t="shared" si="185"/>
        <v>#VALUE!</v>
      </c>
      <c r="K2685" s="106"/>
      <c r="L2685" s="141"/>
      <c r="M2685" s="132"/>
      <c r="N2685" s="133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spans="1:24" ht="14.25" customHeight="1">
      <c r="A2686" s="4"/>
      <c r="B2686" s="125">
        <v>46202</v>
      </c>
      <c r="C2686" s="126" t="s">
        <v>1132</v>
      </c>
      <c r="D2686" s="68" t="s">
        <v>285</v>
      </c>
      <c r="E2686" s="10" t="str">
        <f>TRIM(VLOOKUP(D2686,TB!$B$9:$C$1500,2,FALSE))</f>
        <v>Misc Cash Purchase</v>
      </c>
      <c r="F2686" s="142" t="s">
        <v>1133</v>
      </c>
      <c r="G2686" s="130"/>
      <c r="H2686" s="10">
        <v>1400000</v>
      </c>
      <c r="I2686" s="10"/>
      <c r="J2686" s="79" t="e">
        <f t="shared" si="185"/>
        <v>#VALUE!</v>
      </c>
      <c r="K2686" s="106"/>
      <c r="L2686" s="141"/>
      <c r="M2686" s="132"/>
      <c r="N2686" s="133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spans="1:24" ht="14.25" customHeight="1">
      <c r="A2687" s="4"/>
      <c r="B2687" s="125">
        <v>46202</v>
      </c>
      <c r="C2687" s="126" t="s">
        <v>1132</v>
      </c>
      <c r="D2687" s="68" t="s">
        <v>130</v>
      </c>
      <c r="E2687" s="10" t="str">
        <f>TRIM(VLOOKUP(D2687,TB!$B$9:$C$1500,2,FALSE))</f>
        <v>BCA TBB</v>
      </c>
      <c r="F2687" s="142" t="s">
        <v>1133</v>
      </c>
      <c r="G2687" s="130"/>
      <c r="H2687" s="10"/>
      <c r="I2687" s="10">
        <v>1400000</v>
      </c>
      <c r="J2687" s="79" t="e">
        <f t="shared" si="185"/>
        <v>#VALUE!</v>
      </c>
      <c r="K2687" s="106"/>
      <c r="L2687" s="141"/>
      <c r="M2687" s="132"/>
      <c r="N2687" s="133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spans="1:24" ht="14.25" customHeight="1">
      <c r="A2688" s="4"/>
      <c r="B2688" s="125"/>
      <c r="C2688" s="126"/>
      <c r="D2688" s="159"/>
      <c r="E2688" s="10" t="e">
        <f>TRIM(VLOOKUP(D2688,TB!$B$9:$C$1500,2,FALSE))</f>
        <v>#N/A</v>
      </c>
      <c r="F2688" s="142"/>
      <c r="G2688" s="130"/>
      <c r="H2688" s="10"/>
      <c r="I2688" s="10"/>
      <c r="J2688" s="79" t="e">
        <f t="shared" si="185"/>
        <v>#VALUE!</v>
      </c>
      <c r="K2688" s="106"/>
      <c r="L2688" s="141"/>
      <c r="M2688" s="132"/>
      <c r="N2688" s="133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spans="1:24" ht="14.25" customHeight="1">
      <c r="A2689" s="4"/>
      <c r="B2689" s="125">
        <v>46202</v>
      </c>
      <c r="C2689" s="126" t="s">
        <v>1134</v>
      </c>
      <c r="D2689" s="68" t="s">
        <v>285</v>
      </c>
      <c r="E2689" s="10" t="str">
        <f>TRIM(VLOOKUP(D2689,TB!$B$9:$C$1500,2,FALSE))</f>
        <v>Misc Cash Purchase</v>
      </c>
      <c r="F2689" s="142" t="s">
        <v>1135</v>
      </c>
      <c r="G2689" s="130"/>
      <c r="H2689" s="10">
        <v>12000000</v>
      </c>
      <c r="I2689" s="10"/>
      <c r="J2689" s="79" t="e">
        <f t="shared" si="185"/>
        <v>#VALUE!</v>
      </c>
      <c r="K2689" s="106"/>
      <c r="L2689" s="141"/>
      <c r="M2689" s="132"/>
      <c r="N2689" s="133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spans="1:24" ht="14.25" customHeight="1">
      <c r="A2690" s="4"/>
      <c r="B2690" s="125">
        <v>46202</v>
      </c>
      <c r="C2690" s="126" t="s">
        <v>1134</v>
      </c>
      <c r="D2690" s="68" t="s">
        <v>130</v>
      </c>
      <c r="E2690" s="10" t="str">
        <f>TRIM(VLOOKUP(D2690,TB!$B$9:$C$1500,2,FALSE))</f>
        <v>BCA TBB</v>
      </c>
      <c r="F2690" s="142" t="s">
        <v>1135</v>
      </c>
      <c r="G2690" s="130"/>
      <c r="H2690" s="10"/>
      <c r="I2690" s="10">
        <v>12000000</v>
      </c>
      <c r="J2690" s="79" t="e">
        <f t="shared" si="185"/>
        <v>#VALUE!</v>
      </c>
      <c r="K2690" s="106"/>
      <c r="L2690" s="141"/>
      <c r="M2690" s="132"/>
      <c r="N2690" s="133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spans="1:24" ht="14.25" customHeight="1">
      <c r="A2691" s="4"/>
      <c r="B2691" s="125"/>
      <c r="C2691" s="126"/>
      <c r="D2691" s="159"/>
      <c r="E2691" s="10" t="e">
        <f>TRIM(VLOOKUP(D2691,TB!$B$9:$C$1500,2,FALSE))</f>
        <v>#N/A</v>
      </c>
      <c r="F2691" s="142"/>
      <c r="G2691" s="130"/>
      <c r="H2691" s="10"/>
      <c r="I2691" s="10"/>
      <c r="J2691" s="79" t="e">
        <f t="shared" si="185"/>
        <v>#VALUE!</v>
      </c>
      <c r="K2691" s="106"/>
      <c r="L2691" s="141"/>
      <c r="M2691" s="132"/>
      <c r="N2691" s="133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spans="1:24" ht="14.25" customHeight="1">
      <c r="A2692" s="4"/>
      <c r="B2692" s="125">
        <v>46202</v>
      </c>
      <c r="C2692" s="126" t="s">
        <v>1136</v>
      </c>
      <c r="D2692" s="15" t="s">
        <v>188</v>
      </c>
      <c r="E2692" s="10" t="str">
        <f>TRIM(VLOOKUP(D2692,TB!$B$9:$C$1500,2,FALSE))</f>
        <v>Advertising Costs</v>
      </c>
      <c r="F2692" s="142" t="s">
        <v>1137</v>
      </c>
      <c r="G2692" s="130"/>
      <c r="H2692" s="10">
        <v>1400000</v>
      </c>
      <c r="I2692" s="10"/>
      <c r="J2692" s="79" t="e">
        <f t="shared" si="185"/>
        <v>#VALUE!</v>
      </c>
      <c r="K2692" s="106"/>
      <c r="L2692" s="141"/>
      <c r="M2692" s="132"/>
      <c r="N2692" s="133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spans="1:24" ht="14.25" customHeight="1">
      <c r="A2693" s="4"/>
      <c r="B2693" s="125">
        <v>46202</v>
      </c>
      <c r="C2693" s="126" t="s">
        <v>1136</v>
      </c>
      <c r="D2693" s="15" t="s">
        <v>124</v>
      </c>
      <c r="E2693" s="10" t="str">
        <f>TRIM(VLOOKUP(D2693,TB!$B$9:$C$1500,2,FALSE))</f>
        <v>Bank charges</v>
      </c>
      <c r="F2693" s="142" t="s">
        <v>1137</v>
      </c>
      <c r="G2693" s="130"/>
      <c r="H2693" s="10">
        <v>1000</v>
      </c>
      <c r="I2693" s="10"/>
      <c r="J2693" s="79" t="e">
        <f t="shared" si="185"/>
        <v>#VALUE!</v>
      </c>
      <c r="K2693" s="106"/>
      <c r="L2693" s="141"/>
      <c r="M2693" s="132"/>
      <c r="N2693" s="133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spans="1:24" ht="14.25" customHeight="1">
      <c r="A2694" s="4"/>
      <c r="B2694" s="125">
        <v>46202</v>
      </c>
      <c r="C2694" s="126" t="s">
        <v>1136</v>
      </c>
      <c r="D2694" s="68" t="s">
        <v>130</v>
      </c>
      <c r="E2694" s="10" t="str">
        <f>TRIM(VLOOKUP(D2694,TB!$B$9:$C$1500,2,FALSE))</f>
        <v>BCA TBB</v>
      </c>
      <c r="F2694" s="142" t="s">
        <v>1137</v>
      </c>
      <c r="G2694" s="130"/>
      <c r="H2694" s="10"/>
      <c r="I2694" s="10">
        <f>SUM(H2692:H2693)</f>
        <v>1401000</v>
      </c>
      <c r="J2694" s="79" t="e">
        <f t="shared" si="185"/>
        <v>#VALUE!</v>
      </c>
      <c r="K2694" s="106"/>
      <c r="L2694" s="141"/>
      <c r="M2694" s="132"/>
      <c r="N2694" s="133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spans="1:24" ht="14.25" customHeight="1">
      <c r="A2695" s="4"/>
      <c r="B2695" s="125"/>
      <c r="C2695" s="126"/>
      <c r="D2695" s="159"/>
      <c r="E2695" s="10" t="e">
        <f>TRIM(VLOOKUP(D2695,TB!$B$9:$C$1500,2,FALSE))</f>
        <v>#N/A</v>
      </c>
      <c r="F2695" s="142"/>
      <c r="G2695" s="130"/>
      <c r="H2695" s="10"/>
      <c r="I2695" s="10"/>
      <c r="J2695" s="79" t="e">
        <f t="shared" si="185"/>
        <v>#VALUE!</v>
      </c>
      <c r="K2695" s="106"/>
      <c r="L2695" s="141"/>
      <c r="M2695" s="132"/>
      <c r="N2695" s="133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spans="1:24" ht="14.25" customHeight="1">
      <c r="A2696" s="4"/>
      <c r="B2696" s="125">
        <v>46202</v>
      </c>
      <c r="C2696" s="126" t="s">
        <v>1138</v>
      </c>
      <c r="D2696" s="68" t="s">
        <v>285</v>
      </c>
      <c r="E2696" s="10" t="str">
        <f>TRIM(VLOOKUP(D2696,TB!$B$9:$C$1500,2,FALSE))</f>
        <v>Misc Cash Purchase</v>
      </c>
      <c r="F2696" s="142" t="s">
        <v>1139</v>
      </c>
      <c r="G2696" s="130"/>
      <c r="H2696" s="10">
        <v>280000</v>
      </c>
      <c r="I2696" s="10"/>
      <c r="J2696" s="79" t="e">
        <f t="shared" si="185"/>
        <v>#VALUE!</v>
      </c>
      <c r="K2696" s="106"/>
      <c r="L2696" s="141"/>
      <c r="M2696" s="132"/>
      <c r="N2696" s="133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spans="1:24" ht="14.25" customHeight="1">
      <c r="A2697" s="4"/>
      <c r="B2697" s="125">
        <v>46202</v>
      </c>
      <c r="C2697" s="126" t="s">
        <v>1138</v>
      </c>
      <c r="D2697" s="68" t="s">
        <v>130</v>
      </c>
      <c r="E2697" s="10" t="str">
        <f>TRIM(VLOOKUP(D2697,TB!$B$9:$C$1500,2,FALSE))</f>
        <v>BCA TBB</v>
      </c>
      <c r="F2697" s="142" t="s">
        <v>1139</v>
      </c>
      <c r="G2697" s="130"/>
      <c r="H2697" s="10"/>
      <c r="I2697" s="10">
        <v>280000</v>
      </c>
      <c r="J2697" s="79" t="e">
        <f t="shared" si="185"/>
        <v>#VALUE!</v>
      </c>
      <c r="K2697" s="106"/>
      <c r="L2697" s="141"/>
      <c r="M2697" s="132"/>
      <c r="N2697" s="133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spans="1:24" ht="14.25" customHeight="1">
      <c r="A2698" s="4"/>
      <c r="B2698" s="125"/>
      <c r="C2698" s="126"/>
      <c r="D2698" s="159"/>
      <c r="E2698" s="10" t="e">
        <f>TRIM(VLOOKUP(D2698,TB!$B$9:$C$1500,2,FALSE))</f>
        <v>#N/A</v>
      </c>
      <c r="F2698" s="142"/>
      <c r="G2698" s="130"/>
      <c r="H2698" s="10"/>
      <c r="I2698" s="10"/>
      <c r="J2698" s="79" t="e">
        <f t="shared" si="185"/>
        <v>#VALUE!</v>
      </c>
      <c r="K2698" s="106"/>
      <c r="L2698" s="141"/>
      <c r="M2698" s="132"/>
      <c r="N2698" s="133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spans="1:24" ht="14.25" customHeight="1">
      <c r="A2699" s="4"/>
      <c r="B2699" s="125">
        <v>46202</v>
      </c>
      <c r="C2699" s="126" t="s">
        <v>1140</v>
      </c>
      <c r="D2699" s="68" t="s">
        <v>285</v>
      </c>
      <c r="E2699" s="10" t="str">
        <f>TRIM(VLOOKUP(D2699,TB!$B$9:$C$1500,2,FALSE))</f>
        <v>Misc Cash Purchase</v>
      </c>
      <c r="F2699" s="142" t="s">
        <v>1141</v>
      </c>
      <c r="G2699" s="130"/>
      <c r="H2699" s="10">
        <v>290000</v>
      </c>
      <c r="I2699" s="10"/>
      <c r="J2699" s="79" t="e">
        <f t="shared" si="185"/>
        <v>#VALUE!</v>
      </c>
      <c r="K2699" s="106"/>
      <c r="L2699" s="141"/>
      <c r="M2699" s="132"/>
      <c r="N2699" s="133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spans="1:24" ht="14.25" customHeight="1">
      <c r="A2700" s="4"/>
      <c r="B2700" s="125">
        <v>46202</v>
      </c>
      <c r="C2700" s="126" t="s">
        <v>1140</v>
      </c>
      <c r="D2700" s="68" t="s">
        <v>130</v>
      </c>
      <c r="E2700" s="10" t="str">
        <f>TRIM(VLOOKUP(D2700,TB!$B$9:$C$1500,2,FALSE))</f>
        <v>BCA TBB</v>
      </c>
      <c r="F2700" s="142" t="s">
        <v>1141</v>
      </c>
      <c r="G2700" s="130"/>
      <c r="H2700" s="10"/>
      <c r="I2700" s="10">
        <v>290000</v>
      </c>
      <c r="J2700" s="79" t="e">
        <f t="shared" si="185"/>
        <v>#VALUE!</v>
      </c>
      <c r="K2700" s="106"/>
      <c r="L2700" s="141"/>
      <c r="M2700" s="132"/>
      <c r="N2700" s="133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spans="1:24" ht="14.25" customHeight="1">
      <c r="A2701" s="4"/>
      <c r="B2701" s="125"/>
      <c r="C2701" s="126"/>
      <c r="D2701" s="159"/>
      <c r="E2701" s="10" t="e">
        <f>TRIM(VLOOKUP(D2701,TB!$B$9:$C$1500,2,FALSE))</f>
        <v>#N/A</v>
      </c>
      <c r="F2701" s="142"/>
      <c r="G2701" s="130"/>
      <c r="H2701" s="10"/>
      <c r="I2701" s="10"/>
      <c r="J2701" s="79" t="e">
        <f t="shared" si="185"/>
        <v>#VALUE!</v>
      </c>
      <c r="K2701" s="106"/>
      <c r="L2701" s="141"/>
      <c r="M2701" s="132"/>
      <c r="N2701" s="133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spans="1:24" ht="14.25" customHeight="1">
      <c r="A2702" s="4"/>
      <c r="B2702" s="125">
        <v>46202</v>
      </c>
      <c r="C2702" s="126" t="s">
        <v>1142</v>
      </c>
      <c r="D2702" s="68" t="s">
        <v>285</v>
      </c>
      <c r="E2702" s="10" t="str">
        <f>TRIM(VLOOKUP(D2702,TB!$B$9:$C$1500,2,FALSE))</f>
        <v>Misc Cash Purchase</v>
      </c>
      <c r="F2702" s="142" t="s">
        <v>1143</v>
      </c>
      <c r="G2702" s="130"/>
      <c r="H2702" s="10">
        <v>360000</v>
      </c>
      <c r="I2702" s="10"/>
      <c r="J2702" s="79" t="e">
        <f t="shared" si="185"/>
        <v>#VALUE!</v>
      </c>
      <c r="K2702" s="106"/>
      <c r="L2702" s="141"/>
      <c r="M2702" s="132"/>
      <c r="N2702" s="133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spans="1:24" ht="14.25" customHeight="1">
      <c r="A2703" s="4"/>
      <c r="B2703" s="125">
        <v>46202</v>
      </c>
      <c r="C2703" s="126" t="s">
        <v>1142</v>
      </c>
      <c r="D2703" s="68" t="s">
        <v>130</v>
      </c>
      <c r="E2703" s="10" t="str">
        <f>TRIM(VLOOKUP(D2703,TB!$B$9:$C$1500,2,FALSE))</f>
        <v>BCA TBB</v>
      </c>
      <c r="F2703" s="142" t="s">
        <v>1143</v>
      </c>
      <c r="G2703" s="130"/>
      <c r="H2703" s="10"/>
      <c r="I2703" s="10">
        <v>360000</v>
      </c>
      <c r="J2703" s="79" t="e">
        <f t="shared" si="185"/>
        <v>#VALUE!</v>
      </c>
      <c r="K2703" s="106"/>
      <c r="L2703" s="141"/>
      <c r="M2703" s="132"/>
      <c r="N2703" s="133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spans="1:24" ht="14.25" customHeight="1">
      <c r="A2704" s="4"/>
      <c r="B2704" s="125"/>
      <c r="C2704" s="126"/>
      <c r="D2704" s="159"/>
      <c r="E2704" s="10" t="e">
        <f>TRIM(VLOOKUP(D2704,TB!$B$9:$C$1500,2,FALSE))</f>
        <v>#N/A</v>
      </c>
      <c r="F2704" s="142"/>
      <c r="G2704" s="130"/>
      <c r="H2704" s="10"/>
      <c r="I2704" s="10"/>
      <c r="J2704" s="79" t="e">
        <f t="shared" si="185"/>
        <v>#VALUE!</v>
      </c>
      <c r="K2704" s="106"/>
      <c r="L2704" s="141"/>
      <c r="M2704" s="132"/>
      <c r="N2704" s="133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spans="1:24" ht="14.25" customHeight="1">
      <c r="A2705" s="4"/>
      <c r="B2705" s="125">
        <v>46202</v>
      </c>
      <c r="C2705" s="126" t="s">
        <v>1144</v>
      </c>
      <c r="D2705" s="68" t="s">
        <v>285</v>
      </c>
      <c r="E2705" s="10" t="str">
        <f>TRIM(VLOOKUP(D2705,TB!$B$9:$C$1500,2,FALSE))</f>
        <v>Misc Cash Purchase</v>
      </c>
      <c r="F2705" s="142" t="s">
        <v>1145</v>
      </c>
      <c r="G2705" s="130"/>
      <c r="H2705" s="10">
        <v>300000</v>
      </c>
      <c r="I2705" s="10"/>
      <c r="J2705" s="79" t="e">
        <f t="shared" si="185"/>
        <v>#VALUE!</v>
      </c>
      <c r="K2705" s="106"/>
      <c r="L2705" s="141"/>
      <c r="M2705" s="132"/>
      <c r="N2705" s="133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spans="1:24" ht="14.25" customHeight="1">
      <c r="A2706" s="4"/>
      <c r="B2706" s="125">
        <v>46202</v>
      </c>
      <c r="C2706" s="126" t="s">
        <v>1144</v>
      </c>
      <c r="D2706" s="68" t="s">
        <v>130</v>
      </c>
      <c r="E2706" s="10" t="str">
        <f>TRIM(VLOOKUP(D2706,TB!$B$9:$C$1500,2,FALSE))</f>
        <v>BCA TBB</v>
      </c>
      <c r="F2706" s="142" t="s">
        <v>1145</v>
      </c>
      <c r="G2706" s="130"/>
      <c r="H2706" s="10"/>
      <c r="I2706" s="10">
        <v>300000</v>
      </c>
      <c r="J2706" s="79" t="e">
        <f t="shared" si="185"/>
        <v>#VALUE!</v>
      </c>
      <c r="K2706" s="106"/>
      <c r="L2706" s="141"/>
      <c r="M2706" s="132"/>
      <c r="N2706" s="133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spans="1:24" ht="14.25" customHeight="1">
      <c r="A2707" s="4"/>
      <c r="B2707" s="125"/>
      <c r="C2707" s="126"/>
      <c r="D2707" s="159"/>
      <c r="E2707" s="10" t="e">
        <f>TRIM(VLOOKUP(D2707,TB!$B$9:$C$1500,2,FALSE))</f>
        <v>#N/A</v>
      </c>
      <c r="F2707" s="142"/>
      <c r="G2707" s="130"/>
      <c r="H2707" s="10"/>
      <c r="I2707" s="10"/>
      <c r="J2707" s="79" t="e">
        <f t="shared" si="185"/>
        <v>#VALUE!</v>
      </c>
      <c r="K2707" s="106"/>
      <c r="L2707" s="141"/>
      <c r="M2707" s="132"/>
      <c r="N2707" s="133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spans="1:24" ht="14.25" customHeight="1">
      <c r="A2708" s="4"/>
      <c r="B2708" s="125">
        <v>46202</v>
      </c>
      <c r="C2708" s="126" t="s">
        <v>1146</v>
      </c>
      <c r="D2708" s="15" t="s">
        <v>285</v>
      </c>
      <c r="E2708" s="10" t="str">
        <f>TRIM(VLOOKUP(D2708,TB!$B$9:$C$1500,2,FALSE))</f>
        <v>Misc Cash Purchase</v>
      </c>
      <c r="F2708" s="142" t="s">
        <v>1147</v>
      </c>
      <c r="G2708" s="130"/>
      <c r="H2708" s="10">
        <v>521100</v>
      </c>
      <c r="I2708" s="10"/>
      <c r="J2708" s="79" t="e">
        <f t="shared" si="185"/>
        <v>#VALUE!</v>
      </c>
      <c r="K2708" s="106"/>
      <c r="L2708" s="141"/>
      <c r="M2708" s="132"/>
      <c r="N2708" s="133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spans="1:24" ht="14.25" customHeight="1">
      <c r="A2709" s="4"/>
      <c r="B2709" s="125">
        <v>46202</v>
      </c>
      <c r="C2709" s="126" t="s">
        <v>1146</v>
      </c>
      <c r="D2709" s="68" t="s">
        <v>130</v>
      </c>
      <c r="E2709" s="10" t="str">
        <f>TRIM(VLOOKUP(D2709,TB!$B$9:$C$1500,2,FALSE))</f>
        <v>BCA TBB</v>
      </c>
      <c r="F2709" s="142" t="s">
        <v>1147</v>
      </c>
      <c r="G2709" s="130"/>
      <c r="H2709" s="10"/>
      <c r="I2709" s="10">
        <v>521100</v>
      </c>
      <c r="J2709" s="79" t="e">
        <f t="shared" si="185"/>
        <v>#VALUE!</v>
      </c>
      <c r="K2709" s="106"/>
      <c r="L2709" s="141"/>
      <c r="M2709" s="132"/>
      <c r="N2709" s="133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spans="1:24" ht="14.25" customHeight="1">
      <c r="A2710" s="4"/>
      <c r="B2710" s="125"/>
      <c r="C2710" s="126"/>
      <c r="D2710" s="159"/>
      <c r="E2710" s="10" t="e">
        <f>TRIM(VLOOKUP(D2710,TB!$B$9:$C$1500,2,FALSE))</f>
        <v>#N/A</v>
      </c>
      <c r="F2710" s="142"/>
      <c r="G2710" s="130"/>
      <c r="H2710" s="10"/>
      <c r="I2710" s="10"/>
      <c r="J2710" s="79" t="e">
        <f t="shared" si="185"/>
        <v>#VALUE!</v>
      </c>
      <c r="K2710" s="106"/>
      <c r="L2710" s="141"/>
      <c r="M2710" s="132"/>
      <c r="N2710" s="133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spans="1:24" ht="14.25" customHeight="1">
      <c r="A2711" s="4"/>
      <c r="B2711" s="125">
        <v>46202</v>
      </c>
      <c r="C2711" s="126" t="s">
        <v>1148</v>
      </c>
      <c r="D2711" s="15" t="s">
        <v>438</v>
      </c>
      <c r="E2711" s="10" t="str">
        <f>TRIM(VLOOKUP(D2711,TB!$B$9:$C$1500,2,FALSE))</f>
        <v>Brochure Flyer Printing</v>
      </c>
      <c r="F2711" s="142" t="s">
        <v>1149</v>
      </c>
      <c r="G2711" s="130"/>
      <c r="H2711" s="10">
        <v>58000</v>
      </c>
      <c r="I2711" s="10"/>
      <c r="J2711" s="79" t="e">
        <f t="shared" si="185"/>
        <v>#VALUE!</v>
      </c>
      <c r="K2711" s="106"/>
      <c r="L2711" s="141"/>
      <c r="M2711" s="132"/>
      <c r="N2711" s="133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spans="1:24" ht="14.25" customHeight="1">
      <c r="A2712" s="4"/>
      <c r="B2712" s="125">
        <v>46202</v>
      </c>
      <c r="C2712" s="126" t="s">
        <v>1148</v>
      </c>
      <c r="D2712" s="68" t="s">
        <v>130</v>
      </c>
      <c r="E2712" s="10" t="str">
        <f>TRIM(VLOOKUP(D2712,TB!$B$9:$C$1500,2,FALSE))</f>
        <v>BCA TBB</v>
      </c>
      <c r="F2712" s="142" t="s">
        <v>1149</v>
      </c>
      <c r="G2712" s="130"/>
      <c r="H2712" s="10"/>
      <c r="I2712" s="10">
        <v>58000</v>
      </c>
      <c r="J2712" s="79" t="e">
        <f t="shared" si="185"/>
        <v>#VALUE!</v>
      </c>
      <c r="K2712" s="106"/>
      <c r="L2712" s="141"/>
      <c r="M2712" s="132"/>
      <c r="N2712" s="133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spans="1:24" ht="14.25" customHeight="1">
      <c r="A2713" s="4"/>
      <c r="B2713" s="125"/>
      <c r="C2713" s="126"/>
      <c r="D2713" s="159"/>
      <c r="E2713" s="10" t="e">
        <f>TRIM(VLOOKUP(D2713,TB!$B$9:$C$1500,2,FALSE))</f>
        <v>#N/A</v>
      </c>
      <c r="F2713" s="142"/>
      <c r="G2713" s="130"/>
      <c r="H2713" s="10"/>
      <c r="I2713" s="10"/>
      <c r="J2713" s="79" t="e">
        <f t="shared" si="185"/>
        <v>#VALUE!</v>
      </c>
      <c r="K2713" s="106"/>
      <c r="L2713" s="141"/>
      <c r="M2713" s="132"/>
      <c r="N2713" s="133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spans="1:24" ht="14.25" customHeight="1">
      <c r="A2714" s="4"/>
      <c r="B2714" s="125">
        <v>46202</v>
      </c>
      <c r="C2714" s="126" t="s">
        <v>1150</v>
      </c>
      <c r="D2714" s="68" t="s">
        <v>285</v>
      </c>
      <c r="E2714" s="10" t="str">
        <f>TRIM(VLOOKUP(D2714,TB!$B$9:$C$1500,2,FALSE))</f>
        <v>Misc Cash Purchase</v>
      </c>
      <c r="F2714" s="142" t="s">
        <v>1151</v>
      </c>
      <c r="G2714" s="130"/>
      <c r="H2714" s="10">
        <v>234000</v>
      </c>
      <c r="I2714" s="10"/>
      <c r="J2714" s="79" t="e">
        <f t="shared" si="185"/>
        <v>#VALUE!</v>
      </c>
      <c r="K2714" s="106"/>
      <c r="L2714" s="141"/>
      <c r="M2714" s="132"/>
      <c r="N2714" s="133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spans="1:24" ht="14.25" customHeight="1">
      <c r="A2715" s="4"/>
      <c r="B2715" s="125">
        <v>46202</v>
      </c>
      <c r="C2715" s="126" t="s">
        <v>1150</v>
      </c>
      <c r="D2715" s="68" t="s">
        <v>130</v>
      </c>
      <c r="E2715" s="10" t="str">
        <f>TRIM(VLOOKUP(D2715,TB!$B$9:$C$1500,2,FALSE))</f>
        <v>BCA TBB</v>
      </c>
      <c r="F2715" s="142" t="s">
        <v>1151</v>
      </c>
      <c r="G2715" s="130"/>
      <c r="H2715" s="10"/>
      <c r="I2715" s="10">
        <v>234000</v>
      </c>
      <c r="J2715" s="79" t="e">
        <f t="shared" si="185"/>
        <v>#VALUE!</v>
      </c>
      <c r="K2715" s="106"/>
      <c r="L2715" s="141"/>
      <c r="M2715" s="132"/>
      <c r="N2715" s="133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spans="1:24" ht="14.25" customHeight="1">
      <c r="A2716" s="4"/>
      <c r="B2716" s="125"/>
      <c r="C2716" s="126"/>
      <c r="D2716" s="159"/>
      <c r="E2716" s="10" t="e">
        <f>TRIM(VLOOKUP(D2716,TB!$B$9:$C$1500,2,FALSE))</f>
        <v>#N/A</v>
      </c>
      <c r="F2716" s="142"/>
      <c r="G2716" s="130"/>
      <c r="H2716" s="10"/>
      <c r="I2716" s="10"/>
      <c r="J2716" s="79" t="e">
        <f t="shared" si="185"/>
        <v>#VALUE!</v>
      </c>
      <c r="K2716" s="106"/>
      <c r="L2716" s="141"/>
      <c r="M2716" s="132"/>
      <c r="N2716" s="133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spans="1:24" ht="14.25" customHeight="1">
      <c r="A2717" s="4"/>
      <c r="B2717" s="125">
        <v>46202</v>
      </c>
      <c r="C2717" s="126" t="s">
        <v>1152</v>
      </c>
      <c r="D2717" s="68" t="s">
        <v>1130</v>
      </c>
      <c r="E2717" s="10" t="str">
        <f>TRIM(VLOOKUP(D2717,TB!$B$9:$C$1500,2,FALSE))</f>
        <v>Accrued Employee Welfare Payable</v>
      </c>
      <c r="F2717" s="142" t="s">
        <v>1153</v>
      </c>
      <c r="G2717" s="130"/>
      <c r="H2717" s="10">
        <v>240500</v>
      </c>
      <c r="I2717" s="10"/>
      <c r="J2717" s="79" t="e">
        <f t="shared" si="185"/>
        <v>#VALUE!</v>
      </c>
      <c r="K2717" s="106"/>
      <c r="L2717" s="141"/>
      <c r="M2717" s="132"/>
      <c r="N2717" s="133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spans="1:24" ht="14.25" customHeight="1">
      <c r="A2718" s="4"/>
      <c r="B2718" s="125">
        <v>46202</v>
      </c>
      <c r="C2718" s="126" t="s">
        <v>1152</v>
      </c>
      <c r="D2718" s="68" t="s">
        <v>130</v>
      </c>
      <c r="E2718" s="10" t="str">
        <f>TRIM(VLOOKUP(D2718,TB!$B$9:$C$1500,2,FALSE))</f>
        <v>BCA TBB</v>
      </c>
      <c r="F2718" s="142" t="s">
        <v>1153</v>
      </c>
      <c r="G2718" s="130"/>
      <c r="H2718" s="10"/>
      <c r="I2718" s="10">
        <v>240500</v>
      </c>
      <c r="J2718" s="79" t="e">
        <f t="shared" si="185"/>
        <v>#VALUE!</v>
      </c>
      <c r="K2718" s="106"/>
      <c r="L2718" s="141"/>
      <c r="M2718" s="132"/>
      <c r="N2718" s="133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spans="1:24" ht="14.25" customHeight="1">
      <c r="A2719" s="4"/>
      <c r="B2719" s="125"/>
      <c r="C2719" s="126"/>
      <c r="D2719" s="159"/>
      <c r="E2719" s="10" t="e">
        <f>TRIM(VLOOKUP(D2719,TB!$B$9:$C$1500,2,FALSE))</f>
        <v>#N/A</v>
      </c>
      <c r="F2719" s="142"/>
      <c r="G2719" s="130"/>
      <c r="H2719" s="10"/>
      <c r="I2719" s="10"/>
      <c r="J2719" s="79" t="e">
        <f t="shared" si="185"/>
        <v>#VALUE!</v>
      </c>
      <c r="K2719" s="106"/>
      <c r="L2719" s="141"/>
      <c r="M2719" s="132"/>
      <c r="N2719" s="133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spans="1:24" ht="14.25" customHeight="1">
      <c r="A2720" s="4"/>
      <c r="B2720" s="125">
        <v>46202</v>
      </c>
      <c r="C2720" s="126" t="s">
        <v>1154</v>
      </c>
      <c r="D2720" s="15" t="s">
        <v>1155</v>
      </c>
      <c r="E2720" s="10" t="str">
        <f>TRIM(VLOOKUP(D2720,TB!$B$9:$C$1500,2,FALSE))</f>
        <v>Kitchen Supplies</v>
      </c>
      <c r="F2720" s="142" t="s">
        <v>1156</v>
      </c>
      <c r="G2720" s="130"/>
      <c r="H2720" s="10">
        <v>127500</v>
      </c>
      <c r="I2720" s="10"/>
      <c r="J2720" s="79" t="e">
        <f t="shared" si="185"/>
        <v>#VALUE!</v>
      </c>
      <c r="K2720" s="106"/>
      <c r="L2720" s="141"/>
      <c r="M2720" s="132"/>
      <c r="N2720" s="133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spans="1:24" ht="14.25" customHeight="1">
      <c r="A2721" s="4"/>
      <c r="B2721" s="125">
        <v>46202</v>
      </c>
      <c r="C2721" s="126" t="s">
        <v>1154</v>
      </c>
      <c r="D2721" s="68" t="s">
        <v>130</v>
      </c>
      <c r="E2721" s="10" t="str">
        <f>TRIM(VLOOKUP(D2721,TB!$B$9:$C$1500,2,FALSE))</f>
        <v>BCA TBB</v>
      </c>
      <c r="F2721" s="142" t="s">
        <v>1156</v>
      </c>
      <c r="G2721" s="130"/>
      <c r="H2721" s="10"/>
      <c r="I2721" s="10">
        <v>127500</v>
      </c>
      <c r="J2721" s="79" t="e">
        <f t="shared" si="185"/>
        <v>#VALUE!</v>
      </c>
      <c r="K2721" s="106"/>
      <c r="L2721" s="141"/>
      <c r="M2721" s="132"/>
      <c r="N2721" s="133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spans="1:24" ht="14.25" customHeight="1">
      <c r="A2722" s="4"/>
      <c r="B2722" s="125"/>
      <c r="C2722" s="126"/>
      <c r="D2722" s="159"/>
      <c r="E2722" s="10" t="e">
        <f>TRIM(VLOOKUP(D2722,TB!$B$9:$C$1500,2,FALSE))</f>
        <v>#N/A</v>
      </c>
      <c r="F2722" s="142"/>
      <c r="G2722" s="130"/>
      <c r="H2722" s="10"/>
      <c r="I2722" s="10"/>
      <c r="J2722" s="79" t="e">
        <f t="shared" si="185"/>
        <v>#VALUE!</v>
      </c>
      <c r="K2722" s="106"/>
      <c r="L2722" s="141"/>
      <c r="M2722" s="132"/>
      <c r="N2722" s="133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spans="1:24" ht="14.25" customHeight="1">
      <c r="A2723" s="4"/>
      <c r="B2723" s="125">
        <v>46202</v>
      </c>
      <c r="C2723" s="126" t="s">
        <v>1157</v>
      </c>
      <c r="D2723" s="15" t="s">
        <v>188</v>
      </c>
      <c r="E2723" s="10" t="str">
        <f>TRIM(VLOOKUP(D2723,TB!$B$9:$C$1500,2,FALSE))</f>
        <v>Advertising Costs</v>
      </c>
      <c r="F2723" s="142" t="s">
        <v>1158</v>
      </c>
      <c r="G2723" s="130"/>
      <c r="H2723" s="10">
        <v>155000</v>
      </c>
      <c r="I2723" s="10"/>
      <c r="J2723" s="79" t="e">
        <f t="shared" si="185"/>
        <v>#VALUE!</v>
      </c>
      <c r="K2723" s="106"/>
      <c r="L2723" s="141"/>
      <c r="M2723" s="132"/>
      <c r="N2723" s="133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spans="1:24" ht="14.25" customHeight="1">
      <c r="A2724" s="4"/>
      <c r="B2724" s="125">
        <v>46202</v>
      </c>
      <c r="C2724" s="126" t="s">
        <v>1157</v>
      </c>
      <c r="D2724" s="68" t="s">
        <v>130</v>
      </c>
      <c r="E2724" s="10" t="str">
        <f>TRIM(VLOOKUP(D2724,TB!$B$9:$C$1500,2,FALSE))</f>
        <v>BCA TBB</v>
      </c>
      <c r="F2724" s="142" t="s">
        <v>1158</v>
      </c>
      <c r="G2724" s="130"/>
      <c r="H2724" s="10"/>
      <c r="I2724" s="10">
        <v>155000</v>
      </c>
      <c r="J2724" s="79" t="e">
        <f t="shared" si="185"/>
        <v>#VALUE!</v>
      </c>
      <c r="K2724" s="106"/>
      <c r="L2724" s="141"/>
      <c r="M2724" s="132"/>
      <c r="N2724" s="133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spans="1:24" ht="14.25" customHeight="1">
      <c r="A2725" s="4"/>
      <c r="B2725" s="125"/>
      <c r="C2725" s="126"/>
      <c r="D2725" s="159"/>
      <c r="E2725" s="10" t="e">
        <f>TRIM(VLOOKUP(D2725,TB!$B$9:$C$1500,2,FALSE))</f>
        <v>#N/A</v>
      </c>
      <c r="F2725" s="142"/>
      <c r="G2725" s="130"/>
      <c r="H2725" s="10"/>
      <c r="I2725" s="10"/>
      <c r="J2725" s="79" t="e">
        <f t="shared" si="185"/>
        <v>#VALUE!</v>
      </c>
      <c r="K2725" s="106"/>
      <c r="L2725" s="141"/>
      <c r="M2725" s="132"/>
      <c r="N2725" s="133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spans="1:24" ht="14.25" customHeight="1">
      <c r="A2726" s="4"/>
      <c r="B2726" s="125">
        <v>46202</v>
      </c>
      <c r="C2726" s="126" t="s">
        <v>1159</v>
      </c>
      <c r="D2726" s="68" t="s">
        <v>130</v>
      </c>
      <c r="E2726" s="10" t="str">
        <f>TRIM(VLOOKUP(D2726,TB!$B$9:$C$1500,2,FALSE))</f>
        <v>BCA TBB</v>
      </c>
      <c r="F2726" s="142" t="s">
        <v>1160</v>
      </c>
      <c r="G2726" s="130"/>
      <c r="H2726" s="155">
        <v>3000000</v>
      </c>
      <c r="I2726" s="10"/>
      <c r="J2726" s="79" t="e">
        <f t="shared" si="185"/>
        <v>#VALUE!</v>
      </c>
      <c r="K2726" s="106"/>
      <c r="L2726" s="141"/>
      <c r="M2726" s="132"/>
      <c r="N2726" s="133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spans="1:24" ht="14.25" customHeight="1">
      <c r="A2727" s="4"/>
      <c r="B2727" s="125">
        <v>46202</v>
      </c>
      <c r="C2727" s="126" t="s">
        <v>1159</v>
      </c>
      <c r="D2727" s="68" t="s">
        <v>63</v>
      </c>
      <c r="E2727" s="10" t="str">
        <f>TRIM(VLOOKUP(D2727,TB!$B$9:$C$1500,2,FALSE))</f>
        <v>City Ledger</v>
      </c>
      <c r="F2727" s="142" t="s">
        <v>1160</v>
      </c>
      <c r="G2727" s="130"/>
      <c r="H2727" s="10"/>
      <c r="I2727" s="155">
        <v>3000000</v>
      </c>
      <c r="J2727" s="79" t="e">
        <f t="shared" si="185"/>
        <v>#VALUE!</v>
      </c>
      <c r="K2727" s="106"/>
      <c r="L2727" s="141"/>
      <c r="M2727" s="132"/>
      <c r="N2727" s="133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spans="1:24" ht="14.25" customHeight="1">
      <c r="A2728" s="4"/>
      <c r="B2728" s="125"/>
      <c r="C2728" s="126"/>
      <c r="D2728" s="159"/>
      <c r="E2728" s="10" t="e">
        <f>TRIM(VLOOKUP(D2728,TB!$B$9:$C$1500,2,FALSE))</f>
        <v>#N/A</v>
      </c>
      <c r="F2728" s="142"/>
      <c r="G2728" s="130"/>
      <c r="H2728" s="10"/>
      <c r="I2728" s="10"/>
      <c r="J2728" s="79" t="e">
        <f t="shared" si="185"/>
        <v>#VALUE!</v>
      </c>
      <c r="K2728" s="106"/>
      <c r="L2728" s="141"/>
      <c r="M2728" s="132"/>
      <c r="N2728" s="133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spans="1:24" ht="14.25" customHeight="1">
      <c r="A2729" s="4"/>
      <c r="B2729" s="125">
        <v>46203</v>
      </c>
      <c r="C2729" s="126" t="s">
        <v>1161</v>
      </c>
      <c r="D2729" s="68" t="s">
        <v>285</v>
      </c>
      <c r="E2729" s="10" t="str">
        <f>TRIM(VLOOKUP(D2729,TB!$B$9:$C$1500,2,FALSE))</f>
        <v>Misc Cash Purchase</v>
      </c>
      <c r="F2729" s="142" t="s">
        <v>1162</v>
      </c>
      <c r="G2729" s="130"/>
      <c r="H2729" s="10">
        <v>2079396</v>
      </c>
      <c r="I2729" s="10"/>
      <c r="J2729" s="79" t="e">
        <f t="shared" si="185"/>
        <v>#VALUE!</v>
      </c>
      <c r="K2729" s="106"/>
      <c r="L2729" s="141"/>
      <c r="M2729" s="132"/>
      <c r="N2729" s="133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spans="1:24" ht="14.25" customHeight="1">
      <c r="A2730" s="4"/>
      <c r="B2730" s="125">
        <v>46203</v>
      </c>
      <c r="C2730" s="126" t="s">
        <v>1161</v>
      </c>
      <c r="D2730" s="15" t="s">
        <v>124</v>
      </c>
      <c r="E2730" s="10" t="str">
        <f>TRIM(VLOOKUP(D2730,TB!$B$9:$C$1500,2,FALSE))</f>
        <v>Bank charges</v>
      </c>
      <c r="F2730" s="142" t="s">
        <v>1162</v>
      </c>
      <c r="G2730" s="130"/>
      <c r="H2730" s="10">
        <v>2500</v>
      </c>
      <c r="I2730" s="10"/>
      <c r="J2730" s="79" t="e">
        <f t="shared" si="185"/>
        <v>#VALUE!</v>
      </c>
      <c r="K2730" s="106"/>
      <c r="L2730" s="141"/>
      <c r="M2730" s="132"/>
      <c r="N2730" s="133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spans="1:24" ht="14.25" customHeight="1">
      <c r="A2731" s="4"/>
      <c r="B2731" s="125">
        <v>46203</v>
      </c>
      <c r="C2731" s="126" t="s">
        <v>1161</v>
      </c>
      <c r="D2731" s="68" t="s">
        <v>130</v>
      </c>
      <c r="E2731" s="10" t="str">
        <f>TRIM(VLOOKUP(D2731,TB!$B$9:$C$1500,2,FALSE))</f>
        <v>BCA TBB</v>
      </c>
      <c r="F2731" s="142" t="s">
        <v>1162</v>
      </c>
      <c r="G2731" s="130"/>
      <c r="H2731" s="10"/>
      <c r="I2731" s="10">
        <v>2081896</v>
      </c>
      <c r="J2731" s="79" t="e">
        <f t="shared" si="185"/>
        <v>#VALUE!</v>
      </c>
      <c r="K2731" s="106"/>
      <c r="L2731" s="141"/>
      <c r="M2731" s="132"/>
      <c r="N2731" s="133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spans="1:24" ht="14.25" customHeight="1">
      <c r="A2732" s="4"/>
      <c r="B2732" s="125"/>
      <c r="C2732" s="126"/>
      <c r="D2732" s="159"/>
      <c r="E2732" s="10" t="e">
        <f>TRIM(VLOOKUP(D2732,TB!$B$9:$C$1500,2,FALSE))</f>
        <v>#N/A</v>
      </c>
      <c r="F2732" s="142"/>
      <c r="G2732" s="130"/>
      <c r="H2732" s="10"/>
      <c r="I2732" s="10"/>
      <c r="J2732" s="79" t="e">
        <f t="shared" si="185"/>
        <v>#VALUE!</v>
      </c>
      <c r="K2732" s="106"/>
      <c r="L2732" s="141"/>
      <c r="M2732" s="132"/>
      <c r="N2732" s="133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spans="1:24" ht="14.25" customHeight="1">
      <c r="A2733" s="4"/>
      <c r="B2733" s="125">
        <v>46203</v>
      </c>
      <c r="C2733" s="126" t="s">
        <v>1163</v>
      </c>
      <c r="D2733" s="68" t="s">
        <v>285</v>
      </c>
      <c r="E2733" s="10" t="str">
        <f>TRIM(VLOOKUP(D2733,TB!$B$9:$C$1500,2,FALSE))</f>
        <v>Misc Cash Purchase</v>
      </c>
      <c r="F2733" s="142" t="s">
        <v>1164</v>
      </c>
      <c r="G2733" s="130"/>
      <c r="H2733" s="10">
        <v>3904500</v>
      </c>
      <c r="I2733" s="10"/>
      <c r="J2733" s="79" t="e">
        <f t="shared" si="185"/>
        <v>#VALUE!</v>
      </c>
      <c r="K2733" s="106"/>
      <c r="L2733" s="141"/>
      <c r="M2733" s="132"/>
      <c r="N2733" s="133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spans="1:24" ht="14.25" customHeight="1">
      <c r="A2734" s="4"/>
      <c r="B2734" s="125">
        <v>46203</v>
      </c>
      <c r="C2734" s="126" t="s">
        <v>1163</v>
      </c>
      <c r="D2734" s="15" t="s">
        <v>124</v>
      </c>
      <c r="E2734" s="10" t="str">
        <f>TRIM(VLOOKUP(D2734,TB!$B$9:$C$1500,2,FALSE))</f>
        <v>Bank charges</v>
      </c>
      <c r="F2734" s="142" t="s">
        <v>1164</v>
      </c>
      <c r="G2734" s="130"/>
      <c r="H2734" s="10">
        <v>2500</v>
      </c>
      <c r="I2734" s="10"/>
      <c r="J2734" s="79" t="e">
        <f t="shared" si="185"/>
        <v>#VALUE!</v>
      </c>
      <c r="K2734" s="106"/>
      <c r="L2734" s="141"/>
      <c r="M2734" s="132"/>
      <c r="N2734" s="133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spans="1:24" ht="14.25" customHeight="1">
      <c r="A2735" s="4"/>
      <c r="B2735" s="125">
        <v>46203</v>
      </c>
      <c r="C2735" s="126" t="s">
        <v>1163</v>
      </c>
      <c r="D2735" s="68" t="s">
        <v>130</v>
      </c>
      <c r="E2735" s="10" t="str">
        <f>TRIM(VLOOKUP(D2735,TB!$B$9:$C$1500,2,FALSE))</f>
        <v>BCA TBB</v>
      </c>
      <c r="F2735" s="142" t="s">
        <v>1164</v>
      </c>
      <c r="G2735" s="130"/>
      <c r="H2735" s="10"/>
      <c r="I2735" s="10">
        <v>3907000</v>
      </c>
      <c r="J2735" s="79" t="e">
        <f t="shared" si="185"/>
        <v>#VALUE!</v>
      </c>
      <c r="K2735" s="106"/>
      <c r="L2735" s="141"/>
      <c r="M2735" s="132"/>
      <c r="N2735" s="133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spans="1:24" ht="14.25" customHeight="1">
      <c r="A2736" s="4"/>
      <c r="B2736" s="125"/>
      <c r="C2736" s="126"/>
      <c r="D2736" s="159"/>
      <c r="E2736" s="10" t="e">
        <f>TRIM(VLOOKUP(D2736,TB!$B$9:$C$1500,2,FALSE))</f>
        <v>#N/A</v>
      </c>
      <c r="F2736" s="142"/>
      <c r="G2736" s="130"/>
      <c r="H2736" s="10"/>
      <c r="I2736" s="10"/>
      <c r="J2736" s="79" t="e">
        <f t="shared" si="185"/>
        <v>#VALUE!</v>
      </c>
      <c r="K2736" s="106"/>
      <c r="L2736" s="141"/>
      <c r="M2736" s="132"/>
      <c r="N2736" s="133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spans="1:24" ht="14.25" customHeight="1">
      <c r="A2737" s="4"/>
      <c r="B2737" s="125">
        <v>46203</v>
      </c>
      <c r="C2737" s="126" t="s">
        <v>1165</v>
      </c>
      <c r="D2737" s="68" t="s">
        <v>285</v>
      </c>
      <c r="E2737" s="10" t="str">
        <f>TRIM(VLOOKUP(D2737,TB!$B$9:$C$1500,2,FALSE))</f>
        <v>Misc Cash Purchase</v>
      </c>
      <c r="F2737" s="142" t="s">
        <v>1166</v>
      </c>
      <c r="G2737" s="130"/>
      <c r="H2737" s="10">
        <v>3936191</v>
      </c>
      <c r="I2737" s="10"/>
      <c r="J2737" s="79" t="e">
        <f t="shared" si="185"/>
        <v>#VALUE!</v>
      </c>
      <c r="K2737" s="106"/>
      <c r="L2737" s="141"/>
      <c r="M2737" s="132"/>
      <c r="N2737" s="133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spans="1:24" ht="14.25" customHeight="1">
      <c r="A2738" s="4"/>
      <c r="B2738" s="125">
        <v>46203</v>
      </c>
      <c r="C2738" s="126" t="s">
        <v>1165</v>
      </c>
      <c r="D2738" s="68" t="s">
        <v>130</v>
      </c>
      <c r="E2738" s="10" t="str">
        <f>TRIM(VLOOKUP(D2738,TB!$B$9:$C$1500,2,FALSE))</f>
        <v>BCA TBB</v>
      </c>
      <c r="F2738" s="142" t="s">
        <v>1166</v>
      </c>
      <c r="G2738" s="130"/>
      <c r="H2738" s="10"/>
      <c r="I2738" s="10">
        <v>3936191</v>
      </c>
      <c r="J2738" s="79" t="e">
        <f t="shared" si="185"/>
        <v>#VALUE!</v>
      </c>
      <c r="K2738" s="106"/>
      <c r="L2738" s="141"/>
      <c r="M2738" s="132"/>
      <c r="N2738" s="133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spans="1:24" ht="14.25" customHeight="1">
      <c r="A2739" s="4"/>
      <c r="B2739" s="125"/>
      <c r="C2739" s="126"/>
      <c r="D2739" s="159"/>
      <c r="E2739" s="10" t="e">
        <f>TRIM(VLOOKUP(D2739,TB!$B$9:$C$1500,2,FALSE))</f>
        <v>#N/A</v>
      </c>
      <c r="F2739" s="142"/>
      <c r="G2739" s="130"/>
      <c r="H2739" s="10"/>
      <c r="I2739" s="10"/>
      <c r="J2739" s="79" t="e">
        <f t="shared" si="185"/>
        <v>#VALUE!</v>
      </c>
      <c r="K2739" s="106"/>
      <c r="L2739" s="141"/>
      <c r="M2739" s="132"/>
      <c r="N2739" s="133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spans="1:24" ht="14.25" customHeight="1">
      <c r="A2740" s="4"/>
      <c r="B2740" s="125">
        <v>46203</v>
      </c>
      <c r="C2740" s="126" t="s">
        <v>1167</v>
      </c>
      <c r="D2740" s="68" t="s">
        <v>285</v>
      </c>
      <c r="E2740" s="10" t="str">
        <f>TRIM(VLOOKUP(D2740,TB!$B$9:$C$1500,2,FALSE))</f>
        <v>Misc Cash Purchase</v>
      </c>
      <c r="F2740" s="142" t="s">
        <v>1168</v>
      </c>
      <c r="G2740" s="130"/>
      <c r="H2740" s="10">
        <v>1163974</v>
      </c>
      <c r="I2740" s="10"/>
      <c r="J2740" s="79" t="e">
        <f t="shared" si="185"/>
        <v>#VALUE!</v>
      </c>
      <c r="K2740" s="106"/>
      <c r="L2740" s="141"/>
      <c r="M2740" s="132"/>
      <c r="N2740" s="133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spans="1:24" ht="14.25" customHeight="1">
      <c r="A2741" s="4"/>
      <c r="B2741" s="125">
        <v>46203</v>
      </c>
      <c r="C2741" s="126" t="s">
        <v>1167</v>
      </c>
      <c r="D2741" s="68" t="s">
        <v>130</v>
      </c>
      <c r="E2741" s="10" t="str">
        <f>TRIM(VLOOKUP(D2741,TB!$B$9:$C$1500,2,FALSE))</f>
        <v>BCA TBB</v>
      </c>
      <c r="F2741" s="142" t="s">
        <v>1168</v>
      </c>
      <c r="G2741" s="130"/>
      <c r="H2741" s="10"/>
      <c r="I2741" s="10">
        <v>1163974</v>
      </c>
      <c r="J2741" s="79" t="e">
        <f t="shared" si="185"/>
        <v>#VALUE!</v>
      </c>
      <c r="K2741" s="106"/>
      <c r="L2741" s="141"/>
      <c r="M2741" s="132"/>
      <c r="N2741" s="133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spans="1:24" ht="14.25" customHeight="1">
      <c r="A2742" s="4"/>
      <c r="B2742" s="125"/>
      <c r="C2742" s="126"/>
      <c r="D2742" s="159"/>
      <c r="E2742" s="10" t="e">
        <f>TRIM(VLOOKUP(D2742,TB!$B$9:$C$1500,2,FALSE))</f>
        <v>#N/A</v>
      </c>
      <c r="F2742" s="142"/>
      <c r="G2742" s="130"/>
      <c r="H2742" s="10"/>
      <c r="I2742" s="10"/>
      <c r="J2742" s="79" t="e">
        <f t="shared" si="185"/>
        <v>#VALUE!</v>
      </c>
      <c r="K2742" s="106"/>
      <c r="L2742" s="141"/>
      <c r="M2742" s="132"/>
      <c r="N2742" s="133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spans="1:24" ht="14.25" customHeight="1">
      <c r="A2743" s="4"/>
      <c r="B2743" s="125">
        <v>46203</v>
      </c>
      <c r="C2743" s="126" t="s">
        <v>1169</v>
      </c>
      <c r="D2743" s="15" t="s">
        <v>188</v>
      </c>
      <c r="E2743" s="10" t="str">
        <f>TRIM(VLOOKUP(D2743,TB!$B$9:$C$1500,2,FALSE))</f>
        <v>Advertising Costs</v>
      </c>
      <c r="F2743" s="142" t="s">
        <v>1170</v>
      </c>
      <c r="G2743" s="130"/>
      <c r="H2743" s="10">
        <v>1400000</v>
      </c>
      <c r="I2743" s="10"/>
      <c r="J2743" s="79" t="e">
        <f t="shared" si="185"/>
        <v>#VALUE!</v>
      </c>
      <c r="K2743" s="106"/>
      <c r="L2743" s="141"/>
      <c r="M2743" s="132"/>
      <c r="N2743" s="133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spans="1:24" ht="14.25" customHeight="1">
      <c r="A2744" s="4"/>
      <c r="B2744" s="125">
        <v>46203</v>
      </c>
      <c r="C2744" s="126" t="s">
        <v>1169</v>
      </c>
      <c r="D2744" s="15" t="s">
        <v>124</v>
      </c>
      <c r="E2744" s="10" t="str">
        <f>TRIM(VLOOKUP(D2744,TB!$B$9:$C$1500,2,FALSE))</f>
        <v>Bank charges</v>
      </c>
      <c r="F2744" s="142" t="s">
        <v>1170</v>
      </c>
      <c r="G2744" s="130"/>
      <c r="H2744" s="10">
        <v>1000</v>
      </c>
      <c r="I2744" s="10"/>
      <c r="J2744" s="79" t="e">
        <f t="shared" si="185"/>
        <v>#VALUE!</v>
      </c>
      <c r="K2744" s="106"/>
      <c r="L2744" s="141"/>
      <c r="M2744" s="132"/>
      <c r="N2744" s="133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spans="1:24" ht="14.25" customHeight="1">
      <c r="A2745" s="4"/>
      <c r="B2745" s="125">
        <v>46203</v>
      </c>
      <c r="C2745" s="126" t="s">
        <v>1169</v>
      </c>
      <c r="D2745" s="68" t="s">
        <v>130</v>
      </c>
      <c r="E2745" s="10" t="str">
        <f>TRIM(VLOOKUP(D2745,TB!$B$9:$C$1500,2,FALSE))</f>
        <v>BCA TBB</v>
      </c>
      <c r="F2745" s="142" t="s">
        <v>1170</v>
      </c>
      <c r="G2745" s="130"/>
      <c r="H2745" s="10"/>
      <c r="I2745" s="10">
        <v>1401000</v>
      </c>
      <c r="J2745" s="79" t="e">
        <f t="shared" si="185"/>
        <v>#VALUE!</v>
      </c>
      <c r="K2745" s="106"/>
      <c r="L2745" s="141"/>
      <c r="M2745" s="132"/>
      <c r="N2745" s="133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spans="1:24" ht="14.25" customHeight="1">
      <c r="A2746" s="4"/>
      <c r="B2746" s="125"/>
      <c r="C2746" s="126"/>
      <c r="D2746" s="159"/>
      <c r="E2746" s="10" t="e">
        <f>TRIM(VLOOKUP(D2746,TB!$B$9:$C$1500,2,FALSE))</f>
        <v>#N/A</v>
      </c>
      <c r="F2746" s="142"/>
      <c r="G2746" s="130"/>
      <c r="H2746" s="10"/>
      <c r="I2746" s="10"/>
      <c r="J2746" s="79" t="e">
        <f t="shared" si="185"/>
        <v>#VALUE!</v>
      </c>
      <c r="K2746" s="106"/>
      <c r="L2746" s="141"/>
      <c r="M2746" s="132"/>
      <c r="N2746" s="133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spans="1:24" ht="14.25" customHeight="1">
      <c r="A2747" s="4"/>
      <c r="B2747" s="125">
        <v>46203</v>
      </c>
      <c r="C2747" s="126" t="s">
        <v>1171</v>
      </c>
      <c r="D2747" s="68" t="s">
        <v>285</v>
      </c>
      <c r="E2747" s="10" t="str">
        <f>TRIM(VLOOKUP(D2747,TB!$B$9:$C$1500,2,FALSE))</f>
        <v>Misc Cash Purchase</v>
      </c>
      <c r="F2747" s="142" t="s">
        <v>1172</v>
      </c>
      <c r="G2747" s="130"/>
      <c r="H2747" s="10">
        <v>11611414</v>
      </c>
      <c r="I2747" s="10"/>
      <c r="J2747" s="79" t="e">
        <f t="shared" si="185"/>
        <v>#VALUE!</v>
      </c>
      <c r="K2747" s="106"/>
      <c r="L2747" s="141"/>
      <c r="M2747" s="132"/>
      <c r="N2747" s="133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spans="1:24" ht="14.25" customHeight="1">
      <c r="A2748" s="4"/>
      <c r="B2748" s="125">
        <v>46203</v>
      </c>
      <c r="C2748" s="126" t="s">
        <v>1171</v>
      </c>
      <c r="D2748" s="68" t="s">
        <v>130</v>
      </c>
      <c r="E2748" s="10" t="str">
        <f>TRIM(VLOOKUP(D2748,TB!$B$9:$C$1500,2,FALSE))</f>
        <v>BCA TBB</v>
      </c>
      <c r="F2748" s="142" t="s">
        <v>1172</v>
      </c>
      <c r="G2748" s="130"/>
      <c r="H2748" s="10"/>
      <c r="I2748" s="10">
        <v>11611414</v>
      </c>
      <c r="J2748" s="79" t="e">
        <f t="shared" si="185"/>
        <v>#VALUE!</v>
      </c>
      <c r="K2748" s="106"/>
      <c r="L2748" s="141"/>
      <c r="M2748" s="132"/>
      <c r="N2748" s="133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spans="1:24" ht="14.25" customHeight="1">
      <c r="A2749" s="4"/>
      <c r="B2749" s="125"/>
      <c r="C2749" s="126"/>
      <c r="D2749" s="159"/>
      <c r="E2749" s="10" t="e">
        <f>TRIM(VLOOKUP(D2749,TB!$B$9:$C$1500,2,FALSE))</f>
        <v>#N/A</v>
      </c>
      <c r="F2749" s="142"/>
      <c r="G2749" s="130"/>
      <c r="H2749" s="10"/>
      <c r="I2749" s="10"/>
      <c r="J2749" s="79" t="e">
        <f t="shared" si="185"/>
        <v>#VALUE!</v>
      </c>
      <c r="K2749" s="106"/>
      <c r="L2749" s="141"/>
      <c r="M2749" s="132"/>
      <c r="N2749" s="133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spans="1:24" ht="14.25" customHeight="1">
      <c r="A2750" s="4"/>
      <c r="B2750" s="125">
        <v>46203</v>
      </c>
      <c r="C2750" s="126" t="s">
        <v>1173</v>
      </c>
      <c r="D2750" s="68" t="s">
        <v>285</v>
      </c>
      <c r="E2750" s="10" t="str">
        <f>TRIM(VLOOKUP(D2750,TB!$B$9:$C$1500,2,FALSE))</f>
        <v>Misc Cash Purchase</v>
      </c>
      <c r="F2750" s="142" t="s">
        <v>1174</v>
      </c>
      <c r="G2750" s="130"/>
      <c r="H2750" s="10">
        <v>2228056</v>
      </c>
      <c r="I2750" s="10"/>
      <c r="J2750" s="79" t="e">
        <f t="shared" si="185"/>
        <v>#VALUE!</v>
      </c>
      <c r="K2750" s="106"/>
      <c r="L2750" s="141"/>
      <c r="M2750" s="132"/>
      <c r="N2750" s="133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spans="1:24" ht="14.25" customHeight="1">
      <c r="A2751" s="4"/>
      <c r="B2751" s="125">
        <v>46203</v>
      </c>
      <c r="C2751" s="126" t="s">
        <v>1173</v>
      </c>
      <c r="D2751" s="68" t="s">
        <v>130</v>
      </c>
      <c r="E2751" s="10" t="str">
        <f>TRIM(VLOOKUP(D2751,TB!$B$9:$C$1500,2,FALSE))</f>
        <v>BCA TBB</v>
      </c>
      <c r="F2751" s="142" t="s">
        <v>1174</v>
      </c>
      <c r="G2751" s="130"/>
      <c r="H2751" s="10"/>
      <c r="I2751" s="10">
        <v>2228056</v>
      </c>
      <c r="J2751" s="79" t="e">
        <f t="shared" si="185"/>
        <v>#VALUE!</v>
      </c>
      <c r="K2751" s="106"/>
      <c r="L2751" s="141"/>
      <c r="M2751" s="132"/>
      <c r="N2751" s="133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spans="1:24" ht="14.25" customHeight="1">
      <c r="A2752" s="4"/>
      <c r="B2752" s="125"/>
      <c r="C2752" s="126"/>
      <c r="D2752" s="159"/>
      <c r="E2752" s="10" t="e">
        <f>TRIM(VLOOKUP(D2752,TB!$B$9:$C$1500,2,FALSE))</f>
        <v>#N/A</v>
      </c>
      <c r="F2752" s="142"/>
      <c r="G2752" s="130"/>
      <c r="H2752" s="10"/>
      <c r="I2752" s="10"/>
      <c r="J2752" s="79" t="e">
        <f t="shared" si="185"/>
        <v>#VALUE!</v>
      </c>
      <c r="K2752" s="106"/>
      <c r="L2752" s="141"/>
      <c r="M2752" s="132"/>
      <c r="N2752" s="133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spans="1:24" ht="14.25" customHeight="1">
      <c r="A2753" s="4"/>
      <c r="B2753" s="125">
        <v>46203</v>
      </c>
      <c r="C2753" s="126" t="s">
        <v>1175</v>
      </c>
      <c r="D2753" s="68" t="s">
        <v>285</v>
      </c>
      <c r="E2753" s="10" t="str">
        <f>TRIM(VLOOKUP(D2753,TB!$B$9:$C$1500,2,FALSE))</f>
        <v>Misc Cash Purchase</v>
      </c>
      <c r="F2753" s="142" t="s">
        <v>1176</v>
      </c>
      <c r="G2753" s="130"/>
      <c r="H2753" s="155">
        <v>7629700</v>
      </c>
      <c r="I2753" s="10"/>
      <c r="J2753" s="79" t="e">
        <f t="shared" si="185"/>
        <v>#VALUE!</v>
      </c>
      <c r="K2753" s="106"/>
      <c r="L2753" s="141"/>
      <c r="M2753" s="132"/>
      <c r="N2753" s="133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spans="1:24" ht="14.25" customHeight="1">
      <c r="A2754" s="4"/>
      <c r="B2754" s="125">
        <v>46203</v>
      </c>
      <c r="C2754" s="126" t="s">
        <v>1175</v>
      </c>
      <c r="D2754" s="68" t="s">
        <v>130</v>
      </c>
      <c r="E2754" s="10" t="str">
        <f>TRIM(VLOOKUP(D2754,TB!$B$9:$C$1500,2,FALSE))</f>
        <v>BCA TBB</v>
      </c>
      <c r="F2754" s="142" t="s">
        <v>1176</v>
      </c>
      <c r="G2754" s="130"/>
      <c r="H2754" s="10"/>
      <c r="I2754" s="155">
        <v>7629700</v>
      </c>
      <c r="J2754" s="79" t="e">
        <f t="shared" si="185"/>
        <v>#VALUE!</v>
      </c>
      <c r="K2754" s="106"/>
      <c r="L2754" s="141"/>
      <c r="M2754" s="132"/>
      <c r="N2754" s="133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spans="1:24" ht="14.25" customHeight="1">
      <c r="A2755" s="4"/>
      <c r="B2755" s="125"/>
      <c r="C2755" s="126"/>
      <c r="D2755" s="159"/>
      <c r="E2755" s="10" t="e">
        <f>TRIM(VLOOKUP(D2755,TB!$B$9:$C$1500,2,FALSE))</f>
        <v>#N/A</v>
      </c>
      <c r="F2755" s="142"/>
      <c r="G2755" s="130"/>
      <c r="H2755" s="10"/>
      <c r="I2755" s="10"/>
      <c r="J2755" s="79" t="e">
        <f t="shared" si="185"/>
        <v>#VALUE!</v>
      </c>
      <c r="K2755" s="106"/>
      <c r="L2755" s="141"/>
      <c r="M2755" s="132"/>
      <c r="N2755" s="133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spans="1:24" ht="14.25" customHeight="1">
      <c r="A2756" s="4"/>
      <c r="B2756" s="125">
        <v>46203</v>
      </c>
      <c r="C2756" s="126" t="s">
        <v>1177</v>
      </c>
      <c r="D2756" s="68" t="s">
        <v>285</v>
      </c>
      <c r="E2756" s="10" t="str">
        <f>TRIM(VLOOKUP(D2756,TB!$B$9:$C$1500,2,FALSE))</f>
        <v>Misc Cash Purchase</v>
      </c>
      <c r="F2756" s="142" t="s">
        <v>1178</v>
      </c>
      <c r="G2756" s="130"/>
      <c r="H2756" s="10">
        <v>170000</v>
      </c>
      <c r="I2756" s="10"/>
      <c r="J2756" s="79" t="e">
        <f t="shared" si="185"/>
        <v>#VALUE!</v>
      </c>
      <c r="K2756" s="106"/>
      <c r="L2756" s="141"/>
      <c r="M2756" s="132"/>
      <c r="N2756" s="133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spans="1:24" ht="14.25" customHeight="1">
      <c r="A2757" s="4"/>
      <c r="B2757" s="125">
        <v>46203</v>
      </c>
      <c r="C2757" s="126" t="s">
        <v>1177</v>
      </c>
      <c r="D2757" s="68" t="s">
        <v>130</v>
      </c>
      <c r="E2757" s="10" t="str">
        <f>TRIM(VLOOKUP(D2757,TB!$B$9:$C$1500,2,FALSE))</f>
        <v>BCA TBB</v>
      </c>
      <c r="F2757" s="142" t="s">
        <v>1178</v>
      </c>
      <c r="G2757" s="130"/>
      <c r="H2757" s="10"/>
      <c r="I2757" s="10">
        <v>170000</v>
      </c>
      <c r="J2757" s="79" t="e">
        <f t="shared" si="185"/>
        <v>#VALUE!</v>
      </c>
      <c r="K2757" s="106"/>
      <c r="L2757" s="141"/>
      <c r="M2757" s="132"/>
      <c r="N2757" s="133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spans="1:24" ht="14.25" customHeight="1">
      <c r="A2758" s="4"/>
      <c r="B2758" s="125"/>
      <c r="C2758" s="126"/>
      <c r="D2758" s="159"/>
      <c r="E2758" s="10" t="e">
        <f>TRIM(VLOOKUP(D2758,TB!$B$9:$C$1500,2,FALSE))</f>
        <v>#N/A</v>
      </c>
      <c r="F2758" s="142"/>
      <c r="G2758" s="130"/>
      <c r="H2758" s="10"/>
      <c r="I2758" s="10"/>
      <c r="J2758" s="79" t="e">
        <f t="shared" si="185"/>
        <v>#VALUE!</v>
      </c>
      <c r="K2758" s="106"/>
      <c r="L2758" s="141"/>
      <c r="M2758" s="132"/>
      <c r="N2758" s="133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spans="1:24" ht="14.25" customHeight="1">
      <c r="A2759" s="4"/>
      <c r="B2759" s="125">
        <v>46203</v>
      </c>
      <c r="C2759" s="126" t="s">
        <v>1179</v>
      </c>
      <c r="D2759" s="68" t="s">
        <v>285</v>
      </c>
      <c r="E2759" s="10" t="str">
        <f>TRIM(VLOOKUP(D2759,TB!$B$9:$C$1500,2,FALSE))</f>
        <v>Misc Cash Purchase</v>
      </c>
      <c r="F2759" s="142" t="s">
        <v>1180</v>
      </c>
      <c r="G2759" s="130"/>
      <c r="H2759" s="10">
        <v>1200000</v>
      </c>
      <c r="I2759" s="10"/>
      <c r="J2759" s="79" t="e">
        <f t="shared" si="185"/>
        <v>#VALUE!</v>
      </c>
      <c r="K2759" s="106"/>
      <c r="L2759" s="141"/>
      <c r="M2759" s="132"/>
      <c r="N2759" s="133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spans="1:24" ht="14.25" customHeight="1">
      <c r="A2760" s="4"/>
      <c r="B2760" s="125">
        <v>46203</v>
      </c>
      <c r="C2760" s="126" t="s">
        <v>1179</v>
      </c>
      <c r="D2760" s="15" t="s">
        <v>124</v>
      </c>
      <c r="E2760" s="10" t="str">
        <f>TRIM(VLOOKUP(D2760,TB!$B$9:$C$1500,2,FALSE))</f>
        <v>Bank charges</v>
      </c>
      <c r="F2760" s="142" t="s">
        <v>1180</v>
      </c>
      <c r="G2760" s="130"/>
      <c r="H2760" s="10">
        <v>2500</v>
      </c>
      <c r="I2760" s="10"/>
      <c r="J2760" s="79" t="e">
        <f t="shared" si="185"/>
        <v>#VALUE!</v>
      </c>
      <c r="K2760" s="106"/>
      <c r="L2760" s="141"/>
      <c r="M2760" s="132"/>
      <c r="N2760" s="133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spans="1:24" ht="14.25" customHeight="1">
      <c r="A2761" s="4"/>
      <c r="B2761" s="125">
        <v>46203</v>
      </c>
      <c r="C2761" s="126" t="s">
        <v>1179</v>
      </c>
      <c r="D2761" s="68" t="s">
        <v>130</v>
      </c>
      <c r="E2761" s="10" t="str">
        <f>TRIM(VLOOKUP(D2761,TB!$B$9:$C$1500,2,FALSE))</f>
        <v>BCA TBB</v>
      </c>
      <c r="F2761" s="142" t="s">
        <v>1180</v>
      </c>
      <c r="G2761" s="130"/>
      <c r="H2761" s="10"/>
      <c r="I2761" s="10">
        <v>1202500</v>
      </c>
      <c r="J2761" s="79" t="e">
        <f t="shared" si="185"/>
        <v>#VALUE!</v>
      </c>
      <c r="K2761" s="106"/>
      <c r="L2761" s="141"/>
      <c r="M2761" s="132"/>
      <c r="N2761" s="133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spans="1:24" ht="14.25" customHeight="1">
      <c r="A2762" s="4"/>
      <c r="B2762" s="125"/>
      <c r="C2762" s="126"/>
      <c r="D2762" s="159"/>
      <c r="E2762" s="10" t="e">
        <f>TRIM(VLOOKUP(D2762,TB!$B$9:$C$1500,2,FALSE))</f>
        <v>#N/A</v>
      </c>
      <c r="F2762" s="142"/>
      <c r="G2762" s="130"/>
      <c r="H2762" s="10"/>
      <c r="I2762" s="10"/>
      <c r="J2762" s="79" t="e">
        <f t="shared" si="185"/>
        <v>#VALUE!</v>
      </c>
      <c r="K2762" s="106"/>
      <c r="L2762" s="141"/>
      <c r="M2762" s="132"/>
      <c r="N2762" s="133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spans="1:24" ht="14.25" customHeight="1">
      <c r="A2763" s="4"/>
      <c r="B2763" s="125">
        <v>46203</v>
      </c>
      <c r="C2763" s="126" t="s">
        <v>1181</v>
      </c>
      <c r="D2763" s="68" t="s">
        <v>158</v>
      </c>
      <c r="E2763" s="10" t="str">
        <f>TRIM(VLOOKUP(D2763,TB!$B$9:$C$1500,2,FALSE))</f>
        <v>Mandiri TBB IDR</v>
      </c>
      <c r="F2763" s="142" t="s">
        <v>992</v>
      </c>
      <c r="G2763" s="130"/>
      <c r="H2763" s="10">
        <v>12800000</v>
      </c>
      <c r="I2763" s="10"/>
      <c r="J2763" s="79" t="e">
        <f t="shared" si="185"/>
        <v>#VALUE!</v>
      </c>
      <c r="K2763" s="106"/>
      <c r="L2763" s="141"/>
      <c r="M2763" s="132"/>
      <c r="N2763" s="133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spans="1:24" ht="14.25" customHeight="1">
      <c r="A2764" s="4"/>
      <c r="B2764" s="125">
        <v>46203</v>
      </c>
      <c r="C2764" s="126" t="s">
        <v>1181</v>
      </c>
      <c r="D2764" s="15" t="s">
        <v>124</v>
      </c>
      <c r="E2764" s="10" t="str">
        <f>TRIM(VLOOKUP(D2764,TB!$B$9:$C$1500,2,FALSE))</f>
        <v>Bank charges</v>
      </c>
      <c r="F2764" s="142" t="s">
        <v>992</v>
      </c>
      <c r="G2764" s="130"/>
      <c r="H2764" s="10">
        <v>2500</v>
      </c>
      <c r="I2764" s="10"/>
      <c r="J2764" s="79" t="e">
        <f t="shared" si="185"/>
        <v>#VALUE!</v>
      </c>
      <c r="K2764" s="106"/>
      <c r="L2764" s="141"/>
      <c r="M2764" s="132"/>
      <c r="N2764" s="133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spans="1:24" ht="14.25" customHeight="1">
      <c r="A2765" s="4"/>
      <c r="B2765" s="125">
        <v>46203</v>
      </c>
      <c r="C2765" s="126" t="s">
        <v>1181</v>
      </c>
      <c r="D2765" s="68" t="s">
        <v>130</v>
      </c>
      <c r="E2765" s="10" t="str">
        <f>TRIM(VLOOKUP(D2765,TB!$B$9:$C$1500,2,FALSE))</f>
        <v>BCA TBB</v>
      </c>
      <c r="F2765" s="142" t="s">
        <v>992</v>
      </c>
      <c r="G2765" s="130"/>
      <c r="H2765" s="10"/>
      <c r="I2765" s="10">
        <v>12802500</v>
      </c>
      <c r="J2765" s="79" t="e">
        <f t="shared" si="185"/>
        <v>#VALUE!</v>
      </c>
      <c r="K2765" s="106"/>
      <c r="L2765" s="141"/>
      <c r="M2765" s="132"/>
      <c r="N2765" s="133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spans="1:24" ht="14.25" customHeight="1">
      <c r="A2766" s="4"/>
      <c r="B2766" s="125"/>
      <c r="C2766" s="126"/>
      <c r="D2766" s="159"/>
      <c r="E2766" s="10" t="e">
        <f>TRIM(VLOOKUP(D2766,TB!$B$9:$C$1500,2,FALSE))</f>
        <v>#N/A</v>
      </c>
      <c r="F2766" s="142"/>
      <c r="G2766" s="130"/>
      <c r="H2766" s="10"/>
      <c r="I2766" s="10"/>
      <c r="J2766" s="79" t="e">
        <f t="shared" si="185"/>
        <v>#VALUE!</v>
      </c>
      <c r="K2766" s="106"/>
      <c r="L2766" s="141"/>
      <c r="M2766" s="132"/>
      <c r="N2766" s="133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spans="1:24" ht="14.25" customHeight="1">
      <c r="A2767" s="4"/>
      <c r="B2767" s="125">
        <v>46203</v>
      </c>
      <c r="C2767" s="126" t="s">
        <v>1182</v>
      </c>
      <c r="D2767" s="15" t="s">
        <v>124</v>
      </c>
      <c r="E2767" s="10" t="str">
        <f>TRIM(VLOOKUP(D2767,TB!$B$9:$C$1500,2,FALSE))</f>
        <v>Bank charges</v>
      </c>
      <c r="F2767" s="142" t="s">
        <v>1183</v>
      </c>
      <c r="G2767" s="130"/>
      <c r="H2767" s="10">
        <f>2500*10</f>
        <v>25000</v>
      </c>
      <c r="I2767" s="10"/>
      <c r="J2767" s="79" t="e">
        <f t="shared" si="185"/>
        <v>#VALUE!</v>
      </c>
      <c r="K2767" s="106"/>
      <c r="L2767" s="141"/>
      <c r="M2767" s="132"/>
      <c r="N2767" s="133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spans="1:24" ht="14.25" customHeight="1">
      <c r="A2768" s="4"/>
      <c r="B2768" s="125">
        <v>46203</v>
      </c>
      <c r="C2768" s="126" t="s">
        <v>1182</v>
      </c>
      <c r="D2768" s="15" t="s">
        <v>124</v>
      </c>
      <c r="E2768" s="10" t="str">
        <f>TRIM(VLOOKUP(D2768,TB!$B$9:$C$1500,2,FALSE))</f>
        <v>Bank charges</v>
      </c>
      <c r="F2768" s="142" t="s">
        <v>1183</v>
      </c>
      <c r="G2768" s="130"/>
      <c r="H2768" s="10">
        <v>6500</v>
      </c>
      <c r="I2768" s="10"/>
      <c r="J2768" s="79" t="e">
        <f t="shared" si="185"/>
        <v>#VALUE!</v>
      </c>
      <c r="K2768" s="106"/>
      <c r="L2768" s="141"/>
      <c r="M2768" s="132"/>
      <c r="N2768" s="133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spans="1:24" ht="14.25" customHeight="1">
      <c r="A2769" s="4"/>
      <c r="B2769" s="125">
        <v>46203</v>
      </c>
      <c r="C2769" s="126" t="s">
        <v>1182</v>
      </c>
      <c r="D2769" s="15" t="s">
        <v>124</v>
      </c>
      <c r="E2769" s="10" t="str">
        <f>TRIM(VLOOKUP(D2769,TB!$B$9:$C$1500,2,FALSE))</f>
        <v>Bank charges</v>
      </c>
      <c r="F2769" s="142" t="s">
        <v>1183</v>
      </c>
      <c r="G2769" s="130"/>
      <c r="H2769" s="10">
        <v>1000</v>
      </c>
      <c r="I2769" s="10"/>
      <c r="J2769" s="79" t="e">
        <f t="shared" si="185"/>
        <v>#VALUE!</v>
      </c>
      <c r="K2769" s="106"/>
      <c r="L2769" s="141"/>
      <c r="M2769" s="132"/>
      <c r="N2769" s="133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spans="1:24" ht="14.25" customHeight="1">
      <c r="A2770" s="4"/>
      <c r="B2770" s="125">
        <v>46203</v>
      </c>
      <c r="C2770" s="126" t="s">
        <v>1182</v>
      </c>
      <c r="D2770" s="68" t="s">
        <v>130</v>
      </c>
      <c r="E2770" s="10" t="str">
        <f>TRIM(VLOOKUP(D2770,TB!$B$9:$C$1500,2,FALSE))</f>
        <v>BCA TBB</v>
      </c>
      <c r="F2770" s="142" t="s">
        <v>1183</v>
      </c>
      <c r="G2770" s="130"/>
      <c r="H2770" s="10"/>
      <c r="I2770" s="10">
        <v>32500</v>
      </c>
      <c r="J2770" s="79" t="e">
        <f t="shared" si="185"/>
        <v>#VALUE!</v>
      </c>
      <c r="K2770" s="106"/>
      <c r="L2770" s="141"/>
      <c r="M2770" s="132"/>
      <c r="N2770" s="133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spans="1:24" ht="14.25" customHeight="1">
      <c r="A2771" s="4"/>
      <c r="B2771" s="125"/>
      <c r="C2771" s="126"/>
      <c r="D2771" s="159"/>
      <c r="E2771" s="10" t="e">
        <f>TRIM(VLOOKUP(D2771,TB!$B$9:$C$1500,2,FALSE))</f>
        <v>#N/A</v>
      </c>
      <c r="F2771" s="142"/>
      <c r="G2771" s="130"/>
      <c r="H2771" s="10"/>
      <c r="I2771" s="10"/>
      <c r="J2771" s="79" t="e">
        <f t="shared" si="185"/>
        <v>#VALUE!</v>
      </c>
      <c r="K2771" s="106"/>
      <c r="L2771" s="141"/>
      <c r="M2771" s="132"/>
      <c r="N2771" s="133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spans="1:24" ht="14.25" customHeight="1">
      <c r="A2772" s="4"/>
      <c r="B2772" s="125">
        <v>46203</v>
      </c>
      <c r="C2772" s="126" t="s">
        <v>1184</v>
      </c>
      <c r="D2772" s="15" t="s">
        <v>124</v>
      </c>
      <c r="E2772" s="10" t="str">
        <f>TRIM(VLOOKUP(D2772,TB!$B$9:$C$1500,2,FALSE))</f>
        <v>Bank charges</v>
      </c>
      <c r="F2772" s="142" t="s">
        <v>270</v>
      </c>
      <c r="G2772" s="130"/>
      <c r="H2772" s="10">
        <v>30000</v>
      </c>
      <c r="I2772" s="10"/>
      <c r="J2772" s="79" t="e">
        <f t="shared" si="185"/>
        <v>#VALUE!</v>
      </c>
      <c r="K2772" s="106"/>
      <c r="L2772" s="141"/>
      <c r="M2772" s="132"/>
      <c r="N2772" s="133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spans="1:24" ht="14.25" customHeight="1">
      <c r="A2773" s="4"/>
      <c r="B2773" s="125">
        <v>46203</v>
      </c>
      <c r="C2773" s="126" t="s">
        <v>1184</v>
      </c>
      <c r="D2773" s="68" t="s">
        <v>130</v>
      </c>
      <c r="E2773" s="10" t="str">
        <f>TRIM(VLOOKUP(D2773,TB!$B$9:$C$1500,2,FALSE))</f>
        <v>BCA TBB</v>
      </c>
      <c r="F2773" s="142" t="s">
        <v>270</v>
      </c>
      <c r="G2773" s="130"/>
      <c r="H2773" s="10"/>
      <c r="I2773" s="10">
        <v>30000</v>
      </c>
      <c r="J2773" s="79" t="e">
        <f t="shared" si="185"/>
        <v>#VALUE!</v>
      </c>
      <c r="K2773" s="106"/>
      <c r="L2773" s="141"/>
      <c r="M2773" s="132"/>
      <c r="N2773" s="133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spans="1:24" ht="14.25" customHeight="1">
      <c r="A2774" s="4"/>
      <c r="B2774" s="125"/>
      <c r="C2774" s="126"/>
      <c r="D2774" s="159"/>
      <c r="E2774" s="10" t="e">
        <f>TRIM(VLOOKUP(D2774,TB!$B$9:$C$1500,2,FALSE))</f>
        <v>#N/A</v>
      </c>
      <c r="F2774" s="142"/>
      <c r="G2774" s="130"/>
      <c r="H2774" s="10"/>
      <c r="I2774" s="10"/>
      <c r="J2774" s="79" t="e">
        <f t="shared" si="185"/>
        <v>#VALUE!</v>
      </c>
      <c r="K2774" s="106"/>
      <c r="L2774" s="141"/>
      <c r="M2774" s="132"/>
      <c r="N2774" s="133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spans="1:24" ht="14.25" customHeight="1">
      <c r="A2775" s="4"/>
      <c r="B2775" s="125">
        <v>46203</v>
      </c>
      <c r="C2775" s="126" t="s">
        <v>1185</v>
      </c>
      <c r="D2775" s="68" t="s">
        <v>130</v>
      </c>
      <c r="E2775" s="10" t="str">
        <f>TRIM(VLOOKUP(D2775,TB!$B$9:$C$1500,2,FALSE))</f>
        <v>BCA TBB</v>
      </c>
      <c r="F2775" s="142" t="s">
        <v>1186</v>
      </c>
      <c r="G2775" s="130"/>
      <c r="H2775" s="10">
        <f>1502566.62</f>
        <v>1502566.62</v>
      </c>
      <c r="I2775" s="10"/>
      <c r="J2775" s="79" t="e">
        <f t="shared" si="185"/>
        <v>#VALUE!</v>
      </c>
      <c r="K2775" s="106"/>
      <c r="L2775" s="141"/>
      <c r="M2775" s="132"/>
      <c r="N2775" s="133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spans="1:24" ht="14.25" customHeight="1">
      <c r="A2776" s="4"/>
      <c r="B2776" s="125">
        <v>46203</v>
      </c>
      <c r="C2776" s="126" t="s">
        <v>1185</v>
      </c>
      <c r="D2776" s="15" t="s">
        <v>124</v>
      </c>
      <c r="E2776" s="10" t="str">
        <f>TRIM(VLOOKUP(D2776,TB!$B$9:$C$1500,2,FALSE))</f>
        <v>Bank charges</v>
      </c>
      <c r="F2776" s="142" t="s">
        <v>1186</v>
      </c>
      <c r="G2776" s="130"/>
      <c r="H2776" s="10"/>
      <c r="I2776" s="10">
        <f>1502566.62</f>
        <v>1502566.62</v>
      </c>
      <c r="J2776" s="79" t="e">
        <f t="shared" si="185"/>
        <v>#VALUE!</v>
      </c>
      <c r="K2776" s="106"/>
      <c r="L2776" s="141"/>
      <c r="M2776" s="132"/>
      <c r="N2776" s="133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spans="1:24" ht="14.25" customHeight="1">
      <c r="A2777" s="4"/>
      <c r="B2777" s="125"/>
      <c r="C2777" s="126"/>
      <c r="D2777" s="159"/>
      <c r="E2777" s="10" t="e">
        <f>TRIM(VLOOKUP(D2777,TB!$B$9:$C$1500,2,FALSE))</f>
        <v>#N/A</v>
      </c>
      <c r="F2777" s="142"/>
      <c r="G2777" s="130"/>
      <c r="H2777" s="10"/>
      <c r="I2777" s="10"/>
      <c r="J2777" s="79" t="e">
        <f t="shared" si="185"/>
        <v>#VALUE!</v>
      </c>
      <c r="K2777" s="106"/>
      <c r="L2777" s="141"/>
      <c r="M2777" s="132"/>
      <c r="N2777" s="133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spans="1:24" ht="14.25" customHeight="1">
      <c r="A2778" s="4"/>
      <c r="B2778" s="125"/>
      <c r="C2778" s="126"/>
      <c r="D2778" s="159"/>
      <c r="E2778" s="10" t="e">
        <f>TRIM(VLOOKUP(D2778,TB!$B$9:$C$1500,2,FALSE))</f>
        <v>#N/A</v>
      </c>
      <c r="F2778" s="142"/>
      <c r="G2778" s="130"/>
      <c r="H2778" s="10"/>
      <c r="I2778" s="10"/>
      <c r="J2778" s="79" t="e">
        <f t="shared" si="185"/>
        <v>#VALUE!</v>
      </c>
      <c r="K2778" s="106"/>
      <c r="L2778" s="141"/>
      <c r="M2778" s="132"/>
      <c r="N2778" s="133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spans="1:24" ht="14.25" customHeight="1">
      <c r="A2779" s="4"/>
      <c r="B2779" s="125"/>
      <c r="C2779" s="126"/>
      <c r="D2779" s="159"/>
      <c r="E2779" s="10" t="e">
        <f>TRIM(VLOOKUP(D2779,TB!$B$9:$C$1500,2,FALSE))</f>
        <v>#N/A</v>
      </c>
      <c r="F2779" s="142"/>
      <c r="G2779" s="130"/>
      <c r="H2779" s="10"/>
      <c r="I2779" s="10"/>
      <c r="J2779" s="79" t="e">
        <f t="shared" si="185"/>
        <v>#VALUE!</v>
      </c>
      <c r="K2779" s="106"/>
      <c r="L2779" s="141"/>
      <c r="M2779" s="132"/>
      <c r="N2779" s="133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spans="1:24" ht="14.25" customHeight="1">
      <c r="A2780" s="4"/>
      <c r="B2780" s="125"/>
      <c r="C2780" s="126"/>
      <c r="D2780" s="159"/>
      <c r="E2780" s="10" t="e">
        <f>TRIM(VLOOKUP(D2780,TB!$B$9:$C$1500,2,FALSE))</f>
        <v>#N/A</v>
      </c>
      <c r="F2780" s="142"/>
      <c r="G2780" s="130"/>
      <c r="H2780" s="10"/>
      <c r="I2780" s="10"/>
      <c r="J2780" s="79" t="e">
        <f t="shared" si="185"/>
        <v>#VALUE!</v>
      </c>
      <c r="K2780" s="106"/>
      <c r="L2780" s="141"/>
      <c r="M2780" s="132"/>
      <c r="N2780" s="133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spans="1:24" ht="14.25" customHeight="1">
      <c r="A2781" s="4"/>
      <c r="B2781" s="144"/>
      <c r="C2781" s="145"/>
      <c r="D2781" s="189"/>
      <c r="E2781" s="147" t="e">
        <f>TRIM(VLOOKUP(D2781,TB!$B$9:$C$1500,2,FALSE))</f>
        <v>#N/A</v>
      </c>
      <c r="F2781" s="4"/>
      <c r="G2781" s="148"/>
      <c r="H2781" s="147"/>
      <c r="I2781" s="147"/>
      <c r="J2781" s="79" t="e">
        <f t="shared" si="185"/>
        <v>#VALUE!</v>
      </c>
      <c r="K2781" s="106"/>
      <c r="L2781" s="141"/>
      <c r="M2781" s="132"/>
      <c r="N2781" s="133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spans="1:24" ht="14.25" customHeight="1">
      <c r="A2782" s="4"/>
      <c r="B2782" s="149"/>
      <c r="C2782" s="150"/>
      <c r="D2782" s="190"/>
      <c r="E2782" s="152" t="e">
        <f>TRIM(VLOOKUP(D2782,TB!$B$9:$C$1500,2,FALSE))</f>
        <v>#N/A</v>
      </c>
      <c r="F2782" s="153"/>
      <c r="G2782" s="154"/>
      <c r="H2782" s="152"/>
      <c r="I2782" s="152"/>
      <c r="J2782" s="79" t="e">
        <f t="shared" si="185"/>
        <v>#VALUE!</v>
      </c>
      <c r="K2782" s="106"/>
      <c r="L2782" s="141"/>
      <c r="M2782" s="132"/>
      <c r="N2782" s="133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spans="1:24" ht="14.25" customHeight="1">
      <c r="A2783" s="4"/>
      <c r="B2783" s="125">
        <v>46174</v>
      </c>
      <c r="C2783" s="126" t="s">
        <v>1187</v>
      </c>
      <c r="D2783" s="68" t="s">
        <v>158</v>
      </c>
      <c r="E2783" s="23" t="str">
        <f>TRIM(VLOOKUP(D2783,TB!$B$9:$C$1500,2,FALSE))</f>
        <v>Mandiri TBB IDR</v>
      </c>
      <c r="F2783" s="142" t="s">
        <v>1188</v>
      </c>
      <c r="G2783" s="130"/>
      <c r="H2783" s="10">
        <f>I2785-H2784</f>
        <v>3142400</v>
      </c>
      <c r="I2783" s="10"/>
      <c r="J2783" s="79" t="e">
        <f t="shared" si="185"/>
        <v>#VALUE!</v>
      </c>
      <c r="K2783" s="106"/>
      <c r="L2783" s="141"/>
      <c r="M2783" s="132"/>
      <c r="N2783" s="133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spans="1:24" ht="14.25" customHeight="1">
      <c r="A2784" s="4"/>
      <c r="B2784" s="125">
        <v>46174</v>
      </c>
      <c r="C2784" s="126" t="s">
        <v>1187</v>
      </c>
      <c r="D2784" s="15" t="s">
        <v>124</v>
      </c>
      <c r="E2784" s="23" t="str">
        <f>TRIM(VLOOKUP(D2784,TB!$B$9:$C$1500,2,FALSE))</f>
        <v>Bank charges</v>
      </c>
      <c r="F2784" s="142" t="s">
        <v>1188</v>
      </c>
      <c r="G2784" s="130"/>
      <c r="H2784" s="155">
        <v>57600.000000000007</v>
      </c>
      <c r="I2784" s="10"/>
      <c r="J2784" s="79" t="e">
        <f t="shared" si="185"/>
        <v>#VALUE!</v>
      </c>
      <c r="K2784" s="106"/>
      <c r="L2784" s="141"/>
      <c r="M2784" s="132"/>
      <c r="N2784" s="133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spans="1:24" ht="14.25" customHeight="1">
      <c r="A2785" s="4"/>
      <c r="B2785" s="125">
        <v>46174</v>
      </c>
      <c r="C2785" s="126" t="s">
        <v>1187</v>
      </c>
      <c r="D2785" s="15" t="s">
        <v>48</v>
      </c>
      <c r="E2785" s="23" t="str">
        <f>TRIM(VLOOKUP(D2785,TB!$B$9:$C$1500,2,FALSE))</f>
        <v>Mandiri Card TBB</v>
      </c>
      <c r="F2785" s="142" t="s">
        <v>1188</v>
      </c>
      <c r="G2785" s="130"/>
      <c r="H2785" s="10"/>
      <c r="I2785" s="155">
        <v>3200000</v>
      </c>
      <c r="J2785" s="79" t="e">
        <f t="shared" si="185"/>
        <v>#VALUE!</v>
      </c>
      <c r="K2785" s="106"/>
      <c r="L2785" s="141"/>
      <c r="M2785" s="132"/>
      <c r="N2785" s="133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spans="1:24" ht="14.25" customHeight="1">
      <c r="A2786" s="4"/>
      <c r="B2786" s="125"/>
      <c r="C2786" s="126"/>
      <c r="D2786" s="159"/>
      <c r="E2786" s="10" t="e">
        <f>TRIM(VLOOKUP(D2786,TB!$B$9:$C$1500,2,FALSE))</f>
        <v>#N/A</v>
      </c>
      <c r="F2786" s="142"/>
      <c r="G2786" s="130"/>
      <c r="H2786" s="10"/>
      <c r="I2786" s="10"/>
      <c r="J2786" s="79" t="e">
        <f t="shared" si="185"/>
        <v>#VALUE!</v>
      </c>
      <c r="K2786" s="106"/>
      <c r="L2786" s="141"/>
      <c r="M2786" s="132"/>
      <c r="N2786" s="133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spans="1:24" ht="14.25" customHeight="1">
      <c r="A2787" s="4"/>
      <c r="B2787" s="125">
        <v>46174</v>
      </c>
      <c r="C2787" s="126" t="s">
        <v>1189</v>
      </c>
      <c r="D2787" s="68" t="s">
        <v>158</v>
      </c>
      <c r="E2787" s="10" t="str">
        <f>TRIM(VLOOKUP(D2787,TB!$B$9:$C$1500,2,FALSE))</f>
        <v>Mandiri TBB IDR</v>
      </c>
      <c r="F2787" s="142" t="s">
        <v>1190</v>
      </c>
      <c r="G2787" s="130"/>
      <c r="H2787" s="10">
        <f>I2789-H2788</f>
        <v>60747577.614</v>
      </c>
      <c r="I2787" s="10"/>
      <c r="J2787" s="79" t="e">
        <f t="shared" si="185"/>
        <v>#VALUE!</v>
      </c>
      <c r="K2787" s="106"/>
      <c r="L2787" s="141"/>
      <c r="M2787" s="132"/>
      <c r="N2787" s="133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spans="1:24" ht="14.25" customHeight="1">
      <c r="A2788" s="4"/>
      <c r="B2788" s="125">
        <v>46174</v>
      </c>
      <c r="C2788" s="126" t="s">
        <v>1189</v>
      </c>
      <c r="D2788" s="15" t="s">
        <v>124</v>
      </c>
      <c r="E2788" s="10" t="str">
        <f>TRIM(VLOOKUP(D2788,TB!$B$9:$C$1500,2,FALSE))</f>
        <v>Bank charges</v>
      </c>
      <c r="F2788" s="142" t="s">
        <v>1190</v>
      </c>
      <c r="G2788" s="130"/>
      <c r="H2788" s="155">
        <v>1113499.3860000002</v>
      </c>
      <c r="I2788" s="10"/>
      <c r="J2788" s="79" t="e">
        <f t="shared" si="185"/>
        <v>#VALUE!</v>
      </c>
      <c r="K2788" s="106"/>
      <c r="L2788" s="141"/>
      <c r="M2788" s="132"/>
      <c r="N2788" s="133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spans="1:24" ht="14.25" customHeight="1">
      <c r="A2789" s="4"/>
      <c r="B2789" s="125">
        <v>46174</v>
      </c>
      <c r="C2789" s="126" t="s">
        <v>1189</v>
      </c>
      <c r="D2789" s="15" t="s">
        <v>48</v>
      </c>
      <c r="E2789" s="10" t="str">
        <f>TRIM(VLOOKUP(D2789,TB!$B$9:$C$1500,2,FALSE))</f>
        <v>Mandiri Card TBB</v>
      </c>
      <c r="F2789" s="142" t="s">
        <v>1190</v>
      </c>
      <c r="G2789" s="130"/>
      <c r="H2789" s="10"/>
      <c r="I2789" s="155">
        <v>61861077</v>
      </c>
      <c r="J2789" s="79" t="e">
        <f t="shared" si="185"/>
        <v>#VALUE!</v>
      </c>
      <c r="K2789" s="106"/>
      <c r="L2789" s="141"/>
      <c r="M2789" s="132"/>
      <c r="N2789" s="133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spans="1:24" ht="14.25" customHeight="1">
      <c r="A2790" s="4"/>
      <c r="B2790" s="125"/>
      <c r="C2790" s="126"/>
      <c r="D2790" s="159"/>
      <c r="E2790" s="10" t="e">
        <f>TRIM(VLOOKUP(D2790,TB!$B$9:$C$1500,2,FALSE))</f>
        <v>#N/A</v>
      </c>
      <c r="F2790" s="142"/>
      <c r="G2790" s="130"/>
      <c r="H2790" s="10"/>
      <c r="I2790" s="10"/>
      <c r="J2790" s="79" t="e">
        <f t="shared" si="185"/>
        <v>#VALUE!</v>
      </c>
      <c r="K2790" s="106"/>
      <c r="L2790" s="141"/>
      <c r="M2790" s="132"/>
      <c r="N2790" s="133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spans="1:24" ht="14.25" customHeight="1">
      <c r="A2791" s="4"/>
      <c r="B2791" s="125">
        <v>46174</v>
      </c>
      <c r="C2791" s="126" t="s">
        <v>1191</v>
      </c>
      <c r="D2791" s="68" t="s">
        <v>158</v>
      </c>
      <c r="E2791" s="10" t="str">
        <f>TRIM(VLOOKUP(D2791,TB!$B$9:$C$1500,2,FALSE))</f>
        <v>Mandiri TBB IDR</v>
      </c>
      <c r="F2791" s="142" t="s">
        <v>1192</v>
      </c>
      <c r="G2791" s="130"/>
      <c r="H2791" s="10">
        <f>I2793-H2792</f>
        <v>26860179.550000001</v>
      </c>
      <c r="I2791" s="10"/>
      <c r="J2791" s="79" t="e">
        <f t="shared" si="185"/>
        <v>#VALUE!</v>
      </c>
      <c r="K2791" s="106"/>
      <c r="L2791" s="141"/>
      <c r="M2791" s="132"/>
      <c r="N2791" s="133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spans="1:24" ht="14.25" customHeight="1">
      <c r="A2792" s="4"/>
      <c r="B2792" s="125">
        <v>46174</v>
      </c>
      <c r="C2792" s="126" t="s">
        <v>1191</v>
      </c>
      <c r="D2792" s="15" t="s">
        <v>124</v>
      </c>
      <c r="E2792" s="10" t="str">
        <f>TRIM(VLOOKUP(D2792,TB!$B$9:$C$1500,2,FALSE))</f>
        <v>Bank charges</v>
      </c>
      <c r="F2792" s="142" t="s">
        <v>1192</v>
      </c>
      <c r="G2792" s="130"/>
      <c r="H2792" s="155">
        <v>492345.45000000007</v>
      </c>
      <c r="I2792" s="10"/>
      <c r="J2792" s="79" t="e">
        <f t="shared" si="185"/>
        <v>#VALUE!</v>
      </c>
      <c r="K2792" s="106"/>
      <c r="L2792" s="141"/>
      <c r="M2792" s="132"/>
      <c r="N2792" s="133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spans="1:24" ht="14.25" customHeight="1">
      <c r="A2793" s="4"/>
      <c r="B2793" s="125">
        <v>46174</v>
      </c>
      <c r="C2793" s="126" t="s">
        <v>1191</v>
      </c>
      <c r="D2793" s="15" t="s">
        <v>48</v>
      </c>
      <c r="E2793" s="10" t="str">
        <f>TRIM(VLOOKUP(D2793,TB!$B$9:$C$1500,2,FALSE))</f>
        <v>Mandiri Card TBB</v>
      </c>
      <c r="F2793" s="142" t="s">
        <v>1192</v>
      </c>
      <c r="G2793" s="130"/>
      <c r="H2793" s="10"/>
      <c r="I2793" s="155">
        <v>27352525</v>
      </c>
      <c r="J2793" s="79" t="e">
        <f t="shared" si="185"/>
        <v>#VALUE!</v>
      </c>
      <c r="K2793" s="106"/>
      <c r="L2793" s="141"/>
      <c r="M2793" s="132"/>
      <c r="N2793" s="133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spans="1:24" ht="14.25" customHeight="1">
      <c r="A2794" s="4"/>
      <c r="B2794" s="125"/>
      <c r="C2794" s="126"/>
      <c r="D2794" s="159"/>
      <c r="E2794" s="10" t="e">
        <f>TRIM(VLOOKUP(D2794,TB!$B$9:$C$1500,2,FALSE))</f>
        <v>#N/A</v>
      </c>
      <c r="F2794" s="142"/>
      <c r="G2794" s="130"/>
      <c r="H2794" s="10"/>
      <c r="I2794" s="10"/>
      <c r="J2794" s="79" t="e">
        <f t="shared" si="185"/>
        <v>#VALUE!</v>
      </c>
      <c r="K2794" s="106"/>
      <c r="L2794" s="141"/>
      <c r="M2794" s="132"/>
      <c r="N2794" s="133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spans="1:24" ht="14.25" customHeight="1">
      <c r="A2795" s="4"/>
      <c r="B2795" s="125">
        <v>46175</v>
      </c>
      <c r="C2795" s="126" t="s">
        <v>1193</v>
      </c>
      <c r="D2795" s="68" t="s">
        <v>158</v>
      </c>
      <c r="E2795" s="10" t="str">
        <f>TRIM(VLOOKUP(D2795,TB!$B$9:$C$1500,2,FALSE))</f>
        <v>Mandiri TBB IDR</v>
      </c>
      <c r="F2795" s="142" t="s">
        <v>1194</v>
      </c>
      <c r="G2795" s="130"/>
      <c r="H2795" s="10">
        <f>I2797-H2796</f>
        <v>1236720.98</v>
      </c>
      <c r="I2795" s="10"/>
      <c r="J2795" s="79" t="e">
        <f t="shared" si="185"/>
        <v>#VALUE!</v>
      </c>
      <c r="K2795" s="106"/>
      <c r="L2795" s="141"/>
      <c r="M2795" s="132"/>
      <c r="N2795" s="133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spans="1:24" ht="14.25" customHeight="1">
      <c r="A2796" s="4"/>
      <c r="B2796" s="125">
        <v>46175</v>
      </c>
      <c r="C2796" s="126" t="s">
        <v>1193</v>
      </c>
      <c r="D2796" s="15" t="s">
        <v>124</v>
      </c>
      <c r="E2796" s="10" t="str">
        <f>TRIM(VLOOKUP(D2796,TB!$B$9:$C$1500,2,FALSE))</f>
        <v>Bank charges</v>
      </c>
      <c r="F2796" s="142" t="s">
        <v>1194</v>
      </c>
      <c r="G2796" s="130"/>
      <c r="H2796" s="155">
        <v>22669.020000000004</v>
      </c>
      <c r="I2796" s="10"/>
      <c r="J2796" s="79" t="e">
        <f t="shared" si="185"/>
        <v>#VALUE!</v>
      </c>
      <c r="K2796" s="106"/>
      <c r="L2796" s="141"/>
      <c r="M2796" s="132"/>
      <c r="N2796" s="133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spans="1:24" ht="14.25" customHeight="1">
      <c r="A2797" s="4"/>
      <c r="B2797" s="125">
        <v>46175</v>
      </c>
      <c r="C2797" s="126" t="s">
        <v>1193</v>
      </c>
      <c r="D2797" s="15" t="s">
        <v>48</v>
      </c>
      <c r="E2797" s="10" t="str">
        <f>TRIM(VLOOKUP(D2797,TB!$B$9:$C$1500,2,FALSE))</f>
        <v>Mandiri Card TBB</v>
      </c>
      <c r="F2797" s="142" t="s">
        <v>1194</v>
      </c>
      <c r="G2797" s="130"/>
      <c r="H2797" s="10"/>
      <c r="I2797" s="155">
        <v>1259390</v>
      </c>
      <c r="J2797" s="79" t="e">
        <f t="shared" si="185"/>
        <v>#VALUE!</v>
      </c>
      <c r="K2797" s="106"/>
      <c r="L2797" s="141"/>
      <c r="M2797" s="132"/>
      <c r="N2797" s="133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spans="1:24" ht="14.25" customHeight="1">
      <c r="A2798" s="4"/>
      <c r="B2798" s="125"/>
      <c r="C2798" s="126"/>
      <c r="D2798" s="159"/>
      <c r="E2798" s="10" t="e">
        <f>TRIM(VLOOKUP(D2798,TB!$B$9:$C$1500,2,FALSE))</f>
        <v>#N/A</v>
      </c>
      <c r="F2798" s="142"/>
      <c r="G2798" s="130"/>
      <c r="H2798" s="10"/>
      <c r="I2798" s="10"/>
      <c r="J2798" s="79" t="e">
        <f t="shared" si="185"/>
        <v>#VALUE!</v>
      </c>
      <c r="K2798" s="106"/>
      <c r="L2798" s="141"/>
      <c r="M2798" s="132"/>
      <c r="N2798" s="133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spans="1:24" ht="14.25" customHeight="1">
      <c r="A2799" s="4"/>
      <c r="B2799" s="125">
        <v>46175</v>
      </c>
      <c r="C2799" s="126" t="s">
        <v>1195</v>
      </c>
      <c r="D2799" s="68" t="s">
        <v>158</v>
      </c>
      <c r="E2799" s="10" t="str">
        <f>TRIM(VLOOKUP(D2799,TB!$B$9:$C$1500,2,FALSE))</f>
        <v>Mandiri TBB IDR</v>
      </c>
      <c r="F2799" s="142" t="s">
        <v>1196</v>
      </c>
      <c r="G2799" s="130"/>
      <c r="H2799" s="10">
        <f>I2801-H2800</f>
        <v>19935577.09</v>
      </c>
      <c r="I2799" s="10"/>
      <c r="J2799" s="79" t="e">
        <f t="shared" si="185"/>
        <v>#VALUE!</v>
      </c>
      <c r="K2799" s="106"/>
      <c r="L2799" s="141"/>
      <c r="M2799" s="132"/>
      <c r="N2799" s="133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spans="1:24" ht="14.25" customHeight="1">
      <c r="A2800" s="4"/>
      <c r="B2800" s="125">
        <v>46175</v>
      </c>
      <c r="C2800" s="126" t="s">
        <v>1195</v>
      </c>
      <c r="D2800" s="15" t="s">
        <v>124</v>
      </c>
      <c r="E2800" s="10" t="str">
        <f>TRIM(VLOOKUP(D2800,TB!$B$9:$C$1500,2,FALSE))</f>
        <v>Bank charges</v>
      </c>
      <c r="F2800" s="142" t="s">
        <v>1196</v>
      </c>
      <c r="G2800" s="130"/>
      <c r="H2800" s="155">
        <v>365417.91000000003</v>
      </c>
      <c r="I2800" s="10"/>
      <c r="J2800" s="79" t="e">
        <f t="shared" si="185"/>
        <v>#VALUE!</v>
      </c>
      <c r="K2800" s="106"/>
      <c r="L2800" s="141"/>
      <c r="M2800" s="132"/>
      <c r="N2800" s="133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spans="1:24" ht="14.25" customHeight="1">
      <c r="A2801" s="4"/>
      <c r="B2801" s="125">
        <v>46175</v>
      </c>
      <c r="C2801" s="126" t="s">
        <v>1195</v>
      </c>
      <c r="D2801" s="15" t="s">
        <v>48</v>
      </c>
      <c r="E2801" s="10" t="str">
        <f>TRIM(VLOOKUP(D2801,TB!$B$9:$C$1500,2,FALSE))</f>
        <v>Mandiri Card TBB</v>
      </c>
      <c r="F2801" s="142" t="s">
        <v>1196</v>
      </c>
      <c r="G2801" s="130"/>
      <c r="H2801" s="10"/>
      <c r="I2801" s="155">
        <v>20300995</v>
      </c>
      <c r="J2801" s="79" t="e">
        <f t="shared" si="185"/>
        <v>#VALUE!</v>
      </c>
      <c r="K2801" s="106"/>
      <c r="L2801" s="141"/>
      <c r="M2801" s="132"/>
      <c r="N2801" s="133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spans="1:24" ht="14.25" customHeight="1">
      <c r="A2802" s="4"/>
      <c r="B2802" s="125"/>
      <c r="C2802" s="126"/>
      <c r="D2802" s="159"/>
      <c r="E2802" s="10" t="e">
        <f>TRIM(VLOOKUP(D2802,TB!$B$9:$C$1500,2,FALSE))</f>
        <v>#N/A</v>
      </c>
      <c r="F2802" s="142"/>
      <c r="G2802" s="130"/>
      <c r="H2802" s="10"/>
      <c r="I2802" s="10"/>
      <c r="J2802" s="79" t="e">
        <f t="shared" si="185"/>
        <v>#VALUE!</v>
      </c>
      <c r="K2802" s="106"/>
      <c r="L2802" s="141"/>
      <c r="M2802" s="132"/>
      <c r="N2802" s="133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spans="1:24" ht="14.25" customHeight="1">
      <c r="A2803" s="4"/>
      <c r="B2803" s="125">
        <v>46175</v>
      </c>
      <c r="C2803" s="126" t="s">
        <v>1197</v>
      </c>
      <c r="D2803" s="68" t="s">
        <v>158</v>
      </c>
      <c r="E2803" s="10" t="str">
        <f>TRIM(VLOOKUP(D2803,TB!$B$9:$C$1500,2,FALSE))</f>
        <v>Mandiri TBB IDR</v>
      </c>
      <c r="F2803" s="142" t="s">
        <v>1198</v>
      </c>
      <c r="G2803" s="130"/>
      <c r="H2803" s="10">
        <f>I2805-H2804</f>
        <v>2663974.5099999998</v>
      </c>
      <c r="I2803" s="10"/>
      <c r="J2803" s="79" t="e">
        <f t="shared" si="185"/>
        <v>#VALUE!</v>
      </c>
      <c r="K2803" s="106"/>
      <c r="L2803" s="141"/>
      <c r="M2803" s="132"/>
      <c r="N2803" s="133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spans="1:24" ht="14.25" customHeight="1">
      <c r="A2804" s="4"/>
      <c r="B2804" s="125">
        <v>46175</v>
      </c>
      <c r="C2804" s="126" t="s">
        <v>1197</v>
      </c>
      <c r="D2804" s="15" t="s">
        <v>124</v>
      </c>
      <c r="E2804" s="10" t="str">
        <f>TRIM(VLOOKUP(D2804,TB!$B$9:$C$1500,2,FALSE))</f>
        <v>Bank charges</v>
      </c>
      <c r="F2804" s="142" t="s">
        <v>1198</v>
      </c>
      <c r="G2804" s="130"/>
      <c r="H2804" s="155">
        <v>48830.490000000005</v>
      </c>
      <c r="I2804" s="10"/>
      <c r="J2804" s="79" t="e">
        <f t="shared" si="185"/>
        <v>#VALUE!</v>
      </c>
      <c r="K2804" s="106"/>
      <c r="L2804" s="141"/>
      <c r="M2804" s="132"/>
      <c r="N2804" s="133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spans="1:24" ht="14.25" customHeight="1">
      <c r="A2805" s="4"/>
      <c r="B2805" s="125">
        <v>46175</v>
      </c>
      <c r="C2805" s="126" t="s">
        <v>1197</v>
      </c>
      <c r="D2805" s="15" t="s">
        <v>48</v>
      </c>
      <c r="E2805" s="10" t="str">
        <f>TRIM(VLOOKUP(D2805,TB!$B$9:$C$1500,2,FALSE))</f>
        <v>Mandiri Card TBB</v>
      </c>
      <c r="F2805" s="142" t="s">
        <v>1198</v>
      </c>
      <c r="G2805" s="130"/>
      <c r="H2805" s="10"/>
      <c r="I2805" s="155">
        <v>2712805</v>
      </c>
      <c r="J2805" s="79" t="e">
        <f t="shared" si="185"/>
        <v>#VALUE!</v>
      </c>
      <c r="K2805" s="106"/>
      <c r="L2805" s="141"/>
      <c r="M2805" s="132"/>
      <c r="N2805" s="133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spans="1:24" ht="14.25" customHeight="1">
      <c r="A2806" s="4"/>
      <c r="B2806" s="125"/>
      <c r="C2806" s="126"/>
      <c r="D2806" s="159"/>
      <c r="E2806" s="10" t="e">
        <f>TRIM(VLOOKUP(D2806,TB!$B$9:$C$1500,2,FALSE))</f>
        <v>#N/A</v>
      </c>
      <c r="F2806" s="142"/>
      <c r="G2806" s="130"/>
      <c r="H2806" s="10"/>
      <c r="I2806" s="10"/>
      <c r="J2806" s="79" t="e">
        <f t="shared" si="185"/>
        <v>#VALUE!</v>
      </c>
      <c r="K2806" s="106"/>
      <c r="L2806" s="141"/>
      <c r="M2806" s="132"/>
      <c r="N2806" s="133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spans="1:24" ht="14.25" customHeight="1">
      <c r="A2807" s="4"/>
      <c r="B2807" s="125">
        <v>46175</v>
      </c>
      <c r="C2807" s="126" t="s">
        <v>1199</v>
      </c>
      <c r="D2807" s="68" t="s">
        <v>158</v>
      </c>
      <c r="E2807" s="10" t="str">
        <f>TRIM(VLOOKUP(D2807,TB!$B$9:$C$1500,2,FALSE))</f>
        <v>Mandiri TBB IDR</v>
      </c>
      <c r="F2807" s="142" t="s">
        <v>1200</v>
      </c>
      <c r="G2807" s="130"/>
      <c r="H2807" s="10">
        <f>I2809-H2808</f>
        <v>5540709.1399999997</v>
      </c>
      <c r="I2807" s="10"/>
      <c r="J2807" s="79" t="e">
        <f t="shared" si="185"/>
        <v>#VALUE!</v>
      </c>
      <c r="K2807" s="106"/>
      <c r="L2807" s="141"/>
      <c r="M2807" s="132"/>
      <c r="N2807" s="133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spans="1:24" ht="14.25" customHeight="1">
      <c r="A2808" s="4"/>
      <c r="B2808" s="125">
        <v>46175</v>
      </c>
      <c r="C2808" s="126" t="s">
        <v>1199</v>
      </c>
      <c r="D2808" s="15" t="s">
        <v>124</v>
      </c>
      <c r="E2808" s="10" t="str">
        <f>TRIM(VLOOKUP(D2808,TB!$B$9:$C$1500,2,FALSE))</f>
        <v>Bank charges</v>
      </c>
      <c r="F2808" s="142" t="s">
        <v>1200</v>
      </c>
      <c r="G2808" s="130"/>
      <c r="H2808" s="155">
        <v>101560.86000000002</v>
      </c>
      <c r="I2808" s="10"/>
      <c r="J2808" s="79" t="e">
        <f t="shared" si="185"/>
        <v>#VALUE!</v>
      </c>
      <c r="K2808" s="106"/>
      <c r="L2808" s="141"/>
      <c r="M2808" s="132"/>
      <c r="N2808" s="133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spans="1:24" ht="14.25" customHeight="1">
      <c r="A2809" s="4"/>
      <c r="B2809" s="125">
        <v>46175</v>
      </c>
      <c r="C2809" s="126" t="s">
        <v>1199</v>
      </c>
      <c r="D2809" s="15" t="s">
        <v>48</v>
      </c>
      <c r="E2809" s="10" t="str">
        <f>TRIM(VLOOKUP(D2809,TB!$B$9:$C$1500,2,FALSE))</f>
        <v>Mandiri Card TBB</v>
      </c>
      <c r="F2809" s="142" t="s">
        <v>1200</v>
      </c>
      <c r="G2809" s="130"/>
      <c r="H2809" s="10"/>
      <c r="I2809" s="155">
        <v>5642270</v>
      </c>
      <c r="J2809" s="79" t="e">
        <f t="shared" si="185"/>
        <v>#VALUE!</v>
      </c>
      <c r="K2809" s="106"/>
      <c r="L2809" s="141"/>
      <c r="M2809" s="132"/>
      <c r="N2809" s="133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spans="1:24" ht="14.25" customHeight="1">
      <c r="A2810" s="4"/>
      <c r="B2810" s="125"/>
      <c r="C2810" s="126"/>
      <c r="D2810" s="159"/>
      <c r="E2810" s="10" t="e">
        <f>TRIM(VLOOKUP(D2810,TB!$B$9:$C$1500,2,FALSE))</f>
        <v>#N/A</v>
      </c>
      <c r="F2810" s="142"/>
      <c r="G2810" s="130"/>
      <c r="H2810" s="10"/>
      <c r="I2810" s="10"/>
      <c r="J2810" s="79" t="e">
        <f t="shared" si="185"/>
        <v>#VALUE!</v>
      </c>
      <c r="K2810" s="106"/>
      <c r="L2810" s="141"/>
      <c r="M2810" s="132"/>
      <c r="N2810" s="133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spans="1:24" ht="14.25" customHeight="1">
      <c r="A2811" s="4"/>
      <c r="B2811" s="125">
        <v>46175</v>
      </c>
      <c r="C2811" s="126" t="s">
        <v>1201</v>
      </c>
      <c r="D2811" s="68" t="s">
        <v>285</v>
      </c>
      <c r="E2811" s="10" t="str">
        <f>TRIM(VLOOKUP(D2811,TB!$B$9:$C$1500,2,FALSE))</f>
        <v>Misc Cash Purchase</v>
      </c>
      <c r="F2811" s="142" t="s">
        <v>1202</v>
      </c>
      <c r="G2811" s="130"/>
      <c r="H2811" s="10">
        <v>306360</v>
      </c>
      <c r="I2811" s="10"/>
      <c r="J2811" s="79" t="e">
        <f t="shared" si="185"/>
        <v>#VALUE!</v>
      </c>
      <c r="K2811" s="106"/>
      <c r="L2811" s="141"/>
      <c r="M2811" s="132"/>
      <c r="N2811" s="133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spans="1:24" ht="14.25" customHeight="1">
      <c r="A2812" s="4"/>
      <c r="B2812" s="125">
        <v>46175</v>
      </c>
      <c r="C2812" s="126" t="s">
        <v>1201</v>
      </c>
      <c r="D2812" s="68" t="s">
        <v>285</v>
      </c>
      <c r="E2812" s="10" t="str">
        <f>TRIM(VLOOKUP(D2812,TB!$B$9:$C$1500,2,FALSE))</f>
        <v>Misc Cash Purchase</v>
      </c>
      <c r="F2812" s="142" t="s">
        <v>1202</v>
      </c>
      <c r="G2812" s="130"/>
      <c r="H2812" s="10">
        <v>293040</v>
      </c>
      <c r="I2812" s="10"/>
      <c r="J2812" s="79" t="e">
        <f t="shared" si="185"/>
        <v>#VALUE!</v>
      </c>
      <c r="K2812" s="106"/>
      <c r="L2812" s="141"/>
      <c r="M2812" s="132"/>
      <c r="N2812" s="133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spans="1:24" ht="14.25" customHeight="1">
      <c r="A2813" s="4"/>
      <c r="B2813" s="125">
        <v>46175</v>
      </c>
      <c r="C2813" s="126" t="s">
        <v>1201</v>
      </c>
      <c r="D2813" s="68" t="s">
        <v>158</v>
      </c>
      <c r="E2813" s="10" t="str">
        <f>TRIM(VLOOKUP(D2813,TB!$B$9:$C$1500,2,FALSE))</f>
        <v>Mandiri TBB IDR</v>
      </c>
      <c r="F2813" s="142" t="s">
        <v>1202</v>
      </c>
      <c r="G2813" s="130"/>
      <c r="H2813" s="10"/>
      <c r="I2813" s="10">
        <v>599400</v>
      </c>
      <c r="J2813" s="79" t="e">
        <f t="shared" si="185"/>
        <v>#VALUE!</v>
      </c>
      <c r="K2813" s="106"/>
      <c r="L2813" s="141"/>
      <c r="M2813" s="132"/>
      <c r="N2813" s="133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spans="1:24" ht="14.25" customHeight="1">
      <c r="A2814" s="4"/>
      <c r="B2814" s="125"/>
      <c r="C2814" s="126"/>
      <c r="D2814" s="159"/>
      <c r="E2814" s="10" t="e">
        <f>TRIM(VLOOKUP(D2814,TB!$B$9:$C$1500,2,FALSE))</f>
        <v>#N/A</v>
      </c>
      <c r="F2814" s="142"/>
      <c r="G2814" s="130"/>
      <c r="H2814" s="10"/>
      <c r="I2814" s="10"/>
      <c r="J2814" s="79" t="e">
        <f t="shared" si="185"/>
        <v>#VALUE!</v>
      </c>
      <c r="K2814" s="106"/>
      <c r="L2814" s="141"/>
      <c r="M2814" s="132"/>
      <c r="N2814" s="133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spans="1:24" ht="14.25" customHeight="1">
      <c r="A2815" s="4"/>
      <c r="B2815" s="125">
        <v>46175</v>
      </c>
      <c r="C2815" s="126" t="s">
        <v>1203</v>
      </c>
      <c r="D2815" s="68" t="s">
        <v>285</v>
      </c>
      <c r="E2815" s="10" t="str">
        <f>TRIM(VLOOKUP(D2815,TB!$B$9:$C$1500,2,FALSE))</f>
        <v>Misc Cash Purchase</v>
      </c>
      <c r="F2815" s="142" t="s">
        <v>1204</v>
      </c>
      <c r="G2815" s="130"/>
      <c r="H2815" s="10">
        <v>2000000</v>
      </c>
      <c r="I2815" s="10"/>
      <c r="J2815" s="79" t="e">
        <f t="shared" si="185"/>
        <v>#VALUE!</v>
      </c>
      <c r="K2815" s="106"/>
      <c r="L2815" s="141"/>
      <c r="M2815" s="132"/>
      <c r="N2815" s="133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spans="1:24" ht="14.25" customHeight="1">
      <c r="A2816" s="4"/>
      <c r="B2816" s="125">
        <v>46175</v>
      </c>
      <c r="C2816" s="126" t="s">
        <v>1203</v>
      </c>
      <c r="D2816" s="68" t="s">
        <v>158</v>
      </c>
      <c r="E2816" s="10" t="str">
        <f>TRIM(VLOOKUP(D2816,TB!$B$9:$C$1500,2,FALSE))</f>
        <v>Mandiri TBB IDR</v>
      </c>
      <c r="F2816" s="142" t="s">
        <v>1204</v>
      </c>
      <c r="G2816" s="130"/>
      <c r="H2816" s="10"/>
      <c r="I2816" s="10">
        <v>2000000</v>
      </c>
      <c r="J2816" s="79" t="e">
        <f t="shared" si="185"/>
        <v>#VALUE!</v>
      </c>
      <c r="K2816" s="106"/>
      <c r="L2816" s="141"/>
      <c r="M2816" s="132"/>
      <c r="N2816" s="133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 ht="14.25" customHeight="1">
      <c r="A2817" s="4"/>
      <c r="B2817" s="125"/>
      <c r="C2817" s="126"/>
      <c r="D2817" s="159"/>
      <c r="E2817" s="10" t="e">
        <f>TRIM(VLOOKUP(D2817,TB!$B$9:$C$1500,2,FALSE))</f>
        <v>#N/A</v>
      </c>
      <c r="F2817" s="142"/>
      <c r="G2817" s="130"/>
      <c r="H2817" s="10"/>
      <c r="I2817" s="10"/>
      <c r="J2817" s="79" t="e">
        <f t="shared" si="185"/>
        <v>#VALUE!</v>
      </c>
      <c r="K2817" s="106"/>
      <c r="L2817" s="141"/>
      <c r="M2817" s="132"/>
      <c r="N2817" s="133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spans="1:24" ht="14.25" customHeight="1">
      <c r="A2818" s="4"/>
      <c r="B2818" s="125">
        <v>46175</v>
      </c>
      <c r="C2818" s="126" t="s">
        <v>1205</v>
      </c>
      <c r="D2818" s="68" t="s">
        <v>285</v>
      </c>
      <c r="E2818" s="10" t="str">
        <f>TRIM(VLOOKUP(D2818,TB!$B$9:$C$1500,2,FALSE))</f>
        <v>Misc Cash Purchase</v>
      </c>
      <c r="F2818" s="186" t="s">
        <v>1206</v>
      </c>
      <c r="G2818" s="130"/>
      <c r="H2818" s="10">
        <v>3730750</v>
      </c>
      <c r="I2818" s="10"/>
      <c r="J2818" s="79" t="e">
        <f t="shared" si="185"/>
        <v>#VALUE!</v>
      </c>
      <c r="K2818" s="106"/>
      <c r="L2818" s="141"/>
      <c r="M2818" s="132"/>
      <c r="N2818" s="133"/>
      <c r="O2818" s="4"/>
      <c r="P2818" s="4"/>
      <c r="Q2818" s="4"/>
      <c r="R2818" s="4"/>
      <c r="S2818" s="4"/>
      <c r="T2818" s="4"/>
      <c r="U2818" s="4"/>
      <c r="V2818" s="4"/>
      <c r="W2818" s="4"/>
      <c r="X2818" s="4"/>
    </row>
    <row r="2819" spans="1:24" ht="14.25" customHeight="1">
      <c r="A2819" s="4"/>
      <c r="B2819" s="125">
        <v>46175</v>
      </c>
      <c r="C2819" s="126" t="s">
        <v>1205</v>
      </c>
      <c r="D2819" s="68" t="s">
        <v>158</v>
      </c>
      <c r="E2819" s="10" t="str">
        <f>TRIM(VLOOKUP(D2819,TB!$B$9:$C$1500,2,FALSE))</f>
        <v>Mandiri TBB IDR</v>
      </c>
      <c r="F2819" s="186" t="s">
        <v>1206</v>
      </c>
      <c r="G2819" s="130"/>
      <c r="H2819" s="10"/>
      <c r="I2819" s="10">
        <v>3730750</v>
      </c>
      <c r="J2819" s="79" t="e">
        <f t="shared" si="185"/>
        <v>#VALUE!</v>
      </c>
      <c r="K2819" s="106"/>
      <c r="L2819" s="141"/>
      <c r="M2819" s="132"/>
      <c r="N2819" s="133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spans="1:24" ht="14.25" customHeight="1">
      <c r="A2820" s="4"/>
      <c r="B2820" s="125"/>
      <c r="C2820" s="126"/>
      <c r="D2820" s="15"/>
      <c r="E2820" s="10" t="e">
        <f>TRIM(VLOOKUP(D2820,TB!$B$9:$C$1500,2,FALSE))</f>
        <v>#N/A</v>
      </c>
      <c r="F2820" s="142"/>
      <c r="G2820" s="130"/>
      <c r="H2820" s="10"/>
      <c r="I2820" s="10"/>
      <c r="J2820" s="79" t="e">
        <f t="shared" si="185"/>
        <v>#VALUE!</v>
      </c>
      <c r="K2820" s="106"/>
      <c r="L2820" s="141"/>
      <c r="M2820" s="132"/>
      <c r="N2820" s="133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spans="1:24" ht="14.25" customHeight="1">
      <c r="A2821" s="4"/>
      <c r="B2821" s="125">
        <v>46175</v>
      </c>
      <c r="C2821" s="126" t="s">
        <v>1207</v>
      </c>
      <c r="D2821" s="15" t="s">
        <v>1208</v>
      </c>
      <c r="E2821" s="10" t="str">
        <f>TRIM(VLOOKUP(D2821,TB!$B$9:$C$1500,2,FALSE))</f>
        <v>Telephone/Interne/Pulsa/Courier &amp; Postage</v>
      </c>
      <c r="F2821" s="142" t="s">
        <v>1209</v>
      </c>
      <c r="G2821" s="130"/>
      <c r="H2821" s="10">
        <v>2220000</v>
      </c>
      <c r="I2821" s="10"/>
      <c r="J2821" s="79" t="e">
        <f t="shared" si="185"/>
        <v>#VALUE!</v>
      </c>
      <c r="K2821" s="106"/>
      <c r="L2821" s="141"/>
      <c r="M2821" s="132"/>
      <c r="N2821" s="133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spans="1:24" ht="14.25" customHeight="1">
      <c r="A2822" s="4"/>
      <c r="B2822" s="125">
        <v>46175</v>
      </c>
      <c r="C2822" s="126" t="s">
        <v>1207</v>
      </c>
      <c r="D2822" s="15" t="s">
        <v>124</v>
      </c>
      <c r="E2822" s="10" t="str">
        <f>TRIM(VLOOKUP(D2822,TB!$B$9:$C$1500,2,FALSE))</f>
        <v>Bank charges</v>
      </c>
      <c r="F2822" s="142" t="s">
        <v>1209</v>
      </c>
      <c r="G2822" s="130"/>
      <c r="H2822" s="10">
        <v>2500</v>
      </c>
      <c r="I2822" s="10"/>
      <c r="J2822" s="79" t="e">
        <f t="shared" si="185"/>
        <v>#VALUE!</v>
      </c>
      <c r="K2822" s="106"/>
      <c r="L2822" s="141"/>
      <c r="M2822" s="132"/>
      <c r="N2822" s="133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spans="1:24" ht="14.25" customHeight="1">
      <c r="A2823" s="4"/>
      <c r="B2823" s="125">
        <v>46175</v>
      </c>
      <c r="C2823" s="126" t="s">
        <v>1207</v>
      </c>
      <c r="D2823" s="68" t="s">
        <v>158</v>
      </c>
      <c r="E2823" s="10" t="str">
        <f>TRIM(VLOOKUP(D2823,TB!$B$9:$C$1500,2,FALSE))</f>
        <v>Mandiri TBB IDR</v>
      </c>
      <c r="F2823" s="142" t="s">
        <v>1209</v>
      </c>
      <c r="G2823" s="130"/>
      <c r="H2823" s="10"/>
      <c r="I2823" s="10">
        <v>2222500</v>
      </c>
      <c r="J2823" s="79" t="e">
        <f t="shared" si="185"/>
        <v>#VALUE!</v>
      </c>
      <c r="K2823" s="106"/>
      <c r="L2823" s="141"/>
      <c r="M2823" s="132"/>
      <c r="N2823" s="133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spans="1:24" ht="14.25" customHeight="1">
      <c r="A2824" s="4"/>
      <c r="B2824" s="125"/>
      <c r="C2824" s="126"/>
      <c r="D2824" s="159"/>
      <c r="E2824" s="10" t="e">
        <f>TRIM(VLOOKUP(D2824,TB!$B$9:$C$1500,2,FALSE))</f>
        <v>#N/A</v>
      </c>
      <c r="F2824" s="142"/>
      <c r="G2824" s="130"/>
      <c r="H2824" s="10"/>
      <c r="I2824" s="10"/>
      <c r="J2824" s="79" t="e">
        <f t="shared" si="185"/>
        <v>#VALUE!</v>
      </c>
      <c r="K2824" s="106"/>
      <c r="L2824" s="141"/>
      <c r="M2824" s="132"/>
      <c r="N2824" s="133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spans="1:24" ht="14.25" customHeight="1">
      <c r="A2825" s="4"/>
      <c r="B2825" s="125">
        <v>46175</v>
      </c>
      <c r="C2825" s="126" t="s">
        <v>1210</v>
      </c>
      <c r="D2825" s="15" t="s">
        <v>1208</v>
      </c>
      <c r="E2825" s="10" t="str">
        <f>TRIM(VLOOKUP(D2825,TB!$B$9:$C$1500,2,FALSE))</f>
        <v>Telephone/Interne/Pulsa/Courier &amp; Postage</v>
      </c>
      <c r="F2825" s="142" t="s">
        <v>1211</v>
      </c>
      <c r="G2825" s="130"/>
      <c r="H2825" s="10">
        <v>2220000</v>
      </c>
      <c r="I2825" s="10"/>
      <c r="J2825" s="79" t="e">
        <f t="shared" si="185"/>
        <v>#VALUE!</v>
      </c>
      <c r="K2825" s="106"/>
      <c r="L2825" s="141"/>
      <c r="M2825" s="132"/>
      <c r="N2825" s="133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spans="1:24" ht="14.25" customHeight="1">
      <c r="A2826" s="4"/>
      <c r="B2826" s="125">
        <v>46175</v>
      </c>
      <c r="C2826" s="126" t="s">
        <v>1210</v>
      </c>
      <c r="D2826" s="15" t="s">
        <v>124</v>
      </c>
      <c r="E2826" s="10" t="str">
        <f>TRIM(VLOOKUP(D2826,TB!$B$9:$C$1500,2,FALSE))</f>
        <v>Bank charges</v>
      </c>
      <c r="F2826" s="142" t="s">
        <v>1211</v>
      </c>
      <c r="G2826" s="130"/>
      <c r="H2826" s="10">
        <v>2500</v>
      </c>
      <c r="I2826" s="10"/>
      <c r="J2826" s="79" t="e">
        <f t="shared" si="185"/>
        <v>#VALUE!</v>
      </c>
      <c r="K2826" s="106"/>
      <c r="L2826" s="141"/>
      <c r="M2826" s="132"/>
      <c r="N2826" s="133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spans="1:24" ht="14.25" customHeight="1">
      <c r="A2827" s="4"/>
      <c r="B2827" s="125">
        <v>46175</v>
      </c>
      <c r="C2827" s="126" t="s">
        <v>1210</v>
      </c>
      <c r="D2827" s="68" t="s">
        <v>158</v>
      </c>
      <c r="E2827" s="10" t="str">
        <f>TRIM(VLOOKUP(D2827,TB!$B$9:$C$1500,2,FALSE))</f>
        <v>Mandiri TBB IDR</v>
      </c>
      <c r="F2827" s="142" t="s">
        <v>1211</v>
      </c>
      <c r="G2827" s="130"/>
      <c r="H2827" s="10"/>
      <c r="I2827" s="10">
        <v>2222500</v>
      </c>
      <c r="J2827" s="79" t="e">
        <f t="shared" si="185"/>
        <v>#VALUE!</v>
      </c>
      <c r="K2827" s="106"/>
      <c r="L2827" s="141"/>
      <c r="M2827" s="132"/>
      <c r="N2827" s="133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spans="1:24" ht="14.25" customHeight="1">
      <c r="A2828" s="4"/>
      <c r="B2828" s="125"/>
      <c r="C2828" s="126"/>
      <c r="D2828" s="159"/>
      <c r="E2828" s="10" t="e">
        <f>TRIM(VLOOKUP(D2828,TB!$B$9:$C$1500,2,FALSE))</f>
        <v>#N/A</v>
      </c>
      <c r="F2828" s="142"/>
      <c r="G2828" s="130"/>
      <c r="H2828" s="10"/>
      <c r="I2828" s="10"/>
      <c r="J2828" s="79" t="e">
        <f t="shared" si="185"/>
        <v>#VALUE!</v>
      </c>
      <c r="K2828" s="106"/>
      <c r="L2828" s="141"/>
      <c r="M2828" s="132"/>
      <c r="N2828" s="133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spans="1:24" ht="14.25" customHeight="1">
      <c r="A2829" s="4"/>
      <c r="B2829" s="125">
        <v>46175</v>
      </c>
      <c r="C2829" s="126" t="s">
        <v>1212</v>
      </c>
      <c r="D2829" s="15" t="s">
        <v>1213</v>
      </c>
      <c r="E2829" s="10" t="str">
        <f>TRIM(VLOOKUP(D2829,TB!$B$9:$C$1500,2,FALSE))</f>
        <v>Jamsostek Payable</v>
      </c>
      <c r="F2829" s="142" t="s">
        <v>1214</v>
      </c>
      <c r="G2829" s="130"/>
      <c r="H2829" s="10">
        <v>35166758</v>
      </c>
      <c r="I2829" s="10"/>
      <c r="J2829" s="79" t="e">
        <f t="shared" si="185"/>
        <v>#VALUE!</v>
      </c>
      <c r="K2829" s="106"/>
      <c r="L2829" s="141"/>
      <c r="M2829" s="132"/>
      <c r="N2829" s="133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spans="1:24" ht="14.25" customHeight="1">
      <c r="A2830" s="4"/>
      <c r="B2830" s="125">
        <v>46175</v>
      </c>
      <c r="C2830" s="126" t="s">
        <v>1212</v>
      </c>
      <c r="D2830" s="68" t="s">
        <v>175</v>
      </c>
      <c r="E2830" s="10" t="str">
        <f>TRIM(VLOOKUP(D2830,TB!$B$9:$C$1500,2,FALSE))</f>
        <v>Intercompany Receivable – Treasury StarPOINTS</v>
      </c>
      <c r="F2830" s="142" t="s">
        <v>1215</v>
      </c>
      <c r="G2830" s="130"/>
      <c r="H2830" s="10">
        <v>11299619</v>
      </c>
      <c r="I2830" s="10"/>
      <c r="J2830" s="79" t="e">
        <f t="shared" si="185"/>
        <v>#VALUE!</v>
      </c>
      <c r="K2830" s="106"/>
      <c r="L2830" s="141"/>
      <c r="M2830" s="132"/>
      <c r="N2830" s="133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spans="1:24" ht="14.25" customHeight="1">
      <c r="A2831" s="4"/>
      <c r="B2831" s="125">
        <v>46175</v>
      </c>
      <c r="C2831" s="126" t="s">
        <v>1212</v>
      </c>
      <c r="D2831" s="15" t="s">
        <v>1216</v>
      </c>
      <c r="E2831" s="10" t="str">
        <f>TRIM(VLOOKUP(D2831,TB!$B$9:$C$1500,2,FALSE))</f>
        <v>Others Expenses Others</v>
      </c>
      <c r="F2831" s="142" t="s">
        <v>1217</v>
      </c>
      <c r="G2831" s="130"/>
      <c r="H2831" s="10">
        <v>2430577</v>
      </c>
      <c r="I2831" s="10"/>
      <c r="J2831" s="79" t="e">
        <f t="shared" ref="J2831:J3085" si="186">J2830+H2831-I2831</f>
        <v>#VALUE!</v>
      </c>
      <c r="K2831" s="106"/>
      <c r="L2831" s="141"/>
      <c r="M2831" s="132"/>
      <c r="N2831" s="133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spans="1:24" ht="14.25" customHeight="1">
      <c r="A2832" s="4"/>
      <c r="B2832" s="125">
        <v>46175</v>
      </c>
      <c r="C2832" s="126" t="s">
        <v>1212</v>
      </c>
      <c r="D2832" s="68" t="s">
        <v>158</v>
      </c>
      <c r="E2832" s="10" t="str">
        <f>TRIM(VLOOKUP(D2832,TB!$B$9:$C$1500,2,FALSE))</f>
        <v>Mandiri TBB IDR</v>
      </c>
      <c r="F2832" s="142" t="s">
        <v>1217</v>
      </c>
      <c r="G2832" s="130"/>
      <c r="H2832" s="10"/>
      <c r="I2832" s="10">
        <v>48896954</v>
      </c>
      <c r="J2832" s="79" t="e">
        <f t="shared" si="186"/>
        <v>#VALUE!</v>
      </c>
      <c r="K2832" s="106"/>
      <c r="L2832" s="141"/>
      <c r="M2832" s="132"/>
      <c r="N2832" s="133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spans="1:24" ht="14.25" customHeight="1">
      <c r="A2833" s="4"/>
      <c r="B2833" s="125"/>
      <c r="C2833" s="126"/>
      <c r="D2833" s="159"/>
      <c r="E2833" s="10" t="e">
        <f>TRIM(VLOOKUP(D2833,TB!$B$9:$C$1500,2,FALSE))</f>
        <v>#N/A</v>
      </c>
      <c r="F2833" s="142"/>
      <c r="G2833" s="130"/>
      <c r="H2833" s="10"/>
      <c r="I2833" s="10"/>
      <c r="J2833" s="79" t="e">
        <f t="shared" si="186"/>
        <v>#VALUE!</v>
      </c>
      <c r="K2833" s="106"/>
      <c r="L2833" s="141"/>
      <c r="M2833" s="132"/>
      <c r="N2833" s="133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spans="1:24" ht="14.25" customHeight="1">
      <c r="A2834" s="4"/>
      <c r="B2834" s="125">
        <v>46175</v>
      </c>
      <c r="C2834" s="126" t="s">
        <v>1218</v>
      </c>
      <c r="D2834" s="68" t="s">
        <v>1219</v>
      </c>
      <c r="E2834" s="10" t="str">
        <f>TRIM(VLOOKUP(D2834,TB!$B$9:$C$1500,2,FALSE))</f>
        <v>Prepaid Building and Land rental</v>
      </c>
      <c r="F2834" s="142" t="s">
        <v>1220</v>
      </c>
      <c r="G2834" s="130"/>
      <c r="H2834" s="10">
        <v>50000000</v>
      </c>
      <c r="I2834" s="10"/>
      <c r="J2834" s="79" t="e">
        <f t="shared" si="186"/>
        <v>#VALUE!</v>
      </c>
      <c r="K2834" s="106"/>
      <c r="L2834" s="141"/>
      <c r="M2834" s="132"/>
      <c r="N2834" s="133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spans="1:24" ht="14.25" customHeight="1">
      <c r="A2835" s="4"/>
      <c r="B2835" s="125">
        <v>46175</v>
      </c>
      <c r="C2835" s="126" t="s">
        <v>1218</v>
      </c>
      <c r="D2835" s="15" t="s">
        <v>124</v>
      </c>
      <c r="E2835" s="10" t="str">
        <f>TRIM(VLOOKUP(D2835,TB!$B$9:$C$1500,2,FALSE))</f>
        <v>Bank charges</v>
      </c>
      <c r="F2835" s="142" t="s">
        <v>1220</v>
      </c>
      <c r="G2835" s="130"/>
      <c r="H2835" s="10">
        <v>6500</v>
      </c>
      <c r="I2835" s="10"/>
      <c r="J2835" s="79" t="e">
        <f t="shared" si="186"/>
        <v>#VALUE!</v>
      </c>
      <c r="K2835" s="106"/>
      <c r="L2835" s="141"/>
      <c r="M2835" s="132"/>
      <c r="N2835" s="133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spans="1:24" ht="14.25" customHeight="1">
      <c r="A2836" s="4"/>
      <c r="B2836" s="125">
        <v>46175</v>
      </c>
      <c r="C2836" s="126" t="s">
        <v>1218</v>
      </c>
      <c r="D2836" s="68" t="s">
        <v>158</v>
      </c>
      <c r="E2836" s="10" t="str">
        <f>TRIM(VLOOKUP(D2836,TB!$B$9:$C$1500,2,FALSE))</f>
        <v>Mandiri TBB IDR</v>
      </c>
      <c r="F2836" s="142" t="s">
        <v>1220</v>
      </c>
      <c r="G2836" s="130"/>
      <c r="H2836" s="10"/>
      <c r="I2836" s="10">
        <v>50006500</v>
      </c>
      <c r="J2836" s="79" t="e">
        <f t="shared" si="186"/>
        <v>#VALUE!</v>
      </c>
      <c r="K2836" s="106"/>
      <c r="L2836" s="141"/>
      <c r="M2836" s="132"/>
      <c r="N2836" s="133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spans="1:24" ht="14.25" customHeight="1">
      <c r="A2837" s="4"/>
      <c r="B2837" s="125"/>
      <c r="C2837" s="126"/>
      <c r="D2837" s="159"/>
      <c r="E2837" s="10" t="e">
        <f>TRIM(VLOOKUP(D2837,TB!$B$9:$C$1500,2,FALSE))</f>
        <v>#N/A</v>
      </c>
      <c r="F2837" s="142"/>
      <c r="G2837" s="130"/>
      <c r="H2837" s="10"/>
      <c r="I2837" s="10"/>
      <c r="J2837" s="79" t="e">
        <f t="shared" si="186"/>
        <v>#VALUE!</v>
      </c>
      <c r="K2837" s="106"/>
      <c r="L2837" s="141"/>
      <c r="M2837" s="132"/>
      <c r="N2837" s="133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spans="1:24" ht="14.25" customHeight="1">
      <c r="A2838" s="4"/>
      <c r="B2838" s="125">
        <v>46175</v>
      </c>
      <c r="C2838" s="126" t="s">
        <v>1221</v>
      </c>
      <c r="D2838" s="68" t="s">
        <v>229</v>
      </c>
      <c r="E2838" s="10" t="str">
        <f>TRIM(VLOOKUP(D2838,TB!$B$9:$C$1500,2,FALSE))</f>
        <v>Mandiri TBB USD</v>
      </c>
      <c r="F2838" s="142" t="s">
        <v>1222</v>
      </c>
      <c r="G2838" s="130"/>
      <c r="H2838" s="10">
        <v>45500000</v>
      </c>
      <c r="I2838" s="10"/>
      <c r="J2838" s="79" t="e">
        <f t="shared" si="186"/>
        <v>#VALUE!</v>
      </c>
      <c r="K2838" s="106"/>
      <c r="L2838" s="141"/>
      <c r="M2838" s="132"/>
      <c r="N2838" s="133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spans="1:24" ht="14.25" customHeight="1">
      <c r="A2839" s="4"/>
      <c r="B2839" s="125">
        <v>46175</v>
      </c>
      <c r="C2839" s="126" t="s">
        <v>1221</v>
      </c>
      <c r="D2839" s="68" t="s">
        <v>158</v>
      </c>
      <c r="E2839" s="10" t="str">
        <f>TRIM(VLOOKUP(D2839,TB!$B$9:$C$1500,2,FALSE))</f>
        <v>Mandiri TBB IDR</v>
      </c>
      <c r="F2839" s="142" t="s">
        <v>1222</v>
      </c>
      <c r="G2839" s="130"/>
      <c r="H2839" s="10"/>
      <c r="I2839" s="10">
        <v>45500000</v>
      </c>
      <c r="J2839" s="79" t="e">
        <f t="shared" si="186"/>
        <v>#VALUE!</v>
      </c>
      <c r="K2839" s="106"/>
      <c r="L2839" s="141"/>
      <c r="M2839" s="132"/>
      <c r="N2839" s="133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spans="1:24" ht="14.25" customHeight="1">
      <c r="A2840" s="4"/>
      <c r="B2840" s="125"/>
      <c r="C2840" s="126"/>
      <c r="D2840" s="159"/>
      <c r="E2840" s="10" t="e">
        <f>TRIM(VLOOKUP(D2840,TB!$B$9:$C$1500,2,FALSE))</f>
        <v>#N/A</v>
      </c>
      <c r="F2840" s="142"/>
      <c r="G2840" s="130"/>
      <c r="H2840" s="10"/>
      <c r="I2840" s="10"/>
      <c r="J2840" s="79" t="e">
        <f t="shared" si="186"/>
        <v>#VALUE!</v>
      </c>
      <c r="K2840" s="106"/>
      <c r="L2840" s="141"/>
      <c r="M2840" s="132"/>
      <c r="N2840" s="133"/>
      <c r="O2840" s="4"/>
      <c r="P2840" s="4"/>
      <c r="Q2840" s="4"/>
      <c r="R2840" s="4"/>
      <c r="S2840" s="4"/>
      <c r="T2840" s="4"/>
      <c r="U2840" s="4"/>
      <c r="V2840" s="4"/>
      <c r="W2840" s="4"/>
      <c r="X2840" s="4"/>
    </row>
    <row r="2841" spans="1:24" ht="14.25" customHeight="1">
      <c r="A2841" s="4"/>
      <c r="B2841" s="125">
        <v>46175</v>
      </c>
      <c r="C2841" s="126" t="s">
        <v>1223</v>
      </c>
      <c r="D2841" s="15" t="s">
        <v>815</v>
      </c>
      <c r="E2841" s="10" t="str">
        <f>TRIM(VLOOKUP(D2841,TB!$B$9:$C$1500,2,FALSE))</f>
        <v>Other staff expenses</v>
      </c>
      <c r="F2841" s="142" t="s">
        <v>1224</v>
      </c>
      <c r="G2841" s="130"/>
      <c r="H2841" s="10">
        <v>280500</v>
      </c>
      <c r="I2841" s="10"/>
      <c r="J2841" s="79" t="e">
        <f t="shared" si="186"/>
        <v>#VALUE!</v>
      </c>
      <c r="K2841" s="106"/>
      <c r="L2841" s="141"/>
      <c r="M2841" s="132"/>
      <c r="N2841" s="133"/>
      <c r="O2841" s="4"/>
      <c r="P2841" s="4"/>
      <c r="Q2841" s="4"/>
      <c r="R2841" s="4"/>
      <c r="S2841" s="4"/>
      <c r="T2841" s="4"/>
      <c r="U2841" s="4"/>
      <c r="V2841" s="4"/>
      <c r="W2841" s="4"/>
      <c r="X2841" s="4"/>
    </row>
    <row r="2842" spans="1:24" ht="14.25" customHeight="1">
      <c r="A2842" s="4"/>
      <c r="B2842" s="125">
        <v>46175</v>
      </c>
      <c r="C2842" s="126" t="s">
        <v>1223</v>
      </c>
      <c r="D2842" s="68" t="s">
        <v>158</v>
      </c>
      <c r="E2842" s="10" t="str">
        <f>TRIM(VLOOKUP(D2842,TB!$B$9:$C$1500,2,FALSE))</f>
        <v>Mandiri TBB IDR</v>
      </c>
      <c r="F2842" s="142" t="s">
        <v>1224</v>
      </c>
      <c r="G2842" s="130"/>
      <c r="H2842" s="10"/>
      <c r="I2842" s="10">
        <v>280500</v>
      </c>
      <c r="J2842" s="79" t="e">
        <f t="shared" si="186"/>
        <v>#VALUE!</v>
      </c>
      <c r="K2842" s="106"/>
      <c r="L2842" s="141"/>
      <c r="M2842" s="132"/>
      <c r="N2842" s="133"/>
      <c r="O2842" s="4"/>
      <c r="P2842" s="4"/>
      <c r="Q2842" s="4"/>
      <c r="R2842" s="4"/>
      <c r="S2842" s="4"/>
      <c r="T2842" s="4"/>
      <c r="U2842" s="4"/>
      <c r="V2842" s="4"/>
      <c r="W2842" s="4"/>
      <c r="X2842" s="4"/>
    </row>
    <row r="2843" spans="1:24" ht="14.25" customHeight="1">
      <c r="A2843" s="4"/>
      <c r="B2843" s="125"/>
      <c r="C2843" s="126"/>
      <c r="D2843" s="159"/>
      <c r="E2843" s="10" t="e">
        <f>TRIM(VLOOKUP(D2843,TB!$B$9:$C$1500,2,FALSE))</f>
        <v>#N/A</v>
      </c>
      <c r="F2843" s="142"/>
      <c r="G2843" s="130"/>
      <c r="H2843" s="10"/>
      <c r="I2843" s="10"/>
      <c r="J2843" s="79" t="e">
        <f t="shared" si="186"/>
        <v>#VALUE!</v>
      </c>
      <c r="K2843" s="106"/>
      <c r="L2843" s="141"/>
      <c r="M2843" s="132"/>
      <c r="N2843" s="133"/>
      <c r="O2843" s="4"/>
      <c r="P2843" s="4"/>
      <c r="Q2843" s="4"/>
      <c r="R2843" s="4"/>
      <c r="S2843" s="4"/>
      <c r="T2843" s="4"/>
      <c r="U2843" s="4"/>
      <c r="V2843" s="4"/>
      <c r="W2843" s="4"/>
      <c r="X2843" s="4"/>
    </row>
    <row r="2844" spans="1:24" ht="14.25" customHeight="1">
      <c r="A2844" s="4"/>
      <c r="B2844" s="125">
        <v>46175</v>
      </c>
      <c r="C2844" s="126" t="s">
        <v>1225</v>
      </c>
      <c r="D2844" s="15" t="s">
        <v>1226</v>
      </c>
      <c r="E2844" s="10" t="str">
        <f>TRIM(VLOOKUP(D2844,TB!$B$9:$C$1500,2,FALSE))</f>
        <v>Enggineering Electrical &amp; plumbing Supplies</v>
      </c>
      <c r="F2844" s="142" t="s">
        <v>1227</v>
      </c>
      <c r="G2844" s="130"/>
      <c r="H2844" s="10">
        <v>650000</v>
      </c>
      <c r="I2844" s="10"/>
      <c r="J2844" s="79" t="e">
        <f t="shared" si="186"/>
        <v>#VALUE!</v>
      </c>
      <c r="K2844" s="106"/>
      <c r="L2844" s="141"/>
      <c r="M2844" s="132"/>
      <c r="N2844" s="133"/>
      <c r="O2844" s="4"/>
      <c r="P2844" s="4"/>
      <c r="Q2844" s="4"/>
      <c r="R2844" s="4"/>
      <c r="S2844" s="4"/>
      <c r="T2844" s="4"/>
      <c r="U2844" s="4"/>
      <c r="V2844" s="4"/>
      <c r="W2844" s="4"/>
      <c r="X2844" s="4"/>
    </row>
    <row r="2845" spans="1:24" ht="14.25" customHeight="1">
      <c r="A2845" s="4"/>
      <c r="B2845" s="125">
        <v>46175</v>
      </c>
      <c r="C2845" s="126" t="s">
        <v>1225</v>
      </c>
      <c r="D2845" s="68" t="s">
        <v>158</v>
      </c>
      <c r="E2845" s="10" t="str">
        <f>TRIM(VLOOKUP(D2845,TB!$B$9:$C$1500,2,FALSE))</f>
        <v>Mandiri TBB IDR</v>
      </c>
      <c r="F2845" s="142" t="s">
        <v>1227</v>
      </c>
      <c r="G2845" s="130"/>
      <c r="H2845" s="10"/>
      <c r="I2845" s="10">
        <v>650000</v>
      </c>
      <c r="J2845" s="79" t="e">
        <f t="shared" si="186"/>
        <v>#VALUE!</v>
      </c>
      <c r="K2845" s="106"/>
      <c r="L2845" s="141"/>
      <c r="M2845" s="132"/>
      <c r="N2845" s="133"/>
      <c r="O2845" s="4"/>
      <c r="P2845" s="4"/>
      <c r="Q2845" s="4"/>
      <c r="R2845" s="4"/>
      <c r="S2845" s="4"/>
      <c r="T2845" s="4"/>
      <c r="U2845" s="4"/>
      <c r="V2845" s="4"/>
      <c r="W2845" s="4"/>
      <c r="X2845" s="4"/>
    </row>
    <row r="2846" spans="1:24" ht="14.25" customHeight="1">
      <c r="A2846" s="4"/>
      <c r="B2846" s="125"/>
      <c r="C2846" s="126"/>
      <c r="D2846" s="159"/>
      <c r="E2846" s="10" t="e">
        <f>TRIM(VLOOKUP(D2846,TB!$B$9:$C$1500,2,FALSE))</f>
        <v>#N/A</v>
      </c>
      <c r="F2846" s="142"/>
      <c r="G2846" s="130"/>
      <c r="H2846" s="10"/>
      <c r="I2846" s="10"/>
      <c r="J2846" s="79" t="e">
        <f t="shared" si="186"/>
        <v>#VALUE!</v>
      </c>
      <c r="K2846" s="106"/>
      <c r="L2846" s="141"/>
      <c r="M2846" s="132"/>
      <c r="N2846" s="133"/>
      <c r="O2846" s="4"/>
      <c r="P2846" s="4"/>
      <c r="Q2846" s="4"/>
      <c r="R2846" s="4"/>
      <c r="S2846" s="4"/>
      <c r="T2846" s="4"/>
      <c r="U2846" s="4"/>
      <c r="V2846" s="4"/>
      <c r="W2846" s="4"/>
      <c r="X2846" s="4"/>
    </row>
    <row r="2847" spans="1:24" ht="14.25" customHeight="1">
      <c r="A2847" s="4"/>
      <c r="B2847" s="125">
        <v>46175</v>
      </c>
      <c r="C2847" s="126" t="s">
        <v>1228</v>
      </c>
      <c r="D2847" s="68" t="s">
        <v>158</v>
      </c>
      <c r="E2847" s="10" t="str">
        <f>TRIM(VLOOKUP(D2847,TB!$B$9:$C$1500,2,FALSE))</f>
        <v>Mandiri TBB IDR</v>
      </c>
      <c r="F2847" s="142" t="s">
        <v>1229</v>
      </c>
      <c r="G2847" s="130"/>
      <c r="H2847" s="155">
        <v>1063000</v>
      </c>
      <c r="I2847" s="10"/>
      <c r="J2847" s="79" t="e">
        <f t="shared" si="186"/>
        <v>#VALUE!</v>
      </c>
      <c r="K2847" s="106"/>
      <c r="L2847" s="141"/>
      <c r="M2847" s="132"/>
      <c r="N2847" s="133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spans="1:24" ht="14.25" customHeight="1">
      <c r="A2848" s="4"/>
      <c r="B2848" s="125">
        <v>46175</v>
      </c>
      <c r="C2848" s="126" t="s">
        <v>1228</v>
      </c>
      <c r="D2848" s="15" t="s">
        <v>140</v>
      </c>
      <c r="E2848" s="10" t="str">
        <f>TRIM(VLOOKUP(D2848,TB!$B$9:$C$1500,2,FALSE))</f>
        <v>Prepaid others</v>
      </c>
      <c r="F2848" s="142" t="s">
        <v>1229</v>
      </c>
      <c r="G2848" s="130"/>
      <c r="H2848" s="10"/>
      <c r="I2848" s="155">
        <v>1063000</v>
      </c>
      <c r="J2848" s="79" t="e">
        <f t="shared" si="186"/>
        <v>#VALUE!</v>
      </c>
      <c r="K2848" s="106"/>
      <c r="L2848" s="141"/>
      <c r="M2848" s="132"/>
      <c r="N2848" s="133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spans="1:24" ht="14.25" customHeight="1">
      <c r="A2849" s="4"/>
      <c r="B2849" s="125"/>
      <c r="C2849" s="126"/>
      <c r="D2849" s="159"/>
      <c r="E2849" s="10" t="e">
        <f>TRIM(VLOOKUP(D2849,TB!$B$9:$C$1500,2,FALSE))</f>
        <v>#N/A</v>
      </c>
      <c r="F2849" s="142"/>
      <c r="G2849" s="130"/>
      <c r="H2849" s="10"/>
      <c r="I2849" s="10"/>
      <c r="J2849" s="79" t="e">
        <f t="shared" si="186"/>
        <v>#VALUE!</v>
      </c>
      <c r="K2849" s="106"/>
      <c r="L2849" s="141"/>
      <c r="M2849" s="132"/>
      <c r="N2849" s="133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spans="1:24" ht="14.25" customHeight="1">
      <c r="A2850" s="4"/>
      <c r="B2850" s="125">
        <v>46176</v>
      </c>
      <c r="C2850" s="126" t="s">
        <v>1230</v>
      </c>
      <c r="D2850" s="68" t="s">
        <v>158</v>
      </c>
      <c r="E2850" s="10" t="str">
        <f>TRIM(VLOOKUP(D2850,TB!$B$9:$C$1500,2,FALSE))</f>
        <v>Mandiri TBB IDR</v>
      </c>
      <c r="F2850" s="142" t="s">
        <v>1231</v>
      </c>
      <c r="G2850" s="130"/>
      <c r="H2850" s="10">
        <f>I2852-H2851</f>
        <v>253837.18</v>
      </c>
      <c r="I2850" s="10"/>
      <c r="J2850" s="79" t="e">
        <f t="shared" si="186"/>
        <v>#VALUE!</v>
      </c>
      <c r="K2850" s="106"/>
      <c r="L2850" s="141"/>
      <c r="M2850" s="132"/>
      <c r="N2850" s="133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spans="1:24" ht="14.25" customHeight="1">
      <c r="A2851" s="4"/>
      <c r="B2851" s="125">
        <v>46176</v>
      </c>
      <c r="C2851" s="126" t="s">
        <v>1230</v>
      </c>
      <c r="D2851" s="15" t="s">
        <v>124</v>
      </c>
      <c r="E2851" s="10" t="str">
        <f>TRIM(VLOOKUP(D2851,TB!$B$9:$C$1500,2,FALSE))</f>
        <v>Bank charges</v>
      </c>
      <c r="F2851" s="142" t="s">
        <v>1231</v>
      </c>
      <c r="G2851" s="130"/>
      <c r="H2851" s="155">
        <v>4652.8200000000006</v>
      </c>
      <c r="I2851" s="10"/>
      <c r="J2851" s="79" t="e">
        <f t="shared" si="186"/>
        <v>#VALUE!</v>
      </c>
      <c r="K2851" s="106"/>
      <c r="L2851" s="141"/>
      <c r="M2851" s="132"/>
      <c r="N2851" s="133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spans="1:24" ht="14.25" customHeight="1">
      <c r="A2852" s="4"/>
      <c r="B2852" s="125">
        <v>46176</v>
      </c>
      <c r="C2852" s="126" t="s">
        <v>1230</v>
      </c>
      <c r="D2852" s="15" t="s">
        <v>48</v>
      </c>
      <c r="E2852" s="10" t="str">
        <f>TRIM(VLOOKUP(D2852,TB!$B$9:$C$1500,2,FALSE))</f>
        <v>Mandiri Card TBB</v>
      </c>
      <c r="F2852" s="142" t="s">
        <v>1231</v>
      </c>
      <c r="G2852" s="130"/>
      <c r="H2852" s="10"/>
      <c r="I2852" s="10">
        <v>258490</v>
      </c>
      <c r="J2852" s="79" t="e">
        <f t="shared" si="186"/>
        <v>#VALUE!</v>
      </c>
      <c r="K2852" s="106"/>
      <c r="L2852" s="141"/>
      <c r="M2852" s="132"/>
      <c r="N2852" s="133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spans="1:24" ht="14.25" customHeight="1">
      <c r="A2853" s="4"/>
      <c r="B2853" s="125"/>
      <c r="C2853" s="126"/>
      <c r="D2853" s="159"/>
      <c r="E2853" s="10" t="e">
        <f>TRIM(VLOOKUP(D2853,TB!$B$9:$C$1500,2,FALSE))</f>
        <v>#N/A</v>
      </c>
      <c r="F2853" s="142"/>
      <c r="G2853" s="130"/>
      <c r="H2853" s="10"/>
      <c r="I2853" s="10"/>
      <c r="J2853" s="79" t="e">
        <f t="shared" si="186"/>
        <v>#VALUE!</v>
      </c>
      <c r="K2853" s="106"/>
      <c r="L2853" s="141"/>
      <c r="M2853" s="132"/>
      <c r="N2853" s="133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spans="1:24" ht="14.25" customHeight="1">
      <c r="A2854" s="4"/>
      <c r="B2854" s="125">
        <v>46176</v>
      </c>
      <c r="C2854" s="126" t="s">
        <v>1232</v>
      </c>
      <c r="D2854" s="68" t="s">
        <v>158</v>
      </c>
      <c r="E2854" s="10" t="str">
        <f>TRIM(VLOOKUP(D2854,TB!$B$9:$C$1500,2,FALSE))</f>
        <v>Mandiri TBB IDR</v>
      </c>
      <c r="F2854" s="142" t="s">
        <v>1233</v>
      </c>
      <c r="G2854" s="130"/>
      <c r="H2854" s="10">
        <f>I2856-H2855</f>
        <v>24008323.890000001</v>
      </c>
      <c r="I2854" s="10"/>
      <c r="J2854" s="79" t="e">
        <f t="shared" si="186"/>
        <v>#VALUE!</v>
      </c>
      <c r="K2854" s="106"/>
      <c r="L2854" s="141"/>
      <c r="M2854" s="132"/>
      <c r="N2854" s="133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spans="1:24" ht="14.25" customHeight="1">
      <c r="A2855" s="4"/>
      <c r="B2855" s="125">
        <v>46176</v>
      </c>
      <c r="C2855" s="126" t="s">
        <v>1232</v>
      </c>
      <c r="D2855" s="15" t="s">
        <v>124</v>
      </c>
      <c r="E2855" s="10" t="str">
        <f>TRIM(VLOOKUP(D2855,TB!$B$9:$C$1500,2,FALSE))</f>
        <v>Bank charges</v>
      </c>
      <c r="F2855" s="142" t="s">
        <v>1233</v>
      </c>
      <c r="G2855" s="130"/>
      <c r="H2855" s="155">
        <v>440071.11000000004</v>
      </c>
      <c r="I2855" s="10"/>
      <c r="J2855" s="79" t="e">
        <f t="shared" si="186"/>
        <v>#VALUE!</v>
      </c>
      <c r="K2855" s="106"/>
      <c r="L2855" s="141"/>
      <c r="M2855" s="132"/>
      <c r="N2855" s="133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spans="1:24" ht="14.25" customHeight="1">
      <c r="A2856" s="4"/>
      <c r="B2856" s="125">
        <v>46176</v>
      </c>
      <c r="C2856" s="126" t="s">
        <v>1232</v>
      </c>
      <c r="D2856" s="15" t="s">
        <v>48</v>
      </c>
      <c r="E2856" s="10" t="str">
        <f>TRIM(VLOOKUP(D2856,TB!$B$9:$C$1500,2,FALSE))</f>
        <v>Mandiri Card TBB</v>
      </c>
      <c r="F2856" s="142" t="s">
        <v>1233</v>
      </c>
      <c r="G2856" s="130"/>
      <c r="H2856" s="10"/>
      <c r="I2856" s="10">
        <v>24448395</v>
      </c>
      <c r="J2856" s="79" t="e">
        <f t="shared" si="186"/>
        <v>#VALUE!</v>
      </c>
      <c r="K2856" s="106"/>
      <c r="L2856" s="141"/>
      <c r="M2856" s="132"/>
      <c r="N2856" s="133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spans="1:24" ht="14.25" customHeight="1">
      <c r="A2857" s="4"/>
      <c r="B2857" s="125"/>
      <c r="C2857" s="126"/>
      <c r="D2857" s="159"/>
      <c r="E2857" s="10" t="e">
        <f>TRIM(VLOOKUP(D2857,TB!$B$9:$C$1500,2,FALSE))</f>
        <v>#N/A</v>
      </c>
      <c r="F2857" s="142"/>
      <c r="G2857" s="130"/>
      <c r="H2857" s="10"/>
      <c r="I2857" s="10"/>
      <c r="J2857" s="79" t="e">
        <f t="shared" si="186"/>
        <v>#VALUE!</v>
      </c>
      <c r="K2857" s="106"/>
      <c r="L2857" s="141"/>
      <c r="M2857" s="132"/>
      <c r="N2857" s="133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spans="1:24" ht="14.25" customHeight="1">
      <c r="A2858" s="4"/>
      <c r="B2858" s="125">
        <v>46176</v>
      </c>
      <c r="C2858" s="126" t="s">
        <v>1234</v>
      </c>
      <c r="D2858" s="68" t="s">
        <v>158</v>
      </c>
      <c r="E2858" s="10" t="str">
        <f>TRIM(VLOOKUP(D2858,TB!$B$9:$C$1500,2,FALSE))</f>
        <v>Mandiri TBB IDR</v>
      </c>
      <c r="F2858" s="142" t="s">
        <v>1235</v>
      </c>
      <c r="G2858" s="130"/>
      <c r="H2858" s="10">
        <f>I2860-H2859</f>
        <v>1409651.18</v>
      </c>
      <c r="I2858" s="10"/>
      <c r="J2858" s="79" t="e">
        <f t="shared" si="186"/>
        <v>#VALUE!</v>
      </c>
      <c r="K2858" s="106"/>
      <c r="L2858" s="141"/>
      <c r="M2858" s="132"/>
      <c r="N2858" s="133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spans="1:24" ht="14.25" customHeight="1">
      <c r="A2859" s="4"/>
      <c r="B2859" s="125">
        <v>46176</v>
      </c>
      <c r="C2859" s="126" t="s">
        <v>1234</v>
      </c>
      <c r="D2859" s="15" t="s">
        <v>124</v>
      </c>
      <c r="E2859" s="10" t="str">
        <f>TRIM(VLOOKUP(D2859,TB!$B$9:$C$1500,2,FALSE))</f>
        <v>Bank charges</v>
      </c>
      <c r="F2859" s="142" t="s">
        <v>1235</v>
      </c>
      <c r="G2859" s="130"/>
      <c r="H2859" s="155">
        <v>25838.820000000003</v>
      </c>
      <c r="I2859" s="10"/>
      <c r="J2859" s="79" t="e">
        <f t="shared" si="186"/>
        <v>#VALUE!</v>
      </c>
      <c r="K2859" s="106"/>
      <c r="L2859" s="141"/>
      <c r="M2859" s="132"/>
      <c r="N2859" s="133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spans="1:24" ht="14.25" customHeight="1">
      <c r="A2860" s="4"/>
      <c r="B2860" s="125">
        <v>46176</v>
      </c>
      <c r="C2860" s="126" t="s">
        <v>1234</v>
      </c>
      <c r="D2860" s="15" t="s">
        <v>48</v>
      </c>
      <c r="E2860" s="10" t="str">
        <f>TRIM(VLOOKUP(D2860,TB!$B$9:$C$1500,2,FALSE))</f>
        <v>Mandiri Card TBB</v>
      </c>
      <c r="F2860" s="142" t="s">
        <v>1235</v>
      </c>
      <c r="G2860" s="130"/>
      <c r="H2860" s="10"/>
      <c r="I2860" s="10">
        <v>1435490</v>
      </c>
      <c r="J2860" s="79" t="e">
        <f t="shared" si="186"/>
        <v>#VALUE!</v>
      </c>
      <c r="K2860" s="106"/>
      <c r="L2860" s="141"/>
      <c r="M2860" s="132"/>
      <c r="N2860" s="133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spans="1:24" ht="14.25" customHeight="1">
      <c r="A2861" s="4"/>
      <c r="B2861" s="125"/>
      <c r="C2861" s="126"/>
      <c r="D2861" s="159"/>
      <c r="E2861" s="10" t="e">
        <f>TRIM(VLOOKUP(D2861,TB!$B$9:$C$1500,2,FALSE))</f>
        <v>#N/A</v>
      </c>
      <c r="F2861" s="142"/>
      <c r="G2861" s="130"/>
      <c r="H2861" s="10"/>
      <c r="I2861" s="10"/>
      <c r="J2861" s="79" t="e">
        <f t="shared" si="186"/>
        <v>#VALUE!</v>
      </c>
      <c r="K2861" s="106"/>
      <c r="L2861" s="141"/>
      <c r="M2861" s="132"/>
      <c r="N2861" s="133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spans="1:24" ht="14.25" customHeight="1">
      <c r="A2862" s="4"/>
      <c r="B2862" s="125">
        <v>46176</v>
      </c>
      <c r="C2862" s="126" t="s">
        <v>1236</v>
      </c>
      <c r="D2862" s="68" t="s">
        <v>158</v>
      </c>
      <c r="E2862" s="10" t="str">
        <f>TRIM(VLOOKUP(D2862,TB!$B$9:$C$1500,2,FALSE))</f>
        <v>Mandiri TBB IDR</v>
      </c>
      <c r="F2862" s="142" t="s">
        <v>1237</v>
      </c>
      <c r="G2862" s="130"/>
      <c r="H2862" s="10">
        <f>I2864-H2863</f>
        <v>2308518.0060000001</v>
      </c>
      <c r="I2862" s="10"/>
      <c r="J2862" s="79" t="e">
        <f t="shared" si="186"/>
        <v>#VALUE!</v>
      </c>
      <c r="K2862" s="106"/>
      <c r="L2862" s="141"/>
      <c r="M2862" s="132"/>
      <c r="N2862" s="133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spans="1:24" ht="14.25" customHeight="1">
      <c r="A2863" s="4"/>
      <c r="B2863" s="125">
        <v>46176</v>
      </c>
      <c r="C2863" s="126" t="s">
        <v>1236</v>
      </c>
      <c r="D2863" s="15" t="s">
        <v>124</v>
      </c>
      <c r="E2863" s="10" t="str">
        <f>TRIM(VLOOKUP(D2863,TB!$B$9:$C$1500,2,FALSE))</f>
        <v>Bank charges</v>
      </c>
      <c r="F2863" s="142" t="s">
        <v>1237</v>
      </c>
      <c r="G2863" s="130"/>
      <c r="H2863" s="155">
        <v>42314.994000000006</v>
      </c>
      <c r="I2863" s="10"/>
      <c r="J2863" s="79" t="e">
        <f t="shared" si="186"/>
        <v>#VALUE!</v>
      </c>
      <c r="K2863" s="106"/>
      <c r="L2863" s="141"/>
      <c r="M2863" s="132"/>
      <c r="N2863" s="133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spans="1:24" ht="14.25" customHeight="1">
      <c r="A2864" s="4"/>
      <c r="B2864" s="125">
        <v>46176</v>
      </c>
      <c r="C2864" s="126" t="s">
        <v>1236</v>
      </c>
      <c r="D2864" s="15" t="s">
        <v>48</v>
      </c>
      <c r="E2864" s="10" t="str">
        <f>TRIM(VLOOKUP(D2864,TB!$B$9:$C$1500,2,FALSE))</f>
        <v>Mandiri Card TBB</v>
      </c>
      <c r="F2864" s="142" t="s">
        <v>1237</v>
      </c>
      <c r="G2864" s="130"/>
      <c r="H2864" s="10"/>
      <c r="I2864" s="10">
        <v>2350833</v>
      </c>
      <c r="J2864" s="79" t="e">
        <f t="shared" si="186"/>
        <v>#VALUE!</v>
      </c>
      <c r="K2864" s="106"/>
      <c r="L2864" s="141"/>
      <c r="M2864" s="132"/>
      <c r="N2864" s="133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spans="1:24" ht="14.25" customHeight="1">
      <c r="A2865" s="4"/>
      <c r="B2865" s="125"/>
      <c r="C2865" s="126"/>
      <c r="D2865" s="159"/>
      <c r="E2865" s="10" t="e">
        <f>TRIM(VLOOKUP(D2865,TB!$B$9:$C$1500,2,FALSE))</f>
        <v>#N/A</v>
      </c>
      <c r="F2865" s="142"/>
      <c r="G2865" s="130"/>
      <c r="H2865" s="10"/>
      <c r="I2865" s="10"/>
      <c r="J2865" s="79" t="e">
        <f t="shared" si="186"/>
        <v>#VALUE!</v>
      </c>
      <c r="K2865" s="106"/>
      <c r="L2865" s="141"/>
      <c r="M2865" s="132"/>
      <c r="N2865" s="133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spans="1:24" ht="14.25" customHeight="1">
      <c r="A2866" s="4"/>
      <c r="B2866" s="125">
        <v>46176</v>
      </c>
      <c r="C2866" s="126" t="s">
        <v>1238</v>
      </c>
      <c r="D2866" s="68" t="s">
        <v>285</v>
      </c>
      <c r="E2866" s="10" t="str">
        <f>TRIM(VLOOKUP(D2866,TB!$B$9:$C$1500,2,FALSE))</f>
        <v>Misc Cash Purchase</v>
      </c>
      <c r="F2866" s="186" t="s">
        <v>1239</v>
      </c>
      <c r="G2866" s="130"/>
      <c r="H2866" s="10">
        <v>405000</v>
      </c>
      <c r="I2866" s="10"/>
      <c r="J2866" s="79" t="e">
        <f t="shared" si="186"/>
        <v>#VALUE!</v>
      </c>
      <c r="K2866" s="106"/>
      <c r="L2866" s="141"/>
      <c r="M2866" s="132"/>
      <c r="N2866" s="133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spans="1:24" ht="14.25" customHeight="1">
      <c r="A2867" s="4"/>
      <c r="B2867" s="125">
        <v>46176</v>
      </c>
      <c r="C2867" s="126" t="s">
        <v>1238</v>
      </c>
      <c r="D2867" s="68" t="s">
        <v>158</v>
      </c>
      <c r="E2867" s="10" t="str">
        <f>TRIM(VLOOKUP(D2867,TB!$B$9:$C$1500,2,FALSE))</f>
        <v>Mandiri TBB IDR</v>
      </c>
      <c r="F2867" s="186" t="s">
        <v>1239</v>
      </c>
      <c r="G2867" s="130"/>
      <c r="H2867" s="10"/>
      <c r="I2867" s="10">
        <v>405000</v>
      </c>
      <c r="J2867" s="79" t="e">
        <f t="shared" si="186"/>
        <v>#VALUE!</v>
      </c>
      <c r="K2867" s="106"/>
      <c r="L2867" s="141"/>
      <c r="M2867" s="132"/>
      <c r="N2867" s="133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spans="1:24" ht="14.25" customHeight="1">
      <c r="A2868" s="4"/>
      <c r="B2868" s="125"/>
      <c r="C2868" s="126"/>
      <c r="D2868" s="159"/>
      <c r="E2868" s="10" t="e">
        <f>TRIM(VLOOKUP(D2868,TB!$B$9:$C$1500,2,FALSE))</f>
        <v>#N/A</v>
      </c>
      <c r="F2868" s="142"/>
      <c r="G2868" s="130"/>
      <c r="H2868" s="10"/>
      <c r="I2868" s="10"/>
      <c r="J2868" s="79" t="e">
        <f t="shared" si="186"/>
        <v>#VALUE!</v>
      </c>
      <c r="K2868" s="106"/>
      <c r="L2868" s="141"/>
      <c r="M2868" s="132"/>
      <c r="N2868" s="133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spans="1:24" ht="14.25" customHeight="1">
      <c r="A2869" s="4"/>
      <c r="B2869" s="125">
        <v>46176</v>
      </c>
      <c r="C2869" s="126" t="s">
        <v>1240</v>
      </c>
      <c r="D2869" s="176" t="s">
        <v>285</v>
      </c>
      <c r="E2869" s="10" t="str">
        <f>TRIM(VLOOKUP(D2869,TB!$B$9:$C$1500,2,FALSE))</f>
        <v>Misc Cash Purchase</v>
      </c>
      <c r="F2869" s="185" t="s">
        <v>1241</v>
      </c>
      <c r="G2869" s="130"/>
      <c r="H2869" s="10">
        <v>2000000</v>
      </c>
      <c r="I2869" s="10"/>
      <c r="J2869" s="79" t="e">
        <f t="shared" si="186"/>
        <v>#VALUE!</v>
      </c>
      <c r="K2869" s="106"/>
      <c r="L2869" s="141"/>
      <c r="M2869" s="132"/>
      <c r="N2869" s="133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spans="1:24" ht="14.25" customHeight="1">
      <c r="A2870" s="4"/>
      <c r="B2870" s="125">
        <v>46176</v>
      </c>
      <c r="C2870" s="126" t="s">
        <v>1240</v>
      </c>
      <c r="D2870" s="68" t="s">
        <v>158</v>
      </c>
      <c r="E2870" s="10" t="str">
        <f>TRIM(VLOOKUP(D2870,TB!$B$9:$C$1500,2,FALSE))</f>
        <v>Mandiri TBB IDR</v>
      </c>
      <c r="F2870" s="185" t="s">
        <v>1241</v>
      </c>
      <c r="G2870" s="130"/>
      <c r="H2870" s="10"/>
      <c r="I2870" s="10">
        <v>2000000</v>
      </c>
      <c r="J2870" s="79" t="e">
        <f t="shared" si="186"/>
        <v>#VALUE!</v>
      </c>
      <c r="K2870" s="106"/>
      <c r="L2870" s="141"/>
      <c r="M2870" s="132"/>
      <c r="N2870" s="133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spans="1:24" ht="14.25" customHeight="1">
      <c r="A2871" s="4"/>
      <c r="B2871" s="125"/>
      <c r="C2871" s="126"/>
      <c r="D2871" s="159"/>
      <c r="E2871" s="10" t="e">
        <f>TRIM(VLOOKUP(D2871,TB!$B$9:$C$1500,2,FALSE))</f>
        <v>#N/A</v>
      </c>
      <c r="F2871" s="142"/>
      <c r="G2871" s="130"/>
      <c r="H2871" s="10"/>
      <c r="I2871" s="10"/>
      <c r="J2871" s="79" t="e">
        <f t="shared" si="186"/>
        <v>#VALUE!</v>
      </c>
      <c r="K2871" s="106"/>
      <c r="L2871" s="141"/>
      <c r="M2871" s="132"/>
      <c r="N2871" s="133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spans="1:24" ht="14.25" customHeight="1">
      <c r="A2872" s="4"/>
      <c r="B2872" s="125">
        <v>46176</v>
      </c>
      <c r="C2872" s="126" t="s">
        <v>1242</v>
      </c>
      <c r="D2872" s="176" t="s">
        <v>285</v>
      </c>
      <c r="E2872" s="10" t="str">
        <f>TRIM(VLOOKUP(D2872,TB!$B$9:$C$1500,2,FALSE))</f>
        <v>Misc Cash Purchase</v>
      </c>
      <c r="F2872" s="185" t="s">
        <v>1243</v>
      </c>
      <c r="G2872" s="130"/>
      <c r="H2872" s="10">
        <v>2000000</v>
      </c>
      <c r="I2872" s="10"/>
      <c r="J2872" s="79" t="e">
        <f t="shared" si="186"/>
        <v>#VALUE!</v>
      </c>
      <c r="K2872" s="106"/>
      <c r="L2872" s="141"/>
      <c r="M2872" s="132"/>
      <c r="N2872" s="133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spans="1:24" ht="14.25" customHeight="1">
      <c r="A2873" s="4"/>
      <c r="B2873" s="125">
        <v>46176</v>
      </c>
      <c r="C2873" s="126" t="s">
        <v>1242</v>
      </c>
      <c r="D2873" s="68" t="s">
        <v>158</v>
      </c>
      <c r="E2873" s="10" t="str">
        <f>TRIM(VLOOKUP(D2873,TB!$B$9:$C$1500,2,FALSE))</f>
        <v>Mandiri TBB IDR</v>
      </c>
      <c r="F2873" s="185" t="s">
        <v>1243</v>
      </c>
      <c r="G2873" s="130"/>
      <c r="H2873" s="10"/>
      <c r="I2873" s="10">
        <v>2000000</v>
      </c>
      <c r="J2873" s="79" t="e">
        <f t="shared" si="186"/>
        <v>#VALUE!</v>
      </c>
      <c r="K2873" s="106"/>
      <c r="L2873" s="141"/>
      <c r="M2873" s="132"/>
      <c r="N2873" s="133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spans="1:24" ht="14.25" customHeight="1">
      <c r="A2874" s="4"/>
      <c r="B2874" s="125"/>
      <c r="C2874" s="126"/>
      <c r="D2874" s="159"/>
      <c r="E2874" s="10" t="e">
        <f>TRIM(VLOOKUP(D2874,TB!$B$9:$C$1500,2,FALSE))</f>
        <v>#N/A</v>
      </c>
      <c r="F2874" s="142"/>
      <c r="G2874" s="130"/>
      <c r="H2874" s="10"/>
      <c r="I2874" s="10"/>
      <c r="J2874" s="79" t="e">
        <f t="shared" si="186"/>
        <v>#VALUE!</v>
      </c>
      <c r="K2874" s="106"/>
      <c r="L2874" s="141"/>
      <c r="M2874" s="132"/>
      <c r="N2874" s="133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spans="1:24" ht="14.25" customHeight="1">
      <c r="A2875" s="4"/>
      <c r="B2875" s="125">
        <v>46176</v>
      </c>
      <c r="C2875" s="126" t="s">
        <v>1244</v>
      </c>
      <c r="D2875" s="176" t="s">
        <v>285</v>
      </c>
      <c r="E2875" s="10" t="str">
        <f>TRIM(VLOOKUP(D2875,TB!$B$9:$C$1500,2,FALSE))</f>
        <v>Misc Cash Purchase</v>
      </c>
      <c r="F2875" s="185" t="s">
        <v>1245</v>
      </c>
      <c r="G2875" s="130"/>
      <c r="H2875" s="10">
        <v>2000000</v>
      </c>
      <c r="I2875" s="10"/>
      <c r="J2875" s="79" t="e">
        <f t="shared" si="186"/>
        <v>#VALUE!</v>
      </c>
      <c r="K2875" s="106"/>
      <c r="L2875" s="141"/>
      <c r="M2875" s="132"/>
      <c r="N2875" s="133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spans="1:24" ht="14.25" customHeight="1">
      <c r="A2876" s="4"/>
      <c r="B2876" s="125">
        <v>46176</v>
      </c>
      <c r="C2876" s="126" t="s">
        <v>1244</v>
      </c>
      <c r="D2876" s="68" t="s">
        <v>158</v>
      </c>
      <c r="E2876" s="10" t="str">
        <f>TRIM(VLOOKUP(D2876,TB!$B$9:$C$1500,2,FALSE))</f>
        <v>Mandiri TBB IDR</v>
      </c>
      <c r="F2876" s="185" t="s">
        <v>1245</v>
      </c>
      <c r="G2876" s="130"/>
      <c r="H2876" s="10"/>
      <c r="I2876" s="10">
        <v>2000000</v>
      </c>
      <c r="J2876" s="79" t="e">
        <f t="shared" si="186"/>
        <v>#VALUE!</v>
      </c>
      <c r="K2876" s="106"/>
      <c r="L2876" s="141"/>
      <c r="M2876" s="132"/>
      <c r="N2876" s="133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spans="1:24" ht="14.25" customHeight="1">
      <c r="A2877" s="4"/>
      <c r="B2877" s="125"/>
      <c r="C2877" s="126"/>
      <c r="D2877" s="159"/>
      <c r="E2877" s="10" t="e">
        <f>TRIM(VLOOKUP(D2877,TB!$B$9:$C$1500,2,FALSE))</f>
        <v>#N/A</v>
      </c>
      <c r="F2877" s="142"/>
      <c r="G2877" s="130"/>
      <c r="H2877" s="10"/>
      <c r="I2877" s="10"/>
      <c r="J2877" s="79" t="e">
        <f t="shared" si="186"/>
        <v>#VALUE!</v>
      </c>
      <c r="K2877" s="106"/>
      <c r="L2877" s="141"/>
      <c r="M2877" s="132"/>
      <c r="N2877" s="133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spans="1:24" ht="14.25" customHeight="1">
      <c r="A2878" s="4"/>
      <c r="B2878" s="125">
        <v>46176</v>
      </c>
      <c r="C2878" s="126" t="s">
        <v>1246</v>
      </c>
      <c r="D2878" s="68" t="s">
        <v>130</v>
      </c>
      <c r="E2878" s="10" t="str">
        <f>TRIM(VLOOKUP(D2878,TB!$B$9:$C$1500,2,FALSE))</f>
        <v>BCA TBB</v>
      </c>
      <c r="F2878" s="142" t="s">
        <v>1247</v>
      </c>
      <c r="G2878" s="130"/>
      <c r="H2878" s="10">
        <v>23500000</v>
      </c>
      <c r="I2878" s="10"/>
      <c r="J2878" s="79" t="e">
        <f t="shared" si="186"/>
        <v>#VALUE!</v>
      </c>
      <c r="K2878" s="106"/>
      <c r="L2878" s="141"/>
      <c r="M2878" s="132"/>
      <c r="N2878" s="133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spans="1:24" ht="14.25" customHeight="1">
      <c r="A2879" s="4"/>
      <c r="B2879" s="125">
        <v>46176</v>
      </c>
      <c r="C2879" s="126" t="s">
        <v>1246</v>
      </c>
      <c r="D2879" s="15" t="s">
        <v>124</v>
      </c>
      <c r="E2879" s="10" t="str">
        <f>TRIM(VLOOKUP(D2879,TB!$B$9:$C$1500,2,FALSE))</f>
        <v>Bank charges</v>
      </c>
      <c r="F2879" s="142" t="s">
        <v>1247</v>
      </c>
      <c r="G2879" s="130"/>
      <c r="H2879" s="10">
        <v>2500</v>
      </c>
      <c r="I2879" s="10"/>
      <c r="J2879" s="79" t="e">
        <f t="shared" si="186"/>
        <v>#VALUE!</v>
      </c>
      <c r="K2879" s="106"/>
      <c r="L2879" s="141"/>
      <c r="M2879" s="132"/>
      <c r="N2879" s="133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spans="1:24" ht="14.25" customHeight="1">
      <c r="A2880" s="4"/>
      <c r="B2880" s="125">
        <v>46176</v>
      </c>
      <c r="C2880" s="126" t="s">
        <v>1246</v>
      </c>
      <c r="D2880" s="68" t="s">
        <v>158</v>
      </c>
      <c r="E2880" s="10" t="str">
        <f>TRIM(VLOOKUP(D2880,TB!$B$9:$C$1500,2,FALSE))</f>
        <v>Mandiri TBB IDR</v>
      </c>
      <c r="F2880" s="142" t="s">
        <v>1247</v>
      </c>
      <c r="G2880" s="130"/>
      <c r="H2880" s="10"/>
      <c r="I2880" s="10">
        <v>23502500</v>
      </c>
      <c r="J2880" s="79" t="e">
        <f t="shared" si="186"/>
        <v>#VALUE!</v>
      </c>
      <c r="K2880" s="106"/>
      <c r="L2880" s="141"/>
      <c r="M2880" s="132"/>
      <c r="N2880" s="133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spans="1:24" ht="14.25" customHeight="1">
      <c r="A2881" s="4"/>
      <c r="B2881" s="125"/>
      <c r="C2881" s="126"/>
      <c r="D2881" s="159"/>
      <c r="E2881" s="10" t="e">
        <f>TRIM(VLOOKUP(D2881,TB!$B$9:$C$1500,2,FALSE))</f>
        <v>#N/A</v>
      </c>
      <c r="F2881" s="142"/>
      <c r="G2881" s="130"/>
      <c r="H2881" s="10"/>
      <c r="I2881" s="10"/>
      <c r="J2881" s="79" t="e">
        <f t="shared" si="186"/>
        <v>#VALUE!</v>
      </c>
      <c r="K2881" s="106"/>
      <c r="L2881" s="141"/>
      <c r="M2881" s="132"/>
      <c r="N2881" s="133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spans="1:24" ht="14.25" customHeight="1">
      <c r="A2882" s="4"/>
      <c r="B2882" s="125">
        <v>46177</v>
      </c>
      <c r="C2882" s="126" t="s">
        <v>1248</v>
      </c>
      <c r="D2882" s="68" t="s">
        <v>158</v>
      </c>
      <c r="E2882" s="10" t="str">
        <f>TRIM(VLOOKUP(D2882,TB!$B$9:$C$1500,2,FALSE))</f>
        <v>Mandiri TBB IDR</v>
      </c>
      <c r="F2882" s="142" t="s">
        <v>1249</v>
      </c>
      <c r="G2882" s="130"/>
      <c r="H2882" s="10">
        <f>I2884-H2883</f>
        <v>23559500.789999999</v>
      </c>
      <c r="I2882" s="10"/>
      <c r="J2882" s="79" t="e">
        <f t="shared" si="186"/>
        <v>#VALUE!</v>
      </c>
      <c r="K2882" s="106"/>
      <c r="L2882" s="141"/>
      <c r="M2882" s="132"/>
      <c r="N2882" s="133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spans="1:24" ht="14.25" customHeight="1">
      <c r="A2883" s="4"/>
      <c r="B2883" s="125">
        <v>46177</v>
      </c>
      <c r="C2883" s="126" t="s">
        <v>1248</v>
      </c>
      <c r="D2883" s="15" t="s">
        <v>124</v>
      </c>
      <c r="E2883" s="10" t="str">
        <f>TRIM(VLOOKUP(D2883,TB!$B$9:$C$1500,2,FALSE))</f>
        <v>Bank charges</v>
      </c>
      <c r="F2883" s="142" t="s">
        <v>1249</v>
      </c>
      <c r="G2883" s="130"/>
      <c r="H2883" s="155">
        <v>431844.21000000008</v>
      </c>
      <c r="I2883" s="10"/>
      <c r="J2883" s="79" t="e">
        <f t="shared" si="186"/>
        <v>#VALUE!</v>
      </c>
      <c r="K2883" s="106"/>
      <c r="L2883" s="141"/>
      <c r="M2883" s="132"/>
      <c r="N2883" s="133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spans="1:24" ht="14.25" customHeight="1">
      <c r="A2884" s="4"/>
      <c r="B2884" s="125">
        <v>46177</v>
      </c>
      <c r="C2884" s="126" t="s">
        <v>1248</v>
      </c>
      <c r="D2884" s="15" t="s">
        <v>48</v>
      </c>
      <c r="E2884" s="10" t="str">
        <f>TRIM(VLOOKUP(D2884,TB!$B$9:$C$1500,2,FALSE))</f>
        <v>Mandiri Card TBB</v>
      </c>
      <c r="F2884" s="142" t="s">
        <v>1249</v>
      </c>
      <c r="G2884" s="130"/>
      <c r="H2884" s="10"/>
      <c r="I2884" s="10">
        <v>23991345</v>
      </c>
      <c r="J2884" s="79" t="e">
        <f t="shared" si="186"/>
        <v>#VALUE!</v>
      </c>
      <c r="K2884" s="106"/>
      <c r="L2884" s="141"/>
      <c r="M2884" s="132"/>
      <c r="N2884" s="133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spans="1:24" ht="14.25" customHeight="1">
      <c r="A2885" s="4"/>
      <c r="B2885" s="125"/>
      <c r="C2885" s="126"/>
      <c r="D2885" s="159"/>
      <c r="E2885" s="10" t="e">
        <f>TRIM(VLOOKUP(D2885,TB!$B$9:$C$1500,2,FALSE))</f>
        <v>#N/A</v>
      </c>
      <c r="F2885" s="142"/>
      <c r="G2885" s="130"/>
      <c r="H2885" s="10"/>
      <c r="I2885" s="10"/>
      <c r="J2885" s="79" t="e">
        <f t="shared" si="186"/>
        <v>#VALUE!</v>
      </c>
      <c r="K2885" s="106"/>
      <c r="L2885" s="141"/>
      <c r="M2885" s="132"/>
      <c r="N2885" s="133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spans="1:24" ht="14.25" customHeight="1">
      <c r="A2886" s="4"/>
      <c r="B2886" s="125">
        <v>46177</v>
      </c>
      <c r="C2886" s="126" t="s">
        <v>1250</v>
      </c>
      <c r="D2886" s="68" t="s">
        <v>158</v>
      </c>
      <c r="E2886" s="10" t="str">
        <f>TRIM(VLOOKUP(D2886,TB!$B$9:$C$1500,2,FALSE))</f>
        <v>Mandiri TBB IDR</v>
      </c>
      <c r="F2886" s="142" t="s">
        <v>1251</v>
      </c>
      <c r="G2886" s="130"/>
      <c r="H2886" s="10">
        <f>I2888-H2887</f>
        <v>1086465.1599999999</v>
      </c>
      <c r="I2886" s="10"/>
      <c r="J2886" s="79" t="e">
        <f t="shared" si="186"/>
        <v>#VALUE!</v>
      </c>
      <c r="K2886" s="106"/>
      <c r="L2886" s="141"/>
      <c r="M2886" s="132"/>
      <c r="N2886" s="133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spans="1:24" ht="14.25" customHeight="1">
      <c r="A2887" s="4"/>
      <c r="B2887" s="125">
        <v>46177</v>
      </c>
      <c r="C2887" s="126" t="s">
        <v>1250</v>
      </c>
      <c r="D2887" s="15" t="s">
        <v>124</v>
      </c>
      <c r="E2887" s="10" t="str">
        <f>TRIM(VLOOKUP(D2887,TB!$B$9:$C$1500,2,FALSE))</f>
        <v>Bank charges</v>
      </c>
      <c r="F2887" s="142" t="s">
        <v>1251</v>
      </c>
      <c r="G2887" s="130"/>
      <c r="H2887" s="155">
        <v>19914.840000000004</v>
      </c>
      <c r="I2887" s="10"/>
      <c r="J2887" s="79" t="e">
        <f t="shared" si="186"/>
        <v>#VALUE!</v>
      </c>
      <c r="K2887" s="106"/>
      <c r="L2887" s="141"/>
      <c r="M2887" s="132"/>
      <c r="N2887" s="133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spans="1:24" ht="14.25" customHeight="1">
      <c r="A2888" s="4"/>
      <c r="B2888" s="125">
        <v>46177</v>
      </c>
      <c r="C2888" s="126" t="s">
        <v>1250</v>
      </c>
      <c r="D2888" s="15" t="s">
        <v>48</v>
      </c>
      <c r="E2888" s="10" t="str">
        <f>TRIM(VLOOKUP(D2888,TB!$B$9:$C$1500,2,FALSE))</f>
        <v>Mandiri Card TBB</v>
      </c>
      <c r="F2888" s="142" t="s">
        <v>1251</v>
      </c>
      <c r="G2888" s="130"/>
      <c r="H2888" s="10"/>
      <c r="I2888" s="155">
        <v>1106380</v>
      </c>
      <c r="J2888" s="79" t="e">
        <f t="shared" si="186"/>
        <v>#VALUE!</v>
      </c>
      <c r="K2888" s="106"/>
      <c r="L2888" s="141"/>
      <c r="M2888" s="132"/>
      <c r="N2888" s="133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spans="1:24" ht="14.25" customHeight="1">
      <c r="A2889" s="4"/>
      <c r="B2889" s="125"/>
      <c r="C2889" s="126"/>
      <c r="D2889" s="159"/>
      <c r="E2889" s="10" t="e">
        <f>TRIM(VLOOKUP(D2889,TB!$B$9:$C$1500,2,FALSE))</f>
        <v>#N/A</v>
      </c>
      <c r="F2889" s="142"/>
      <c r="G2889" s="130"/>
      <c r="H2889" s="10"/>
      <c r="I2889" s="10"/>
      <c r="J2889" s="79" t="e">
        <f t="shared" si="186"/>
        <v>#VALUE!</v>
      </c>
      <c r="K2889" s="106"/>
      <c r="L2889" s="141"/>
      <c r="M2889" s="132"/>
      <c r="N2889" s="133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spans="1:24" ht="14.25" customHeight="1">
      <c r="A2890" s="4"/>
      <c r="B2890" s="125">
        <v>46177</v>
      </c>
      <c r="C2890" s="126" t="s">
        <v>1252</v>
      </c>
      <c r="D2890" s="68" t="s">
        <v>158</v>
      </c>
      <c r="E2890" s="10" t="str">
        <f>TRIM(VLOOKUP(D2890,TB!$B$9:$C$1500,2,FALSE))</f>
        <v>Mandiri TBB IDR</v>
      </c>
      <c r="F2890" s="142" t="s">
        <v>1253</v>
      </c>
      <c r="G2890" s="130"/>
      <c r="H2890" s="10">
        <f>I2892-H2891</f>
        <v>14794155.041999999</v>
      </c>
      <c r="I2890" s="10"/>
      <c r="J2890" s="79" t="e">
        <f t="shared" si="186"/>
        <v>#VALUE!</v>
      </c>
      <c r="K2890" s="106"/>
      <c r="L2890" s="141"/>
      <c r="M2890" s="132"/>
      <c r="N2890" s="133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spans="1:24" ht="14.25" customHeight="1">
      <c r="A2891" s="4"/>
      <c r="B2891" s="125">
        <v>46177</v>
      </c>
      <c r="C2891" s="126" t="s">
        <v>1252</v>
      </c>
      <c r="D2891" s="15" t="s">
        <v>124</v>
      </c>
      <c r="E2891" s="10" t="str">
        <f>TRIM(VLOOKUP(D2891,TB!$B$9:$C$1500,2,FALSE))</f>
        <v>Bank charges</v>
      </c>
      <c r="F2891" s="142" t="s">
        <v>1253</v>
      </c>
      <c r="G2891" s="130"/>
      <c r="H2891" s="155">
        <v>271175.95800000004</v>
      </c>
      <c r="I2891" s="10"/>
      <c r="J2891" s="79" t="e">
        <f t="shared" si="186"/>
        <v>#VALUE!</v>
      </c>
      <c r="K2891" s="106"/>
      <c r="L2891" s="141"/>
      <c r="M2891" s="132"/>
      <c r="N2891" s="133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spans="1:24" ht="14.25" customHeight="1">
      <c r="A2892" s="4"/>
      <c r="B2892" s="125">
        <v>46177</v>
      </c>
      <c r="C2892" s="126" t="s">
        <v>1252</v>
      </c>
      <c r="D2892" s="15" t="s">
        <v>48</v>
      </c>
      <c r="E2892" s="10" t="str">
        <f>TRIM(VLOOKUP(D2892,TB!$B$9:$C$1500,2,FALSE))</f>
        <v>Mandiri Card TBB</v>
      </c>
      <c r="F2892" s="142" t="s">
        <v>1253</v>
      </c>
      <c r="G2892" s="130"/>
      <c r="H2892" s="10"/>
      <c r="I2892" s="155">
        <v>15065331</v>
      </c>
      <c r="J2892" s="79" t="e">
        <f t="shared" si="186"/>
        <v>#VALUE!</v>
      </c>
      <c r="K2892" s="106"/>
      <c r="L2892" s="141"/>
      <c r="M2892" s="132"/>
      <c r="N2892" s="133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spans="1:24" ht="14.25" customHeight="1">
      <c r="A2893" s="4"/>
      <c r="B2893" s="125"/>
      <c r="C2893" s="126"/>
      <c r="D2893" s="159"/>
      <c r="E2893" s="10" t="e">
        <f>TRIM(VLOOKUP(D2893,TB!$B$9:$C$1500,2,FALSE))</f>
        <v>#N/A</v>
      </c>
      <c r="F2893" s="142"/>
      <c r="G2893" s="130"/>
      <c r="H2893" s="10"/>
      <c r="I2893" s="10"/>
      <c r="J2893" s="79" t="e">
        <f t="shared" si="186"/>
        <v>#VALUE!</v>
      </c>
      <c r="K2893" s="106"/>
      <c r="L2893" s="141"/>
      <c r="M2893" s="132"/>
      <c r="N2893" s="133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spans="1:24" ht="14.25" customHeight="1">
      <c r="A2894" s="4"/>
      <c r="B2894" s="125">
        <v>46177</v>
      </c>
      <c r="C2894" s="126" t="s">
        <v>1254</v>
      </c>
      <c r="D2894" s="176" t="s">
        <v>285</v>
      </c>
      <c r="E2894" s="10" t="str">
        <f>TRIM(VLOOKUP(D2894,TB!$B$9:$C$1500,2,FALSE))</f>
        <v>Misc Cash Purchase</v>
      </c>
      <c r="F2894" s="186" t="s">
        <v>1255</v>
      </c>
      <c r="G2894" s="130"/>
      <c r="H2894" s="10">
        <v>140000</v>
      </c>
      <c r="I2894" s="10"/>
      <c r="J2894" s="79" t="e">
        <f t="shared" si="186"/>
        <v>#VALUE!</v>
      </c>
      <c r="K2894" s="106"/>
      <c r="L2894" s="141"/>
      <c r="M2894" s="132"/>
      <c r="N2894" s="133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spans="1:24" ht="14.25" customHeight="1">
      <c r="A2895" s="4"/>
      <c r="B2895" s="125">
        <v>46177</v>
      </c>
      <c r="C2895" s="126" t="s">
        <v>1254</v>
      </c>
      <c r="D2895" s="68" t="s">
        <v>158</v>
      </c>
      <c r="E2895" s="10" t="str">
        <f>TRIM(VLOOKUP(D2895,TB!$B$9:$C$1500,2,FALSE))</f>
        <v>Mandiri TBB IDR</v>
      </c>
      <c r="F2895" s="186" t="s">
        <v>1255</v>
      </c>
      <c r="G2895" s="130"/>
      <c r="H2895" s="10"/>
      <c r="I2895" s="10">
        <v>140000</v>
      </c>
      <c r="J2895" s="79" t="e">
        <f t="shared" si="186"/>
        <v>#VALUE!</v>
      </c>
      <c r="K2895" s="106"/>
      <c r="L2895" s="141"/>
      <c r="M2895" s="132"/>
      <c r="N2895" s="133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spans="1:24" ht="14.25" customHeight="1">
      <c r="A2896" s="4"/>
      <c r="B2896" s="125"/>
      <c r="C2896" s="126"/>
      <c r="D2896" s="159"/>
      <c r="E2896" s="10" t="e">
        <f>TRIM(VLOOKUP(D2896,TB!$B$9:$C$1500,2,FALSE))</f>
        <v>#N/A</v>
      </c>
      <c r="F2896" s="142"/>
      <c r="G2896" s="130"/>
      <c r="H2896" s="10"/>
      <c r="I2896" s="10"/>
      <c r="J2896" s="79" t="e">
        <f t="shared" si="186"/>
        <v>#VALUE!</v>
      </c>
      <c r="K2896" s="106"/>
      <c r="L2896" s="141"/>
      <c r="M2896" s="132"/>
      <c r="N2896" s="133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spans="1:24" ht="14.25" customHeight="1">
      <c r="A2897" s="4"/>
      <c r="B2897" s="125">
        <v>46177</v>
      </c>
      <c r="C2897" s="126" t="s">
        <v>1256</v>
      </c>
      <c r="D2897" s="176" t="s">
        <v>285</v>
      </c>
      <c r="E2897" s="10" t="str">
        <f>TRIM(VLOOKUP(D2897,TB!$B$9:$C$1500,2,FALSE))</f>
        <v>Misc Cash Purchase</v>
      </c>
      <c r="F2897" s="186" t="s">
        <v>1257</v>
      </c>
      <c r="G2897" s="130"/>
      <c r="H2897" s="10">
        <v>160000</v>
      </c>
      <c r="I2897" s="10"/>
      <c r="J2897" s="79" t="e">
        <f t="shared" si="186"/>
        <v>#VALUE!</v>
      </c>
      <c r="K2897" s="106"/>
      <c r="L2897" s="141"/>
      <c r="M2897" s="132"/>
      <c r="N2897" s="133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spans="1:24" ht="14.25" customHeight="1">
      <c r="A2898" s="4"/>
      <c r="B2898" s="125">
        <v>46177</v>
      </c>
      <c r="C2898" s="126" t="s">
        <v>1256</v>
      </c>
      <c r="D2898" s="15" t="s">
        <v>124</v>
      </c>
      <c r="E2898" s="10" t="str">
        <f>TRIM(VLOOKUP(D2898,TB!$B$9:$C$1500,2,FALSE))</f>
        <v>Bank charges</v>
      </c>
      <c r="F2898" s="186" t="s">
        <v>1257</v>
      </c>
      <c r="G2898" s="130"/>
      <c r="H2898" s="10">
        <v>2500</v>
      </c>
      <c r="I2898" s="10"/>
      <c r="J2898" s="79" t="e">
        <f t="shared" si="186"/>
        <v>#VALUE!</v>
      </c>
      <c r="K2898" s="106"/>
      <c r="L2898" s="141"/>
      <c r="M2898" s="132"/>
      <c r="N2898" s="133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spans="1:24" ht="14.25" customHeight="1">
      <c r="A2899" s="4"/>
      <c r="B2899" s="125">
        <v>46177</v>
      </c>
      <c r="C2899" s="126" t="s">
        <v>1256</v>
      </c>
      <c r="D2899" s="68" t="s">
        <v>158</v>
      </c>
      <c r="E2899" s="10" t="str">
        <f>TRIM(VLOOKUP(D2899,TB!$B$9:$C$1500,2,FALSE))</f>
        <v>Mandiri TBB IDR</v>
      </c>
      <c r="F2899" s="186" t="s">
        <v>1257</v>
      </c>
      <c r="G2899" s="130"/>
      <c r="H2899" s="10"/>
      <c r="I2899" s="10">
        <v>162500</v>
      </c>
      <c r="J2899" s="79" t="e">
        <f t="shared" si="186"/>
        <v>#VALUE!</v>
      </c>
      <c r="K2899" s="106"/>
      <c r="L2899" s="141"/>
      <c r="M2899" s="132"/>
      <c r="N2899" s="133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spans="1:24" ht="14.25" customHeight="1">
      <c r="A2900" s="4"/>
      <c r="B2900" s="125"/>
      <c r="C2900" s="126"/>
      <c r="D2900" s="159"/>
      <c r="E2900" s="10" t="e">
        <f>TRIM(VLOOKUP(D2900,TB!$B$9:$C$1500,2,FALSE))</f>
        <v>#N/A</v>
      </c>
      <c r="F2900" s="142"/>
      <c r="G2900" s="130"/>
      <c r="H2900" s="10"/>
      <c r="I2900" s="10"/>
      <c r="J2900" s="79" t="e">
        <f t="shared" si="186"/>
        <v>#VALUE!</v>
      </c>
      <c r="K2900" s="106"/>
      <c r="L2900" s="141"/>
      <c r="M2900" s="132"/>
      <c r="N2900" s="133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spans="1:24" ht="14.25" customHeight="1">
      <c r="A2901" s="4"/>
      <c r="B2901" s="125">
        <v>46177</v>
      </c>
      <c r="C2901" s="126" t="s">
        <v>1258</v>
      </c>
      <c r="D2901" s="176" t="s">
        <v>285</v>
      </c>
      <c r="E2901" s="10" t="str">
        <f>TRIM(VLOOKUP(D2901,TB!$B$9:$C$1500,2,FALSE))</f>
        <v>Misc Cash Purchase</v>
      </c>
      <c r="F2901" s="186" t="s">
        <v>1259</v>
      </c>
      <c r="G2901" s="130"/>
      <c r="H2901" s="155">
        <v>425000</v>
      </c>
      <c r="I2901" s="10"/>
      <c r="J2901" s="79" t="e">
        <f t="shared" si="186"/>
        <v>#VALUE!</v>
      </c>
      <c r="K2901" s="106"/>
      <c r="L2901" s="141"/>
      <c r="M2901" s="132"/>
      <c r="N2901" s="133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spans="1:24" ht="14.25" customHeight="1">
      <c r="A2902" s="4"/>
      <c r="B2902" s="125">
        <v>46177</v>
      </c>
      <c r="C2902" s="126" t="s">
        <v>1258</v>
      </c>
      <c r="D2902" s="68" t="s">
        <v>158</v>
      </c>
      <c r="E2902" s="10" t="str">
        <f>TRIM(VLOOKUP(D2902,TB!$B$9:$C$1500,2,FALSE))</f>
        <v>Mandiri TBB IDR</v>
      </c>
      <c r="F2902" s="186" t="s">
        <v>1259</v>
      </c>
      <c r="G2902" s="130"/>
      <c r="H2902" s="10"/>
      <c r="I2902" s="155">
        <v>425000</v>
      </c>
      <c r="J2902" s="79" t="e">
        <f t="shared" si="186"/>
        <v>#VALUE!</v>
      </c>
      <c r="K2902" s="106"/>
      <c r="L2902" s="141"/>
      <c r="M2902" s="132"/>
      <c r="N2902" s="133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spans="1:24" ht="14.25" customHeight="1">
      <c r="A2903" s="4"/>
      <c r="B2903" s="125"/>
      <c r="C2903" s="126"/>
      <c r="D2903" s="159"/>
      <c r="E2903" s="10" t="e">
        <f>TRIM(VLOOKUP(D2903,TB!$B$9:$C$1500,2,FALSE))</f>
        <v>#N/A</v>
      </c>
      <c r="F2903" s="186"/>
      <c r="G2903" s="130"/>
      <c r="H2903" s="10"/>
      <c r="I2903" s="10"/>
      <c r="J2903" s="79" t="e">
        <f t="shared" si="186"/>
        <v>#VALUE!</v>
      </c>
      <c r="K2903" s="106"/>
      <c r="L2903" s="141"/>
      <c r="M2903" s="132"/>
      <c r="N2903" s="133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spans="1:24" ht="14.25" customHeight="1">
      <c r="A2904" s="4"/>
      <c r="B2904" s="125">
        <v>46177</v>
      </c>
      <c r="C2904" s="126" t="s">
        <v>1260</v>
      </c>
      <c r="D2904" s="176" t="s">
        <v>285</v>
      </c>
      <c r="E2904" s="10" t="str">
        <f>TRIM(VLOOKUP(D2904,TB!$B$9:$C$1500,2,FALSE))</f>
        <v>Misc Cash Purchase</v>
      </c>
      <c r="F2904" s="186" t="s">
        <v>1261</v>
      </c>
      <c r="G2904" s="130"/>
      <c r="H2904" s="10">
        <v>1720000</v>
      </c>
      <c r="I2904" s="10"/>
      <c r="J2904" s="79" t="e">
        <f t="shared" si="186"/>
        <v>#VALUE!</v>
      </c>
      <c r="K2904" s="106"/>
      <c r="L2904" s="141"/>
      <c r="M2904" s="132"/>
      <c r="N2904" s="133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spans="1:24" ht="14.25" customHeight="1">
      <c r="A2905" s="4"/>
      <c r="B2905" s="125">
        <v>46177</v>
      </c>
      <c r="C2905" s="126" t="s">
        <v>1260</v>
      </c>
      <c r="D2905" s="68" t="s">
        <v>158</v>
      </c>
      <c r="E2905" s="10" t="str">
        <f>TRIM(VLOOKUP(D2905,TB!$B$9:$C$1500,2,FALSE))</f>
        <v>Mandiri TBB IDR</v>
      </c>
      <c r="F2905" s="186" t="s">
        <v>1261</v>
      </c>
      <c r="G2905" s="130"/>
      <c r="H2905" s="10"/>
      <c r="I2905" s="10">
        <v>1720000</v>
      </c>
      <c r="J2905" s="79" t="e">
        <f t="shared" si="186"/>
        <v>#VALUE!</v>
      </c>
      <c r="K2905" s="106"/>
      <c r="L2905" s="141"/>
      <c r="M2905" s="132"/>
      <c r="N2905" s="133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spans="1:24" ht="14.25" customHeight="1">
      <c r="A2906" s="4"/>
      <c r="B2906" s="125"/>
      <c r="C2906" s="126"/>
      <c r="D2906" s="159"/>
      <c r="E2906" s="10" t="e">
        <f>TRIM(VLOOKUP(D2906,TB!$B$9:$C$1500,2,FALSE))</f>
        <v>#N/A</v>
      </c>
      <c r="F2906" s="142"/>
      <c r="G2906" s="130"/>
      <c r="H2906" s="10"/>
      <c r="I2906" s="10"/>
      <c r="J2906" s="79" t="e">
        <f t="shared" si="186"/>
        <v>#VALUE!</v>
      </c>
      <c r="K2906" s="106"/>
      <c r="L2906" s="141"/>
      <c r="M2906" s="132"/>
      <c r="N2906" s="133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spans="1:24" ht="14.25" customHeight="1">
      <c r="A2907" s="4"/>
      <c r="B2907" s="125">
        <v>46177</v>
      </c>
      <c r="C2907" s="126" t="s">
        <v>1262</v>
      </c>
      <c r="D2907" s="176" t="s">
        <v>285</v>
      </c>
      <c r="E2907" s="10" t="str">
        <f>TRIM(VLOOKUP(D2907,TB!$B$9:$C$1500,2,FALSE))</f>
        <v>Misc Cash Purchase</v>
      </c>
      <c r="F2907" s="186" t="s">
        <v>1263</v>
      </c>
      <c r="G2907" s="130"/>
      <c r="H2907" s="10">
        <v>260000</v>
      </c>
      <c r="I2907" s="10"/>
      <c r="J2907" s="79" t="e">
        <f t="shared" si="186"/>
        <v>#VALUE!</v>
      </c>
      <c r="K2907" s="106"/>
      <c r="L2907" s="141"/>
      <c r="M2907" s="132"/>
      <c r="N2907" s="133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spans="1:24" ht="14.25" customHeight="1">
      <c r="A2908" s="4"/>
      <c r="B2908" s="125">
        <v>46177</v>
      </c>
      <c r="C2908" s="126" t="s">
        <v>1262</v>
      </c>
      <c r="D2908" s="68" t="s">
        <v>158</v>
      </c>
      <c r="E2908" s="10" t="str">
        <f>TRIM(VLOOKUP(D2908,TB!$B$9:$C$1500,2,FALSE))</f>
        <v>Mandiri TBB IDR</v>
      </c>
      <c r="F2908" s="186" t="s">
        <v>1263</v>
      </c>
      <c r="G2908" s="130"/>
      <c r="H2908" s="10"/>
      <c r="I2908" s="10">
        <v>260000</v>
      </c>
      <c r="J2908" s="79" t="e">
        <f t="shared" si="186"/>
        <v>#VALUE!</v>
      </c>
      <c r="K2908" s="106"/>
      <c r="L2908" s="141"/>
      <c r="M2908" s="132"/>
      <c r="N2908" s="133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spans="1:24" ht="14.25" customHeight="1">
      <c r="A2909" s="4"/>
      <c r="B2909" s="125"/>
      <c r="C2909" s="126"/>
      <c r="D2909" s="159"/>
      <c r="E2909" s="10" t="e">
        <f>TRIM(VLOOKUP(D2909,TB!$B$9:$C$1500,2,FALSE))</f>
        <v>#N/A</v>
      </c>
      <c r="F2909" s="142"/>
      <c r="G2909" s="130"/>
      <c r="H2909" s="10"/>
      <c r="I2909" s="10"/>
      <c r="J2909" s="79" t="e">
        <f t="shared" si="186"/>
        <v>#VALUE!</v>
      </c>
      <c r="K2909" s="106"/>
      <c r="L2909" s="141"/>
      <c r="M2909" s="132"/>
      <c r="N2909" s="133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spans="1:24" ht="14.25" customHeight="1">
      <c r="A2910" s="4"/>
      <c r="B2910" s="125">
        <v>46177</v>
      </c>
      <c r="C2910" s="126" t="s">
        <v>1264</v>
      </c>
      <c r="D2910" s="176" t="s">
        <v>285</v>
      </c>
      <c r="E2910" s="10" t="str">
        <f>TRIM(VLOOKUP(D2910,TB!$B$9:$C$1500,2,FALSE))</f>
        <v>Misc Cash Purchase</v>
      </c>
      <c r="F2910" s="186" t="s">
        <v>1265</v>
      </c>
      <c r="G2910" s="130"/>
      <c r="H2910" s="10">
        <v>310000</v>
      </c>
      <c r="I2910" s="10"/>
      <c r="J2910" s="79" t="e">
        <f t="shared" si="186"/>
        <v>#VALUE!</v>
      </c>
      <c r="K2910" s="106"/>
      <c r="L2910" s="141"/>
      <c r="M2910" s="132"/>
      <c r="N2910" s="133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spans="1:24" ht="14.25" customHeight="1">
      <c r="A2911" s="4"/>
      <c r="B2911" s="125">
        <v>46177</v>
      </c>
      <c r="C2911" s="126" t="s">
        <v>1264</v>
      </c>
      <c r="D2911" s="68" t="s">
        <v>158</v>
      </c>
      <c r="E2911" s="10" t="str">
        <f>TRIM(VLOOKUP(D2911,TB!$B$9:$C$1500,2,FALSE))</f>
        <v>Mandiri TBB IDR</v>
      </c>
      <c r="F2911" s="186" t="s">
        <v>1265</v>
      </c>
      <c r="G2911" s="130"/>
      <c r="H2911" s="10"/>
      <c r="I2911" s="10">
        <v>310000</v>
      </c>
      <c r="J2911" s="79" t="e">
        <f t="shared" si="186"/>
        <v>#VALUE!</v>
      </c>
      <c r="K2911" s="106"/>
      <c r="L2911" s="141"/>
      <c r="M2911" s="132"/>
      <c r="N2911" s="133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spans="1:24" ht="14.25" customHeight="1">
      <c r="A2912" s="4"/>
      <c r="B2912" s="125"/>
      <c r="C2912" s="126"/>
      <c r="D2912" s="159"/>
      <c r="E2912" s="10" t="e">
        <f>TRIM(VLOOKUP(D2912,TB!$B$9:$C$1500,2,FALSE))</f>
        <v>#N/A</v>
      </c>
      <c r="F2912" s="142"/>
      <c r="G2912" s="130"/>
      <c r="H2912" s="10"/>
      <c r="I2912" s="10"/>
      <c r="J2912" s="79" t="e">
        <f t="shared" si="186"/>
        <v>#VALUE!</v>
      </c>
      <c r="K2912" s="106"/>
      <c r="L2912" s="141"/>
      <c r="M2912" s="132"/>
      <c r="N2912" s="133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spans="1:24" ht="14.25" customHeight="1">
      <c r="A2913" s="4"/>
      <c r="B2913" s="125">
        <v>46177</v>
      </c>
      <c r="C2913" s="126" t="s">
        <v>1266</v>
      </c>
      <c r="D2913" s="176" t="s">
        <v>285</v>
      </c>
      <c r="E2913" s="10" t="str">
        <f>TRIM(VLOOKUP(D2913,TB!$B$9:$C$1500,2,FALSE))</f>
        <v>Misc Cash Purchase</v>
      </c>
      <c r="F2913" s="186" t="s">
        <v>1267</v>
      </c>
      <c r="G2913" s="130"/>
      <c r="H2913" s="10">
        <v>155000</v>
      </c>
      <c r="I2913" s="10"/>
      <c r="J2913" s="79" t="e">
        <f t="shared" si="186"/>
        <v>#VALUE!</v>
      </c>
      <c r="K2913" s="106"/>
      <c r="L2913" s="141"/>
      <c r="M2913" s="132"/>
      <c r="N2913" s="133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spans="1:24" ht="14.25" customHeight="1">
      <c r="A2914" s="4"/>
      <c r="B2914" s="125">
        <v>46177</v>
      </c>
      <c r="C2914" s="126" t="s">
        <v>1266</v>
      </c>
      <c r="D2914" s="68" t="s">
        <v>158</v>
      </c>
      <c r="E2914" s="10" t="str">
        <f>TRIM(VLOOKUP(D2914,TB!$B$9:$C$1500,2,FALSE))</f>
        <v>Mandiri TBB IDR</v>
      </c>
      <c r="F2914" s="186" t="s">
        <v>1267</v>
      </c>
      <c r="G2914" s="130"/>
      <c r="H2914" s="10"/>
      <c r="I2914" s="10">
        <v>155000</v>
      </c>
      <c r="J2914" s="79" t="e">
        <f t="shared" si="186"/>
        <v>#VALUE!</v>
      </c>
      <c r="K2914" s="106"/>
      <c r="L2914" s="141"/>
      <c r="M2914" s="132"/>
      <c r="N2914" s="133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spans="1:24" ht="14.25" customHeight="1">
      <c r="A2915" s="4"/>
      <c r="B2915" s="125"/>
      <c r="C2915" s="126"/>
      <c r="D2915" s="159"/>
      <c r="E2915" s="10" t="e">
        <f>TRIM(VLOOKUP(D2915,TB!$B$9:$C$1500,2,FALSE))</f>
        <v>#N/A</v>
      </c>
      <c r="F2915" s="142"/>
      <c r="G2915" s="130"/>
      <c r="H2915" s="10"/>
      <c r="I2915" s="10"/>
      <c r="J2915" s="79" t="e">
        <f t="shared" si="186"/>
        <v>#VALUE!</v>
      </c>
      <c r="K2915" s="106"/>
      <c r="L2915" s="141"/>
      <c r="M2915" s="132"/>
      <c r="N2915" s="133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spans="1:24" ht="14.25" customHeight="1">
      <c r="A2916" s="4"/>
      <c r="B2916" s="125">
        <v>46177</v>
      </c>
      <c r="C2916" s="126" t="s">
        <v>1268</v>
      </c>
      <c r="D2916" s="176" t="s">
        <v>285</v>
      </c>
      <c r="E2916" s="10" t="str">
        <f>TRIM(VLOOKUP(D2916,TB!$B$9:$C$1500,2,FALSE))</f>
        <v>Misc Cash Purchase</v>
      </c>
      <c r="F2916" s="186" t="s">
        <v>1269</v>
      </c>
      <c r="G2916" s="130"/>
      <c r="H2916" s="10">
        <v>250000</v>
      </c>
      <c r="I2916" s="10"/>
      <c r="J2916" s="79" t="e">
        <f t="shared" si="186"/>
        <v>#VALUE!</v>
      </c>
      <c r="K2916" s="106"/>
      <c r="L2916" s="141"/>
      <c r="M2916" s="132"/>
      <c r="N2916" s="133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spans="1:24" ht="14.25" customHeight="1">
      <c r="A2917" s="4"/>
      <c r="B2917" s="125">
        <v>46177</v>
      </c>
      <c r="C2917" s="126" t="s">
        <v>1268</v>
      </c>
      <c r="D2917" s="68" t="s">
        <v>158</v>
      </c>
      <c r="E2917" s="10" t="str">
        <f>TRIM(VLOOKUP(D2917,TB!$B$9:$C$1500,2,FALSE))</f>
        <v>Mandiri TBB IDR</v>
      </c>
      <c r="F2917" s="186" t="s">
        <v>1269</v>
      </c>
      <c r="G2917" s="130"/>
      <c r="H2917" s="10"/>
      <c r="I2917" s="10">
        <v>250000</v>
      </c>
      <c r="J2917" s="79" t="e">
        <f t="shared" si="186"/>
        <v>#VALUE!</v>
      </c>
      <c r="K2917" s="106"/>
      <c r="L2917" s="141"/>
      <c r="M2917" s="132"/>
      <c r="N2917" s="133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spans="1:24" ht="14.25" customHeight="1">
      <c r="A2918" s="4"/>
      <c r="B2918" s="125"/>
      <c r="C2918" s="126"/>
      <c r="D2918" s="159"/>
      <c r="E2918" s="10" t="e">
        <f>TRIM(VLOOKUP(D2918,TB!$B$9:$C$1500,2,FALSE))</f>
        <v>#N/A</v>
      </c>
      <c r="F2918" s="142"/>
      <c r="G2918" s="130"/>
      <c r="H2918" s="10"/>
      <c r="I2918" s="10"/>
      <c r="J2918" s="79" t="e">
        <f t="shared" si="186"/>
        <v>#VALUE!</v>
      </c>
      <c r="K2918" s="106"/>
      <c r="L2918" s="141"/>
      <c r="M2918" s="132"/>
      <c r="N2918" s="133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spans="1:24" ht="14.25" customHeight="1">
      <c r="A2919" s="4"/>
      <c r="B2919" s="125">
        <v>46177</v>
      </c>
      <c r="C2919" s="126" t="s">
        <v>1270</v>
      </c>
      <c r="D2919" s="68" t="s">
        <v>478</v>
      </c>
      <c r="E2919" s="10" t="str">
        <f>TRIM(VLOOKUP(D2919,TB!$B$9:$C$1500,2,FALSE))</f>
        <v>Intercompany Payable – PT Star Hospitality Bali</v>
      </c>
      <c r="F2919" s="186" t="s">
        <v>1271</v>
      </c>
      <c r="G2919" s="130"/>
      <c r="H2919" s="155">
        <v>6538980.5714285718</v>
      </c>
      <c r="I2919" s="10"/>
      <c r="J2919" s="79" t="e">
        <f t="shared" si="186"/>
        <v>#VALUE!</v>
      </c>
      <c r="K2919" s="106"/>
      <c r="L2919" s="141"/>
      <c r="M2919" s="132"/>
      <c r="N2919" s="133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spans="1:24" ht="14.25" customHeight="1">
      <c r="A2920" s="4"/>
      <c r="B2920" s="125">
        <v>46177</v>
      </c>
      <c r="C2920" s="126" t="s">
        <v>1270</v>
      </c>
      <c r="D2920" s="15" t="s">
        <v>480</v>
      </c>
      <c r="E2920" s="10" t="str">
        <f>TRIM(VLOOKUP(D2920,TB!$B$9:$C$1500,2,FALSE))</f>
        <v>Interest Expenses</v>
      </c>
      <c r="F2920" s="186" t="s">
        <v>1271</v>
      </c>
      <c r="G2920" s="130"/>
      <c r="H2920" s="155">
        <v>1781019.4285714282</v>
      </c>
      <c r="I2920" s="10"/>
      <c r="J2920" s="79" t="e">
        <f t="shared" si="186"/>
        <v>#VALUE!</v>
      </c>
      <c r="K2920" s="106"/>
      <c r="L2920" s="141"/>
      <c r="M2920" s="132"/>
      <c r="N2920" s="133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spans="1:24" ht="14.25" customHeight="1">
      <c r="A2921" s="4"/>
      <c r="B2921" s="125">
        <v>46177</v>
      </c>
      <c r="C2921" s="126" t="s">
        <v>1270</v>
      </c>
      <c r="D2921" s="15" t="s">
        <v>124</v>
      </c>
      <c r="E2921" s="10" t="str">
        <f>TRIM(VLOOKUP(D2921,TB!$B$9:$C$1500,2,FALSE))</f>
        <v>Bank charges</v>
      </c>
      <c r="F2921" s="186" t="s">
        <v>1271</v>
      </c>
      <c r="G2921" s="130"/>
      <c r="H2921" s="10">
        <v>10000</v>
      </c>
      <c r="I2921" s="10"/>
      <c r="J2921" s="79" t="e">
        <f t="shared" si="186"/>
        <v>#VALUE!</v>
      </c>
      <c r="K2921" s="106"/>
      <c r="L2921" s="141"/>
      <c r="M2921" s="132"/>
      <c r="N2921" s="133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spans="1:24" ht="14.25" customHeight="1">
      <c r="A2922" s="4"/>
      <c r="B2922" s="125">
        <v>46177</v>
      </c>
      <c r="C2922" s="126" t="s">
        <v>1270</v>
      </c>
      <c r="D2922" s="15" t="s">
        <v>124</v>
      </c>
      <c r="E2922" s="10" t="str">
        <f>TRIM(VLOOKUP(D2922,TB!$B$9:$C$1500,2,FALSE))</f>
        <v>Bank charges</v>
      </c>
      <c r="F2922" s="186" t="s">
        <v>1271</v>
      </c>
      <c r="G2922" s="130"/>
      <c r="H2922" s="10">
        <v>2500</v>
      </c>
      <c r="I2922" s="10"/>
      <c r="J2922" s="79" t="e">
        <f t="shared" si="186"/>
        <v>#VALUE!</v>
      </c>
      <c r="K2922" s="106"/>
      <c r="L2922" s="141"/>
      <c r="M2922" s="132"/>
      <c r="N2922" s="133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spans="1:24" ht="14.25" customHeight="1">
      <c r="A2923" s="4"/>
      <c r="B2923" s="125">
        <v>46177</v>
      </c>
      <c r="C2923" s="126" t="s">
        <v>1270</v>
      </c>
      <c r="D2923" s="68" t="s">
        <v>158</v>
      </c>
      <c r="E2923" s="10" t="str">
        <f>TRIM(VLOOKUP(D2923,TB!$B$9:$C$1500,2,FALSE))</f>
        <v>Mandiri TBB IDR</v>
      </c>
      <c r="F2923" s="186" t="s">
        <v>1271</v>
      </c>
      <c r="G2923" s="130"/>
      <c r="H2923" s="10"/>
      <c r="I2923" s="10">
        <v>8332500</v>
      </c>
      <c r="J2923" s="79" t="e">
        <f t="shared" si="186"/>
        <v>#VALUE!</v>
      </c>
      <c r="K2923" s="106"/>
      <c r="L2923" s="141"/>
      <c r="M2923" s="132"/>
      <c r="N2923" s="133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spans="1:24" ht="14.25" customHeight="1">
      <c r="A2924" s="4"/>
      <c r="B2924" s="125"/>
      <c r="C2924" s="126"/>
      <c r="D2924" s="159"/>
      <c r="E2924" s="10" t="e">
        <f>TRIM(VLOOKUP(D2924,TB!$B$9:$C$1500,2,FALSE))</f>
        <v>#N/A</v>
      </c>
      <c r="F2924" s="142"/>
      <c r="G2924" s="130"/>
      <c r="H2924" s="10"/>
      <c r="I2924" s="10"/>
      <c r="J2924" s="79" t="e">
        <f t="shared" si="186"/>
        <v>#VALUE!</v>
      </c>
      <c r="K2924" s="106"/>
      <c r="L2924" s="141"/>
      <c r="M2924" s="132"/>
      <c r="N2924" s="133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spans="1:24" ht="14.25" customHeight="1">
      <c r="A2925" s="4"/>
      <c r="B2925" s="125">
        <v>46177</v>
      </c>
      <c r="C2925" s="126" t="s">
        <v>1272</v>
      </c>
      <c r="D2925" s="68" t="s">
        <v>478</v>
      </c>
      <c r="E2925" s="10" t="str">
        <f>TRIM(VLOOKUP(D2925,TB!$B$9:$C$1500,2,FALSE))</f>
        <v>Intercompany Payable – PT Star Hospitality Bali</v>
      </c>
      <c r="F2925" s="142" t="s">
        <v>1273</v>
      </c>
      <c r="G2925" s="130"/>
      <c r="H2925" s="155">
        <v>6281061.7142857146</v>
      </c>
      <c r="I2925" s="10"/>
      <c r="J2925" s="79" t="e">
        <f t="shared" si="186"/>
        <v>#VALUE!</v>
      </c>
      <c r="K2925" s="106"/>
      <c r="L2925" s="141"/>
      <c r="M2925" s="132"/>
      <c r="N2925" s="133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spans="1:24" ht="14.25" customHeight="1">
      <c r="A2926" s="4"/>
      <c r="B2926" s="125">
        <v>46177</v>
      </c>
      <c r="C2926" s="126" t="s">
        <v>1272</v>
      </c>
      <c r="D2926" s="15" t="s">
        <v>480</v>
      </c>
      <c r="E2926" s="10" t="str">
        <f>TRIM(VLOOKUP(D2926,TB!$B$9:$C$1500,2,FALSE))</f>
        <v>Interest Expenses</v>
      </c>
      <c r="F2926" s="142" t="s">
        <v>1273</v>
      </c>
      <c r="G2926" s="130"/>
      <c r="H2926" s="155">
        <v>1528938.2857142854</v>
      </c>
      <c r="I2926" s="10"/>
      <c r="J2926" s="79" t="e">
        <f t="shared" si="186"/>
        <v>#VALUE!</v>
      </c>
      <c r="K2926" s="106"/>
      <c r="L2926" s="141"/>
      <c r="M2926" s="132"/>
      <c r="N2926" s="133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spans="1:24" ht="14.25" customHeight="1">
      <c r="A2927" s="4"/>
      <c r="B2927" s="125">
        <v>46177</v>
      </c>
      <c r="C2927" s="126" t="s">
        <v>1272</v>
      </c>
      <c r="D2927" s="15" t="s">
        <v>124</v>
      </c>
      <c r="E2927" s="10" t="str">
        <f>TRIM(VLOOKUP(D2927,TB!$B$9:$C$1500,2,FALSE))</f>
        <v>Bank charges</v>
      </c>
      <c r="F2927" s="142" t="s">
        <v>1273</v>
      </c>
      <c r="G2927" s="130"/>
      <c r="H2927" s="10">
        <v>2500</v>
      </c>
      <c r="I2927" s="10"/>
      <c r="J2927" s="79" t="e">
        <f t="shared" si="186"/>
        <v>#VALUE!</v>
      </c>
      <c r="K2927" s="106"/>
      <c r="L2927" s="141"/>
      <c r="M2927" s="132"/>
      <c r="N2927" s="133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spans="1:24" ht="14.25" customHeight="1">
      <c r="A2928" s="4"/>
      <c r="B2928" s="125">
        <v>46177</v>
      </c>
      <c r="C2928" s="126" t="s">
        <v>1272</v>
      </c>
      <c r="D2928" s="15" t="s">
        <v>124</v>
      </c>
      <c r="E2928" s="10" t="str">
        <f>TRIM(VLOOKUP(D2928,TB!$B$9:$C$1500,2,FALSE))</f>
        <v>Bank charges</v>
      </c>
      <c r="F2928" s="142" t="s">
        <v>1273</v>
      </c>
      <c r="G2928" s="130"/>
      <c r="H2928" s="10">
        <v>10000</v>
      </c>
      <c r="I2928" s="10"/>
      <c r="J2928" s="79" t="e">
        <f t="shared" si="186"/>
        <v>#VALUE!</v>
      </c>
      <c r="K2928" s="106"/>
      <c r="L2928" s="141"/>
      <c r="M2928" s="132"/>
      <c r="N2928" s="133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spans="1:24" ht="14.25" customHeight="1">
      <c r="A2929" s="4"/>
      <c r="B2929" s="125">
        <v>46177</v>
      </c>
      <c r="C2929" s="126" t="s">
        <v>1272</v>
      </c>
      <c r="D2929" s="68" t="s">
        <v>158</v>
      </c>
      <c r="E2929" s="10" t="str">
        <f>TRIM(VLOOKUP(D2929,TB!$B$9:$C$1500,2,FALSE))</f>
        <v>Mandiri TBB IDR</v>
      </c>
      <c r="F2929" s="142" t="s">
        <v>1273</v>
      </c>
      <c r="G2929" s="130"/>
      <c r="H2929" s="10"/>
      <c r="I2929" s="10">
        <v>7822500</v>
      </c>
      <c r="J2929" s="79" t="e">
        <f t="shared" si="186"/>
        <v>#VALUE!</v>
      </c>
      <c r="K2929" s="106"/>
      <c r="L2929" s="141"/>
      <c r="M2929" s="132"/>
      <c r="N2929" s="133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spans="1:24" ht="14.25" customHeight="1">
      <c r="A2930" s="4"/>
      <c r="B2930" s="125"/>
      <c r="C2930" s="126"/>
      <c r="D2930" s="159"/>
      <c r="E2930" s="10" t="e">
        <f>TRIM(VLOOKUP(D2930,TB!$B$9:$C$1500,2,FALSE))</f>
        <v>#N/A</v>
      </c>
      <c r="F2930" s="142"/>
      <c r="G2930" s="130"/>
      <c r="H2930" s="10"/>
      <c r="I2930" s="10"/>
      <c r="J2930" s="79" t="e">
        <f t="shared" si="186"/>
        <v>#VALUE!</v>
      </c>
      <c r="K2930" s="106"/>
      <c r="L2930" s="141"/>
      <c r="M2930" s="132"/>
      <c r="N2930" s="133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spans="1:24" ht="14.25" customHeight="1">
      <c r="A2931" s="4"/>
      <c r="B2931" s="125">
        <v>46177</v>
      </c>
      <c r="C2931" s="126" t="s">
        <v>1274</v>
      </c>
      <c r="D2931" s="176" t="s">
        <v>285</v>
      </c>
      <c r="E2931" s="10" t="str">
        <f>TRIM(VLOOKUP(D2931,TB!$B$9:$C$1500,2,FALSE))</f>
        <v>Misc Cash Purchase</v>
      </c>
      <c r="F2931" s="142" t="s">
        <v>1275</v>
      </c>
      <c r="G2931" s="130"/>
      <c r="H2931" s="10">
        <v>2230000</v>
      </c>
      <c r="I2931" s="10"/>
      <c r="J2931" s="79" t="e">
        <f t="shared" si="186"/>
        <v>#VALUE!</v>
      </c>
      <c r="K2931" s="106"/>
      <c r="L2931" s="141"/>
      <c r="M2931" s="132"/>
      <c r="N2931" s="133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spans="1:24" ht="14.25" customHeight="1">
      <c r="A2932" s="4"/>
      <c r="B2932" s="125">
        <v>46177</v>
      </c>
      <c r="C2932" s="126" t="s">
        <v>1274</v>
      </c>
      <c r="D2932" s="68" t="s">
        <v>158</v>
      </c>
      <c r="E2932" s="10" t="str">
        <f>TRIM(VLOOKUP(D2932,TB!$B$9:$C$1500,2,FALSE))</f>
        <v>Mandiri TBB IDR</v>
      </c>
      <c r="F2932" s="142" t="s">
        <v>1275</v>
      </c>
      <c r="G2932" s="130"/>
      <c r="H2932" s="10"/>
      <c r="I2932" s="10">
        <v>2230000</v>
      </c>
      <c r="J2932" s="79" t="e">
        <f t="shared" si="186"/>
        <v>#VALUE!</v>
      </c>
      <c r="K2932" s="106"/>
      <c r="L2932" s="141"/>
      <c r="M2932" s="132"/>
      <c r="N2932" s="133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spans="1:24" ht="14.25" customHeight="1">
      <c r="A2933" s="4"/>
      <c r="B2933" s="125"/>
      <c r="C2933" s="126"/>
      <c r="D2933" s="159"/>
      <c r="E2933" s="10" t="e">
        <f>TRIM(VLOOKUP(D2933,TB!$B$9:$C$1500,2,FALSE))</f>
        <v>#N/A</v>
      </c>
      <c r="F2933" s="142"/>
      <c r="G2933" s="130"/>
      <c r="H2933" s="10"/>
      <c r="I2933" s="10"/>
      <c r="J2933" s="79" t="e">
        <f t="shared" si="186"/>
        <v>#VALUE!</v>
      </c>
      <c r="K2933" s="106"/>
      <c r="L2933" s="141"/>
      <c r="M2933" s="132"/>
      <c r="N2933" s="133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spans="1:24" ht="14.25" customHeight="1">
      <c r="A2934" s="4"/>
      <c r="B2934" s="125">
        <v>46177</v>
      </c>
      <c r="C2934" s="126" t="s">
        <v>1276</v>
      </c>
      <c r="D2934" s="15" t="s">
        <v>1208</v>
      </c>
      <c r="E2934" s="10" t="str">
        <f>TRIM(VLOOKUP(D2934,TB!$B$9:$C$1500,2,FALSE))</f>
        <v>Telephone/Interne/Pulsa/Courier &amp; Postage</v>
      </c>
      <c r="F2934" s="142" t="s">
        <v>1277</v>
      </c>
      <c r="G2934" s="130"/>
      <c r="H2934" s="10">
        <v>428016</v>
      </c>
      <c r="I2934" s="10"/>
      <c r="J2934" s="79" t="e">
        <f t="shared" si="186"/>
        <v>#VALUE!</v>
      </c>
      <c r="K2934" s="106"/>
      <c r="L2934" s="141"/>
      <c r="M2934" s="132"/>
      <c r="N2934" s="133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spans="1:24" ht="14.25" customHeight="1">
      <c r="A2935" s="4"/>
      <c r="B2935" s="125">
        <v>46177</v>
      </c>
      <c r="C2935" s="126" t="s">
        <v>1276</v>
      </c>
      <c r="D2935" s="68" t="s">
        <v>158</v>
      </c>
      <c r="E2935" s="10" t="str">
        <f>TRIM(VLOOKUP(D2935,TB!$B$9:$C$1500,2,FALSE))</f>
        <v>Mandiri TBB IDR</v>
      </c>
      <c r="F2935" s="142" t="s">
        <v>1277</v>
      </c>
      <c r="G2935" s="130"/>
      <c r="H2935" s="10"/>
      <c r="I2935" s="10">
        <v>428016</v>
      </c>
      <c r="J2935" s="79" t="e">
        <f t="shared" si="186"/>
        <v>#VALUE!</v>
      </c>
      <c r="K2935" s="106"/>
      <c r="L2935" s="141"/>
      <c r="M2935" s="132"/>
      <c r="N2935" s="133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spans="1:24" ht="14.25" customHeight="1">
      <c r="A2936" s="4"/>
      <c r="B2936" s="125"/>
      <c r="C2936" s="126"/>
      <c r="D2936" s="159"/>
      <c r="E2936" s="10" t="e">
        <f>TRIM(VLOOKUP(D2936,TB!$B$9:$C$1500,2,FALSE))</f>
        <v>#N/A</v>
      </c>
      <c r="F2936" s="142"/>
      <c r="G2936" s="130"/>
      <c r="H2936" s="10"/>
      <c r="I2936" s="10"/>
      <c r="J2936" s="79" t="e">
        <f t="shared" si="186"/>
        <v>#VALUE!</v>
      </c>
      <c r="K2936" s="106"/>
      <c r="L2936" s="141"/>
      <c r="M2936" s="132"/>
      <c r="N2936" s="133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spans="1:24" ht="14.25" customHeight="1">
      <c r="A2937" s="4"/>
      <c r="B2937" s="125">
        <v>46177</v>
      </c>
      <c r="C2937" s="126" t="s">
        <v>1278</v>
      </c>
      <c r="D2937" s="176" t="s">
        <v>285</v>
      </c>
      <c r="E2937" s="10" t="str">
        <f>TRIM(VLOOKUP(D2937,TB!$B$9:$C$1500,2,FALSE))</f>
        <v>Misc Cash Purchase</v>
      </c>
      <c r="F2937" s="142" t="s">
        <v>1279</v>
      </c>
      <c r="G2937" s="130"/>
      <c r="H2937" s="10">
        <v>2000000</v>
      </c>
      <c r="I2937" s="10"/>
      <c r="J2937" s="79" t="e">
        <f t="shared" si="186"/>
        <v>#VALUE!</v>
      </c>
      <c r="K2937" s="106"/>
      <c r="L2937" s="141"/>
      <c r="M2937" s="132"/>
      <c r="N2937" s="133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spans="1:24" ht="14.25" customHeight="1">
      <c r="A2938" s="4"/>
      <c r="B2938" s="125">
        <v>46177</v>
      </c>
      <c r="C2938" s="126" t="s">
        <v>1278</v>
      </c>
      <c r="D2938" s="15" t="s">
        <v>124</v>
      </c>
      <c r="E2938" s="10" t="str">
        <f>TRIM(VLOOKUP(D2938,TB!$B$9:$C$1500,2,FALSE))</f>
        <v>Bank charges</v>
      </c>
      <c r="F2938" s="142" t="s">
        <v>1279</v>
      </c>
      <c r="G2938" s="130"/>
      <c r="H2938" s="10">
        <v>2500</v>
      </c>
      <c r="I2938" s="10"/>
      <c r="J2938" s="79" t="e">
        <f t="shared" si="186"/>
        <v>#VALUE!</v>
      </c>
      <c r="K2938" s="106"/>
      <c r="L2938" s="141"/>
      <c r="M2938" s="132"/>
      <c r="N2938" s="133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spans="1:24" ht="14.25" customHeight="1">
      <c r="A2939" s="4"/>
      <c r="B2939" s="125">
        <v>46177</v>
      </c>
      <c r="C2939" s="126" t="s">
        <v>1278</v>
      </c>
      <c r="D2939" s="68" t="s">
        <v>158</v>
      </c>
      <c r="E2939" s="10" t="str">
        <f>TRIM(VLOOKUP(D2939,TB!$B$9:$C$1500,2,FALSE))</f>
        <v>Mandiri TBB IDR</v>
      </c>
      <c r="F2939" s="142" t="s">
        <v>1279</v>
      </c>
      <c r="G2939" s="130"/>
      <c r="H2939" s="10"/>
      <c r="I2939" s="10">
        <v>2002500</v>
      </c>
      <c r="J2939" s="79" t="e">
        <f t="shared" si="186"/>
        <v>#VALUE!</v>
      </c>
      <c r="K2939" s="106"/>
      <c r="L2939" s="141"/>
      <c r="M2939" s="132"/>
      <c r="N2939" s="133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spans="1:24" ht="14.25" customHeight="1">
      <c r="A2940" s="4"/>
      <c r="B2940" s="125"/>
      <c r="C2940" s="126"/>
      <c r="D2940" s="159"/>
      <c r="E2940" s="10" t="e">
        <f>TRIM(VLOOKUP(D2940,TB!$B$9:$C$1500,2,FALSE))</f>
        <v>#N/A</v>
      </c>
      <c r="F2940" s="142"/>
      <c r="G2940" s="130"/>
      <c r="H2940" s="10"/>
      <c r="I2940" s="10"/>
      <c r="J2940" s="79" t="e">
        <f t="shared" si="186"/>
        <v>#VALUE!</v>
      </c>
      <c r="K2940" s="106"/>
      <c r="L2940" s="141"/>
      <c r="M2940" s="132"/>
      <c r="N2940" s="133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spans="1:24" ht="14.25" customHeight="1">
      <c r="A2941" s="4"/>
      <c r="B2941" s="125">
        <v>46177</v>
      </c>
      <c r="C2941" s="126" t="s">
        <v>1280</v>
      </c>
      <c r="D2941" s="15" t="s">
        <v>124</v>
      </c>
      <c r="E2941" s="10" t="str">
        <f>TRIM(VLOOKUP(D2941,TB!$B$9:$C$1500,2,FALSE))</f>
        <v>Bank charges</v>
      </c>
      <c r="F2941" s="142" t="s">
        <v>1281</v>
      </c>
      <c r="G2941" s="130"/>
      <c r="H2941" s="10">
        <v>3531000</v>
      </c>
      <c r="I2941" s="10"/>
      <c r="J2941" s="79" t="e">
        <f t="shared" si="186"/>
        <v>#VALUE!</v>
      </c>
      <c r="K2941" s="106"/>
      <c r="L2941" s="141"/>
      <c r="M2941" s="132"/>
      <c r="N2941" s="133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spans="1:24" ht="14.25" customHeight="1">
      <c r="A2942" s="4"/>
      <c r="B2942" s="125">
        <v>46177</v>
      </c>
      <c r="C2942" s="126" t="s">
        <v>1280</v>
      </c>
      <c r="D2942" s="15" t="s">
        <v>124</v>
      </c>
      <c r="E2942" s="10" t="str">
        <f>TRIM(VLOOKUP(D2942,TB!$B$9:$C$1500,2,FALSE))</f>
        <v>Bank charges</v>
      </c>
      <c r="F2942" s="142" t="s">
        <v>1281</v>
      </c>
      <c r="G2942" s="130"/>
      <c r="H2942" s="10">
        <v>2500</v>
      </c>
      <c r="I2942" s="10"/>
      <c r="J2942" s="79" t="e">
        <f t="shared" si="186"/>
        <v>#VALUE!</v>
      </c>
      <c r="K2942" s="106"/>
      <c r="L2942" s="141"/>
      <c r="M2942" s="132"/>
      <c r="N2942" s="133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spans="1:24" ht="14.25" customHeight="1">
      <c r="A2943" s="4"/>
      <c r="B2943" s="125">
        <v>46177</v>
      </c>
      <c r="C2943" s="126" t="s">
        <v>1280</v>
      </c>
      <c r="D2943" s="68" t="s">
        <v>158</v>
      </c>
      <c r="E2943" s="10" t="str">
        <f>TRIM(VLOOKUP(D2943,TB!$B$9:$C$1500,2,FALSE))</f>
        <v>Mandiri TBB IDR</v>
      </c>
      <c r="F2943" s="142" t="s">
        <v>1281</v>
      </c>
      <c r="G2943" s="130"/>
      <c r="H2943" s="10"/>
      <c r="I2943" s="10">
        <v>3533500</v>
      </c>
      <c r="J2943" s="79" t="e">
        <f t="shared" si="186"/>
        <v>#VALUE!</v>
      </c>
      <c r="K2943" s="106"/>
      <c r="L2943" s="141"/>
      <c r="M2943" s="132"/>
      <c r="N2943" s="133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spans="1:24" ht="14.25" customHeight="1">
      <c r="A2944" s="4"/>
      <c r="B2944" s="125"/>
      <c r="C2944" s="126"/>
      <c r="D2944" s="159"/>
      <c r="E2944" s="10" t="e">
        <f>TRIM(VLOOKUP(D2944,TB!$B$9:$C$1500,2,FALSE))</f>
        <v>#N/A</v>
      </c>
      <c r="F2944" s="142"/>
      <c r="G2944" s="130"/>
      <c r="H2944" s="10"/>
      <c r="I2944" s="10"/>
      <c r="J2944" s="79" t="e">
        <f t="shared" si="186"/>
        <v>#VALUE!</v>
      </c>
      <c r="K2944" s="106"/>
      <c r="L2944" s="141"/>
      <c r="M2944" s="132"/>
      <c r="N2944" s="133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spans="1:24" ht="14.25" customHeight="1">
      <c r="A2945" s="4"/>
      <c r="B2945" s="125">
        <v>46177</v>
      </c>
      <c r="C2945" s="126" t="s">
        <v>1282</v>
      </c>
      <c r="D2945" s="68" t="s">
        <v>130</v>
      </c>
      <c r="E2945" s="10" t="str">
        <f>TRIM(VLOOKUP(D2945,TB!$B$9:$C$1500,2,FALSE))</f>
        <v>BCA TBB</v>
      </c>
      <c r="F2945" s="142" t="s">
        <v>1283</v>
      </c>
      <c r="G2945" s="130"/>
      <c r="H2945" s="10">
        <v>8000000</v>
      </c>
      <c r="I2945" s="10"/>
      <c r="J2945" s="79" t="e">
        <f t="shared" si="186"/>
        <v>#VALUE!</v>
      </c>
      <c r="K2945" s="106"/>
      <c r="L2945" s="141"/>
      <c r="M2945" s="132"/>
      <c r="N2945" s="133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spans="1:24" ht="14.25" customHeight="1">
      <c r="A2946" s="4"/>
      <c r="B2946" s="125">
        <v>46177</v>
      </c>
      <c r="C2946" s="126" t="s">
        <v>1282</v>
      </c>
      <c r="D2946" s="174" t="s">
        <v>124</v>
      </c>
      <c r="E2946" s="10" t="str">
        <f>TRIM(VLOOKUP(D2946,TB!$B$9:$C$1500,2,FALSE))</f>
        <v>Bank charges</v>
      </c>
      <c r="F2946" s="142" t="s">
        <v>1283</v>
      </c>
      <c r="G2946" s="130"/>
      <c r="H2946" s="10">
        <v>2500</v>
      </c>
      <c r="I2946" s="10"/>
      <c r="J2946" s="79" t="e">
        <f t="shared" si="186"/>
        <v>#VALUE!</v>
      </c>
      <c r="K2946" s="106"/>
      <c r="L2946" s="141"/>
      <c r="M2946" s="132"/>
      <c r="N2946" s="133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spans="1:24" ht="14.25" customHeight="1">
      <c r="A2947" s="4"/>
      <c r="B2947" s="125">
        <v>46177</v>
      </c>
      <c r="C2947" s="126" t="s">
        <v>1282</v>
      </c>
      <c r="D2947" s="159" t="s">
        <v>158</v>
      </c>
      <c r="E2947" s="10" t="str">
        <f>TRIM(VLOOKUP(D2947,TB!$B$9:$C$1500,2,FALSE))</f>
        <v>Mandiri TBB IDR</v>
      </c>
      <c r="F2947" s="142" t="s">
        <v>1283</v>
      </c>
      <c r="G2947" s="130"/>
      <c r="H2947" s="10"/>
      <c r="I2947" s="10">
        <v>8002500</v>
      </c>
      <c r="J2947" s="79" t="e">
        <f t="shared" si="186"/>
        <v>#VALUE!</v>
      </c>
      <c r="K2947" s="106"/>
      <c r="L2947" s="141"/>
      <c r="M2947" s="132"/>
      <c r="N2947" s="133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spans="1:24" ht="14.25" customHeight="1">
      <c r="A2948" s="4"/>
      <c r="B2948" s="125"/>
      <c r="C2948" s="126"/>
      <c r="D2948" s="159"/>
      <c r="E2948" s="10" t="e">
        <f>TRIM(VLOOKUP(D2948,TB!$B$9:$C$1500,2,FALSE))</f>
        <v>#N/A</v>
      </c>
      <c r="F2948" s="142"/>
      <c r="G2948" s="130"/>
      <c r="H2948" s="10"/>
      <c r="I2948" s="10"/>
      <c r="J2948" s="79" t="e">
        <f t="shared" si="186"/>
        <v>#VALUE!</v>
      </c>
      <c r="K2948" s="106"/>
      <c r="L2948" s="141"/>
      <c r="M2948" s="132"/>
      <c r="N2948" s="133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spans="1:24" ht="14.25" customHeight="1">
      <c r="A2949" s="4"/>
      <c r="B2949" s="125">
        <v>46178</v>
      </c>
      <c r="C2949" s="126" t="s">
        <v>1284</v>
      </c>
      <c r="D2949" s="68" t="s">
        <v>158</v>
      </c>
      <c r="E2949" s="10" t="str">
        <f>TRIM(VLOOKUP(D2949,TB!$B$9:$C$1500,2,FALSE))</f>
        <v>Mandiri TBB IDR</v>
      </c>
      <c r="F2949" s="142" t="s">
        <v>1285</v>
      </c>
      <c r="G2949" s="130"/>
      <c r="H2949" s="10">
        <f>I2951-H2950</f>
        <v>506246.53200000001</v>
      </c>
      <c r="I2949" s="10"/>
      <c r="J2949" s="79" t="e">
        <f t="shared" si="186"/>
        <v>#VALUE!</v>
      </c>
      <c r="K2949" s="106"/>
      <c r="L2949" s="141"/>
      <c r="M2949" s="132"/>
      <c r="N2949" s="133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spans="1:24" ht="14.25" customHeight="1">
      <c r="A2950" s="4"/>
      <c r="B2950" s="125">
        <v>46178</v>
      </c>
      <c r="C2950" s="126" t="s">
        <v>1284</v>
      </c>
      <c r="D2950" s="15" t="s">
        <v>124</v>
      </c>
      <c r="E2950" s="10" t="str">
        <f>TRIM(VLOOKUP(D2950,TB!$B$9:$C$1500,2,FALSE))</f>
        <v>Bank charges</v>
      </c>
      <c r="F2950" s="142" t="s">
        <v>1285</v>
      </c>
      <c r="G2950" s="130"/>
      <c r="H2950" s="155">
        <v>9279.4680000000008</v>
      </c>
      <c r="I2950" s="10"/>
      <c r="J2950" s="79" t="e">
        <f t="shared" si="186"/>
        <v>#VALUE!</v>
      </c>
      <c r="K2950" s="106"/>
      <c r="L2950" s="141"/>
      <c r="M2950" s="132"/>
      <c r="N2950" s="133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spans="1:24" ht="14.25" customHeight="1">
      <c r="A2951" s="4"/>
      <c r="B2951" s="125">
        <v>46178</v>
      </c>
      <c r="C2951" s="126" t="s">
        <v>1284</v>
      </c>
      <c r="D2951" s="15" t="s">
        <v>48</v>
      </c>
      <c r="E2951" s="10" t="str">
        <f>TRIM(VLOOKUP(D2951,TB!$B$9:$C$1500,2,FALSE))</f>
        <v>Mandiri Card TBB</v>
      </c>
      <c r="F2951" s="142" t="s">
        <v>1285</v>
      </c>
      <c r="G2951" s="130"/>
      <c r="H2951" s="10"/>
      <c r="I2951" s="155">
        <v>515526</v>
      </c>
      <c r="J2951" s="79" t="e">
        <f t="shared" si="186"/>
        <v>#VALUE!</v>
      </c>
      <c r="K2951" s="106"/>
      <c r="L2951" s="141"/>
      <c r="M2951" s="132"/>
      <c r="N2951" s="133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spans="1:24" ht="14.25" customHeight="1">
      <c r="A2952" s="4"/>
      <c r="B2952" s="125"/>
      <c r="C2952" s="126"/>
      <c r="D2952" s="159"/>
      <c r="E2952" s="10" t="e">
        <f>TRIM(VLOOKUP(D2952,TB!$B$9:$C$1500,2,FALSE))</f>
        <v>#N/A</v>
      </c>
      <c r="F2952" s="142"/>
      <c r="G2952" s="130"/>
      <c r="H2952" s="10"/>
      <c r="I2952" s="10"/>
      <c r="J2952" s="79" t="e">
        <f t="shared" si="186"/>
        <v>#VALUE!</v>
      </c>
      <c r="K2952" s="106"/>
      <c r="L2952" s="141"/>
      <c r="M2952" s="132"/>
      <c r="N2952" s="133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spans="1:24" ht="14.25" customHeight="1">
      <c r="A2953" s="4"/>
      <c r="B2953" s="125">
        <v>46178</v>
      </c>
      <c r="C2953" s="126" t="s">
        <v>1286</v>
      </c>
      <c r="D2953" s="68" t="s">
        <v>158</v>
      </c>
      <c r="E2953" s="10" t="str">
        <f>TRIM(VLOOKUP(D2953,TB!$B$9:$C$1500,2,FALSE))</f>
        <v>Mandiri TBB IDR</v>
      </c>
      <c r="F2953" s="142" t="s">
        <v>1287</v>
      </c>
      <c r="G2953" s="130"/>
      <c r="H2953" s="10">
        <f>I2955-H2954</f>
        <v>24001440.07</v>
      </c>
      <c r="I2953" s="10"/>
      <c r="J2953" s="79" t="e">
        <f t="shared" si="186"/>
        <v>#VALUE!</v>
      </c>
      <c r="K2953" s="106"/>
      <c r="L2953" s="141"/>
      <c r="M2953" s="132"/>
      <c r="N2953" s="133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spans="1:24" ht="14.25" customHeight="1">
      <c r="A2954" s="4"/>
      <c r="B2954" s="125">
        <v>46178</v>
      </c>
      <c r="C2954" s="126" t="s">
        <v>1286</v>
      </c>
      <c r="D2954" s="15" t="s">
        <v>124</v>
      </c>
      <c r="E2954" s="10" t="str">
        <f>TRIM(VLOOKUP(D2954,TB!$B$9:$C$1500,2,FALSE))</f>
        <v>Bank charges</v>
      </c>
      <c r="F2954" s="142" t="s">
        <v>1287</v>
      </c>
      <c r="G2954" s="130"/>
      <c r="H2954" s="155">
        <v>439944.93000000005</v>
      </c>
      <c r="I2954" s="10"/>
      <c r="J2954" s="79" t="e">
        <f t="shared" si="186"/>
        <v>#VALUE!</v>
      </c>
      <c r="K2954" s="106"/>
      <c r="L2954" s="141"/>
      <c r="M2954" s="132"/>
      <c r="N2954" s="133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spans="1:24" ht="14.25" customHeight="1">
      <c r="A2955" s="4"/>
      <c r="B2955" s="125">
        <v>46178</v>
      </c>
      <c r="C2955" s="126" t="s">
        <v>1286</v>
      </c>
      <c r="D2955" s="15" t="s">
        <v>48</v>
      </c>
      <c r="E2955" s="10" t="str">
        <f>TRIM(VLOOKUP(D2955,TB!$B$9:$C$1500,2,FALSE))</f>
        <v>Mandiri Card TBB</v>
      </c>
      <c r="F2955" s="142" t="s">
        <v>1287</v>
      </c>
      <c r="G2955" s="130"/>
      <c r="H2955" s="10"/>
      <c r="I2955" s="155">
        <v>24441385</v>
      </c>
      <c r="J2955" s="79" t="e">
        <f t="shared" si="186"/>
        <v>#VALUE!</v>
      </c>
      <c r="K2955" s="106"/>
      <c r="L2955" s="141"/>
      <c r="M2955" s="132"/>
      <c r="N2955" s="133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spans="1:24" ht="14.25" customHeight="1">
      <c r="A2956" s="4"/>
      <c r="B2956" s="125"/>
      <c r="C2956" s="126"/>
      <c r="D2956" s="159"/>
      <c r="E2956" s="10" t="e">
        <f>TRIM(VLOOKUP(D2956,TB!$B$9:$C$1500,2,FALSE))</f>
        <v>#N/A</v>
      </c>
      <c r="F2956" s="142"/>
      <c r="G2956" s="130"/>
      <c r="H2956" s="10"/>
      <c r="I2956" s="10"/>
      <c r="J2956" s="79" t="e">
        <f t="shared" si="186"/>
        <v>#VALUE!</v>
      </c>
      <c r="K2956" s="106"/>
      <c r="L2956" s="141"/>
      <c r="M2956" s="132"/>
      <c r="N2956" s="133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spans="1:24" ht="14.25" customHeight="1">
      <c r="A2957" s="4"/>
      <c r="B2957" s="125">
        <v>46178</v>
      </c>
      <c r="C2957" s="126" t="s">
        <v>1288</v>
      </c>
      <c r="D2957" s="68" t="s">
        <v>158</v>
      </c>
      <c r="E2957" s="10" t="str">
        <f>TRIM(VLOOKUP(D2957,TB!$B$9:$C$1500,2,FALSE))</f>
        <v>Mandiri TBB IDR</v>
      </c>
      <c r="F2957" s="142" t="s">
        <v>1289</v>
      </c>
      <c r="G2957" s="130"/>
      <c r="H2957" s="10">
        <f>I2959-H2958</f>
        <v>1889225.61</v>
      </c>
      <c r="I2957" s="10"/>
      <c r="J2957" s="79" t="e">
        <f t="shared" si="186"/>
        <v>#VALUE!</v>
      </c>
      <c r="K2957" s="106"/>
      <c r="L2957" s="141"/>
      <c r="M2957" s="132"/>
      <c r="N2957" s="133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spans="1:24" ht="14.25" customHeight="1">
      <c r="A2958" s="4"/>
      <c r="B2958" s="125">
        <v>46178</v>
      </c>
      <c r="C2958" s="126" t="s">
        <v>1288</v>
      </c>
      <c r="D2958" s="15" t="s">
        <v>124</v>
      </c>
      <c r="E2958" s="10" t="str">
        <f>TRIM(VLOOKUP(D2958,TB!$B$9:$C$1500,2,FALSE))</f>
        <v>Bank charges</v>
      </c>
      <c r="F2958" s="142" t="s">
        <v>1289</v>
      </c>
      <c r="G2958" s="130"/>
      <c r="H2958" s="155">
        <v>34629.390000000007</v>
      </c>
      <c r="I2958" s="10"/>
      <c r="J2958" s="79" t="e">
        <f t="shared" si="186"/>
        <v>#VALUE!</v>
      </c>
      <c r="K2958" s="106"/>
      <c r="L2958" s="141"/>
      <c r="M2958" s="132"/>
      <c r="N2958" s="133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spans="1:24" ht="14.25" customHeight="1">
      <c r="A2959" s="4"/>
      <c r="B2959" s="125">
        <v>46178</v>
      </c>
      <c r="C2959" s="126" t="s">
        <v>1288</v>
      </c>
      <c r="D2959" s="15" t="s">
        <v>48</v>
      </c>
      <c r="E2959" s="10" t="str">
        <f>TRIM(VLOOKUP(D2959,TB!$B$9:$C$1500,2,FALSE))</f>
        <v>Mandiri Card TBB</v>
      </c>
      <c r="F2959" s="142" t="s">
        <v>1289</v>
      </c>
      <c r="G2959" s="130"/>
      <c r="H2959" s="10"/>
      <c r="I2959" s="155">
        <v>1923855</v>
      </c>
      <c r="J2959" s="79" t="e">
        <f t="shared" si="186"/>
        <v>#VALUE!</v>
      </c>
      <c r="K2959" s="106"/>
      <c r="L2959" s="141"/>
      <c r="M2959" s="132"/>
      <c r="N2959" s="133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spans="1:24" ht="14.25" customHeight="1">
      <c r="A2960" s="4"/>
      <c r="B2960" s="125"/>
      <c r="C2960" s="126"/>
      <c r="D2960" s="15"/>
      <c r="E2960" s="10" t="e">
        <f>TRIM(VLOOKUP(D2960,TB!$B$9:$C$1500,2,FALSE))</f>
        <v>#N/A</v>
      </c>
      <c r="F2960" s="142"/>
      <c r="G2960" s="130"/>
      <c r="H2960" s="10"/>
      <c r="I2960" s="10"/>
      <c r="J2960" s="79" t="e">
        <f t="shared" si="186"/>
        <v>#VALUE!</v>
      </c>
      <c r="K2960" s="106"/>
      <c r="L2960" s="141"/>
      <c r="M2960" s="132"/>
      <c r="N2960" s="133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spans="1:24" ht="14.25" customHeight="1">
      <c r="A2961" s="4"/>
      <c r="B2961" s="125">
        <v>46178</v>
      </c>
      <c r="C2961" s="126" t="s">
        <v>1290</v>
      </c>
      <c r="D2961" s="68" t="s">
        <v>158</v>
      </c>
      <c r="E2961" s="10" t="str">
        <f>TRIM(VLOOKUP(D2961,TB!$B$9:$C$1500,2,FALSE))</f>
        <v>Mandiri TBB IDR</v>
      </c>
      <c r="F2961" s="142" t="s">
        <v>1291</v>
      </c>
      <c r="G2961" s="130"/>
      <c r="H2961" s="10">
        <f>I2963-H2962</f>
        <v>1912695.41</v>
      </c>
      <c r="I2961" s="10"/>
      <c r="J2961" s="79" t="e">
        <f t="shared" si="186"/>
        <v>#VALUE!</v>
      </c>
      <c r="K2961" s="106"/>
      <c r="L2961" s="141"/>
      <c r="M2961" s="132"/>
      <c r="N2961" s="133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spans="1:24" ht="14.25" customHeight="1">
      <c r="A2962" s="4"/>
      <c r="B2962" s="125">
        <v>46178</v>
      </c>
      <c r="C2962" s="126" t="s">
        <v>1290</v>
      </c>
      <c r="D2962" s="15" t="s">
        <v>124</v>
      </c>
      <c r="E2962" s="10" t="str">
        <f>TRIM(VLOOKUP(D2962,TB!$B$9:$C$1500,2,FALSE))</f>
        <v>Bank charges</v>
      </c>
      <c r="F2962" s="142" t="s">
        <v>1291</v>
      </c>
      <c r="G2962" s="130"/>
      <c r="H2962" s="155">
        <v>35059.590000000004</v>
      </c>
      <c r="I2962" s="10"/>
      <c r="J2962" s="79" t="e">
        <f t="shared" si="186"/>
        <v>#VALUE!</v>
      </c>
      <c r="K2962" s="106"/>
      <c r="L2962" s="141"/>
      <c r="M2962" s="132"/>
      <c r="N2962" s="133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spans="1:24" ht="14.25" customHeight="1">
      <c r="A2963" s="4"/>
      <c r="B2963" s="125">
        <v>46178</v>
      </c>
      <c r="C2963" s="126" t="s">
        <v>1290</v>
      </c>
      <c r="D2963" s="15" t="s">
        <v>48</v>
      </c>
      <c r="E2963" s="10" t="str">
        <f>TRIM(VLOOKUP(D2963,TB!$B$9:$C$1500,2,FALSE))</f>
        <v>Mandiri Card TBB</v>
      </c>
      <c r="F2963" s="142" t="s">
        <v>1291</v>
      </c>
      <c r="G2963" s="130"/>
      <c r="H2963" s="10"/>
      <c r="I2963" s="155">
        <v>1947755</v>
      </c>
      <c r="J2963" s="79" t="e">
        <f t="shared" si="186"/>
        <v>#VALUE!</v>
      </c>
      <c r="K2963" s="106"/>
      <c r="L2963" s="141"/>
      <c r="M2963" s="132"/>
      <c r="N2963" s="133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spans="1:24" ht="14.25" customHeight="1">
      <c r="A2964" s="4"/>
      <c r="B2964" s="125"/>
      <c r="C2964" s="126"/>
      <c r="D2964" s="159"/>
      <c r="E2964" s="10" t="e">
        <f>TRIM(VLOOKUP(D2964,TB!$B$9:$C$1500,2,FALSE))</f>
        <v>#N/A</v>
      </c>
      <c r="F2964" s="142"/>
      <c r="G2964" s="130"/>
      <c r="H2964" s="10"/>
      <c r="I2964" s="10"/>
      <c r="J2964" s="79" t="e">
        <f t="shared" si="186"/>
        <v>#VALUE!</v>
      </c>
      <c r="K2964" s="106"/>
      <c r="L2964" s="141"/>
      <c r="M2964" s="132"/>
      <c r="N2964" s="133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spans="1:24" ht="14.25" customHeight="1">
      <c r="A2965" s="4"/>
      <c r="B2965" s="125">
        <v>46178</v>
      </c>
      <c r="C2965" s="126" t="s">
        <v>1292</v>
      </c>
      <c r="D2965" s="176" t="s">
        <v>285</v>
      </c>
      <c r="E2965" s="10" t="str">
        <f>TRIM(VLOOKUP(D2965,TB!$B$9:$C$1500,2,FALSE))</f>
        <v>Misc Cash Purchase</v>
      </c>
      <c r="F2965" s="186" t="s">
        <v>1293</v>
      </c>
      <c r="G2965" s="130"/>
      <c r="H2965" s="10">
        <v>180000</v>
      </c>
      <c r="I2965" s="10"/>
      <c r="J2965" s="79" t="e">
        <f t="shared" si="186"/>
        <v>#VALUE!</v>
      </c>
      <c r="K2965" s="106"/>
      <c r="L2965" s="141"/>
      <c r="M2965" s="132"/>
      <c r="N2965" s="133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spans="1:24" ht="14.25" customHeight="1">
      <c r="A2966" s="4"/>
      <c r="B2966" s="125">
        <v>46178</v>
      </c>
      <c r="C2966" s="126" t="s">
        <v>1292</v>
      </c>
      <c r="D2966" s="68" t="s">
        <v>158</v>
      </c>
      <c r="E2966" s="10" t="str">
        <f>TRIM(VLOOKUP(D2966,TB!$B$9:$C$1500,2,FALSE))</f>
        <v>Mandiri TBB IDR</v>
      </c>
      <c r="F2966" s="186" t="s">
        <v>1293</v>
      </c>
      <c r="G2966" s="130"/>
      <c r="H2966" s="10"/>
      <c r="I2966" s="10">
        <v>180000</v>
      </c>
      <c r="J2966" s="79" t="e">
        <f t="shared" si="186"/>
        <v>#VALUE!</v>
      </c>
      <c r="K2966" s="106"/>
      <c r="L2966" s="141"/>
      <c r="M2966" s="132"/>
      <c r="N2966" s="133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spans="1:24" ht="14.25" customHeight="1">
      <c r="A2967" s="4"/>
      <c r="B2967" s="125"/>
      <c r="C2967" s="126"/>
      <c r="D2967" s="159"/>
      <c r="E2967" s="10" t="e">
        <f>TRIM(VLOOKUP(D2967,TB!$B$9:$C$1500,2,FALSE))</f>
        <v>#N/A</v>
      </c>
      <c r="F2967" s="142"/>
      <c r="G2967" s="130"/>
      <c r="H2967" s="10"/>
      <c r="I2967" s="10"/>
      <c r="J2967" s="79" t="e">
        <f t="shared" si="186"/>
        <v>#VALUE!</v>
      </c>
      <c r="K2967" s="106"/>
      <c r="L2967" s="141"/>
      <c r="M2967" s="132"/>
      <c r="N2967" s="133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spans="1:24" ht="14.25" customHeight="1">
      <c r="A2968" s="4"/>
      <c r="B2968" s="125">
        <v>46178</v>
      </c>
      <c r="C2968" s="126" t="s">
        <v>1294</v>
      </c>
      <c r="D2968" s="176" t="s">
        <v>285</v>
      </c>
      <c r="E2968" s="10" t="str">
        <f>TRIM(VLOOKUP(D2968,TB!$B$9:$C$1500,2,FALSE))</f>
        <v>Misc Cash Purchase</v>
      </c>
      <c r="F2968" s="142" t="s">
        <v>1295</v>
      </c>
      <c r="G2968" s="130"/>
      <c r="H2968" s="10">
        <v>10000000</v>
      </c>
      <c r="I2968" s="10"/>
      <c r="J2968" s="79" t="e">
        <f t="shared" si="186"/>
        <v>#VALUE!</v>
      </c>
      <c r="K2968" s="106"/>
      <c r="L2968" s="141"/>
      <c r="M2968" s="132"/>
      <c r="N2968" s="133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spans="1:24" ht="14.25" customHeight="1">
      <c r="A2969" s="4"/>
      <c r="B2969" s="125">
        <v>46178</v>
      </c>
      <c r="C2969" s="126" t="s">
        <v>1294</v>
      </c>
      <c r="D2969" s="68" t="s">
        <v>158</v>
      </c>
      <c r="E2969" s="10" t="str">
        <f>TRIM(VLOOKUP(D2969,TB!$B$9:$C$1500,2,FALSE))</f>
        <v>Mandiri TBB IDR</v>
      </c>
      <c r="F2969" s="142" t="s">
        <v>1295</v>
      </c>
      <c r="G2969" s="130"/>
      <c r="H2969" s="10"/>
      <c r="I2969" s="10">
        <v>10000000</v>
      </c>
      <c r="J2969" s="79" t="e">
        <f t="shared" si="186"/>
        <v>#VALUE!</v>
      </c>
      <c r="K2969" s="106"/>
      <c r="L2969" s="141"/>
      <c r="M2969" s="132"/>
      <c r="N2969" s="133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spans="1:24" ht="14.25" customHeight="1">
      <c r="A2970" s="4"/>
      <c r="B2970" s="125"/>
      <c r="C2970" s="126"/>
      <c r="D2970" s="159"/>
      <c r="E2970" s="10" t="e">
        <f>TRIM(VLOOKUP(D2970,TB!$B$9:$C$1500,2,FALSE))</f>
        <v>#N/A</v>
      </c>
      <c r="F2970" s="142"/>
      <c r="G2970" s="130"/>
      <c r="H2970" s="10"/>
      <c r="I2970" s="10"/>
      <c r="J2970" s="79" t="e">
        <f t="shared" si="186"/>
        <v>#VALUE!</v>
      </c>
      <c r="K2970" s="106"/>
      <c r="L2970" s="141"/>
      <c r="M2970" s="132"/>
      <c r="N2970" s="133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spans="1:24" ht="14.25" customHeight="1">
      <c r="A2971" s="4"/>
      <c r="B2971" s="125">
        <v>46178</v>
      </c>
      <c r="C2971" s="126" t="s">
        <v>1296</v>
      </c>
      <c r="D2971" s="176" t="s">
        <v>285</v>
      </c>
      <c r="E2971" s="10" t="str">
        <f>TRIM(VLOOKUP(D2971,TB!$B$9:$C$1500,2,FALSE))</f>
        <v>Misc Cash Purchase</v>
      </c>
      <c r="F2971" s="191" t="s">
        <v>1297</v>
      </c>
      <c r="G2971" s="130"/>
      <c r="H2971" s="10">
        <v>2500000</v>
      </c>
      <c r="I2971" s="10"/>
      <c r="J2971" s="79" t="e">
        <f t="shared" si="186"/>
        <v>#VALUE!</v>
      </c>
      <c r="K2971" s="106"/>
      <c r="L2971" s="141"/>
      <c r="M2971" s="132"/>
      <c r="N2971" s="133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spans="1:24" ht="14.25" customHeight="1">
      <c r="A2972" s="4"/>
      <c r="B2972" s="125">
        <v>46178</v>
      </c>
      <c r="C2972" s="126" t="s">
        <v>1296</v>
      </c>
      <c r="D2972" s="68" t="s">
        <v>158</v>
      </c>
      <c r="E2972" s="10" t="str">
        <f>TRIM(VLOOKUP(D2972,TB!$B$9:$C$1500,2,FALSE))</f>
        <v>Mandiri TBB IDR</v>
      </c>
      <c r="F2972" s="191" t="s">
        <v>1297</v>
      </c>
      <c r="G2972" s="130"/>
      <c r="H2972" s="10"/>
      <c r="I2972" s="10">
        <v>2500000</v>
      </c>
      <c r="J2972" s="79" t="e">
        <f t="shared" si="186"/>
        <v>#VALUE!</v>
      </c>
      <c r="K2972" s="106"/>
      <c r="L2972" s="141"/>
      <c r="M2972" s="132"/>
      <c r="N2972" s="133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spans="1:24" ht="14.25" customHeight="1">
      <c r="A2973" s="4"/>
      <c r="B2973" s="125"/>
      <c r="C2973" s="126"/>
      <c r="D2973" s="159"/>
      <c r="E2973" s="10" t="e">
        <f>TRIM(VLOOKUP(D2973,TB!$B$9:$C$1500,2,FALSE))</f>
        <v>#N/A</v>
      </c>
      <c r="F2973" s="142"/>
      <c r="G2973" s="130"/>
      <c r="H2973" s="10"/>
      <c r="I2973" s="10"/>
      <c r="J2973" s="79" t="e">
        <f t="shared" si="186"/>
        <v>#VALUE!</v>
      </c>
      <c r="K2973" s="106"/>
      <c r="L2973" s="141"/>
      <c r="M2973" s="132"/>
      <c r="N2973" s="133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spans="1:24" ht="14.25" customHeight="1">
      <c r="A2974" s="4"/>
      <c r="B2974" s="125">
        <v>46178</v>
      </c>
      <c r="C2974" s="126" t="s">
        <v>1298</v>
      </c>
      <c r="D2974" s="68" t="s">
        <v>130</v>
      </c>
      <c r="E2974" s="10" t="str">
        <f>TRIM(VLOOKUP(D2974,TB!$B$9:$C$1500,2,FALSE))</f>
        <v>BCA TBB</v>
      </c>
      <c r="F2974" s="142" t="s">
        <v>1247</v>
      </c>
      <c r="G2974" s="130"/>
      <c r="H2974" s="10">
        <v>24500000</v>
      </c>
      <c r="I2974" s="10"/>
      <c r="J2974" s="79" t="e">
        <f t="shared" si="186"/>
        <v>#VALUE!</v>
      </c>
      <c r="K2974" s="106"/>
      <c r="L2974" s="141"/>
      <c r="M2974" s="132"/>
      <c r="N2974" s="133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spans="1:24" ht="14.25" customHeight="1">
      <c r="A2975" s="4"/>
      <c r="B2975" s="125">
        <v>46178</v>
      </c>
      <c r="C2975" s="126" t="s">
        <v>1298</v>
      </c>
      <c r="D2975" s="15" t="s">
        <v>124</v>
      </c>
      <c r="E2975" s="10" t="str">
        <f>TRIM(VLOOKUP(D2975,TB!$B$9:$C$1500,2,FALSE))</f>
        <v>Bank charges</v>
      </c>
      <c r="F2975" s="142" t="s">
        <v>1247</v>
      </c>
      <c r="G2975" s="130"/>
      <c r="H2975" s="10">
        <v>2500</v>
      </c>
      <c r="I2975" s="10"/>
      <c r="J2975" s="79" t="e">
        <f t="shared" si="186"/>
        <v>#VALUE!</v>
      </c>
      <c r="K2975" s="106"/>
      <c r="L2975" s="141"/>
      <c r="M2975" s="132"/>
      <c r="N2975" s="133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spans="1:24" ht="14.25" customHeight="1">
      <c r="A2976" s="4"/>
      <c r="B2976" s="125">
        <v>46178</v>
      </c>
      <c r="C2976" s="126" t="s">
        <v>1298</v>
      </c>
      <c r="D2976" s="68" t="s">
        <v>158</v>
      </c>
      <c r="E2976" s="10" t="str">
        <f>TRIM(VLOOKUP(D2976,TB!$B$9:$C$1500,2,FALSE))</f>
        <v>Mandiri TBB IDR</v>
      </c>
      <c r="F2976" s="142" t="s">
        <v>1247</v>
      </c>
      <c r="G2976" s="130"/>
      <c r="H2976" s="10"/>
      <c r="I2976" s="10">
        <v>24502500</v>
      </c>
      <c r="J2976" s="79" t="e">
        <f t="shared" si="186"/>
        <v>#VALUE!</v>
      </c>
      <c r="K2976" s="106"/>
      <c r="L2976" s="141"/>
      <c r="M2976" s="132"/>
      <c r="N2976" s="133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spans="1:24" ht="14.25" customHeight="1">
      <c r="A2977" s="4"/>
      <c r="B2977" s="125"/>
      <c r="C2977" s="126"/>
      <c r="D2977" s="159"/>
      <c r="E2977" s="10" t="e">
        <f>TRIM(VLOOKUP(D2977,TB!$B$9:$C$1500,2,FALSE))</f>
        <v>#N/A</v>
      </c>
      <c r="F2977" s="142"/>
      <c r="G2977" s="130"/>
      <c r="H2977" s="10"/>
      <c r="I2977" s="10"/>
      <c r="J2977" s="79" t="e">
        <f t="shared" si="186"/>
        <v>#VALUE!</v>
      </c>
      <c r="K2977" s="106"/>
      <c r="L2977" s="141"/>
      <c r="M2977" s="132"/>
      <c r="N2977" s="133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spans="1:24" ht="14.25" customHeight="1">
      <c r="A2978" s="4"/>
      <c r="B2978" s="125">
        <v>46179</v>
      </c>
      <c r="C2978" s="126" t="s">
        <v>1299</v>
      </c>
      <c r="D2978" s="68" t="s">
        <v>158</v>
      </c>
      <c r="E2978" s="10" t="str">
        <f>TRIM(VLOOKUP(D2978,TB!$B$9:$C$1500,2,FALSE))</f>
        <v>Mandiri TBB IDR</v>
      </c>
      <c r="F2978" s="142" t="s">
        <v>1300</v>
      </c>
      <c r="G2978" s="130"/>
      <c r="H2978" s="10">
        <f>I2980-H2979</f>
        <v>4807921.0999999996</v>
      </c>
      <c r="I2978" s="10"/>
      <c r="J2978" s="79" t="e">
        <f t="shared" si="186"/>
        <v>#VALUE!</v>
      </c>
      <c r="K2978" s="106"/>
      <c r="L2978" s="141"/>
      <c r="M2978" s="132"/>
      <c r="N2978" s="133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spans="1:24" ht="14.25" customHeight="1">
      <c r="A2979" s="4"/>
      <c r="B2979" s="125">
        <v>46179</v>
      </c>
      <c r="C2979" s="126" t="s">
        <v>1299</v>
      </c>
      <c r="D2979" s="15" t="s">
        <v>124</v>
      </c>
      <c r="E2979" s="10" t="str">
        <f>TRIM(VLOOKUP(D2979,TB!$B$9:$C$1500,2,FALSE))</f>
        <v>Bank charges</v>
      </c>
      <c r="F2979" s="142" t="s">
        <v>1300</v>
      </c>
      <c r="G2979" s="130"/>
      <c r="H2979" s="155">
        <v>88128.900000000009</v>
      </c>
      <c r="I2979" s="10"/>
      <c r="J2979" s="79" t="e">
        <f t="shared" si="186"/>
        <v>#VALUE!</v>
      </c>
      <c r="K2979" s="106"/>
      <c r="L2979" s="141"/>
      <c r="M2979" s="132"/>
      <c r="N2979" s="133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spans="1:24" ht="14.25" customHeight="1">
      <c r="A2980" s="4"/>
      <c r="B2980" s="125">
        <v>46179</v>
      </c>
      <c r="C2980" s="126" t="s">
        <v>1299</v>
      </c>
      <c r="D2980" s="15" t="s">
        <v>48</v>
      </c>
      <c r="E2980" s="10" t="str">
        <f>TRIM(VLOOKUP(D2980,TB!$B$9:$C$1500,2,FALSE))</f>
        <v>Mandiri Card TBB</v>
      </c>
      <c r="F2980" s="142" t="s">
        <v>1300</v>
      </c>
      <c r="G2980" s="130"/>
      <c r="H2980" s="10"/>
      <c r="I2980" s="155">
        <v>4896050</v>
      </c>
      <c r="J2980" s="79" t="e">
        <f t="shared" si="186"/>
        <v>#VALUE!</v>
      </c>
      <c r="K2980" s="106"/>
      <c r="L2980" s="141"/>
      <c r="M2980" s="132"/>
      <c r="N2980" s="133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spans="1:24" ht="14.25" customHeight="1">
      <c r="A2981" s="4"/>
      <c r="B2981" s="125"/>
      <c r="C2981" s="126"/>
      <c r="D2981" s="159"/>
      <c r="E2981" s="10" t="e">
        <f>TRIM(VLOOKUP(D2981,TB!$B$9:$C$1500,2,FALSE))</f>
        <v>#N/A</v>
      </c>
      <c r="F2981" s="142"/>
      <c r="G2981" s="130"/>
      <c r="H2981" s="10"/>
      <c r="I2981" s="10"/>
      <c r="J2981" s="79" t="e">
        <f t="shared" si="186"/>
        <v>#VALUE!</v>
      </c>
      <c r="K2981" s="106"/>
      <c r="L2981" s="141"/>
      <c r="M2981" s="132"/>
      <c r="N2981" s="133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spans="1:24" ht="14.25" customHeight="1">
      <c r="A2982" s="4"/>
      <c r="B2982" s="125">
        <v>46179</v>
      </c>
      <c r="C2982" s="126" t="s">
        <v>1301</v>
      </c>
      <c r="D2982" s="68" t="s">
        <v>158</v>
      </c>
      <c r="E2982" s="10" t="str">
        <f>TRIM(VLOOKUP(D2982,TB!$B$9:$C$1500,2,FALSE))</f>
        <v>Mandiri TBB IDR</v>
      </c>
      <c r="F2982" s="142" t="s">
        <v>1302</v>
      </c>
      <c r="G2982" s="130"/>
      <c r="H2982" s="10">
        <f>I2984-H2983</f>
        <v>33454766.18</v>
      </c>
      <c r="I2982" s="10"/>
      <c r="J2982" s="79" t="e">
        <f t="shared" si="186"/>
        <v>#VALUE!</v>
      </c>
      <c r="K2982" s="106"/>
      <c r="L2982" s="141"/>
      <c r="M2982" s="132"/>
      <c r="N2982" s="133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spans="1:24" ht="14.25" customHeight="1">
      <c r="A2983" s="4"/>
      <c r="B2983" s="125">
        <v>46179</v>
      </c>
      <c r="C2983" s="126" t="s">
        <v>1301</v>
      </c>
      <c r="D2983" s="15" t="s">
        <v>124</v>
      </c>
      <c r="E2983" s="10" t="str">
        <f>TRIM(VLOOKUP(D2983,TB!$B$9:$C$1500,2,FALSE))</f>
        <v>Bank charges</v>
      </c>
      <c r="F2983" s="142" t="s">
        <v>1302</v>
      </c>
      <c r="G2983" s="130"/>
      <c r="H2983" s="155">
        <v>613223.82000000007</v>
      </c>
      <c r="I2983" s="10"/>
      <c r="J2983" s="79" t="e">
        <f t="shared" si="186"/>
        <v>#VALUE!</v>
      </c>
      <c r="K2983" s="106"/>
      <c r="L2983" s="141"/>
      <c r="M2983" s="132"/>
      <c r="N2983" s="133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spans="1:24" ht="14.25" customHeight="1">
      <c r="A2984" s="4"/>
      <c r="B2984" s="125">
        <v>46179</v>
      </c>
      <c r="C2984" s="126" t="s">
        <v>1301</v>
      </c>
      <c r="D2984" s="15" t="s">
        <v>48</v>
      </c>
      <c r="E2984" s="10" t="str">
        <f>TRIM(VLOOKUP(D2984,TB!$B$9:$C$1500,2,FALSE))</f>
        <v>Mandiri Card TBB</v>
      </c>
      <c r="F2984" s="142" t="s">
        <v>1302</v>
      </c>
      <c r="G2984" s="130"/>
      <c r="H2984" s="10"/>
      <c r="I2984" s="155">
        <v>34067990</v>
      </c>
      <c r="J2984" s="79" t="e">
        <f t="shared" si="186"/>
        <v>#VALUE!</v>
      </c>
      <c r="K2984" s="106"/>
      <c r="L2984" s="141"/>
      <c r="M2984" s="132"/>
      <c r="N2984" s="133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spans="1:24" ht="14.25" customHeight="1">
      <c r="A2985" s="4"/>
      <c r="B2985" s="125"/>
      <c r="C2985" s="126"/>
      <c r="D2985" s="159"/>
      <c r="E2985" s="10" t="e">
        <f>TRIM(VLOOKUP(D2985,TB!$B$9:$C$1500,2,FALSE))</f>
        <v>#N/A</v>
      </c>
      <c r="F2985" s="142"/>
      <c r="G2985" s="130"/>
      <c r="H2985" s="10"/>
      <c r="I2985" s="10"/>
      <c r="J2985" s="79" t="e">
        <f t="shared" si="186"/>
        <v>#VALUE!</v>
      </c>
      <c r="K2985" s="106"/>
      <c r="L2985" s="141"/>
      <c r="M2985" s="132"/>
      <c r="N2985" s="133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spans="1:24" ht="14.25" customHeight="1">
      <c r="A2986" s="4"/>
      <c r="B2986" s="125">
        <v>46179</v>
      </c>
      <c r="C2986" s="126" t="s">
        <v>1303</v>
      </c>
      <c r="D2986" s="68" t="s">
        <v>158</v>
      </c>
      <c r="E2986" s="10" t="str">
        <f>TRIM(VLOOKUP(D2986,TB!$B$9:$C$1500,2,FALSE))</f>
        <v>Mandiri TBB IDR</v>
      </c>
      <c r="F2986" s="142" t="s">
        <v>1304</v>
      </c>
      <c r="G2986" s="130"/>
      <c r="H2986" s="10">
        <f>I2988-H2987</f>
        <v>2120388.41</v>
      </c>
      <c r="I2986" s="10"/>
      <c r="J2986" s="79" t="e">
        <f t="shared" si="186"/>
        <v>#VALUE!</v>
      </c>
      <c r="K2986" s="106"/>
      <c r="L2986" s="141"/>
      <c r="M2986" s="132"/>
      <c r="N2986" s="133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spans="1:24" ht="14.25" customHeight="1">
      <c r="A2987" s="4"/>
      <c r="B2987" s="125">
        <v>46179</v>
      </c>
      <c r="C2987" s="126" t="s">
        <v>1303</v>
      </c>
      <c r="D2987" s="15" t="s">
        <v>124</v>
      </c>
      <c r="E2987" s="10" t="str">
        <f>TRIM(VLOOKUP(D2987,TB!$B$9:$C$1500,2,FALSE))</f>
        <v>Bank charges</v>
      </c>
      <c r="F2987" s="142" t="s">
        <v>1304</v>
      </c>
      <c r="G2987" s="130"/>
      <c r="H2987" s="155">
        <v>38866.590000000004</v>
      </c>
      <c r="I2987" s="10"/>
      <c r="J2987" s="79" t="e">
        <f t="shared" si="186"/>
        <v>#VALUE!</v>
      </c>
      <c r="K2987" s="106"/>
      <c r="L2987" s="141"/>
      <c r="M2987" s="132"/>
      <c r="N2987" s="133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spans="1:24" ht="14.25" customHeight="1">
      <c r="A2988" s="4"/>
      <c r="B2988" s="125">
        <v>46179</v>
      </c>
      <c r="C2988" s="126" t="s">
        <v>1303</v>
      </c>
      <c r="D2988" s="15" t="s">
        <v>48</v>
      </c>
      <c r="E2988" s="10" t="str">
        <f>TRIM(VLOOKUP(D2988,TB!$B$9:$C$1500,2,FALSE))</f>
        <v>Mandiri Card TBB</v>
      </c>
      <c r="F2988" s="142" t="s">
        <v>1304</v>
      </c>
      <c r="G2988" s="130"/>
      <c r="H2988" s="10"/>
      <c r="I2988" s="155">
        <v>2159255</v>
      </c>
      <c r="J2988" s="79" t="e">
        <f t="shared" si="186"/>
        <v>#VALUE!</v>
      </c>
      <c r="K2988" s="106"/>
      <c r="L2988" s="141"/>
      <c r="M2988" s="132"/>
      <c r="N2988" s="133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spans="1:24" ht="14.25" customHeight="1">
      <c r="A2989" s="4"/>
      <c r="B2989" s="125"/>
      <c r="C2989" s="126"/>
      <c r="D2989" s="159"/>
      <c r="E2989" s="10" t="e">
        <f>TRIM(VLOOKUP(D2989,TB!$B$9:$C$1500,2,FALSE))</f>
        <v>#N/A</v>
      </c>
      <c r="F2989" s="142"/>
      <c r="G2989" s="130"/>
      <c r="H2989" s="10"/>
      <c r="I2989" s="10"/>
      <c r="J2989" s="79" t="e">
        <f t="shared" si="186"/>
        <v>#VALUE!</v>
      </c>
      <c r="K2989" s="106"/>
      <c r="L2989" s="141"/>
      <c r="M2989" s="132"/>
      <c r="N2989" s="133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spans="1:24" ht="14.25" customHeight="1">
      <c r="A2990" s="4"/>
      <c r="B2990" s="125">
        <v>46179</v>
      </c>
      <c r="C2990" s="126" t="s">
        <v>1305</v>
      </c>
      <c r="D2990" s="68" t="s">
        <v>158</v>
      </c>
      <c r="E2990" s="10" t="str">
        <f>TRIM(VLOOKUP(D2990,TB!$B$9:$C$1500,2,FALSE))</f>
        <v>Mandiri TBB IDR</v>
      </c>
      <c r="F2990" s="142" t="s">
        <v>1306</v>
      </c>
      <c r="G2990" s="130"/>
      <c r="H2990" s="10">
        <f>I2992-H2991</f>
        <v>15535593.52</v>
      </c>
      <c r="I2990" s="10"/>
      <c r="J2990" s="79" t="e">
        <f t="shared" si="186"/>
        <v>#VALUE!</v>
      </c>
      <c r="K2990" s="106"/>
      <c r="L2990" s="141"/>
      <c r="M2990" s="132"/>
      <c r="N2990" s="133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spans="1:24" ht="14.25" customHeight="1">
      <c r="A2991" s="4"/>
      <c r="B2991" s="125">
        <v>46179</v>
      </c>
      <c r="C2991" s="126" t="s">
        <v>1305</v>
      </c>
      <c r="D2991" s="15" t="s">
        <v>124</v>
      </c>
      <c r="E2991" s="10" t="str">
        <f>TRIM(VLOOKUP(D2991,TB!$B$9:$C$1500,2,FALSE))</f>
        <v>Bank charges</v>
      </c>
      <c r="F2991" s="142" t="s">
        <v>1306</v>
      </c>
      <c r="G2991" s="130"/>
      <c r="H2991" s="155">
        <v>284766.48000000004</v>
      </c>
      <c r="I2991" s="10"/>
      <c r="J2991" s="79" t="e">
        <f t="shared" si="186"/>
        <v>#VALUE!</v>
      </c>
      <c r="K2991" s="106"/>
      <c r="L2991" s="141"/>
      <c r="M2991" s="132"/>
      <c r="N2991" s="133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spans="1:24" ht="14.25" customHeight="1">
      <c r="A2992" s="4"/>
      <c r="B2992" s="125">
        <v>46179</v>
      </c>
      <c r="C2992" s="126" t="s">
        <v>1305</v>
      </c>
      <c r="D2992" s="15" t="s">
        <v>48</v>
      </c>
      <c r="E2992" s="10" t="str">
        <f>TRIM(VLOOKUP(D2992,TB!$B$9:$C$1500,2,FALSE))</f>
        <v>Mandiri Card TBB</v>
      </c>
      <c r="F2992" s="142" t="s">
        <v>1306</v>
      </c>
      <c r="G2992" s="130"/>
      <c r="H2992" s="10"/>
      <c r="I2992" s="155">
        <v>15820360</v>
      </c>
      <c r="J2992" s="79" t="e">
        <f t="shared" si="186"/>
        <v>#VALUE!</v>
      </c>
      <c r="K2992" s="106"/>
      <c r="L2992" s="141"/>
      <c r="M2992" s="132"/>
      <c r="N2992" s="133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spans="1:24" ht="14.25" customHeight="1">
      <c r="A2993" s="4"/>
      <c r="B2993" s="125"/>
      <c r="C2993" s="126"/>
      <c r="D2993" s="159"/>
      <c r="E2993" s="10" t="e">
        <f>TRIM(VLOOKUP(D2993,TB!$B$9:$C$1500,2,FALSE))</f>
        <v>#N/A</v>
      </c>
      <c r="F2993" s="142"/>
      <c r="G2993" s="130"/>
      <c r="H2993" s="10"/>
      <c r="I2993" s="10"/>
      <c r="J2993" s="79" t="e">
        <f t="shared" si="186"/>
        <v>#VALUE!</v>
      </c>
      <c r="K2993" s="106"/>
      <c r="L2993" s="141"/>
      <c r="M2993" s="132"/>
      <c r="N2993" s="133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spans="1:24" ht="14.25" customHeight="1">
      <c r="A2994" s="4"/>
      <c r="B2994" s="125">
        <v>46181</v>
      </c>
      <c r="C2994" s="126" t="s">
        <v>1307</v>
      </c>
      <c r="D2994" s="68" t="s">
        <v>158</v>
      </c>
      <c r="E2994" s="10" t="str">
        <f>TRIM(VLOOKUP(D2994,TB!$B$9:$C$1500,2,FALSE))</f>
        <v>Mandiri TBB IDR</v>
      </c>
      <c r="F2994" s="142" t="s">
        <v>1308</v>
      </c>
      <c r="G2994" s="130"/>
      <c r="H2994" s="10">
        <f>I2996-H2995</f>
        <v>2273511.67</v>
      </c>
      <c r="I2994" s="10"/>
      <c r="J2994" s="79" t="e">
        <f t="shared" si="186"/>
        <v>#VALUE!</v>
      </c>
      <c r="K2994" s="106"/>
      <c r="L2994" s="141"/>
      <c r="M2994" s="132"/>
      <c r="N2994" s="133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spans="1:24" ht="14.25" customHeight="1">
      <c r="A2995" s="4"/>
      <c r="B2995" s="125">
        <v>46181</v>
      </c>
      <c r="C2995" s="126" t="s">
        <v>1307</v>
      </c>
      <c r="D2995" s="15" t="s">
        <v>124</v>
      </c>
      <c r="E2995" s="10" t="str">
        <f>TRIM(VLOOKUP(D2995,TB!$B$9:$C$1500,2,FALSE))</f>
        <v>Bank charges</v>
      </c>
      <c r="F2995" s="142" t="s">
        <v>1308</v>
      </c>
      <c r="G2995" s="130"/>
      <c r="H2995" s="155">
        <v>41673.33</v>
      </c>
      <c r="I2995" s="10"/>
      <c r="J2995" s="79" t="e">
        <f t="shared" si="186"/>
        <v>#VALUE!</v>
      </c>
      <c r="K2995" s="106"/>
      <c r="L2995" s="141"/>
      <c r="M2995" s="132"/>
      <c r="N2995" s="133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spans="1:24" ht="14.25" customHeight="1">
      <c r="A2996" s="4"/>
      <c r="B2996" s="125">
        <v>46181</v>
      </c>
      <c r="C2996" s="126" t="s">
        <v>1307</v>
      </c>
      <c r="D2996" s="15" t="s">
        <v>48</v>
      </c>
      <c r="E2996" s="10" t="str">
        <f>TRIM(VLOOKUP(D2996,TB!$B$9:$C$1500,2,FALSE))</f>
        <v>Mandiri Card TBB</v>
      </c>
      <c r="F2996" s="142" t="s">
        <v>1308</v>
      </c>
      <c r="G2996" s="130"/>
      <c r="H2996" s="10"/>
      <c r="I2996" s="10">
        <v>2315185</v>
      </c>
      <c r="J2996" s="79" t="e">
        <f t="shared" si="186"/>
        <v>#VALUE!</v>
      </c>
      <c r="K2996" s="106"/>
      <c r="L2996" s="141"/>
      <c r="M2996" s="132"/>
      <c r="N2996" s="133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spans="1:24" ht="14.25" customHeight="1">
      <c r="A2997" s="4"/>
      <c r="B2997" s="125"/>
      <c r="C2997" s="126"/>
      <c r="D2997" s="159"/>
      <c r="E2997" s="10" t="e">
        <f>TRIM(VLOOKUP(D2997,TB!$B$9:$C$1500,2,FALSE))</f>
        <v>#N/A</v>
      </c>
      <c r="F2997" s="142"/>
      <c r="G2997" s="130"/>
      <c r="H2997" s="10"/>
      <c r="I2997" s="10"/>
      <c r="J2997" s="79" t="e">
        <f t="shared" si="186"/>
        <v>#VALUE!</v>
      </c>
      <c r="K2997" s="106"/>
      <c r="L2997" s="141"/>
      <c r="M2997" s="132"/>
      <c r="N2997" s="133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spans="1:24" ht="14.25" customHeight="1">
      <c r="A2998" s="4"/>
      <c r="B2998" s="125">
        <v>46181</v>
      </c>
      <c r="C2998" s="126" t="s">
        <v>1309</v>
      </c>
      <c r="D2998" s="68" t="s">
        <v>158</v>
      </c>
      <c r="E2998" s="10" t="str">
        <f>TRIM(VLOOKUP(D2998,TB!$B$9:$C$1500,2,FALSE))</f>
        <v>Mandiri TBB IDR</v>
      </c>
      <c r="F2998" s="142" t="s">
        <v>1310</v>
      </c>
      <c r="G2998" s="130"/>
      <c r="H2998" s="10">
        <f>I3000-H2999</f>
        <v>69241645.862000003</v>
      </c>
      <c r="I2998" s="10"/>
      <c r="J2998" s="79" t="e">
        <f t="shared" si="186"/>
        <v>#VALUE!</v>
      </c>
      <c r="K2998" s="106"/>
      <c r="L2998" s="141"/>
      <c r="M2998" s="132"/>
      <c r="N2998" s="133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spans="1:24" ht="14.25" customHeight="1">
      <c r="A2999" s="4"/>
      <c r="B2999" s="125">
        <v>46181</v>
      </c>
      <c r="C2999" s="126" t="s">
        <v>1309</v>
      </c>
      <c r="D2999" s="15" t="s">
        <v>124</v>
      </c>
      <c r="E2999" s="10" t="str">
        <f>TRIM(VLOOKUP(D2999,TB!$B$9:$C$1500,2,FALSE))</f>
        <v>Bank charges</v>
      </c>
      <c r="F2999" s="142" t="s">
        <v>1310</v>
      </c>
      <c r="G2999" s="130"/>
      <c r="H2999" s="155">
        <v>1269195.138</v>
      </c>
      <c r="I2999" s="10"/>
      <c r="J2999" s="79" t="e">
        <f t="shared" si="186"/>
        <v>#VALUE!</v>
      </c>
      <c r="K2999" s="106"/>
      <c r="L2999" s="141"/>
      <c r="M2999" s="132"/>
      <c r="N2999" s="133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spans="1:24" ht="14.25" customHeight="1">
      <c r="A3000" s="4"/>
      <c r="B3000" s="125">
        <v>46181</v>
      </c>
      <c r="C3000" s="126" t="s">
        <v>1309</v>
      </c>
      <c r="D3000" s="15" t="s">
        <v>48</v>
      </c>
      <c r="E3000" s="10" t="str">
        <f>TRIM(VLOOKUP(D3000,TB!$B$9:$C$1500,2,FALSE))</f>
        <v>Mandiri Card TBB</v>
      </c>
      <c r="F3000" s="142" t="s">
        <v>1310</v>
      </c>
      <c r="G3000" s="130"/>
      <c r="H3000" s="10"/>
      <c r="I3000" s="10">
        <v>70510841</v>
      </c>
      <c r="J3000" s="79" t="e">
        <f t="shared" si="186"/>
        <v>#VALUE!</v>
      </c>
      <c r="K3000" s="106"/>
      <c r="L3000" s="141"/>
      <c r="M3000" s="132"/>
      <c r="N3000" s="133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spans="1:24" ht="14.25" customHeight="1">
      <c r="A3001" s="4"/>
      <c r="B3001" s="125"/>
      <c r="C3001" s="126"/>
      <c r="D3001" s="159"/>
      <c r="E3001" s="10" t="e">
        <f>TRIM(VLOOKUP(D3001,TB!$B$9:$C$1500,2,FALSE))</f>
        <v>#N/A</v>
      </c>
      <c r="F3001" s="142"/>
      <c r="G3001" s="130"/>
      <c r="H3001" s="10"/>
      <c r="I3001" s="10"/>
      <c r="J3001" s="79" t="e">
        <f t="shared" si="186"/>
        <v>#VALUE!</v>
      </c>
      <c r="K3001" s="106"/>
      <c r="L3001" s="141"/>
      <c r="M3001" s="132"/>
      <c r="N3001" s="133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spans="1:24" ht="14.25" customHeight="1">
      <c r="A3002" s="4"/>
      <c r="B3002" s="125">
        <v>46181</v>
      </c>
      <c r="C3002" s="126" t="s">
        <v>1311</v>
      </c>
      <c r="D3002" s="68" t="s">
        <v>158</v>
      </c>
      <c r="E3002" s="10" t="str">
        <f>TRIM(VLOOKUP(D3002,TB!$B$9:$C$1500,2,FALSE))</f>
        <v>Mandiri TBB IDR</v>
      </c>
      <c r="F3002" s="142" t="s">
        <v>1312</v>
      </c>
      <c r="G3002" s="130"/>
      <c r="H3002" s="10">
        <f>I3004-H3003</f>
        <v>4273953.6900000004</v>
      </c>
      <c r="I3002" s="10"/>
      <c r="J3002" s="79" t="e">
        <f t="shared" si="186"/>
        <v>#VALUE!</v>
      </c>
      <c r="K3002" s="106"/>
      <c r="L3002" s="141"/>
      <c r="M3002" s="132"/>
      <c r="N3002" s="133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spans="1:24" ht="14.25" customHeight="1">
      <c r="A3003" s="4"/>
      <c r="B3003" s="125">
        <v>46181</v>
      </c>
      <c r="C3003" s="126" t="s">
        <v>1311</v>
      </c>
      <c r="D3003" s="15" t="s">
        <v>124</v>
      </c>
      <c r="E3003" s="10" t="str">
        <f>TRIM(VLOOKUP(D3003,TB!$B$9:$C$1500,2,FALSE))</f>
        <v>Bank charges</v>
      </c>
      <c r="F3003" s="142" t="s">
        <v>1312</v>
      </c>
      <c r="G3003" s="130"/>
      <c r="H3003" s="155">
        <v>78341.310000000012</v>
      </c>
      <c r="I3003" s="10"/>
      <c r="J3003" s="79" t="e">
        <f t="shared" si="186"/>
        <v>#VALUE!</v>
      </c>
      <c r="K3003" s="106"/>
      <c r="L3003" s="141"/>
      <c r="M3003" s="132"/>
      <c r="N3003" s="133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spans="1:24" ht="14.25" customHeight="1">
      <c r="A3004" s="4"/>
      <c r="B3004" s="125">
        <v>46181</v>
      </c>
      <c r="C3004" s="126" t="s">
        <v>1311</v>
      </c>
      <c r="D3004" s="15" t="s">
        <v>48</v>
      </c>
      <c r="E3004" s="10" t="str">
        <f>TRIM(VLOOKUP(D3004,TB!$B$9:$C$1500,2,FALSE))</f>
        <v>Mandiri Card TBB</v>
      </c>
      <c r="F3004" s="142" t="s">
        <v>1312</v>
      </c>
      <c r="G3004" s="130"/>
      <c r="H3004" s="10"/>
      <c r="I3004" s="10">
        <v>4352295</v>
      </c>
      <c r="J3004" s="79" t="e">
        <f t="shared" si="186"/>
        <v>#VALUE!</v>
      </c>
      <c r="K3004" s="106"/>
      <c r="L3004" s="141"/>
      <c r="M3004" s="132"/>
      <c r="N3004" s="133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spans="1:24" ht="14.25" customHeight="1">
      <c r="A3005" s="4"/>
      <c r="B3005" s="125"/>
      <c r="C3005" s="126"/>
      <c r="D3005" s="159"/>
      <c r="E3005" s="10" t="e">
        <f>TRIM(VLOOKUP(D3005,TB!$B$9:$C$1500,2,FALSE))</f>
        <v>#N/A</v>
      </c>
      <c r="F3005" s="142"/>
      <c r="G3005" s="130"/>
      <c r="H3005" s="10"/>
      <c r="I3005" s="10"/>
      <c r="J3005" s="79" t="e">
        <f t="shared" si="186"/>
        <v>#VALUE!</v>
      </c>
      <c r="K3005" s="106"/>
      <c r="L3005" s="141"/>
      <c r="M3005" s="132"/>
      <c r="N3005" s="133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spans="1:24" ht="14.25" customHeight="1">
      <c r="A3006" s="4"/>
      <c r="B3006" s="125">
        <v>46181</v>
      </c>
      <c r="C3006" s="126" t="s">
        <v>1313</v>
      </c>
      <c r="D3006" s="68" t="s">
        <v>158</v>
      </c>
      <c r="E3006" s="10" t="str">
        <f>TRIM(VLOOKUP(D3006,TB!$B$9:$C$1500,2,FALSE))</f>
        <v>Mandiri TBB IDR</v>
      </c>
      <c r="F3006" s="142" t="s">
        <v>1314</v>
      </c>
      <c r="G3006" s="130"/>
      <c r="H3006" s="10">
        <f>I3008-H3007</f>
        <v>6806264.5860000001</v>
      </c>
      <c r="I3006" s="10"/>
      <c r="J3006" s="79" t="e">
        <f t="shared" si="186"/>
        <v>#VALUE!</v>
      </c>
      <c r="K3006" s="106"/>
      <c r="L3006" s="141"/>
      <c r="M3006" s="132"/>
      <c r="N3006" s="133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spans="1:24" ht="14.25" customHeight="1">
      <c r="A3007" s="4"/>
      <c r="B3007" s="125">
        <v>46181</v>
      </c>
      <c r="C3007" s="126" t="s">
        <v>1313</v>
      </c>
      <c r="D3007" s="15" t="s">
        <v>124</v>
      </c>
      <c r="E3007" s="10" t="str">
        <f>TRIM(VLOOKUP(D3007,TB!$B$9:$C$1500,2,FALSE))</f>
        <v>Bank charges</v>
      </c>
      <c r="F3007" s="142" t="s">
        <v>1314</v>
      </c>
      <c r="G3007" s="130"/>
      <c r="H3007" s="155">
        <v>124758.41400000002</v>
      </c>
      <c r="I3007" s="10"/>
      <c r="J3007" s="79" t="e">
        <f t="shared" si="186"/>
        <v>#VALUE!</v>
      </c>
      <c r="K3007" s="106"/>
      <c r="L3007" s="141"/>
      <c r="M3007" s="132"/>
      <c r="N3007" s="133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spans="1:24" ht="14.25" customHeight="1">
      <c r="A3008" s="4"/>
      <c r="B3008" s="125">
        <v>46181</v>
      </c>
      <c r="C3008" s="126" t="s">
        <v>1313</v>
      </c>
      <c r="D3008" s="15" t="s">
        <v>48</v>
      </c>
      <c r="E3008" s="10" t="str">
        <f>TRIM(VLOOKUP(D3008,TB!$B$9:$C$1500,2,FALSE))</f>
        <v>Mandiri Card TBB</v>
      </c>
      <c r="F3008" s="142" t="s">
        <v>1314</v>
      </c>
      <c r="G3008" s="130"/>
      <c r="H3008" s="10"/>
      <c r="I3008" s="10">
        <v>6931023</v>
      </c>
      <c r="J3008" s="79" t="e">
        <f t="shared" si="186"/>
        <v>#VALUE!</v>
      </c>
      <c r="K3008" s="106"/>
      <c r="L3008" s="141"/>
      <c r="M3008" s="132"/>
      <c r="N3008" s="133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spans="1:24" ht="14.25" customHeight="1">
      <c r="A3009" s="4"/>
      <c r="B3009" s="125"/>
      <c r="C3009" s="126"/>
      <c r="D3009" s="159"/>
      <c r="E3009" s="10" t="e">
        <f>TRIM(VLOOKUP(D3009,TB!$B$9:$C$1500,2,FALSE))</f>
        <v>#N/A</v>
      </c>
      <c r="F3009" s="142"/>
      <c r="G3009" s="130"/>
      <c r="H3009" s="10"/>
      <c r="I3009" s="10"/>
      <c r="J3009" s="79" t="e">
        <f t="shared" si="186"/>
        <v>#VALUE!</v>
      </c>
      <c r="K3009" s="106"/>
      <c r="L3009" s="141"/>
      <c r="M3009" s="132"/>
      <c r="N3009" s="133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spans="1:24" ht="14.25" customHeight="1">
      <c r="A3010" s="4"/>
      <c r="B3010" s="125">
        <v>46181</v>
      </c>
      <c r="C3010" s="126" t="s">
        <v>1315</v>
      </c>
      <c r="D3010" s="68" t="s">
        <v>158</v>
      </c>
      <c r="E3010" s="10" t="str">
        <f>TRIM(VLOOKUP(D3010,TB!$B$9:$C$1500,2,FALSE))</f>
        <v>Mandiri TBB IDR</v>
      </c>
      <c r="F3010" s="142" t="s">
        <v>1316</v>
      </c>
      <c r="G3010" s="130"/>
      <c r="H3010" s="10">
        <f>I3012-H3011</f>
        <v>982000</v>
      </c>
      <c r="I3010" s="10"/>
      <c r="J3010" s="79" t="e">
        <f t="shared" si="186"/>
        <v>#VALUE!</v>
      </c>
      <c r="K3010" s="106"/>
      <c r="L3010" s="141"/>
      <c r="M3010" s="132"/>
      <c r="N3010" s="133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spans="1:24" ht="14.25" customHeight="1">
      <c r="A3011" s="4"/>
      <c r="B3011" s="125">
        <v>46181</v>
      </c>
      <c r="C3011" s="126" t="s">
        <v>1315</v>
      </c>
      <c r="D3011" s="15" t="s">
        <v>124</v>
      </c>
      <c r="E3011" s="10" t="str">
        <f>TRIM(VLOOKUP(D3011,TB!$B$9:$C$1500,2,FALSE))</f>
        <v>Bank charges</v>
      </c>
      <c r="F3011" s="142" t="s">
        <v>1316</v>
      </c>
      <c r="G3011" s="130"/>
      <c r="H3011" s="155">
        <v>18000.000000000004</v>
      </c>
      <c r="I3011" s="10"/>
      <c r="J3011" s="79" t="e">
        <f t="shared" si="186"/>
        <v>#VALUE!</v>
      </c>
      <c r="K3011" s="106"/>
      <c r="L3011" s="141"/>
      <c r="M3011" s="132"/>
      <c r="N3011" s="133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spans="1:24" ht="14.25" customHeight="1">
      <c r="A3012" s="4"/>
      <c r="B3012" s="125">
        <v>46181</v>
      </c>
      <c r="C3012" s="126" t="s">
        <v>1315</v>
      </c>
      <c r="D3012" s="15" t="s">
        <v>48</v>
      </c>
      <c r="E3012" s="10" t="str">
        <f>TRIM(VLOOKUP(D3012,TB!$B$9:$C$1500,2,FALSE))</f>
        <v>Mandiri Card TBB</v>
      </c>
      <c r="F3012" s="142" t="s">
        <v>1316</v>
      </c>
      <c r="G3012" s="130"/>
      <c r="H3012" s="10"/>
      <c r="I3012" s="10">
        <v>1000000</v>
      </c>
      <c r="J3012" s="79" t="e">
        <f t="shared" si="186"/>
        <v>#VALUE!</v>
      </c>
      <c r="K3012" s="106"/>
      <c r="L3012" s="141"/>
      <c r="M3012" s="132"/>
      <c r="N3012" s="133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spans="1:24" ht="14.25" customHeight="1">
      <c r="A3013" s="4"/>
      <c r="B3013" s="125"/>
      <c r="C3013" s="126"/>
      <c r="D3013" s="159"/>
      <c r="E3013" s="10" t="e">
        <f>TRIM(VLOOKUP(D3013,TB!$B$9:$C$1500,2,FALSE))</f>
        <v>#N/A</v>
      </c>
      <c r="F3013" s="142"/>
      <c r="G3013" s="130"/>
      <c r="H3013" s="10"/>
      <c r="I3013" s="10"/>
      <c r="J3013" s="79" t="e">
        <f t="shared" si="186"/>
        <v>#VALUE!</v>
      </c>
      <c r="K3013" s="106"/>
      <c r="L3013" s="141"/>
      <c r="M3013" s="132"/>
      <c r="N3013" s="133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spans="1:24" ht="14.25" customHeight="1">
      <c r="A3014" s="4"/>
      <c r="B3014" s="125">
        <v>46181</v>
      </c>
      <c r="C3014" s="126" t="s">
        <v>1317</v>
      </c>
      <c r="D3014" s="68" t="s">
        <v>158</v>
      </c>
      <c r="E3014" s="10" t="str">
        <f>TRIM(VLOOKUP(D3014,TB!$B$9:$C$1500,2,FALSE))</f>
        <v>Mandiri TBB IDR</v>
      </c>
      <c r="F3014" s="142" t="s">
        <v>1318</v>
      </c>
      <c r="G3014" s="130"/>
      <c r="H3014" s="10">
        <f>I3016-H3015</f>
        <v>57712125.270000003</v>
      </c>
      <c r="I3014" s="10"/>
      <c r="J3014" s="79" t="e">
        <f t="shared" si="186"/>
        <v>#VALUE!</v>
      </c>
      <c r="K3014" s="106"/>
      <c r="L3014" s="141"/>
      <c r="M3014" s="132"/>
      <c r="N3014" s="133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spans="1:24" ht="14.25" customHeight="1">
      <c r="A3015" s="4"/>
      <c r="B3015" s="125">
        <v>46181</v>
      </c>
      <c r="C3015" s="126" t="s">
        <v>1317</v>
      </c>
      <c r="D3015" s="15" t="s">
        <v>124</v>
      </c>
      <c r="E3015" s="10" t="str">
        <f>TRIM(VLOOKUP(D3015,TB!$B$9:$C$1500,2,FALSE))</f>
        <v>Bank charges</v>
      </c>
      <c r="F3015" s="142" t="s">
        <v>1318</v>
      </c>
      <c r="G3015" s="130"/>
      <c r="H3015" s="155">
        <v>1057859.7300000002</v>
      </c>
      <c r="I3015" s="10"/>
      <c r="J3015" s="79" t="e">
        <f t="shared" si="186"/>
        <v>#VALUE!</v>
      </c>
      <c r="K3015" s="106"/>
      <c r="L3015" s="141"/>
      <c r="M3015" s="132"/>
      <c r="N3015" s="133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spans="1:24" ht="14.25" customHeight="1">
      <c r="A3016" s="4"/>
      <c r="B3016" s="125">
        <v>46181</v>
      </c>
      <c r="C3016" s="126" t="s">
        <v>1317</v>
      </c>
      <c r="D3016" s="15" t="s">
        <v>48</v>
      </c>
      <c r="E3016" s="10" t="str">
        <f>TRIM(VLOOKUP(D3016,TB!$B$9:$C$1500,2,FALSE))</f>
        <v>Mandiri Card TBB</v>
      </c>
      <c r="F3016" s="142" t="s">
        <v>1318</v>
      </c>
      <c r="G3016" s="130"/>
      <c r="H3016" s="10"/>
      <c r="I3016" s="10">
        <v>58769985</v>
      </c>
      <c r="J3016" s="79" t="e">
        <f t="shared" si="186"/>
        <v>#VALUE!</v>
      </c>
      <c r="K3016" s="106"/>
      <c r="L3016" s="141"/>
      <c r="M3016" s="132"/>
      <c r="N3016" s="133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spans="1:24" ht="14.25" customHeight="1">
      <c r="A3017" s="4"/>
      <c r="B3017" s="125"/>
      <c r="C3017" s="126"/>
      <c r="D3017" s="159"/>
      <c r="E3017" s="10" t="e">
        <f>TRIM(VLOOKUP(D3017,TB!$B$9:$C$1500,2,FALSE))</f>
        <v>#N/A</v>
      </c>
      <c r="F3017" s="142"/>
      <c r="G3017" s="130"/>
      <c r="H3017" s="10"/>
      <c r="I3017" s="10"/>
      <c r="J3017" s="79" t="e">
        <f t="shared" si="186"/>
        <v>#VALUE!</v>
      </c>
      <c r="K3017" s="106"/>
      <c r="L3017" s="141"/>
      <c r="M3017" s="132"/>
      <c r="N3017" s="133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spans="1:24" ht="14.25" customHeight="1">
      <c r="A3018" s="4"/>
      <c r="B3018" s="125">
        <v>46181</v>
      </c>
      <c r="C3018" s="126" t="s">
        <v>1319</v>
      </c>
      <c r="D3018" s="68" t="s">
        <v>158</v>
      </c>
      <c r="E3018" s="10" t="str">
        <f>TRIM(VLOOKUP(D3018,TB!$B$9:$C$1500,2,FALSE))</f>
        <v>Mandiri TBB IDR</v>
      </c>
      <c r="F3018" s="142" t="s">
        <v>1320</v>
      </c>
      <c r="G3018" s="130"/>
      <c r="H3018" s="10">
        <f>I3020-H3019</f>
        <v>5540360.5300000003</v>
      </c>
      <c r="I3018" s="10"/>
      <c r="J3018" s="79" t="e">
        <f t="shared" si="186"/>
        <v>#VALUE!</v>
      </c>
      <c r="K3018" s="106"/>
      <c r="L3018" s="141"/>
      <c r="M3018" s="132"/>
      <c r="N3018" s="133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spans="1:24" ht="14.25" customHeight="1">
      <c r="A3019" s="4"/>
      <c r="B3019" s="125">
        <v>46181</v>
      </c>
      <c r="C3019" s="126" t="s">
        <v>1319</v>
      </c>
      <c r="D3019" s="15" t="s">
        <v>124</v>
      </c>
      <c r="E3019" s="10" t="str">
        <f>TRIM(VLOOKUP(D3019,TB!$B$9:$C$1500,2,FALSE))</f>
        <v>Bank charges</v>
      </c>
      <c r="F3019" s="142" t="s">
        <v>1320</v>
      </c>
      <c r="G3019" s="130"/>
      <c r="H3019" s="155">
        <v>101554.47000000002</v>
      </c>
      <c r="I3019" s="10"/>
      <c r="J3019" s="79" t="e">
        <f t="shared" si="186"/>
        <v>#VALUE!</v>
      </c>
      <c r="K3019" s="106"/>
      <c r="L3019" s="141"/>
      <c r="M3019" s="132"/>
      <c r="N3019" s="133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spans="1:24" ht="14.25" customHeight="1">
      <c r="A3020" s="4"/>
      <c r="B3020" s="125">
        <v>46181</v>
      </c>
      <c r="C3020" s="126" t="s">
        <v>1319</v>
      </c>
      <c r="D3020" s="15" t="s">
        <v>48</v>
      </c>
      <c r="E3020" s="10" t="str">
        <f>TRIM(VLOOKUP(D3020,TB!$B$9:$C$1500,2,FALSE))</f>
        <v>Mandiri Card TBB</v>
      </c>
      <c r="F3020" s="142" t="s">
        <v>1320</v>
      </c>
      <c r="G3020" s="130"/>
      <c r="H3020" s="10"/>
      <c r="I3020" s="10">
        <v>5641915</v>
      </c>
      <c r="J3020" s="79" t="e">
        <f t="shared" si="186"/>
        <v>#VALUE!</v>
      </c>
      <c r="K3020" s="106"/>
      <c r="L3020" s="141"/>
      <c r="M3020" s="132"/>
      <c r="N3020" s="133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spans="1:24" ht="14.25" customHeight="1">
      <c r="A3021" s="4"/>
      <c r="B3021" s="125"/>
      <c r="C3021" s="126"/>
      <c r="D3021" s="159"/>
      <c r="E3021" s="10" t="e">
        <f>TRIM(VLOOKUP(D3021,TB!$B$9:$C$1500,2,FALSE))</f>
        <v>#N/A</v>
      </c>
      <c r="F3021" s="142"/>
      <c r="G3021" s="130"/>
      <c r="H3021" s="10"/>
      <c r="I3021" s="10"/>
      <c r="J3021" s="79" t="e">
        <f t="shared" si="186"/>
        <v>#VALUE!</v>
      </c>
      <c r="K3021" s="106"/>
      <c r="L3021" s="141"/>
      <c r="M3021" s="132"/>
      <c r="N3021" s="133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spans="1:24" ht="14.25" customHeight="1">
      <c r="A3022" s="4"/>
      <c r="B3022" s="125">
        <v>46181</v>
      </c>
      <c r="C3022" s="126" t="s">
        <v>1321</v>
      </c>
      <c r="D3022" s="68" t="s">
        <v>158</v>
      </c>
      <c r="E3022" s="10" t="str">
        <f>TRIM(VLOOKUP(D3022,TB!$B$9:$C$1500,2,FALSE))</f>
        <v>Mandiri TBB IDR</v>
      </c>
      <c r="F3022" s="142" t="s">
        <v>1322</v>
      </c>
      <c r="G3022" s="130"/>
      <c r="H3022" s="10">
        <f>I3024-H3023</f>
        <v>19962567.359999999</v>
      </c>
      <c r="I3022" s="10"/>
      <c r="J3022" s="79" t="e">
        <f t="shared" si="186"/>
        <v>#VALUE!</v>
      </c>
      <c r="K3022" s="106"/>
      <c r="L3022" s="141"/>
      <c r="M3022" s="132"/>
      <c r="N3022" s="133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spans="1:24" ht="14.25" customHeight="1">
      <c r="A3023" s="4"/>
      <c r="B3023" s="125">
        <v>46181</v>
      </c>
      <c r="C3023" s="126" t="s">
        <v>1321</v>
      </c>
      <c r="D3023" s="15" t="s">
        <v>124</v>
      </c>
      <c r="E3023" s="10" t="str">
        <f>TRIM(VLOOKUP(D3023,TB!$B$9:$C$1500,2,FALSE))</f>
        <v>Bank charges</v>
      </c>
      <c r="F3023" s="142" t="s">
        <v>1322</v>
      </c>
      <c r="G3023" s="130"/>
      <c r="H3023" s="155">
        <v>365912.64</v>
      </c>
      <c r="I3023" s="10"/>
      <c r="J3023" s="79" t="e">
        <f t="shared" si="186"/>
        <v>#VALUE!</v>
      </c>
      <c r="K3023" s="106"/>
      <c r="L3023" s="141"/>
      <c r="M3023" s="132"/>
      <c r="N3023" s="133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spans="1:24" ht="14.25" customHeight="1">
      <c r="A3024" s="4"/>
      <c r="B3024" s="125">
        <v>46181</v>
      </c>
      <c r="C3024" s="126" t="s">
        <v>1321</v>
      </c>
      <c r="D3024" s="15" t="s">
        <v>48</v>
      </c>
      <c r="E3024" s="10" t="str">
        <f>TRIM(VLOOKUP(D3024,TB!$B$9:$C$1500,2,FALSE))</f>
        <v>Mandiri Card TBB</v>
      </c>
      <c r="F3024" s="142" t="s">
        <v>1322</v>
      </c>
      <c r="G3024" s="130"/>
      <c r="H3024" s="10"/>
      <c r="I3024" s="10">
        <v>20328480</v>
      </c>
      <c r="J3024" s="79" t="e">
        <f t="shared" si="186"/>
        <v>#VALUE!</v>
      </c>
      <c r="K3024" s="106"/>
      <c r="L3024" s="141"/>
      <c r="M3024" s="132"/>
      <c r="N3024" s="133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spans="1:24" ht="14.25" customHeight="1">
      <c r="A3025" s="4"/>
      <c r="B3025" s="125"/>
      <c r="C3025" s="126"/>
      <c r="D3025" s="159"/>
      <c r="E3025" s="10" t="e">
        <f>TRIM(VLOOKUP(D3025,TB!$B$9:$C$1500,2,FALSE))</f>
        <v>#N/A</v>
      </c>
      <c r="F3025" s="142"/>
      <c r="G3025" s="130"/>
      <c r="H3025" s="10"/>
      <c r="I3025" s="10"/>
      <c r="J3025" s="79" t="e">
        <f t="shared" si="186"/>
        <v>#VALUE!</v>
      </c>
      <c r="K3025" s="106"/>
      <c r="L3025" s="141"/>
      <c r="M3025" s="132"/>
      <c r="N3025" s="133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spans="1:24" ht="14.25" customHeight="1">
      <c r="A3026" s="4"/>
      <c r="B3026" s="125">
        <v>46181</v>
      </c>
      <c r="C3026" s="126" t="s">
        <v>1323</v>
      </c>
      <c r="D3026" s="176" t="s">
        <v>285</v>
      </c>
      <c r="E3026" s="10" t="str">
        <f>TRIM(VLOOKUP(D3026,TB!$B$9:$C$1500,2,FALSE))</f>
        <v>Misc Cash Purchase</v>
      </c>
      <c r="F3026" s="186" t="s">
        <v>1324</v>
      </c>
      <c r="G3026" s="130"/>
      <c r="H3026" s="10">
        <v>2000000</v>
      </c>
      <c r="I3026" s="10"/>
      <c r="J3026" s="79" t="e">
        <f t="shared" si="186"/>
        <v>#VALUE!</v>
      </c>
      <c r="K3026" s="106"/>
      <c r="L3026" s="141"/>
      <c r="M3026" s="132"/>
      <c r="N3026" s="133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spans="1:24" ht="14.25" customHeight="1">
      <c r="A3027" s="4"/>
      <c r="B3027" s="125">
        <v>46181</v>
      </c>
      <c r="C3027" s="126" t="s">
        <v>1323</v>
      </c>
      <c r="D3027" s="68" t="s">
        <v>158</v>
      </c>
      <c r="E3027" s="10" t="str">
        <f>TRIM(VLOOKUP(D3027,TB!$B$9:$C$1500,2,FALSE))</f>
        <v>Mandiri TBB IDR</v>
      </c>
      <c r="F3027" s="186" t="s">
        <v>1324</v>
      </c>
      <c r="G3027" s="130"/>
      <c r="H3027" s="10"/>
      <c r="I3027" s="10">
        <v>2000000</v>
      </c>
      <c r="J3027" s="79" t="e">
        <f t="shared" si="186"/>
        <v>#VALUE!</v>
      </c>
      <c r="K3027" s="106"/>
      <c r="L3027" s="141"/>
      <c r="M3027" s="132"/>
      <c r="N3027" s="133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4" ht="14.25" customHeight="1">
      <c r="A3028" s="4"/>
      <c r="B3028" s="125"/>
      <c r="C3028" s="126"/>
      <c r="D3028" s="159"/>
      <c r="E3028" s="10" t="e">
        <f>TRIM(VLOOKUP(D3028,TB!$B$9:$C$1500,2,FALSE))</f>
        <v>#N/A</v>
      </c>
      <c r="F3028" s="142"/>
      <c r="G3028" s="130"/>
      <c r="H3028" s="10"/>
      <c r="I3028" s="10"/>
      <c r="J3028" s="79" t="e">
        <f t="shared" si="186"/>
        <v>#VALUE!</v>
      </c>
      <c r="K3028" s="106"/>
      <c r="L3028" s="141"/>
      <c r="M3028" s="132"/>
      <c r="N3028" s="133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spans="1:24" ht="14.25" customHeight="1">
      <c r="A3029" s="4"/>
      <c r="B3029" s="125">
        <v>46181</v>
      </c>
      <c r="C3029" s="126" t="s">
        <v>1325</v>
      </c>
      <c r="D3029" s="176" t="s">
        <v>285</v>
      </c>
      <c r="E3029" s="10" t="str">
        <f>TRIM(VLOOKUP(D3029,TB!$B$9:$C$1500,2,FALSE))</f>
        <v>Misc Cash Purchase</v>
      </c>
      <c r="F3029" s="186" t="s">
        <v>1326</v>
      </c>
      <c r="G3029" s="130"/>
      <c r="H3029" s="10">
        <v>4000000</v>
      </c>
      <c r="I3029" s="10"/>
      <c r="J3029" s="79" t="e">
        <f t="shared" si="186"/>
        <v>#VALUE!</v>
      </c>
      <c r="K3029" s="106"/>
      <c r="L3029" s="141"/>
      <c r="M3029" s="132"/>
      <c r="N3029" s="133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spans="1:24" ht="14.25" customHeight="1">
      <c r="A3030" s="4"/>
      <c r="B3030" s="125">
        <v>46181</v>
      </c>
      <c r="C3030" s="126" t="s">
        <v>1325</v>
      </c>
      <c r="D3030" s="68" t="s">
        <v>158</v>
      </c>
      <c r="E3030" s="10" t="str">
        <f>TRIM(VLOOKUP(D3030,TB!$B$9:$C$1500,2,FALSE))</f>
        <v>Mandiri TBB IDR</v>
      </c>
      <c r="F3030" s="186" t="s">
        <v>1326</v>
      </c>
      <c r="G3030" s="130"/>
      <c r="H3030" s="10"/>
      <c r="I3030" s="10">
        <v>4000000</v>
      </c>
      <c r="J3030" s="79" t="e">
        <f t="shared" si="186"/>
        <v>#VALUE!</v>
      </c>
      <c r="K3030" s="106"/>
      <c r="L3030" s="141"/>
      <c r="M3030" s="132"/>
      <c r="N3030" s="133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spans="1:24" ht="14.25" customHeight="1">
      <c r="A3031" s="4"/>
      <c r="B3031" s="125"/>
      <c r="C3031" s="126"/>
      <c r="D3031" s="159"/>
      <c r="E3031" s="10" t="e">
        <f>TRIM(VLOOKUP(D3031,TB!$B$9:$C$1500,2,FALSE))</f>
        <v>#N/A</v>
      </c>
      <c r="F3031" s="142"/>
      <c r="G3031" s="130"/>
      <c r="H3031" s="10"/>
      <c r="I3031" s="10"/>
      <c r="J3031" s="79" t="e">
        <f t="shared" si="186"/>
        <v>#VALUE!</v>
      </c>
      <c r="K3031" s="106"/>
      <c r="L3031" s="141"/>
      <c r="M3031" s="132"/>
      <c r="N3031" s="133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spans="1:24" ht="14.25" customHeight="1">
      <c r="A3032" s="4"/>
      <c r="B3032" s="125">
        <v>46181</v>
      </c>
      <c r="C3032" s="126" t="s">
        <v>1327</v>
      </c>
      <c r="D3032" s="176" t="s">
        <v>285</v>
      </c>
      <c r="E3032" s="10" t="str">
        <f>TRIM(VLOOKUP(D3032,TB!$B$9:$C$1500,2,FALSE))</f>
        <v>Misc Cash Purchase</v>
      </c>
      <c r="F3032" s="185" t="s">
        <v>1328</v>
      </c>
      <c r="G3032" s="130"/>
      <c r="H3032" s="10">
        <v>220000</v>
      </c>
      <c r="I3032" s="10"/>
      <c r="J3032" s="79" t="e">
        <f t="shared" si="186"/>
        <v>#VALUE!</v>
      </c>
      <c r="K3032" s="106"/>
      <c r="L3032" s="141"/>
      <c r="M3032" s="132"/>
      <c r="N3032" s="133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spans="1:24" ht="14.25" customHeight="1">
      <c r="A3033" s="4"/>
      <c r="B3033" s="125">
        <v>46181</v>
      </c>
      <c r="C3033" s="126" t="s">
        <v>1327</v>
      </c>
      <c r="D3033" s="68" t="s">
        <v>158</v>
      </c>
      <c r="E3033" s="10" t="str">
        <f>TRIM(VLOOKUP(D3033,TB!$B$9:$C$1500,2,FALSE))</f>
        <v>Mandiri TBB IDR</v>
      </c>
      <c r="F3033" s="185" t="s">
        <v>1328</v>
      </c>
      <c r="G3033" s="130"/>
      <c r="H3033" s="10"/>
      <c r="I3033" s="10">
        <v>220000</v>
      </c>
      <c r="J3033" s="79" t="e">
        <f t="shared" si="186"/>
        <v>#VALUE!</v>
      </c>
      <c r="K3033" s="106"/>
      <c r="L3033" s="141"/>
      <c r="M3033" s="132"/>
      <c r="N3033" s="133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spans="1:24" ht="14.25" customHeight="1">
      <c r="A3034" s="4"/>
      <c r="B3034" s="125"/>
      <c r="C3034" s="126"/>
      <c r="D3034" s="159"/>
      <c r="E3034" s="10" t="e">
        <f>TRIM(VLOOKUP(D3034,TB!$B$9:$C$1500,2,FALSE))</f>
        <v>#N/A</v>
      </c>
      <c r="F3034" s="142"/>
      <c r="G3034" s="130"/>
      <c r="H3034" s="10"/>
      <c r="I3034" s="10"/>
      <c r="J3034" s="79" t="e">
        <f t="shared" si="186"/>
        <v>#VALUE!</v>
      </c>
      <c r="K3034" s="106"/>
      <c r="L3034" s="141"/>
      <c r="M3034" s="132"/>
      <c r="N3034" s="133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spans="1:24" ht="14.25" customHeight="1">
      <c r="A3035" s="4"/>
      <c r="B3035" s="125">
        <v>46181</v>
      </c>
      <c r="C3035" s="126" t="s">
        <v>1329</v>
      </c>
      <c r="D3035" s="176" t="s">
        <v>285</v>
      </c>
      <c r="E3035" s="10" t="str">
        <f>TRIM(VLOOKUP(D3035,TB!$B$9:$C$1500,2,FALSE))</f>
        <v>Misc Cash Purchase</v>
      </c>
      <c r="F3035" s="185" t="s">
        <v>1330</v>
      </c>
      <c r="G3035" s="130"/>
      <c r="H3035" s="10">
        <v>4665000</v>
      </c>
      <c r="I3035" s="10"/>
      <c r="J3035" s="79" t="e">
        <f t="shared" si="186"/>
        <v>#VALUE!</v>
      </c>
      <c r="K3035" s="106"/>
      <c r="L3035" s="141"/>
      <c r="M3035" s="132"/>
      <c r="N3035" s="133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spans="1:24" ht="14.25" customHeight="1">
      <c r="A3036" s="4"/>
      <c r="B3036" s="125">
        <v>46181</v>
      </c>
      <c r="C3036" s="126" t="s">
        <v>1329</v>
      </c>
      <c r="D3036" s="68" t="s">
        <v>158</v>
      </c>
      <c r="E3036" s="10" t="str">
        <f>TRIM(VLOOKUP(D3036,TB!$B$9:$C$1500,2,FALSE))</f>
        <v>Mandiri TBB IDR</v>
      </c>
      <c r="F3036" s="185" t="s">
        <v>1330</v>
      </c>
      <c r="G3036" s="130"/>
      <c r="H3036" s="10"/>
      <c r="I3036" s="10">
        <v>4665000</v>
      </c>
      <c r="J3036" s="79" t="e">
        <f t="shared" si="186"/>
        <v>#VALUE!</v>
      </c>
      <c r="K3036" s="106"/>
      <c r="L3036" s="141"/>
      <c r="M3036" s="132"/>
      <c r="N3036" s="133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spans="1:24" ht="14.25" customHeight="1">
      <c r="A3037" s="4"/>
      <c r="B3037" s="125"/>
      <c r="C3037" s="126"/>
      <c r="D3037" s="159"/>
      <c r="E3037" s="10" t="e">
        <f>TRIM(VLOOKUP(D3037,TB!$B$9:$C$1500,2,FALSE))</f>
        <v>#N/A</v>
      </c>
      <c r="F3037" s="142"/>
      <c r="G3037" s="130"/>
      <c r="H3037" s="10"/>
      <c r="I3037" s="10"/>
      <c r="J3037" s="79" t="e">
        <f t="shared" si="186"/>
        <v>#VALUE!</v>
      </c>
      <c r="K3037" s="106"/>
      <c r="L3037" s="141"/>
      <c r="M3037" s="132"/>
      <c r="N3037" s="133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spans="1:24" ht="14.25" customHeight="1">
      <c r="A3038" s="4"/>
      <c r="B3038" s="125">
        <v>46181</v>
      </c>
      <c r="C3038" s="126" t="s">
        <v>1331</v>
      </c>
      <c r="D3038" s="176" t="s">
        <v>285</v>
      </c>
      <c r="E3038" s="10" t="str">
        <f>TRIM(VLOOKUP(D3038,TB!$B$9:$C$1500,2,FALSE))</f>
        <v>Misc Cash Purchase</v>
      </c>
      <c r="F3038" s="185" t="s">
        <v>1332</v>
      </c>
      <c r="G3038" s="130"/>
      <c r="H3038" s="10">
        <v>3490215</v>
      </c>
      <c r="I3038" s="10"/>
      <c r="J3038" s="79" t="e">
        <f t="shared" si="186"/>
        <v>#VALUE!</v>
      </c>
      <c r="K3038" s="106"/>
      <c r="L3038" s="141"/>
      <c r="M3038" s="132"/>
      <c r="N3038" s="133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spans="1:24" ht="14.25" customHeight="1">
      <c r="A3039" s="4"/>
      <c r="B3039" s="125">
        <v>46181</v>
      </c>
      <c r="C3039" s="126" t="s">
        <v>1331</v>
      </c>
      <c r="D3039" s="68" t="s">
        <v>158</v>
      </c>
      <c r="E3039" s="10" t="str">
        <f>TRIM(VLOOKUP(D3039,TB!$B$9:$C$1500,2,FALSE))</f>
        <v>Mandiri TBB IDR</v>
      </c>
      <c r="F3039" s="185" t="s">
        <v>1332</v>
      </c>
      <c r="G3039" s="130"/>
      <c r="H3039" s="10"/>
      <c r="I3039" s="10">
        <v>3490215</v>
      </c>
      <c r="J3039" s="79" t="e">
        <f t="shared" si="186"/>
        <v>#VALUE!</v>
      </c>
      <c r="K3039" s="106"/>
      <c r="L3039" s="141"/>
      <c r="M3039" s="132"/>
      <c r="N3039" s="133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spans="1:24" ht="14.25" customHeight="1">
      <c r="A3040" s="4"/>
      <c r="B3040" s="125"/>
      <c r="C3040" s="126"/>
      <c r="D3040" s="159"/>
      <c r="E3040" s="10" t="e">
        <f>TRIM(VLOOKUP(D3040,TB!$B$9:$C$1500,2,FALSE))</f>
        <v>#N/A</v>
      </c>
      <c r="F3040" s="142"/>
      <c r="G3040" s="130"/>
      <c r="H3040" s="10"/>
      <c r="I3040" s="10"/>
      <c r="J3040" s="79" t="e">
        <f t="shared" si="186"/>
        <v>#VALUE!</v>
      </c>
      <c r="K3040" s="106"/>
      <c r="L3040" s="141"/>
      <c r="M3040" s="132"/>
      <c r="N3040" s="133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spans="1:24" ht="14.25" customHeight="1">
      <c r="A3041" s="4"/>
      <c r="B3041" s="125">
        <v>46181</v>
      </c>
      <c r="C3041" s="126" t="s">
        <v>1333</v>
      </c>
      <c r="D3041" s="176" t="s">
        <v>285</v>
      </c>
      <c r="E3041" s="10" t="str">
        <f>TRIM(VLOOKUP(D3041,TB!$B$9:$C$1500,2,FALSE))</f>
        <v>Misc Cash Purchase</v>
      </c>
      <c r="F3041" s="185" t="s">
        <v>1334</v>
      </c>
      <c r="G3041" s="130"/>
      <c r="H3041" s="10">
        <v>3676616</v>
      </c>
      <c r="I3041" s="10"/>
      <c r="J3041" s="79" t="e">
        <f t="shared" si="186"/>
        <v>#VALUE!</v>
      </c>
      <c r="K3041" s="106"/>
      <c r="L3041" s="141"/>
      <c r="M3041" s="132"/>
      <c r="N3041" s="133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spans="1:24" ht="14.25" customHeight="1">
      <c r="A3042" s="4"/>
      <c r="B3042" s="125">
        <v>46181</v>
      </c>
      <c r="C3042" s="126" t="s">
        <v>1333</v>
      </c>
      <c r="D3042" s="15" t="s">
        <v>1335</v>
      </c>
      <c r="E3042" s="10" t="str">
        <f>TRIM(VLOOKUP(D3042,TB!$B$9:$C$1500,2,FALSE))</f>
        <v>Staff Uniforms</v>
      </c>
      <c r="F3042" s="185" t="s">
        <v>1336</v>
      </c>
      <c r="G3042" s="130"/>
      <c r="H3042" s="155">
        <v>1860000</v>
      </c>
      <c r="I3042" s="10"/>
      <c r="J3042" s="79" t="e">
        <f t="shared" si="186"/>
        <v>#VALUE!</v>
      </c>
      <c r="K3042" s="106"/>
      <c r="L3042" s="141"/>
      <c r="M3042" s="132"/>
      <c r="N3042" s="133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spans="1:24" ht="14.25" customHeight="1">
      <c r="A3043" s="4"/>
      <c r="B3043" s="125">
        <v>46181</v>
      </c>
      <c r="C3043" s="126" t="s">
        <v>1333</v>
      </c>
      <c r="D3043" s="15" t="s">
        <v>815</v>
      </c>
      <c r="E3043" s="10" t="str">
        <f>TRIM(VLOOKUP(D3043,TB!$B$9:$C$1500,2,FALSE))</f>
        <v>Other staff expenses</v>
      </c>
      <c r="F3043" s="185" t="s">
        <v>1337</v>
      </c>
      <c r="G3043" s="130"/>
      <c r="H3043" s="155">
        <v>188500</v>
      </c>
      <c r="I3043" s="10"/>
      <c r="J3043" s="79" t="e">
        <f t="shared" si="186"/>
        <v>#VALUE!</v>
      </c>
      <c r="K3043" s="106"/>
      <c r="L3043" s="141"/>
      <c r="M3043" s="132"/>
      <c r="N3043" s="133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spans="1:24" ht="14.25" customHeight="1">
      <c r="A3044" s="4"/>
      <c r="B3044" s="125">
        <v>46181</v>
      </c>
      <c r="C3044" s="126" t="s">
        <v>1333</v>
      </c>
      <c r="D3044" s="15" t="s">
        <v>815</v>
      </c>
      <c r="E3044" s="10" t="str">
        <f>TRIM(VLOOKUP(D3044,TB!$B$9:$C$1500,2,FALSE))</f>
        <v>Other staff expenses</v>
      </c>
      <c r="F3044" s="185" t="s">
        <v>1338</v>
      </c>
      <c r="G3044" s="130"/>
      <c r="H3044" s="155">
        <v>50000</v>
      </c>
      <c r="I3044" s="10"/>
      <c r="J3044" s="79" t="e">
        <f t="shared" si="186"/>
        <v>#VALUE!</v>
      </c>
      <c r="K3044" s="106"/>
      <c r="L3044" s="141"/>
      <c r="M3044" s="132"/>
      <c r="N3044" s="133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spans="1:24" ht="14.25" customHeight="1">
      <c r="A3045" s="4"/>
      <c r="B3045" s="125">
        <v>46181</v>
      </c>
      <c r="C3045" s="126" t="s">
        <v>1333</v>
      </c>
      <c r="D3045" s="68" t="s">
        <v>158</v>
      </c>
      <c r="E3045" s="10" t="str">
        <f>TRIM(VLOOKUP(D3045,TB!$B$9:$C$1500,2,FALSE))</f>
        <v>Mandiri TBB IDR</v>
      </c>
      <c r="F3045" s="185" t="s">
        <v>1334</v>
      </c>
      <c r="G3045" s="130"/>
      <c r="H3045" s="10"/>
      <c r="I3045" s="10">
        <v>5775116</v>
      </c>
      <c r="J3045" s="79" t="e">
        <f t="shared" si="186"/>
        <v>#VALUE!</v>
      </c>
      <c r="K3045" s="106"/>
      <c r="L3045" s="141"/>
      <c r="M3045" s="132"/>
      <c r="N3045" s="133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spans="1:24" ht="14.25" customHeight="1">
      <c r="A3046" s="4"/>
      <c r="B3046" s="125"/>
      <c r="C3046" s="126"/>
      <c r="D3046" s="159"/>
      <c r="E3046" s="10" t="e">
        <f>TRIM(VLOOKUP(D3046,TB!$B$9:$C$1500,2,FALSE))</f>
        <v>#N/A</v>
      </c>
      <c r="F3046" s="142"/>
      <c r="G3046" s="130"/>
      <c r="H3046" s="10"/>
      <c r="I3046" s="10"/>
      <c r="J3046" s="79" t="e">
        <f t="shared" si="186"/>
        <v>#VALUE!</v>
      </c>
      <c r="K3046" s="106"/>
      <c r="L3046" s="141"/>
      <c r="M3046" s="132"/>
      <c r="N3046" s="133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spans="1:24" ht="14.25" customHeight="1">
      <c r="A3047" s="4"/>
      <c r="B3047" s="125">
        <v>46181</v>
      </c>
      <c r="C3047" s="126" t="s">
        <v>1339</v>
      </c>
      <c r="D3047" s="68" t="s">
        <v>478</v>
      </c>
      <c r="E3047" s="10" t="str">
        <f>TRIM(VLOOKUP(D3047,TB!$B$9:$C$1500,2,FALSE))</f>
        <v>Intercompany Payable – PT Star Hospitality Bali</v>
      </c>
      <c r="F3047" s="142" t="s">
        <v>1340</v>
      </c>
      <c r="G3047" s="130"/>
      <c r="H3047" s="155">
        <v>23333333</v>
      </c>
      <c r="I3047" s="10"/>
      <c r="J3047" s="79" t="e">
        <f t="shared" si="186"/>
        <v>#VALUE!</v>
      </c>
      <c r="K3047" s="106"/>
      <c r="L3047" s="141"/>
      <c r="M3047" s="132"/>
      <c r="N3047" s="133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spans="1:24" ht="14.25" customHeight="1">
      <c r="A3048" s="4"/>
      <c r="B3048" s="125">
        <v>46181</v>
      </c>
      <c r="C3048" s="126" t="s">
        <v>1339</v>
      </c>
      <c r="D3048" s="15" t="s">
        <v>480</v>
      </c>
      <c r="E3048" s="10" t="str">
        <f>TRIM(VLOOKUP(D3048,TB!$B$9:$C$1500,2,FALSE))</f>
        <v>Interest Expenses</v>
      </c>
      <c r="F3048" s="142" t="s">
        <v>1340</v>
      </c>
      <c r="G3048" s="130"/>
      <c r="H3048" s="155">
        <v>32666667</v>
      </c>
      <c r="I3048" s="10"/>
      <c r="J3048" s="79" t="e">
        <f t="shared" si="186"/>
        <v>#VALUE!</v>
      </c>
      <c r="K3048" s="106"/>
      <c r="L3048" s="141"/>
      <c r="M3048" s="132"/>
      <c r="N3048" s="133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spans="1:24" ht="14.25" customHeight="1">
      <c r="A3049" s="4"/>
      <c r="B3049" s="125">
        <v>46181</v>
      </c>
      <c r="C3049" s="126" t="s">
        <v>1339</v>
      </c>
      <c r="D3049" s="68" t="s">
        <v>158</v>
      </c>
      <c r="E3049" s="10" t="str">
        <f>TRIM(VLOOKUP(D3049,TB!$B$9:$C$1500,2,FALSE))</f>
        <v>Mandiri TBB IDR</v>
      </c>
      <c r="F3049" s="142" t="s">
        <v>1340</v>
      </c>
      <c r="G3049" s="130"/>
      <c r="H3049" s="10"/>
      <c r="I3049" s="10">
        <v>56000000</v>
      </c>
      <c r="J3049" s="79" t="e">
        <f t="shared" si="186"/>
        <v>#VALUE!</v>
      </c>
      <c r="K3049" s="106"/>
      <c r="L3049" s="141"/>
      <c r="M3049" s="132"/>
      <c r="N3049" s="133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spans="1:24" ht="14.25" customHeight="1">
      <c r="A3050" s="4"/>
      <c r="B3050" s="125"/>
      <c r="C3050" s="126"/>
      <c r="D3050" s="159"/>
      <c r="E3050" s="10" t="e">
        <f>TRIM(VLOOKUP(D3050,TB!$B$9:$C$1500,2,FALSE))</f>
        <v>#N/A</v>
      </c>
      <c r="F3050" s="142"/>
      <c r="G3050" s="130"/>
      <c r="H3050" s="10"/>
      <c r="I3050" s="10"/>
      <c r="J3050" s="79" t="e">
        <f t="shared" si="186"/>
        <v>#VALUE!</v>
      </c>
      <c r="K3050" s="106"/>
      <c r="L3050" s="141"/>
      <c r="M3050" s="132"/>
      <c r="N3050" s="133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spans="1:24" ht="14.25" customHeight="1">
      <c r="A3051" s="4"/>
      <c r="B3051" s="125">
        <v>46181</v>
      </c>
      <c r="C3051" s="126" t="s">
        <v>1341</v>
      </c>
      <c r="D3051" s="15" t="s">
        <v>1213</v>
      </c>
      <c r="E3051" s="10" t="str">
        <f>TRIM(VLOOKUP(D3051,TB!$B$9:$C$1500,2,FALSE))</f>
        <v>Jamsostek Payable</v>
      </c>
      <c r="F3051" s="142" t="s">
        <v>1342</v>
      </c>
      <c r="G3051" s="130"/>
      <c r="H3051" s="10">
        <v>37517258</v>
      </c>
      <c r="I3051" s="10"/>
      <c r="J3051" s="79" t="e">
        <f t="shared" si="186"/>
        <v>#VALUE!</v>
      </c>
      <c r="K3051" s="106"/>
      <c r="L3051" s="141"/>
      <c r="M3051" s="132"/>
      <c r="N3051" s="133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4" ht="14.25" customHeight="1">
      <c r="A3052" s="4"/>
      <c r="B3052" s="125">
        <v>46181</v>
      </c>
      <c r="C3052" s="126" t="s">
        <v>1341</v>
      </c>
      <c r="D3052" s="68" t="s">
        <v>175</v>
      </c>
      <c r="E3052" s="10" t="str">
        <f>TRIM(VLOOKUP(D3052,TB!$B$9:$C$1500,2,FALSE))</f>
        <v>Intercompany Receivable – Treasury StarPOINTS</v>
      </c>
      <c r="F3052" s="142" t="s">
        <v>1343</v>
      </c>
      <c r="G3052" s="130"/>
      <c r="H3052" s="10">
        <v>10288091</v>
      </c>
      <c r="I3052" s="10"/>
      <c r="J3052" s="79" t="e">
        <f t="shared" si="186"/>
        <v>#VALUE!</v>
      </c>
      <c r="K3052" s="106"/>
      <c r="L3052" s="141"/>
      <c r="M3052" s="132"/>
      <c r="N3052" s="133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spans="1:24" ht="14.25" customHeight="1">
      <c r="A3053" s="4"/>
      <c r="B3053" s="125">
        <v>46181</v>
      </c>
      <c r="C3053" s="126" t="s">
        <v>1341</v>
      </c>
      <c r="D3053" s="15" t="s">
        <v>1216</v>
      </c>
      <c r="E3053" s="10" t="str">
        <f>TRIM(VLOOKUP(D3053,TB!$B$9:$C$1500,2,FALSE))</f>
        <v>Others Expenses Others</v>
      </c>
      <c r="F3053" s="142" t="s">
        <v>1344</v>
      </c>
      <c r="G3053" s="130"/>
      <c r="H3053" s="10">
        <v>1</v>
      </c>
      <c r="I3053" s="10"/>
      <c r="J3053" s="79" t="e">
        <f t="shared" si="186"/>
        <v>#VALUE!</v>
      </c>
      <c r="K3053" s="106"/>
      <c r="L3053" s="141"/>
      <c r="M3053" s="132"/>
      <c r="N3053" s="133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spans="1:24" ht="14.25" customHeight="1">
      <c r="A3054" s="4"/>
      <c r="B3054" s="125">
        <v>46181</v>
      </c>
      <c r="C3054" s="126" t="s">
        <v>1341</v>
      </c>
      <c r="D3054" s="68" t="s">
        <v>158</v>
      </c>
      <c r="E3054" s="10" t="str">
        <f>TRIM(VLOOKUP(D3054,TB!$B$9:$C$1500,2,FALSE))</f>
        <v>Mandiri TBB IDR</v>
      </c>
      <c r="F3054" s="142" t="s">
        <v>1344</v>
      </c>
      <c r="G3054" s="130"/>
      <c r="H3054" s="10"/>
      <c r="I3054" s="10">
        <v>47805350</v>
      </c>
      <c r="J3054" s="79" t="e">
        <f t="shared" si="186"/>
        <v>#VALUE!</v>
      </c>
      <c r="K3054" s="106"/>
      <c r="L3054" s="141"/>
      <c r="M3054" s="132"/>
      <c r="N3054" s="133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4" ht="14.25" customHeight="1">
      <c r="A3055" s="4"/>
      <c r="B3055" s="125"/>
      <c r="C3055" s="126"/>
      <c r="D3055" s="159"/>
      <c r="E3055" s="10" t="e">
        <f>TRIM(VLOOKUP(D3055,TB!$B$9:$C$1500,2,FALSE))</f>
        <v>#N/A</v>
      </c>
      <c r="F3055" s="142"/>
      <c r="G3055" s="130"/>
      <c r="H3055" s="10"/>
      <c r="I3055" s="10"/>
      <c r="J3055" s="79" t="e">
        <f t="shared" si="186"/>
        <v>#VALUE!</v>
      </c>
      <c r="K3055" s="106"/>
      <c r="L3055" s="141"/>
      <c r="M3055" s="132"/>
      <c r="N3055" s="133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4" ht="14.25" customHeight="1">
      <c r="A3056" s="4"/>
      <c r="B3056" s="125">
        <v>46181</v>
      </c>
      <c r="C3056" s="126" t="s">
        <v>1345</v>
      </c>
      <c r="D3056" s="68" t="s">
        <v>229</v>
      </c>
      <c r="E3056" s="10" t="str">
        <f>TRIM(VLOOKUP(D3056,TB!$B$9:$C$1500,2,FALSE))</f>
        <v>Mandiri TBB USD</v>
      </c>
      <c r="F3056" s="142" t="s">
        <v>1346</v>
      </c>
      <c r="G3056" s="130"/>
      <c r="H3056" s="10">
        <v>46400000</v>
      </c>
      <c r="I3056" s="10"/>
      <c r="J3056" s="79" t="e">
        <f t="shared" si="186"/>
        <v>#VALUE!</v>
      </c>
      <c r="K3056" s="106"/>
      <c r="L3056" s="141"/>
      <c r="M3056" s="132"/>
      <c r="N3056" s="133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spans="1:24" ht="14.25" customHeight="1">
      <c r="A3057" s="4"/>
      <c r="B3057" s="125">
        <v>46181</v>
      </c>
      <c r="C3057" s="126" t="s">
        <v>1345</v>
      </c>
      <c r="D3057" s="68" t="s">
        <v>158</v>
      </c>
      <c r="E3057" s="10" t="str">
        <f>TRIM(VLOOKUP(D3057,TB!$B$9:$C$1500,2,FALSE))</f>
        <v>Mandiri TBB IDR</v>
      </c>
      <c r="F3057" s="142" t="s">
        <v>1346</v>
      </c>
      <c r="G3057" s="130"/>
      <c r="H3057" s="10"/>
      <c r="I3057" s="10">
        <v>46400000</v>
      </c>
      <c r="J3057" s="79" t="e">
        <f t="shared" si="186"/>
        <v>#VALUE!</v>
      </c>
      <c r="K3057" s="106"/>
      <c r="L3057" s="141"/>
      <c r="M3057" s="132"/>
      <c r="N3057" s="133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spans="1:24" ht="14.25" customHeight="1">
      <c r="A3058" s="4"/>
      <c r="B3058" s="125"/>
      <c r="C3058" s="126"/>
      <c r="D3058" s="159"/>
      <c r="E3058" s="10" t="e">
        <f>TRIM(VLOOKUP(D3058,TB!$B$9:$C$1500,2,FALSE))</f>
        <v>#N/A</v>
      </c>
      <c r="F3058" s="142"/>
      <c r="G3058" s="130"/>
      <c r="H3058" s="10"/>
      <c r="I3058" s="10"/>
      <c r="J3058" s="79" t="e">
        <f t="shared" si="186"/>
        <v>#VALUE!</v>
      </c>
      <c r="K3058" s="106"/>
      <c r="L3058" s="141"/>
      <c r="M3058" s="132"/>
      <c r="N3058" s="133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spans="1:24" ht="14.25" customHeight="1">
      <c r="A3059" s="4"/>
      <c r="B3059" s="125">
        <v>46181</v>
      </c>
      <c r="C3059" s="126" t="s">
        <v>1347</v>
      </c>
      <c r="D3059" s="68" t="s">
        <v>130</v>
      </c>
      <c r="E3059" s="10" t="str">
        <f>TRIM(VLOOKUP(D3059,TB!$B$9:$C$1500,2,FALSE))</f>
        <v>BCA TBB</v>
      </c>
      <c r="F3059" s="142" t="s">
        <v>1348</v>
      </c>
      <c r="G3059" s="130"/>
      <c r="H3059" s="10">
        <v>50000000</v>
      </c>
      <c r="I3059" s="10"/>
      <c r="J3059" s="79" t="e">
        <f t="shared" si="186"/>
        <v>#VALUE!</v>
      </c>
      <c r="K3059" s="106"/>
      <c r="L3059" s="141"/>
      <c r="M3059" s="132"/>
      <c r="N3059" s="133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spans="1:24" ht="14.25" customHeight="1">
      <c r="A3060" s="4"/>
      <c r="B3060" s="125">
        <v>46181</v>
      </c>
      <c r="C3060" s="126" t="s">
        <v>1347</v>
      </c>
      <c r="D3060" s="15" t="s">
        <v>124</v>
      </c>
      <c r="E3060" s="10" t="str">
        <f>TRIM(VLOOKUP(D3060,TB!$B$9:$C$1500,2,FALSE))</f>
        <v>Bank charges</v>
      </c>
      <c r="F3060" s="142" t="s">
        <v>1348</v>
      </c>
      <c r="G3060" s="130"/>
      <c r="H3060" s="10">
        <v>6500</v>
      </c>
      <c r="I3060" s="10"/>
      <c r="J3060" s="79" t="e">
        <f t="shared" si="186"/>
        <v>#VALUE!</v>
      </c>
      <c r="K3060" s="106"/>
      <c r="L3060" s="141"/>
      <c r="M3060" s="132"/>
      <c r="N3060" s="133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spans="1:24" ht="14.25" customHeight="1">
      <c r="A3061" s="4"/>
      <c r="B3061" s="125">
        <v>46181</v>
      </c>
      <c r="C3061" s="126" t="s">
        <v>1347</v>
      </c>
      <c r="D3061" s="68" t="s">
        <v>158</v>
      </c>
      <c r="E3061" s="10" t="str">
        <f>TRIM(VLOOKUP(D3061,TB!$B$9:$C$1500,2,FALSE))</f>
        <v>Mandiri TBB IDR</v>
      </c>
      <c r="F3061" s="142" t="s">
        <v>1348</v>
      </c>
      <c r="G3061" s="130"/>
      <c r="H3061" s="10"/>
      <c r="I3061" s="10">
        <v>50006500</v>
      </c>
      <c r="J3061" s="79" t="e">
        <f t="shared" si="186"/>
        <v>#VALUE!</v>
      </c>
      <c r="K3061" s="106"/>
      <c r="L3061" s="141"/>
      <c r="M3061" s="132"/>
      <c r="N3061" s="133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4" ht="14.25" customHeight="1">
      <c r="A3062" s="4"/>
      <c r="B3062" s="125"/>
      <c r="C3062" s="126"/>
      <c r="D3062" s="159"/>
      <c r="E3062" s="10" t="e">
        <f>TRIM(VLOOKUP(D3062,TB!$B$9:$C$1500,2,FALSE))</f>
        <v>#N/A</v>
      </c>
      <c r="F3062" s="142"/>
      <c r="G3062" s="130"/>
      <c r="H3062" s="10"/>
      <c r="I3062" s="10"/>
      <c r="J3062" s="79" t="e">
        <f t="shared" si="186"/>
        <v>#VALUE!</v>
      </c>
      <c r="K3062" s="106"/>
      <c r="L3062" s="141"/>
      <c r="M3062" s="132"/>
      <c r="N3062" s="133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spans="1:24" ht="14.25" customHeight="1">
      <c r="A3063" s="4"/>
      <c r="B3063" s="125">
        <v>46182</v>
      </c>
      <c r="C3063" s="126" t="s">
        <v>1349</v>
      </c>
      <c r="D3063" s="15" t="s">
        <v>1219</v>
      </c>
      <c r="E3063" s="10" t="str">
        <f>TRIM(VLOOKUP(D3063,TB!$B$9:$C$1500,2,FALSE))</f>
        <v>Prepaid Building and Land rental</v>
      </c>
      <c r="F3063" s="142" t="s">
        <v>1220</v>
      </c>
      <c r="G3063" s="130"/>
      <c r="H3063" s="10">
        <v>35000000</v>
      </c>
      <c r="I3063" s="10"/>
      <c r="J3063" s="79" t="e">
        <f t="shared" si="186"/>
        <v>#VALUE!</v>
      </c>
      <c r="K3063" s="106"/>
      <c r="L3063" s="141"/>
      <c r="M3063" s="132"/>
      <c r="N3063" s="133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spans="1:24" ht="14.25" customHeight="1">
      <c r="A3064" s="4"/>
      <c r="B3064" s="125">
        <v>46182</v>
      </c>
      <c r="C3064" s="126" t="s">
        <v>1349</v>
      </c>
      <c r="D3064" s="15" t="s">
        <v>124</v>
      </c>
      <c r="E3064" s="10" t="str">
        <f>TRIM(VLOOKUP(D3064,TB!$B$9:$C$1500,2,FALSE))</f>
        <v>Bank charges</v>
      </c>
      <c r="F3064" s="142" t="s">
        <v>1220</v>
      </c>
      <c r="G3064" s="130"/>
      <c r="H3064" s="10">
        <v>2500</v>
      </c>
      <c r="I3064" s="10"/>
      <c r="J3064" s="79" t="e">
        <f t="shared" si="186"/>
        <v>#VALUE!</v>
      </c>
      <c r="K3064" s="106"/>
      <c r="L3064" s="141"/>
      <c r="M3064" s="132"/>
      <c r="N3064" s="133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spans="1:24" ht="14.25" customHeight="1">
      <c r="A3065" s="4"/>
      <c r="B3065" s="125">
        <v>46182</v>
      </c>
      <c r="C3065" s="126" t="s">
        <v>1349</v>
      </c>
      <c r="D3065" s="68" t="s">
        <v>158</v>
      </c>
      <c r="E3065" s="10" t="str">
        <f>TRIM(VLOOKUP(D3065,TB!$B$9:$C$1500,2,FALSE))</f>
        <v>Mandiri TBB IDR</v>
      </c>
      <c r="F3065" s="142" t="s">
        <v>1220</v>
      </c>
      <c r="G3065" s="130"/>
      <c r="H3065" s="10"/>
      <c r="I3065" s="10">
        <v>35002500</v>
      </c>
      <c r="J3065" s="79" t="e">
        <f t="shared" si="186"/>
        <v>#VALUE!</v>
      </c>
      <c r="K3065" s="106"/>
      <c r="L3065" s="141"/>
      <c r="M3065" s="132"/>
      <c r="N3065" s="133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spans="1:24" ht="14.25" customHeight="1">
      <c r="A3066" s="4"/>
      <c r="B3066" s="125"/>
      <c r="C3066" s="126"/>
      <c r="D3066" s="159"/>
      <c r="E3066" s="10" t="e">
        <f>TRIM(VLOOKUP(D3066,TB!$B$9:$C$1500,2,FALSE))</f>
        <v>#N/A</v>
      </c>
      <c r="F3066" s="142"/>
      <c r="G3066" s="130"/>
      <c r="H3066" s="10"/>
      <c r="I3066" s="10"/>
      <c r="J3066" s="79" t="e">
        <f t="shared" si="186"/>
        <v>#VALUE!</v>
      </c>
      <c r="K3066" s="106"/>
      <c r="L3066" s="141"/>
      <c r="M3066" s="132"/>
      <c r="N3066" s="133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spans="1:24" ht="14.25" customHeight="1">
      <c r="A3067" s="4"/>
      <c r="B3067" s="125">
        <v>46182</v>
      </c>
      <c r="C3067" s="126" t="s">
        <v>1350</v>
      </c>
      <c r="D3067" s="176" t="s">
        <v>285</v>
      </c>
      <c r="E3067" s="10" t="str">
        <f>TRIM(VLOOKUP(D3067,TB!$B$9:$C$1500,2,FALSE))</f>
        <v>Misc Cash Purchase</v>
      </c>
      <c r="F3067" s="186" t="s">
        <v>1351</v>
      </c>
      <c r="G3067" s="130"/>
      <c r="H3067" s="10">
        <v>2000000</v>
      </c>
      <c r="I3067" s="10"/>
      <c r="J3067" s="79" t="e">
        <f t="shared" si="186"/>
        <v>#VALUE!</v>
      </c>
      <c r="K3067" s="106"/>
      <c r="L3067" s="141"/>
      <c r="M3067" s="132"/>
      <c r="N3067" s="133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spans="1:24" ht="14.25" customHeight="1">
      <c r="A3068" s="4"/>
      <c r="B3068" s="125">
        <v>46182</v>
      </c>
      <c r="C3068" s="126" t="s">
        <v>1350</v>
      </c>
      <c r="D3068" s="68" t="s">
        <v>158</v>
      </c>
      <c r="E3068" s="10" t="str">
        <f>TRIM(VLOOKUP(D3068,TB!$B$9:$C$1500,2,FALSE))</f>
        <v>Mandiri TBB IDR</v>
      </c>
      <c r="F3068" s="186" t="s">
        <v>1351</v>
      </c>
      <c r="G3068" s="130"/>
      <c r="H3068" s="10"/>
      <c r="I3068" s="10">
        <v>2000000</v>
      </c>
      <c r="J3068" s="79" t="e">
        <f t="shared" si="186"/>
        <v>#VALUE!</v>
      </c>
      <c r="K3068" s="106"/>
      <c r="L3068" s="141"/>
      <c r="M3068" s="132"/>
      <c r="N3068" s="133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spans="1:24" ht="14.25" customHeight="1">
      <c r="A3069" s="4"/>
      <c r="B3069" s="125"/>
      <c r="C3069" s="126"/>
      <c r="D3069" s="159"/>
      <c r="E3069" s="10" t="e">
        <f>TRIM(VLOOKUP(D3069,TB!$B$9:$C$1500,2,FALSE))</f>
        <v>#N/A</v>
      </c>
      <c r="F3069" s="142"/>
      <c r="G3069" s="130"/>
      <c r="H3069" s="10"/>
      <c r="I3069" s="10"/>
      <c r="J3069" s="79" t="e">
        <f t="shared" si="186"/>
        <v>#VALUE!</v>
      </c>
      <c r="K3069" s="106"/>
      <c r="L3069" s="141"/>
      <c r="M3069" s="132"/>
      <c r="N3069" s="133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spans="1:24" ht="14.25" customHeight="1">
      <c r="A3070" s="4"/>
      <c r="B3070" s="125">
        <v>46182</v>
      </c>
      <c r="C3070" s="126" t="s">
        <v>1352</v>
      </c>
      <c r="D3070" s="68" t="s">
        <v>158</v>
      </c>
      <c r="E3070" s="10" t="str">
        <f>TRIM(VLOOKUP(D3070,TB!$B$9:$C$1500,2,FALSE))</f>
        <v>Mandiri TBB IDR</v>
      </c>
      <c r="F3070" s="142" t="s">
        <v>1353</v>
      </c>
      <c r="G3070" s="130"/>
      <c r="H3070" s="10">
        <f>I3072-H3071</f>
        <v>196400</v>
      </c>
      <c r="I3070" s="10"/>
      <c r="J3070" s="79" t="e">
        <f t="shared" si="186"/>
        <v>#VALUE!</v>
      </c>
      <c r="K3070" s="106"/>
      <c r="L3070" s="141"/>
      <c r="M3070" s="132"/>
      <c r="N3070" s="133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spans="1:24" ht="14.25" customHeight="1">
      <c r="A3071" s="4"/>
      <c r="B3071" s="125">
        <v>46182</v>
      </c>
      <c r="C3071" s="126" t="s">
        <v>1352</v>
      </c>
      <c r="D3071" s="15" t="s">
        <v>124</v>
      </c>
      <c r="E3071" s="10" t="str">
        <f>TRIM(VLOOKUP(D3071,TB!$B$9:$C$1500,2,FALSE))</f>
        <v>Bank charges</v>
      </c>
      <c r="F3071" s="142" t="s">
        <v>1353</v>
      </c>
      <c r="G3071" s="130"/>
      <c r="H3071" s="155">
        <v>3600.0000000000005</v>
      </c>
      <c r="I3071" s="10"/>
      <c r="J3071" s="79" t="e">
        <f t="shared" si="186"/>
        <v>#VALUE!</v>
      </c>
      <c r="K3071" s="106"/>
      <c r="L3071" s="141"/>
      <c r="M3071" s="132"/>
      <c r="N3071" s="133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4" ht="14.25" customHeight="1">
      <c r="A3072" s="4"/>
      <c r="B3072" s="125">
        <v>46182</v>
      </c>
      <c r="C3072" s="126" t="s">
        <v>1352</v>
      </c>
      <c r="D3072" s="15" t="s">
        <v>48</v>
      </c>
      <c r="E3072" s="10" t="str">
        <f>TRIM(VLOOKUP(D3072,TB!$B$9:$C$1500,2,FALSE))</f>
        <v>Mandiri Card TBB</v>
      </c>
      <c r="F3072" s="142" t="s">
        <v>1353</v>
      </c>
      <c r="G3072" s="130"/>
      <c r="H3072" s="10"/>
      <c r="I3072" s="10">
        <v>200000</v>
      </c>
      <c r="J3072" s="79" t="e">
        <f t="shared" si="186"/>
        <v>#VALUE!</v>
      </c>
      <c r="K3072" s="106"/>
      <c r="L3072" s="141"/>
      <c r="M3072" s="132"/>
      <c r="N3072" s="133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spans="1:24" ht="14.25" customHeight="1">
      <c r="A3073" s="4"/>
      <c r="B3073" s="125"/>
      <c r="C3073" s="126"/>
      <c r="D3073" s="159"/>
      <c r="E3073" s="10" t="e">
        <f>TRIM(VLOOKUP(D3073,TB!$B$9:$C$1500,2,FALSE))</f>
        <v>#N/A</v>
      </c>
      <c r="F3073" s="142"/>
      <c r="G3073" s="130"/>
      <c r="H3073" s="10"/>
      <c r="I3073" s="10"/>
      <c r="J3073" s="79" t="e">
        <f t="shared" si="186"/>
        <v>#VALUE!</v>
      </c>
      <c r="K3073" s="106"/>
      <c r="L3073" s="141"/>
      <c r="M3073" s="132"/>
      <c r="N3073" s="133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spans="1:24" ht="14.25" customHeight="1">
      <c r="A3074" s="4"/>
      <c r="B3074" s="125">
        <v>46182</v>
      </c>
      <c r="C3074" s="126" t="s">
        <v>1354</v>
      </c>
      <c r="D3074" s="68" t="s">
        <v>158</v>
      </c>
      <c r="E3074" s="10" t="str">
        <f>TRIM(VLOOKUP(D3074,TB!$B$9:$C$1500,2,FALSE))</f>
        <v>Mandiri TBB IDR</v>
      </c>
      <c r="F3074" s="142" t="s">
        <v>1355</v>
      </c>
      <c r="G3074" s="130"/>
      <c r="H3074" s="10">
        <f>I3076-H3075</f>
        <v>21495106.02</v>
      </c>
      <c r="I3074" s="10"/>
      <c r="J3074" s="79" t="e">
        <f t="shared" si="186"/>
        <v>#VALUE!</v>
      </c>
      <c r="K3074" s="106"/>
      <c r="L3074" s="141"/>
      <c r="M3074" s="132"/>
      <c r="N3074" s="133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spans="1:24" ht="14.25" customHeight="1">
      <c r="A3075" s="4"/>
      <c r="B3075" s="125">
        <v>46182</v>
      </c>
      <c r="C3075" s="126" t="s">
        <v>1354</v>
      </c>
      <c r="D3075" s="15" t="s">
        <v>124</v>
      </c>
      <c r="E3075" s="10" t="str">
        <f>TRIM(VLOOKUP(D3075,TB!$B$9:$C$1500,2,FALSE))</f>
        <v>Bank charges</v>
      </c>
      <c r="F3075" s="142" t="s">
        <v>1355</v>
      </c>
      <c r="G3075" s="130"/>
      <c r="H3075" s="155">
        <v>394003.98000000004</v>
      </c>
      <c r="I3075" s="10"/>
      <c r="J3075" s="79" t="e">
        <f t="shared" si="186"/>
        <v>#VALUE!</v>
      </c>
      <c r="K3075" s="106"/>
      <c r="L3075" s="141"/>
      <c r="M3075" s="132"/>
      <c r="N3075" s="133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spans="1:24" ht="14.25" customHeight="1">
      <c r="A3076" s="4"/>
      <c r="B3076" s="125">
        <v>46182</v>
      </c>
      <c r="C3076" s="126" t="s">
        <v>1354</v>
      </c>
      <c r="D3076" s="15" t="s">
        <v>48</v>
      </c>
      <c r="E3076" s="10" t="str">
        <f>TRIM(VLOOKUP(D3076,TB!$B$9:$C$1500,2,FALSE))</f>
        <v>Mandiri Card TBB</v>
      </c>
      <c r="F3076" s="142" t="s">
        <v>1355</v>
      </c>
      <c r="G3076" s="130"/>
      <c r="H3076" s="10"/>
      <c r="I3076" s="10">
        <v>21889110</v>
      </c>
      <c r="J3076" s="79" t="e">
        <f t="shared" si="186"/>
        <v>#VALUE!</v>
      </c>
      <c r="K3076" s="106"/>
      <c r="L3076" s="141"/>
      <c r="M3076" s="132"/>
      <c r="N3076" s="133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spans="1:24" ht="14.25" customHeight="1">
      <c r="A3077" s="4"/>
      <c r="B3077" s="125"/>
      <c r="C3077" s="126"/>
      <c r="D3077" s="159"/>
      <c r="E3077" s="10" t="e">
        <f>TRIM(VLOOKUP(D3077,TB!$B$9:$C$1500,2,FALSE))</f>
        <v>#N/A</v>
      </c>
      <c r="F3077" s="142"/>
      <c r="G3077" s="130"/>
      <c r="H3077" s="10"/>
      <c r="I3077" s="10"/>
      <c r="J3077" s="79" t="e">
        <f t="shared" si="186"/>
        <v>#VALUE!</v>
      </c>
      <c r="K3077" s="106"/>
      <c r="L3077" s="141"/>
      <c r="M3077" s="132"/>
      <c r="N3077" s="133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spans="1:24" ht="14.25" customHeight="1">
      <c r="A3078" s="4"/>
      <c r="B3078" s="125">
        <v>46182</v>
      </c>
      <c r="C3078" s="126" t="s">
        <v>1356</v>
      </c>
      <c r="D3078" s="68" t="s">
        <v>158</v>
      </c>
      <c r="E3078" s="10" t="str">
        <f>TRIM(VLOOKUP(D3078,TB!$B$9:$C$1500,2,FALSE))</f>
        <v>Mandiri TBB IDR</v>
      </c>
      <c r="F3078" s="142" t="s">
        <v>1357</v>
      </c>
      <c r="G3078" s="130"/>
      <c r="H3078" s="10">
        <f>I3080-H3079</f>
        <v>3270511.72</v>
      </c>
      <c r="I3078" s="10"/>
      <c r="J3078" s="79" t="e">
        <f t="shared" si="186"/>
        <v>#VALUE!</v>
      </c>
      <c r="K3078" s="106"/>
      <c r="L3078" s="141"/>
      <c r="M3078" s="132"/>
      <c r="N3078" s="133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spans="1:24" ht="14.25" customHeight="1">
      <c r="A3079" s="4"/>
      <c r="B3079" s="125">
        <v>46182</v>
      </c>
      <c r="C3079" s="126" t="s">
        <v>1356</v>
      </c>
      <c r="D3079" s="15" t="s">
        <v>124</v>
      </c>
      <c r="E3079" s="10" t="str">
        <f>TRIM(VLOOKUP(D3079,TB!$B$9:$C$1500,2,FALSE))</f>
        <v>Bank charges</v>
      </c>
      <c r="F3079" s="142" t="s">
        <v>1357</v>
      </c>
      <c r="G3079" s="130"/>
      <c r="H3079" s="155">
        <v>59948.280000000006</v>
      </c>
      <c r="I3079" s="10"/>
      <c r="J3079" s="79" t="e">
        <f t="shared" si="186"/>
        <v>#VALUE!</v>
      </c>
      <c r="K3079" s="106"/>
      <c r="L3079" s="141"/>
      <c r="M3079" s="132"/>
      <c r="N3079" s="133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spans="1:24" ht="14.25" customHeight="1">
      <c r="A3080" s="4"/>
      <c r="B3080" s="125">
        <v>46182</v>
      </c>
      <c r="C3080" s="126" t="s">
        <v>1356</v>
      </c>
      <c r="D3080" s="15" t="s">
        <v>48</v>
      </c>
      <c r="E3080" s="10" t="str">
        <f>TRIM(VLOOKUP(D3080,TB!$B$9:$C$1500,2,FALSE))</f>
        <v>Mandiri Card TBB</v>
      </c>
      <c r="F3080" s="142" t="s">
        <v>1357</v>
      </c>
      <c r="G3080" s="130"/>
      <c r="H3080" s="10"/>
      <c r="I3080" s="10">
        <v>3330460</v>
      </c>
      <c r="J3080" s="79" t="e">
        <f t="shared" si="186"/>
        <v>#VALUE!</v>
      </c>
      <c r="K3080" s="106"/>
      <c r="L3080" s="141"/>
      <c r="M3080" s="132"/>
      <c r="N3080" s="133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spans="1:24" ht="14.25" customHeight="1">
      <c r="A3081" s="4"/>
      <c r="B3081" s="125"/>
      <c r="C3081" s="126"/>
      <c r="D3081" s="159"/>
      <c r="E3081" s="10" t="e">
        <f>TRIM(VLOOKUP(D3081,TB!$B$9:$C$1500,2,FALSE))</f>
        <v>#N/A</v>
      </c>
      <c r="F3081" s="142"/>
      <c r="G3081" s="130"/>
      <c r="H3081" s="10"/>
      <c r="I3081" s="10"/>
      <c r="J3081" s="79" t="e">
        <f t="shared" si="186"/>
        <v>#VALUE!</v>
      </c>
      <c r="K3081" s="106"/>
      <c r="L3081" s="141"/>
      <c r="M3081" s="132"/>
      <c r="N3081" s="133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4" ht="14.25" customHeight="1">
      <c r="A3082" s="4"/>
      <c r="B3082" s="125">
        <v>46182</v>
      </c>
      <c r="C3082" s="126" t="s">
        <v>1358</v>
      </c>
      <c r="D3082" s="68" t="s">
        <v>158</v>
      </c>
      <c r="E3082" s="10" t="str">
        <f>TRIM(VLOOKUP(D3082,TB!$B$9:$C$1500,2,FALSE))</f>
        <v>Mandiri TBB IDR</v>
      </c>
      <c r="F3082" s="142" t="s">
        <v>1359</v>
      </c>
      <c r="G3082" s="130"/>
      <c r="H3082" s="10">
        <f>I3084-H3083</f>
        <v>4313369.2060000002</v>
      </c>
      <c r="I3082" s="10"/>
      <c r="J3082" s="79" t="e">
        <f t="shared" si="186"/>
        <v>#VALUE!</v>
      </c>
      <c r="K3082" s="106"/>
      <c r="L3082" s="141"/>
      <c r="M3082" s="132"/>
      <c r="N3082" s="133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spans="1:24" ht="14.25" customHeight="1">
      <c r="A3083" s="4"/>
      <c r="B3083" s="125">
        <v>46182</v>
      </c>
      <c r="C3083" s="126" t="s">
        <v>1358</v>
      </c>
      <c r="D3083" s="15" t="s">
        <v>124</v>
      </c>
      <c r="E3083" s="10" t="str">
        <f>TRIM(VLOOKUP(D3083,TB!$B$9:$C$1500,2,FALSE))</f>
        <v>Bank charges</v>
      </c>
      <c r="F3083" s="142" t="s">
        <v>1359</v>
      </c>
      <c r="G3083" s="130"/>
      <c r="H3083" s="155">
        <v>79063.794000000009</v>
      </c>
      <c r="I3083" s="10"/>
      <c r="J3083" s="79" t="e">
        <f t="shared" si="186"/>
        <v>#VALUE!</v>
      </c>
      <c r="K3083" s="106"/>
      <c r="L3083" s="141"/>
      <c r="M3083" s="132"/>
      <c r="N3083" s="133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4" ht="14.25" customHeight="1">
      <c r="A3084" s="4"/>
      <c r="B3084" s="125">
        <v>46182</v>
      </c>
      <c r="C3084" s="126" t="s">
        <v>1358</v>
      </c>
      <c r="D3084" s="15" t="s">
        <v>48</v>
      </c>
      <c r="E3084" s="10" t="str">
        <f>TRIM(VLOOKUP(D3084,TB!$B$9:$C$1500,2,FALSE))</f>
        <v>Mandiri Card TBB</v>
      </c>
      <c r="F3084" s="142" t="s">
        <v>1359</v>
      </c>
      <c r="G3084" s="130"/>
      <c r="H3084" s="10"/>
      <c r="I3084" s="10">
        <v>4392433</v>
      </c>
      <c r="J3084" s="79" t="e">
        <f t="shared" si="186"/>
        <v>#VALUE!</v>
      </c>
      <c r="K3084" s="106"/>
      <c r="L3084" s="141"/>
      <c r="M3084" s="132"/>
      <c r="N3084" s="133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spans="1:24" ht="14.25" customHeight="1">
      <c r="A3085" s="4"/>
      <c r="B3085" s="125"/>
      <c r="C3085" s="126"/>
      <c r="D3085" s="159"/>
      <c r="E3085" s="10" t="e">
        <f>TRIM(VLOOKUP(D3085,TB!$B$9:$C$1500,2,FALSE))</f>
        <v>#N/A</v>
      </c>
      <c r="F3085" s="142"/>
      <c r="G3085" s="130"/>
      <c r="H3085" s="10"/>
      <c r="I3085" s="10"/>
      <c r="J3085" s="79" t="e">
        <f t="shared" si="186"/>
        <v>#VALUE!</v>
      </c>
      <c r="K3085" s="106"/>
      <c r="L3085" s="141"/>
      <c r="M3085" s="132"/>
      <c r="N3085" s="133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4" ht="14.25" customHeight="1">
      <c r="A3086" s="4"/>
      <c r="B3086" s="125">
        <v>46183</v>
      </c>
      <c r="C3086" s="126" t="s">
        <v>1360</v>
      </c>
      <c r="D3086" s="68" t="s">
        <v>158</v>
      </c>
      <c r="E3086" s="10" t="str">
        <f>TRIM(VLOOKUP(D3086,TB!$B$9:$C$1500,2,FALSE))</f>
        <v>Mandiri TBB IDR</v>
      </c>
      <c r="F3086" s="142" t="s">
        <v>1361</v>
      </c>
      <c r="G3086" s="130"/>
      <c r="H3086" s="10">
        <f>I3088-H3087</f>
        <v>612581.42000000004</v>
      </c>
      <c r="I3086" s="10"/>
      <c r="J3086" s="79" t="e">
        <f t="shared" ref="J3086:J3340" si="187">J3085+H3086-I3086</f>
        <v>#VALUE!</v>
      </c>
      <c r="K3086" s="106"/>
      <c r="L3086" s="141"/>
      <c r="M3086" s="132"/>
      <c r="N3086" s="133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spans="1:24" ht="14.25" customHeight="1">
      <c r="A3087" s="4"/>
      <c r="B3087" s="125">
        <v>46183</v>
      </c>
      <c r="C3087" s="126" t="s">
        <v>1360</v>
      </c>
      <c r="D3087" s="15" t="s">
        <v>124</v>
      </c>
      <c r="E3087" s="10" t="str">
        <f>TRIM(VLOOKUP(D3087,TB!$B$9:$C$1500,2,FALSE))</f>
        <v>Bank charges</v>
      </c>
      <c r="F3087" s="142" t="s">
        <v>1361</v>
      </c>
      <c r="G3087" s="130"/>
      <c r="H3087" s="155">
        <v>11228.580000000002</v>
      </c>
      <c r="I3087" s="10"/>
      <c r="J3087" s="79" t="e">
        <f t="shared" si="187"/>
        <v>#VALUE!</v>
      </c>
      <c r="K3087" s="106"/>
      <c r="L3087" s="141"/>
      <c r="M3087" s="132"/>
      <c r="N3087" s="133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spans="1:24" ht="14.25" customHeight="1">
      <c r="A3088" s="4"/>
      <c r="B3088" s="125">
        <v>46183</v>
      </c>
      <c r="C3088" s="126" t="s">
        <v>1360</v>
      </c>
      <c r="D3088" s="15" t="s">
        <v>48</v>
      </c>
      <c r="E3088" s="10" t="str">
        <f>TRIM(VLOOKUP(D3088,TB!$B$9:$C$1500,2,FALSE))</f>
        <v>Mandiri Card TBB</v>
      </c>
      <c r="F3088" s="142" t="s">
        <v>1361</v>
      </c>
      <c r="G3088" s="130"/>
      <c r="H3088" s="10"/>
      <c r="I3088" s="10">
        <v>623810</v>
      </c>
      <c r="J3088" s="79" t="e">
        <f t="shared" si="187"/>
        <v>#VALUE!</v>
      </c>
      <c r="K3088" s="106"/>
      <c r="L3088" s="141"/>
      <c r="M3088" s="132"/>
      <c r="N3088" s="133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spans="1:24" ht="14.25" customHeight="1">
      <c r="A3089" s="4"/>
      <c r="B3089" s="125"/>
      <c r="C3089" s="126"/>
      <c r="D3089" s="159"/>
      <c r="E3089" s="10" t="e">
        <f>TRIM(VLOOKUP(D3089,TB!$B$9:$C$1500,2,FALSE))</f>
        <v>#N/A</v>
      </c>
      <c r="F3089" s="142"/>
      <c r="G3089" s="130"/>
      <c r="H3089" s="10"/>
      <c r="I3089" s="10"/>
      <c r="J3089" s="79" t="e">
        <f t="shared" si="187"/>
        <v>#VALUE!</v>
      </c>
      <c r="K3089" s="106"/>
      <c r="L3089" s="141"/>
      <c r="M3089" s="132"/>
      <c r="N3089" s="133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spans="1:24" ht="14.25" customHeight="1">
      <c r="A3090" s="4"/>
      <c r="B3090" s="125">
        <v>46183</v>
      </c>
      <c r="C3090" s="126" t="s">
        <v>1362</v>
      </c>
      <c r="D3090" s="68" t="s">
        <v>158</v>
      </c>
      <c r="E3090" s="10" t="str">
        <f>TRIM(VLOOKUP(D3090,TB!$B$9:$C$1500,2,FALSE))</f>
        <v>Mandiri TBB IDR</v>
      </c>
      <c r="F3090" s="142" t="s">
        <v>1363</v>
      </c>
      <c r="G3090" s="130"/>
      <c r="H3090" s="10">
        <f>I3092-H3091</f>
        <v>38495548.939999998</v>
      </c>
      <c r="I3090" s="10"/>
      <c r="J3090" s="79" t="e">
        <f t="shared" si="187"/>
        <v>#VALUE!</v>
      </c>
      <c r="K3090" s="106"/>
      <c r="L3090" s="141"/>
      <c r="M3090" s="132"/>
      <c r="N3090" s="133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spans="1:24" ht="14.25" customHeight="1">
      <c r="A3091" s="4"/>
      <c r="B3091" s="125">
        <v>46183</v>
      </c>
      <c r="C3091" s="126" t="s">
        <v>1362</v>
      </c>
      <c r="D3091" s="15" t="s">
        <v>124</v>
      </c>
      <c r="E3091" s="10" t="str">
        <f>TRIM(VLOOKUP(D3091,TB!$B$9:$C$1500,2,FALSE))</f>
        <v>Bank charges</v>
      </c>
      <c r="F3091" s="142" t="s">
        <v>1363</v>
      </c>
      <c r="G3091" s="130"/>
      <c r="H3091" s="155">
        <v>705621.06</v>
      </c>
      <c r="I3091" s="10"/>
      <c r="J3091" s="79" t="e">
        <f t="shared" si="187"/>
        <v>#VALUE!</v>
      </c>
      <c r="K3091" s="106"/>
      <c r="L3091" s="141"/>
      <c r="M3091" s="132"/>
      <c r="N3091" s="133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spans="1:24" ht="14.25" customHeight="1">
      <c r="A3092" s="4"/>
      <c r="B3092" s="125">
        <v>46183</v>
      </c>
      <c r="C3092" s="126" t="s">
        <v>1362</v>
      </c>
      <c r="D3092" s="15" t="s">
        <v>48</v>
      </c>
      <c r="E3092" s="10" t="str">
        <f>TRIM(VLOOKUP(D3092,TB!$B$9:$C$1500,2,FALSE))</f>
        <v>Mandiri Card TBB</v>
      </c>
      <c r="F3092" s="142" t="s">
        <v>1363</v>
      </c>
      <c r="G3092" s="130"/>
      <c r="H3092" s="10"/>
      <c r="I3092" s="10">
        <v>39201170</v>
      </c>
      <c r="J3092" s="79" t="e">
        <f t="shared" si="187"/>
        <v>#VALUE!</v>
      </c>
      <c r="K3092" s="106"/>
      <c r="L3092" s="141"/>
      <c r="M3092" s="132"/>
      <c r="N3092" s="133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spans="1:24" ht="14.25" customHeight="1">
      <c r="A3093" s="4"/>
      <c r="B3093" s="125"/>
      <c r="C3093" s="126"/>
      <c r="D3093" s="159"/>
      <c r="E3093" s="10" t="e">
        <f>TRIM(VLOOKUP(D3093,TB!$B$9:$C$1500,2,FALSE))</f>
        <v>#N/A</v>
      </c>
      <c r="F3093" s="142"/>
      <c r="G3093" s="130"/>
      <c r="H3093" s="10"/>
      <c r="I3093" s="10"/>
      <c r="J3093" s="79" t="e">
        <f t="shared" si="187"/>
        <v>#VALUE!</v>
      </c>
      <c r="K3093" s="106"/>
      <c r="L3093" s="141"/>
      <c r="M3093" s="132"/>
      <c r="N3093" s="133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spans="1:24" ht="14.25" customHeight="1">
      <c r="A3094" s="4"/>
      <c r="B3094" s="125">
        <v>46183</v>
      </c>
      <c r="C3094" s="126" t="s">
        <v>1364</v>
      </c>
      <c r="D3094" s="68" t="s">
        <v>158</v>
      </c>
      <c r="E3094" s="10" t="str">
        <f>TRIM(VLOOKUP(D3094,TB!$B$9:$C$1500,2,FALSE))</f>
        <v>Mandiri TBB IDR</v>
      </c>
      <c r="F3094" s="142" t="s">
        <v>1365</v>
      </c>
      <c r="G3094" s="130"/>
      <c r="H3094" s="10">
        <f>I3096-H3095</f>
        <v>681665.12</v>
      </c>
      <c r="I3094" s="10"/>
      <c r="J3094" s="79" t="e">
        <f t="shared" si="187"/>
        <v>#VALUE!</v>
      </c>
      <c r="K3094" s="106"/>
      <c r="L3094" s="141"/>
      <c r="M3094" s="132"/>
      <c r="N3094" s="133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spans="1:24" ht="14.25" customHeight="1">
      <c r="A3095" s="4"/>
      <c r="B3095" s="125">
        <v>46183</v>
      </c>
      <c r="C3095" s="126" t="s">
        <v>1364</v>
      </c>
      <c r="D3095" s="15" t="s">
        <v>124</v>
      </c>
      <c r="E3095" s="10" t="str">
        <f>TRIM(VLOOKUP(D3095,TB!$B$9:$C$1500,2,FALSE))</f>
        <v>Bank charges</v>
      </c>
      <c r="F3095" s="142" t="s">
        <v>1365</v>
      </c>
      <c r="G3095" s="130"/>
      <c r="H3095" s="155">
        <v>12494.880000000001</v>
      </c>
      <c r="I3095" s="10"/>
      <c r="J3095" s="79" t="e">
        <f t="shared" si="187"/>
        <v>#VALUE!</v>
      </c>
      <c r="K3095" s="106"/>
      <c r="L3095" s="141"/>
      <c r="M3095" s="132"/>
      <c r="N3095" s="133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spans="1:24" ht="14.25" customHeight="1">
      <c r="A3096" s="4"/>
      <c r="B3096" s="125">
        <v>46183</v>
      </c>
      <c r="C3096" s="126" t="s">
        <v>1364</v>
      </c>
      <c r="D3096" s="15" t="s">
        <v>48</v>
      </c>
      <c r="E3096" s="10" t="str">
        <f>TRIM(VLOOKUP(D3096,TB!$B$9:$C$1500,2,FALSE))</f>
        <v>Mandiri Card TBB</v>
      </c>
      <c r="F3096" s="142" t="s">
        <v>1365</v>
      </c>
      <c r="G3096" s="130"/>
      <c r="H3096" s="10"/>
      <c r="I3096" s="10">
        <v>694160</v>
      </c>
      <c r="J3096" s="79" t="e">
        <f t="shared" si="187"/>
        <v>#VALUE!</v>
      </c>
      <c r="K3096" s="106"/>
      <c r="L3096" s="141"/>
      <c r="M3096" s="132"/>
      <c r="N3096" s="133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spans="1:24" ht="14.25" customHeight="1">
      <c r="A3097" s="4"/>
      <c r="B3097" s="125"/>
      <c r="C3097" s="126"/>
      <c r="D3097" s="159"/>
      <c r="E3097" s="10" t="e">
        <f>TRIM(VLOOKUP(D3097,TB!$B$9:$C$1500,2,FALSE))</f>
        <v>#N/A</v>
      </c>
      <c r="F3097" s="142"/>
      <c r="G3097" s="130"/>
      <c r="H3097" s="10"/>
      <c r="I3097" s="10"/>
      <c r="J3097" s="79" t="e">
        <f t="shared" si="187"/>
        <v>#VALUE!</v>
      </c>
      <c r="K3097" s="106"/>
      <c r="L3097" s="141"/>
      <c r="M3097" s="132"/>
      <c r="N3097" s="133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spans="1:24" ht="14.25" customHeight="1">
      <c r="A3098" s="4"/>
      <c r="B3098" s="125">
        <v>46183</v>
      </c>
      <c r="C3098" s="126" t="s">
        <v>1366</v>
      </c>
      <c r="D3098" s="68" t="s">
        <v>158</v>
      </c>
      <c r="E3098" s="10" t="str">
        <f>TRIM(VLOOKUP(D3098,TB!$B$9:$C$1500,2,FALSE))</f>
        <v>Mandiri TBB IDR</v>
      </c>
      <c r="F3098" s="142" t="s">
        <v>1367</v>
      </c>
      <c r="G3098" s="130"/>
      <c r="H3098" s="10">
        <f>I3100-H3099</f>
        <v>9592725.9199999999</v>
      </c>
      <c r="I3098" s="10"/>
      <c r="J3098" s="79" t="e">
        <f t="shared" si="187"/>
        <v>#VALUE!</v>
      </c>
      <c r="K3098" s="106"/>
      <c r="L3098" s="141"/>
      <c r="M3098" s="132"/>
      <c r="N3098" s="133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spans="1:24" ht="14.25" customHeight="1">
      <c r="A3099" s="4"/>
      <c r="B3099" s="125">
        <v>46183</v>
      </c>
      <c r="C3099" s="126" t="s">
        <v>1366</v>
      </c>
      <c r="D3099" s="15" t="s">
        <v>124</v>
      </c>
      <c r="E3099" s="10" t="str">
        <f>TRIM(VLOOKUP(D3099,TB!$B$9:$C$1500,2,FALSE))</f>
        <v>Bank charges</v>
      </c>
      <c r="F3099" s="142" t="s">
        <v>1367</v>
      </c>
      <c r="G3099" s="130"/>
      <c r="H3099" s="155">
        <v>175834.08000000002</v>
      </c>
      <c r="I3099" s="10"/>
      <c r="J3099" s="79" t="e">
        <f t="shared" si="187"/>
        <v>#VALUE!</v>
      </c>
      <c r="K3099" s="106"/>
      <c r="L3099" s="141"/>
      <c r="M3099" s="132"/>
      <c r="N3099" s="133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spans="1:24" ht="14.25" customHeight="1">
      <c r="A3100" s="4"/>
      <c r="B3100" s="125">
        <v>46183</v>
      </c>
      <c r="C3100" s="126" t="s">
        <v>1366</v>
      </c>
      <c r="D3100" s="15" t="s">
        <v>48</v>
      </c>
      <c r="E3100" s="10" t="str">
        <f>TRIM(VLOOKUP(D3100,TB!$B$9:$C$1500,2,FALSE))</f>
        <v>Mandiri Card TBB</v>
      </c>
      <c r="F3100" s="142" t="s">
        <v>1367</v>
      </c>
      <c r="G3100" s="130"/>
      <c r="H3100" s="10"/>
      <c r="I3100" s="10">
        <v>9768560</v>
      </c>
      <c r="J3100" s="79" t="e">
        <f t="shared" si="187"/>
        <v>#VALUE!</v>
      </c>
      <c r="K3100" s="106"/>
      <c r="L3100" s="141"/>
      <c r="M3100" s="132"/>
      <c r="N3100" s="133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spans="1:24" ht="14.25" customHeight="1">
      <c r="A3101" s="4"/>
      <c r="B3101" s="125"/>
      <c r="C3101" s="126"/>
      <c r="D3101" s="159"/>
      <c r="E3101" s="10" t="e">
        <f>TRIM(VLOOKUP(D3101,TB!$B$9:$C$1500,2,FALSE))</f>
        <v>#N/A</v>
      </c>
      <c r="F3101" s="142"/>
      <c r="G3101" s="130"/>
      <c r="H3101" s="10"/>
      <c r="I3101" s="10"/>
      <c r="J3101" s="79" t="e">
        <f t="shared" si="187"/>
        <v>#VALUE!</v>
      </c>
      <c r="K3101" s="106"/>
      <c r="L3101" s="141"/>
      <c r="M3101" s="132"/>
      <c r="N3101" s="133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4" ht="14.25" customHeight="1">
      <c r="A3102" s="4"/>
      <c r="B3102" s="125">
        <v>46183</v>
      </c>
      <c r="C3102" s="126" t="s">
        <v>1368</v>
      </c>
      <c r="D3102" s="68" t="s">
        <v>130</v>
      </c>
      <c r="E3102" s="10" t="str">
        <f>TRIM(VLOOKUP(D3102,TB!$B$9:$C$1500,2,FALSE))</f>
        <v>BCA TBB</v>
      </c>
      <c r="F3102" s="142" t="s">
        <v>1247</v>
      </c>
      <c r="G3102" s="130"/>
      <c r="H3102" s="177">
        <v>25000000</v>
      </c>
      <c r="I3102" s="10"/>
      <c r="J3102" s="79" t="e">
        <f t="shared" si="187"/>
        <v>#VALUE!</v>
      </c>
      <c r="K3102" s="106"/>
      <c r="L3102" s="141"/>
      <c r="M3102" s="132"/>
      <c r="N3102" s="133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spans="1:24" ht="14.25" customHeight="1">
      <c r="A3103" s="4"/>
      <c r="B3103" s="125">
        <v>46183</v>
      </c>
      <c r="C3103" s="126" t="s">
        <v>1368</v>
      </c>
      <c r="D3103" s="15" t="s">
        <v>124</v>
      </c>
      <c r="E3103" s="10" t="str">
        <f>TRIM(VLOOKUP(D3103,TB!$B$9:$C$1500,2,FALSE))</f>
        <v>Bank charges</v>
      </c>
      <c r="F3103" s="142" t="s">
        <v>1247</v>
      </c>
      <c r="G3103" s="130"/>
      <c r="H3103" s="10">
        <v>2500</v>
      </c>
      <c r="I3103" s="10"/>
      <c r="J3103" s="79" t="e">
        <f t="shared" si="187"/>
        <v>#VALUE!</v>
      </c>
      <c r="K3103" s="106"/>
      <c r="L3103" s="141"/>
      <c r="M3103" s="132"/>
      <c r="N3103" s="133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spans="1:24" ht="14.25" customHeight="1">
      <c r="A3104" s="4"/>
      <c r="B3104" s="125">
        <v>46183</v>
      </c>
      <c r="C3104" s="126" t="s">
        <v>1368</v>
      </c>
      <c r="D3104" s="68" t="s">
        <v>158</v>
      </c>
      <c r="E3104" s="10" t="str">
        <f>TRIM(VLOOKUP(D3104,TB!$B$9:$C$1500,2,FALSE))</f>
        <v>Mandiri TBB IDR</v>
      </c>
      <c r="F3104" s="142" t="s">
        <v>1247</v>
      </c>
      <c r="G3104" s="130"/>
      <c r="H3104" s="10"/>
      <c r="I3104" s="10">
        <v>25002500</v>
      </c>
      <c r="J3104" s="79" t="e">
        <f t="shared" si="187"/>
        <v>#VALUE!</v>
      </c>
      <c r="K3104" s="106"/>
      <c r="L3104" s="141"/>
      <c r="M3104" s="132"/>
      <c r="N3104" s="133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spans="1:24" ht="14.25" customHeight="1">
      <c r="A3105" s="4"/>
      <c r="B3105" s="125"/>
      <c r="C3105" s="126"/>
      <c r="D3105" s="159"/>
      <c r="E3105" s="10" t="e">
        <f>TRIM(VLOOKUP(D3105,TB!$B$9:$C$1500,2,FALSE))</f>
        <v>#N/A</v>
      </c>
      <c r="F3105" s="142"/>
      <c r="G3105" s="130"/>
      <c r="H3105" s="10"/>
      <c r="I3105" s="10"/>
      <c r="J3105" s="79" t="e">
        <f t="shared" si="187"/>
        <v>#VALUE!</v>
      </c>
      <c r="K3105" s="106"/>
      <c r="L3105" s="141"/>
      <c r="M3105" s="132"/>
      <c r="N3105" s="133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spans="1:24" ht="14.25" customHeight="1">
      <c r="A3106" s="4"/>
      <c r="B3106" s="125">
        <v>46184</v>
      </c>
      <c r="C3106" s="126" t="s">
        <v>1369</v>
      </c>
      <c r="D3106" s="68" t="s">
        <v>158</v>
      </c>
      <c r="E3106" s="10" t="str">
        <f>TRIM(VLOOKUP(D3106,TB!$B$9:$C$1500,2,FALSE))</f>
        <v>Mandiri TBB IDR</v>
      </c>
      <c r="F3106" s="142" t="s">
        <v>1370</v>
      </c>
      <c r="G3106" s="130"/>
      <c r="H3106" s="10">
        <v>176600</v>
      </c>
      <c r="I3106" s="10"/>
      <c r="J3106" s="79" t="e">
        <f t="shared" si="187"/>
        <v>#VALUE!</v>
      </c>
      <c r="K3106" s="106"/>
      <c r="L3106" s="141"/>
      <c r="M3106" s="132"/>
      <c r="N3106" s="133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spans="1:24" ht="14.25" customHeight="1">
      <c r="A3107" s="4"/>
      <c r="B3107" s="125">
        <v>46184</v>
      </c>
      <c r="C3107" s="126" t="s">
        <v>1369</v>
      </c>
      <c r="D3107" s="15" t="s">
        <v>221</v>
      </c>
      <c r="E3107" s="10" t="str">
        <f>TRIM(VLOOKUP(D3107,TB!$B$9:$C$1500,2,FALSE))</f>
        <v>COS - Promotor Fees Other</v>
      </c>
      <c r="F3107" s="142" t="s">
        <v>1370</v>
      </c>
      <c r="G3107" s="130"/>
      <c r="H3107" s="155">
        <v>45400</v>
      </c>
      <c r="I3107" s="10"/>
      <c r="J3107" s="79" t="e">
        <f t="shared" si="187"/>
        <v>#VALUE!</v>
      </c>
      <c r="K3107" s="106"/>
      <c r="L3107" s="141"/>
      <c r="M3107" s="132"/>
      <c r="N3107" s="133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spans="1:24" ht="14.25" customHeight="1">
      <c r="A3108" s="4"/>
      <c r="B3108" s="125">
        <v>46184</v>
      </c>
      <c r="C3108" s="126" t="s">
        <v>1369</v>
      </c>
      <c r="D3108" s="15" t="s">
        <v>69</v>
      </c>
      <c r="E3108" s="10" t="str">
        <f>TRIM(VLOOKUP(D3108,TB!$B$9:$C$1500,2,FALSE))</f>
        <v>GOPAY</v>
      </c>
      <c r="F3108" s="142" t="s">
        <v>1370</v>
      </c>
      <c r="G3108" s="130"/>
      <c r="H3108" s="10"/>
      <c r="I3108" s="10">
        <v>222000</v>
      </c>
      <c r="J3108" s="79" t="e">
        <f t="shared" si="187"/>
        <v>#VALUE!</v>
      </c>
      <c r="K3108" s="106"/>
      <c r="L3108" s="141"/>
      <c r="M3108" s="132"/>
      <c r="N3108" s="133"/>
      <c r="O3108" s="4"/>
      <c r="P3108" s="4"/>
      <c r="Q3108" s="4"/>
      <c r="R3108" s="4"/>
      <c r="S3108" s="4"/>
      <c r="T3108" s="4"/>
      <c r="U3108" s="4"/>
      <c r="V3108" s="4"/>
      <c r="W3108" s="4"/>
      <c r="X3108" s="4"/>
    </row>
    <row r="3109" spans="1:24" ht="14.25" customHeight="1">
      <c r="A3109" s="4"/>
      <c r="B3109" s="125"/>
      <c r="C3109" s="126"/>
      <c r="D3109" s="159"/>
      <c r="E3109" s="10" t="e">
        <f>TRIM(VLOOKUP(D3109,TB!$B$9:$C$1500,2,FALSE))</f>
        <v>#N/A</v>
      </c>
      <c r="F3109" s="142"/>
      <c r="G3109" s="130"/>
      <c r="H3109" s="10"/>
      <c r="I3109" s="10"/>
      <c r="J3109" s="79" t="e">
        <f t="shared" si="187"/>
        <v>#VALUE!</v>
      </c>
      <c r="K3109" s="106"/>
      <c r="L3109" s="141"/>
      <c r="M3109" s="132"/>
      <c r="N3109" s="133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4" ht="14.25" customHeight="1">
      <c r="A3110" s="4"/>
      <c r="B3110" s="125">
        <v>46184</v>
      </c>
      <c r="C3110" s="126" t="s">
        <v>1371</v>
      </c>
      <c r="D3110" s="68" t="s">
        <v>158</v>
      </c>
      <c r="E3110" s="10" t="str">
        <f>TRIM(VLOOKUP(D3110,TB!$B$9:$C$1500,2,FALSE))</f>
        <v>Mandiri TBB IDR</v>
      </c>
      <c r="F3110" s="142" t="s">
        <v>1372</v>
      </c>
      <c r="G3110" s="130"/>
      <c r="H3110" s="10">
        <f>I3112-H3111</f>
        <v>2204470.196</v>
      </c>
      <c r="I3110" s="10"/>
      <c r="J3110" s="79" t="e">
        <f t="shared" si="187"/>
        <v>#VALUE!</v>
      </c>
      <c r="K3110" s="106"/>
      <c r="L3110" s="141"/>
      <c r="M3110" s="132"/>
      <c r="N3110" s="133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spans="1:24" ht="14.25" customHeight="1">
      <c r="A3111" s="4"/>
      <c r="B3111" s="125">
        <v>46184</v>
      </c>
      <c r="C3111" s="126" t="s">
        <v>1371</v>
      </c>
      <c r="D3111" s="15" t="s">
        <v>124</v>
      </c>
      <c r="E3111" s="10" t="str">
        <f>TRIM(VLOOKUP(D3111,TB!$B$9:$C$1500,2,FALSE))</f>
        <v>Bank charges</v>
      </c>
      <c r="F3111" s="142" t="s">
        <v>1372</v>
      </c>
      <c r="G3111" s="130"/>
      <c r="H3111" s="155">
        <v>40407.804000000004</v>
      </c>
      <c r="I3111" s="10"/>
      <c r="J3111" s="79" t="e">
        <f t="shared" si="187"/>
        <v>#VALUE!</v>
      </c>
      <c r="K3111" s="106"/>
      <c r="L3111" s="141"/>
      <c r="M3111" s="132"/>
      <c r="N3111" s="133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spans="1:24" ht="14.25" customHeight="1">
      <c r="A3112" s="4"/>
      <c r="B3112" s="125">
        <v>46184</v>
      </c>
      <c r="C3112" s="126" t="s">
        <v>1371</v>
      </c>
      <c r="D3112" s="15" t="s">
        <v>48</v>
      </c>
      <c r="E3112" s="10" t="str">
        <f>TRIM(VLOOKUP(D3112,TB!$B$9:$C$1500,2,FALSE))</f>
        <v>Mandiri Card TBB</v>
      </c>
      <c r="F3112" s="142" t="s">
        <v>1372</v>
      </c>
      <c r="G3112" s="130"/>
      <c r="H3112" s="10"/>
      <c r="I3112" s="10">
        <v>2244878</v>
      </c>
      <c r="J3112" s="79" t="e">
        <f t="shared" si="187"/>
        <v>#VALUE!</v>
      </c>
      <c r="K3112" s="106"/>
      <c r="L3112" s="141"/>
      <c r="M3112" s="132"/>
      <c r="N3112" s="133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spans="1:24" ht="14.25" customHeight="1">
      <c r="A3113" s="4"/>
      <c r="B3113" s="125"/>
      <c r="C3113" s="126"/>
      <c r="D3113" s="159"/>
      <c r="E3113" s="10" t="e">
        <f>TRIM(VLOOKUP(D3113,TB!$B$9:$C$1500,2,FALSE))</f>
        <v>#N/A</v>
      </c>
      <c r="F3113" s="142"/>
      <c r="G3113" s="130"/>
      <c r="H3113" s="10"/>
      <c r="I3113" s="10"/>
      <c r="J3113" s="79" t="e">
        <f t="shared" si="187"/>
        <v>#VALUE!</v>
      </c>
      <c r="K3113" s="106"/>
      <c r="L3113" s="141"/>
      <c r="M3113" s="132"/>
      <c r="N3113" s="133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4" ht="14.25" customHeight="1">
      <c r="A3114" s="4"/>
      <c r="B3114" s="125">
        <v>46184</v>
      </c>
      <c r="C3114" s="126" t="s">
        <v>1373</v>
      </c>
      <c r="D3114" s="68" t="s">
        <v>158</v>
      </c>
      <c r="E3114" s="10" t="str">
        <f>TRIM(VLOOKUP(D3114,TB!$B$9:$C$1500,2,FALSE))</f>
        <v>Mandiri TBB IDR</v>
      </c>
      <c r="F3114" s="142" t="s">
        <v>1374</v>
      </c>
      <c r="G3114" s="130"/>
      <c r="H3114" s="10">
        <f>I3116-H3115</f>
        <v>39224811.600000001</v>
      </c>
      <c r="I3114" s="10"/>
      <c r="J3114" s="79" t="e">
        <f t="shared" si="187"/>
        <v>#VALUE!</v>
      </c>
      <c r="K3114" s="106"/>
      <c r="L3114" s="141"/>
      <c r="M3114" s="132"/>
      <c r="N3114" s="133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spans="1:24" ht="14.25" customHeight="1">
      <c r="A3115" s="4"/>
      <c r="B3115" s="125">
        <v>46184</v>
      </c>
      <c r="C3115" s="126" t="s">
        <v>1373</v>
      </c>
      <c r="D3115" s="15" t="s">
        <v>124</v>
      </c>
      <c r="E3115" s="10" t="str">
        <f>TRIM(VLOOKUP(D3115,TB!$B$9:$C$1500,2,FALSE))</f>
        <v>Bank charges</v>
      </c>
      <c r="F3115" s="142" t="s">
        <v>1374</v>
      </c>
      <c r="G3115" s="130"/>
      <c r="H3115" s="155">
        <v>718988.40000000014</v>
      </c>
      <c r="I3115" s="10"/>
      <c r="J3115" s="79" t="e">
        <f t="shared" si="187"/>
        <v>#VALUE!</v>
      </c>
      <c r="K3115" s="106"/>
      <c r="L3115" s="141"/>
      <c r="M3115" s="132"/>
      <c r="N3115" s="133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spans="1:24" ht="14.25" customHeight="1">
      <c r="A3116" s="4"/>
      <c r="B3116" s="125">
        <v>46184</v>
      </c>
      <c r="C3116" s="126" t="s">
        <v>1373</v>
      </c>
      <c r="D3116" s="15" t="s">
        <v>48</v>
      </c>
      <c r="E3116" s="10" t="str">
        <f>TRIM(VLOOKUP(D3116,TB!$B$9:$C$1500,2,FALSE))</f>
        <v>Mandiri Card TBB</v>
      </c>
      <c r="F3116" s="142" t="s">
        <v>1374</v>
      </c>
      <c r="G3116" s="130"/>
      <c r="H3116" s="10"/>
      <c r="I3116" s="10">
        <v>39943800</v>
      </c>
      <c r="J3116" s="79" t="e">
        <f t="shared" si="187"/>
        <v>#VALUE!</v>
      </c>
      <c r="K3116" s="106"/>
      <c r="L3116" s="141"/>
      <c r="M3116" s="132"/>
      <c r="N3116" s="133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spans="1:24" ht="14.25" customHeight="1">
      <c r="A3117" s="4"/>
      <c r="B3117" s="125"/>
      <c r="C3117" s="126"/>
      <c r="D3117" s="159"/>
      <c r="E3117" s="10" t="e">
        <f>TRIM(VLOOKUP(D3117,TB!$B$9:$C$1500,2,FALSE))</f>
        <v>#N/A</v>
      </c>
      <c r="F3117" s="142"/>
      <c r="G3117" s="130"/>
      <c r="H3117" s="10"/>
      <c r="I3117" s="10"/>
      <c r="J3117" s="79" t="e">
        <f t="shared" si="187"/>
        <v>#VALUE!</v>
      </c>
      <c r="K3117" s="106"/>
      <c r="L3117" s="141"/>
      <c r="M3117" s="132"/>
      <c r="N3117" s="133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spans="1:24" ht="14.25" customHeight="1">
      <c r="A3118" s="4"/>
      <c r="B3118" s="125">
        <v>46184</v>
      </c>
      <c r="C3118" s="126" t="s">
        <v>1375</v>
      </c>
      <c r="D3118" s="68" t="s">
        <v>158</v>
      </c>
      <c r="E3118" s="10" t="str">
        <f>TRIM(VLOOKUP(D3118,TB!$B$9:$C$1500,2,FALSE))</f>
        <v>Mandiri TBB IDR</v>
      </c>
      <c r="F3118" s="142" t="s">
        <v>1376</v>
      </c>
      <c r="G3118" s="130"/>
      <c r="H3118" s="10">
        <f>I3120-H3119</f>
        <v>7616195.5999999996</v>
      </c>
      <c r="I3118" s="10"/>
      <c r="J3118" s="79" t="e">
        <f t="shared" si="187"/>
        <v>#VALUE!</v>
      </c>
      <c r="K3118" s="106"/>
      <c r="L3118" s="141"/>
      <c r="M3118" s="132"/>
      <c r="N3118" s="133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spans="1:24" ht="14.25" customHeight="1">
      <c r="A3119" s="4"/>
      <c r="B3119" s="125">
        <v>46184</v>
      </c>
      <c r="C3119" s="126" t="s">
        <v>1375</v>
      </c>
      <c r="D3119" s="15" t="s">
        <v>124</v>
      </c>
      <c r="E3119" s="10" t="str">
        <f>TRIM(VLOOKUP(D3119,TB!$B$9:$C$1500,2,FALSE))</f>
        <v>Bank charges</v>
      </c>
      <c r="F3119" s="142" t="s">
        <v>1376</v>
      </c>
      <c r="G3119" s="130"/>
      <c r="H3119" s="155">
        <v>139604.40000000002</v>
      </c>
      <c r="I3119" s="10"/>
      <c r="J3119" s="79" t="e">
        <f t="shared" si="187"/>
        <v>#VALUE!</v>
      </c>
      <c r="K3119" s="106"/>
      <c r="L3119" s="141"/>
      <c r="M3119" s="132"/>
      <c r="N3119" s="133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spans="1:24" ht="14.25" customHeight="1">
      <c r="A3120" s="4"/>
      <c r="B3120" s="125">
        <v>46184</v>
      </c>
      <c r="C3120" s="126" t="s">
        <v>1375</v>
      </c>
      <c r="D3120" s="15" t="s">
        <v>48</v>
      </c>
      <c r="E3120" s="10" t="str">
        <f>TRIM(VLOOKUP(D3120,TB!$B$9:$C$1500,2,FALSE))</f>
        <v>Mandiri Card TBB</v>
      </c>
      <c r="F3120" s="142" t="s">
        <v>1376</v>
      </c>
      <c r="G3120" s="130"/>
      <c r="H3120" s="10"/>
      <c r="I3120" s="10">
        <v>7755800</v>
      </c>
      <c r="J3120" s="79" t="e">
        <f t="shared" si="187"/>
        <v>#VALUE!</v>
      </c>
      <c r="K3120" s="106"/>
      <c r="L3120" s="141"/>
      <c r="M3120" s="132"/>
      <c r="N3120" s="133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spans="1:24" ht="14.25" customHeight="1">
      <c r="A3121" s="4"/>
      <c r="B3121" s="125"/>
      <c r="C3121" s="126"/>
      <c r="D3121" s="159"/>
      <c r="E3121" s="10" t="e">
        <f>TRIM(VLOOKUP(D3121,TB!$B$9:$C$1500,2,FALSE))</f>
        <v>#N/A</v>
      </c>
      <c r="F3121" s="142"/>
      <c r="G3121" s="130"/>
      <c r="H3121" s="10"/>
      <c r="I3121" s="10"/>
      <c r="J3121" s="79" t="e">
        <f t="shared" si="187"/>
        <v>#VALUE!</v>
      </c>
      <c r="K3121" s="106"/>
      <c r="L3121" s="141"/>
      <c r="M3121" s="132"/>
      <c r="N3121" s="133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spans="1:24" ht="14.25" customHeight="1">
      <c r="A3122" s="4"/>
      <c r="B3122" s="125">
        <v>46184</v>
      </c>
      <c r="C3122" s="126" t="s">
        <v>1377</v>
      </c>
      <c r="D3122" s="68" t="s">
        <v>229</v>
      </c>
      <c r="E3122" s="10" t="str">
        <f>TRIM(VLOOKUP(D3122,TB!$B$9:$C$1500,2,FALSE))</f>
        <v>Mandiri TBB USD</v>
      </c>
      <c r="F3122" s="142" t="s">
        <v>1378</v>
      </c>
      <c r="G3122" s="130"/>
      <c r="H3122" s="10">
        <v>700000</v>
      </c>
      <c r="I3122" s="10"/>
      <c r="J3122" s="79" t="e">
        <f t="shared" si="187"/>
        <v>#VALUE!</v>
      </c>
      <c r="K3122" s="106"/>
      <c r="L3122" s="141"/>
      <c r="M3122" s="132"/>
      <c r="N3122" s="133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spans="1:24" ht="14.25" customHeight="1">
      <c r="A3123" s="4"/>
      <c r="B3123" s="125">
        <v>46184</v>
      </c>
      <c r="C3123" s="126" t="s">
        <v>1377</v>
      </c>
      <c r="D3123" s="68" t="s">
        <v>158</v>
      </c>
      <c r="E3123" s="10" t="str">
        <f>TRIM(VLOOKUP(D3123,TB!$B$9:$C$1500,2,FALSE))</f>
        <v>Mandiri TBB IDR</v>
      </c>
      <c r="F3123" s="142" t="s">
        <v>1378</v>
      </c>
      <c r="G3123" s="130"/>
      <c r="H3123" s="10"/>
      <c r="I3123" s="10">
        <v>700000</v>
      </c>
      <c r="J3123" s="79" t="e">
        <f t="shared" si="187"/>
        <v>#VALUE!</v>
      </c>
      <c r="K3123" s="106"/>
      <c r="L3123" s="141"/>
      <c r="M3123" s="132"/>
      <c r="N3123" s="133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spans="1:24" ht="14.25" customHeight="1">
      <c r="A3124" s="4"/>
      <c r="B3124" s="125"/>
      <c r="C3124" s="126"/>
      <c r="D3124" s="159"/>
      <c r="E3124" s="10" t="e">
        <f>TRIM(VLOOKUP(D3124,TB!$B$9:$C$1500,2,FALSE))</f>
        <v>#N/A</v>
      </c>
      <c r="F3124" s="142"/>
      <c r="G3124" s="130"/>
      <c r="H3124" s="10"/>
      <c r="I3124" s="10"/>
      <c r="J3124" s="79" t="e">
        <f t="shared" si="187"/>
        <v>#VALUE!</v>
      </c>
      <c r="K3124" s="106"/>
      <c r="L3124" s="141"/>
      <c r="M3124" s="132"/>
      <c r="N3124" s="133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spans="1:24" ht="14.25" customHeight="1">
      <c r="A3125" s="4"/>
      <c r="B3125" s="125">
        <v>46184</v>
      </c>
      <c r="C3125" s="126" t="s">
        <v>1379</v>
      </c>
      <c r="D3125" s="68" t="s">
        <v>285</v>
      </c>
      <c r="E3125" s="10" t="str">
        <f>TRIM(VLOOKUP(D3125,TB!$B$9:$C$1500,2,FALSE))</f>
        <v>Misc Cash Purchase</v>
      </c>
      <c r="F3125" s="186" t="s">
        <v>1380</v>
      </c>
      <c r="G3125" s="130"/>
      <c r="H3125" s="10">
        <v>57600000</v>
      </c>
      <c r="I3125" s="10"/>
      <c r="J3125" s="79" t="e">
        <f t="shared" si="187"/>
        <v>#VALUE!</v>
      </c>
      <c r="K3125" s="106"/>
      <c r="L3125" s="141"/>
      <c r="M3125" s="132"/>
      <c r="N3125" s="133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spans="1:24" ht="14.25" customHeight="1">
      <c r="A3126" s="4"/>
      <c r="B3126" s="125">
        <v>46184</v>
      </c>
      <c r="C3126" s="126" t="s">
        <v>1379</v>
      </c>
      <c r="D3126" s="15" t="s">
        <v>124</v>
      </c>
      <c r="E3126" s="10" t="str">
        <f>TRIM(VLOOKUP(D3126,TB!$B$9:$C$1500,2,FALSE))</f>
        <v>Bank charges</v>
      </c>
      <c r="F3126" s="186" t="s">
        <v>1380</v>
      </c>
      <c r="G3126" s="130"/>
      <c r="H3126" s="10">
        <v>2900</v>
      </c>
      <c r="I3126" s="10"/>
      <c r="J3126" s="79" t="e">
        <f t="shared" si="187"/>
        <v>#VALUE!</v>
      </c>
      <c r="K3126" s="106"/>
      <c r="L3126" s="141"/>
      <c r="M3126" s="132"/>
      <c r="N3126" s="133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spans="1:24" ht="14.25" customHeight="1">
      <c r="A3127" s="4"/>
      <c r="B3127" s="125">
        <v>46184</v>
      </c>
      <c r="C3127" s="126" t="s">
        <v>1379</v>
      </c>
      <c r="D3127" s="68" t="s">
        <v>158</v>
      </c>
      <c r="E3127" s="10" t="str">
        <f>TRIM(VLOOKUP(D3127,TB!$B$9:$C$1500,2,FALSE))</f>
        <v>Mandiri TBB IDR</v>
      </c>
      <c r="F3127" s="186" t="s">
        <v>1380</v>
      </c>
      <c r="G3127" s="130"/>
      <c r="H3127" s="10"/>
      <c r="I3127" s="10">
        <v>57602900</v>
      </c>
      <c r="J3127" s="79" t="e">
        <f t="shared" si="187"/>
        <v>#VALUE!</v>
      </c>
      <c r="K3127" s="106"/>
      <c r="L3127" s="141"/>
      <c r="M3127" s="132"/>
      <c r="N3127" s="133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spans="1:24" ht="14.25" customHeight="1">
      <c r="A3128" s="4"/>
      <c r="B3128" s="125"/>
      <c r="C3128" s="126"/>
      <c r="D3128" s="159"/>
      <c r="E3128" s="10" t="e">
        <f>TRIM(VLOOKUP(D3128,TB!$B$9:$C$1500,2,FALSE))</f>
        <v>#N/A</v>
      </c>
      <c r="F3128" s="142"/>
      <c r="G3128" s="130"/>
      <c r="H3128" s="10"/>
      <c r="I3128" s="10"/>
      <c r="J3128" s="79" t="e">
        <f t="shared" si="187"/>
        <v>#VALUE!</v>
      </c>
      <c r="K3128" s="106"/>
      <c r="L3128" s="141"/>
      <c r="M3128" s="132"/>
      <c r="N3128" s="133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spans="1:24" ht="14.25" customHeight="1">
      <c r="A3129" s="4"/>
      <c r="B3129" s="125">
        <v>46185</v>
      </c>
      <c r="C3129" s="126" t="s">
        <v>1381</v>
      </c>
      <c r="D3129" s="68" t="s">
        <v>158</v>
      </c>
      <c r="E3129" s="10" t="str">
        <f>TRIM(VLOOKUP(D3129,TB!$B$9:$C$1500,2,FALSE))</f>
        <v>Mandiri TBB IDR</v>
      </c>
      <c r="F3129" s="142" t="s">
        <v>1382</v>
      </c>
      <c r="G3129" s="130"/>
      <c r="H3129" s="10">
        <f>I3131-H3130</f>
        <v>3515143.6320000002</v>
      </c>
      <c r="I3129" s="10"/>
      <c r="J3129" s="79" t="e">
        <f t="shared" si="187"/>
        <v>#VALUE!</v>
      </c>
      <c r="K3129" s="106"/>
      <c r="L3129" s="141"/>
      <c r="M3129" s="132"/>
      <c r="N3129" s="133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spans="1:24" ht="14.25" customHeight="1">
      <c r="A3130" s="4"/>
      <c r="B3130" s="125">
        <v>46185</v>
      </c>
      <c r="C3130" s="126" t="s">
        <v>1381</v>
      </c>
      <c r="D3130" s="15" t="s">
        <v>124</v>
      </c>
      <c r="E3130" s="10" t="str">
        <f>TRIM(VLOOKUP(D3130,TB!$B$9:$C$1500,2,FALSE))</f>
        <v>Bank charges</v>
      </c>
      <c r="F3130" s="142" t="s">
        <v>1382</v>
      </c>
      <c r="G3130" s="130"/>
      <c r="H3130" s="155">
        <v>64432.368000000009</v>
      </c>
      <c r="I3130" s="10"/>
      <c r="J3130" s="79" t="e">
        <f t="shared" si="187"/>
        <v>#VALUE!</v>
      </c>
      <c r="K3130" s="106"/>
      <c r="L3130" s="141"/>
      <c r="M3130" s="132"/>
      <c r="N3130" s="133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spans="1:24" ht="14.25" customHeight="1">
      <c r="A3131" s="4"/>
      <c r="B3131" s="125">
        <v>46185</v>
      </c>
      <c r="C3131" s="126" t="s">
        <v>1381</v>
      </c>
      <c r="D3131" s="15" t="s">
        <v>48</v>
      </c>
      <c r="E3131" s="10" t="str">
        <f>TRIM(VLOOKUP(D3131,TB!$B$9:$C$1500,2,FALSE))</f>
        <v>Mandiri Card TBB</v>
      </c>
      <c r="F3131" s="142" t="s">
        <v>1382</v>
      </c>
      <c r="G3131" s="130"/>
      <c r="H3131" s="10"/>
      <c r="I3131" s="10">
        <v>3579576</v>
      </c>
      <c r="J3131" s="79" t="e">
        <f t="shared" si="187"/>
        <v>#VALUE!</v>
      </c>
      <c r="K3131" s="106"/>
      <c r="L3131" s="141"/>
      <c r="M3131" s="132"/>
      <c r="N3131" s="133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spans="1:24" ht="14.25" customHeight="1">
      <c r="A3132" s="4"/>
      <c r="B3132" s="125"/>
      <c r="C3132" s="126"/>
      <c r="D3132" s="159"/>
      <c r="E3132" s="10" t="e">
        <f>TRIM(VLOOKUP(D3132,TB!$B$9:$C$1500,2,FALSE))</f>
        <v>#N/A</v>
      </c>
      <c r="F3132" s="142"/>
      <c r="G3132" s="130"/>
      <c r="H3132" s="10"/>
      <c r="I3132" s="10"/>
      <c r="J3132" s="79" t="e">
        <f t="shared" si="187"/>
        <v>#VALUE!</v>
      </c>
      <c r="K3132" s="106"/>
      <c r="L3132" s="141"/>
      <c r="M3132" s="132"/>
      <c r="N3132" s="133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spans="1:24" ht="14.25" customHeight="1">
      <c r="A3133" s="4"/>
      <c r="B3133" s="125">
        <v>46185</v>
      </c>
      <c r="C3133" s="126" t="s">
        <v>1383</v>
      </c>
      <c r="D3133" s="68" t="s">
        <v>158</v>
      </c>
      <c r="E3133" s="10" t="str">
        <f>TRIM(VLOOKUP(D3133,TB!$B$9:$C$1500,2,FALSE))</f>
        <v>Mandiri TBB IDR</v>
      </c>
      <c r="F3133" s="142" t="s">
        <v>1384</v>
      </c>
      <c r="G3133" s="130"/>
      <c r="H3133" s="10">
        <f>I3135-H3134</f>
        <v>196400</v>
      </c>
      <c r="I3133" s="10"/>
      <c r="J3133" s="79" t="e">
        <f t="shared" si="187"/>
        <v>#VALUE!</v>
      </c>
      <c r="K3133" s="106"/>
      <c r="L3133" s="141"/>
      <c r="M3133" s="132"/>
      <c r="N3133" s="133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spans="1:24" ht="14.25" customHeight="1">
      <c r="A3134" s="4"/>
      <c r="B3134" s="125">
        <v>46185</v>
      </c>
      <c r="C3134" s="126" t="s">
        <v>1383</v>
      </c>
      <c r="D3134" s="15" t="s">
        <v>124</v>
      </c>
      <c r="E3134" s="10" t="str">
        <f>TRIM(VLOOKUP(D3134,TB!$B$9:$C$1500,2,FALSE))</f>
        <v>Bank charges</v>
      </c>
      <c r="F3134" s="142" t="s">
        <v>1384</v>
      </c>
      <c r="G3134" s="130"/>
      <c r="H3134" s="155">
        <v>3600.0000000000005</v>
      </c>
      <c r="I3134" s="10"/>
      <c r="J3134" s="79" t="e">
        <f t="shared" si="187"/>
        <v>#VALUE!</v>
      </c>
      <c r="K3134" s="106"/>
      <c r="L3134" s="141"/>
      <c r="M3134" s="132"/>
      <c r="N3134" s="133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spans="1:24" ht="14.25" customHeight="1">
      <c r="A3135" s="4"/>
      <c r="B3135" s="125">
        <v>46185</v>
      </c>
      <c r="C3135" s="126" t="s">
        <v>1383</v>
      </c>
      <c r="D3135" s="15" t="s">
        <v>48</v>
      </c>
      <c r="E3135" s="10" t="str">
        <f>TRIM(VLOOKUP(D3135,TB!$B$9:$C$1500,2,FALSE))</f>
        <v>Mandiri Card TBB</v>
      </c>
      <c r="F3135" s="142" t="s">
        <v>1384</v>
      </c>
      <c r="G3135" s="130"/>
      <c r="H3135" s="10"/>
      <c r="I3135" s="10">
        <v>200000</v>
      </c>
      <c r="J3135" s="79" t="e">
        <f t="shared" si="187"/>
        <v>#VALUE!</v>
      </c>
      <c r="K3135" s="106"/>
      <c r="L3135" s="141"/>
      <c r="M3135" s="132"/>
      <c r="N3135" s="133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spans="1:24" ht="14.25" customHeight="1">
      <c r="A3136" s="4"/>
      <c r="B3136" s="125"/>
      <c r="C3136" s="126"/>
      <c r="D3136" s="159"/>
      <c r="E3136" s="10" t="e">
        <f>TRIM(VLOOKUP(D3136,TB!$B$9:$C$1500,2,FALSE))</f>
        <v>#N/A</v>
      </c>
      <c r="F3136" s="142"/>
      <c r="G3136" s="130"/>
      <c r="H3136" s="10"/>
      <c r="I3136" s="10"/>
      <c r="J3136" s="79" t="e">
        <f t="shared" si="187"/>
        <v>#VALUE!</v>
      </c>
      <c r="K3136" s="106"/>
      <c r="L3136" s="141"/>
      <c r="M3136" s="132"/>
      <c r="N3136" s="133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spans="1:24" ht="14.25" customHeight="1">
      <c r="A3137" s="4"/>
      <c r="B3137" s="125">
        <v>46185</v>
      </c>
      <c r="C3137" s="126" t="s">
        <v>1385</v>
      </c>
      <c r="D3137" s="68" t="s">
        <v>158</v>
      </c>
      <c r="E3137" s="10" t="str">
        <f>TRIM(VLOOKUP(D3137,TB!$B$9:$C$1500,2,FALSE))</f>
        <v>Mandiri TBB IDR</v>
      </c>
      <c r="F3137" s="142" t="s">
        <v>1386</v>
      </c>
      <c r="G3137" s="130"/>
      <c r="H3137" s="10">
        <f>I3139-H3138</f>
        <v>47349627.226000004</v>
      </c>
      <c r="I3137" s="10"/>
      <c r="J3137" s="79" t="e">
        <f t="shared" si="187"/>
        <v>#VALUE!</v>
      </c>
      <c r="K3137" s="106"/>
      <c r="L3137" s="141"/>
      <c r="M3137" s="132"/>
      <c r="N3137" s="133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spans="1:24" ht="14.25" customHeight="1">
      <c r="A3138" s="4"/>
      <c r="B3138" s="125">
        <v>46185</v>
      </c>
      <c r="C3138" s="126" t="s">
        <v>1385</v>
      </c>
      <c r="D3138" s="15" t="s">
        <v>124</v>
      </c>
      <c r="E3138" s="10" t="str">
        <f>TRIM(VLOOKUP(D3138,TB!$B$9:$C$1500,2,FALSE))</f>
        <v>Bank charges</v>
      </c>
      <c r="F3138" s="142" t="s">
        <v>1386</v>
      </c>
      <c r="G3138" s="130"/>
      <c r="H3138" s="155">
        <v>867915.77400000009</v>
      </c>
      <c r="I3138" s="10"/>
      <c r="J3138" s="79" t="e">
        <f t="shared" si="187"/>
        <v>#VALUE!</v>
      </c>
      <c r="K3138" s="106"/>
      <c r="L3138" s="141"/>
      <c r="M3138" s="132"/>
      <c r="N3138" s="133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spans="1:24" ht="14.25" customHeight="1">
      <c r="A3139" s="4"/>
      <c r="B3139" s="125">
        <v>46185</v>
      </c>
      <c r="C3139" s="126" t="s">
        <v>1385</v>
      </c>
      <c r="D3139" s="15" t="s">
        <v>48</v>
      </c>
      <c r="E3139" s="10" t="str">
        <f>TRIM(VLOOKUP(D3139,TB!$B$9:$C$1500,2,FALSE))</f>
        <v>Mandiri Card TBB</v>
      </c>
      <c r="F3139" s="142" t="s">
        <v>1386</v>
      </c>
      <c r="G3139" s="130"/>
      <c r="H3139" s="10"/>
      <c r="I3139" s="10">
        <v>48217543</v>
      </c>
      <c r="J3139" s="79" t="e">
        <f t="shared" si="187"/>
        <v>#VALUE!</v>
      </c>
      <c r="K3139" s="106"/>
      <c r="L3139" s="141"/>
      <c r="M3139" s="132"/>
      <c r="N3139" s="133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spans="1:24" ht="14.25" customHeight="1">
      <c r="A3140" s="4"/>
      <c r="B3140" s="125"/>
      <c r="C3140" s="126"/>
      <c r="D3140" s="159"/>
      <c r="E3140" s="10" t="e">
        <f>TRIM(VLOOKUP(D3140,TB!$B$9:$C$1500,2,FALSE))</f>
        <v>#N/A</v>
      </c>
      <c r="F3140" s="142"/>
      <c r="G3140" s="130"/>
      <c r="H3140" s="10"/>
      <c r="I3140" s="10"/>
      <c r="J3140" s="79" t="e">
        <f t="shared" si="187"/>
        <v>#VALUE!</v>
      </c>
      <c r="K3140" s="106"/>
      <c r="L3140" s="141"/>
      <c r="M3140" s="132"/>
      <c r="N3140" s="133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spans="1:24" ht="14.25" customHeight="1">
      <c r="A3141" s="4"/>
      <c r="B3141" s="125">
        <v>46185</v>
      </c>
      <c r="C3141" s="126" t="s">
        <v>1387</v>
      </c>
      <c r="D3141" s="68" t="s">
        <v>158</v>
      </c>
      <c r="E3141" s="10" t="str">
        <f>TRIM(VLOOKUP(D3141,TB!$B$9:$C$1500,2,FALSE))</f>
        <v>Mandiri TBB IDR</v>
      </c>
      <c r="F3141" s="142" t="s">
        <v>1388</v>
      </c>
      <c r="G3141" s="130"/>
      <c r="H3141" s="10">
        <f>I3143-H3142</f>
        <v>1519630.27</v>
      </c>
      <c r="I3141" s="10"/>
      <c r="J3141" s="79" t="e">
        <f t="shared" si="187"/>
        <v>#VALUE!</v>
      </c>
      <c r="K3141" s="106"/>
      <c r="L3141" s="141"/>
      <c r="M3141" s="132"/>
      <c r="N3141" s="133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spans="1:24" ht="14.25" customHeight="1">
      <c r="A3142" s="4"/>
      <c r="B3142" s="125">
        <v>46185</v>
      </c>
      <c r="C3142" s="126" t="s">
        <v>1387</v>
      </c>
      <c r="D3142" s="15" t="s">
        <v>124</v>
      </c>
      <c r="E3142" s="10" t="str">
        <f>TRIM(VLOOKUP(D3142,TB!$B$9:$C$1500,2,FALSE))</f>
        <v>Bank charges</v>
      </c>
      <c r="F3142" s="142" t="s">
        <v>1388</v>
      </c>
      <c r="G3142" s="130"/>
      <c r="H3142" s="155">
        <v>27854.730000000003</v>
      </c>
      <c r="I3142" s="10"/>
      <c r="J3142" s="79" t="e">
        <f t="shared" si="187"/>
        <v>#VALUE!</v>
      </c>
      <c r="K3142" s="106"/>
      <c r="L3142" s="141"/>
      <c r="M3142" s="132"/>
      <c r="N3142" s="133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spans="1:24" ht="14.25" customHeight="1">
      <c r="A3143" s="4"/>
      <c r="B3143" s="125">
        <v>46185</v>
      </c>
      <c r="C3143" s="126" t="s">
        <v>1387</v>
      </c>
      <c r="D3143" s="15" t="s">
        <v>48</v>
      </c>
      <c r="E3143" s="10" t="str">
        <f>TRIM(VLOOKUP(D3143,TB!$B$9:$C$1500,2,FALSE))</f>
        <v>Mandiri Card TBB</v>
      </c>
      <c r="F3143" s="142" t="s">
        <v>1388</v>
      </c>
      <c r="G3143" s="130"/>
      <c r="H3143" s="10"/>
      <c r="I3143" s="10">
        <v>1547485</v>
      </c>
      <c r="J3143" s="79" t="e">
        <f t="shared" si="187"/>
        <v>#VALUE!</v>
      </c>
      <c r="K3143" s="106"/>
      <c r="L3143" s="141"/>
      <c r="M3143" s="132"/>
      <c r="N3143" s="133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spans="1:24" ht="14.25" customHeight="1">
      <c r="A3144" s="4"/>
      <c r="B3144" s="125"/>
      <c r="C3144" s="126"/>
      <c r="D3144" s="159"/>
      <c r="E3144" s="10" t="e">
        <f>TRIM(VLOOKUP(D3144,TB!$B$9:$C$1500,2,FALSE))</f>
        <v>#N/A</v>
      </c>
      <c r="F3144" s="142"/>
      <c r="G3144" s="130"/>
      <c r="H3144" s="10"/>
      <c r="I3144" s="10"/>
      <c r="J3144" s="79" t="e">
        <f t="shared" si="187"/>
        <v>#VALUE!</v>
      </c>
      <c r="K3144" s="106"/>
      <c r="L3144" s="141"/>
      <c r="M3144" s="132"/>
      <c r="N3144" s="133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spans="1:24" ht="14.25" customHeight="1">
      <c r="A3145" s="4"/>
      <c r="B3145" s="125">
        <v>46185</v>
      </c>
      <c r="C3145" s="126" t="s">
        <v>1389</v>
      </c>
      <c r="D3145" s="68" t="s">
        <v>158</v>
      </c>
      <c r="E3145" s="10" t="str">
        <f>TRIM(VLOOKUP(D3145,TB!$B$9:$C$1500,2,FALSE))</f>
        <v>Mandiri TBB IDR</v>
      </c>
      <c r="F3145" s="142" t="s">
        <v>1390</v>
      </c>
      <c r="G3145" s="130"/>
      <c r="H3145" s="10">
        <f>I3147-H3146</f>
        <v>3871623.38</v>
      </c>
      <c r="I3145" s="10"/>
      <c r="J3145" s="79" t="e">
        <f t="shared" si="187"/>
        <v>#VALUE!</v>
      </c>
      <c r="K3145" s="106"/>
      <c r="L3145" s="141"/>
      <c r="M3145" s="132"/>
      <c r="N3145" s="133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spans="1:24" ht="14.25" customHeight="1">
      <c r="A3146" s="4"/>
      <c r="B3146" s="125">
        <v>46185</v>
      </c>
      <c r="C3146" s="126" t="s">
        <v>1389</v>
      </c>
      <c r="D3146" s="15" t="s">
        <v>124</v>
      </c>
      <c r="E3146" s="10" t="str">
        <f>TRIM(VLOOKUP(D3146,TB!$B$9:$C$1500,2,FALSE))</f>
        <v>Bank charges</v>
      </c>
      <c r="F3146" s="142" t="s">
        <v>1390</v>
      </c>
      <c r="G3146" s="130"/>
      <c r="H3146" s="155">
        <v>70966.62000000001</v>
      </c>
      <c r="I3146" s="10"/>
      <c r="J3146" s="79" t="e">
        <f t="shared" si="187"/>
        <v>#VALUE!</v>
      </c>
      <c r="K3146" s="106"/>
      <c r="L3146" s="141"/>
      <c r="M3146" s="132"/>
      <c r="N3146" s="133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spans="1:24" ht="14.25" customHeight="1">
      <c r="A3147" s="4"/>
      <c r="B3147" s="125">
        <v>46185</v>
      </c>
      <c r="C3147" s="126" t="s">
        <v>1389</v>
      </c>
      <c r="D3147" s="15" t="s">
        <v>48</v>
      </c>
      <c r="E3147" s="10" t="str">
        <f>TRIM(VLOOKUP(D3147,TB!$B$9:$C$1500,2,FALSE))</f>
        <v>Mandiri Card TBB</v>
      </c>
      <c r="F3147" s="142" t="s">
        <v>1390</v>
      </c>
      <c r="G3147" s="130"/>
      <c r="H3147" s="10"/>
      <c r="I3147" s="10">
        <v>3942590</v>
      </c>
      <c r="J3147" s="79" t="e">
        <f t="shared" si="187"/>
        <v>#VALUE!</v>
      </c>
      <c r="K3147" s="106"/>
      <c r="L3147" s="141"/>
      <c r="M3147" s="132"/>
      <c r="N3147" s="133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spans="1:24" ht="14.25" customHeight="1">
      <c r="A3148" s="4"/>
      <c r="B3148" s="125"/>
      <c r="C3148" s="126"/>
      <c r="D3148" s="159"/>
      <c r="E3148" s="10" t="e">
        <f>TRIM(VLOOKUP(D3148,TB!$B$9:$C$1500,2,FALSE))</f>
        <v>#N/A</v>
      </c>
      <c r="F3148" s="142"/>
      <c r="G3148" s="130"/>
      <c r="H3148" s="10"/>
      <c r="I3148" s="10"/>
      <c r="J3148" s="79" t="e">
        <f t="shared" si="187"/>
        <v>#VALUE!</v>
      </c>
      <c r="K3148" s="106"/>
      <c r="L3148" s="141"/>
      <c r="M3148" s="132"/>
      <c r="N3148" s="133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spans="1:24" ht="14.25" customHeight="1">
      <c r="A3149" s="4"/>
      <c r="B3149" s="125">
        <v>46185</v>
      </c>
      <c r="C3149" s="126" t="s">
        <v>1391</v>
      </c>
      <c r="D3149" s="68" t="s">
        <v>285</v>
      </c>
      <c r="E3149" s="10" t="str">
        <f>TRIM(VLOOKUP(D3149,TB!$B$9:$C$1500,2,FALSE))</f>
        <v>Misc Cash Purchase</v>
      </c>
      <c r="F3149" s="191" t="s">
        <v>1392</v>
      </c>
      <c r="G3149" s="130"/>
      <c r="H3149" s="10">
        <v>140000</v>
      </c>
      <c r="I3149" s="10"/>
      <c r="J3149" s="79" t="e">
        <f t="shared" si="187"/>
        <v>#VALUE!</v>
      </c>
      <c r="K3149" s="106"/>
      <c r="L3149" s="141"/>
      <c r="M3149" s="132"/>
      <c r="N3149" s="133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spans="1:24" ht="14.25" customHeight="1">
      <c r="A3150" s="4"/>
      <c r="B3150" s="125">
        <v>46185</v>
      </c>
      <c r="C3150" s="126" t="s">
        <v>1391</v>
      </c>
      <c r="D3150" s="68" t="s">
        <v>158</v>
      </c>
      <c r="E3150" s="10" t="str">
        <f>TRIM(VLOOKUP(D3150,TB!$B$9:$C$1500,2,FALSE))</f>
        <v>Mandiri TBB IDR</v>
      </c>
      <c r="F3150" s="191" t="s">
        <v>1392</v>
      </c>
      <c r="G3150" s="130"/>
      <c r="H3150" s="10"/>
      <c r="I3150" s="10">
        <v>140000</v>
      </c>
      <c r="J3150" s="79" t="e">
        <f t="shared" si="187"/>
        <v>#VALUE!</v>
      </c>
      <c r="K3150" s="106"/>
      <c r="L3150" s="141"/>
      <c r="M3150" s="132"/>
      <c r="N3150" s="133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spans="1:24" ht="14.25" customHeight="1">
      <c r="A3151" s="4"/>
      <c r="B3151" s="125"/>
      <c r="C3151" s="126"/>
      <c r="D3151" s="159"/>
      <c r="E3151" s="10" t="e">
        <f>TRIM(VLOOKUP(D3151,TB!$B$9:$C$1500,2,FALSE))</f>
        <v>#N/A</v>
      </c>
      <c r="F3151" s="142"/>
      <c r="G3151" s="130"/>
      <c r="H3151" s="10"/>
      <c r="I3151" s="10"/>
      <c r="J3151" s="79" t="e">
        <f t="shared" si="187"/>
        <v>#VALUE!</v>
      </c>
      <c r="K3151" s="106"/>
      <c r="L3151" s="141"/>
      <c r="M3151" s="132"/>
      <c r="N3151" s="133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spans="1:24" ht="14.25" customHeight="1">
      <c r="A3152" s="4"/>
      <c r="B3152" s="125">
        <v>46185</v>
      </c>
      <c r="C3152" s="126" t="s">
        <v>1393</v>
      </c>
      <c r="D3152" s="68" t="s">
        <v>285</v>
      </c>
      <c r="E3152" s="10" t="str">
        <f>TRIM(VLOOKUP(D3152,TB!$B$9:$C$1500,2,FALSE))</f>
        <v>Misc Cash Purchase</v>
      </c>
      <c r="F3152" s="191" t="s">
        <v>1394</v>
      </c>
      <c r="G3152" s="130"/>
      <c r="H3152" s="10">
        <v>150000</v>
      </c>
      <c r="I3152" s="10"/>
      <c r="J3152" s="79" t="e">
        <f t="shared" si="187"/>
        <v>#VALUE!</v>
      </c>
      <c r="K3152" s="106"/>
      <c r="L3152" s="141"/>
      <c r="M3152" s="132"/>
      <c r="N3152" s="133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spans="1:24" ht="14.25" customHeight="1">
      <c r="A3153" s="4"/>
      <c r="B3153" s="125">
        <v>46185</v>
      </c>
      <c r="C3153" s="126" t="s">
        <v>1393</v>
      </c>
      <c r="D3153" s="68" t="s">
        <v>158</v>
      </c>
      <c r="E3153" s="10" t="str">
        <f>TRIM(VLOOKUP(D3153,TB!$B$9:$C$1500,2,FALSE))</f>
        <v>Mandiri TBB IDR</v>
      </c>
      <c r="F3153" s="191" t="s">
        <v>1394</v>
      </c>
      <c r="G3153" s="130"/>
      <c r="H3153" s="10"/>
      <c r="I3153" s="10">
        <v>150000</v>
      </c>
      <c r="J3153" s="79" t="e">
        <f t="shared" si="187"/>
        <v>#VALUE!</v>
      </c>
      <c r="K3153" s="106"/>
      <c r="L3153" s="141"/>
      <c r="M3153" s="132"/>
      <c r="N3153" s="133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spans="1:24" ht="14.25" customHeight="1">
      <c r="A3154" s="4"/>
      <c r="B3154" s="125"/>
      <c r="C3154" s="126"/>
      <c r="D3154" s="159"/>
      <c r="E3154" s="10" t="e">
        <f>TRIM(VLOOKUP(D3154,TB!$B$9:$C$1500,2,FALSE))</f>
        <v>#N/A</v>
      </c>
      <c r="F3154" s="142"/>
      <c r="G3154" s="130"/>
      <c r="H3154" s="10"/>
      <c r="I3154" s="10"/>
      <c r="J3154" s="79" t="e">
        <f t="shared" si="187"/>
        <v>#VALUE!</v>
      </c>
      <c r="K3154" s="106"/>
      <c r="L3154" s="141"/>
      <c r="M3154" s="132"/>
      <c r="N3154" s="133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spans="1:24" ht="14.25" customHeight="1">
      <c r="A3155" s="4"/>
      <c r="B3155" s="125">
        <v>46185</v>
      </c>
      <c r="C3155" s="126" t="s">
        <v>1395</v>
      </c>
      <c r="D3155" s="68" t="s">
        <v>285</v>
      </c>
      <c r="E3155" s="10" t="str">
        <f>TRIM(VLOOKUP(D3155,TB!$B$9:$C$1500,2,FALSE))</f>
        <v>Misc Cash Purchase</v>
      </c>
      <c r="F3155" s="191" t="s">
        <v>1396</v>
      </c>
      <c r="G3155" s="130"/>
      <c r="H3155" s="10">
        <v>425000</v>
      </c>
      <c r="I3155" s="10"/>
      <c r="J3155" s="79" t="e">
        <f t="shared" si="187"/>
        <v>#VALUE!</v>
      </c>
      <c r="K3155" s="106"/>
      <c r="L3155" s="141"/>
      <c r="M3155" s="132"/>
      <c r="N3155" s="133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spans="1:24" ht="14.25" customHeight="1">
      <c r="A3156" s="4"/>
      <c r="B3156" s="125">
        <v>46185</v>
      </c>
      <c r="C3156" s="126" t="s">
        <v>1395</v>
      </c>
      <c r="D3156" s="68" t="s">
        <v>158</v>
      </c>
      <c r="E3156" s="10" t="str">
        <f>TRIM(VLOOKUP(D3156,TB!$B$9:$C$1500,2,FALSE))</f>
        <v>Mandiri TBB IDR</v>
      </c>
      <c r="F3156" s="191" t="s">
        <v>1396</v>
      </c>
      <c r="G3156" s="130"/>
      <c r="H3156" s="10"/>
      <c r="I3156" s="10">
        <v>425000</v>
      </c>
      <c r="J3156" s="79" t="e">
        <f t="shared" si="187"/>
        <v>#VALUE!</v>
      </c>
      <c r="K3156" s="106"/>
      <c r="L3156" s="141"/>
      <c r="M3156" s="132"/>
      <c r="N3156" s="133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spans="1:24" ht="14.25" customHeight="1">
      <c r="A3157" s="4"/>
      <c r="B3157" s="125"/>
      <c r="C3157" s="126"/>
      <c r="D3157" s="159"/>
      <c r="E3157" s="10" t="e">
        <f>TRIM(VLOOKUP(D3157,TB!$B$9:$C$1500,2,FALSE))</f>
        <v>#N/A</v>
      </c>
      <c r="F3157" s="142"/>
      <c r="G3157" s="130"/>
      <c r="H3157" s="10"/>
      <c r="I3157" s="10"/>
      <c r="J3157" s="79" t="e">
        <f t="shared" si="187"/>
        <v>#VALUE!</v>
      </c>
      <c r="K3157" s="106"/>
      <c r="L3157" s="141"/>
      <c r="M3157" s="132"/>
      <c r="N3157" s="133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spans="1:24" ht="14.25" customHeight="1">
      <c r="A3158" s="4"/>
      <c r="B3158" s="125">
        <v>46185</v>
      </c>
      <c r="C3158" s="126" t="s">
        <v>1397</v>
      </c>
      <c r="D3158" s="68" t="s">
        <v>285</v>
      </c>
      <c r="E3158" s="10" t="str">
        <f>TRIM(VLOOKUP(D3158,TB!$B$9:$C$1500,2,FALSE))</f>
        <v>Misc Cash Purchase</v>
      </c>
      <c r="F3158" s="191" t="s">
        <v>1398</v>
      </c>
      <c r="G3158" s="130"/>
      <c r="H3158" s="10">
        <v>185000</v>
      </c>
      <c r="I3158" s="10"/>
      <c r="J3158" s="79" t="e">
        <f t="shared" si="187"/>
        <v>#VALUE!</v>
      </c>
      <c r="K3158" s="106"/>
      <c r="L3158" s="141"/>
      <c r="M3158" s="132"/>
      <c r="N3158" s="133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spans="1:24" ht="14.25" customHeight="1">
      <c r="A3159" s="4"/>
      <c r="B3159" s="125">
        <v>46185</v>
      </c>
      <c r="C3159" s="126" t="s">
        <v>1397</v>
      </c>
      <c r="D3159" s="68" t="s">
        <v>158</v>
      </c>
      <c r="E3159" s="10" t="str">
        <f>TRIM(VLOOKUP(D3159,TB!$B$9:$C$1500,2,FALSE))</f>
        <v>Mandiri TBB IDR</v>
      </c>
      <c r="F3159" s="191" t="s">
        <v>1398</v>
      </c>
      <c r="G3159" s="130"/>
      <c r="H3159" s="10"/>
      <c r="I3159" s="10">
        <v>185000</v>
      </c>
      <c r="J3159" s="79" t="e">
        <f t="shared" si="187"/>
        <v>#VALUE!</v>
      </c>
      <c r="K3159" s="106"/>
      <c r="L3159" s="141"/>
      <c r="M3159" s="132"/>
      <c r="N3159" s="133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spans="1:24" ht="14.25" customHeight="1">
      <c r="A3160" s="4"/>
      <c r="B3160" s="125"/>
      <c r="C3160" s="126"/>
      <c r="D3160" s="159"/>
      <c r="E3160" s="10" t="e">
        <f>TRIM(VLOOKUP(D3160,TB!$B$9:$C$1500,2,FALSE))</f>
        <v>#N/A</v>
      </c>
      <c r="F3160" s="142"/>
      <c r="G3160" s="130"/>
      <c r="H3160" s="10"/>
      <c r="I3160" s="10"/>
      <c r="J3160" s="79" t="e">
        <f t="shared" si="187"/>
        <v>#VALUE!</v>
      </c>
      <c r="K3160" s="106"/>
      <c r="L3160" s="141"/>
      <c r="M3160" s="132"/>
      <c r="N3160" s="133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spans="1:24" ht="14.25" customHeight="1">
      <c r="A3161" s="4"/>
      <c r="B3161" s="125">
        <v>46185</v>
      </c>
      <c r="C3161" s="126" t="s">
        <v>1399</v>
      </c>
      <c r="D3161" s="68" t="s">
        <v>285</v>
      </c>
      <c r="E3161" s="10" t="str">
        <f>TRIM(VLOOKUP(D3161,TB!$B$9:$C$1500,2,FALSE))</f>
        <v>Misc Cash Purchase</v>
      </c>
      <c r="F3161" s="191" t="s">
        <v>1400</v>
      </c>
      <c r="G3161" s="130"/>
      <c r="H3161" s="10">
        <v>305000</v>
      </c>
      <c r="I3161" s="10"/>
      <c r="J3161" s="79" t="e">
        <f t="shared" si="187"/>
        <v>#VALUE!</v>
      </c>
      <c r="K3161" s="106"/>
      <c r="L3161" s="141"/>
      <c r="M3161" s="132"/>
      <c r="N3161" s="133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spans="1:24" ht="14.25" customHeight="1">
      <c r="A3162" s="4"/>
      <c r="B3162" s="125">
        <v>46185</v>
      </c>
      <c r="C3162" s="126" t="s">
        <v>1399</v>
      </c>
      <c r="D3162" s="68" t="s">
        <v>158</v>
      </c>
      <c r="E3162" s="10" t="str">
        <f>TRIM(VLOOKUP(D3162,TB!$B$9:$C$1500,2,FALSE))</f>
        <v>Mandiri TBB IDR</v>
      </c>
      <c r="F3162" s="191" t="s">
        <v>1400</v>
      </c>
      <c r="G3162" s="130"/>
      <c r="H3162" s="10"/>
      <c r="I3162" s="10">
        <v>305000</v>
      </c>
      <c r="J3162" s="79" t="e">
        <f t="shared" si="187"/>
        <v>#VALUE!</v>
      </c>
      <c r="K3162" s="106"/>
      <c r="L3162" s="141"/>
      <c r="M3162" s="132"/>
      <c r="N3162" s="133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spans="1:24" ht="14.25" customHeight="1">
      <c r="A3163" s="4"/>
      <c r="B3163" s="125"/>
      <c r="C3163" s="126"/>
      <c r="D3163" s="159"/>
      <c r="E3163" s="10" t="e">
        <f>TRIM(VLOOKUP(D3163,TB!$B$9:$C$1500,2,FALSE))</f>
        <v>#N/A</v>
      </c>
      <c r="F3163" s="142"/>
      <c r="G3163" s="130"/>
      <c r="H3163" s="10"/>
      <c r="I3163" s="10"/>
      <c r="J3163" s="79" t="e">
        <f t="shared" si="187"/>
        <v>#VALUE!</v>
      </c>
      <c r="K3163" s="106"/>
      <c r="L3163" s="141"/>
      <c r="M3163" s="132"/>
      <c r="N3163" s="133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spans="1:24" ht="14.25" customHeight="1">
      <c r="A3164" s="4"/>
      <c r="B3164" s="125">
        <v>46185</v>
      </c>
      <c r="C3164" s="126" t="s">
        <v>1401</v>
      </c>
      <c r="D3164" s="68" t="s">
        <v>285</v>
      </c>
      <c r="E3164" s="10" t="str">
        <f>TRIM(VLOOKUP(D3164,TB!$B$9:$C$1500,2,FALSE))</f>
        <v>Misc Cash Purchase</v>
      </c>
      <c r="F3164" s="191" t="s">
        <v>1402</v>
      </c>
      <c r="G3164" s="130"/>
      <c r="H3164" s="10">
        <v>500000</v>
      </c>
      <c r="I3164" s="10"/>
      <c r="J3164" s="79" t="e">
        <f t="shared" si="187"/>
        <v>#VALUE!</v>
      </c>
      <c r="K3164" s="106"/>
      <c r="L3164" s="141"/>
      <c r="M3164" s="132"/>
      <c r="N3164" s="133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spans="1:24" ht="14.25" customHeight="1">
      <c r="A3165" s="4"/>
      <c r="B3165" s="125">
        <v>46185</v>
      </c>
      <c r="C3165" s="126" t="s">
        <v>1401</v>
      </c>
      <c r="D3165" s="68" t="s">
        <v>158</v>
      </c>
      <c r="E3165" s="10" t="str">
        <f>TRIM(VLOOKUP(D3165,TB!$B$9:$C$1500,2,FALSE))</f>
        <v>Mandiri TBB IDR</v>
      </c>
      <c r="F3165" s="191" t="s">
        <v>1402</v>
      </c>
      <c r="G3165" s="130"/>
      <c r="H3165" s="10"/>
      <c r="I3165" s="10">
        <v>500000</v>
      </c>
      <c r="J3165" s="79" t="e">
        <f t="shared" si="187"/>
        <v>#VALUE!</v>
      </c>
      <c r="K3165" s="106"/>
      <c r="L3165" s="141"/>
      <c r="M3165" s="132"/>
      <c r="N3165" s="133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spans="1:24" ht="14.25" customHeight="1">
      <c r="A3166" s="4"/>
      <c r="B3166" s="125"/>
      <c r="C3166" s="126"/>
      <c r="D3166" s="159"/>
      <c r="E3166" s="10" t="e">
        <f>TRIM(VLOOKUP(D3166,TB!$B$9:$C$1500,2,FALSE))</f>
        <v>#N/A</v>
      </c>
      <c r="F3166" s="142"/>
      <c r="G3166" s="130"/>
      <c r="H3166" s="10"/>
      <c r="I3166" s="10"/>
      <c r="J3166" s="79" t="e">
        <f t="shared" si="187"/>
        <v>#VALUE!</v>
      </c>
      <c r="K3166" s="106"/>
      <c r="L3166" s="141"/>
      <c r="M3166" s="132"/>
      <c r="N3166" s="133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spans="1:24" ht="14.25" customHeight="1">
      <c r="A3167" s="4"/>
      <c r="B3167" s="125">
        <v>46185</v>
      </c>
      <c r="C3167" s="126" t="s">
        <v>1403</v>
      </c>
      <c r="D3167" s="15" t="s">
        <v>1404</v>
      </c>
      <c r="E3167" s="10" t="str">
        <f>TRIM(VLOOKUP(D3167,TB!$B$9:$C$1500,2,FALSE))</f>
        <v>Stationary &amp; Office Supplies</v>
      </c>
      <c r="F3167" s="191" t="s">
        <v>1405</v>
      </c>
      <c r="G3167" s="130"/>
      <c r="H3167" s="10">
        <v>50000</v>
      </c>
      <c r="I3167" s="10"/>
      <c r="J3167" s="79" t="e">
        <f t="shared" si="187"/>
        <v>#VALUE!</v>
      </c>
      <c r="K3167" s="106"/>
      <c r="L3167" s="141"/>
      <c r="M3167" s="132"/>
      <c r="N3167" s="133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spans="1:24" ht="14.25" customHeight="1">
      <c r="A3168" s="4"/>
      <c r="B3168" s="125">
        <v>46185</v>
      </c>
      <c r="C3168" s="126" t="s">
        <v>1403</v>
      </c>
      <c r="D3168" s="68" t="s">
        <v>158</v>
      </c>
      <c r="E3168" s="10" t="str">
        <f>TRIM(VLOOKUP(D3168,TB!$B$9:$C$1500,2,FALSE))</f>
        <v>Mandiri TBB IDR</v>
      </c>
      <c r="F3168" s="191" t="s">
        <v>1405</v>
      </c>
      <c r="G3168" s="130"/>
      <c r="H3168" s="10"/>
      <c r="I3168" s="10">
        <v>50000</v>
      </c>
      <c r="J3168" s="79" t="e">
        <f t="shared" si="187"/>
        <v>#VALUE!</v>
      </c>
      <c r="K3168" s="106"/>
      <c r="L3168" s="141"/>
      <c r="M3168" s="132"/>
      <c r="N3168" s="133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spans="1:24" ht="14.25" customHeight="1">
      <c r="A3169" s="4"/>
      <c r="B3169" s="125"/>
      <c r="C3169" s="126"/>
      <c r="D3169" s="159"/>
      <c r="E3169" s="10" t="e">
        <f>TRIM(VLOOKUP(D3169,TB!$B$9:$C$1500,2,FALSE))</f>
        <v>#N/A</v>
      </c>
      <c r="F3169" s="142"/>
      <c r="G3169" s="130"/>
      <c r="H3169" s="10"/>
      <c r="I3169" s="10"/>
      <c r="J3169" s="79" t="e">
        <f t="shared" si="187"/>
        <v>#VALUE!</v>
      </c>
      <c r="K3169" s="106"/>
      <c r="L3169" s="141"/>
      <c r="M3169" s="132"/>
      <c r="N3169" s="133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spans="1:24" ht="14.25" customHeight="1">
      <c r="A3170" s="4"/>
      <c r="B3170" s="125">
        <v>46185</v>
      </c>
      <c r="C3170" s="126" t="s">
        <v>1406</v>
      </c>
      <c r="D3170" s="15" t="s">
        <v>1404</v>
      </c>
      <c r="E3170" s="10" t="str">
        <f>TRIM(VLOOKUP(D3170,TB!$B$9:$C$1500,2,FALSE))</f>
        <v>Stationary &amp; Office Supplies</v>
      </c>
      <c r="F3170" s="191" t="s">
        <v>1407</v>
      </c>
      <c r="G3170" s="130"/>
      <c r="H3170" s="10">
        <v>347400</v>
      </c>
      <c r="I3170" s="10"/>
      <c r="J3170" s="79" t="e">
        <f t="shared" si="187"/>
        <v>#VALUE!</v>
      </c>
      <c r="K3170" s="106"/>
      <c r="L3170" s="141"/>
      <c r="M3170" s="132"/>
      <c r="N3170" s="133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spans="1:24" ht="14.25" customHeight="1">
      <c r="A3171" s="4"/>
      <c r="B3171" s="125">
        <v>46185</v>
      </c>
      <c r="C3171" s="126" t="s">
        <v>1406</v>
      </c>
      <c r="D3171" s="15" t="s">
        <v>124</v>
      </c>
      <c r="E3171" s="10" t="str">
        <f>TRIM(VLOOKUP(D3171,TB!$B$9:$C$1500,2,FALSE))</f>
        <v>Bank charges</v>
      </c>
      <c r="F3171" s="191" t="s">
        <v>1407</v>
      </c>
      <c r="G3171" s="130"/>
      <c r="H3171" s="10">
        <v>1000</v>
      </c>
      <c r="I3171" s="10"/>
      <c r="J3171" s="79" t="e">
        <f t="shared" si="187"/>
        <v>#VALUE!</v>
      </c>
      <c r="K3171" s="106"/>
      <c r="L3171" s="141"/>
      <c r="M3171" s="132"/>
      <c r="N3171" s="133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spans="1:24" ht="14.25" customHeight="1">
      <c r="A3172" s="4"/>
      <c r="B3172" s="125">
        <v>46185</v>
      </c>
      <c r="C3172" s="126" t="s">
        <v>1406</v>
      </c>
      <c r="D3172" s="68" t="s">
        <v>158</v>
      </c>
      <c r="E3172" s="10" t="str">
        <f>TRIM(VLOOKUP(D3172,TB!$B$9:$C$1500,2,FALSE))</f>
        <v>Mandiri TBB IDR</v>
      </c>
      <c r="F3172" s="191" t="s">
        <v>1407</v>
      </c>
      <c r="G3172" s="130"/>
      <c r="H3172" s="10"/>
      <c r="I3172" s="10">
        <v>348400</v>
      </c>
      <c r="J3172" s="79" t="e">
        <f t="shared" si="187"/>
        <v>#VALUE!</v>
      </c>
      <c r="K3172" s="106"/>
      <c r="L3172" s="141"/>
      <c r="M3172" s="132"/>
      <c r="N3172" s="133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spans="1:24" ht="14.25" customHeight="1">
      <c r="A3173" s="4"/>
      <c r="B3173" s="125"/>
      <c r="C3173" s="126"/>
      <c r="D3173" s="159"/>
      <c r="E3173" s="10" t="e">
        <f>TRIM(VLOOKUP(D3173,TB!$B$9:$C$1500,2,FALSE))</f>
        <v>#N/A</v>
      </c>
      <c r="F3173" s="142"/>
      <c r="G3173" s="130"/>
      <c r="H3173" s="10"/>
      <c r="I3173" s="10"/>
      <c r="J3173" s="79" t="e">
        <f t="shared" si="187"/>
        <v>#VALUE!</v>
      </c>
      <c r="K3173" s="106"/>
      <c r="L3173" s="141"/>
      <c r="M3173" s="132"/>
      <c r="N3173" s="133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spans="1:24" ht="14.25" customHeight="1">
      <c r="A3174" s="4"/>
      <c r="B3174" s="125">
        <v>46185</v>
      </c>
      <c r="C3174" s="126" t="s">
        <v>1408</v>
      </c>
      <c r="D3174" s="15" t="s">
        <v>1216</v>
      </c>
      <c r="E3174" s="10" t="str">
        <f>TRIM(VLOOKUP(D3174,TB!$B$9:$C$1500,2,FALSE))</f>
        <v>Others Expenses Others</v>
      </c>
      <c r="F3174" s="191" t="s">
        <v>1409</v>
      </c>
      <c r="G3174" s="130"/>
      <c r="H3174" s="10">
        <v>985539</v>
      </c>
      <c r="I3174" s="10"/>
      <c r="J3174" s="79" t="e">
        <f t="shared" si="187"/>
        <v>#VALUE!</v>
      </c>
      <c r="K3174" s="106"/>
      <c r="L3174" s="141"/>
      <c r="M3174" s="132"/>
      <c r="N3174" s="133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spans="1:24" ht="14.25" customHeight="1">
      <c r="A3175" s="4"/>
      <c r="B3175" s="125">
        <v>46185</v>
      </c>
      <c r="C3175" s="126" t="s">
        <v>1408</v>
      </c>
      <c r="D3175" s="68" t="s">
        <v>158</v>
      </c>
      <c r="E3175" s="10" t="str">
        <f>TRIM(VLOOKUP(D3175,TB!$B$9:$C$1500,2,FALSE))</f>
        <v>Mandiri TBB IDR</v>
      </c>
      <c r="F3175" s="191" t="s">
        <v>1409</v>
      </c>
      <c r="G3175" s="130"/>
      <c r="H3175" s="10"/>
      <c r="I3175" s="10">
        <v>985539</v>
      </c>
      <c r="J3175" s="79" t="e">
        <f t="shared" si="187"/>
        <v>#VALUE!</v>
      </c>
      <c r="K3175" s="106"/>
      <c r="L3175" s="141"/>
      <c r="M3175" s="132"/>
      <c r="N3175" s="133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spans="1:24" ht="14.25" customHeight="1">
      <c r="A3176" s="4"/>
      <c r="B3176" s="125"/>
      <c r="C3176" s="126"/>
      <c r="D3176" s="159"/>
      <c r="E3176" s="10" t="e">
        <f>TRIM(VLOOKUP(D3176,TB!$B$9:$C$1500,2,FALSE))</f>
        <v>#N/A</v>
      </c>
      <c r="F3176" s="142"/>
      <c r="G3176" s="130"/>
      <c r="H3176" s="10"/>
      <c r="I3176" s="10"/>
      <c r="J3176" s="79" t="e">
        <f t="shared" si="187"/>
        <v>#VALUE!</v>
      </c>
      <c r="K3176" s="106"/>
      <c r="L3176" s="141"/>
      <c r="M3176" s="132"/>
      <c r="N3176" s="133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spans="1:24" ht="14.25" customHeight="1">
      <c r="A3177" s="4"/>
      <c r="B3177" s="125">
        <v>46185</v>
      </c>
      <c r="C3177" s="126" t="s">
        <v>1410</v>
      </c>
      <c r="D3177" s="68" t="s">
        <v>130</v>
      </c>
      <c r="E3177" s="10" t="str">
        <f>TRIM(VLOOKUP(D3177,TB!$B$9:$C$1500,2,FALSE))</f>
        <v>BCA TBB</v>
      </c>
      <c r="F3177" s="142" t="s">
        <v>1247</v>
      </c>
      <c r="G3177" s="130"/>
      <c r="H3177" s="10">
        <v>50000000</v>
      </c>
      <c r="I3177" s="10"/>
      <c r="J3177" s="79" t="e">
        <f t="shared" si="187"/>
        <v>#VALUE!</v>
      </c>
      <c r="K3177" s="106"/>
      <c r="L3177" s="141"/>
      <c r="M3177" s="132"/>
      <c r="N3177" s="133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4" ht="14.25" customHeight="1">
      <c r="A3178" s="4"/>
      <c r="B3178" s="125">
        <v>46185</v>
      </c>
      <c r="C3178" s="126" t="s">
        <v>1410</v>
      </c>
      <c r="D3178" s="15" t="s">
        <v>124</v>
      </c>
      <c r="E3178" s="10" t="str">
        <f>TRIM(VLOOKUP(D3178,TB!$B$9:$C$1500,2,FALSE))</f>
        <v>Bank charges</v>
      </c>
      <c r="F3178" s="142" t="s">
        <v>1247</v>
      </c>
      <c r="G3178" s="130"/>
      <c r="H3178" s="10">
        <v>2500</v>
      </c>
      <c r="I3178" s="10"/>
      <c r="J3178" s="79" t="e">
        <f t="shared" si="187"/>
        <v>#VALUE!</v>
      </c>
      <c r="K3178" s="106"/>
      <c r="L3178" s="141"/>
      <c r="M3178" s="132"/>
      <c r="N3178" s="133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spans="1:24" ht="14.25" customHeight="1">
      <c r="A3179" s="4"/>
      <c r="B3179" s="125">
        <v>46185</v>
      </c>
      <c r="C3179" s="126" t="s">
        <v>1410</v>
      </c>
      <c r="D3179" s="68" t="s">
        <v>158</v>
      </c>
      <c r="E3179" s="10" t="str">
        <f>TRIM(VLOOKUP(D3179,TB!$B$9:$C$1500,2,FALSE))</f>
        <v>Mandiri TBB IDR</v>
      </c>
      <c r="F3179" s="142" t="s">
        <v>1247</v>
      </c>
      <c r="G3179" s="130"/>
      <c r="H3179" s="10"/>
      <c r="I3179" s="10">
        <v>50002500</v>
      </c>
      <c r="J3179" s="79" t="e">
        <f t="shared" si="187"/>
        <v>#VALUE!</v>
      </c>
      <c r="K3179" s="106"/>
      <c r="L3179" s="141"/>
      <c r="M3179" s="132"/>
      <c r="N3179" s="133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spans="1:24" ht="14.25" customHeight="1">
      <c r="A3180" s="4"/>
      <c r="B3180" s="125"/>
      <c r="C3180" s="126"/>
      <c r="D3180" s="159"/>
      <c r="E3180" s="10" t="e">
        <f>TRIM(VLOOKUP(D3180,TB!$B$9:$C$1500,2,FALSE))</f>
        <v>#N/A</v>
      </c>
      <c r="F3180" s="142"/>
      <c r="G3180" s="130"/>
      <c r="H3180" s="10"/>
      <c r="I3180" s="10"/>
      <c r="J3180" s="79" t="e">
        <f t="shared" si="187"/>
        <v>#VALUE!</v>
      </c>
      <c r="K3180" s="106"/>
      <c r="L3180" s="141"/>
      <c r="M3180" s="132"/>
      <c r="N3180" s="133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spans="1:24" ht="14.25" customHeight="1">
      <c r="A3181" s="4"/>
      <c r="B3181" s="125">
        <v>46188</v>
      </c>
      <c r="C3181" s="126" t="s">
        <v>1411</v>
      </c>
      <c r="D3181" s="68" t="s">
        <v>158</v>
      </c>
      <c r="E3181" s="10" t="str">
        <f>TRIM(VLOOKUP(D3181,TB!$B$9:$C$1500,2,FALSE))</f>
        <v>Mandiri TBB IDR</v>
      </c>
      <c r="F3181" s="142" t="s">
        <v>1412</v>
      </c>
      <c r="G3181" s="130"/>
      <c r="H3181" s="10">
        <f>I3183-H3182</f>
        <v>3236279.2</v>
      </c>
      <c r="I3181" s="10"/>
      <c r="J3181" s="79" t="e">
        <f t="shared" si="187"/>
        <v>#VALUE!</v>
      </c>
      <c r="K3181" s="106"/>
      <c r="L3181" s="141"/>
      <c r="M3181" s="132"/>
      <c r="N3181" s="133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spans="1:24" ht="14.25" customHeight="1">
      <c r="A3182" s="4"/>
      <c r="B3182" s="125">
        <v>46188</v>
      </c>
      <c r="C3182" s="126" t="s">
        <v>1411</v>
      </c>
      <c r="D3182" s="15" t="s">
        <v>124</v>
      </c>
      <c r="E3182" s="10" t="str">
        <f>TRIM(VLOOKUP(D3182,TB!$B$9:$C$1500,2,FALSE))</f>
        <v>Bank charges</v>
      </c>
      <c r="F3182" s="142" t="str">
        <f t="shared" ref="F3182:F3183" si="188">F3181</f>
        <v>Mandiri Debet 11-06-2026</v>
      </c>
      <c r="G3182" s="130"/>
      <c r="H3182" s="10">
        <f>1.8%*I3183</f>
        <v>59320.80000000001</v>
      </c>
      <c r="I3182" s="10"/>
      <c r="J3182" s="79" t="e">
        <f t="shared" si="187"/>
        <v>#VALUE!</v>
      </c>
      <c r="K3182" s="106"/>
      <c r="L3182" s="141"/>
      <c r="M3182" s="132"/>
      <c r="N3182" s="133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spans="1:24" ht="14.25" customHeight="1">
      <c r="A3183" s="4"/>
      <c r="B3183" s="125">
        <v>46188</v>
      </c>
      <c r="C3183" s="126" t="s">
        <v>1411</v>
      </c>
      <c r="D3183" s="15" t="s">
        <v>48</v>
      </c>
      <c r="E3183" s="10" t="str">
        <f>TRIM(VLOOKUP(D3183,TB!$B$9:$C$1500,2,FALSE))</f>
        <v>Mandiri Card TBB</v>
      </c>
      <c r="F3183" s="142" t="str">
        <f t="shared" si="188"/>
        <v>Mandiri Debet 11-06-2026</v>
      </c>
      <c r="G3183" s="130"/>
      <c r="H3183" s="10"/>
      <c r="I3183" s="10">
        <v>3295600</v>
      </c>
      <c r="J3183" s="79" t="e">
        <f t="shared" si="187"/>
        <v>#VALUE!</v>
      </c>
      <c r="K3183" s="106"/>
      <c r="L3183" s="141"/>
      <c r="M3183" s="132"/>
      <c r="N3183" s="133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spans="1:24" ht="14.25" customHeight="1">
      <c r="A3184" s="4"/>
      <c r="B3184" s="125"/>
      <c r="C3184" s="126"/>
      <c r="D3184" s="159"/>
      <c r="E3184" s="10" t="e">
        <f>TRIM(VLOOKUP(D3184,TB!$B$9:$C$1500,2,FALSE))</f>
        <v>#N/A</v>
      </c>
      <c r="F3184" s="142"/>
      <c r="G3184" s="130"/>
      <c r="H3184" s="10"/>
      <c r="I3184" s="10"/>
      <c r="J3184" s="79" t="e">
        <f t="shared" si="187"/>
        <v>#VALUE!</v>
      </c>
      <c r="K3184" s="106"/>
      <c r="L3184" s="141"/>
      <c r="M3184" s="132"/>
      <c r="N3184" s="133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spans="1:24" ht="14.25" customHeight="1">
      <c r="A3185" s="4"/>
      <c r="B3185" s="125">
        <v>46188</v>
      </c>
      <c r="C3185" s="126" t="s">
        <v>1413</v>
      </c>
      <c r="D3185" s="68" t="s">
        <v>158</v>
      </c>
      <c r="E3185" s="10" t="str">
        <f>TRIM(VLOOKUP(D3185,TB!$B$9:$C$1500,2,FALSE))</f>
        <v>Mandiri TBB IDR</v>
      </c>
      <c r="F3185" s="142" t="s">
        <v>1414</v>
      </c>
      <c r="G3185" s="130"/>
      <c r="H3185" s="10">
        <f>I3187-H3186</f>
        <v>27348979.870000001</v>
      </c>
      <c r="I3185" s="10"/>
      <c r="J3185" s="79" t="e">
        <f t="shared" si="187"/>
        <v>#VALUE!</v>
      </c>
      <c r="K3185" s="106"/>
      <c r="L3185" s="141"/>
      <c r="M3185" s="132"/>
      <c r="N3185" s="133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spans="1:24" ht="14.25" customHeight="1">
      <c r="A3186" s="4"/>
      <c r="B3186" s="125">
        <v>46188</v>
      </c>
      <c r="C3186" s="126" t="s">
        <v>1413</v>
      </c>
      <c r="D3186" s="15" t="s">
        <v>124</v>
      </c>
      <c r="E3186" s="10" t="str">
        <f>TRIM(VLOOKUP(D3186,TB!$B$9:$C$1500,2,FALSE))</f>
        <v>Bank charges</v>
      </c>
      <c r="F3186" s="142" t="str">
        <f t="shared" ref="F3186:F3187" si="189">F3185</f>
        <v>Mandiri CC 11-06-2026</v>
      </c>
      <c r="G3186" s="130"/>
      <c r="H3186" s="10">
        <f>1.8%*I3187</f>
        <v>501305.13000000006</v>
      </c>
      <c r="I3186" s="10"/>
      <c r="J3186" s="79" t="e">
        <f t="shared" si="187"/>
        <v>#VALUE!</v>
      </c>
      <c r="K3186" s="106"/>
      <c r="L3186" s="141"/>
      <c r="M3186" s="132"/>
      <c r="N3186" s="133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spans="1:24" ht="14.25" customHeight="1">
      <c r="A3187" s="4"/>
      <c r="B3187" s="125">
        <v>46188</v>
      </c>
      <c r="C3187" s="126" t="s">
        <v>1413</v>
      </c>
      <c r="D3187" s="15" t="s">
        <v>48</v>
      </c>
      <c r="E3187" s="10" t="str">
        <f>TRIM(VLOOKUP(D3187,TB!$B$9:$C$1500,2,FALSE))</f>
        <v>Mandiri Card TBB</v>
      </c>
      <c r="F3187" s="142" t="str">
        <f t="shared" si="189"/>
        <v>Mandiri CC 11-06-2026</v>
      </c>
      <c r="G3187" s="130"/>
      <c r="H3187" s="10"/>
      <c r="I3187" s="10">
        <v>27850285</v>
      </c>
      <c r="J3187" s="79" t="e">
        <f t="shared" si="187"/>
        <v>#VALUE!</v>
      </c>
      <c r="K3187" s="106"/>
      <c r="L3187" s="141"/>
      <c r="M3187" s="132"/>
      <c r="N3187" s="133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spans="1:24" ht="14.25" customHeight="1">
      <c r="A3188" s="4"/>
      <c r="B3188" s="125"/>
      <c r="C3188" s="126"/>
      <c r="D3188" s="159"/>
      <c r="E3188" s="10" t="e">
        <f>TRIM(VLOOKUP(D3188,TB!$B$9:$C$1500,2,FALSE))</f>
        <v>#N/A</v>
      </c>
      <c r="F3188" s="142"/>
      <c r="G3188" s="130"/>
      <c r="H3188" s="10"/>
      <c r="I3188" s="10"/>
      <c r="J3188" s="79" t="e">
        <f t="shared" si="187"/>
        <v>#VALUE!</v>
      </c>
      <c r="K3188" s="106"/>
      <c r="L3188" s="141"/>
      <c r="M3188" s="132"/>
      <c r="N3188" s="133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spans="1:24" ht="14.25" customHeight="1">
      <c r="A3189" s="4"/>
      <c r="B3189" s="125">
        <v>46188</v>
      </c>
      <c r="C3189" s="126" t="s">
        <v>1415</v>
      </c>
      <c r="D3189" s="68" t="s">
        <v>158</v>
      </c>
      <c r="E3189" s="10" t="str">
        <f>TRIM(VLOOKUP(D3189,TB!$B$9:$C$1500,2,FALSE))</f>
        <v>Mandiri TBB IDR</v>
      </c>
      <c r="F3189" s="142" t="s">
        <v>1416</v>
      </c>
      <c r="G3189" s="130"/>
      <c r="H3189" s="10">
        <f>I3191-H3190</f>
        <v>3481116.35</v>
      </c>
      <c r="I3189" s="10"/>
      <c r="J3189" s="79" t="e">
        <f t="shared" si="187"/>
        <v>#VALUE!</v>
      </c>
      <c r="K3189" s="106"/>
      <c r="L3189" s="141"/>
      <c r="M3189" s="132"/>
      <c r="N3189" s="133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spans="1:24" ht="14.25" customHeight="1">
      <c r="A3190" s="4"/>
      <c r="B3190" s="125">
        <v>46188</v>
      </c>
      <c r="C3190" s="126" t="s">
        <v>1415</v>
      </c>
      <c r="D3190" s="15" t="s">
        <v>124</v>
      </c>
      <c r="E3190" s="10" t="str">
        <f>TRIM(VLOOKUP(D3190,TB!$B$9:$C$1500,2,FALSE))</f>
        <v>Bank charges</v>
      </c>
      <c r="F3190" s="142" t="str">
        <f t="shared" ref="F3190:F3191" si="190">F3189</f>
        <v>Mandiri NPG 11-06-2026</v>
      </c>
      <c r="G3190" s="130"/>
      <c r="H3190" s="10">
        <f>1.8%*I3191</f>
        <v>63808.650000000009</v>
      </c>
      <c r="I3190" s="10"/>
      <c r="J3190" s="79" t="e">
        <f t="shared" si="187"/>
        <v>#VALUE!</v>
      </c>
      <c r="K3190" s="106"/>
      <c r="L3190" s="141"/>
      <c r="M3190" s="132"/>
      <c r="N3190" s="133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4" ht="14.25" customHeight="1">
      <c r="A3191" s="4"/>
      <c r="B3191" s="125">
        <v>46188</v>
      </c>
      <c r="C3191" s="126" t="s">
        <v>1415</v>
      </c>
      <c r="D3191" s="15" t="s">
        <v>48</v>
      </c>
      <c r="E3191" s="10" t="str">
        <f>TRIM(VLOOKUP(D3191,TB!$B$9:$C$1500,2,FALSE))</f>
        <v>Mandiri Card TBB</v>
      </c>
      <c r="F3191" s="142" t="str">
        <f t="shared" si="190"/>
        <v>Mandiri NPG 11-06-2026</v>
      </c>
      <c r="G3191" s="130"/>
      <c r="H3191" s="10"/>
      <c r="I3191" s="10">
        <v>3544925</v>
      </c>
      <c r="J3191" s="79" t="e">
        <f t="shared" si="187"/>
        <v>#VALUE!</v>
      </c>
      <c r="K3191" s="106"/>
      <c r="L3191" s="141"/>
      <c r="M3191" s="132"/>
      <c r="N3191" s="133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spans="1:24" ht="14.25" customHeight="1">
      <c r="A3192" s="4"/>
      <c r="B3192" s="125"/>
      <c r="C3192" s="126"/>
      <c r="D3192" s="159"/>
      <c r="E3192" s="10" t="e">
        <f>TRIM(VLOOKUP(D3192,TB!$B$9:$C$1500,2,FALSE))</f>
        <v>#N/A</v>
      </c>
      <c r="F3192" s="142"/>
      <c r="G3192" s="130"/>
      <c r="H3192" s="10"/>
      <c r="I3192" s="10"/>
      <c r="J3192" s="79" t="e">
        <f t="shared" si="187"/>
        <v>#VALUE!</v>
      </c>
      <c r="K3192" s="106"/>
      <c r="L3192" s="141"/>
      <c r="M3192" s="132"/>
      <c r="N3192" s="133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spans="1:24" ht="14.25" customHeight="1">
      <c r="A3193" s="4"/>
      <c r="B3193" s="125">
        <v>46188</v>
      </c>
      <c r="C3193" s="126" t="s">
        <v>1417</v>
      </c>
      <c r="D3193" s="68" t="s">
        <v>158</v>
      </c>
      <c r="E3193" s="10" t="str">
        <f>TRIM(VLOOKUP(D3193,TB!$B$9:$C$1500,2,FALSE))</f>
        <v>Mandiri TBB IDR</v>
      </c>
      <c r="F3193" s="142" t="s">
        <v>1418</v>
      </c>
      <c r="G3193" s="130"/>
      <c r="H3193" s="10">
        <f>I3195-H3194</f>
        <v>10188195.007999999</v>
      </c>
      <c r="I3193" s="10"/>
      <c r="J3193" s="79" t="e">
        <f t="shared" si="187"/>
        <v>#VALUE!</v>
      </c>
      <c r="K3193" s="106"/>
      <c r="L3193" s="141"/>
      <c r="M3193" s="132"/>
      <c r="N3193" s="133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spans="1:24" ht="14.25" customHeight="1">
      <c r="A3194" s="4"/>
      <c r="B3194" s="125">
        <v>46188</v>
      </c>
      <c r="C3194" s="126" t="s">
        <v>1417</v>
      </c>
      <c r="D3194" s="15" t="s">
        <v>124</v>
      </c>
      <c r="E3194" s="10" t="str">
        <f>TRIM(VLOOKUP(D3194,TB!$B$9:$C$1500,2,FALSE))</f>
        <v>Bank charges</v>
      </c>
      <c r="F3194" s="142" t="str">
        <f t="shared" ref="F3194:F3195" si="191">F3193</f>
        <v>Mandiri QR 11-06-2026</v>
      </c>
      <c r="G3194" s="130"/>
      <c r="H3194" s="10">
        <f>1.8%*I3195</f>
        <v>186748.99200000003</v>
      </c>
      <c r="I3194" s="10"/>
      <c r="J3194" s="79" t="e">
        <f t="shared" si="187"/>
        <v>#VALUE!</v>
      </c>
      <c r="K3194" s="106"/>
      <c r="L3194" s="141"/>
      <c r="M3194" s="132"/>
      <c r="N3194" s="133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spans="1:24" ht="14.25" customHeight="1">
      <c r="A3195" s="4"/>
      <c r="B3195" s="125">
        <v>46188</v>
      </c>
      <c r="C3195" s="126" t="s">
        <v>1417</v>
      </c>
      <c r="D3195" s="15" t="s">
        <v>48</v>
      </c>
      <c r="E3195" s="10" t="str">
        <f>TRIM(VLOOKUP(D3195,TB!$B$9:$C$1500,2,FALSE))</f>
        <v>Mandiri Card TBB</v>
      </c>
      <c r="F3195" s="142" t="str">
        <f t="shared" si="191"/>
        <v>Mandiri QR 11-06-2026</v>
      </c>
      <c r="G3195" s="130"/>
      <c r="H3195" s="10"/>
      <c r="I3195" s="10">
        <v>10374944</v>
      </c>
      <c r="J3195" s="79" t="e">
        <f t="shared" si="187"/>
        <v>#VALUE!</v>
      </c>
      <c r="K3195" s="106"/>
      <c r="L3195" s="141"/>
      <c r="M3195" s="132"/>
      <c r="N3195" s="133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spans="1:24" ht="14.25" customHeight="1">
      <c r="A3196" s="4"/>
      <c r="B3196" s="125"/>
      <c r="C3196" s="126"/>
      <c r="D3196" s="159"/>
      <c r="E3196" s="10" t="e">
        <f>TRIM(VLOOKUP(D3196,TB!$B$9:$C$1500,2,FALSE))</f>
        <v>#N/A</v>
      </c>
      <c r="F3196" s="142"/>
      <c r="G3196" s="130"/>
      <c r="H3196" s="10"/>
      <c r="I3196" s="10"/>
      <c r="J3196" s="79" t="e">
        <f t="shared" si="187"/>
        <v>#VALUE!</v>
      </c>
      <c r="K3196" s="106"/>
      <c r="L3196" s="141"/>
      <c r="M3196" s="132"/>
      <c r="N3196" s="133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spans="1:24" ht="14.25" customHeight="1">
      <c r="A3197" s="4"/>
      <c r="B3197" s="125">
        <v>46188</v>
      </c>
      <c r="C3197" s="126" t="s">
        <v>1419</v>
      </c>
      <c r="D3197" s="68" t="s">
        <v>158</v>
      </c>
      <c r="E3197" s="10" t="str">
        <f>TRIM(VLOOKUP(D3197,TB!$B$9:$C$1500,2,FALSE))</f>
        <v>Mandiri TBB IDR</v>
      </c>
      <c r="F3197" s="142" t="s">
        <v>1420</v>
      </c>
      <c r="G3197" s="130"/>
      <c r="H3197" s="10">
        <f>I3199-H3198</f>
        <v>245500</v>
      </c>
      <c r="I3197" s="10"/>
      <c r="J3197" s="79" t="e">
        <f t="shared" si="187"/>
        <v>#VALUE!</v>
      </c>
      <c r="K3197" s="106"/>
      <c r="L3197" s="141"/>
      <c r="M3197" s="132"/>
      <c r="N3197" s="133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spans="1:24" ht="14.25" customHeight="1">
      <c r="A3198" s="4"/>
      <c r="B3198" s="125">
        <v>46188</v>
      </c>
      <c r="C3198" s="126" t="s">
        <v>1419</v>
      </c>
      <c r="D3198" s="15" t="s">
        <v>124</v>
      </c>
      <c r="E3198" s="10" t="str">
        <f>TRIM(VLOOKUP(D3198,TB!$B$9:$C$1500,2,FALSE))</f>
        <v>Bank charges</v>
      </c>
      <c r="F3198" s="142" t="str">
        <f t="shared" ref="F3198:F3199" si="192">F3197</f>
        <v>Mandiri Debet 12-06-2026</v>
      </c>
      <c r="G3198" s="130"/>
      <c r="H3198" s="10">
        <f>1.8%*I3199</f>
        <v>4500.0000000000009</v>
      </c>
      <c r="I3198" s="10"/>
      <c r="J3198" s="79" t="e">
        <f t="shared" si="187"/>
        <v>#VALUE!</v>
      </c>
      <c r="K3198" s="106"/>
      <c r="L3198" s="141"/>
      <c r="M3198" s="132"/>
      <c r="N3198" s="133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4" ht="14.25" customHeight="1">
      <c r="A3199" s="4"/>
      <c r="B3199" s="125">
        <v>46188</v>
      </c>
      <c r="C3199" s="126" t="s">
        <v>1419</v>
      </c>
      <c r="D3199" s="15" t="s">
        <v>48</v>
      </c>
      <c r="E3199" s="10" t="str">
        <f>TRIM(VLOOKUP(D3199,TB!$B$9:$C$1500,2,FALSE))</f>
        <v>Mandiri Card TBB</v>
      </c>
      <c r="F3199" s="142" t="str">
        <f t="shared" si="192"/>
        <v>Mandiri Debet 12-06-2026</v>
      </c>
      <c r="G3199" s="130"/>
      <c r="H3199" s="10"/>
      <c r="I3199" s="10">
        <v>250000</v>
      </c>
      <c r="J3199" s="79" t="e">
        <f t="shared" si="187"/>
        <v>#VALUE!</v>
      </c>
      <c r="K3199" s="106"/>
      <c r="L3199" s="141"/>
      <c r="M3199" s="132"/>
      <c r="N3199" s="133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spans="1:24" ht="14.25" customHeight="1">
      <c r="A3200" s="4"/>
      <c r="B3200" s="125"/>
      <c r="C3200" s="126"/>
      <c r="D3200" s="159"/>
      <c r="E3200" s="10" t="e">
        <f>TRIM(VLOOKUP(D3200,TB!$B$9:$C$1500,2,FALSE))</f>
        <v>#N/A</v>
      </c>
      <c r="F3200" s="142"/>
      <c r="G3200" s="130"/>
      <c r="H3200" s="10"/>
      <c r="I3200" s="10"/>
      <c r="J3200" s="79" t="e">
        <f t="shared" si="187"/>
        <v>#VALUE!</v>
      </c>
      <c r="K3200" s="106"/>
      <c r="L3200" s="141"/>
      <c r="M3200" s="132"/>
      <c r="N3200" s="133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spans="1:24" ht="14.25" customHeight="1">
      <c r="A3201" s="4"/>
      <c r="B3201" s="125">
        <v>46188</v>
      </c>
      <c r="C3201" s="126" t="s">
        <v>1421</v>
      </c>
      <c r="D3201" s="68" t="s">
        <v>158</v>
      </c>
      <c r="E3201" s="10" t="str">
        <f>TRIM(VLOOKUP(D3201,TB!$B$9:$C$1500,2,FALSE))</f>
        <v>Mandiri TBB IDR</v>
      </c>
      <c r="F3201" s="142" t="s">
        <v>1422</v>
      </c>
      <c r="G3201" s="130"/>
      <c r="H3201" s="10">
        <f>I3203-H3202</f>
        <v>41436238.284000002</v>
      </c>
      <c r="I3201" s="10"/>
      <c r="J3201" s="79" t="e">
        <f t="shared" si="187"/>
        <v>#VALUE!</v>
      </c>
      <c r="K3201" s="106"/>
      <c r="L3201" s="141"/>
      <c r="M3201" s="132"/>
      <c r="N3201" s="133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spans="1:24" ht="14.25" customHeight="1">
      <c r="A3202" s="4"/>
      <c r="B3202" s="125">
        <v>46188</v>
      </c>
      <c r="C3202" s="126" t="s">
        <v>1421</v>
      </c>
      <c r="D3202" s="15" t="s">
        <v>124</v>
      </c>
      <c r="E3202" s="10" t="str">
        <f>TRIM(VLOOKUP(D3202,TB!$B$9:$C$1500,2,FALSE))</f>
        <v>Bank charges</v>
      </c>
      <c r="F3202" s="142" t="str">
        <f t="shared" ref="F3202:F3203" si="193">F3201</f>
        <v>Mandiri CC 12-06-2026</v>
      </c>
      <c r="G3202" s="130"/>
      <c r="H3202" s="10">
        <f>1.8%*I3203</f>
        <v>759523.71600000013</v>
      </c>
      <c r="I3202" s="10"/>
      <c r="J3202" s="79" t="e">
        <f t="shared" si="187"/>
        <v>#VALUE!</v>
      </c>
      <c r="K3202" s="106"/>
      <c r="L3202" s="141"/>
      <c r="M3202" s="132"/>
      <c r="N3202" s="133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spans="1:24" ht="14.25" customHeight="1">
      <c r="A3203" s="4"/>
      <c r="B3203" s="125">
        <v>46188</v>
      </c>
      <c r="C3203" s="126" t="s">
        <v>1421</v>
      </c>
      <c r="D3203" s="15" t="s">
        <v>48</v>
      </c>
      <c r="E3203" s="10" t="str">
        <f>TRIM(VLOOKUP(D3203,TB!$B$9:$C$1500,2,FALSE))</f>
        <v>Mandiri Card TBB</v>
      </c>
      <c r="F3203" s="142" t="str">
        <f t="shared" si="193"/>
        <v>Mandiri CC 12-06-2026</v>
      </c>
      <c r="G3203" s="130"/>
      <c r="H3203" s="10"/>
      <c r="I3203" s="10">
        <v>42195762</v>
      </c>
      <c r="J3203" s="79" t="e">
        <f t="shared" si="187"/>
        <v>#VALUE!</v>
      </c>
      <c r="K3203" s="106"/>
      <c r="L3203" s="141"/>
      <c r="M3203" s="132"/>
      <c r="N3203" s="133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spans="1:24" ht="14.25" customHeight="1">
      <c r="A3204" s="4"/>
      <c r="B3204" s="125"/>
      <c r="C3204" s="126"/>
      <c r="D3204" s="159"/>
      <c r="E3204" s="10" t="e">
        <f>TRIM(VLOOKUP(D3204,TB!$B$9:$C$1500,2,FALSE))</f>
        <v>#N/A</v>
      </c>
      <c r="F3204" s="142"/>
      <c r="G3204" s="130"/>
      <c r="H3204" s="10"/>
      <c r="I3204" s="10"/>
      <c r="J3204" s="79" t="e">
        <f t="shared" si="187"/>
        <v>#VALUE!</v>
      </c>
      <c r="K3204" s="106"/>
      <c r="L3204" s="141"/>
      <c r="M3204" s="132"/>
      <c r="N3204" s="133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spans="1:24" ht="14.25" customHeight="1">
      <c r="A3205" s="4"/>
      <c r="B3205" s="125">
        <v>46188</v>
      </c>
      <c r="C3205" s="126" t="s">
        <v>1423</v>
      </c>
      <c r="D3205" s="68" t="s">
        <v>158</v>
      </c>
      <c r="E3205" s="10" t="str">
        <f>TRIM(VLOOKUP(D3205,TB!$B$9:$C$1500,2,FALSE))</f>
        <v>Mandiri TBB IDR</v>
      </c>
      <c r="F3205" s="142" t="s">
        <v>1424</v>
      </c>
      <c r="G3205" s="130"/>
      <c r="H3205" s="10">
        <f>I3207-H3206</f>
        <v>5206220.3</v>
      </c>
      <c r="I3205" s="10"/>
      <c r="J3205" s="79" t="e">
        <f t="shared" si="187"/>
        <v>#VALUE!</v>
      </c>
      <c r="K3205" s="106"/>
      <c r="L3205" s="141"/>
      <c r="M3205" s="132"/>
      <c r="N3205" s="133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spans="1:24" ht="14.25" customHeight="1">
      <c r="A3206" s="4"/>
      <c r="B3206" s="125">
        <v>46188</v>
      </c>
      <c r="C3206" s="126" t="s">
        <v>1423</v>
      </c>
      <c r="D3206" s="15" t="s">
        <v>124</v>
      </c>
      <c r="E3206" s="10" t="str">
        <f>TRIM(VLOOKUP(D3206,TB!$B$9:$C$1500,2,FALSE))</f>
        <v>Bank charges</v>
      </c>
      <c r="F3206" s="142" t="str">
        <f t="shared" ref="F3206:F3207" si="194">F3205</f>
        <v>Mandiri NPG 12-06-2026</v>
      </c>
      <c r="G3206" s="130"/>
      <c r="H3206" s="10">
        <f>1.8%*I3207</f>
        <v>95429.700000000012</v>
      </c>
      <c r="I3206" s="10"/>
      <c r="J3206" s="79" t="e">
        <f t="shared" si="187"/>
        <v>#VALUE!</v>
      </c>
      <c r="K3206" s="106"/>
      <c r="L3206" s="141"/>
      <c r="M3206" s="132"/>
      <c r="N3206" s="133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spans="1:24" ht="14.25" customHeight="1">
      <c r="A3207" s="4"/>
      <c r="B3207" s="125">
        <v>46188</v>
      </c>
      <c r="C3207" s="126" t="s">
        <v>1423</v>
      </c>
      <c r="D3207" s="15" t="s">
        <v>48</v>
      </c>
      <c r="E3207" s="10" t="str">
        <f>TRIM(VLOOKUP(D3207,TB!$B$9:$C$1500,2,FALSE))</f>
        <v>Mandiri Card TBB</v>
      </c>
      <c r="F3207" s="142" t="str">
        <f t="shared" si="194"/>
        <v>Mandiri NPG 12-06-2026</v>
      </c>
      <c r="G3207" s="130"/>
      <c r="H3207" s="10"/>
      <c r="I3207" s="10">
        <v>5301650</v>
      </c>
      <c r="J3207" s="79" t="e">
        <f t="shared" si="187"/>
        <v>#VALUE!</v>
      </c>
      <c r="K3207" s="106"/>
      <c r="L3207" s="141"/>
      <c r="M3207" s="132"/>
      <c r="N3207" s="133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spans="1:24" ht="14.25" customHeight="1">
      <c r="A3208" s="4"/>
      <c r="B3208" s="125"/>
      <c r="C3208" s="126"/>
      <c r="D3208" s="159"/>
      <c r="E3208" s="10" t="e">
        <f>TRIM(VLOOKUP(D3208,TB!$B$9:$C$1500,2,FALSE))</f>
        <v>#N/A</v>
      </c>
      <c r="F3208" s="142"/>
      <c r="G3208" s="130"/>
      <c r="H3208" s="10"/>
      <c r="I3208" s="10"/>
      <c r="J3208" s="79" t="e">
        <f t="shared" si="187"/>
        <v>#VALUE!</v>
      </c>
      <c r="K3208" s="106"/>
      <c r="L3208" s="141"/>
      <c r="M3208" s="132"/>
      <c r="N3208" s="133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spans="1:24" ht="14.25" customHeight="1">
      <c r="A3209" s="4"/>
      <c r="B3209" s="125">
        <v>46188</v>
      </c>
      <c r="C3209" s="126" t="s">
        <v>1425</v>
      </c>
      <c r="D3209" s="68" t="s">
        <v>158</v>
      </c>
      <c r="E3209" s="10" t="str">
        <f>TRIM(VLOOKUP(D3209,TB!$B$9:$C$1500,2,FALSE))</f>
        <v>Mandiri TBB IDR</v>
      </c>
      <c r="F3209" s="142" t="s">
        <v>1426</v>
      </c>
      <c r="G3209" s="130"/>
      <c r="H3209" s="10">
        <f>I3211-H3210</f>
        <v>8476327.4360000007</v>
      </c>
      <c r="I3209" s="10"/>
      <c r="J3209" s="79" t="e">
        <f t="shared" si="187"/>
        <v>#VALUE!</v>
      </c>
      <c r="K3209" s="106"/>
      <c r="L3209" s="141"/>
      <c r="M3209" s="132"/>
      <c r="N3209" s="133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4" ht="14.25" customHeight="1">
      <c r="A3210" s="4"/>
      <c r="B3210" s="125">
        <v>46188</v>
      </c>
      <c r="C3210" s="126" t="s">
        <v>1425</v>
      </c>
      <c r="D3210" s="15" t="s">
        <v>124</v>
      </c>
      <c r="E3210" s="10" t="str">
        <f>TRIM(VLOOKUP(D3210,TB!$B$9:$C$1500,2,FALSE))</f>
        <v>Bank charges</v>
      </c>
      <c r="F3210" s="142" t="str">
        <f t="shared" ref="F3210:F3211" si="195">F3209</f>
        <v>Mandiri QR 12-06-2026</v>
      </c>
      <c r="G3210" s="130"/>
      <c r="H3210" s="10">
        <f>1.8%*I3211</f>
        <v>155370.56400000001</v>
      </c>
      <c r="I3210" s="10"/>
      <c r="J3210" s="79" t="e">
        <f t="shared" si="187"/>
        <v>#VALUE!</v>
      </c>
      <c r="K3210" s="106"/>
      <c r="L3210" s="141"/>
      <c r="M3210" s="132"/>
      <c r="N3210" s="133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4" ht="14.25" customHeight="1">
      <c r="A3211" s="4"/>
      <c r="B3211" s="125">
        <v>46188</v>
      </c>
      <c r="C3211" s="126" t="s">
        <v>1425</v>
      </c>
      <c r="D3211" s="15" t="s">
        <v>48</v>
      </c>
      <c r="E3211" s="10" t="str">
        <f>TRIM(VLOOKUP(D3211,TB!$B$9:$C$1500,2,FALSE))</f>
        <v>Mandiri Card TBB</v>
      </c>
      <c r="F3211" s="142" t="str">
        <f t="shared" si="195"/>
        <v>Mandiri QR 12-06-2026</v>
      </c>
      <c r="G3211" s="130"/>
      <c r="H3211" s="10"/>
      <c r="I3211" s="10">
        <v>8631698</v>
      </c>
      <c r="J3211" s="79" t="e">
        <f t="shared" si="187"/>
        <v>#VALUE!</v>
      </c>
      <c r="K3211" s="106"/>
      <c r="L3211" s="141"/>
      <c r="M3211" s="132"/>
      <c r="N3211" s="133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spans="1:24" ht="14.25" customHeight="1">
      <c r="A3212" s="4"/>
      <c r="B3212" s="125"/>
      <c r="C3212" s="126"/>
      <c r="D3212" s="159"/>
      <c r="E3212" s="10" t="e">
        <f>TRIM(VLOOKUP(D3212,TB!$B$9:$C$1500,2,FALSE))</f>
        <v>#N/A</v>
      </c>
      <c r="F3212" s="142"/>
      <c r="G3212" s="130"/>
      <c r="H3212" s="10"/>
      <c r="I3212" s="10"/>
      <c r="J3212" s="79" t="e">
        <f t="shared" si="187"/>
        <v>#VALUE!</v>
      </c>
      <c r="K3212" s="106"/>
      <c r="L3212" s="141"/>
      <c r="M3212" s="132"/>
      <c r="N3212" s="133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4" ht="14.25" customHeight="1">
      <c r="A3213" s="4"/>
      <c r="B3213" s="125">
        <v>46188</v>
      </c>
      <c r="C3213" s="126" t="s">
        <v>1427</v>
      </c>
      <c r="D3213" s="68" t="s">
        <v>158</v>
      </c>
      <c r="E3213" s="10" t="str">
        <f>TRIM(VLOOKUP(D3213,TB!$B$9:$C$1500,2,FALSE))</f>
        <v>Mandiri TBB IDR</v>
      </c>
      <c r="F3213" s="142" t="s">
        <v>1428</v>
      </c>
      <c r="G3213" s="130"/>
      <c r="H3213" s="10">
        <f>I3215-H3214</f>
        <v>930209.32</v>
      </c>
      <c r="I3213" s="10"/>
      <c r="J3213" s="79" t="e">
        <f t="shared" si="187"/>
        <v>#VALUE!</v>
      </c>
      <c r="K3213" s="106"/>
      <c r="L3213" s="141"/>
      <c r="M3213" s="132"/>
      <c r="N3213" s="133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spans="1:24" ht="14.25" customHeight="1">
      <c r="A3214" s="4"/>
      <c r="B3214" s="125">
        <v>46188</v>
      </c>
      <c r="C3214" s="126" t="s">
        <v>1427</v>
      </c>
      <c r="D3214" s="15" t="s">
        <v>124</v>
      </c>
      <c r="E3214" s="10" t="str">
        <f>TRIM(VLOOKUP(D3214,TB!$B$9:$C$1500,2,FALSE))</f>
        <v>Bank charges</v>
      </c>
      <c r="F3214" s="142" t="str">
        <f t="shared" ref="F3214:F3215" si="196">F3213</f>
        <v>Mandiri Debet 13-06-2026</v>
      </c>
      <c r="G3214" s="130"/>
      <c r="H3214" s="10">
        <f>1.8%*I3215</f>
        <v>17050.68</v>
      </c>
      <c r="I3214" s="10"/>
      <c r="J3214" s="79" t="e">
        <f t="shared" si="187"/>
        <v>#VALUE!</v>
      </c>
      <c r="K3214" s="106"/>
      <c r="L3214" s="141"/>
      <c r="M3214" s="132"/>
      <c r="N3214" s="133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spans="1:24" ht="14.25" customHeight="1">
      <c r="A3215" s="4"/>
      <c r="B3215" s="125">
        <v>46188</v>
      </c>
      <c r="C3215" s="126" t="s">
        <v>1427</v>
      </c>
      <c r="D3215" s="15" t="s">
        <v>48</v>
      </c>
      <c r="E3215" s="10" t="str">
        <f>TRIM(VLOOKUP(D3215,TB!$B$9:$C$1500,2,FALSE))</f>
        <v>Mandiri Card TBB</v>
      </c>
      <c r="F3215" s="142" t="str">
        <f t="shared" si="196"/>
        <v>Mandiri Debet 13-06-2026</v>
      </c>
      <c r="G3215" s="130"/>
      <c r="H3215" s="10"/>
      <c r="I3215" s="10">
        <v>947260</v>
      </c>
      <c r="J3215" s="79" t="e">
        <f t="shared" si="187"/>
        <v>#VALUE!</v>
      </c>
      <c r="K3215" s="106"/>
      <c r="L3215" s="141"/>
      <c r="M3215" s="132"/>
      <c r="N3215" s="133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spans="1:24" ht="14.25" customHeight="1">
      <c r="A3216" s="4"/>
      <c r="B3216" s="125"/>
      <c r="C3216" s="126"/>
      <c r="D3216" s="159"/>
      <c r="E3216" s="10" t="e">
        <f>TRIM(VLOOKUP(D3216,TB!$B$9:$C$1500,2,FALSE))</f>
        <v>#N/A</v>
      </c>
      <c r="F3216" s="142"/>
      <c r="G3216" s="130"/>
      <c r="H3216" s="10"/>
      <c r="I3216" s="10"/>
      <c r="J3216" s="79" t="e">
        <f t="shared" si="187"/>
        <v>#VALUE!</v>
      </c>
      <c r="K3216" s="106"/>
      <c r="L3216" s="141"/>
      <c r="M3216" s="132"/>
      <c r="N3216" s="133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spans="1:24" ht="14.25" customHeight="1">
      <c r="A3217" s="4"/>
      <c r="B3217" s="125">
        <v>46188</v>
      </c>
      <c r="C3217" s="126" t="s">
        <v>1429</v>
      </c>
      <c r="D3217" s="68" t="s">
        <v>158</v>
      </c>
      <c r="E3217" s="10" t="str">
        <f>TRIM(VLOOKUP(D3217,TB!$B$9:$C$1500,2,FALSE))</f>
        <v>Mandiri TBB IDR</v>
      </c>
      <c r="F3217" s="142" t="s">
        <v>1430</v>
      </c>
      <c r="G3217" s="130"/>
      <c r="H3217" s="10">
        <f>I3219-H3218</f>
        <v>46664075.350000001</v>
      </c>
      <c r="I3217" s="10"/>
      <c r="J3217" s="79" t="e">
        <f t="shared" si="187"/>
        <v>#VALUE!</v>
      </c>
      <c r="K3217" s="106"/>
      <c r="L3217" s="141"/>
      <c r="M3217" s="132"/>
      <c r="N3217" s="133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spans="1:24" ht="14.25" customHeight="1">
      <c r="A3218" s="4"/>
      <c r="B3218" s="125">
        <v>46188</v>
      </c>
      <c r="C3218" s="126" t="s">
        <v>1429</v>
      </c>
      <c r="D3218" s="15" t="s">
        <v>124</v>
      </c>
      <c r="E3218" s="10" t="str">
        <f>TRIM(VLOOKUP(D3218,TB!$B$9:$C$1500,2,FALSE))</f>
        <v>Bank charges</v>
      </c>
      <c r="F3218" s="142" t="str">
        <f t="shared" ref="F3218:F3219" si="197">F3217</f>
        <v>Mandiri CC 13-06-2026</v>
      </c>
      <c r="G3218" s="130"/>
      <c r="H3218" s="10">
        <f>1.8%*I3219</f>
        <v>855349.65000000014</v>
      </c>
      <c r="I3218" s="10"/>
      <c r="J3218" s="79" t="e">
        <f t="shared" si="187"/>
        <v>#VALUE!</v>
      </c>
      <c r="K3218" s="106"/>
      <c r="L3218" s="141"/>
      <c r="M3218" s="132"/>
      <c r="N3218" s="133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spans="1:24" ht="14.25" customHeight="1">
      <c r="A3219" s="4"/>
      <c r="B3219" s="125">
        <v>46188</v>
      </c>
      <c r="C3219" s="126" t="s">
        <v>1429</v>
      </c>
      <c r="D3219" s="15" t="s">
        <v>48</v>
      </c>
      <c r="E3219" s="10" t="str">
        <f>TRIM(VLOOKUP(D3219,TB!$B$9:$C$1500,2,FALSE))</f>
        <v>Mandiri Card TBB</v>
      </c>
      <c r="F3219" s="142" t="str">
        <f t="shared" si="197"/>
        <v>Mandiri CC 13-06-2026</v>
      </c>
      <c r="G3219" s="130"/>
      <c r="H3219" s="10"/>
      <c r="I3219" s="10">
        <v>47519425</v>
      </c>
      <c r="J3219" s="79" t="e">
        <f t="shared" si="187"/>
        <v>#VALUE!</v>
      </c>
      <c r="K3219" s="106"/>
      <c r="L3219" s="141"/>
      <c r="M3219" s="132"/>
      <c r="N3219" s="133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spans="1:24" ht="14.25" customHeight="1">
      <c r="A3220" s="4"/>
      <c r="B3220" s="125"/>
      <c r="C3220" s="126"/>
      <c r="D3220" s="159"/>
      <c r="E3220" s="10" t="e">
        <f>TRIM(VLOOKUP(D3220,TB!$B$9:$C$1500,2,FALSE))</f>
        <v>#N/A</v>
      </c>
      <c r="F3220" s="142"/>
      <c r="G3220" s="130"/>
      <c r="H3220" s="10"/>
      <c r="I3220" s="10"/>
      <c r="J3220" s="79" t="e">
        <f t="shared" si="187"/>
        <v>#VALUE!</v>
      </c>
      <c r="K3220" s="106"/>
      <c r="L3220" s="141"/>
      <c r="M3220" s="132"/>
      <c r="N3220" s="133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spans="1:24" ht="14.25" customHeight="1">
      <c r="A3221" s="4"/>
      <c r="B3221" s="125">
        <v>46188</v>
      </c>
      <c r="C3221" s="126" t="s">
        <v>1431</v>
      </c>
      <c r="D3221" s="68" t="s">
        <v>158</v>
      </c>
      <c r="E3221" s="10" t="str">
        <f>TRIM(VLOOKUP(D3221,TB!$B$9:$C$1500,2,FALSE))</f>
        <v>Mandiri TBB IDR</v>
      </c>
      <c r="F3221" s="142" t="s">
        <v>1432</v>
      </c>
      <c r="G3221" s="130"/>
      <c r="H3221" s="10">
        <f>I3223-H3222</f>
        <v>17312237.739999998</v>
      </c>
      <c r="I3221" s="10"/>
      <c r="J3221" s="79" t="e">
        <f t="shared" si="187"/>
        <v>#VALUE!</v>
      </c>
      <c r="K3221" s="106"/>
      <c r="L3221" s="141"/>
      <c r="M3221" s="132"/>
      <c r="N3221" s="133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spans="1:24" ht="14.25" customHeight="1">
      <c r="A3222" s="4"/>
      <c r="B3222" s="125">
        <v>46188</v>
      </c>
      <c r="C3222" s="126" t="s">
        <v>1431</v>
      </c>
      <c r="D3222" s="15" t="s">
        <v>124</v>
      </c>
      <c r="E3222" s="10" t="str">
        <f>TRIM(VLOOKUP(D3222,TB!$B$9:$C$1500,2,FALSE))</f>
        <v>Bank charges</v>
      </c>
      <c r="F3222" s="142" t="str">
        <f t="shared" ref="F3222:F3223" si="198">F3221</f>
        <v>Mandiri NPG 13-06-2026</v>
      </c>
      <c r="G3222" s="130"/>
      <c r="H3222" s="10">
        <f>1.8%*I3223</f>
        <v>317332.26</v>
      </c>
      <c r="I3222" s="10"/>
      <c r="J3222" s="79" t="e">
        <f t="shared" si="187"/>
        <v>#VALUE!</v>
      </c>
      <c r="K3222" s="106"/>
      <c r="L3222" s="141"/>
      <c r="M3222" s="132"/>
      <c r="N3222" s="133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spans="1:24" ht="14.25" customHeight="1">
      <c r="A3223" s="4"/>
      <c r="B3223" s="125">
        <v>46188</v>
      </c>
      <c r="C3223" s="126" t="s">
        <v>1431</v>
      </c>
      <c r="D3223" s="15" t="s">
        <v>48</v>
      </c>
      <c r="E3223" s="10" t="str">
        <f>TRIM(VLOOKUP(D3223,TB!$B$9:$C$1500,2,FALSE))</f>
        <v>Mandiri Card TBB</v>
      </c>
      <c r="F3223" s="142" t="str">
        <f t="shared" si="198"/>
        <v>Mandiri NPG 13-06-2026</v>
      </c>
      <c r="G3223" s="130"/>
      <c r="H3223" s="10"/>
      <c r="I3223" s="10">
        <v>17629570</v>
      </c>
      <c r="J3223" s="79" t="e">
        <f t="shared" si="187"/>
        <v>#VALUE!</v>
      </c>
      <c r="K3223" s="106"/>
      <c r="L3223" s="141"/>
      <c r="M3223" s="132"/>
      <c r="N3223" s="133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4" ht="14.25" customHeight="1">
      <c r="A3224" s="4"/>
      <c r="B3224" s="125"/>
      <c r="C3224" s="126"/>
      <c r="D3224" s="159"/>
      <c r="E3224" s="10" t="e">
        <f>TRIM(VLOOKUP(D3224,TB!$B$9:$C$1500,2,FALSE))</f>
        <v>#N/A</v>
      </c>
      <c r="F3224" s="142"/>
      <c r="G3224" s="130"/>
      <c r="H3224" s="10"/>
      <c r="I3224" s="10"/>
      <c r="J3224" s="79" t="e">
        <f t="shared" si="187"/>
        <v>#VALUE!</v>
      </c>
      <c r="K3224" s="106"/>
      <c r="L3224" s="141"/>
      <c r="M3224" s="132"/>
      <c r="N3224" s="133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spans="1:24" ht="14.25" customHeight="1">
      <c r="A3225" s="4"/>
      <c r="B3225" s="125">
        <v>46188</v>
      </c>
      <c r="C3225" s="126" t="s">
        <v>1433</v>
      </c>
      <c r="D3225" s="68" t="s">
        <v>158</v>
      </c>
      <c r="E3225" s="10" t="str">
        <f>TRIM(VLOOKUP(D3225,TB!$B$9:$C$1500,2,FALSE))</f>
        <v>Mandiri TBB IDR</v>
      </c>
      <c r="F3225" s="142" t="s">
        <v>1434</v>
      </c>
      <c r="G3225" s="130"/>
      <c r="H3225" s="10">
        <f>I3227-H3226</f>
        <v>20529541.754000001</v>
      </c>
      <c r="I3225" s="10"/>
      <c r="J3225" s="79" t="e">
        <f t="shared" si="187"/>
        <v>#VALUE!</v>
      </c>
      <c r="K3225" s="106"/>
      <c r="L3225" s="141"/>
      <c r="M3225" s="132"/>
      <c r="N3225" s="133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spans="1:24" ht="14.25" customHeight="1">
      <c r="A3226" s="4"/>
      <c r="B3226" s="125">
        <v>46188</v>
      </c>
      <c r="C3226" s="126" t="s">
        <v>1433</v>
      </c>
      <c r="D3226" s="15" t="s">
        <v>124</v>
      </c>
      <c r="E3226" s="10" t="str">
        <f>TRIM(VLOOKUP(D3226,TB!$B$9:$C$1500,2,FALSE))</f>
        <v>Bank charges</v>
      </c>
      <c r="F3226" s="142" t="str">
        <f t="shared" ref="F3226:F3227" si="199">F3225</f>
        <v>Mandiri QR 13-06-2026</v>
      </c>
      <c r="G3226" s="130"/>
      <c r="H3226" s="10">
        <f>1.8%*I3227</f>
        <v>376305.24600000004</v>
      </c>
      <c r="I3226" s="10"/>
      <c r="J3226" s="79" t="e">
        <f t="shared" si="187"/>
        <v>#VALUE!</v>
      </c>
      <c r="K3226" s="106"/>
      <c r="L3226" s="141"/>
      <c r="M3226" s="132"/>
      <c r="N3226" s="133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spans="1:24" ht="14.25" customHeight="1">
      <c r="A3227" s="4"/>
      <c r="B3227" s="125">
        <v>46188</v>
      </c>
      <c r="C3227" s="126" t="s">
        <v>1433</v>
      </c>
      <c r="D3227" s="15" t="s">
        <v>48</v>
      </c>
      <c r="E3227" s="10" t="str">
        <f>TRIM(VLOOKUP(D3227,TB!$B$9:$C$1500,2,FALSE))</f>
        <v>Mandiri Card TBB</v>
      </c>
      <c r="F3227" s="142" t="str">
        <f t="shared" si="199"/>
        <v>Mandiri QR 13-06-2026</v>
      </c>
      <c r="G3227" s="130"/>
      <c r="H3227" s="10"/>
      <c r="I3227" s="10">
        <v>20905847</v>
      </c>
      <c r="J3227" s="79" t="e">
        <f t="shared" si="187"/>
        <v>#VALUE!</v>
      </c>
      <c r="K3227" s="106"/>
      <c r="L3227" s="141"/>
      <c r="M3227" s="132"/>
      <c r="N3227" s="133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spans="1:24" ht="14.25" customHeight="1">
      <c r="A3228" s="4"/>
      <c r="B3228" s="125"/>
      <c r="C3228" s="126"/>
      <c r="D3228" s="159"/>
      <c r="E3228" s="10" t="e">
        <f>TRIM(VLOOKUP(D3228,TB!$B$9:$C$1500,2,FALSE))</f>
        <v>#N/A</v>
      </c>
      <c r="F3228" s="142"/>
      <c r="G3228" s="130"/>
      <c r="H3228" s="10"/>
      <c r="I3228" s="10"/>
      <c r="J3228" s="79" t="e">
        <f t="shared" si="187"/>
        <v>#VALUE!</v>
      </c>
      <c r="K3228" s="106"/>
      <c r="L3228" s="141"/>
      <c r="M3228" s="132"/>
      <c r="N3228" s="133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spans="1:24" ht="14.25" customHeight="1">
      <c r="A3229" s="4"/>
      <c r="B3229" s="125">
        <v>46188</v>
      </c>
      <c r="C3229" s="126" t="s">
        <v>1435</v>
      </c>
      <c r="D3229" s="68" t="s">
        <v>158</v>
      </c>
      <c r="E3229" s="10" t="str">
        <f>TRIM(VLOOKUP(D3229,TB!$B$9:$C$1500,2,FALSE))</f>
        <v>Mandiri TBB IDR</v>
      </c>
      <c r="F3229" s="142" t="s">
        <v>1436</v>
      </c>
      <c r="G3229" s="130"/>
      <c r="H3229" s="10">
        <f>I3231-H3230</f>
        <v>646990.69999999995</v>
      </c>
      <c r="I3229" s="10"/>
      <c r="J3229" s="79" t="e">
        <f t="shared" si="187"/>
        <v>#VALUE!</v>
      </c>
      <c r="K3229" s="106"/>
      <c r="L3229" s="141"/>
      <c r="M3229" s="132"/>
      <c r="N3229" s="133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4" ht="14.25" customHeight="1">
      <c r="A3230" s="4"/>
      <c r="B3230" s="125">
        <v>46188</v>
      </c>
      <c r="C3230" s="126" t="s">
        <v>1435</v>
      </c>
      <c r="D3230" s="15" t="s">
        <v>124</v>
      </c>
      <c r="E3230" s="10" t="str">
        <f>TRIM(VLOOKUP(D3230,TB!$B$9:$C$1500,2,FALSE))</f>
        <v>Bank charges</v>
      </c>
      <c r="F3230" s="142" t="str">
        <f t="shared" ref="F3230:F3231" si="200">F3229</f>
        <v>Mandiri Debet 14-06-2026</v>
      </c>
      <c r="G3230" s="130"/>
      <c r="H3230" s="10">
        <f>1.8%*I3231</f>
        <v>11859.300000000001</v>
      </c>
      <c r="I3230" s="10"/>
      <c r="J3230" s="79" t="e">
        <f t="shared" si="187"/>
        <v>#VALUE!</v>
      </c>
      <c r="K3230" s="106"/>
      <c r="L3230" s="141"/>
      <c r="M3230" s="132"/>
      <c r="N3230" s="133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spans="1:24" ht="14.25" customHeight="1">
      <c r="A3231" s="4"/>
      <c r="B3231" s="125">
        <v>46188</v>
      </c>
      <c r="C3231" s="126" t="s">
        <v>1435</v>
      </c>
      <c r="D3231" s="15" t="s">
        <v>48</v>
      </c>
      <c r="E3231" s="10" t="str">
        <f>TRIM(VLOOKUP(D3231,TB!$B$9:$C$1500,2,FALSE))</f>
        <v>Mandiri Card TBB</v>
      </c>
      <c r="F3231" s="142" t="str">
        <f t="shared" si="200"/>
        <v>Mandiri Debet 14-06-2026</v>
      </c>
      <c r="G3231" s="130"/>
      <c r="H3231" s="10"/>
      <c r="I3231" s="10">
        <v>658850</v>
      </c>
      <c r="J3231" s="79" t="e">
        <f t="shared" si="187"/>
        <v>#VALUE!</v>
      </c>
      <c r="K3231" s="106"/>
      <c r="L3231" s="141"/>
      <c r="M3231" s="132"/>
      <c r="N3231" s="133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spans="1:24" ht="14.25" customHeight="1">
      <c r="A3232" s="4"/>
      <c r="B3232" s="125"/>
      <c r="C3232" s="126"/>
      <c r="D3232" s="159"/>
      <c r="E3232" s="10" t="e">
        <f>TRIM(VLOOKUP(D3232,TB!$B$9:$C$1500,2,FALSE))</f>
        <v>#N/A</v>
      </c>
      <c r="F3232" s="142"/>
      <c r="G3232" s="130"/>
      <c r="H3232" s="10"/>
      <c r="I3232" s="10"/>
      <c r="J3232" s="79" t="e">
        <f t="shared" si="187"/>
        <v>#VALUE!</v>
      </c>
      <c r="K3232" s="106"/>
      <c r="L3232" s="141"/>
      <c r="M3232" s="132"/>
      <c r="N3232" s="133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spans="1:24" ht="14.25" customHeight="1">
      <c r="A3233" s="4"/>
      <c r="B3233" s="125">
        <v>46188</v>
      </c>
      <c r="C3233" s="126" t="s">
        <v>1437</v>
      </c>
      <c r="D3233" s="68" t="s">
        <v>158</v>
      </c>
      <c r="E3233" s="10" t="str">
        <f>TRIM(VLOOKUP(D3233,TB!$B$9:$C$1500,2,FALSE))</f>
        <v>Mandiri TBB IDR</v>
      </c>
      <c r="F3233" s="142" t="s">
        <v>1438</v>
      </c>
      <c r="G3233" s="130"/>
      <c r="H3233" s="10">
        <f>I3235-H3234</f>
        <v>21003737.77</v>
      </c>
      <c r="I3233" s="10"/>
      <c r="J3233" s="79" t="e">
        <f t="shared" si="187"/>
        <v>#VALUE!</v>
      </c>
      <c r="K3233" s="106"/>
      <c r="L3233" s="141"/>
      <c r="M3233" s="132"/>
      <c r="N3233" s="133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spans="1:24" ht="14.25" customHeight="1">
      <c r="A3234" s="4"/>
      <c r="B3234" s="125">
        <v>46188</v>
      </c>
      <c r="C3234" s="126" t="s">
        <v>1437</v>
      </c>
      <c r="D3234" s="15" t="s">
        <v>124</v>
      </c>
      <c r="E3234" s="10" t="str">
        <f>TRIM(VLOOKUP(D3234,TB!$B$9:$C$1500,2,FALSE))</f>
        <v>Bank charges</v>
      </c>
      <c r="F3234" s="142" t="str">
        <f t="shared" ref="F3234:F3235" si="201">F3233</f>
        <v>Mandiri CC 14-06-2026</v>
      </c>
      <c r="G3234" s="130"/>
      <c r="H3234" s="10">
        <f>1.8%*I3235</f>
        <v>384997.23000000004</v>
      </c>
      <c r="I3234" s="10"/>
      <c r="J3234" s="79" t="e">
        <f t="shared" si="187"/>
        <v>#VALUE!</v>
      </c>
      <c r="K3234" s="106"/>
      <c r="L3234" s="141"/>
      <c r="M3234" s="132"/>
      <c r="N3234" s="133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spans="1:24" ht="14.25" customHeight="1">
      <c r="A3235" s="4"/>
      <c r="B3235" s="125">
        <v>46188</v>
      </c>
      <c r="C3235" s="126" t="s">
        <v>1437</v>
      </c>
      <c r="D3235" s="15" t="s">
        <v>48</v>
      </c>
      <c r="E3235" s="10" t="str">
        <f>TRIM(VLOOKUP(D3235,TB!$B$9:$C$1500,2,FALSE))</f>
        <v>Mandiri Card TBB</v>
      </c>
      <c r="F3235" s="142" t="str">
        <f t="shared" si="201"/>
        <v>Mandiri CC 14-06-2026</v>
      </c>
      <c r="G3235" s="130"/>
      <c r="H3235" s="10"/>
      <c r="I3235" s="10">
        <v>21388735</v>
      </c>
      <c r="J3235" s="79" t="e">
        <f t="shared" si="187"/>
        <v>#VALUE!</v>
      </c>
      <c r="K3235" s="106"/>
      <c r="L3235" s="141"/>
      <c r="M3235" s="132"/>
      <c r="N3235" s="133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spans="1:24" ht="14.25" customHeight="1">
      <c r="A3236" s="4"/>
      <c r="B3236" s="125"/>
      <c r="C3236" s="126"/>
      <c r="D3236" s="159"/>
      <c r="E3236" s="10" t="e">
        <f>TRIM(VLOOKUP(D3236,TB!$B$9:$C$1500,2,FALSE))</f>
        <v>#N/A</v>
      </c>
      <c r="F3236" s="142"/>
      <c r="G3236" s="130"/>
      <c r="H3236" s="10"/>
      <c r="I3236" s="10"/>
      <c r="J3236" s="79" t="e">
        <f t="shared" si="187"/>
        <v>#VALUE!</v>
      </c>
      <c r="K3236" s="106"/>
      <c r="L3236" s="141"/>
      <c r="M3236" s="132"/>
      <c r="N3236" s="133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spans="1:24" ht="14.25" customHeight="1">
      <c r="A3237" s="4"/>
      <c r="B3237" s="125">
        <v>46188</v>
      </c>
      <c r="C3237" s="126" t="s">
        <v>1439</v>
      </c>
      <c r="D3237" s="68" t="s">
        <v>158</v>
      </c>
      <c r="E3237" s="10" t="str">
        <f>TRIM(VLOOKUP(D3237,TB!$B$9:$C$1500,2,FALSE))</f>
        <v>Mandiri TBB IDR</v>
      </c>
      <c r="F3237" s="142" t="s">
        <v>1440</v>
      </c>
      <c r="G3237" s="130"/>
      <c r="H3237" s="10">
        <f>I3239-H3238</f>
        <v>1989433.8</v>
      </c>
      <c r="I3237" s="10"/>
      <c r="J3237" s="79" t="e">
        <f t="shared" si="187"/>
        <v>#VALUE!</v>
      </c>
      <c r="K3237" s="106"/>
      <c r="L3237" s="141"/>
      <c r="M3237" s="132"/>
      <c r="N3237" s="133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spans="1:24" ht="14.25" customHeight="1">
      <c r="A3238" s="4"/>
      <c r="B3238" s="125">
        <v>46188</v>
      </c>
      <c r="C3238" s="126" t="s">
        <v>1439</v>
      </c>
      <c r="D3238" s="15" t="s">
        <v>124</v>
      </c>
      <c r="E3238" s="10" t="str">
        <f>TRIM(VLOOKUP(D3238,TB!$B$9:$C$1500,2,FALSE))</f>
        <v>Bank charges</v>
      </c>
      <c r="F3238" s="142" t="str">
        <f t="shared" ref="F3238:F3239" si="202">F3237</f>
        <v>Mandiri NPG 14-06-2026</v>
      </c>
      <c r="G3238" s="130"/>
      <c r="H3238" s="10">
        <f>1.8%*I3239</f>
        <v>36466.200000000004</v>
      </c>
      <c r="I3238" s="10"/>
      <c r="J3238" s="79" t="e">
        <f t="shared" si="187"/>
        <v>#VALUE!</v>
      </c>
      <c r="K3238" s="106"/>
      <c r="L3238" s="141"/>
      <c r="M3238" s="132"/>
      <c r="N3238" s="133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spans="1:24" ht="14.25" customHeight="1">
      <c r="A3239" s="4"/>
      <c r="B3239" s="125">
        <v>46188</v>
      </c>
      <c r="C3239" s="126" t="s">
        <v>1439</v>
      </c>
      <c r="D3239" s="15" t="s">
        <v>48</v>
      </c>
      <c r="E3239" s="10" t="str">
        <f>TRIM(VLOOKUP(D3239,TB!$B$9:$C$1500,2,FALSE))</f>
        <v>Mandiri Card TBB</v>
      </c>
      <c r="F3239" s="142" t="str">
        <f t="shared" si="202"/>
        <v>Mandiri NPG 14-06-2026</v>
      </c>
      <c r="G3239" s="130"/>
      <c r="H3239" s="10"/>
      <c r="I3239" s="10">
        <v>2025900</v>
      </c>
      <c r="J3239" s="79" t="e">
        <f t="shared" si="187"/>
        <v>#VALUE!</v>
      </c>
      <c r="K3239" s="106"/>
      <c r="L3239" s="141"/>
      <c r="M3239" s="132"/>
      <c r="N3239" s="133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spans="1:24" ht="14.25" customHeight="1">
      <c r="A3240" s="4"/>
      <c r="B3240" s="125"/>
      <c r="C3240" s="126"/>
      <c r="D3240" s="159"/>
      <c r="E3240" s="10" t="e">
        <f>TRIM(VLOOKUP(D3240,TB!$B$9:$C$1500,2,FALSE))</f>
        <v>#N/A</v>
      </c>
      <c r="F3240" s="142"/>
      <c r="G3240" s="130"/>
      <c r="H3240" s="10"/>
      <c r="I3240" s="10"/>
      <c r="J3240" s="79" t="e">
        <f t="shared" si="187"/>
        <v>#VALUE!</v>
      </c>
      <c r="K3240" s="106"/>
      <c r="L3240" s="141"/>
      <c r="M3240" s="132"/>
      <c r="N3240" s="133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spans="1:24" ht="14.25" customHeight="1">
      <c r="A3241" s="4"/>
      <c r="B3241" s="125">
        <v>46188</v>
      </c>
      <c r="C3241" s="126" t="s">
        <v>1441</v>
      </c>
      <c r="D3241" s="68" t="s">
        <v>158</v>
      </c>
      <c r="E3241" s="10" t="str">
        <f>TRIM(VLOOKUP(D3241,TB!$B$9:$C$1500,2,FALSE))</f>
        <v>Mandiri TBB IDR</v>
      </c>
      <c r="F3241" s="142" t="s">
        <v>1442</v>
      </c>
      <c r="G3241" s="130"/>
      <c r="H3241" s="10">
        <f>I3243-H3242</f>
        <v>1409827.94</v>
      </c>
      <c r="I3241" s="10"/>
      <c r="J3241" s="79" t="e">
        <f t="shared" si="187"/>
        <v>#VALUE!</v>
      </c>
      <c r="K3241" s="106"/>
      <c r="L3241" s="141"/>
      <c r="M3241" s="132"/>
      <c r="N3241" s="133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spans="1:24" ht="14.25" customHeight="1">
      <c r="A3242" s="4"/>
      <c r="B3242" s="125">
        <v>46188</v>
      </c>
      <c r="C3242" s="126" t="s">
        <v>1441</v>
      </c>
      <c r="D3242" s="15" t="s">
        <v>124</v>
      </c>
      <c r="E3242" s="10" t="str">
        <f>TRIM(VLOOKUP(D3242,TB!$B$9:$C$1500,2,FALSE))</f>
        <v>Bank charges</v>
      </c>
      <c r="F3242" s="142" t="str">
        <f t="shared" ref="F3242:F3243" si="203">F3241</f>
        <v>Mandiri QR 14-06-2026</v>
      </c>
      <c r="G3242" s="130"/>
      <c r="H3242" s="10">
        <f>1.8%*I3243</f>
        <v>25842.06</v>
      </c>
      <c r="I3242" s="10"/>
      <c r="J3242" s="79" t="e">
        <f t="shared" si="187"/>
        <v>#VALUE!</v>
      </c>
      <c r="K3242" s="106"/>
      <c r="L3242" s="141"/>
      <c r="M3242" s="132"/>
      <c r="N3242" s="133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spans="1:24" ht="14.25" customHeight="1">
      <c r="A3243" s="4"/>
      <c r="B3243" s="125">
        <v>46188</v>
      </c>
      <c r="C3243" s="126" t="s">
        <v>1441</v>
      </c>
      <c r="D3243" s="15" t="s">
        <v>48</v>
      </c>
      <c r="E3243" s="10" t="str">
        <f>TRIM(VLOOKUP(D3243,TB!$B$9:$C$1500,2,FALSE))</f>
        <v>Mandiri Card TBB</v>
      </c>
      <c r="F3243" s="142" t="str">
        <f t="shared" si="203"/>
        <v>Mandiri QR 14-06-2026</v>
      </c>
      <c r="G3243" s="130"/>
      <c r="H3243" s="10"/>
      <c r="I3243" s="10">
        <v>1435670</v>
      </c>
      <c r="J3243" s="79" t="e">
        <f t="shared" si="187"/>
        <v>#VALUE!</v>
      </c>
      <c r="K3243" s="106"/>
      <c r="L3243" s="141"/>
      <c r="M3243" s="132"/>
      <c r="N3243" s="133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spans="1:24" ht="14.25" customHeight="1">
      <c r="A3244" s="4"/>
      <c r="B3244" s="125"/>
      <c r="C3244" s="126"/>
      <c r="D3244" s="159"/>
      <c r="E3244" s="10" t="e">
        <f>TRIM(VLOOKUP(D3244,TB!$B$9:$C$1500,2,FALSE))</f>
        <v>#N/A</v>
      </c>
      <c r="F3244" s="142"/>
      <c r="G3244" s="130"/>
      <c r="H3244" s="10"/>
      <c r="I3244" s="10"/>
      <c r="J3244" s="79" t="e">
        <f t="shared" si="187"/>
        <v>#VALUE!</v>
      </c>
      <c r="K3244" s="106"/>
      <c r="L3244" s="141"/>
      <c r="M3244" s="132"/>
      <c r="N3244" s="133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spans="1:24" ht="14.25" customHeight="1">
      <c r="A3245" s="4"/>
      <c r="B3245" s="125">
        <v>46188</v>
      </c>
      <c r="C3245" s="126" t="s">
        <v>1443</v>
      </c>
      <c r="D3245" s="159" t="s">
        <v>34</v>
      </c>
      <c r="E3245" s="10" t="str">
        <f>TRIM(VLOOKUP(D3245,TB!$B$9:$C$1500,2,FALSE))</f>
        <v>Service Charge Payable</v>
      </c>
      <c r="F3245" s="142" t="s">
        <v>1444</v>
      </c>
      <c r="G3245" s="130"/>
      <c r="H3245" s="10">
        <v>152677111</v>
      </c>
      <c r="I3245" s="10"/>
      <c r="J3245" s="79" t="e">
        <f t="shared" si="187"/>
        <v>#VALUE!</v>
      </c>
      <c r="K3245" s="106"/>
      <c r="L3245" s="141"/>
      <c r="M3245" s="132"/>
      <c r="N3245" s="133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spans="1:24" ht="14.25" customHeight="1">
      <c r="A3246" s="4"/>
      <c r="B3246" s="125">
        <v>46188</v>
      </c>
      <c r="C3246" s="126" t="s">
        <v>1443</v>
      </c>
      <c r="D3246" s="159" t="s">
        <v>1130</v>
      </c>
      <c r="E3246" s="10" t="str">
        <f>TRIM(VLOOKUP(D3246,TB!$B$9:$C$1500,2,FALSE))</f>
        <v>Accrued Employee Welfare Payable</v>
      </c>
      <c r="F3246" s="142" t="s">
        <v>1445</v>
      </c>
      <c r="G3246" s="130"/>
      <c r="H3246" s="10"/>
      <c r="I3246" s="10">
        <v>30535422</v>
      </c>
      <c r="J3246" s="79" t="e">
        <f t="shared" si="187"/>
        <v>#VALUE!</v>
      </c>
      <c r="K3246" s="106"/>
      <c r="L3246" s="141"/>
      <c r="M3246" s="132"/>
      <c r="N3246" s="133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spans="1:24" ht="14.25" customHeight="1">
      <c r="A3247" s="4"/>
      <c r="B3247" s="125">
        <v>46188</v>
      </c>
      <c r="C3247" s="126" t="s">
        <v>1443</v>
      </c>
      <c r="D3247" s="159" t="s">
        <v>34</v>
      </c>
      <c r="E3247" s="10" t="str">
        <f>TRIM(VLOOKUP(D3247,TB!$B$9:$C$1500,2,FALSE))</f>
        <v>Service Charge Payable</v>
      </c>
      <c r="F3247" s="142" t="s">
        <v>1446</v>
      </c>
      <c r="G3247" s="130"/>
      <c r="H3247" s="10">
        <v>830051</v>
      </c>
      <c r="I3247" s="10"/>
      <c r="J3247" s="79" t="e">
        <f t="shared" si="187"/>
        <v>#VALUE!</v>
      </c>
      <c r="K3247" s="106"/>
      <c r="L3247" s="141"/>
      <c r="M3247" s="132"/>
      <c r="N3247" s="133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spans="1:24" ht="14.25" customHeight="1">
      <c r="A3248" s="4"/>
      <c r="B3248" s="125">
        <v>46188</v>
      </c>
      <c r="C3248" s="126" t="s">
        <v>1443</v>
      </c>
      <c r="D3248" s="15" t="s">
        <v>124</v>
      </c>
      <c r="E3248" s="10" t="str">
        <f>TRIM(VLOOKUP(D3248,TB!$B$9:$C$1500,2,FALSE))</f>
        <v>Bank charges</v>
      </c>
      <c r="F3248" s="173" t="s">
        <v>1447</v>
      </c>
      <c r="G3248" s="130"/>
      <c r="H3248" s="10">
        <v>186500</v>
      </c>
      <c r="I3248" s="10"/>
      <c r="J3248" s="79" t="e">
        <f t="shared" si="187"/>
        <v>#VALUE!</v>
      </c>
      <c r="K3248" s="106"/>
      <c r="L3248" s="141"/>
      <c r="M3248" s="132"/>
      <c r="N3248" s="133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spans="1:24" ht="14.25" customHeight="1">
      <c r="A3249" s="4"/>
      <c r="B3249" s="125">
        <v>46188</v>
      </c>
      <c r="C3249" s="126" t="s">
        <v>1443</v>
      </c>
      <c r="D3249" s="68" t="s">
        <v>158</v>
      </c>
      <c r="E3249" s="10" t="str">
        <f>TRIM(VLOOKUP(D3249,TB!$B$9:$C$1500,2,FALSE))</f>
        <v>Mandiri TBB IDR</v>
      </c>
      <c r="F3249" s="142" t="s">
        <v>1448</v>
      </c>
      <c r="G3249" s="130"/>
      <c r="H3249" s="10"/>
      <c r="I3249" s="10">
        <v>123158240</v>
      </c>
      <c r="J3249" s="79" t="e">
        <f t="shared" si="187"/>
        <v>#VALUE!</v>
      </c>
      <c r="K3249" s="106"/>
      <c r="L3249" s="141"/>
      <c r="M3249" s="132"/>
      <c r="N3249" s="133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spans="1:24" ht="14.25" customHeight="1">
      <c r="A3250" s="4"/>
      <c r="B3250" s="125"/>
      <c r="C3250" s="126"/>
      <c r="D3250" s="159"/>
      <c r="E3250" s="10" t="e">
        <f>TRIM(VLOOKUP(D3250,TB!$B$9:$C$1500,2,FALSE))</f>
        <v>#N/A</v>
      </c>
      <c r="F3250" s="142"/>
      <c r="G3250" s="130"/>
      <c r="H3250" s="10"/>
      <c r="I3250" s="10"/>
      <c r="J3250" s="79" t="e">
        <f t="shared" si="187"/>
        <v>#VALUE!</v>
      </c>
      <c r="K3250" s="106"/>
      <c r="L3250" s="141"/>
      <c r="M3250" s="132"/>
      <c r="N3250" s="133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spans="1:24" ht="14.25" customHeight="1">
      <c r="A3251" s="4"/>
      <c r="B3251" s="125">
        <v>46188</v>
      </c>
      <c r="C3251" s="126" t="s">
        <v>1449</v>
      </c>
      <c r="D3251" s="68" t="s">
        <v>130</v>
      </c>
      <c r="E3251" s="10" t="str">
        <f>TRIM(VLOOKUP(D3251,TB!$B$9:$C$1500,2,FALSE))</f>
        <v>BCA TBB</v>
      </c>
      <c r="F3251" s="142" t="s">
        <v>1247</v>
      </c>
      <c r="G3251" s="130"/>
      <c r="H3251" s="10">
        <v>50000000</v>
      </c>
      <c r="I3251" s="10"/>
      <c r="J3251" s="79" t="e">
        <f t="shared" si="187"/>
        <v>#VALUE!</v>
      </c>
      <c r="K3251" s="106"/>
      <c r="L3251" s="141"/>
      <c r="M3251" s="132"/>
      <c r="N3251" s="133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spans="1:24" ht="14.25" customHeight="1">
      <c r="A3252" s="4"/>
      <c r="B3252" s="125">
        <v>46188</v>
      </c>
      <c r="C3252" s="126" t="s">
        <v>1449</v>
      </c>
      <c r="D3252" s="15" t="s">
        <v>124</v>
      </c>
      <c r="E3252" s="10" t="str">
        <f>TRIM(VLOOKUP(D3252,TB!$B$9:$C$1500,2,FALSE))</f>
        <v>Bank charges</v>
      </c>
      <c r="F3252" s="142" t="s">
        <v>1247</v>
      </c>
      <c r="G3252" s="130"/>
      <c r="H3252" s="10">
        <v>2500</v>
      </c>
      <c r="I3252" s="10"/>
      <c r="J3252" s="79" t="e">
        <f t="shared" si="187"/>
        <v>#VALUE!</v>
      </c>
      <c r="K3252" s="106"/>
      <c r="L3252" s="141"/>
      <c r="M3252" s="132"/>
      <c r="N3252" s="133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spans="1:24" ht="14.25" customHeight="1">
      <c r="A3253" s="4"/>
      <c r="B3253" s="125">
        <v>46188</v>
      </c>
      <c r="C3253" s="126" t="s">
        <v>1449</v>
      </c>
      <c r="D3253" s="68" t="s">
        <v>158</v>
      </c>
      <c r="E3253" s="10" t="str">
        <f>TRIM(VLOOKUP(D3253,TB!$B$9:$C$1500,2,FALSE))</f>
        <v>Mandiri TBB IDR</v>
      </c>
      <c r="F3253" s="142" t="s">
        <v>1247</v>
      </c>
      <c r="G3253" s="130"/>
      <c r="H3253" s="10"/>
      <c r="I3253" s="10">
        <f>SUM(H3251:H3252)</f>
        <v>50002500</v>
      </c>
      <c r="J3253" s="79" t="e">
        <f t="shared" si="187"/>
        <v>#VALUE!</v>
      </c>
      <c r="K3253" s="106"/>
      <c r="L3253" s="141"/>
      <c r="M3253" s="132"/>
      <c r="N3253" s="133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spans="1:24" ht="14.25" customHeight="1">
      <c r="A3254" s="4"/>
      <c r="B3254" s="125"/>
      <c r="C3254" s="126"/>
      <c r="D3254" s="159"/>
      <c r="E3254" s="10" t="e">
        <f>TRIM(VLOOKUP(D3254,TB!$B$9:$C$1500,2,FALSE))</f>
        <v>#N/A</v>
      </c>
      <c r="F3254" s="142"/>
      <c r="G3254" s="130"/>
      <c r="H3254" s="10"/>
      <c r="I3254" s="10"/>
      <c r="J3254" s="79" t="e">
        <f t="shared" si="187"/>
        <v>#VALUE!</v>
      </c>
      <c r="K3254" s="106"/>
      <c r="L3254" s="141"/>
      <c r="M3254" s="132"/>
      <c r="N3254" s="133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spans="1:24" ht="14.25" customHeight="1">
      <c r="A3255" s="4"/>
      <c r="B3255" s="125">
        <v>46188</v>
      </c>
      <c r="C3255" s="126" t="s">
        <v>1450</v>
      </c>
      <c r="D3255" s="68" t="s">
        <v>130</v>
      </c>
      <c r="E3255" s="10" t="str">
        <f>TRIM(VLOOKUP(D3255,TB!$B$9:$C$1500,2,FALSE))</f>
        <v>BCA TBB</v>
      </c>
      <c r="F3255" s="142" t="s">
        <v>1247</v>
      </c>
      <c r="G3255" s="130"/>
      <c r="H3255" s="10">
        <v>50000000</v>
      </c>
      <c r="I3255" s="10"/>
      <c r="J3255" s="79" t="e">
        <f t="shared" si="187"/>
        <v>#VALUE!</v>
      </c>
      <c r="K3255" s="106"/>
      <c r="L3255" s="141"/>
      <c r="M3255" s="132"/>
      <c r="N3255" s="133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4" ht="14.25" customHeight="1">
      <c r="A3256" s="4"/>
      <c r="B3256" s="125">
        <v>46188</v>
      </c>
      <c r="C3256" s="126" t="s">
        <v>1450</v>
      </c>
      <c r="D3256" s="15" t="s">
        <v>124</v>
      </c>
      <c r="E3256" s="10" t="str">
        <f>TRIM(VLOOKUP(D3256,TB!$B$9:$C$1500,2,FALSE))</f>
        <v>Bank charges</v>
      </c>
      <c r="F3256" s="142" t="s">
        <v>1247</v>
      </c>
      <c r="G3256" s="130"/>
      <c r="H3256" s="10">
        <v>2500</v>
      </c>
      <c r="I3256" s="10"/>
      <c r="J3256" s="79" t="e">
        <f t="shared" si="187"/>
        <v>#VALUE!</v>
      </c>
      <c r="K3256" s="106"/>
      <c r="L3256" s="141"/>
      <c r="M3256" s="132"/>
      <c r="N3256" s="133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4" ht="14.25" customHeight="1">
      <c r="A3257" s="4"/>
      <c r="B3257" s="125">
        <v>46188</v>
      </c>
      <c r="C3257" s="126" t="s">
        <v>1450</v>
      </c>
      <c r="D3257" s="68" t="s">
        <v>158</v>
      </c>
      <c r="E3257" s="10" t="str">
        <f>TRIM(VLOOKUP(D3257,TB!$B$9:$C$1500,2,FALSE))</f>
        <v>Mandiri TBB IDR</v>
      </c>
      <c r="F3257" s="142" t="s">
        <v>1247</v>
      </c>
      <c r="G3257" s="130"/>
      <c r="H3257" s="10"/>
      <c r="I3257" s="10">
        <f>SUM(H3255:H3256)</f>
        <v>50002500</v>
      </c>
      <c r="J3257" s="79" t="e">
        <f t="shared" si="187"/>
        <v>#VALUE!</v>
      </c>
      <c r="K3257" s="106"/>
      <c r="L3257" s="141"/>
      <c r="M3257" s="132"/>
      <c r="N3257" s="133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spans="1:24" ht="14.25" customHeight="1">
      <c r="A3258" s="4"/>
      <c r="B3258" s="125"/>
      <c r="C3258" s="126"/>
      <c r="D3258" s="159"/>
      <c r="E3258" s="10" t="e">
        <f>TRIM(VLOOKUP(D3258,TB!$B$9:$C$1500,2,FALSE))</f>
        <v>#N/A</v>
      </c>
      <c r="F3258" s="142"/>
      <c r="G3258" s="130"/>
      <c r="H3258" s="10"/>
      <c r="I3258" s="10"/>
      <c r="J3258" s="79" t="e">
        <f t="shared" si="187"/>
        <v>#VALUE!</v>
      </c>
      <c r="K3258" s="106"/>
      <c r="L3258" s="141"/>
      <c r="M3258" s="132"/>
      <c r="N3258" s="133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spans="1:24" ht="14.25" customHeight="1">
      <c r="A3259" s="4"/>
      <c r="B3259" s="125">
        <v>46188</v>
      </c>
      <c r="C3259" s="126" t="s">
        <v>1451</v>
      </c>
      <c r="D3259" s="68" t="s">
        <v>130</v>
      </c>
      <c r="E3259" s="10" t="str">
        <f>TRIM(VLOOKUP(D3259,TB!$B$9:$C$1500,2,FALSE))</f>
        <v>BCA TBB</v>
      </c>
      <c r="F3259" s="142" t="s">
        <v>1247</v>
      </c>
      <c r="G3259" s="130"/>
      <c r="H3259" s="10">
        <v>18000000</v>
      </c>
      <c r="I3259" s="10"/>
      <c r="J3259" s="79" t="e">
        <f t="shared" si="187"/>
        <v>#VALUE!</v>
      </c>
      <c r="K3259" s="106"/>
      <c r="L3259" s="141"/>
      <c r="M3259" s="132"/>
      <c r="N3259" s="133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4" ht="14.25" customHeight="1">
      <c r="A3260" s="4"/>
      <c r="B3260" s="125">
        <v>46188</v>
      </c>
      <c r="C3260" s="126" t="s">
        <v>1451</v>
      </c>
      <c r="D3260" s="15" t="s">
        <v>124</v>
      </c>
      <c r="E3260" s="10" t="str">
        <f>TRIM(VLOOKUP(D3260,TB!$B$9:$C$1500,2,FALSE))</f>
        <v>Bank charges</v>
      </c>
      <c r="F3260" s="142" t="s">
        <v>1247</v>
      </c>
      <c r="G3260" s="130"/>
      <c r="H3260" s="10">
        <v>2500</v>
      </c>
      <c r="I3260" s="10"/>
      <c r="J3260" s="79" t="e">
        <f t="shared" si="187"/>
        <v>#VALUE!</v>
      </c>
      <c r="K3260" s="106"/>
      <c r="L3260" s="141"/>
      <c r="M3260" s="132"/>
      <c r="N3260" s="133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spans="1:24" ht="14.25" customHeight="1">
      <c r="A3261" s="4"/>
      <c r="B3261" s="125">
        <v>46188</v>
      </c>
      <c r="C3261" s="126" t="s">
        <v>1451</v>
      </c>
      <c r="D3261" s="68" t="s">
        <v>158</v>
      </c>
      <c r="E3261" s="10" t="str">
        <f>TRIM(VLOOKUP(D3261,TB!$B$9:$C$1500,2,FALSE))</f>
        <v>Mandiri TBB IDR</v>
      </c>
      <c r="F3261" s="142" t="s">
        <v>1247</v>
      </c>
      <c r="G3261" s="130"/>
      <c r="H3261" s="10"/>
      <c r="I3261" s="10">
        <f>SUM(H3259:H3260)</f>
        <v>18002500</v>
      </c>
      <c r="J3261" s="79" t="e">
        <f t="shared" si="187"/>
        <v>#VALUE!</v>
      </c>
      <c r="K3261" s="106"/>
      <c r="L3261" s="141"/>
      <c r="M3261" s="132"/>
      <c r="N3261" s="133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spans="1:24" ht="14.25" customHeight="1">
      <c r="A3262" s="4"/>
      <c r="B3262" s="125"/>
      <c r="C3262" s="126"/>
      <c r="D3262" s="159"/>
      <c r="E3262" s="10" t="e">
        <f>TRIM(VLOOKUP(D3262,TB!$B$9:$C$1500,2,FALSE))</f>
        <v>#N/A</v>
      </c>
      <c r="F3262" s="142"/>
      <c r="G3262" s="130"/>
      <c r="H3262" s="10"/>
      <c r="I3262" s="10"/>
      <c r="J3262" s="79" t="e">
        <f t="shared" si="187"/>
        <v>#VALUE!</v>
      </c>
      <c r="K3262" s="106"/>
      <c r="L3262" s="141"/>
      <c r="M3262" s="132"/>
      <c r="N3262" s="133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spans="1:24" ht="14.25" customHeight="1">
      <c r="A3263" s="4"/>
      <c r="B3263" s="125">
        <v>46191</v>
      </c>
      <c r="C3263" s="126" t="s">
        <v>1452</v>
      </c>
      <c r="D3263" s="68" t="s">
        <v>158</v>
      </c>
      <c r="E3263" s="10" t="str">
        <f>TRIM(VLOOKUP(D3263,TB!$B$9:$C$1500,2,FALSE))</f>
        <v>Mandiri TBB IDR</v>
      </c>
      <c r="F3263" s="142" t="s">
        <v>1453</v>
      </c>
      <c r="G3263" s="130"/>
      <c r="H3263" s="10">
        <f>I3265-H3264</f>
        <v>26465851.557999998</v>
      </c>
      <c r="I3263" s="10"/>
      <c r="J3263" s="79" t="e">
        <f t="shared" si="187"/>
        <v>#VALUE!</v>
      </c>
      <c r="K3263" s="106"/>
      <c r="L3263" s="141"/>
      <c r="M3263" s="132"/>
      <c r="N3263" s="133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spans="1:24" ht="14.25" customHeight="1">
      <c r="A3264" s="4"/>
      <c r="B3264" s="125">
        <v>46191</v>
      </c>
      <c r="C3264" s="126" t="s">
        <v>1452</v>
      </c>
      <c r="D3264" s="15" t="s">
        <v>124</v>
      </c>
      <c r="E3264" s="10" t="str">
        <f>TRIM(VLOOKUP(D3264,TB!$B$9:$C$1500,2,FALSE))</f>
        <v>Bank charges</v>
      </c>
      <c r="F3264" s="142" t="str">
        <f t="shared" ref="F3264:F3265" si="204">F3263</f>
        <v>Mandiri CC 15-06-2026</v>
      </c>
      <c r="G3264" s="130"/>
      <c r="H3264" s="10">
        <f>1.8%*I3265</f>
        <v>485117.44200000004</v>
      </c>
      <c r="I3264" s="10"/>
      <c r="J3264" s="79" t="e">
        <f t="shared" si="187"/>
        <v>#VALUE!</v>
      </c>
      <c r="K3264" s="106"/>
      <c r="L3264" s="141"/>
      <c r="M3264" s="132"/>
      <c r="N3264" s="133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spans="1:24" ht="14.25" customHeight="1">
      <c r="A3265" s="4"/>
      <c r="B3265" s="125">
        <v>46191</v>
      </c>
      <c r="C3265" s="126" t="s">
        <v>1452</v>
      </c>
      <c r="D3265" s="15" t="s">
        <v>48</v>
      </c>
      <c r="E3265" s="10" t="str">
        <f>TRIM(VLOOKUP(D3265,TB!$B$9:$C$1500,2,FALSE))</f>
        <v>Mandiri Card TBB</v>
      </c>
      <c r="F3265" s="142" t="str">
        <f t="shared" si="204"/>
        <v>Mandiri CC 15-06-2026</v>
      </c>
      <c r="G3265" s="130"/>
      <c r="H3265" s="10"/>
      <c r="I3265" s="10">
        <v>26950969</v>
      </c>
      <c r="J3265" s="79" t="e">
        <f t="shared" si="187"/>
        <v>#VALUE!</v>
      </c>
      <c r="K3265" s="106"/>
      <c r="L3265" s="141"/>
      <c r="M3265" s="132"/>
      <c r="N3265" s="133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spans="1:24" ht="14.25" customHeight="1">
      <c r="A3266" s="4"/>
      <c r="B3266" s="125"/>
      <c r="C3266" s="126"/>
      <c r="D3266" s="159"/>
      <c r="E3266" s="10" t="e">
        <f>TRIM(VLOOKUP(D3266,TB!$B$9:$C$1500,2,FALSE))</f>
        <v>#N/A</v>
      </c>
      <c r="F3266" s="142"/>
      <c r="G3266" s="130"/>
      <c r="H3266" s="10"/>
      <c r="I3266" s="10"/>
      <c r="J3266" s="79" t="e">
        <f t="shared" si="187"/>
        <v>#VALUE!</v>
      </c>
      <c r="K3266" s="106"/>
      <c r="L3266" s="141"/>
      <c r="M3266" s="132"/>
      <c r="N3266" s="133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spans="1:24" ht="14.25" customHeight="1">
      <c r="A3267" s="4"/>
      <c r="B3267" s="125">
        <v>46191</v>
      </c>
      <c r="C3267" s="126" t="s">
        <v>1454</v>
      </c>
      <c r="D3267" s="68" t="s">
        <v>158</v>
      </c>
      <c r="E3267" s="10" t="str">
        <f>TRIM(VLOOKUP(D3267,TB!$B$9:$C$1500,2,FALSE))</f>
        <v>Mandiri TBB IDR</v>
      </c>
      <c r="F3267" s="142" t="s">
        <v>1455</v>
      </c>
      <c r="G3267" s="130"/>
      <c r="H3267" s="10">
        <f>I3269-H3268</f>
        <v>1010983.73</v>
      </c>
      <c r="I3267" s="10"/>
      <c r="J3267" s="79" t="e">
        <f t="shared" si="187"/>
        <v>#VALUE!</v>
      </c>
      <c r="K3267" s="106"/>
      <c r="L3267" s="141"/>
      <c r="M3267" s="132"/>
      <c r="N3267" s="133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spans="1:24" ht="14.25" customHeight="1">
      <c r="A3268" s="4"/>
      <c r="B3268" s="125">
        <v>46191</v>
      </c>
      <c r="C3268" s="126" t="s">
        <v>1454</v>
      </c>
      <c r="D3268" s="15" t="s">
        <v>124</v>
      </c>
      <c r="E3268" s="10" t="str">
        <f>TRIM(VLOOKUP(D3268,TB!$B$9:$C$1500,2,FALSE))</f>
        <v>Bank charges</v>
      </c>
      <c r="F3268" s="142" t="str">
        <f t="shared" ref="F3268:F3269" si="205">F3267</f>
        <v>Mandiri NPG 15-06-2026</v>
      </c>
      <c r="G3268" s="130"/>
      <c r="H3268" s="10">
        <f>1.8%*I3269</f>
        <v>18531.27</v>
      </c>
      <c r="I3268" s="10"/>
      <c r="J3268" s="79" t="e">
        <f t="shared" si="187"/>
        <v>#VALUE!</v>
      </c>
      <c r="K3268" s="106"/>
      <c r="L3268" s="141"/>
      <c r="M3268" s="132"/>
      <c r="N3268" s="133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spans="1:24" ht="14.25" customHeight="1">
      <c r="A3269" s="4"/>
      <c r="B3269" s="125">
        <v>46191</v>
      </c>
      <c r="C3269" s="126" t="s">
        <v>1454</v>
      </c>
      <c r="D3269" s="15" t="s">
        <v>48</v>
      </c>
      <c r="E3269" s="10" t="str">
        <f>TRIM(VLOOKUP(D3269,TB!$B$9:$C$1500,2,FALSE))</f>
        <v>Mandiri Card TBB</v>
      </c>
      <c r="F3269" s="142" t="str">
        <f t="shared" si="205"/>
        <v>Mandiri NPG 15-06-2026</v>
      </c>
      <c r="G3269" s="130"/>
      <c r="H3269" s="10"/>
      <c r="I3269" s="10">
        <v>1029515</v>
      </c>
      <c r="J3269" s="79" t="e">
        <f t="shared" si="187"/>
        <v>#VALUE!</v>
      </c>
      <c r="K3269" s="106"/>
      <c r="L3269" s="141"/>
      <c r="M3269" s="132"/>
      <c r="N3269" s="133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4" ht="14.25" customHeight="1">
      <c r="A3270" s="4"/>
      <c r="B3270" s="125"/>
      <c r="C3270" s="126"/>
      <c r="D3270" s="159"/>
      <c r="E3270" s="10" t="e">
        <f>TRIM(VLOOKUP(D3270,TB!$B$9:$C$1500,2,FALSE))</f>
        <v>#N/A</v>
      </c>
      <c r="F3270" s="142"/>
      <c r="G3270" s="130"/>
      <c r="H3270" s="10"/>
      <c r="I3270" s="10"/>
      <c r="J3270" s="79" t="e">
        <f t="shared" si="187"/>
        <v>#VALUE!</v>
      </c>
      <c r="K3270" s="106"/>
      <c r="L3270" s="141"/>
      <c r="M3270" s="132"/>
      <c r="N3270" s="133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4" ht="14.25" customHeight="1">
      <c r="A3271" s="4"/>
      <c r="B3271" s="125">
        <v>46191</v>
      </c>
      <c r="C3271" s="126" t="s">
        <v>1456</v>
      </c>
      <c r="D3271" s="68" t="s">
        <v>158</v>
      </c>
      <c r="E3271" s="10" t="str">
        <f>TRIM(VLOOKUP(D3271,TB!$B$9:$C$1500,2,FALSE))</f>
        <v>Mandiri TBB IDR</v>
      </c>
      <c r="F3271" s="142" t="s">
        <v>1457</v>
      </c>
      <c r="G3271" s="130"/>
      <c r="H3271" s="10">
        <f>I3273-H3272</f>
        <v>4304434.97</v>
      </c>
      <c r="I3271" s="10"/>
      <c r="J3271" s="79" t="e">
        <f t="shared" si="187"/>
        <v>#VALUE!</v>
      </c>
      <c r="K3271" s="106"/>
      <c r="L3271" s="141"/>
      <c r="M3271" s="132"/>
      <c r="N3271" s="133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spans="1:24" ht="14.25" customHeight="1">
      <c r="A3272" s="4"/>
      <c r="B3272" s="125">
        <v>46191</v>
      </c>
      <c r="C3272" s="126" t="s">
        <v>1456</v>
      </c>
      <c r="D3272" s="15" t="s">
        <v>124</v>
      </c>
      <c r="E3272" s="10" t="str">
        <f>TRIM(VLOOKUP(D3272,TB!$B$9:$C$1500,2,FALSE))</f>
        <v>Bank charges</v>
      </c>
      <c r="F3272" s="142" t="str">
        <f t="shared" ref="F3272:F3273" si="206">F3271</f>
        <v>Mandiri QR 15-06-2026</v>
      </c>
      <c r="G3272" s="130"/>
      <c r="H3272" s="10">
        <f>1.8%*I3273</f>
        <v>78900.030000000013</v>
      </c>
      <c r="I3272" s="10"/>
      <c r="J3272" s="79" t="e">
        <f t="shared" si="187"/>
        <v>#VALUE!</v>
      </c>
      <c r="K3272" s="106"/>
      <c r="L3272" s="141"/>
      <c r="M3272" s="132"/>
      <c r="N3272" s="133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spans="1:24" ht="14.25" customHeight="1">
      <c r="A3273" s="4"/>
      <c r="B3273" s="125">
        <v>46191</v>
      </c>
      <c r="C3273" s="126" t="s">
        <v>1456</v>
      </c>
      <c r="D3273" s="15" t="s">
        <v>48</v>
      </c>
      <c r="E3273" s="10" t="str">
        <f>TRIM(VLOOKUP(D3273,TB!$B$9:$C$1500,2,FALSE))</f>
        <v>Mandiri Card TBB</v>
      </c>
      <c r="F3273" s="142" t="str">
        <f t="shared" si="206"/>
        <v>Mandiri QR 15-06-2026</v>
      </c>
      <c r="G3273" s="130"/>
      <c r="H3273" s="10"/>
      <c r="I3273" s="10">
        <v>4383335</v>
      </c>
      <c r="J3273" s="79" t="e">
        <f t="shared" si="187"/>
        <v>#VALUE!</v>
      </c>
      <c r="K3273" s="106"/>
      <c r="L3273" s="141"/>
      <c r="M3273" s="132"/>
      <c r="N3273" s="133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spans="1:24" ht="14.25" customHeight="1">
      <c r="A3274" s="4"/>
      <c r="B3274" s="125"/>
      <c r="C3274" s="126"/>
      <c r="D3274" s="159"/>
      <c r="E3274" s="10" t="e">
        <f>TRIM(VLOOKUP(D3274,TB!$B$9:$C$1500,2,FALSE))</f>
        <v>#N/A</v>
      </c>
      <c r="F3274" s="142"/>
      <c r="G3274" s="130"/>
      <c r="H3274" s="10"/>
      <c r="I3274" s="10"/>
      <c r="J3274" s="79" t="e">
        <f t="shared" si="187"/>
        <v>#VALUE!</v>
      </c>
      <c r="K3274" s="106"/>
      <c r="L3274" s="141"/>
      <c r="M3274" s="132"/>
      <c r="N3274" s="133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spans="1:24" ht="14.25" customHeight="1">
      <c r="A3275" s="4"/>
      <c r="B3275" s="125">
        <v>46191</v>
      </c>
      <c r="C3275" s="126" t="s">
        <v>1458</v>
      </c>
      <c r="D3275" s="68" t="s">
        <v>158</v>
      </c>
      <c r="E3275" s="10" t="str">
        <f>TRIM(VLOOKUP(D3275,TB!$B$9:$C$1500,2,FALSE))</f>
        <v>Mandiri TBB IDR</v>
      </c>
      <c r="F3275" s="142" t="s">
        <v>1459</v>
      </c>
      <c r="G3275" s="130"/>
      <c r="H3275" s="10">
        <f>I3277-H3276</f>
        <v>40453.49</v>
      </c>
      <c r="I3275" s="10"/>
      <c r="J3275" s="79" t="e">
        <f t="shared" si="187"/>
        <v>#VALUE!</v>
      </c>
      <c r="K3275" s="106"/>
      <c r="L3275" s="141"/>
      <c r="M3275" s="132"/>
      <c r="N3275" s="133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spans="1:24" ht="14.25" customHeight="1">
      <c r="A3276" s="4"/>
      <c r="B3276" s="125">
        <v>46191</v>
      </c>
      <c r="C3276" s="126" t="s">
        <v>1458</v>
      </c>
      <c r="D3276" s="15" t="s">
        <v>124</v>
      </c>
      <c r="E3276" s="10" t="str">
        <f>TRIM(VLOOKUP(D3276,TB!$B$9:$C$1500,2,FALSE))</f>
        <v>Bank charges</v>
      </c>
      <c r="F3276" s="142" t="str">
        <f t="shared" ref="F3276:F3277" si="207">F3275</f>
        <v>Mandiri Debet 16-06-2026</v>
      </c>
      <c r="G3276" s="130"/>
      <c r="H3276" s="10">
        <f>1.8%*I3277</f>
        <v>741.5100000000001</v>
      </c>
      <c r="I3276" s="10"/>
      <c r="J3276" s="79" t="e">
        <f t="shared" si="187"/>
        <v>#VALUE!</v>
      </c>
      <c r="K3276" s="106"/>
      <c r="L3276" s="141"/>
      <c r="M3276" s="132"/>
      <c r="N3276" s="133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4" ht="14.25" customHeight="1">
      <c r="A3277" s="4"/>
      <c r="B3277" s="125">
        <v>46191</v>
      </c>
      <c r="C3277" s="126" t="s">
        <v>1458</v>
      </c>
      <c r="D3277" s="15" t="s">
        <v>48</v>
      </c>
      <c r="E3277" s="10" t="str">
        <f>TRIM(VLOOKUP(D3277,TB!$B$9:$C$1500,2,FALSE))</f>
        <v>Mandiri Card TBB</v>
      </c>
      <c r="F3277" s="142" t="str">
        <f t="shared" si="207"/>
        <v>Mandiri Debet 16-06-2026</v>
      </c>
      <c r="G3277" s="130"/>
      <c r="H3277" s="10"/>
      <c r="I3277" s="10">
        <v>41195</v>
      </c>
      <c r="J3277" s="79" t="e">
        <f t="shared" si="187"/>
        <v>#VALUE!</v>
      </c>
      <c r="K3277" s="106"/>
      <c r="L3277" s="141"/>
      <c r="M3277" s="132"/>
      <c r="N3277" s="133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spans="1:24" ht="14.25" customHeight="1">
      <c r="A3278" s="4"/>
      <c r="B3278" s="125"/>
      <c r="C3278" s="126"/>
      <c r="D3278" s="159"/>
      <c r="E3278" s="10" t="e">
        <f>TRIM(VLOOKUP(D3278,TB!$B$9:$C$1500,2,FALSE))</f>
        <v>#N/A</v>
      </c>
      <c r="F3278" s="142"/>
      <c r="G3278" s="130"/>
      <c r="H3278" s="10"/>
      <c r="I3278" s="10"/>
      <c r="J3278" s="79" t="e">
        <f t="shared" si="187"/>
        <v>#VALUE!</v>
      </c>
      <c r="K3278" s="106"/>
      <c r="L3278" s="141"/>
      <c r="M3278" s="132"/>
      <c r="N3278" s="133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spans="1:24" ht="14.25" customHeight="1">
      <c r="A3279" s="4"/>
      <c r="B3279" s="125">
        <v>46191</v>
      </c>
      <c r="C3279" s="126" t="s">
        <v>1460</v>
      </c>
      <c r="D3279" s="68" t="s">
        <v>158</v>
      </c>
      <c r="E3279" s="10" t="str">
        <f>TRIM(VLOOKUP(D3279,TB!$B$9:$C$1500,2,FALSE))</f>
        <v>Mandiri TBB IDR</v>
      </c>
      <c r="F3279" s="142" t="s">
        <v>1461</v>
      </c>
      <c r="G3279" s="130"/>
      <c r="H3279" s="10">
        <f>I3281-H3280</f>
        <v>30508286.964000002</v>
      </c>
      <c r="I3279" s="10"/>
      <c r="J3279" s="79" t="e">
        <f t="shared" si="187"/>
        <v>#VALUE!</v>
      </c>
      <c r="K3279" s="106"/>
      <c r="L3279" s="141"/>
      <c r="M3279" s="132"/>
      <c r="N3279" s="133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4" ht="14.25" customHeight="1">
      <c r="A3280" s="4"/>
      <c r="B3280" s="125">
        <v>46191</v>
      </c>
      <c r="C3280" s="126" t="s">
        <v>1460</v>
      </c>
      <c r="D3280" s="15" t="s">
        <v>124</v>
      </c>
      <c r="E3280" s="10" t="str">
        <f>TRIM(VLOOKUP(D3280,TB!$B$9:$C$1500,2,FALSE))</f>
        <v>Bank charges</v>
      </c>
      <c r="F3280" s="142" t="str">
        <f t="shared" ref="F3280:F3281" si="208">F3279</f>
        <v>Mandiri CC 16-06-2026</v>
      </c>
      <c r="G3280" s="130"/>
      <c r="H3280" s="10">
        <f>1.8%*I3281</f>
        <v>559215.03600000008</v>
      </c>
      <c r="I3280" s="10"/>
      <c r="J3280" s="79" t="e">
        <f t="shared" si="187"/>
        <v>#VALUE!</v>
      </c>
      <c r="K3280" s="106"/>
      <c r="L3280" s="141"/>
      <c r="M3280" s="132"/>
      <c r="N3280" s="133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spans="1:24" ht="14.25" customHeight="1">
      <c r="A3281" s="4"/>
      <c r="B3281" s="125">
        <v>46191</v>
      </c>
      <c r="C3281" s="126" t="s">
        <v>1460</v>
      </c>
      <c r="D3281" s="15" t="s">
        <v>48</v>
      </c>
      <c r="E3281" s="10" t="str">
        <f>TRIM(VLOOKUP(D3281,TB!$B$9:$C$1500,2,FALSE))</f>
        <v>Mandiri Card TBB</v>
      </c>
      <c r="F3281" s="142" t="str">
        <f t="shared" si="208"/>
        <v>Mandiri CC 16-06-2026</v>
      </c>
      <c r="G3281" s="130"/>
      <c r="H3281" s="10"/>
      <c r="I3281" s="10">
        <v>31067502</v>
      </c>
      <c r="J3281" s="79" t="e">
        <f t="shared" si="187"/>
        <v>#VALUE!</v>
      </c>
      <c r="K3281" s="106"/>
      <c r="L3281" s="141"/>
      <c r="M3281" s="132"/>
      <c r="N3281" s="133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spans="1:24" ht="14.25" customHeight="1">
      <c r="A3282" s="4"/>
      <c r="B3282" s="125"/>
      <c r="C3282" s="126"/>
      <c r="D3282" s="159"/>
      <c r="E3282" s="10" t="e">
        <f>TRIM(VLOOKUP(D3282,TB!$B$9:$C$1500,2,FALSE))</f>
        <v>#N/A</v>
      </c>
      <c r="F3282" s="142"/>
      <c r="G3282" s="130"/>
      <c r="H3282" s="10"/>
      <c r="I3282" s="10"/>
      <c r="J3282" s="79" t="e">
        <f t="shared" si="187"/>
        <v>#VALUE!</v>
      </c>
      <c r="K3282" s="106"/>
      <c r="L3282" s="141"/>
      <c r="M3282" s="132"/>
      <c r="N3282" s="133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spans="1:24" ht="14.25" customHeight="1">
      <c r="A3283" s="4"/>
      <c r="B3283" s="125">
        <v>46191</v>
      </c>
      <c r="C3283" s="126" t="s">
        <v>1462</v>
      </c>
      <c r="D3283" s="68" t="s">
        <v>158</v>
      </c>
      <c r="E3283" s="10" t="str">
        <f>TRIM(VLOOKUP(D3283,TB!$B$9:$C$1500,2,FALSE))</f>
        <v>Mandiri TBB IDR</v>
      </c>
      <c r="F3283" s="142" t="s">
        <v>1463</v>
      </c>
      <c r="G3283" s="130"/>
      <c r="H3283" s="10">
        <f>I3285-H3284</f>
        <v>4415253.67</v>
      </c>
      <c r="I3283" s="10"/>
      <c r="J3283" s="79" t="e">
        <f t="shared" si="187"/>
        <v>#VALUE!</v>
      </c>
      <c r="K3283" s="106"/>
      <c r="L3283" s="141"/>
      <c r="M3283" s="132"/>
      <c r="N3283" s="133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spans="1:24" ht="14.25" customHeight="1">
      <c r="A3284" s="4"/>
      <c r="B3284" s="125">
        <v>46191</v>
      </c>
      <c r="C3284" s="126" t="s">
        <v>1462</v>
      </c>
      <c r="D3284" s="15" t="s">
        <v>124</v>
      </c>
      <c r="E3284" s="10" t="str">
        <f>TRIM(VLOOKUP(D3284,TB!$B$9:$C$1500,2,FALSE))</f>
        <v>Bank charges</v>
      </c>
      <c r="F3284" s="142" t="str">
        <f t="shared" ref="F3284:F3285" si="209">F3283</f>
        <v>Mandiri NPG 16-06-2026</v>
      </c>
      <c r="G3284" s="130"/>
      <c r="H3284" s="10">
        <f>1.8%*I3285</f>
        <v>80931.330000000016</v>
      </c>
      <c r="I3284" s="10"/>
      <c r="J3284" s="79" t="e">
        <f t="shared" si="187"/>
        <v>#VALUE!</v>
      </c>
      <c r="K3284" s="106"/>
      <c r="L3284" s="141"/>
      <c r="M3284" s="132"/>
      <c r="N3284" s="133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spans="1:24" ht="14.25" customHeight="1">
      <c r="A3285" s="4"/>
      <c r="B3285" s="125">
        <v>46191</v>
      </c>
      <c r="C3285" s="126" t="s">
        <v>1462</v>
      </c>
      <c r="D3285" s="15" t="s">
        <v>48</v>
      </c>
      <c r="E3285" s="10" t="str">
        <f>TRIM(VLOOKUP(D3285,TB!$B$9:$C$1500,2,FALSE))</f>
        <v>Mandiri Card TBB</v>
      </c>
      <c r="F3285" s="142" t="str">
        <f t="shared" si="209"/>
        <v>Mandiri NPG 16-06-2026</v>
      </c>
      <c r="G3285" s="130"/>
      <c r="H3285" s="10"/>
      <c r="I3285" s="10">
        <v>4496185</v>
      </c>
      <c r="J3285" s="79" t="e">
        <f t="shared" si="187"/>
        <v>#VALUE!</v>
      </c>
      <c r="K3285" s="106"/>
      <c r="L3285" s="141"/>
      <c r="M3285" s="132"/>
      <c r="N3285" s="133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spans="1:24" ht="14.25" customHeight="1">
      <c r="A3286" s="4"/>
      <c r="B3286" s="125"/>
      <c r="C3286" s="126"/>
      <c r="D3286" s="159"/>
      <c r="E3286" s="10" t="e">
        <f>TRIM(VLOOKUP(D3286,TB!$B$9:$C$1500,2,FALSE))</f>
        <v>#N/A</v>
      </c>
      <c r="F3286" s="142"/>
      <c r="G3286" s="130"/>
      <c r="H3286" s="10"/>
      <c r="I3286" s="10"/>
      <c r="J3286" s="79" t="e">
        <f t="shared" si="187"/>
        <v>#VALUE!</v>
      </c>
      <c r="K3286" s="106"/>
      <c r="L3286" s="141"/>
      <c r="M3286" s="132"/>
      <c r="N3286" s="133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spans="1:24" ht="14.25" customHeight="1">
      <c r="A3287" s="4"/>
      <c r="B3287" s="125">
        <v>46191</v>
      </c>
      <c r="C3287" s="126" t="s">
        <v>1464</v>
      </c>
      <c r="D3287" s="68" t="s">
        <v>158</v>
      </c>
      <c r="E3287" s="10" t="str">
        <f>TRIM(VLOOKUP(D3287,TB!$B$9:$C$1500,2,FALSE))</f>
        <v>Mandiri TBB IDR</v>
      </c>
      <c r="F3287" s="142" t="s">
        <v>1465</v>
      </c>
      <c r="G3287" s="130"/>
      <c r="H3287" s="10">
        <f>I3289-H3288</f>
        <v>1635388.43</v>
      </c>
      <c r="I3287" s="10"/>
      <c r="J3287" s="79" t="e">
        <f t="shared" si="187"/>
        <v>#VALUE!</v>
      </c>
      <c r="K3287" s="106"/>
      <c r="L3287" s="141"/>
      <c r="M3287" s="132"/>
      <c r="N3287" s="133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spans="1:24" ht="14.25" customHeight="1">
      <c r="A3288" s="4"/>
      <c r="B3288" s="125">
        <v>46191</v>
      </c>
      <c r="C3288" s="126" t="s">
        <v>1464</v>
      </c>
      <c r="D3288" s="15" t="s">
        <v>124</v>
      </c>
      <c r="E3288" s="10" t="str">
        <f>TRIM(VLOOKUP(D3288,TB!$B$9:$C$1500,2,FALSE))</f>
        <v>Bank charges</v>
      </c>
      <c r="F3288" s="142" t="str">
        <f t="shared" ref="F3288:F3289" si="210">F3287</f>
        <v>Mandiri QR 16-06-2026</v>
      </c>
      <c r="G3288" s="130"/>
      <c r="H3288" s="10">
        <f>1.8%*I3289</f>
        <v>29976.570000000003</v>
      </c>
      <c r="I3288" s="10"/>
      <c r="J3288" s="79" t="e">
        <f t="shared" si="187"/>
        <v>#VALUE!</v>
      </c>
      <c r="K3288" s="106"/>
      <c r="L3288" s="141"/>
      <c r="M3288" s="132"/>
      <c r="N3288" s="133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spans="1:24" ht="14.25" customHeight="1">
      <c r="A3289" s="4"/>
      <c r="B3289" s="125">
        <v>46191</v>
      </c>
      <c r="C3289" s="126" t="s">
        <v>1464</v>
      </c>
      <c r="D3289" s="15" t="s">
        <v>48</v>
      </c>
      <c r="E3289" s="10" t="str">
        <f>TRIM(VLOOKUP(D3289,TB!$B$9:$C$1500,2,FALSE))</f>
        <v>Mandiri Card TBB</v>
      </c>
      <c r="F3289" s="142" t="str">
        <f t="shared" si="210"/>
        <v>Mandiri QR 16-06-2026</v>
      </c>
      <c r="G3289" s="130"/>
      <c r="H3289" s="10"/>
      <c r="I3289" s="10">
        <v>1665365</v>
      </c>
      <c r="J3289" s="79" t="e">
        <f t="shared" si="187"/>
        <v>#VALUE!</v>
      </c>
      <c r="K3289" s="106"/>
      <c r="L3289" s="141"/>
      <c r="M3289" s="132"/>
      <c r="N3289" s="133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spans="1:24" ht="14.25" customHeight="1">
      <c r="A3290" s="4"/>
      <c r="B3290" s="125"/>
      <c r="C3290" s="126"/>
      <c r="D3290" s="159"/>
      <c r="E3290" s="10" t="e">
        <f>TRIM(VLOOKUP(D3290,TB!$B$9:$C$1500,2,FALSE))</f>
        <v>#N/A</v>
      </c>
      <c r="F3290" s="142"/>
      <c r="G3290" s="130"/>
      <c r="H3290" s="10"/>
      <c r="I3290" s="10"/>
      <c r="J3290" s="79" t="e">
        <f t="shared" si="187"/>
        <v>#VALUE!</v>
      </c>
      <c r="K3290" s="106"/>
      <c r="L3290" s="141"/>
      <c r="M3290" s="132"/>
      <c r="N3290" s="133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spans="1:24" ht="14.25" customHeight="1">
      <c r="A3291" s="4"/>
      <c r="B3291" s="125">
        <v>46191</v>
      </c>
      <c r="C3291" s="126" t="s">
        <v>1466</v>
      </c>
      <c r="D3291" s="68" t="s">
        <v>158</v>
      </c>
      <c r="E3291" s="10" t="str">
        <f>TRIM(VLOOKUP(D3291,TB!$B$9:$C$1500,2,FALSE))</f>
        <v>Mandiri TBB IDR</v>
      </c>
      <c r="F3291" s="142" t="s">
        <v>1467</v>
      </c>
      <c r="G3291" s="130"/>
      <c r="H3291" s="10">
        <f>I3293-H3292</f>
        <v>196400</v>
      </c>
      <c r="I3291" s="10"/>
      <c r="J3291" s="79" t="e">
        <f t="shared" si="187"/>
        <v>#VALUE!</v>
      </c>
      <c r="K3291" s="106"/>
      <c r="L3291" s="141"/>
      <c r="M3291" s="132"/>
      <c r="N3291" s="133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spans="1:24" ht="14.25" customHeight="1">
      <c r="A3292" s="4"/>
      <c r="B3292" s="125">
        <v>46191</v>
      </c>
      <c r="C3292" s="126" t="s">
        <v>1466</v>
      </c>
      <c r="D3292" s="15" t="s">
        <v>124</v>
      </c>
      <c r="E3292" s="10" t="str">
        <f>TRIM(VLOOKUP(D3292,TB!$B$9:$C$1500,2,FALSE))</f>
        <v>Bank charges</v>
      </c>
      <c r="F3292" s="142" t="str">
        <f t="shared" ref="F3292:F3293" si="211">F3291</f>
        <v>Mandiri Debet 17-06-2026</v>
      </c>
      <c r="G3292" s="130"/>
      <c r="H3292" s="10">
        <f>1.8%*I3293</f>
        <v>3600.0000000000005</v>
      </c>
      <c r="I3292" s="10"/>
      <c r="J3292" s="79" t="e">
        <f t="shared" si="187"/>
        <v>#VALUE!</v>
      </c>
      <c r="K3292" s="106"/>
      <c r="L3292" s="141"/>
      <c r="M3292" s="132"/>
      <c r="N3292" s="133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spans="1:24" ht="14.25" customHeight="1">
      <c r="A3293" s="4"/>
      <c r="B3293" s="125">
        <v>46191</v>
      </c>
      <c r="C3293" s="126" t="s">
        <v>1466</v>
      </c>
      <c r="D3293" s="15" t="s">
        <v>48</v>
      </c>
      <c r="E3293" s="10" t="str">
        <f>TRIM(VLOOKUP(D3293,TB!$B$9:$C$1500,2,FALSE))</f>
        <v>Mandiri Card TBB</v>
      </c>
      <c r="F3293" s="142" t="str">
        <f t="shared" si="211"/>
        <v>Mandiri Debet 17-06-2026</v>
      </c>
      <c r="G3293" s="130"/>
      <c r="H3293" s="10"/>
      <c r="I3293" s="10">
        <v>200000</v>
      </c>
      <c r="J3293" s="79" t="e">
        <f t="shared" si="187"/>
        <v>#VALUE!</v>
      </c>
      <c r="K3293" s="106"/>
      <c r="L3293" s="141"/>
      <c r="M3293" s="132"/>
      <c r="N3293" s="133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spans="1:24" ht="14.25" customHeight="1">
      <c r="A3294" s="4"/>
      <c r="B3294" s="125"/>
      <c r="C3294" s="126"/>
      <c r="D3294" s="159"/>
      <c r="E3294" s="10" t="e">
        <f>TRIM(VLOOKUP(D3294,TB!$B$9:$C$1500,2,FALSE))</f>
        <v>#N/A</v>
      </c>
      <c r="F3294" s="142"/>
      <c r="G3294" s="130"/>
      <c r="H3294" s="10"/>
      <c r="I3294" s="10"/>
      <c r="J3294" s="79" t="e">
        <f t="shared" si="187"/>
        <v>#VALUE!</v>
      </c>
      <c r="K3294" s="106"/>
      <c r="L3294" s="141"/>
      <c r="M3294" s="132"/>
      <c r="N3294" s="133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spans="1:24" ht="14.25" customHeight="1">
      <c r="A3295" s="4"/>
      <c r="B3295" s="125">
        <v>46191</v>
      </c>
      <c r="C3295" s="126" t="s">
        <v>1468</v>
      </c>
      <c r="D3295" s="68" t="s">
        <v>158</v>
      </c>
      <c r="E3295" s="10" t="str">
        <f>TRIM(VLOOKUP(D3295,TB!$B$9:$C$1500,2,FALSE))</f>
        <v>Mandiri TBB IDR</v>
      </c>
      <c r="F3295" s="142" t="s">
        <v>1469</v>
      </c>
      <c r="G3295" s="130"/>
      <c r="H3295" s="10">
        <f>I3297-H3296</f>
        <v>42732422.310000002</v>
      </c>
      <c r="I3295" s="10"/>
      <c r="J3295" s="79" t="e">
        <f t="shared" si="187"/>
        <v>#VALUE!</v>
      </c>
      <c r="K3295" s="106"/>
      <c r="L3295" s="141"/>
      <c r="M3295" s="132"/>
      <c r="N3295" s="133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spans="1:24" ht="14.25" customHeight="1">
      <c r="A3296" s="4"/>
      <c r="B3296" s="125">
        <v>46191</v>
      </c>
      <c r="C3296" s="126" t="s">
        <v>1468</v>
      </c>
      <c r="D3296" s="15" t="s">
        <v>124</v>
      </c>
      <c r="E3296" s="10" t="str">
        <f>TRIM(VLOOKUP(D3296,TB!$B$9:$C$1500,2,FALSE))</f>
        <v>Bank charges</v>
      </c>
      <c r="F3296" s="142" t="str">
        <f t="shared" ref="F3296:F3297" si="212">F3295</f>
        <v>Mandiri CC 17-06-2026</v>
      </c>
      <c r="G3296" s="130"/>
      <c r="H3296" s="10">
        <f>1.8%*I3297</f>
        <v>783282.69000000006</v>
      </c>
      <c r="I3296" s="10"/>
      <c r="J3296" s="79" t="e">
        <f t="shared" si="187"/>
        <v>#VALUE!</v>
      </c>
      <c r="K3296" s="106"/>
      <c r="L3296" s="141"/>
      <c r="M3296" s="132"/>
      <c r="N3296" s="133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spans="1:24" ht="14.25" customHeight="1">
      <c r="A3297" s="4"/>
      <c r="B3297" s="125">
        <v>46191</v>
      </c>
      <c r="C3297" s="126" t="s">
        <v>1468</v>
      </c>
      <c r="D3297" s="15" t="s">
        <v>48</v>
      </c>
      <c r="E3297" s="10" t="str">
        <f>TRIM(VLOOKUP(D3297,TB!$B$9:$C$1500,2,FALSE))</f>
        <v>Mandiri Card TBB</v>
      </c>
      <c r="F3297" s="142" t="str">
        <f t="shared" si="212"/>
        <v>Mandiri CC 17-06-2026</v>
      </c>
      <c r="G3297" s="130"/>
      <c r="H3297" s="10"/>
      <c r="I3297" s="10">
        <v>43515705</v>
      </c>
      <c r="J3297" s="79" t="e">
        <f t="shared" si="187"/>
        <v>#VALUE!</v>
      </c>
      <c r="K3297" s="106"/>
      <c r="L3297" s="141"/>
      <c r="M3297" s="132"/>
      <c r="N3297" s="133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spans="1:24" ht="14.25" customHeight="1">
      <c r="A3298" s="4"/>
      <c r="B3298" s="125"/>
      <c r="C3298" s="126"/>
      <c r="D3298" s="159"/>
      <c r="E3298" s="10" t="e">
        <f>TRIM(VLOOKUP(D3298,TB!$B$9:$C$1500,2,FALSE))</f>
        <v>#N/A</v>
      </c>
      <c r="F3298" s="142"/>
      <c r="G3298" s="130"/>
      <c r="H3298" s="10"/>
      <c r="I3298" s="10"/>
      <c r="J3298" s="79" t="e">
        <f t="shared" si="187"/>
        <v>#VALUE!</v>
      </c>
      <c r="K3298" s="106"/>
      <c r="L3298" s="141"/>
      <c r="M3298" s="132"/>
      <c r="N3298" s="133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spans="1:24" ht="14.25" customHeight="1">
      <c r="A3299" s="4"/>
      <c r="B3299" s="125">
        <v>46191</v>
      </c>
      <c r="C3299" s="126" t="s">
        <v>1470</v>
      </c>
      <c r="D3299" s="68" t="s">
        <v>158</v>
      </c>
      <c r="E3299" s="10" t="str">
        <f>TRIM(VLOOKUP(D3299,TB!$B$9:$C$1500,2,FALSE))</f>
        <v>Mandiri TBB IDR</v>
      </c>
      <c r="F3299" s="142" t="s">
        <v>1471</v>
      </c>
      <c r="G3299" s="130"/>
      <c r="H3299" s="10">
        <f>I3301-H3300</f>
        <v>4155504.85</v>
      </c>
      <c r="I3299" s="10"/>
      <c r="J3299" s="79" t="e">
        <f t="shared" si="187"/>
        <v>#VALUE!</v>
      </c>
      <c r="K3299" s="106"/>
      <c r="L3299" s="141"/>
      <c r="M3299" s="132"/>
      <c r="N3299" s="133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spans="1:24" ht="14.25" customHeight="1">
      <c r="A3300" s="4"/>
      <c r="B3300" s="125">
        <v>46191</v>
      </c>
      <c r="C3300" s="126" t="s">
        <v>1470</v>
      </c>
      <c r="D3300" s="15" t="s">
        <v>124</v>
      </c>
      <c r="E3300" s="10" t="str">
        <f>TRIM(VLOOKUP(D3300,TB!$B$9:$C$1500,2,FALSE))</f>
        <v>Bank charges</v>
      </c>
      <c r="F3300" s="142" t="str">
        <f t="shared" ref="F3300:F3301" si="213">F3299</f>
        <v>Mandiri NPG 17-06-2026</v>
      </c>
      <c r="G3300" s="130"/>
      <c r="H3300" s="10">
        <f>1.8%*I3301</f>
        <v>76170.150000000009</v>
      </c>
      <c r="I3300" s="10"/>
      <c r="J3300" s="79" t="e">
        <f t="shared" si="187"/>
        <v>#VALUE!</v>
      </c>
      <c r="K3300" s="106"/>
      <c r="L3300" s="141"/>
      <c r="M3300" s="132"/>
      <c r="N3300" s="133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spans="1:24" ht="14.25" customHeight="1">
      <c r="A3301" s="4"/>
      <c r="B3301" s="125">
        <v>46191</v>
      </c>
      <c r="C3301" s="126" t="s">
        <v>1470</v>
      </c>
      <c r="D3301" s="15" t="s">
        <v>48</v>
      </c>
      <c r="E3301" s="10" t="str">
        <f>TRIM(VLOOKUP(D3301,TB!$B$9:$C$1500,2,FALSE))</f>
        <v>Mandiri Card TBB</v>
      </c>
      <c r="F3301" s="142" t="str">
        <f t="shared" si="213"/>
        <v>Mandiri NPG 17-06-2026</v>
      </c>
      <c r="G3301" s="130"/>
      <c r="H3301" s="10"/>
      <c r="I3301" s="10">
        <v>4231675</v>
      </c>
      <c r="J3301" s="79" t="e">
        <f t="shared" si="187"/>
        <v>#VALUE!</v>
      </c>
      <c r="K3301" s="106"/>
      <c r="L3301" s="141"/>
      <c r="M3301" s="132"/>
      <c r="N3301" s="133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spans="1:24" ht="14.25" customHeight="1">
      <c r="A3302" s="4"/>
      <c r="B3302" s="125"/>
      <c r="C3302" s="126"/>
      <c r="D3302" s="159"/>
      <c r="E3302" s="10" t="e">
        <f>TRIM(VLOOKUP(D3302,TB!$B$9:$C$1500,2,FALSE))</f>
        <v>#N/A</v>
      </c>
      <c r="F3302" s="142"/>
      <c r="G3302" s="130"/>
      <c r="H3302" s="10"/>
      <c r="I3302" s="10"/>
      <c r="J3302" s="79" t="e">
        <f t="shared" si="187"/>
        <v>#VALUE!</v>
      </c>
      <c r="K3302" s="106"/>
      <c r="L3302" s="141"/>
      <c r="M3302" s="132"/>
      <c r="N3302" s="133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spans="1:24" ht="14.25" customHeight="1">
      <c r="A3303" s="4"/>
      <c r="B3303" s="125">
        <v>46191</v>
      </c>
      <c r="C3303" s="126" t="s">
        <v>1472</v>
      </c>
      <c r="D3303" s="68" t="s">
        <v>158</v>
      </c>
      <c r="E3303" s="10" t="str">
        <f>TRIM(VLOOKUP(D3303,TB!$B$9:$C$1500,2,FALSE))</f>
        <v>Mandiri TBB IDR</v>
      </c>
      <c r="F3303" s="142" t="s">
        <v>1473</v>
      </c>
      <c r="G3303" s="130"/>
      <c r="H3303" s="10">
        <f>I3305-H3304</f>
        <v>5395162.9919999996</v>
      </c>
      <c r="I3303" s="10"/>
      <c r="J3303" s="79" t="e">
        <f t="shared" si="187"/>
        <v>#VALUE!</v>
      </c>
      <c r="K3303" s="106"/>
      <c r="L3303" s="141"/>
      <c r="M3303" s="132"/>
      <c r="N3303" s="133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spans="1:24" ht="14.25" customHeight="1">
      <c r="A3304" s="4"/>
      <c r="B3304" s="125">
        <v>46191</v>
      </c>
      <c r="C3304" s="126" t="s">
        <v>1472</v>
      </c>
      <c r="D3304" s="15" t="s">
        <v>124</v>
      </c>
      <c r="E3304" s="10" t="str">
        <f>TRIM(VLOOKUP(D3304,TB!$B$9:$C$1500,2,FALSE))</f>
        <v>Bank charges</v>
      </c>
      <c r="F3304" s="142" t="str">
        <f t="shared" ref="F3304:F3305" si="214">F3303</f>
        <v>Mandiri QR 17-06-2026</v>
      </c>
      <c r="G3304" s="130"/>
      <c r="H3304" s="10">
        <f>1.8%*I3305</f>
        <v>98893.008000000016</v>
      </c>
      <c r="I3304" s="10"/>
      <c r="J3304" s="79" t="e">
        <f t="shared" si="187"/>
        <v>#VALUE!</v>
      </c>
      <c r="K3304" s="106"/>
      <c r="L3304" s="141"/>
      <c r="M3304" s="132"/>
      <c r="N3304" s="133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spans="1:24" ht="14.25" customHeight="1">
      <c r="A3305" s="4"/>
      <c r="B3305" s="125">
        <v>46191</v>
      </c>
      <c r="C3305" s="126" t="s">
        <v>1472</v>
      </c>
      <c r="D3305" s="15" t="s">
        <v>48</v>
      </c>
      <c r="E3305" s="10" t="str">
        <f>TRIM(VLOOKUP(D3305,TB!$B$9:$C$1500,2,FALSE))</f>
        <v>Mandiri Card TBB</v>
      </c>
      <c r="F3305" s="142" t="str">
        <f t="shared" si="214"/>
        <v>Mandiri QR 17-06-2026</v>
      </c>
      <c r="G3305" s="130"/>
      <c r="H3305" s="10"/>
      <c r="I3305" s="10">
        <v>5494056</v>
      </c>
      <c r="J3305" s="79" t="e">
        <f t="shared" si="187"/>
        <v>#VALUE!</v>
      </c>
      <c r="K3305" s="106"/>
      <c r="L3305" s="141"/>
      <c r="M3305" s="132"/>
      <c r="N3305" s="133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spans="1:24" ht="14.25" customHeight="1">
      <c r="A3306" s="4"/>
      <c r="B3306" s="125"/>
      <c r="C3306" s="126"/>
      <c r="D3306" s="159"/>
      <c r="E3306" s="10" t="e">
        <f>TRIM(VLOOKUP(D3306,TB!$B$9:$C$1500,2,FALSE))</f>
        <v>#N/A</v>
      </c>
      <c r="F3306" s="142"/>
      <c r="G3306" s="130"/>
      <c r="H3306" s="10"/>
      <c r="I3306" s="10"/>
      <c r="J3306" s="79" t="e">
        <f t="shared" si="187"/>
        <v>#VALUE!</v>
      </c>
      <c r="K3306" s="106"/>
      <c r="L3306" s="141"/>
      <c r="M3306" s="132"/>
      <c r="N3306" s="133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spans="1:24" ht="14.25" customHeight="1">
      <c r="A3307" s="4"/>
      <c r="B3307" s="125">
        <v>46191</v>
      </c>
      <c r="C3307" s="126" t="s">
        <v>1474</v>
      </c>
      <c r="D3307" s="15" t="s">
        <v>403</v>
      </c>
      <c r="E3307" s="10" t="str">
        <f>TRIM(VLOOKUP(D3307,TB!$B$9:$C$1500,2,FALSE))</f>
        <v>Security/Police/Banjar Costs</v>
      </c>
      <c r="F3307" s="142" t="s">
        <v>1475</v>
      </c>
      <c r="G3307" s="130"/>
      <c r="H3307" s="10">
        <v>2500000</v>
      </c>
      <c r="I3307" s="10"/>
      <c r="J3307" s="79" t="e">
        <f t="shared" si="187"/>
        <v>#VALUE!</v>
      </c>
      <c r="K3307" s="106"/>
      <c r="L3307" s="141"/>
      <c r="M3307" s="132"/>
      <c r="N3307" s="133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spans="1:24" ht="14.25" customHeight="1">
      <c r="A3308" s="4"/>
      <c r="B3308" s="125">
        <v>46191</v>
      </c>
      <c r="C3308" s="126" t="s">
        <v>1474</v>
      </c>
      <c r="D3308" s="68" t="s">
        <v>158</v>
      </c>
      <c r="E3308" s="10" t="str">
        <f>TRIM(VLOOKUP(D3308,TB!$B$9:$C$1500,2,FALSE))</f>
        <v>Mandiri TBB IDR</v>
      </c>
      <c r="F3308" s="142" t="str">
        <f>F3307</f>
        <v>Polda Fee Utk Tenaga Kerja Asing - June 2026 (To Nano)</v>
      </c>
      <c r="G3308" s="130"/>
      <c r="H3308" s="10"/>
      <c r="I3308" s="10">
        <v>2500000</v>
      </c>
      <c r="J3308" s="79" t="e">
        <f t="shared" si="187"/>
        <v>#VALUE!</v>
      </c>
      <c r="K3308" s="106"/>
      <c r="L3308" s="141"/>
      <c r="M3308" s="132"/>
      <c r="N3308" s="133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spans="1:24" ht="14.25" customHeight="1">
      <c r="A3309" s="4"/>
      <c r="B3309" s="125"/>
      <c r="C3309" s="126"/>
      <c r="D3309" s="159"/>
      <c r="E3309" s="10" t="e">
        <f>TRIM(VLOOKUP(D3309,TB!$B$9:$C$1500,2,FALSE))</f>
        <v>#N/A</v>
      </c>
      <c r="F3309" s="142"/>
      <c r="G3309" s="130"/>
      <c r="H3309" s="10"/>
      <c r="I3309" s="10"/>
      <c r="J3309" s="79" t="e">
        <f t="shared" si="187"/>
        <v>#VALUE!</v>
      </c>
      <c r="K3309" s="106"/>
      <c r="L3309" s="141"/>
      <c r="M3309" s="132"/>
      <c r="N3309" s="133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spans="1:24" ht="14.25" customHeight="1">
      <c r="A3310" s="4"/>
      <c r="B3310" s="125">
        <v>46191</v>
      </c>
      <c r="C3310" s="126" t="s">
        <v>1476</v>
      </c>
      <c r="D3310" s="15" t="s">
        <v>403</v>
      </c>
      <c r="E3310" s="10" t="str">
        <f>TRIM(VLOOKUP(D3310,TB!$B$9:$C$1500,2,FALSE))</f>
        <v>Security/Police/Banjar Costs</v>
      </c>
      <c r="F3310" s="142" t="s">
        <v>1477</v>
      </c>
      <c r="G3310" s="130"/>
      <c r="H3310" s="10">
        <v>2000000</v>
      </c>
      <c r="I3310" s="10"/>
      <c r="J3310" s="79" t="e">
        <f t="shared" si="187"/>
        <v>#VALUE!</v>
      </c>
      <c r="K3310" s="106"/>
      <c r="L3310" s="141"/>
      <c r="M3310" s="132"/>
      <c r="N3310" s="133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spans="1:24" ht="14.25" customHeight="1">
      <c r="A3311" s="4"/>
      <c r="B3311" s="125">
        <v>46191</v>
      </c>
      <c r="C3311" s="126" t="s">
        <v>1476</v>
      </c>
      <c r="D3311" s="68" t="s">
        <v>158</v>
      </c>
      <c r="E3311" s="10" t="str">
        <f>TRIM(VLOOKUP(D3311,TB!$B$9:$C$1500,2,FALSE))</f>
        <v>Mandiri TBB IDR</v>
      </c>
      <c r="F3311" s="142" t="str">
        <f>F3310</f>
        <v>Payment Polisi Militer - June 2026 (To Nano)</v>
      </c>
      <c r="G3311" s="130"/>
      <c r="H3311" s="10"/>
      <c r="I3311" s="10">
        <f>SUM(H3310)</f>
        <v>2000000</v>
      </c>
      <c r="J3311" s="79" t="e">
        <f t="shared" si="187"/>
        <v>#VALUE!</v>
      </c>
      <c r="K3311" s="106"/>
      <c r="L3311" s="141"/>
      <c r="M3311" s="132"/>
      <c r="N3311" s="133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spans="1:24" ht="14.25" customHeight="1">
      <c r="A3312" s="4"/>
      <c r="B3312" s="125"/>
      <c r="C3312" s="126"/>
      <c r="D3312" s="159"/>
      <c r="E3312" s="10" t="e">
        <f>TRIM(VLOOKUP(D3312,TB!$B$9:$C$1500,2,FALSE))</f>
        <v>#N/A</v>
      </c>
      <c r="F3312" s="142"/>
      <c r="G3312" s="130"/>
      <c r="H3312" s="10"/>
      <c r="I3312" s="10"/>
      <c r="J3312" s="79" t="e">
        <f t="shared" si="187"/>
        <v>#VALUE!</v>
      </c>
      <c r="K3312" s="106"/>
      <c r="L3312" s="141"/>
      <c r="M3312" s="132"/>
      <c r="N3312" s="133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spans="1:24" ht="14.25" customHeight="1">
      <c r="A3313" s="4"/>
      <c r="B3313" s="125">
        <v>46195</v>
      </c>
      <c r="C3313" s="126" t="s">
        <v>1478</v>
      </c>
      <c r="D3313" s="68" t="s">
        <v>158</v>
      </c>
      <c r="E3313" s="10" t="str">
        <f>TRIM(VLOOKUP(D3313,TB!$B$9:$C$1500,2,FALSE))</f>
        <v>Mandiri TBB IDR</v>
      </c>
      <c r="F3313" s="142" t="s">
        <v>1479</v>
      </c>
      <c r="G3313" s="130"/>
      <c r="H3313" s="10">
        <f>I3315-H3314</f>
        <v>589200</v>
      </c>
      <c r="I3313" s="10"/>
      <c r="J3313" s="79" t="e">
        <f t="shared" si="187"/>
        <v>#VALUE!</v>
      </c>
      <c r="K3313" s="106"/>
      <c r="L3313" s="141"/>
      <c r="M3313" s="132"/>
      <c r="N3313" s="133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  <row r="3314" spans="1:24" ht="14.25" customHeight="1">
      <c r="A3314" s="4"/>
      <c r="B3314" s="125">
        <v>46195</v>
      </c>
      <c r="C3314" s="126" t="s">
        <v>1478</v>
      </c>
      <c r="D3314" s="15" t="s">
        <v>124</v>
      </c>
      <c r="E3314" s="10" t="str">
        <f>TRIM(VLOOKUP(D3314,TB!$B$9:$C$1500,2,FALSE))</f>
        <v>Bank charges</v>
      </c>
      <c r="F3314" s="142" t="str">
        <f t="shared" ref="F3314:F3315" si="215">F3313</f>
        <v>Mandiri Debet 18-06-2026</v>
      </c>
      <c r="G3314" s="130"/>
      <c r="H3314" s="10">
        <f>1.8%*I3315</f>
        <v>10800.000000000002</v>
      </c>
      <c r="I3314" s="10"/>
      <c r="J3314" s="79" t="e">
        <f t="shared" si="187"/>
        <v>#VALUE!</v>
      </c>
      <c r="K3314" s="106"/>
      <c r="L3314" s="141"/>
      <c r="M3314" s="132"/>
      <c r="N3314" s="133"/>
      <c r="O3314" s="4"/>
      <c r="P3314" s="4"/>
      <c r="Q3314" s="4"/>
      <c r="R3314" s="4"/>
      <c r="S3314" s="4"/>
      <c r="T3314" s="4"/>
      <c r="U3314" s="4"/>
      <c r="V3314" s="4"/>
      <c r="W3314" s="4"/>
      <c r="X3314" s="4"/>
    </row>
    <row r="3315" spans="1:24" ht="14.25" customHeight="1">
      <c r="A3315" s="4"/>
      <c r="B3315" s="125">
        <v>46195</v>
      </c>
      <c r="C3315" s="126" t="s">
        <v>1478</v>
      </c>
      <c r="D3315" s="15" t="s">
        <v>48</v>
      </c>
      <c r="E3315" s="10" t="str">
        <f>TRIM(VLOOKUP(D3315,TB!$B$9:$C$1500,2,FALSE))</f>
        <v>Mandiri Card TBB</v>
      </c>
      <c r="F3315" s="142" t="str">
        <f t="shared" si="215"/>
        <v>Mandiri Debet 18-06-2026</v>
      </c>
      <c r="G3315" s="130"/>
      <c r="H3315" s="10"/>
      <c r="I3315" s="10">
        <v>600000</v>
      </c>
      <c r="J3315" s="79" t="e">
        <f t="shared" si="187"/>
        <v>#VALUE!</v>
      </c>
      <c r="K3315" s="106"/>
      <c r="L3315" s="141"/>
      <c r="M3315" s="132"/>
      <c r="N3315" s="133"/>
      <c r="O3315" s="4"/>
      <c r="P3315" s="4"/>
      <c r="Q3315" s="4"/>
      <c r="R3315" s="4"/>
      <c r="S3315" s="4"/>
      <c r="T3315" s="4"/>
      <c r="U3315" s="4"/>
      <c r="V3315" s="4"/>
      <c r="W3315" s="4"/>
      <c r="X3315" s="4"/>
    </row>
    <row r="3316" spans="1:24" ht="14.25" customHeight="1">
      <c r="A3316" s="4"/>
      <c r="B3316" s="125"/>
      <c r="C3316" s="126"/>
      <c r="D3316" s="159"/>
      <c r="E3316" s="10" t="e">
        <f>TRIM(VLOOKUP(D3316,TB!$B$9:$C$1500,2,FALSE))</f>
        <v>#N/A</v>
      </c>
      <c r="F3316" s="142"/>
      <c r="G3316" s="130"/>
      <c r="H3316" s="10"/>
      <c r="I3316" s="10"/>
      <c r="J3316" s="79" t="e">
        <f t="shared" si="187"/>
        <v>#VALUE!</v>
      </c>
      <c r="K3316" s="106"/>
      <c r="L3316" s="141"/>
      <c r="M3316" s="132"/>
      <c r="N3316" s="133"/>
      <c r="O3316" s="4"/>
      <c r="P3316" s="4"/>
      <c r="Q3316" s="4"/>
      <c r="R3316" s="4"/>
      <c r="S3316" s="4"/>
      <c r="T3316" s="4"/>
      <c r="U3316" s="4"/>
      <c r="V3316" s="4"/>
      <c r="W3316" s="4"/>
      <c r="X3316" s="4"/>
    </row>
    <row r="3317" spans="1:24" ht="14.25" customHeight="1">
      <c r="A3317" s="4"/>
      <c r="B3317" s="125">
        <v>46195</v>
      </c>
      <c r="C3317" s="126" t="s">
        <v>1480</v>
      </c>
      <c r="D3317" s="68" t="s">
        <v>158</v>
      </c>
      <c r="E3317" s="10" t="str">
        <f>TRIM(VLOOKUP(D3317,TB!$B$9:$C$1500,2,FALSE))</f>
        <v>Mandiri TBB IDR</v>
      </c>
      <c r="F3317" s="142" t="s">
        <v>1481</v>
      </c>
      <c r="G3317" s="130"/>
      <c r="H3317" s="10">
        <f>I3319-H3318</f>
        <v>32704484.791999999</v>
      </c>
      <c r="I3317" s="10"/>
      <c r="J3317" s="79" t="e">
        <f t="shared" si="187"/>
        <v>#VALUE!</v>
      </c>
      <c r="K3317" s="106"/>
      <c r="L3317" s="141"/>
      <c r="M3317" s="132"/>
      <c r="N3317" s="133"/>
      <c r="O3317" s="4"/>
      <c r="P3317" s="4"/>
      <c r="Q3317" s="4"/>
      <c r="R3317" s="4"/>
      <c r="S3317" s="4"/>
      <c r="T3317" s="4"/>
      <c r="U3317" s="4"/>
      <c r="V3317" s="4"/>
      <c r="W3317" s="4"/>
      <c r="X3317" s="4"/>
    </row>
    <row r="3318" spans="1:24" ht="14.25" customHeight="1">
      <c r="A3318" s="4"/>
      <c r="B3318" s="125">
        <v>46195</v>
      </c>
      <c r="C3318" s="126" t="s">
        <v>1480</v>
      </c>
      <c r="D3318" s="15" t="s">
        <v>124</v>
      </c>
      <c r="E3318" s="10" t="str">
        <f>TRIM(VLOOKUP(D3318,TB!$B$9:$C$1500,2,FALSE))</f>
        <v>Bank charges</v>
      </c>
      <c r="F3318" s="142" t="str">
        <f t="shared" ref="F3318:F3319" si="216">F3317</f>
        <v>Mandiri CC 18-06-2026</v>
      </c>
      <c r="G3318" s="130"/>
      <c r="H3318" s="10">
        <f>1.8%*I3319</f>
        <v>599471.2080000001</v>
      </c>
      <c r="I3318" s="10"/>
      <c r="J3318" s="79" t="e">
        <f t="shared" si="187"/>
        <v>#VALUE!</v>
      </c>
      <c r="K3318" s="106"/>
      <c r="L3318" s="141"/>
      <c r="M3318" s="132"/>
      <c r="N3318" s="133"/>
      <c r="O3318" s="4"/>
      <c r="P3318" s="4"/>
      <c r="Q3318" s="4"/>
      <c r="R3318" s="4"/>
      <c r="S3318" s="4"/>
      <c r="T3318" s="4"/>
      <c r="U3318" s="4"/>
      <c r="V3318" s="4"/>
      <c r="W3318" s="4"/>
      <c r="X3318" s="4"/>
    </row>
    <row r="3319" spans="1:24" ht="14.25" customHeight="1">
      <c r="A3319" s="4"/>
      <c r="B3319" s="125">
        <v>46195</v>
      </c>
      <c r="C3319" s="126" t="s">
        <v>1480</v>
      </c>
      <c r="D3319" s="15" t="s">
        <v>48</v>
      </c>
      <c r="E3319" s="10" t="str">
        <f>TRIM(VLOOKUP(D3319,TB!$B$9:$C$1500,2,FALSE))</f>
        <v>Mandiri Card TBB</v>
      </c>
      <c r="F3319" s="142" t="str">
        <f t="shared" si="216"/>
        <v>Mandiri CC 18-06-2026</v>
      </c>
      <c r="G3319" s="130"/>
      <c r="H3319" s="10"/>
      <c r="I3319" s="10">
        <v>33303956</v>
      </c>
      <c r="J3319" s="79" t="e">
        <f t="shared" si="187"/>
        <v>#VALUE!</v>
      </c>
      <c r="K3319" s="106"/>
      <c r="L3319" s="141"/>
      <c r="M3319" s="132"/>
      <c r="N3319" s="133"/>
      <c r="O3319" s="4"/>
      <c r="P3319" s="4"/>
      <c r="Q3319" s="4"/>
      <c r="R3319" s="4"/>
      <c r="S3319" s="4"/>
      <c r="T3319" s="4"/>
      <c r="U3319" s="4"/>
      <c r="V3319" s="4"/>
      <c r="W3319" s="4"/>
      <c r="X3319" s="4"/>
    </row>
    <row r="3320" spans="1:24" ht="14.25" customHeight="1">
      <c r="A3320" s="4"/>
      <c r="B3320" s="125"/>
      <c r="C3320" s="126"/>
      <c r="D3320" s="159"/>
      <c r="E3320" s="10" t="e">
        <f>TRIM(VLOOKUP(D3320,TB!$B$9:$C$1500,2,FALSE))</f>
        <v>#N/A</v>
      </c>
      <c r="F3320" s="142"/>
      <c r="G3320" s="130"/>
      <c r="H3320" s="10"/>
      <c r="I3320" s="10"/>
      <c r="J3320" s="79" t="e">
        <f t="shared" si="187"/>
        <v>#VALUE!</v>
      </c>
      <c r="K3320" s="106"/>
      <c r="L3320" s="141"/>
      <c r="M3320" s="132"/>
      <c r="N3320" s="133"/>
      <c r="O3320" s="4"/>
      <c r="P3320" s="4"/>
      <c r="Q3320" s="4"/>
      <c r="R3320" s="4"/>
      <c r="S3320" s="4"/>
      <c r="T3320" s="4"/>
      <c r="U3320" s="4"/>
      <c r="V3320" s="4"/>
      <c r="W3320" s="4"/>
      <c r="X3320" s="4"/>
    </row>
    <row r="3321" spans="1:24" ht="14.25" customHeight="1">
      <c r="A3321" s="4"/>
      <c r="B3321" s="125">
        <v>46195</v>
      </c>
      <c r="C3321" s="126" t="s">
        <v>1482</v>
      </c>
      <c r="D3321" s="68" t="s">
        <v>158</v>
      </c>
      <c r="E3321" s="10" t="str">
        <f>TRIM(VLOOKUP(D3321,TB!$B$9:$C$1500,2,FALSE))</f>
        <v>Mandiri TBB IDR</v>
      </c>
      <c r="F3321" s="142" t="s">
        <v>1483</v>
      </c>
      <c r="G3321" s="130"/>
      <c r="H3321" s="10">
        <f>I3323-H3322</f>
        <v>1225162.8400000001</v>
      </c>
      <c r="I3321" s="10"/>
      <c r="J3321" s="79" t="e">
        <f t="shared" si="187"/>
        <v>#VALUE!</v>
      </c>
      <c r="K3321" s="106"/>
      <c r="L3321" s="141"/>
      <c r="M3321" s="132"/>
      <c r="N3321" s="133"/>
      <c r="O3321" s="4"/>
      <c r="P3321" s="4"/>
      <c r="Q3321" s="4"/>
      <c r="R3321" s="4"/>
      <c r="S3321" s="4"/>
      <c r="T3321" s="4"/>
      <c r="U3321" s="4"/>
      <c r="V3321" s="4"/>
      <c r="W3321" s="4"/>
      <c r="X3321" s="4"/>
    </row>
    <row r="3322" spans="1:24" ht="14.25" customHeight="1">
      <c r="A3322" s="4"/>
      <c r="B3322" s="125">
        <v>46195</v>
      </c>
      <c r="C3322" s="126" t="s">
        <v>1482</v>
      </c>
      <c r="D3322" s="15" t="s">
        <v>124</v>
      </c>
      <c r="E3322" s="10" t="str">
        <f>TRIM(VLOOKUP(D3322,TB!$B$9:$C$1500,2,FALSE))</f>
        <v>Bank charges</v>
      </c>
      <c r="F3322" s="142" t="str">
        <f t="shared" ref="F3322:F3323" si="217">F3321</f>
        <v>Mandiri NPG 18-06-2026</v>
      </c>
      <c r="G3322" s="130"/>
      <c r="H3322" s="10">
        <f>1.8%*I3323</f>
        <v>22457.160000000003</v>
      </c>
      <c r="I3322" s="10"/>
      <c r="J3322" s="79" t="e">
        <f t="shared" si="187"/>
        <v>#VALUE!</v>
      </c>
      <c r="K3322" s="106"/>
      <c r="L3322" s="141"/>
      <c r="M3322" s="132"/>
      <c r="N3322" s="133"/>
      <c r="O3322" s="4"/>
      <c r="P3322" s="4"/>
      <c r="Q3322" s="4"/>
      <c r="R3322" s="4"/>
      <c r="S3322" s="4"/>
      <c r="T3322" s="4"/>
      <c r="U3322" s="4"/>
      <c r="V3322" s="4"/>
      <c r="W3322" s="4"/>
      <c r="X3322" s="4"/>
    </row>
    <row r="3323" spans="1:24" ht="14.25" customHeight="1">
      <c r="A3323" s="4"/>
      <c r="B3323" s="125">
        <v>46195</v>
      </c>
      <c r="C3323" s="126" t="s">
        <v>1482</v>
      </c>
      <c r="D3323" s="15" t="s">
        <v>48</v>
      </c>
      <c r="E3323" s="10" t="str">
        <f>TRIM(VLOOKUP(D3323,TB!$B$9:$C$1500,2,FALSE))</f>
        <v>Mandiri Card TBB</v>
      </c>
      <c r="F3323" s="142" t="str">
        <f t="shared" si="217"/>
        <v>Mandiri NPG 18-06-2026</v>
      </c>
      <c r="G3323" s="130"/>
      <c r="H3323" s="10"/>
      <c r="I3323" s="10">
        <v>1247620</v>
      </c>
      <c r="J3323" s="79" t="e">
        <f t="shared" si="187"/>
        <v>#VALUE!</v>
      </c>
      <c r="K3323" s="106"/>
      <c r="L3323" s="141"/>
      <c r="M3323" s="132"/>
      <c r="N3323" s="133"/>
      <c r="O3323" s="4"/>
      <c r="P3323" s="4"/>
      <c r="Q3323" s="4"/>
      <c r="R3323" s="4"/>
      <c r="S3323" s="4"/>
      <c r="T3323" s="4"/>
      <c r="U3323" s="4"/>
      <c r="V3323" s="4"/>
      <c r="W3323" s="4"/>
      <c r="X3323" s="4"/>
    </row>
    <row r="3324" spans="1:24" ht="14.25" customHeight="1">
      <c r="A3324" s="4"/>
      <c r="B3324" s="125"/>
      <c r="C3324" s="126"/>
      <c r="D3324" s="159"/>
      <c r="E3324" s="10" t="e">
        <f>TRIM(VLOOKUP(D3324,TB!$B$9:$C$1500,2,FALSE))</f>
        <v>#N/A</v>
      </c>
      <c r="F3324" s="142"/>
      <c r="G3324" s="130"/>
      <c r="H3324" s="10"/>
      <c r="I3324" s="10"/>
      <c r="J3324" s="79" t="e">
        <f t="shared" si="187"/>
        <v>#VALUE!</v>
      </c>
      <c r="K3324" s="106"/>
      <c r="L3324" s="141"/>
      <c r="M3324" s="132"/>
      <c r="N3324" s="133"/>
      <c r="O3324" s="4"/>
      <c r="P3324" s="4"/>
      <c r="Q3324" s="4"/>
      <c r="R3324" s="4"/>
      <c r="S3324" s="4"/>
      <c r="T3324" s="4"/>
      <c r="U3324" s="4"/>
      <c r="V3324" s="4"/>
      <c r="W3324" s="4"/>
      <c r="X3324" s="4"/>
    </row>
    <row r="3325" spans="1:24" ht="14.25" customHeight="1">
      <c r="A3325" s="4"/>
      <c r="B3325" s="125">
        <v>46195</v>
      </c>
      <c r="C3325" s="126" t="s">
        <v>1484</v>
      </c>
      <c r="D3325" s="68" t="s">
        <v>158</v>
      </c>
      <c r="E3325" s="10" t="str">
        <f>TRIM(VLOOKUP(D3325,TB!$B$9:$C$1500,2,FALSE))</f>
        <v>Mandiri TBB IDR</v>
      </c>
      <c r="F3325" s="142" t="s">
        <v>1485</v>
      </c>
      <c r="G3325" s="130"/>
      <c r="H3325" s="10">
        <f>I3327-H3326</f>
        <v>3408230.3459999999</v>
      </c>
      <c r="I3325" s="10"/>
      <c r="J3325" s="79" t="e">
        <f t="shared" si="187"/>
        <v>#VALUE!</v>
      </c>
      <c r="K3325" s="106"/>
      <c r="L3325" s="141"/>
      <c r="M3325" s="132"/>
      <c r="N3325" s="133"/>
      <c r="O3325" s="4"/>
      <c r="P3325" s="4"/>
      <c r="Q3325" s="4"/>
      <c r="R3325" s="4"/>
      <c r="S3325" s="4"/>
      <c r="T3325" s="4"/>
      <c r="U3325" s="4"/>
      <c r="V3325" s="4"/>
      <c r="W3325" s="4"/>
      <c r="X3325" s="4"/>
    </row>
    <row r="3326" spans="1:24" ht="14.25" customHeight="1">
      <c r="A3326" s="4"/>
      <c r="B3326" s="125">
        <v>46195</v>
      </c>
      <c r="C3326" s="126" t="s">
        <v>1484</v>
      </c>
      <c r="D3326" s="15" t="s">
        <v>124</v>
      </c>
      <c r="E3326" s="10" t="str">
        <f>TRIM(VLOOKUP(D3326,TB!$B$9:$C$1500,2,FALSE))</f>
        <v>Bank charges</v>
      </c>
      <c r="F3326" s="142" t="str">
        <f t="shared" ref="F3326:F3327" si="218">F3325</f>
        <v>Mandiri QR 18-06-2026</v>
      </c>
      <c r="G3326" s="130"/>
      <c r="H3326" s="10">
        <f>1.8%*I3327</f>
        <v>62472.65400000001</v>
      </c>
      <c r="I3326" s="10"/>
      <c r="J3326" s="79" t="e">
        <f t="shared" si="187"/>
        <v>#VALUE!</v>
      </c>
      <c r="K3326" s="106"/>
      <c r="L3326" s="141"/>
      <c r="M3326" s="132"/>
      <c r="N3326" s="133"/>
      <c r="O3326" s="4"/>
      <c r="P3326" s="4"/>
      <c r="Q3326" s="4"/>
      <c r="R3326" s="4"/>
      <c r="S3326" s="4"/>
      <c r="T3326" s="4"/>
      <c r="U3326" s="4"/>
      <c r="V3326" s="4"/>
      <c r="W3326" s="4"/>
      <c r="X3326" s="4"/>
    </row>
    <row r="3327" spans="1:24" ht="14.25" customHeight="1">
      <c r="A3327" s="4"/>
      <c r="B3327" s="125">
        <v>46195</v>
      </c>
      <c r="C3327" s="126" t="s">
        <v>1484</v>
      </c>
      <c r="D3327" s="15" t="s">
        <v>48</v>
      </c>
      <c r="E3327" s="10" t="str">
        <f>TRIM(VLOOKUP(D3327,TB!$B$9:$C$1500,2,FALSE))</f>
        <v>Mandiri Card TBB</v>
      </c>
      <c r="F3327" s="142" t="str">
        <f t="shared" si="218"/>
        <v>Mandiri QR 18-06-2026</v>
      </c>
      <c r="G3327" s="130"/>
      <c r="H3327" s="10"/>
      <c r="I3327" s="10">
        <v>3470703</v>
      </c>
      <c r="J3327" s="79" t="e">
        <f t="shared" si="187"/>
        <v>#VALUE!</v>
      </c>
      <c r="K3327" s="106"/>
      <c r="L3327" s="141"/>
      <c r="M3327" s="132"/>
      <c r="N3327" s="133"/>
      <c r="O3327" s="4"/>
      <c r="P3327" s="4"/>
      <c r="Q3327" s="4"/>
      <c r="R3327" s="4"/>
      <c r="S3327" s="4"/>
      <c r="T3327" s="4"/>
      <c r="U3327" s="4"/>
      <c r="V3327" s="4"/>
      <c r="W3327" s="4"/>
      <c r="X3327" s="4"/>
    </row>
    <row r="3328" spans="1:24" ht="14.25" customHeight="1">
      <c r="A3328" s="4"/>
      <c r="B3328" s="125"/>
      <c r="C3328" s="126"/>
      <c r="D3328" s="159"/>
      <c r="E3328" s="10" t="e">
        <f>TRIM(VLOOKUP(D3328,TB!$B$9:$C$1500,2,FALSE))</f>
        <v>#N/A</v>
      </c>
      <c r="F3328" s="142"/>
      <c r="G3328" s="130"/>
      <c r="H3328" s="10"/>
      <c r="I3328" s="10"/>
      <c r="J3328" s="79" t="e">
        <f t="shared" si="187"/>
        <v>#VALUE!</v>
      </c>
      <c r="K3328" s="106"/>
      <c r="L3328" s="141"/>
      <c r="M3328" s="132"/>
      <c r="N3328" s="133"/>
      <c r="O3328" s="4"/>
      <c r="P3328" s="4"/>
      <c r="Q3328" s="4"/>
      <c r="R3328" s="4"/>
      <c r="S3328" s="4"/>
      <c r="T3328" s="4"/>
      <c r="U3328" s="4"/>
      <c r="V3328" s="4"/>
      <c r="W3328" s="4"/>
      <c r="X3328" s="4"/>
    </row>
    <row r="3329" spans="1:24" ht="14.25" customHeight="1">
      <c r="A3329" s="4"/>
      <c r="B3329" s="125">
        <v>46195</v>
      </c>
      <c r="C3329" s="126" t="s">
        <v>1486</v>
      </c>
      <c r="D3329" s="68" t="s">
        <v>158</v>
      </c>
      <c r="E3329" s="10" t="str">
        <f>TRIM(VLOOKUP(D3329,TB!$B$9:$C$1500,2,FALSE))</f>
        <v>Mandiri TBB IDR</v>
      </c>
      <c r="F3329" s="142" t="s">
        <v>1487</v>
      </c>
      <c r="G3329" s="130"/>
      <c r="H3329" s="10">
        <f>I3331-H3330</f>
        <v>633324.20600000001</v>
      </c>
      <c r="I3329" s="10"/>
      <c r="J3329" s="79" t="e">
        <f t="shared" si="187"/>
        <v>#VALUE!</v>
      </c>
      <c r="K3329" s="106"/>
      <c r="L3329" s="141"/>
      <c r="M3329" s="132"/>
      <c r="N3329" s="133"/>
      <c r="O3329" s="4"/>
      <c r="P3329" s="4"/>
      <c r="Q3329" s="4"/>
      <c r="R3329" s="4"/>
      <c r="S3329" s="4"/>
      <c r="T3329" s="4"/>
      <c r="U3329" s="4"/>
      <c r="V3329" s="4"/>
      <c r="W3329" s="4"/>
      <c r="X3329" s="4"/>
    </row>
    <row r="3330" spans="1:24" ht="14.25" customHeight="1">
      <c r="A3330" s="4"/>
      <c r="B3330" s="125">
        <v>46195</v>
      </c>
      <c r="C3330" s="126" t="s">
        <v>1486</v>
      </c>
      <c r="D3330" s="15" t="s">
        <v>124</v>
      </c>
      <c r="E3330" s="10" t="str">
        <f>TRIM(VLOOKUP(D3330,TB!$B$9:$C$1500,2,FALSE))</f>
        <v>Bank charges</v>
      </c>
      <c r="F3330" s="142" t="str">
        <f t="shared" ref="F3330:F3331" si="219">F3329</f>
        <v>Mandiri Debet 19-06-2026</v>
      </c>
      <c r="G3330" s="130"/>
      <c r="H3330" s="10">
        <f>1.8%*I3331</f>
        <v>11608.794000000002</v>
      </c>
      <c r="I3330" s="10"/>
      <c r="J3330" s="79" t="e">
        <f t="shared" si="187"/>
        <v>#VALUE!</v>
      </c>
      <c r="K3330" s="106"/>
      <c r="L3330" s="141"/>
      <c r="M3330" s="132"/>
      <c r="N3330" s="133"/>
      <c r="O3330" s="4"/>
      <c r="P3330" s="4"/>
      <c r="Q3330" s="4"/>
      <c r="R3330" s="4"/>
      <c r="S3330" s="4"/>
      <c r="T3330" s="4"/>
      <c r="U3330" s="4"/>
      <c r="V3330" s="4"/>
      <c r="W3330" s="4"/>
      <c r="X3330" s="4"/>
    </row>
    <row r="3331" spans="1:24" ht="14.25" customHeight="1">
      <c r="A3331" s="4"/>
      <c r="B3331" s="125">
        <v>46195</v>
      </c>
      <c r="C3331" s="126" t="s">
        <v>1486</v>
      </c>
      <c r="D3331" s="15" t="s">
        <v>48</v>
      </c>
      <c r="E3331" s="10" t="str">
        <f>TRIM(VLOOKUP(D3331,TB!$B$9:$C$1500,2,FALSE))</f>
        <v>Mandiri Card TBB</v>
      </c>
      <c r="F3331" s="142" t="str">
        <f t="shared" si="219"/>
        <v>Mandiri Debet 19-06-2026</v>
      </c>
      <c r="G3331" s="130"/>
      <c r="H3331" s="10"/>
      <c r="I3331" s="10">
        <v>644933</v>
      </c>
      <c r="J3331" s="79" t="e">
        <f t="shared" si="187"/>
        <v>#VALUE!</v>
      </c>
      <c r="K3331" s="106"/>
      <c r="L3331" s="141"/>
      <c r="M3331" s="132"/>
      <c r="N3331" s="133"/>
      <c r="O3331" s="4"/>
      <c r="P3331" s="4"/>
      <c r="Q3331" s="4"/>
      <c r="R3331" s="4"/>
      <c r="S3331" s="4"/>
      <c r="T3331" s="4"/>
      <c r="U3331" s="4"/>
      <c r="V3331" s="4"/>
      <c r="W3331" s="4"/>
      <c r="X3331" s="4"/>
    </row>
    <row r="3332" spans="1:24" ht="14.25" customHeight="1">
      <c r="A3332" s="4"/>
      <c r="B3332" s="125"/>
      <c r="C3332" s="126"/>
      <c r="D3332" s="159"/>
      <c r="E3332" s="10" t="e">
        <f>TRIM(VLOOKUP(D3332,TB!$B$9:$C$1500,2,FALSE))</f>
        <v>#N/A</v>
      </c>
      <c r="F3332" s="142"/>
      <c r="G3332" s="130"/>
      <c r="H3332" s="10"/>
      <c r="I3332" s="10"/>
      <c r="J3332" s="79" t="e">
        <f t="shared" si="187"/>
        <v>#VALUE!</v>
      </c>
      <c r="K3332" s="106"/>
      <c r="L3332" s="141"/>
      <c r="M3332" s="132"/>
      <c r="N3332" s="133"/>
      <c r="O3332" s="4"/>
      <c r="P3332" s="4"/>
      <c r="Q3332" s="4"/>
      <c r="R3332" s="4"/>
      <c r="S3332" s="4"/>
      <c r="T3332" s="4"/>
      <c r="U3332" s="4"/>
      <c r="V3332" s="4"/>
      <c r="W3332" s="4"/>
      <c r="X3332" s="4"/>
    </row>
    <row r="3333" spans="1:24" ht="14.25" customHeight="1">
      <c r="A3333" s="4"/>
      <c r="B3333" s="125">
        <v>46195</v>
      </c>
      <c r="C3333" s="126" t="s">
        <v>1488</v>
      </c>
      <c r="D3333" s="68" t="s">
        <v>158</v>
      </c>
      <c r="E3333" s="10" t="str">
        <f>TRIM(VLOOKUP(D3333,TB!$B$9:$C$1500,2,FALSE))</f>
        <v>Mandiri TBB IDR</v>
      </c>
      <c r="F3333" s="142" t="s">
        <v>1489</v>
      </c>
      <c r="G3333" s="130"/>
      <c r="H3333" s="10">
        <f>I3335-H3334</f>
        <v>38474383.894000001</v>
      </c>
      <c r="I3333" s="10"/>
      <c r="J3333" s="79" t="e">
        <f t="shared" si="187"/>
        <v>#VALUE!</v>
      </c>
      <c r="K3333" s="106"/>
      <c r="L3333" s="141"/>
      <c r="M3333" s="132"/>
      <c r="N3333" s="133"/>
      <c r="O3333" s="4"/>
      <c r="P3333" s="4"/>
      <c r="Q3333" s="4"/>
      <c r="R3333" s="4"/>
      <c r="S3333" s="4"/>
      <c r="T3333" s="4"/>
      <c r="U3333" s="4"/>
      <c r="V3333" s="4"/>
      <c r="W3333" s="4"/>
      <c r="X3333" s="4"/>
    </row>
    <row r="3334" spans="1:24" ht="14.25" customHeight="1">
      <c r="A3334" s="4"/>
      <c r="B3334" s="125">
        <v>46195</v>
      </c>
      <c r="C3334" s="126" t="s">
        <v>1488</v>
      </c>
      <c r="D3334" s="15" t="s">
        <v>124</v>
      </c>
      <c r="E3334" s="10" t="str">
        <f>TRIM(VLOOKUP(D3334,TB!$B$9:$C$1500,2,FALSE))</f>
        <v>Bank charges</v>
      </c>
      <c r="F3334" s="142" t="str">
        <f t="shared" ref="F3334:F3335" si="220">F3333</f>
        <v>Mandiri CC 19-06-2026</v>
      </c>
      <c r="G3334" s="130"/>
      <c r="H3334" s="10">
        <f>1.8%*I3335</f>
        <v>705233.10600000003</v>
      </c>
      <c r="I3334" s="10"/>
      <c r="J3334" s="79" t="e">
        <f t="shared" si="187"/>
        <v>#VALUE!</v>
      </c>
      <c r="K3334" s="106"/>
      <c r="L3334" s="141"/>
      <c r="M3334" s="132"/>
      <c r="N3334" s="133"/>
      <c r="O3334" s="4"/>
      <c r="P3334" s="4"/>
      <c r="Q3334" s="4"/>
      <c r="R3334" s="4"/>
      <c r="S3334" s="4"/>
      <c r="T3334" s="4"/>
      <c r="U3334" s="4"/>
      <c r="V3334" s="4"/>
      <c r="W3334" s="4"/>
      <c r="X3334" s="4"/>
    </row>
    <row r="3335" spans="1:24" ht="14.25" customHeight="1">
      <c r="A3335" s="4"/>
      <c r="B3335" s="125">
        <v>46195</v>
      </c>
      <c r="C3335" s="126" t="s">
        <v>1488</v>
      </c>
      <c r="D3335" s="15" t="s">
        <v>48</v>
      </c>
      <c r="E3335" s="10" t="str">
        <f>TRIM(VLOOKUP(D3335,TB!$B$9:$C$1500,2,FALSE))</f>
        <v>Mandiri Card TBB</v>
      </c>
      <c r="F3335" s="142" t="str">
        <f t="shared" si="220"/>
        <v>Mandiri CC 19-06-2026</v>
      </c>
      <c r="G3335" s="130"/>
      <c r="H3335" s="10"/>
      <c r="I3335" s="10">
        <v>39179617</v>
      </c>
      <c r="J3335" s="79" t="e">
        <f t="shared" si="187"/>
        <v>#VALUE!</v>
      </c>
      <c r="K3335" s="106"/>
      <c r="L3335" s="141"/>
      <c r="M3335" s="132"/>
      <c r="N3335" s="133"/>
      <c r="O3335" s="4"/>
      <c r="P3335" s="4"/>
      <c r="Q3335" s="4"/>
      <c r="R3335" s="4"/>
      <c r="S3335" s="4"/>
      <c r="T3335" s="4"/>
      <c r="U3335" s="4"/>
      <c r="V3335" s="4"/>
      <c r="W3335" s="4"/>
      <c r="X3335" s="4"/>
    </row>
    <row r="3336" spans="1:24" ht="14.25" customHeight="1">
      <c r="A3336" s="4"/>
      <c r="B3336" s="125"/>
      <c r="C3336" s="126"/>
      <c r="D3336" s="159"/>
      <c r="E3336" s="10" t="e">
        <f>TRIM(VLOOKUP(D3336,TB!$B$9:$C$1500,2,FALSE))</f>
        <v>#N/A</v>
      </c>
      <c r="F3336" s="142"/>
      <c r="G3336" s="130"/>
      <c r="H3336" s="10"/>
      <c r="I3336" s="10"/>
      <c r="J3336" s="79" t="e">
        <f t="shared" si="187"/>
        <v>#VALUE!</v>
      </c>
      <c r="K3336" s="106"/>
      <c r="L3336" s="141"/>
      <c r="M3336" s="132"/>
      <c r="N3336" s="133"/>
      <c r="O3336" s="4"/>
      <c r="P3336" s="4"/>
      <c r="Q3336" s="4"/>
      <c r="R3336" s="4"/>
      <c r="S3336" s="4"/>
      <c r="T3336" s="4"/>
      <c r="U3336" s="4"/>
      <c r="V3336" s="4"/>
      <c r="W3336" s="4"/>
      <c r="X3336" s="4"/>
    </row>
    <row r="3337" spans="1:24" ht="14.25" customHeight="1">
      <c r="A3337" s="4"/>
      <c r="B3337" s="125">
        <v>46195</v>
      </c>
      <c r="C3337" s="126" t="s">
        <v>1490</v>
      </c>
      <c r="D3337" s="68" t="s">
        <v>158</v>
      </c>
      <c r="E3337" s="10" t="str">
        <f>TRIM(VLOOKUP(D3337,TB!$B$9:$C$1500,2,FALSE))</f>
        <v>Mandiri TBB IDR</v>
      </c>
      <c r="F3337" s="142" t="s">
        <v>1491</v>
      </c>
      <c r="G3337" s="130"/>
      <c r="H3337" s="10">
        <f>I3339-H3338</f>
        <v>9054084.1899999995</v>
      </c>
      <c r="I3337" s="10"/>
      <c r="J3337" s="79" t="e">
        <f t="shared" si="187"/>
        <v>#VALUE!</v>
      </c>
      <c r="K3337" s="106"/>
      <c r="L3337" s="141"/>
      <c r="M3337" s="132"/>
      <c r="N3337" s="133"/>
      <c r="O3337" s="4"/>
      <c r="P3337" s="4"/>
      <c r="Q3337" s="4"/>
      <c r="R3337" s="4"/>
      <c r="S3337" s="4"/>
      <c r="T3337" s="4"/>
      <c r="U3337" s="4"/>
      <c r="V3337" s="4"/>
      <c r="W3337" s="4"/>
      <c r="X3337" s="4"/>
    </row>
    <row r="3338" spans="1:24" ht="14.25" customHeight="1">
      <c r="A3338" s="4"/>
      <c r="B3338" s="125">
        <v>46195</v>
      </c>
      <c r="C3338" s="126" t="s">
        <v>1490</v>
      </c>
      <c r="D3338" s="15" t="s">
        <v>124</v>
      </c>
      <c r="E3338" s="10" t="str">
        <f>TRIM(VLOOKUP(D3338,TB!$B$9:$C$1500,2,FALSE))</f>
        <v>Bank charges</v>
      </c>
      <c r="F3338" s="142" t="str">
        <f t="shared" ref="F3338:F3339" si="221">F3337</f>
        <v>Mandiri NPG 19-06-2026</v>
      </c>
      <c r="G3338" s="130"/>
      <c r="H3338" s="10">
        <f>1.8%*I3339</f>
        <v>165960.81000000003</v>
      </c>
      <c r="I3338" s="10"/>
      <c r="J3338" s="79" t="e">
        <f t="shared" si="187"/>
        <v>#VALUE!</v>
      </c>
      <c r="K3338" s="106"/>
      <c r="L3338" s="141"/>
      <c r="M3338" s="132"/>
      <c r="N3338" s="133"/>
      <c r="O3338" s="4"/>
      <c r="P3338" s="4"/>
      <c r="Q3338" s="4"/>
      <c r="R3338" s="4"/>
      <c r="S3338" s="4"/>
      <c r="T3338" s="4"/>
      <c r="U3338" s="4"/>
      <c r="V3338" s="4"/>
      <c r="W3338" s="4"/>
      <c r="X3338" s="4"/>
    </row>
    <row r="3339" spans="1:24" ht="14.25" customHeight="1">
      <c r="A3339" s="4"/>
      <c r="B3339" s="125">
        <v>46195</v>
      </c>
      <c r="C3339" s="126" t="s">
        <v>1490</v>
      </c>
      <c r="D3339" s="15" t="s">
        <v>48</v>
      </c>
      <c r="E3339" s="10" t="str">
        <f>TRIM(VLOOKUP(D3339,TB!$B$9:$C$1500,2,FALSE))</f>
        <v>Mandiri Card TBB</v>
      </c>
      <c r="F3339" s="142" t="str">
        <f t="shared" si="221"/>
        <v>Mandiri NPG 19-06-2026</v>
      </c>
      <c r="G3339" s="130"/>
      <c r="H3339" s="10"/>
      <c r="I3339" s="10">
        <v>9220045</v>
      </c>
      <c r="J3339" s="79" t="e">
        <f t="shared" si="187"/>
        <v>#VALUE!</v>
      </c>
      <c r="K3339" s="106"/>
      <c r="L3339" s="141"/>
      <c r="M3339" s="132"/>
      <c r="N3339" s="133"/>
      <c r="O3339" s="4"/>
      <c r="P3339" s="4"/>
      <c r="Q3339" s="4"/>
      <c r="R3339" s="4"/>
      <c r="S3339" s="4"/>
      <c r="T3339" s="4"/>
      <c r="U3339" s="4"/>
      <c r="V3339" s="4"/>
      <c r="W3339" s="4"/>
      <c r="X3339" s="4"/>
    </row>
    <row r="3340" spans="1:24" ht="14.25" customHeight="1">
      <c r="A3340" s="4"/>
      <c r="B3340" s="125"/>
      <c r="C3340" s="126"/>
      <c r="D3340" s="159"/>
      <c r="E3340" s="10" t="e">
        <f>TRIM(VLOOKUP(D3340,TB!$B$9:$C$1500,2,FALSE))</f>
        <v>#N/A</v>
      </c>
      <c r="F3340" s="142"/>
      <c r="G3340" s="130"/>
      <c r="H3340" s="10"/>
      <c r="I3340" s="10"/>
      <c r="J3340" s="79" t="e">
        <f t="shared" si="187"/>
        <v>#VALUE!</v>
      </c>
      <c r="K3340" s="106"/>
      <c r="L3340" s="141"/>
      <c r="M3340" s="132"/>
      <c r="N3340" s="133"/>
      <c r="O3340" s="4"/>
      <c r="P3340" s="4"/>
      <c r="Q3340" s="4"/>
      <c r="R3340" s="4"/>
      <c r="S3340" s="4"/>
      <c r="T3340" s="4"/>
      <c r="U3340" s="4"/>
      <c r="V3340" s="4"/>
      <c r="W3340" s="4"/>
      <c r="X3340" s="4"/>
    </row>
    <row r="3341" spans="1:24" ht="14.25" customHeight="1">
      <c r="A3341" s="4"/>
      <c r="B3341" s="125">
        <v>46195</v>
      </c>
      <c r="C3341" s="126" t="s">
        <v>1492</v>
      </c>
      <c r="D3341" s="68" t="s">
        <v>158</v>
      </c>
      <c r="E3341" s="10" t="str">
        <f>TRIM(VLOOKUP(D3341,TB!$B$9:$C$1500,2,FALSE))</f>
        <v>Mandiri TBB IDR</v>
      </c>
      <c r="F3341" s="142" t="s">
        <v>1493</v>
      </c>
      <c r="G3341" s="130"/>
      <c r="H3341" s="10">
        <f>I3343-H3342</f>
        <v>19446167.93</v>
      </c>
      <c r="I3341" s="10"/>
      <c r="J3341" s="79" t="e">
        <f t="shared" ref="J3341:J3595" si="222">J3340+H3341-I3341</f>
        <v>#VALUE!</v>
      </c>
      <c r="K3341" s="106"/>
      <c r="L3341" s="141"/>
      <c r="M3341" s="132"/>
      <c r="N3341" s="133"/>
      <c r="O3341" s="4"/>
      <c r="P3341" s="4"/>
      <c r="Q3341" s="4"/>
      <c r="R3341" s="4"/>
      <c r="S3341" s="4"/>
      <c r="T3341" s="4"/>
      <c r="U3341" s="4"/>
      <c r="V3341" s="4"/>
      <c r="W3341" s="4"/>
      <c r="X3341" s="4"/>
    </row>
    <row r="3342" spans="1:24" ht="14.25" customHeight="1">
      <c r="A3342" s="4"/>
      <c r="B3342" s="125">
        <v>46195</v>
      </c>
      <c r="C3342" s="126" t="s">
        <v>1492</v>
      </c>
      <c r="D3342" s="15" t="s">
        <v>124</v>
      </c>
      <c r="E3342" s="10" t="str">
        <f>TRIM(VLOOKUP(D3342,TB!$B$9:$C$1500,2,FALSE))</f>
        <v>Bank charges</v>
      </c>
      <c r="F3342" s="142" t="str">
        <f t="shared" ref="F3342:F3343" si="223">F3341</f>
        <v>Mandiri QR 19-06-2026</v>
      </c>
      <c r="G3342" s="130"/>
      <c r="H3342" s="10">
        <f>1.8%*I3343</f>
        <v>356447.07000000007</v>
      </c>
      <c r="I3342" s="10"/>
      <c r="J3342" s="79" t="e">
        <f t="shared" si="222"/>
        <v>#VALUE!</v>
      </c>
      <c r="K3342" s="106"/>
      <c r="L3342" s="141"/>
      <c r="M3342" s="132"/>
      <c r="N3342" s="133"/>
      <c r="O3342" s="4"/>
      <c r="P3342" s="4"/>
      <c r="Q3342" s="4"/>
      <c r="R3342" s="4"/>
      <c r="S3342" s="4"/>
      <c r="T3342" s="4"/>
      <c r="U3342" s="4"/>
      <c r="V3342" s="4"/>
      <c r="W3342" s="4"/>
      <c r="X3342" s="4"/>
    </row>
    <row r="3343" spans="1:24" ht="14.25" customHeight="1">
      <c r="A3343" s="4"/>
      <c r="B3343" s="125">
        <v>46195</v>
      </c>
      <c r="C3343" s="126" t="s">
        <v>1492</v>
      </c>
      <c r="D3343" s="15" t="s">
        <v>48</v>
      </c>
      <c r="E3343" s="10" t="str">
        <f>TRIM(VLOOKUP(D3343,TB!$B$9:$C$1500,2,FALSE))</f>
        <v>Mandiri Card TBB</v>
      </c>
      <c r="F3343" s="142" t="str">
        <f t="shared" si="223"/>
        <v>Mandiri QR 19-06-2026</v>
      </c>
      <c r="G3343" s="130"/>
      <c r="H3343" s="10"/>
      <c r="I3343" s="10">
        <v>19802615</v>
      </c>
      <c r="J3343" s="79" t="e">
        <f t="shared" si="222"/>
        <v>#VALUE!</v>
      </c>
      <c r="K3343" s="106"/>
      <c r="L3343" s="141"/>
      <c r="M3343" s="132"/>
      <c r="N3343" s="133"/>
      <c r="O3343" s="4"/>
      <c r="P3343" s="4"/>
      <c r="Q3343" s="4"/>
      <c r="R3343" s="4"/>
      <c r="S3343" s="4"/>
      <c r="T3343" s="4"/>
      <c r="U3343" s="4"/>
      <c r="V3343" s="4"/>
      <c r="W3343" s="4"/>
      <c r="X3343" s="4"/>
    </row>
    <row r="3344" spans="1:24" ht="14.25" customHeight="1">
      <c r="A3344" s="4"/>
      <c r="B3344" s="125"/>
      <c r="C3344" s="126"/>
      <c r="D3344" s="159"/>
      <c r="E3344" s="10" t="e">
        <f>TRIM(VLOOKUP(D3344,TB!$B$9:$C$1500,2,FALSE))</f>
        <v>#N/A</v>
      </c>
      <c r="F3344" s="142"/>
      <c r="G3344" s="130"/>
      <c r="H3344" s="10"/>
      <c r="I3344" s="10"/>
      <c r="J3344" s="79" t="e">
        <f t="shared" si="222"/>
        <v>#VALUE!</v>
      </c>
      <c r="K3344" s="106"/>
      <c r="L3344" s="141"/>
      <c r="M3344" s="132"/>
      <c r="N3344" s="133"/>
      <c r="O3344" s="4"/>
      <c r="P3344" s="4"/>
      <c r="Q3344" s="4"/>
      <c r="R3344" s="4"/>
      <c r="S3344" s="4"/>
      <c r="T3344" s="4"/>
      <c r="U3344" s="4"/>
      <c r="V3344" s="4"/>
      <c r="W3344" s="4"/>
      <c r="X3344" s="4"/>
    </row>
    <row r="3345" spans="1:24" ht="14.25" customHeight="1">
      <c r="A3345" s="4"/>
      <c r="B3345" s="125">
        <v>46195</v>
      </c>
      <c r="C3345" s="126" t="s">
        <v>1494</v>
      </c>
      <c r="D3345" s="68" t="s">
        <v>158</v>
      </c>
      <c r="E3345" s="10" t="str">
        <f>TRIM(VLOOKUP(D3345,TB!$B$9:$C$1500,2,FALSE))</f>
        <v>Mandiri TBB IDR</v>
      </c>
      <c r="F3345" s="142" t="s">
        <v>1495</v>
      </c>
      <c r="G3345" s="130"/>
      <c r="H3345" s="10">
        <f>I3347-H3346</f>
        <v>50720633.880000003</v>
      </c>
      <c r="I3345" s="10"/>
      <c r="J3345" s="79" t="e">
        <f t="shared" si="222"/>
        <v>#VALUE!</v>
      </c>
      <c r="K3345" s="106"/>
      <c r="L3345" s="141"/>
      <c r="M3345" s="132"/>
      <c r="N3345" s="133"/>
      <c r="O3345" s="4"/>
      <c r="P3345" s="4"/>
      <c r="Q3345" s="4"/>
      <c r="R3345" s="4"/>
      <c r="S3345" s="4"/>
      <c r="T3345" s="4"/>
      <c r="U3345" s="4"/>
      <c r="V3345" s="4"/>
      <c r="W3345" s="4"/>
      <c r="X3345" s="4"/>
    </row>
    <row r="3346" spans="1:24" ht="14.25" customHeight="1">
      <c r="A3346" s="4"/>
      <c r="B3346" s="125">
        <v>46195</v>
      </c>
      <c r="C3346" s="126" t="s">
        <v>1494</v>
      </c>
      <c r="D3346" s="15" t="s">
        <v>124</v>
      </c>
      <c r="E3346" s="10" t="str">
        <f>TRIM(VLOOKUP(D3346,TB!$B$9:$C$1500,2,FALSE))</f>
        <v>Bank charges</v>
      </c>
      <c r="F3346" s="142" t="str">
        <f t="shared" ref="F3346:F3347" si="224">F3345</f>
        <v>Mandiri CC 20-06-2026</v>
      </c>
      <c r="G3346" s="130"/>
      <c r="H3346" s="10">
        <f>1.8%*I3347</f>
        <v>929706.12000000011</v>
      </c>
      <c r="I3346" s="10"/>
      <c r="J3346" s="79" t="e">
        <f t="shared" si="222"/>
        <v>#VALUE!</v>
      </c>
      <c r="K3346" s="106"/>
      <c r="L3346" s="141"/>
      <c r="M3346" s="132"/>
      <c r="N3346" s="133"/>
      <c r="O3346" s="4"/>
      <c r="P3346" s="4"/>
      <c r="Q3346" s="4"/>
      <c r="R3346" s="4"/>
      <c r="S3346" s="4"/>
      <c r="T3346" s="4"/>
      <c r="U3346" s="4"/>
      <c r="V3346" s="4"/>
      <c r="W3346" s="4"/>
      <c r="X3346" s="4"/>
    </row>
    <row r="3347" spans="1:24" ht="14.25" customHeight="1">
      <c r="A3347" s="4"/>
      <c r="B3347" s="125">
        <v>46195</v>
      </c>
      <c r="C3347" s="126" t="s">
        <v>1494</v>
      </c>
      <c r="D3347" s="15" t="s">
        <v>48</v>
      </c>
      <c r="E3347" s="10" t="str">
        <f>TRIM(VLOOKUP(D3347,TB!$B$9:$C$1500,2,FALSE))</f>
        <v>Mandiri Card TBB</v>
      </c>
      <c r="F3347" s="142" t="str">
        <f t="shared" si="224"/>
        <v>Mandiri CC 20-06-2026</v>
      </c>
      <c r="G3347" s="130"/>
      <c r="H3347" s="10"/>
      <c r="I3347" s="10">
        <v>51650340</v>
      </c>
      <c r="J3347" s="79" t="e">
        <f t="shared" si="222"/>
        <v>#VALUE!</v>
      </c>
      <c r="K3347" s="106"/>
      <c r="L3347" s="141"/>
      <c r="M3347" s="132"/>
      <c r="N3347" s="133"/>
      <c r="O3347" s="4"/>
      <c r="P3347" s="4"/>
      <c r="Q3347" s="4"/>
      <c r="R3347" s="4"/>
      <c r="S3347" s="4"/>
      <c r="T3347" s="4"/>
      <c r="U3347" s="4"/>
      <c r="V3347" s="4"/>
      <c r="W3347" s="4"/>
      <c r="X3347" s="4"/>
    </row>
    <row r="3348" spans="1:24" ht="14.25" customHeight="1">
      <c r="A3348" s="4"/>
      <c r="B3348" s="125"/>
      <c r="C3348" s="126"/>
      <c r="D3348" s="159"/>
      <c r="E3348" s="10" t="e">
        <f>TRIM(VLOOKUP(D3348,TB!$B$9:$C$1500,2,FALSE))</f>
        <v>#N/A</v>
      </c>
      <c r="F3348" s="142"/>
      <c r="G3348" s="130"/>
      <c r="H3348" s="10"/>
      <c r="I3348" s="10"/>
      <c r="J3348" s="79" t="e">
        <f t="shared" si="222"/>
        <v>#VALUE!</v>
      </c>
      <c r="K3348" s="106"/>
      <c r="L3348" s="141"/>
      <c r="M3348" s="132"/>
      <c r="N3348" s="133"/>
      <c r="O3348" s="4"/>
      <c r="P3348" s="4"/>
      <c r="Q3348" s="4"/>
      <c r="R3348" s="4"/>
      <c r="S3348" s="4"/>
      <c r="T3348" s="4"/>
      <c r="U3348" s="4"/>
      <c r="V3348" s="4"/>
      <c r="W3348" s="4"/>
      <c r="X3348" s="4"/>
    </row>
    <row r="3349" spans="1:24" ht="14.25" customHeight="1">
      <c r="A3349" s="4"/>
      <c r="B3349" s="125">
        <v>46195</v>
      </c>
      <c r="C3349" s="126" t="s">
        <v>1496</v>
      </c>
      <c r="D3349" s="68" t="s">
        <v>158</v>
      </c>
      <c r="E3349" s="10" t="str">
        <f>TRIM(VLOOKUP(D3349,TB!$B$9:$C$1500,2,FALSE))</f>
        <v>Mandiri TBB IDR</v>
      </c>
      <c r="F3349" s="142" t="s">
        <v>1497</v>
      </c>
      <c r="G3349" s="130"/>
      <c r="H3349" s="10">
        <f>I3351-H3350</f>
        <v>13416046.684</v>
      </c>
      <c r="I3349" s="10"/>
      <c r="J3349" s="79" t="e">
        <f t="shared" si="222"/>
        <v>#VALUE!</v>
      </c>
      <c r="K3349" s="106"/>
      <c r="L3349" s="141"/>
      <c r="M3349" s="132"/>
      <c r="N3349" s="133"/>
      <c r="O3349" s="4"/>
      <c r="P3349" s="4"/>
      <c r="Q3349" s="4"/>
      <c r="R3349" s="4"/>
      <c r="S3349" s="4"/>
      <c r="T3349" s="4"/>
      <c r="U3349" s="4"/>
      <c r="V3349" s="4"/>
      <c r="W3349" s="4"/>
      <c r="X3349" s="4"/>
    </row>
    <row r="3350" spans="1:24" ht="14.25" customHeight="1">
      <c r="A3350" s="4"/>
      <c r="B3350" s="125">
        <v>46195</v>
      </c>
      <c r="C3350" s="126" t="s">
        <v>1496</v>
      </c>
      <c r="D3350" s="15" t="s">
        <v>124</v>
      </c>
      <c r="E3350" s="10" t="str">
        <f>TRIM(VLOOKUP(D3350,TB!$B$9:$C$1500,2,FALSE))</f>
        <v>Bank charges</v>
      </c>
      <c r="F3350" s="142" t="str">
        <f t="shared" ref="F3350:F3351" si="225">F3349</f>
        <v>Mandiri NPG 20-06-2026</v>
      </c>
      <c r="G3350" s="130"/>
      <c r="H3350" s="10">
        <f>1.8%*I3351</f>
        <v>245915.31600000002</v>
      </c>
      <c r="I3350" s="10"/>
      <c r="J3350" s="79" t="e">
        <f t="shared" si="222"/>
        <v>#VALUE!</v>
      </c>
      <c r="K3350" s="106"/>
      <c r="L3350" s="141"/>
      <c r="M3350" s="132"/>
      <c r="N3350" s="133"/>
      <c r="O3350" s="4"/>
      <c r="P3350" s="4"/>
      <c r="Q3350" s="4"/>
      <c r="R3350" s="4"/>
      <c r="S3350" s="4"/>
      <c r="T3350" s="4"/>
      <c r="U3350" s="4"/>
      <c r="V3350" s="4"/>
      <c r="W3350" s="4"/>
      <c r="X3350" s="4"/>
    </row>
    <row r="3351" spans="1:24" ht="14.25" customHeight="1">
      <c r="A3351" s="4"/>
      <c r="B3351" s="125">
        <v>46195</v>
      </c>
      <c r="C3351" s="126" t="s">
        <v>1496</v>
      </c>
      <c r="D3351" s="15" t="s">
        <v>48</v>
      </c>
      <c r="E3351" s="10" t="str">
        <f>TRIM(VLOOKUP(D3351,TB!$B$9:$C$1500,2,FALSE))</f>
        <v>Mandiri Card TBB</v>
      </c>
      <c r="F3351" s="142" t="str">
        <f t="shared" si="225"/>
        <v>Mandiri NPG 20-06-2026</v>
      </c>
      <c r="G3351" s="130"/>
      <c r="H3351" s="10"/>
      <c r="I3351" s="10">
        <v>13661962</v>
      </c>
      <c r="J3351" s="79" t="e">
        <f t="shared" si="222"/>
        <v>#VALUE!</v>
      </c>
      <c r="K3351" s="106"/>
      <c r="L3351" s="141"/>
      <c r="M3351" s="132"/>
      <c r="N3351" s="133"/>
      <c r="O3351" s="4"/>
      <c r="P3351" s="4"/>
      <c r="Q3351" s="4"/>
      <c r="R3351" s="4"/>
      <c r="S3351" s="4"/>
      <c r="T3351" s="4"/>
      <c r="U3351" s="4"/>
      <c r="V3351" s="4"/>
      <c r="W3351" s="4"/>
      <c r="X3351" s="4"/>
    </row>
    <row r="3352" spans="1:24" ht="14.25" customHeight="1">
      <c r="A3352" s="4"/>
      <c r="B3352" s="125"/>
      <c r="C3352" s="126"/>
      <c r="D3352" s="159"/>
      <c r="E3352" s="10" t="e">
        <f>TRIM(VLOOKUP(D3352,TB!$B$9:$C$1500,2,FALSE))</f>
        <v>#N/A</v>
      </c>
      <c r="F3352" s="142"/>
      <c r="G3352" s="130"/>
      <c r="H3352" s="10"/>
      <c r="I3352" s="10"/>
      <c r="J3352" s="79" t="e">
        <f t="shared" si="222"/>
        <v>#VALUE!</v>
      </c>
      <c r="K3352" s="106"/>
      <c r="L3352" s="141"/>
      <c r="M3352" s="132"/>
      <c r="N3352" s="133"/>
      <c r="O3352" s="4"/>
      <c r="P3352" s="4"/>
      <c r="Q3352" s="4"/>
      <c r="R3352" s="4"/>
      <c r="S3352" s="4"/>
      <c r="T3352" s="4"/>
      <c r="U3352" s="4"/>
      <c r="V3352" s="4"/>
      <c r="W3352" s="4"/>
      <c r="X3352" s="4"/>
    </row>
    <row r="3353" spans="1:24" ht="14.25" customHeight="1">
      <c r="A3353" s="4"/>
      <c r="B3353" s="125">
        <v>46195</v>
      </c>
      <c r="C3353" s="126" t="s">
        <v>1498</v>
      </c>
      <c r="D3353" s="68" t="s">
        <v>158</v>
      </c>
      <c r="E3353" s="10" t="str">
        <f>TRIM(VLOOKUP(D3353,TB!$B$9:$C$1500,2,FALSE))</f>
        <v>Mandiri TBB IDR</v>
      </c>
      <c r="F3353" s="142" t="s">
        <v>1499</v>
      </c>
      <c r="G3353" s="130"/>
      <c r="H3353" s="10">
        <f>I3355-H3354</f>
        <v>28184969.236000001</v>
      </c>
      <c r="I3353" s="10"/>
      <c r="J3353" s="79" t="e">
        <f t="shared" si="222"/>
        <v>#VALUE!</v>
      </c>
      <c r="K3353" s="106"/>
      <c r="L3353" s="141"/>
      <c r="M3353" s="132"/>
      <c r="N3353" s="133"/>
      <c r="O3353" s="4"/>
      <c r="P3353" s="4"/>
      <c r="Q3353" s="4"/>
      <c r="R3353" s="4"/>
      <c r="S3353" s="4"/>
      <c r="T3353" s="4"/>
      <c r="U3353" s="4"/>
      <c r="V3353" s="4"/>
      <c r="W3353" s="4"/>
      <c r="X3353" s="4"/>
    </row>
    <row r="3354" spans="1:24" ht="14.25" customHeight="1">
      <c r="A3354" s="4"/>
      <c r="B3354" s="125">
        <v>46195</v>
      </c>
      <c r="C3354" s="126" t="s">
        <v>1498</v>
      </c>
      <c r="D3354" s="15" t="s">
        <v>124</v>
      </c>
      <c r="E3354" s="10" t="str">
        <f>TRIM(VLOOKUP(D3354,TB!$B$9:$C$1500,2,FALSE))</f>
        <v>Bank charges</v>
      </c>
      <c r="F3354" s="142" t="str">
        <f t="shared" ref="F3354:F3355" si="226">F3353</f>
        <v>Mandiri QR 20-06-2026</v>
      </c>
      <c r="G3354" s="130"/>
      <c r="H3354" s="10">
        <f>1.8%*I3355</f>
        <v>516628.76400000008</v>
      </c>
      <c r="I3354" s="10"/>
      <c r="J3354" s="79" t="e">
        <f t="shared" si="222"/>
        <v>#VALUE!</v>
      </c>
      <c r="K3354" s="106"/>
      <c r="L3354" s="141"/>
      <c r="M3354" s="132"/>
      <c r="N3354" s="133"/>
      <c r="O3354" s="4"/>
      <c r="P3354" s="4"/>
      <c r="Q3354" s="4"/>
      <c r="R3354" s="4"/>
      <c r="S3354" s="4"/>
      <c r="T3354" s="4"/>
      <c r="U3354" s="4"/>
      <c r="V3354" s="4"/>
      <c r="W3354" s="4"/>
      <c r="X3354" s="4"/>
    </row>
    <row r="3355" spans="1:24" ht="14.25" customHeight="1">
      <c r="A3355" s="4"/>
      <c r="B3355" s="125">
        <v>46195</v>
      </c>
      <c r="C3355" s="126" t="s">
        <v>1498</v>
      </c>
      <c r="D3355" s="15" t="s">
        <v>48</v>
      </c>
      <c r="E3355" s="10" t="str">
        <f>TRIM(VLOOKUP(D3355,TB!$B$9:$C$1500,2,FALSE))</f>
        <v>Mandiri Card TBB</v>
      </c>
      <c r="F3355" s="142" t="str">
        <f t="shared" si="226"/>
        <v>Mandiri QR 20-06-2026</v>
      </c>
      <c r="G3355" s="130"/>
      <c r="H3355" s="10"/>
      <c r="I3355" s="10">
        <v>28701598</v>
      </c>
      <c r="J3355" s="79" t="e">
        <f t="shared" si="222"/>
        <v>#VALUE!</v>
      </c>
      <c r="K3355" s="106"/>
      <c r="L3355" s="141"/>
      <c r="M3355" s="132"/>
      <c r="N3355" s="133"/>
      <c r="O3355" s="4"/>
      <c r="P3355" s="4"/>
      <c r="Q3355" s="4"/>
      <c r="R3355" s="4"/>
      <c r="S3355" s="4"/>
      <c r="T3355" s="4"/>
      <c r="U3355" s="4"/>
      <c r="V3355" s="4"/>
      <c r="W3355" s="4"/>
      <c r="X3355" s="4"/>
    </row>
    <row r="3356" spans="1:24" ht="14.25" customHeight="1">
      <c r="A3356" s="4"/>
      <c r="B3356" s="125"/>
      <c r="C3356" s="126"/>
      <c r="D3356" s="159"/>
      <c r="E3356" s="10" t="e">
        <f>TRIM(VLOOKUP(D3356,TB!$B$9:$C$1500,2,FALSE))</f>
        <v>#N/A</v>
      </c>
      <c r="F3356" s="142"/>
      <c r="G3356" s="130"/>
      <c r="H3356" s="10"/>
      <c r="I3356" s="10">
        <f t="shared" ref="I3356:I3359" si="227">SUM(H3355)</f>
        <v>0</v>
      </c>
      <c r="J3356" s="79" t="e">
        <f t="shared" si="222"/>
        <v>#VALUE!</v>
      </c>
      <c r="K3356" s="106"/>
      <c r="L3356" s="141"/>
      <c r="M3356" s="132"/>
      <c r="N3356" s="133"/>
      <c r="O3356" s="4"/>
      <c r="P3356" s="4"/>
      <c r="Q3356" s="4"/>
      <c r="R3356" s="4"/>
      <c r="S3356" s="4"/>
      <c r="T3356" s="4"/>
      <c r="U3356" s="4"/>
      <c r="V3356" s="4"/>
      <c r="W3356" s="4"/>
      <c r="X3356" s="4"/>
    </row>
    <row r="3357" spans="1:24" ht="14.25" customHeight="1">
      <c r="A3357" s="4"/>
      <c r="B3357" s="125">
        <v>46195</v>
      </c>
      <c r="C3357" s="126" t="s">
        <v>1500</v>
      </c>
      <c r="D3357" s="68" t="s">
        <v>1130</v>
      </c>
      <c r="E3357" s="10" t="str">
        <f>TRIM(VLOOKUP(D3357,TB!$B$9:$C$1500,2,FALSE))</f>
        <v>Accrued Employee Welfare Payable</v>
      </c>
      <c r="F3357" s="142" t="s">
        <v>1501</v>
      </c>
      <c r="G3357" s="130"/>
      <c r="H3357" s="10">
        <v>1000000</v>
      </c>
      <c r="I3357" s="10">
        <f t="shared" si="227"/>
        <v>0</v>
      </c>
      <c r="J3357" s="79" t="e">
        <f t="shared" si="222"/>
        <v>#VALUE!</v>
      </c>
      <c r="K3357" s="106"/>
      <c r="L3357" s="141"/>
      <c r="M3357" s="132"/>
      <c r="N3357" s="133"/>
      <c r="O3357" s="4"/>
      <c r="P3357" s="4"/>
      <c r="Q3357" s="4"/>
      <c r="R3357" s="4"/>
      <c r="S3357" s="4"/>
      <c r="T3357" s="4"/>
      <c r="U3357" s="4"/>
      <c r="V3357" s="4"/>
      <c r="W3357" s="4"/>
      <c r="X3357" s="4"/>
    </row>
    <row r="3358" spans="1:24" ht="14.25" customHeight="1">
      <c r="A3358" s="4"/>
      <c r="B3358" s="125">
        <v>46195</v>
      </c>
      <c r="C3358" s="126" t="s">
        <v>1500</v>
      </c>
      <c r="D3358" s="68" t="s">
        <v>158</v>
      </c>
      <c r="E3358" s="10" t="str">
        <f>TRIM(VLOOKUP(D3358,TB!$B$9:$C$1500,2,FALSE))</f>
        <v>Mandiri TBB IDR</v>
      </c>
      <c r="F3358" s="142" t="str">
        <f>F3357</f>
        <v>Nita - Donation (Anak Melahirkan)</v>
      </c>
      <c r="G3358" s="130"/>
      <c r="H3358" s="10"/>
      <c r="I3358" s="10">
        <f t="shared" si="227"/>
        <v>1000000</v>
      </c>
      <c r="J3358" s="79" t="e">
        <f t="shared" si="222"/>
        <v>#VALUE!</v>
      </c>
      <c r="K3358" s="106"/>
      <c r="L3358" s="141"/>
      <c r="M3358" s="132"/>
      <c r="N3358" s="133"/>
      <c r="O3358" s="4"/>
      <c r="P3358" s="4"/>
      <c r="Q3358" s="4"/>
      <c r="R3358" s="4"/>
      <c r="S3358" s="4"/>
      <c r="T3358" s="4"/>
      <c r="U3358" s="4"/>
      <c r="V3358" s="4"/>
      <c r="W3358" s="4"/>
      <c r="X3358" s="4"/>
    </row>
    <row r="3359" spans="1:24" ht="14.25" customHeight="1">
      <c r="A3359" s="4"/>
      <c r="B3359" s="125"/>
      <c r="C3359" s="126"/>
      <c r="D3359" s="159"/>
      <c r="E3359" s="10" t="e">
        <f>TRIM(VLOOKUP(D3359,TB!$B$9:$C$1500,2,FALSE))</f>
        <v>#N/A</v>
      </c>
      <c r="F3359" s="142"/>
      <c r="G3359" s="130"/>
      <c r="H3359" s="10"/>
      <c r="I3359" s="10">
        <f t="shared" si="227"/>
        <v>0</v>
      </c>
      <c r="J3359" s="79" t="e">
        <f t="shared" si="222"/>
        <v>#VALUE!</v>
      </c>
      <c r="K3359" s="106"/>
      <c r="L3359" s="141"/>
      <c r="M3359" s="132"/>
      <c r="N3359" s="133"/>
      <c r="O3359" s="4"/>
      <c r="P3359" s="4"/>
      <c r="Q3359" s="4"/>
      <c r="R3359" s="4"/>
      <c r="S3359" s="4"/>
      <c r="T3359" s="4"/>
      <c r="U3359" s="4"/>
      <c r="V3359" s="4"/>
      <c r="W3359" s="4"/>
      <c r="X3359" s="4"/>
    </row>
    <row r="3360" spans="1:24" ht="14.25" customHeight="1">
      <c r="A3360" s="4"/>
      <c r="B3360" s="125">
        <v>46195</v>
      </c>
      <c r="C3360" s="126" t="s">
        <v>1502</v>
      </c>
      <c r="D3360" s="68" t="s">
        <v>130</v>
      </c>
      <c r="E3360" s="10" t="str">
        <f>TRIM(VLOOKUP(D3360,TB!$B$9:$C$1500,2,FALSE))</f>
        <v>BCA TBB</v>
      </c>
      <c r="F3360" s="142" t="s">
        <v>1247</v>
      </c>
      <c r="G3360" s="130"/>
      <c r="H3360" s="10">
        <v>50000000</v>
      </c>
      <c r="I3360" s="10"/>
      <c r="J3360" s="79" t="e">
        <f t="shared" si="222"/>
        <v>#VALUE!</v>
      </c>
      <c r="K3360" s="106"/>
      <c r="L3360" s="141"/>
      <c r="M3360" s="132"/>
      <c r="N3360" s="133"/>
      <c r="O3360" s="4"/>
      <c r="P3360" s="4"/>
      <c r="Q3360" s="4"/>
      <c r="R3360" s="4"/>
      <c r="S3360" s="4"/>
      <c r="T3360" s="4"/>
      <c r="U3360" s="4"/>
      <c r="V3360" s="4"/>
      <c r="W3360" s="4"/>
      <c r="X3360" s="4"/>
    </row>
    <row r="3361" spans="1:24" ht="14.25" customHeight="1">
      <c r="A3361" s="4"/>
      <c r="B3361" s="125">
        <v>46195</v>
      </c>
      <c r="C3361" s="126" t="s">
        <v>1502</v>
      </c>
      <c r="D3361" s="15" t="s">
        <v>124</v>
      </c>
      <c r="E3361" s="10" t="str">
        <f>TRIM(VLOOKUP(D3361,TB!$B$9:$C$1500,2,FALSE))</f>
        <v>Bank charges</v>
      </c>
      <c r="F3361" s="142" t="s">
        <v>1247</v>
      </c>
      <c r="G3361" s="130"/>
      <c r="H3361" s="10">
        <v>2500</v>
      </c>
      <c r="I3361" s="10"/>
      <c r="J3361" s="79" t="e">
        <f t="shared" si="222"/>
        <v>#VALUE!</v>
      </c>
      <c r="K3361" s="106"/>
      <c r="L3361" s="141"/>
      <c r="M3361" s="132"/>
      <c r="N3361" s="133"/>
      <c r="O3361" s="4"/>
      <c r="P3361" s="4"/>
      <c r="Q3361" s="4"/>
      <c r="R3361" s="4"/>
      <c r="S3361" s="4"/>
      <c r="T3361" s="4"/>
      <c r="U3361" s="4"/>
      <c r="V3361" s="4"/>
      <c r="W3361" s="4"/>
      <c r="X3361" s="4"/>
    </row>
    <row r="3362" spans="1:24" ht="14.25" customHeight="1">
      <c r="A3362" s="4"/>
      <c r="B3362" s="125">
        <v>46195</v>
      </c>
      <c r="C3362" s="126" t="s">
        <v>1502</v>
      </c>
      <c r="D3362" s="68" t="s">
        <v>158</v>
      </c>
      <c r="E3362" s="10" t="str">
        <f>TRIM(VLOOKUP(D3362,TB!$B$9:$C$1500,2,FALSE))</f>
        <v>Mandiri TBB IDR</v>
      </c>
      <c r="F3362" s="142" t="s">
        <v>1247</v>
      </c>
      <c r="G3362" s="130"/>
      <c r="H3362" s="10"/>
      <c r="I3362" s="10">
        <f>SUM(H3360:H3361)</f>
        <v>50002500</v>
      </c>
      <c r="J3362" s="79" t="e">
        <f t="shared" si="222"/>
        <v>#VALUE!</v>
      </c>
      <c r="K3362" s="106"/>
      <c r="L3362" s="141"/>
      <c r="M3362" s="132"/>
      <c r="N3362" s="133"/>
      <c r="O3362" s="4"/>
      <c r="P3362" s="4"/>
      <c r="Q3362" s="4"/>
      <c r="R3362" s="4"/>
      <c r="S3362" s="4"/>
      <c r="T3362" s="4"/>
      <c r="U3362" s="4"/>
      <c r="V3362" s="4"/>
      <c r="W3362" s="4"/>
      <c r="X3362" s="4"/>
    </row>
    <row r="3363" spans="1:24" ht="14.25" customHeight="1">
      <c r="A3363" s="4"/>
      <c r="B3363" s="125"/>
      <c r="C3363" s="126"/>
      <c r="D3363" s="159"/>
      <c r="E3363" s="10" t="e">
        <f>TRIM(VLOOKUP(D3363,TB!$B$9:$C$1500,2,FALSE))</f>
        <v>#N/A</v>
      </c>
      <c r="F3363" s="142"/>
      <c r="G3363" s="130"/>
      <c r="H3363" s="10"/>
      <c r="I3363" s="10"/>
      <c r="J3363" s="79" t="e">
        <f t="shared" si="222"/>
        <v>#VALUE!</v>
      </c>
      <c r="K3363" s="106"/>
      <c r="L3363" s="141"/>
      <c r="M3363" s="132"/>
      <c r="N3363" s="133"/>
      <c r="O3363" s="4"/>
      <c r="P3363" s="4"/>
      <c r="Q3363" s="4"/>
      <c r="R3363" s="4"/>
      <c r="S3363" s="4"/>
      <c r="T3363" s="4"/>
      <c r="U3363" s="4"/>
      <c r="V3363" s="4"/>
      <c r="W3363" s="4"/>
      <c r="X3363" s="4"/>
    </row>
    <row r="3364" spans="1:24" ht="14.25" customHeight="1">
      <c r="A3364" s="4"/>
      <c r="B3364" s="125">
        <v>46195</v>
      </c>
      <c r="C3364" s="126" t="s">
        <v>1503</v>
      </c>
      <c r="D3364" s="68" t="s">
        <v>130</v>
      </c>
      <c r="E3364" s="10" t="str">
        <f>TRIM(VLOOKUP(D3364,TB!$B$9:$C$1500,2,FALSE))</f>
        <v>BCA TBB</v>
      </c>
      <c r="F3364" s="142" t="s">
        <v>1247</v>
      </c>
      <c r="G3364" s="130"/>
      <c r="H3364" s="10">
        <v>50000000</v>
      </c>
      <c r="I3364" s="10"/>
      <c r="J3364" s="79" t="e">
        <f t="shared" si="222"/>
        <v>#VALUE!</v>
      </c>
      <c r="K3364" s="106"/>
      <c r="L3364" s="141"/>
      <c r="M3364" s="132"/>
      <c r="N3364" s="133"/>
      <c r="O3364" s="4"/>
      <c r="P3364" s="4"/>
      <c r="Q3364" s="4"/>
      <c r="R3364" s="4"/>
      <c r="S3364" s="4"/>
      <c r="T3364" s="4"/>
      <c r="U3364" s="4"/>
      <c r="V3364" s="4"/>
      <c r="W3364" s="4"/>
      <c r="X3364" s="4"/>
    </row>
    <row r="3365" spans="1:24" ht="14.25" customHeight="1">
      <c r="A3365" s="4"/>
      <c r="B3365" s="125">
        <v>46195</v>
      </c>
      <c r="C3365" s="126" t="s">
        <v>1503</v>
      </c>
      <c r="D3365" s="15" t="s">
        <v>124</v>
      </c>
      <c r="E3365" s="10" t="str">
        <f>TRIM(VLOOKUP(D3365,TB!$B$9:$C$1500,2,FALSE))</f>
        <v>Bank charges</v>
      </c>
      <c r="F3365" s="142" t="s">
        <v>1247</v>
      </c>
      <c r="G3365" s="130"/>
      <c r="H3365" s="10">
        <v>2500</v>
      </c>
      <c r="I3365" s="10"/>
      <c r="J3365" s="79" t="e">
        <f t="shared" si="222"/>
        <v>#VALUE!</v>
      </c>
      <c r="K3365" s="106"/>
      <c r="L3365" s="141"/>
      <c r="M3365" s="132"/>
      <c r="N3365" s="133"/>
      <c r="O3365" s="4"/>
      <c r="P3365" s="4"/>
      <c r="Q3365" s="4"/>
      <c r="R3365" s="4"/>
      <c r="S3365" s="4"/>
      <c r="T3365" s="4"/>
      <c r="U3365" s="4"/>
      <c r="V3365" s="4"/>
      <c r="W3365" s="4"/>
      <c r="X3365" s="4"/>
    </row>
    <row r="3366" spans="1:24" ht="14.25" customHeight="1">
      <c r="A3366" s="4"/>
      <c r="B3366" s="125">
        <v>46195</v>
      </c>
      <c r="C3366" s="126" t="s">
        <v>1503</v>
      </c>
      <c r="D3366" s="68" t="s">
        <v>158</v>
      </c>
      <c r="E3366" s="10" t="str">
        <f>TRIM(VLOOKUP(D3366,TB!$B$9:$C$1500,2,FALSE))</f>
        <v>Mandiri TBB IDR</v>
      </c>
      <c r="F3366" s="142" t="s">
        <v>1247</v>
      </c>
      <c r="G3366" s="130"/>
      <c r="H3366" s="10"/>
      <c r="I3366" s="10">
        <f>SUM(H3364:H3365)</f>
        <v>50002500</v>
      </c>
      <c r="J3366" s="79" t="e">
        <f t="shared" si="222"/>
        <v>#VALUE!</v>
      </c>
      <c r="K3366" s="106"/>
      <c r="L3366" s="141"/>
      <c r="M3366" s="132"/>
      <c r="N3366" s="133"/>
      <c r="O3366" s="4"/>
      <c r="P3366" s="4"/>
      <c r="Q3366" s="4"/>
      <c r="R3366" s="4"/>
      <c r="S3366" s="4"/>
      <c r="T3366" s="4"/>
      <c r="U3366" s="4"/>
      <c r="V3366" s="4"/>
      <c r="W3366" s="4"/>
      <c r="X3366" s="4"/>
    </row>
    <row r="3367" spans="1:24" ht="14.25" customHeight="1">
      <c r="A3367" s="4"/>
      <c r="B3367" s="125"/>
      <c r="C3367" s="126"/>
      <c r="D3367" s="159"/>
      <c r="E3367" s="10" t="e">
        <f>TRIM(VLOOKUP(D3367,TB!$B$9:$C$1500,2,FALSE))</f>
        <v>#N/A</v>
      </c>
      <c r="F3367" s="142"/>
      <c r="G3367" s="130"/>
      <c r="H3367" s="10"/>
      <c r="I3367" s="10"/>
      <c r="J3367" s="79" t="e">
        <f t="shared" si="222"/>
        <v>#VALUE!</v>
      </c>
      <c r="K3367" s="106"/>
      <c r="L3367" s="141"/>
      <c r="M3367" s="132"/>
      <c r="N3367" s="133"/>
      <c r="O3367" s="4"/>
      <c r="P3367" s="4"/>
      <c r="Q3367" s="4"/>
      <c r="R3367" s="4"/>
      <c r="S3367" s="4"/>
      <c r="T3367" s="4"/>
      <c r="U3367" s="4"/>
      <c r="V3367" s="4"/>
      <c r="W3367" s="4"/>
      <c r="X3367" s="4"/>
    </row>
    <row r="3368" spans="1:24" ht="14.25" customHeight="1">
      <c r="A3368" s="4"/>
      <c r="B3368" s="125">
        <v>46196</v>
      </c>
      <c r="C3368" s="126" t="s">
        <v>1504</v>
      </c>
      <c r="D3368" s="68" t="s">
        <v>158</v>
      </c>
      <c r="E3368" s="10" t="str">
        <f>TRIM(VLOOKUP(D3368,TB!$B$9:$C$1500,2,FALSE))</f>
        <v>Mandiri TBB IDR</v>
      </c>
      <c r="F3368" s="142" t="s">
        <v>1505</v>
      </c>
      <c r="G3368" s="130"/>
      <c r="H3368" s="10">
        <f>I3370-H3369</f>
        <v>184930.24</v>
      </c>
      <c r="I3368" s="10"/>
      <c r="J3368" s="79" t="e">
        <f t="shared" si="222"/>
        <v>#VALUE!</v>
      </c>
      <c r="K3368" s="106"/>
      <c r="L3368" s="141"/>
      <c r="M3368" s="132"/>
      <c r="N3368" s="133"/>
      <c r="O3368" s="4"/>
      <c r="P3368" s="4"/>
      <c r="Q3368" s="4"/>
      <c r="R3368" s="4"/>
      <c r="S3368" s="4"/>
      <c r="T3368" s="4"/>
      <c r="U3368" s="4"/>
      <c r="V3368" s="4"/>
      <c r="W3368" s="4"/>
      <c r="X3368" s="4"/>
    </row>
    <row r="3369" spans="1:24" ht="14.25" customHeight="1">
      <c r="A3369" s="4"/>
      <c r="B3369" s="125">
        <v>46196</v>
      </c>
      <c r="C3369" s="126" t="s">
        <v>1504</v>
      </c>
      <c r="D3369" s="15" t="s">
        <v>124</v>
      </c>
      <c r="E3369" s="10" t="str">
        <f>TRIM(VLOOKUP(D3369,TB!$B$9:$C$1500,2,FALSE))</f>
        <v>Bank charges</v>
      </c>
      <c r="F3369" s="142" t="str">
        <f t="shared" ref="F3369:F3370" si="228">F3368</f>
        <v>Mandiri Debet 21-06-2026</v>
      </c>
      <c r="G3369" s="130"/>
      <c r="H3369" s="10">
        <f>1.8%*I3370</f>
        <v>3389.76</v>
      </c>
      <c r="I3369" s="10"/>
      <c r="J3369" s="79" t="e">
        <f t="shared" si="222"/>
        <v>#VALUE!</v>
      </c>
      <c r="K3369" s="106"/>
      <c r="L3369" s="141"/>
      <c r="M3369" s="132"/>
      <c r="N3369" s="133"/>
      <c r="O3369" s="4"/>
      <c r="P3369" s="4"/>
      <c r="Q3369" s="4"/>
      <c r="R3369" s="4"/>
      <c r="S3369" s="4"/>
      <c r="T3369" s="4"/>
      <c r="U3369" s="4"/>
      <c r="V3369" s="4"/>
      <c r="W3369" s="4"/>
      <c r="X3369" s="4"/>
    </row>
    <row r="3370" spans="1:24" ht="14.25" customHeight="1">
      <c r="A3370" s="4"/>
      <c r="B3370" s="125">
        <v>46196</v>
      </c>
      <c r="C3370" s="126" t="s">
        <v>1504</v>
      </c>
      <c r="D3370" s="15" t="s">
        <v>48</v>
      </c>
      <c r="E3370" s="10" t="str">
        <f>TRIM(VLOOKUP(D3370,TB!$B$9:$C$1500,2,FALSE))</f>
        <v>Mandiri Card TBB</v>
      </c>
      <c r="F3370" s="142" t="str">
        <f t="shared" si="228"/>
        <v>Mandiri Debet 21-06-2026</v>
      </c>
      <c r="G3370" s="130"/>
      <c r="H3370" s="10"/>
      <c r="I3370" s="10">
        <v>188320</v>
      </c>
      <c r="J3370" s="79" t="e">
        <f t="shared" si="222"/>
        <v>#VALUE!</v>
      </c>
      <c r="K3370" s="106"/>
      <c r="L3370" s="141"/>
      <c r="M3370" s="132"/>
      <c r="N3370" s="133"/>
      <c r="O3370" s="4"/>
      <c r="P3370" s="4"/>
      <c r="Q3370" s="4"/>
      <c r="R3370" s="4"/>
      <c r="S3370" s="4"/>
      <c r="T3370" s="4"/>
      <c r="U3370" s="4"/>
      <c r="V3370" s="4"/>
      <c r="W3370" s="4"/>
      <c r="X3370" s="4"/>
    </row>
    <row r="3371" spans="1:24" ht="14.25" customHeight="1">
      <c r="A3371" s="4"/>
      <c r="B3371" s="125"/>
      <c r="C3371" s="126"/>
      <c r="D3371" s="159"/>
      <c r="E3371" s="10" t="e">
        <f>TRIM(VLOOKUP(D3371,TB!$B$9:$C$1500,2,FALSE))</f>
        <v>#N/A</v>
      </c>
      <c r="F3371" s="142"/>
      <c r="G3371" s="130"/>
      <c r="H3371" s="10"/>
      <c r="I3371" s="10"/>
      <c r="J3371" s="79" t="e">
        <f t="shared" si="222"/>
        <v>#VALUE!</v>
      </c>
      <c r="K3371" s="106"/>
      <c r="L3371" s="141"/>
      <c r="M3371" s="132"/>
      <c r="N3371" s="133"/>
      <c r="O3371" s="4"/>
      <c r="P3371" s="4"/>
      <c r="Q3371" s="4"/>
      <c r="R3371" s="4"/>
      <c r="S3371" s="4"/>
      <c r="T3371" s="4"/>
      <c r="U3371" s="4"/>
      <c r="V3371" s="4"/>
      <c r="W3371" s="4"/>
      <c r="X3371" s="4"/>
    </row>
    <row r="3372" spans="1:24" ht="14.25" customHeight="1">
      <c r="A3372" s="4"/>
      <c r="B3372" s="125">
        <v>46196</v>
      </c>
      <c r="C3372" s="126" t="s">
        <v>1506</v>
      </c>
      <c r="D3372" s="68" t="s">
        <v>158</v>
      </c>
      <c r="E3372" s="10" t="str">
        <f>TRIM(VLOOKUP(D3372,TB!$B$9:$C$1500,2,FALSE))</f>
        <v>Mandiri TBB IDR</v>
      </c>
      <c r="F3372" s="142" t="s">
        <v>1507</v>
      </c>
      <c r="G3372" s="130"/>
      <c r="H3372" s="10">
        <f>I3374-H3373</f>
        <v>23547309.260000002</v>
      </c>
      <c r="I3372" s="10"/>
      <c r="J3372" s="79" t="e">
        <f t="shared" si="222"/>
        <v>#VALUE!</v>
      </c>
      <c r="K3372" s="106"/>
      <c r="L3372" s="141"/>
      <c r="M3372" s="132"/>
      <c r="N3372" s="133"/>
      <c r="O3372" s="4"/>
      <c r="P3372" s="4"/>
      <c r="Q3372" s="4"/>
      <c r="R3372" s="4"/>
      <c r="S3372" s="4"/>
      <c r="T3372" s="4"/>
      <c r="U3372" s="4"/>
      <c r="V3372" s="4"/>
      <c r="W3372" s="4"/>
      <c r="X3372" s="4"/>
    </row>
    <row r="3373" spans="1:24" ht="14.25" customHeight="1">
      <c r="A3373" s="4"/>
      <c r="B3373" s="125">
        <v>46196</v>
      </c>
      <c r="C3373" s="126" t="s">
        <v>1506</v>
      </c>
      <c r="D3373" s="15" t="s">
        <v>124</v>
      </c>
      <c r="E3373" s="10" t="str">
        <f>TRIM(VLOOKUP(D3373,TB!$B$9:$C$1500,2,FALSE))</f>
        <v>Bank charges</v>
      </c>
      <c r="F3373" s="142" t="str">
        <f t="shared" ref="F3373:F3374" si="229">F3372</f>
        <v>Mandiri CC 21-06-2026</v>
      </c>
      <c r="G3373" s="130"/>
      <c r="H3373" s="10">
        <f>1.8%*I3374</f>
        <v>431620.74000000005</v>
      </c>
      <c r="I3373" s="10"/>
      <c r="J3373" s="79" t="e">
        <f t="shared" si="222"/>
        <v>#VALUE!</v>
      </c>
      <c r="K3373" s="106"/>
      <c r="L3373" s="141"/>
      <c r="M3373" s="132"/>
      <c r="N3373" s="133"/>
      <c r="O3373" s="4"/>
      <c r="P3373" s="4"/>
      <c r="Q3373" s="4"/>
      <c r="R3373" s="4"/>
      <c r="S3373" s="4"/>
      <c r="T3373" s="4"/>
      <c r="U3373" s="4"/>
      <c r="V3373" s="4"/>
      <c r="W3373" s="4"/>
      <c r="X3373" s="4"/>
    </row>
    <row r="3374" spans="1:24" ht="14.25" customHeight="1">
      <c r="A3374" s="4"/>
      <c r="B3374" s="125">
        <v>46196</v>
      </c>
      <c r="C3374" s="126" t="s">
        <v>1506</v>
      </c>
      <c r="D3374" s="15" t="s">
        <v>48</v>
      </c>
      <c r="E3374" s="10" t="str">
        <f>TRIM(VLOOKUP(D3374,TB!$B$9:$C$1500,2,FALSE))</f>
        <v>Mandiri Card TBB</v>
      </c>
      <c r="F3374" s="142" t="str">
        <f t="shared" si="229"/>
        <v>Mandiri CC 21-06-2026</v>
      </c>
      <c r="G3374" s="130"/>
      <c r="H3374" s="10"/>
      <c r="I3374" s="10">
        <v>23978930</v>
      </c>
      <c r="J3374" s="79" t="e">
        <f t="shared" si="222"/>
        <v>#VALUE!</v>
      </c>
      <c r="K3374" s="106"/>
      <c r="L3374" s="141"/>
      <c r="M3374" s="132"/>
      <c r="N3374" s="133"/>
      <c r="O3374" s="4"/>
      <c r="P3374" s="4"/>
      <c r="Q3374" s="4"/>
      <c r="R3374" s="4"/>
      <c r="S3374" s="4"/>
      <c r="T3374" s="4"/>
      <c r="U3374" s="4"/>
      <c r="V3374" s="4"/>
      <c r="W3374" s="4"/>
      <c r="X3374" s="4"/>
    </row>
    <row r="3375" spans="1:24" ht="14.25" customHeight="1">
      <c r="A3375" s="4"/>
      <c r="B3375" s="125"/>
      <c r="C3375" s="126"/>
      <c r="D3375" s="159"/>
      <c r="E3375" s="10" t="e">
        <f>TRIM(VLOOKUP(D3375,TB!$B$9:$C$1500,2,FALSE))</f>
        <v>#N/A</v>
      </c>
      <c r="F3375" s="142"/>
      <c r="G3375" s="130"/>
      <c r="H3375" s="10"/>
      <c r="I3375" s="10"/>
      <c r="J3375" s="79" t="e">
        <f t="shared" si="222"/>
        <v>#VALUE!</v>
      </c>
      <c r="K3375" s="106"/>
      <c r="L3375" s="141"/>
      <c r="M3375" s="132"/>
      <c r="N3375" s="133"/>
      <c r="O3375" s="4"/>
      <c r="P3375" s="4"/>
      <c r="Q3375" s="4"/>
      <c r="R3375" s="4"/>
      <c r="S3375" s="4"/>
      <c r="T3375" s="4"/>
      <c r="U3375" s="4"/>
      <c r="V3375" s="4"/>
      <c r="W3375" s="4"/>
      <c r="X3375" s="4"/>
    </row>
    <row r="3376" spans="1:24" ht="14.25" customHeight="1">
      <c r="A3376" s="4"/>
      <c r="B3376" s="125">
        <v>46196</v>
      </c>
      <c r="C3376" s="126" t="s">
        <v>1508</v>
      </c>
      <c r="D3376" s="68" t="s">
        <v>158</v>
      </c>
      <c r="E3376" s="10" t="str">
        <f>TRIM(VLOOKUP(D3376,TB!$B$9:$C$1500,2,FALSE))</f>
        <v>Mandiri TBB IDR</v>
      </c>
      <c r="F3376" s="142" t="s">
        <v>1509</v>
      </c>
      <c r="G3376" s="130"/>
      <c r="H3376" s="10">
        <f>I3378-H3377</f>
        <v>4264688.5199999996</v>
      </c>
      <c r="I3376" s="10"/>
      <c r="J3376" s="79" t="e">
        <f t="shared" si="222"/>
        <v>#VALUE!</v>
      </c>
      <c r="K3376" s="106"/>
      <c r="L3376" s="141"/>
      <c r="M3376" s="132"/>
      <c r="N3376" s="133"/>
      <c r="O3376" s="4"/>
      <c r="P3376" s="4"/>
      <c r="Q3376" s="4"/>
      <c r="R3376" s="4"/>
      <c r="S3376" s="4"/>
      <c r="T3376" s="4"/>
      <c r="U3376" s="4"/>
      <c r="V3376" s="4"/>
      <c r="W3376" s="4"/>
      <c r="X3376" s="4"/>
    </row>
    <row r="3377" spans="1:24" ht="14.25" customHeight="1">
      <c r="A3377" s="4"/>
      <c r="B3377" s="125">
        <v>46196</v>
      </c>
      <c r="C3377" s="126" t="s">
        <v>1508</v>
      </c>
      <c r="D3377" s="15" t="s">
        <v>124</v>
      </c>
      <c r="E3377" s="10" t="str">
        <f>TRIM(VLOOKUP(D3377,TB!$B$9:$C$1500,2,FALSE))</f>
        <v>Bank charges</v>
      </c>
      <c r="F3377" s="142" t="str">
        <f t="shared" ref="F3377:F3378" si="230">F3376</f>
        <v>Mandiri NPG 21-06-2026</v>
      </c>
      <c r="G3377" s="130"/>
      <c r="H3377" s="10">
        <f>1.8%*I3378</f>
        <v>78171.48000000001</v>
      </c>
      <c r="I3377" s="10"/>
      <c r="J3377" s="79" t="e">
        <f t="shared" si="222"/>
        <v>#VALUE!</v>
      </c>
      <c r="K3377" s="106"/>
      <c r="L3377" s="141"/>
      <c r="M3377" s="132"/>
      <c r="N3377" s="133"/>
      <c r="O3377" s="4"/>
      <c r="P3377" s="4"/>
      <c r="Q3377" s="4"/>
      <c r="R3377" s="4"/>
      <c r="S3377" s="4"/>
      <c r="T3377" s="4"/>
      <c r="U3377" s="4"/>
      <c r="V3377" s="4"/>
      <c r="W3377" s="4"/>
      <c r="X3377" s="4"/>
    </row>
    <row r="3378" spans="1:24" ht="14.25" customHeight="1">
      <c r="A3378" s="4"/>
      <c r="B3378" s="125">
        <v>46196</v>
      </c>
      <c r="C3378" s="126" t="s">
        <v>1508</v>
      </c>
      <c r="D3378" s="15" t="s">
        <v>48</v>
      </c>
      <c r="E3378" s="10" t="str">
        <f>TRIM(VLOOKUP(D3378,TB!$B$9:$C$1500,2,FALSE))</f>
        <v>Mandiri Card TBB</v>
      </c>
      <c r="F3378" s="142" t="str">
        <f t="shared" si="230"/>
        <v>Mandiri NPG 21-06-2026</v>
      </c>
      <c r="G3378" s="130"/>
      <c r="H3378" s="10"/>
      <c r="I3378" s="10">
        <v>4342860</v>
      </c>
      <c r="J3378" s="79" t="e">
        <f t="shared" si="222"/>
        <v>#VALUE!</v>
      </c>
      <c r="K3378" s="106"/>
      <c r="L3378" s="141"/>
      <c r="M3378" s="132"/>
      <c r="N3378" s="133"/>
      <c r="O3378" s="4"/>
      <c r="P3378" s="4"/>
      <c r="Q3378" s="4"/>
      <c r="R3378" s="4"/>
      <c r="S3378" s="4"/>
      <c r="T3378" s="4"/>
      <c r="U3378" s="4"/>
      <c r="V3378" s="4"/>
      <c r="W3378" s="4"/>
      <c r="X3378" s="4"/>
    </row>
    <row r="3379" spans="1:24" ht="14.25" customHeight="1">
      <c r="A3379" s="4"/>
      <c r="B3379" s="125"/>
      <c r="C3379" s="126"/>
      <c r="D3379" s="159"/>
      <c r="E3379" s="10" t="e">
        <f>TRIM(VLOOKUP(D3379,TB!$B$9:$C$1500,2,FALSE))</f>
        <v>#N/A</v>
      </c>
      <c r="F3379" s="142"/>
      <c r="G3379" s="130"/>
      <c r="H3379" s="10"/>
      <c r="I3379" s="10"/>
      <c r="J3379" s="79" t="e">
        <f t="shared" si="222"/>
        <v>#VALUE!</v>
      </c>
      <c r="K3379" s="106"/>
      <c r="L3379" s="141"/>
      <c r="M3379" s="132"/>
      <c r="N3379" s="133"/>
      <c r="O3379" s="4"/>
      <c r="P3379" s="4"/>
      <c r="Q3379" s="4"/>
      <c r="R3379" s="4"/>
      <c r="S3379" s="4"/>
      <c r="T3379" s="4"/>
      <c r="U3379" s="4"/>
      <c r="V3379" s="4"/>
      <c r="W3379" s="4"/>
      <c r="X3379" s="4"/>
    </row>
    <row r="3380" spans="1:24" ht="14.25" customHeight="1">
      <c r="A3380" s="4"/>
      <c r="B3380" s="125">
        <v>46196</v>
      </c>
      <c r="C3380" s="126" t="s">
        <v>1510</v>
      </c>
      <c r="D3380" s="68" t="s">
        <v>158</v>
      </c>
      <c r="E3380" s="10" t="str">
        <f>TRIM(VLOOKUP(D3380,TB!$B$9:$C$1500,2,FALSE))</f>
        <v>Mandiri TBB IDR</v>
      </c>
      <c r="F3380" s="142" t="s">
        <v>1511</v>
      </c>
      <c r="G3380" s="130"/>
      <c r="H3380" s="10">
        <f>I3382-H3381</f>
        <v>8690396.5620000008</v>
      </c>
      <c r="I3380" s="10"/>
      <c r="J3380" s="79" t="e">
        <f t="shared" si="222"/>
        <v>#VALUE!</v>
      </c>
      <c r="K3380" s="106"/>
      <c r="L3380" s="141"/>
      <c r="M3380" s="132"/>
      <c r="N3380" s="133"/>
      <c r="O3380" s="4"/>
      <c r="P3380" s="4"/>
      <c r="Q3380" s="4"/>
      <c r="R3380" s="4"/>
      <c r="S3380" s="4"/>
      <c r="T3380" s="4"/>
      <c r="U3380" s="4"/>
      <c r="V3380" s="4"/>
      <c r="W3380" s="4"/>
      <c r="X3380" s="4"/>
    </row>
    <row r="3381" spans="1:24" ht="14.25" customHeight="1">
      <c r="A3381" s="4"/>
      <c r="B3381" s="125">
        <v>46196</v>
      </c>
      <c r="C3381" s="126" t="s">
        <v>1510</v>
      </c>
      <c r="D3381" s="15" t="s">
        <v>124</v>
      </c>
      <c r="E3381" s="10" t="str">
        <f>TRIM(VLOOKUP(D3381,TB!$B$9:$C$1500,2,FALSE))</f>
        <v>Bank charges</v>
      </c>
      <c r="F3381" s="142" t="str">
        <f t="shared" ref="F3381:F3382" si="231">F3380</f>
        <v>Mandiri QR 21-06-2026</v>
      </c>
      <c r="G3381" s="130"/>
      <c r="H3381" s="10">
        <f>1.8%*I3382</f>
        <v>159294.43800000002</v>
      </c>
      <c r="I3381" s="10"/>
      <c r="J3381" s="79" t="e">
        <f t="shared" si="222"/>
        <v>#VALUE!</v>
      </c>
      <c r="K3381" s="106"/>
      <c r="L3381" s="141"/>
      <c r="M3381" s="132"/>
      <c r="N3381" s="133"/>
      <c r="O3381" s="4"/>
      <c r="P3381" s="4"/>
      <c r="Q3381" s="4"/>
      <c r="R3381" s="4"/>
      <c r="S3381" s="4"/>
      <c r="T3381" s="4"/>
      <c r="U3381" s="4"/>
      <c r="V3381" s="4"/>
      <c r="W3381" s="4"/>
      <c r="X3381" s="4"/>
    </row>
    <row r="3382" spans="1:24" ht="14.25" customHeight="1">
      <c r="A3382" s="4"/>
      <c r="B3382" s="125">
        <v>46196</v>
      </c>
      <c r="C3382" s="126" t="s">
        <v>1510</v>
      </c>
      <c r="D3382" s="15" t="s">
        <v>48</v>
      </c>
      <c r="E3382" s="10" t="str">
        <f>TRIM(VLOOKUP(D3382,TB!$B$9:$C$1500,2,FALSE))</f>
        <v>Mandiri Card TBB</v>
      </c>
      <c r="F3382" s="142" t="str">
        <f t="shared" si="231"/>
        <v>Mandiri QR 21-06-2026</v>
      </c>
      <c r="G3382" s="130"/>
      <c r="H3382" s="10"/>
      <c r="I3382" s="10">
        <v>8849691</v>
      </c>
      <c r="J3382" s="79" t="e">
        <f t="shared" si="222"/>
        <v>#VALUE!</v>
      </c>
      <c r="K3382" s="106"/>
      <c r="L3382" s="141"/>
      <c r="M3382" s="132"/>
      <c r="N3382" s="133"/>
      <c r="O3382" s="4"/>
      <c r="P3382" s="4"/>
      <c r="Q3382" s="4"/>
      <c r="R3382" s="4"/>
      <c r="S3382" s="4"/>
      <c r="T3382" s="4"/>
      <c r="U3382" s="4"/>
      <c r="V3382" s="4"/>
      <c r="W3382" s="4"/>
      <c r="X3382" s="4"/>
    </row>
    <row r="3383" spans="1:24" ht="14.25" customHeight="1">
      <c r="A3383" s="4"/>
      <c r="B3383" s="125"/>
      <c r="C3383" s="126"/>
      <c r="D3383" s="159"/>
      <c r="E3383" s="10" t="e">
        <f>TRIM(VLOOKUP(D3383,TB!$B$9:$C$1500,2,FALSE))</f>
        <v>#N/A</v>
      </c>
      <c r="F3383" s="142"/>
      <c r="G3383" s="130"/>
      <c r="H3383" s="10"/>
      <c r="I3383" s="10">
        <f>SUM(H3382)</f>
        <v>0</v>
      </c>
      <c r="J3383" s="79" t="e">
        <f t="shared" si="222"/>
        <v>#VALUE!</v>
      </c>
      <c r="K3383" s="106"/>
      <c r="L3383" s="141"/>
      <c r="M3383" s="132"/>
      <c r="N3383" s="133"/>
      <c r="O3383" s="4"/>
      <c r="P3383" s="4"/>
      <c r="Q3383" s="4"/>
      <c r="R3383" s="4"/>
      <c r="S3383" s="4"/>
      <c r="T3383" s="4"/>
      <c r="U3383" s="4"/>
      <c r="V3383" s="4"/>
      <c r="W3383" s="4"/>
      <c r="X3383" s="4"/>
    </row>
    <row r="3384" spans="1:24" ht="14.25" customHeight="1">
      <c r="A3384" s="4"/>
      <c r="B3384" s="125">
        <v>46197</v>
      </c>
      <c r="C3384" s="126" t="s">
        <v>1512</v>
      </c>
      <c r="D3384" s="68" t="s">
        <v>158</v>
      </c>
      <c r="E3384" s="10" t="str">
        <f>TRIM(VLOOKUP(D3384,TB!$B$9:$C$1500,2,FALSE))</f>
        <v>Mandiri TBB IDR</v>
      </c>
      <c r="F3384" s="142" t="s">
        <v>1513</v>
      </c>
      <c r="G3384" s="130"/>
      <c r="H3384" s="10">
        <f>I3386-H3385</f>
        <v>3201604.78</v>
      </c>
      <c r="I3384" s="10"/>
      <c r="J3384" s="79" t="e">
        <f t="shared" si="222"/>
        <v>#VALUE!</v>
      </c>
      <c r="K3384" s="106"/>
      <c r="L3384" s="141"/>
      <c r="M3384" s="132"/>
      <c r="N3384" s="133"/>
      <c r="O3384" s="4"/>
      <c r="P3384" s="4"/>
      <c r="Q3384" s="4"/>
      <c r="R3384" s="4"/>
      <c r="S3384" s="4"/>
      <c r="T3384" s="4"/>
      <c r="U3384" s="4"/>
      <c r="V3384" s="4"/>
      <c r="W3384" s="4"/>
      <c r="X3384" s="4"/>
    </row>
    <row r="3385" spans="1:24" ht="14.25" customHeight="1">
      <c r="A3385" s="4"/>
      <c r="B3385" s="125">
        <v>46197</v>
      </c>
      <c r="C3385" s="126" t="s">
        <v>1512</v>
      </c>
      <c r="D3385" s="15" t="s">
        <v>124</v>
      </c>
      <c r="E3385" s="10" t="str">
        <f>TRIM(VLOOKUP(D3385,TB!$B$9:$C$1500,2,FALSE))</f>
        <v>Bank charges</v>
      </c>
      <c r="F3385" s="142" t="str">
        <f t="shared" ref="F3385:F3386" si="232">F3384</f>
        <v>Mandiri Debet 22-06-2026</v>
      </c>
      <c r="G3385" s="130"/>
      <c r="H3385" s="10">
        <f>1.8%*I3386</f>
        <v>58685.220000000008</v>
      </c>
      <c r="I3385" s="10"/>
      <c r="J3385" s="79" t="e">
        <f t="shared" si="222"/>
        <v>#VALUE!</v>
      </c>
      <c r="K3385" s="106"/>
      <c r="L3385" s="141"/>
      <c r="M3385" s="132"/>
      <c r="N3385" s="133"/>
      <c r="O3385" s="4"/>
      <c r="P3385" s="4"/>
      <c r="Q3385" s="4"/>
      <c r="R3385" s="4"/>
      <c r="S3385" s="4"/>
      <c r="T3385" s="4"/>
      <c r="U3385" s="4"/>
      <c r="V3385" s="4"/>
      <c r="W3385" s="4"/>
      <c r="X3385" s="4"/>
    </row>
    <row r="3386" spans="1:24" ht="14.25" customHeight="1">
      <c r="A3386" s="4"/>
      <c r="B3386" s="125">
        <v>46197</v>
      </c>
      <c r="C3386" s="126" t="s">
        <v>1512</v>
      </c>
      <c r="D3386" s="15" t="s">
        <v>48</v>
      </c>
      <c r="E3386" s="10" t="str">
        <f>TRIM(VLOOKUP(D3386,TB!$B$9:$C$1500,2,FALSE))</f>
        <v>Mandiri Card TBB</v>
      </c>
      <c r="F3386" s="142" t="str">
        <f t="shared" si="232"/>
        <v>Mandiri Debet 22-06-2026</v>
      </c>
      <c r="G3386" s="130"/>
      <c r="H3386" s="10"/>
      <c r="I3386" s="10">
        <v>3260290</v>
      </c>
      <c r="J3386" s="79" t="e">
        <f t="shared" si="222"/>
        <v>#VALUE!</v>
      </c>
      <c r="K3386" s="106"/>
      <c r="L3386" s="141"/>
      <c r="M3386" s="132"/>
      <c r="N3386" s="133"/>
      <c r="O3386" s="4"/>
      <c r="P3386" s="4"/>
      <c r="Q3386" s="4"/>
      <c r="R3386" s="4"/>
      <c r="S3386" s="4"/>
      <c r="T3386" s="4"/>
      <c r="U3386" s="4"/>
      <c r="V3386" s="4"/>
      <c r="W3386" s="4"/>
      <c r="X3386" s="4"/>
    </row>
    <row r="3387" spans="1:24" ht="14.25" customHeight="1">
      <c r="A3387" s="4"/>
      <c r="B3387" s="125"/>
      <c r="C3387" s="126"/>
      <c r="D3387" s="159"/>
      <c r="E3387" s="10" t="e">
        <f>TRIM(VLOOKUP(D3387,TB!$B$9:$C$1500,2,FALSE))</f>
        <v>#N/A</v>
      </c>
      <c r="F3387" s="142"/>
      <c r="G3387" s="130"/>
      <c r="H3387" s="10"/>
      <c r="I3387" s="10"/>
      <c r="J3387" s="79" t="e">
        <f t="shared" si="222"/>
        <v>#VALUE!</v>
      </c>
      <c r="K3387" s="106"/>
      <c r="L3387" s="141"/>
      <c r="M3387" s="132"/>
      <c r="N3387" s="133"/>
      <c r="O3387" s="4"/>
      <c r="P3387" s="4"/>
      <c r="Q3387" s="4"/>
      <c r="R3387" s="4"/>
      <c r="S3387" s="4"/>
      <c r="T3387" s="4"/>
      <c r="U3387" s="4"/>
      <c r="V3387" s="4"/>
      <c r="W3387" s="4"/>
      <c r="X3387" s="4"/>
    </row>
    <row r="3388" spans="1:24" ht="14.25" customHeight="1">
      <c r="A3388" s="4"/>
      <c r="B3388" s="125">
        <v>46197</v>
      </c>
      <c r="C3388" s="126" t="s">
        <v>1514</v>
      </c>
      <c r="D3388" s="68" t="s">
        <v>158</v>
      </c>
      <c r="E3388" s="10" t="str">
        <f>TRIM(VLOOKUP(D3388,TB!$B$9:$C$1500,2,FALSE))</f>
        <v>Mandiri TBB IDR</v>
      </c>
      <c r="F3388" s="142" t="s">
        <v>1515</v>
      </c>
      <c r="G3388" s="130"/>
      <c r="H3388" s="10">
        <f>I3390-H3389</f>
        <v>23239525.91</v>
      </c>
      <c r="I3388" s="10"/>
      <c r="J3388" s="79" t="e">
        <f t="shared" si="222"/>
        <v>#VALUE!</v>
      </c>
      <c r="K3388" s="106"/>
      <c r="L3388" s="141"/>
      <c r="M3388" s="132"/>
      <c r="N3388" s="133"/>
      <c r="O3388" s="4"/>
      <c r="P3388" s="4"/>
      <c r="Q3388" s="4"/>
      <c r="R3388" s="4"/>
      <c r="S3388" s="4"/>
      <c r="T3388" s="4"/>
      <c r="U3388" s="4"/>
      <c r="V3388" s="4"/>
      <c r="W3388" s="4"/>
      <c r="X3388" s="4"/>
    </row>
    <row r="3389" spans="1:24" ht="14.25" customHeight="1">
      <c r="A3389" s="4"/>
      <c r="B3389" s="125">
        <v>46197</v>
      </c>
      <c r="C3389" s="126" t="s">
        <v>1514</v>
      </c>
      <c r="D3389" s="15" t="s">
        <v>124</v>
      </c>
      <c r="E3389" s="10" t="str">
        <f>TRIM(VLOOKUP(D3389,TB!$B$9:$C$1500,2,FALSE))</f>
        <v>Bank charges</v>
      </c>
      <c r="F3389" s="142" t="str">
        <f t="shared" ref="F3389:F3390" si="233">F3388</f>
        <v>Mandiri CC 22-06-2026</v>
      </c>
      <c r="G3389" s="130"/>
      <c r="H3389" s="10">
        <f>1.8%*I3390</f>
        <v>425979.09</v>
      </c>
      <c r="I3389" s="10"/>
      <c r="J3389" s="79" t="e">
        <f t="shared" si="222"/>
        <v>#VALUE!</v>
      </c>
      <c r="K3389" s="106"/>
      <c r="L3389" s="141"/>
      <c r="M3389" s="132"/>
      <c r="N3389" s="133"/>
      <c r="O3389" s="4"/>
      <c r="P3389" s="4"/>
      <c r="Q3389" s="4"/>
      <c r="R3389" s="4"/>
      <c r="S3389" s="4"/>
      <c r="T3389" s="4"/>
      <c r="U3389" s="4"/>
      <c r="V3389" s="4"/>
      <c r="W3389" s="4"/>
      <c r="X3389" s="4"/>
    </row>
    <row r="3390" spans="1:24" ht="14.25" customHeight="1">
      <c r="A3390" s="4"/>
      <c r="B3390" s="125">
        <v>46197</v>
      </c>
      <c r="C3390" s="126" t="s">
        <v>1514</v>
      </c>
      <c r="D3390" s="15" t="s">
        <v>48</v>
      </c>
      <c r="E3390" s="10" t="str">
        <f>TRIM(VLOOKUP(D3390,TB!$B$9:$C$1500,2,FALSE))</f>
        <v>Mandiri Card TBB</v>
      </c>
      <c r="F3390" s="142" t="str">
        <f t="shared" si="233"/>
        <v>Mandiri CC 22-06-2026</v>
      </c>
      <c r="G3390" s="130"/>
      <c r="H3390" s="10"/>
      <c r="I3390" s="10">
        <v>23665505</v>
      </c>
      <c r="J3390" s="79" t="e">
        <f t="shared" si="222"/>
        <v>#VALUE!</v>
      </c>
      <c r="K3390" s="106"/>
      <c r="L3390" s="141"/>
      <c r="M3390" s="132"/>
      <c r="N3390" s="133"/>
      <c r="O3390" s="4"/>
      <c r="P3390" s="4"/>
      <c r="Q3390" s="4"/>
      <c r="R3390" s="4"/>
      <c r="S3390" s="4"/>
      <c r="T3390" s="4"/>
      <c r="U3390" s="4"/>
      <c r="V3390" s="4"/>
      <c r="W3390" s="4"/>
      <c r="X3390" s="4"/>
    </row>
    <row r="3391" spans="1:24" ht="14.25" customHeight="1">
      <c r="A3391" s="4"/>
      <c r="B3391" s="125"/>
      <c r="C3391" s="126"/>
      <c r="D3391" s="159"/>
      <c r="E3391" s="10" t="e">
        <f>TRIM(VLOOKUP(D3391,TB!$B$9:$C$1500,2,FALSE))</f>
        <v>#N/A</v>
      </c>
      <c r="F3391" s="142"/>
      <c r="G3391" s="130"/>
      <c r="H3391" s="10"/>
      <c r="I3391" s="10"/>
      <c r="J3391" s="79" t="e">
        <f t="shared" si="222"/>
        <v>#VALUE!</v>
      </c>
      <c r="K3391" s="106"/>
      <c r="L3391" s="141"/>
      <c r="M3391" s="132"/>
      <c r="N3391" s="133"/>
      <c r="O3391" s="4"/>
      <c r="P3391" s="4"/>
      <c r="Q3391" s="4"/>
      <c r="R3391" s="4"/>
      <c r="S3391" s="4"/>
      <c r="T3391" s="4"/>
      <c r="U3391" s="4"/>
      <c r="V3391" s="4"/>
      <c r="W3391" s="4"/>
      <c r="X3391" s="4"/>
    </row>
    <row r="3392" spans="1:24" ht="14.25" customHeight="1">
      <c r="A3392" s="4"/>
      <c r="B3392" s="125">
        <v>46197</v>
      </c>
      <c r="C3392" s="126" t="s">
        <v>1516</v>
      </c>
      <c r="D3392" s="68" t="s">
        <v>158</v>
      </c>
      <c r="E3392" s="10" t="str">
        <f>TRIM(VLOOKUP(D3392,TB!$B$9:$C$1500,2,FALSE))</f>
        <v>Mandiri TBB IDR</v>
      </c>
      <c r="F3392" s="142" t="s">
        <v>1517</v>
      </c>
      <c r="G3392" s="130"/>
      <c r="H3392" s="10">
        <f>I3394-H3393</f>
        <v>1525320.96</v>
      </c>
      <c r="I3392" s="10"/>
      <c r="J3392" s="79" t="e">
        <f t="shared" si="222"/>
        <v>#VALUE!</v>
      </c>
      <c r="K3392" s="106"/>
      <c r="L3392" s="141"/>
      <c r="M3392" s="132"/>
      <c r="N3392" s="133"/>
      <c r="O3392" s="4"/>
      <c r="P3392" s="4"/>
      <c r="Q3392" s="4"/>
      <c r="R3392" s="4"/>
      <c r="S3392" s="4"/>
      <c r="T3392" s="4"/>
      <c r="U3392" s="4"/>
      <c r="V3392" s="4"/>
      <c r="W3392" s="4"/>
      <c r="X3392" s="4"/>
    </row>
    <row r="3393" spans="1:24" ht="14.25" customHeight="1">
      <c r="A3393" s="4"/>
      <c r="B3393" s="125">
        <v>46197</v>
      </c>
      <c r="C3393" s="126" t="s">
        <v>1516</v>
      </c>
      <c r="D3393" s="15" t="s">
        <v>124</v>
      </c>
      <c r="E3393" s="10" t="str">
        <f>TRIM(VLOOKUP(D3393,TB!$B$9:$C$1500,2,FALSE))</f>
        <v>Bank charges</v>
      </c>
      <c r="F3393" s="142" t="str">
        <f t="shared" ref="F3393:F3394" si="234">F3392</f>
        <v>Mandiri NPG 22-06-2026</v>
      </c>
      <c r="G3393" s="130"/>
      <c r="H3393" s="10">
        <f>1.8%*I3394</f>
        <v>27959.040000000005</v>
      </c>
      <c r="I3393" s="10"/>
      <c r="J3393" s="79" t="e">
        <f t="shared" si="222"/>
        <v>#VALUE!</v>
      </c>
      <c r="K3393" s="106"/>
      <c r="L3393" s="141"/>
      <c r="M3393" s="132"/>
      <c r="N3393" s="133"/>
      <c r="O3393" s="4"/>
      <c r="P3393" s="4"/>
      <c r="Q3393" s="4"/>
      <c r="R3393" s="4"/>
      <c r="S3393" s="4"/>
      <c r="T3393" s="4"/>
      <c r="U3393" s="4"/>
      <c r="V3393" s="4"/>
      <c r="W3393" s="4"/>
      <c r="X3393" s="4"/>
    </row>
    <row r="3394" spans="1:24" ht="14.25" customHeight="1">
      <c r="A3394" s="4"/>
      <c r="B3394" s="125">
        <v>46197</v>
      </c>
      <c r="C3394" s="126" t="s">
        <v>1516</v>
      </c>
      <c r="D3394" s="15" t="s">
        <v>48</v>
      </c>
      <c r="E3394" s="10" t="str">
        <f>TRIM(VLOOKUP(D3394,TB!$B$9:$C$1500,2,FALSE))</f>
        <v>Mandiri Card TBB</v>
      </c>
      <c r="F3394" s="142" t="str">
        <f t="shared" si="234"/>
        <v>Mandiri NPG 22-06-2026</v>
      </c>
      <c r="G3394" s="130"/>
      <c r="H3394" s="10"/>
      <c r="I3394" s="10">
        <v>1553280</v>
      </c>
      <c r="J3394" s="79" t="e">
        <f t="shared" si="222"/>
        <v>#VALUE!</v>
      </c>
      <c r="K3394" s="106"/>
      <c r="L3394" s="141"/>
      <c r="M3394" s="132"/>
      <c r="N3394" s="133"/>
      <c r="O3394" s="4"/>
      <c r="P3394" s="4"/>
      <c r="Q3394" s="4"/>
      <c r="R3394" s="4"/>
      <c r="S3394" s="4"/>
      <c r="T3394" s="4"/>
      <c r="U3394" s="4"/>
      <c r="V3394" s="4"/>
      <c r="W3394" s="4"/>
      <c r="X3394" s="4"/>
    </row>
    <row r="3395" spans="1:24" ht="14.25" customHeight="1">
      <c r="A3395" s="4"/>
      <c r="B3395" s="125"/>
      <c r="C3395" s="126"/>
      <c r="D3395" s="159"/>
      <c r="E3395" s="10" t="e">
        <f>TRIM(VLOOKUP(D3395,TB!$B$9:$C$1500,2,FALSE))</f>
        <v>#N/A</v>
      </c>
      <c r="F3395" s="142"/>
      <c r="G3395" s="130"/>
      <c r="H3395" s="10"/>
      <c r="I3395" s="10"/>
      <c r="J3395" s="79" t="e">
        <f t="shared" si="222"/>
        <v>#VALUE!</v>
      </c>
      <c r="K3395" s="106"/>
      <c r="L3395" s="141"/>
      <c r="M3395" s="132"/>
      <c r="N3395" s="133"/>
      <c r="O3395" s="4"/>
      <c r="P3395" s="4"/>
      <c r="Q3395" s="4"/>
      <c r="R3395" s="4"/>
      <c r="S3395" s="4"/>
      <c r="T3395" s="4"/>
      <c r="U3395" s="4"/>
      <c r="V3395" s="4"/>
      <c r="W3395" s="4"/>
      <c r="X3395" s="4"/>
    </row>
    <row r="3396" spans="1:24" ht="14.25" customHeight="1">
      <c r="A3396" s="4"/>
      <c r="B3396" s="125">
        <v>46197</v>
      </c>
      <c r="C3396" s="126" t="s">
        <v>1518</v>
      </c>
      <c r="D3396" s="68" t="s">
        <v>158</v>
      </c>
      <c r="E3396" s="10" t="str">
        <f>TRIM(VLOOKUP(D3396,TB!$B$9:$C$1500,2,FALSE))</f>
        <v>Mandiri TBB IDR</v>
      </c>
      <c r="F3396" s="142" t="s">
        <v>1519</v>
      </c>
      <c r="G3396" s="130"/>
      <c r="H3396" s="10">
        <f>I3398-H3397</f>
        <v>2816541.9580000001</v>
      </c>
      <c r="I3396" s="10"/>
      <c r="J3396" s="79" t="e">
        <f t="shared" si="222"/>
        <v>#VALUE!</v>
      </c>
      <c r="K3396" s="106"/>
      <c r="L3396" s="141"/>
      <c r="M3396" s="132"/>
      <c r="N3396" s="133"/>
      <c r="O3396" s="4"/>
      <c r="P3396" s="4"/>
      <c r="Q3396" s="4"/>
      <c r="R3396" s="4"/>
      <c r="S3396" s="4"/>
      <c r="T3396" s="4"/>
      <c r="U3396" s="4"/>
      <c r="V3396" s="4"/>
      <c r="W3396" s="4"/>
      <c r="X3396" s="4"/>
    </row>
    <row r="3397" spans="1:24" ht="14.25" customHeight="1">
      <c r="A3397" s="4"/>
      <c r="B3397" s="125">
        <v>46197</v>
      </c>
      <c r="C3397" s="126" t="s">
        <v>1518</v>
      </c>
      <c r="D3397" s="15" t="s">
        <v>124</v>
      </c>
      <c r="E3397" s="10" t="str">
        <f>TRIM(VLOOKUP(D3397,TB!$B$9:$C$1500,2,FALSE))</f>
        <v>Bank charges</v>
      </c>
      <c r="F3397" s="142" t="str">
        <f t="shared" ref="F3397:F3398" si="235">F3396</f>
        <v>Mandiri QR 22-06-2026</v>
      </c>
      <c r="G3397" s="130"/>
      <c r="H3397" s="10">
        <f>1.8%*I3398</f>
        <v>51627.042000000009</v>
      </c>
      <c r="I3397" s="10"/>
      <c r="J3397" s="79" t="e">
        <f t="shared" si="222"/>
        <v>#VALUE!</v>
      </c>
      <c r="K3397" s="106"/>
      <c r="L3397" s="141"/>
      <c r="M3397" s="132"/>
      <c r="N3397" s="133"/>
      <c r="O3397" s="4"/>
      <c r="P3397" s="4"/>
      <c r="Q3397" s="4"/>
      <c r="R3397" s="4"/>
      <c r="S3397" s="4"/>
      <c r="T3397" s="4"/>
      <c r="U3397" s="4"/>
      <c r="V3397" s="4"/>
      <c r="W3397" s="4"/>
      <c r="X3397" s="4"/>
    </row>
    <row r="3398" spans="1:24" ht="14.25" customHeight="1">
      <c r="A3398" s="4"/>
      <c r="B3398" s="125">
        <v>46197</v>
      </c>
      <c r="C3398" s="126" t="s">
        <v>1518</v>
      </c>
      <c r="D3398" s="15" t="s">
        <v>48</v>
      </c>
      <c r="E3398" s="10" t="str">
        <f>TRIM(VLOOKUP(D3398,TB!$B$9:$C$1500,2,FALSE))</f>
        <v>Mandiri Card TBB</v>
      </c>
      <c r="F3398" s="142" t="str">
        <f t="shared" si="235"/>
        <v>Mandiri QR 22-06-2026</v>
      </c>
      <c r="G3398" s="130"/>
      <c r="H3398" s="10"/>
      <c r="I3398" s="10">
        <v>2868169</v>
      </c>
      <c r="J3398" s="79" t="e">
        <f t="shared" si="222"/>
        <v>#VALUE!</v>
      </c>
      <c r="K3398" s="106"/>
      <c r="L3398" s="141"/>
      <c r="M3398" s="132"/>
      <c r="N3398" s="133"/>
      <c r="O3398" s="4"/>
      <c r="P3398" s="4"/>
      <c r="Q3398" s="4"/>
      <c r="R3398" s="4"/>
      <c r="S3398" s="4"/>
      <c r="T3398" s="4"/>
      <c r="U3398" s="4"/>
      <c r="V3398" s="4"/>
      <c r="W3398" s="4"/>
      <c r="X3398" s="4"/>
    </row>
    <row r="3399" spans="1:24" ht="14.25" customHeight="1">
      <c r="A3399" s="4"/>
      <c r="B3399" s="125"/>
      <c r="C3399" s="126"/>
      <c r="D3399" s="159"/>
      <c r="E3399" s="10" t="e">
        <f>TRIM(VLOOKUP(D3399,TB!$B$9:$C$1500,2,FALSE))</f>
        <v>#N/A</v>
      </c>
      <c r="F3399" s="142"/>
      <c r="G3399" s="130"/>
      <c r="H3399" s="10"/>
      <c r="I3399" s="10">
        <f t="shared" ref="I3399:I3405" si="236">SUM(H3398)</f>
        <v>0</v>
      </c>
      <c r="J3399" s="79" t="e">
        <f t="shared" si="222"/>
        <v>#VALUE!</v>
      </c>
      <c r="K3399" s="106"/>
      <c r="L3399" s="141"/>
      <c r="M3399" s="132"/>
      <c r="N3399" s="133"/>
      <c r="O3399" s="4"/>
      <c r="P3399" s="4"/>
      <c r="Q3399" s="4"/>
      <c r="R3399" s="4"/>
      <c r="S3399" s="4"/>
      <c r="T3399" s="4"/>
      <c r="U3399" s="4"/>
      <c r="V3399" s="4"/>
      <c r="W3399" s="4"/>
      <c r="X3399" s="4"/>
    </row>
    <row r="3400" spans="1:24" ht="14.25" customHeight="1">
      <c r="A3400" s="4"/>
      <c r="B3400" s="125">
        <v>46198</v>
      </c>
      <c r="C3400" s="126" t="s">
        <v>1520</v>
      </c>
      <c r="D3400" s="15" t="s">
        <v>403</v>
      </c>
      <c r="E3400" s="10" t="str">
        <f>TRIM(VLOOKUP(D3400,TB!$B$9:$C$1500,2,FALSE))</f>
        <v>Security/Police/Banjar Costs</v>
      </c>
      <c r="F3400" s="192" t="s">
        <v>1521</v>
      </c>
      <c r="G3400" s="193"/>
      <c r="H3400" s="184">
        <v>3500000</v>
      </c>
      <c r="I3400" s="10">
        <f t="shared" si="236"/>
        <v>0</v>
      </c>
      <c r="J3400" s="79" t="e">
        <f t="shared" si="222"/>
        <v>#VALUE!</v>
      </c>
      <c r="K3400" s="106"/>
      <c r="L3400" s="141"/>
      <c r="M3400" s="132"/>
      <c r="N3400" s="133"/>
      <c r="O3400" s="4"/>
      <c r="P3400" s="4"/>
      <c r="Q3400" s="4"/>
      <c r="R3400" s="4"/>
      <c r="S3400" s="4"/>
      <c r="T3400" s="4"/>
      <c r="U3400" s="4"/>
      <c r="V3400" s="4"/>
      <c r="W3400" s="4"/>
      <c r="X3400" s="4"/>
    </row>
    <row r="3401" spans="1:24" ht="14.25" customHeight="1">
      <c r="A3401" s="4"/>
      <c r="B3401" s="125">
        <v>46198</v>
      </c>
      <c r="C3401" s="126" t="s">
        <v>1520</v>
      </c>
      <c r="D3401" s="68" t="s">
        <v>158</v>
      </c>
      <c r="E3401" s="10" t="str">
        <f>TRIM(VLOOKUP(D3401,TB!$B$9:$C$1500,2,FALSE))</f>
        <v>Mandiri TBB IDR</v>
      </c>
      <c r="F3401" s="142" t="str">
        <f>F3400</f>
        <v>Satpol PP-soal complain suara bocor,kasusnya sdh sampai ke Kadis, td sdh teken BAP</v>
      </c>
      <c r="G3401" s="130"/>
      <c r="H3401" s="10"/>
      <c r="I3401" s="10">
        <f t="shared" si="236"/>
        <v>3500000</v>
      </c>
      <c r="J3401" s="79" t="e">
        <f t="shared" si="222"/>
        <v>#VALUE!</v>
      </c>
      <c r="K3401" s="106"/>
      <c r="L3401" s="141"/>
      <c r="M3401" s="132"/>
      <c r="N3401" s="133"/>
      <c r="O3401" s="4"/>
      <c r="P3401" s="4"/>
      <c r="Q3401" s="4"/>
      <c r="R3401" s="4"/>
      <c r="S3401" s="4"/>
      <c r="T3401" s="4"/>
      <c r="U3401" s="4"/>
      <c r="V3401" s="4"/>
      <c r="W3401" s="4"/>
      <c r="X3401" s="4"/>
    </row>
    <row r="3402" spans="1:24" ht="14.25" customHeight="1">
      <c r="A3402" s="4"/>
      <c r="B3402" s="125"/>
      <c r="C3402" s="126"/>
      <c r="D3402" s="159"/>
      <c r="E3402" s="10" t="e">
        <f>TRIM(VLOOKUP(D3402,TB!$B$9:$C$1500,2,FALSE))</f>
        <v>#N/A</v>
      </c>
      <c r="F3402" s="142"/>
      <c r="G3402" s="130"/>
      <c r="H3402" s="10"/>
      <c r="I3402" s="10">
        <f t="shared" si="236"/>
        <v>0</v>
      </c>
      <c r="J3402" s="79" t="e">
        <f t="shared" si="222"/>
        <v>#VALUE!</v>
      </c>
      <c r="K3402" s="106"/>
      <c r="L3402" s="141"/>
      <c r="M3402" s="132"/>
      <c r="N3402" s="133"/>
      <c r="O3402" s="4"/>
      <c r="P3402" s="4"/>
      <c r="Q3402" s="4"/>
      <c r="R3402" s="4"/>
      <c r="S3402" s="4"/>
      <c r="T3402" s="4"/>
      <c r="U3402" s="4"/>
      <c r="V3402" s="4"/>
      <c r="W3402" s="4"/>
      <c r="X3402" s="4"/>
    </row>
    <row r="3403" spans="1:24" ht="14.25" customHeight="1">
      <c r="A3403" s="4"/>
      <c r="B3403" s="125">
        <v>46198</v>
      </c>
      <c r="C3403" s="126" t="s">
        <v>1522</v>
      </c>
      <c r="D3403" s="15" t="s">
        <v>71</v>
      </c>
      <c r="E3403" s="10" t="str">
        <f>TRIM(VLOOKUP(D3403,TB!$B$9:$C$1500,2,FALSE))</f>
        <v>Guest Typing Charges Payable to Staff</v>
      </c>
      <c r="F3403" s="142" t="s">
        <v>1523</v>
      </c>
      <c r="G3403" s="130"/>
      <c r="H3403" s="10">
        <v>4850000</v>
      </c>
      <c r="I3403" s="10">
        <f t="shared" si="236"/>
        <v>0</v>
      </c>
      <c r="J3403" s="79" t="e">
        <f t="shared" si="222"/>
        <v>#VALUE!</v>
      </c>
      <c r="K3403" s="106"/>
      <c r="L3403" s="141"/>
      <c r="M3403" s="132"/>
      <c r="N3403" s="133"/>
      <c r="O3403" s="4"/>
      <c r="P3403" s="4"/>
      <c r="Q3403" s="4"/>
      <c r="R3403" s="4"/>
      <c r="S3403" s="4"/>
      <c r="T3403" s="4"/>
      <c r="U3403" s="4"/>
      <c r="V3403" s="4"/>
      <c r="W3403" s="4"/>
      <c r="X3403" s="4"/>
    </row>
    <row r="3404" spans="1:24" ht="14.25" customHeight="1">
      <c r="A3404" s="4"/>
      <c r="B3404" s="125">
        <v>46198</v>
      </c>
      <c r="C3404" s="126" t="s">
        <v>1522</v>
      </c>
      <c r="D3404" s="68" t="s">
        <v>158</v>
      </c>
      <c r="E3404" s="10" t="str">
        <f>TRIM(VLOOKUP(D3404,TB!$B$9:$C$1500,2,FALSE))</f>
        <v>Mandiri TBB IDR</v>
      </c>
      <c r="F3404" s="142" t="str">
        <f>F3403</f>
        <v>Guest - refund DP for event next week because urgent reason (dp cust 5juta)</v>
      </c>
      <c r="G3404" s="130"/>
      <c r="H3404" s="10"/>
      <c r="I3404" s="10">
        <f t="shared" si="236"/>
        <v>4850000</v>
      </c>
      <c r="J3404" s="79" t="e">
        <f t="shared" si="222"/>
        <v>#VALUE!</v>
      </c>
      <c r="K3404" s="106"/>
      <c r="L3404" s="141"/>
      <c r="M3404" s="132"/>
      <c r="N3404" s="133"/>
      <c r="O3404" s="4"/>
      <c r="P3404" s="4"/>
      <c r="Q3404" s="4"/>
      <c r="R3404" s="4"/>
      <c r="S3404" s="4"/>
      <c r="T3404" s="4"/>
      <c r="U3404" s="4"/>
      <c r="V3404" s="4"/>
      <c r="W3404" s="4"/>
      <c r="X3404" s="4"/>
    </row>
    <row r="3405" spans="1:24" ht="14.25" customHeight="1">
      <c r="A3405" s="4"/>
      <c r="B3405" s="125"/>
      <c r="C3405" s="126"/>
      <c r="D3405" s="159"/>
      <c r="E3405" s="10" t="e">
        <f>TRIM(VLOOKUP(D3405,TB!$B$9:$C$1500,2,FALSE))</f>
        <v>#N/A</v>
      </c>
      <c r="F3405" s="142"/>
      <c r="G3405" s="130"/>
      <c r="H3405" s="10"/>
      <c r="I3405" s="10">
        <f t="shared" si="236"/>
        <v>0</v>
      </c>
      <c r="J3405" s="79" t="e">
        <f t="shared" si="222"/>
        <v>#VALUE!</v>
      </c>
      <c r="K3405" s="106"/>
      <c r="L3405" s="141"/>
      <c r="M3405" s="132"/>
      <c r="N3405" s="133"/>
      <c r="O3405" s="4"/>
      <c r="P3405" s="4"/>
      <c r="Q3405" s="4"/>
      <c r="R3405" s="4"/>
      <c r="S3405" s="4"/>
      <c r="T3405" s="4"/>
      <c r="U3405" s="4"/>
      <c r="V3405" s="4"/>
      <c r="W3405" s="4"/>
      <c r="X3405" s="4"/>
    </row>
    <row r="3406" spans="1:24" ht="14.25" customHeight="1">
      <c r="A3406" s="4"/>
      <c r="B3406" s="125">
        <v>46198</v>
      </c>
      <c r="C3406" s="126" t="s">
        <v>1524</v>
      </c>
      <c r="D3406" s="68" t="s">
        <v>158</v>
      </c>
      <c r="E3406" s="10" t="str">
        <f>TRIM(VLOOKUP(D3406,TB!$B$9:$C$1500,2,FALSE))</f>
        <v>Mandiri TBB IDR</v>
      </c>
      <c r="F3406" s="142" t="s">
        <v>1525</v>
      </c>
      <c r="G3406" s="130"/>
      <c r="H3406" s="10">
        <f>I3408-H3407</f>
        <v>69348.84</v>
      </c>
      <c r="I3406" s="10"/>
      <c r="J3406" s="79" t="e">
        <f t="shared" si="222"/>
        <v>#VALUE!</v>
      </c>
      <c r="K3406" s="106"/>
      <c r="L3406" s="141"/>
      <c r="M3406" s="132"/>
      <c r="N3406" s="133"/>
      <c r="O3406" s="4"/>
      <c r="P3406" s="4"/>
      <c r="Q3406" s="4"/>
      <c r="R3406" s="4"/>
      <c r="S3406" s="4"/>
      <c r="T3406" s="4"/>
      <c r="U3406" s="4"/>
      <c r="V3406" s="4"/>
      <c r="W3406" s="4"/>
      <c r="X3406" s="4"/>
    </row>
    <row r="3407" spans="1:24" ht="14.25" customHeight="1">
      <c r="A3407" s="4"/>
      <c r="B3407" s="125">
        <v>46198</v>
      </c>
      <c r="C3407" s="126" t="s">
        <v>1524</v>
      </c>
      <c r="D3407" s="15" t="s">
        <v>124</v>
      </c>
      <c r="E3407" s="10" t="str">
        <f>TRIM(VLOOKUP(D3407,TB!$B$9:$C$1500,2,FALSE))</f>
        <v>Bank charges</v>
      </c>
      <c r="F3407" s="142" t="str">
        <f t="shared" ref="F3407:F3408" si="237">F3406</f>
        <v>Mandiri Debet 23-06-2026</v>
      </c>
      <c r="G3407" s="130"/>
      <c r="H3407" s="10">
        <f>1.8%*I3408</f>
        <v>1271.1600000000001</v>
      </c>
      <c r="I3407" s="10"/>
      <c r="J3407" s="79" t="e">
        <f t="shared" si="222"/>
        <v>#VALUE!</v>
      </c>
      <c r="K3407" s="106"/>
      <c r="L3407" s="141"/>
      <c r="M3407" s="132"/>
      <c r="N3407" s="133"/>
      <c r="O3407" s="4"/>
      <c r="P3407" s="4"/>
      <c r="Q3407" s="4"/>
      <c r="R3407" s="4"/>
      <c r="S3407" s="4"/>
      <c r="T3407" s="4"/>
      <c r="U3407" s="4"/>
      <c r="V3407" s="4"/>
      <c r="W3407" s="4"/>
      <c r="X3407" s="4"/>
    </row>
    <row r="3408" spans="1:24" ht="14.25" customHeight="1">
      <c r="A3408" s="4"/>
      <c r="B3408" s="125">
        <v>46198</v>
      </c>
      <c r="C3408" s="126" t="s">
        <v>1524</v>
      </c>
      <c r="D3408" s="15" t="s">
        <v>48</v>
      </c>
      <c r="E3408" s="10" t="str">
        <f>TRIM(VLOOKUP(D3408,TB!$B$9:$C$1500,2,FALSE))</f>
        <v>Mandiri Card TBB</v>
      </c>
      <c r="F3408" s="142" t="str">
        <f t="shared" si="237"/>
        <v>Mandiri Debet 23-06-2026</v>
      </c>
      <c r="G3408" s="130"/>
      <c r="H3408" s="10"/>
      <c r="I3408" s="10">
        <v>70620</v>
      </c>
      <c r="J3408" s="79" t="e">
        <f t="shared" si="222"/>
        <v>#VALUE!</v>
      </c>
      <c r="K3408" s="106"/>
      <c r="L3408" s="141"/>
      <c r="M3408" s="132"/>
      <c r="N3408" s="133"/>
      <c r="O3408" s="4"/>
      <c r="P3408" s="4"/>
      <c r="Q3408" s="4"/>
      <c r="R3408" s="4"/>
      <c r="S3408" s="4"/>
      <c r="T3408" s="4"/>
      <c r="U3408" s="4"/>
      <c r="V3408" s="4"/>
      <c r="W3408" s="4"/>
      <c r="X3408" s="4"/>
    </row>
    <row r="3409" spans="1:24" ht="14.25" customHeight="1">
      <c r="A3409" s="4"/>
      <c r="B3409" s="125"/>
      <c r="C3409" s="126"/>
      <c r="D3409" s="159"/>
      <c r="E3409" s="10" t="e">
        <f>TRIM(VLOOKUP(D3409,TB!$B$9:$C$1500,2,FALSE))</f>
        <v>#N/A</v>
      </c>
      <c r="F3409" s="142"/>
      <c r="G3409" s="130"/>
      <c r="H3409" s="10"/>
      <c r="I3409" s="10"/>
      <c r="J3409" s="79" t="e">
        <f t="shared" si="222"/>
        <v>#VALUE!</v>
      </c>
      <c r="K3409" s="106"/>
      <c r="L3409" s="141"/>
      <c r="M3409" s="132"/>
      <c r="N3409" s="133"/>
      <c r="O3409" s="4"/>
      <c r="P3409" s="4"/>
      <c r="Q3409" s="4"/>
      <c r="R3409" s="4"/>
      <c r="S3409" s="4"/>
      <c r="T3409" s="4"/>
      <c r="U3409" s="4"/>
      <c r="V3409" s="4"/>
      <c r="W3409" s="4"/>
      <c r="X3409" s="4"/>
    </row>
    <row r="3410" spans="1:24" ht="14.25" customHeight="1">
      <c r="A3410" s="4"/>
      <c r="B3410" s="125">
        <v>46198</v>
      </c>
      <c r="C3410" s="126" t="s">
        <v>1526</v>
      </c>
      <c r="D3410" s="68" t="s">
        <v>158</v>
      </c>
      <c r="E3410" s="10" t="str">
        <f>TRIM(VLOOKUP(D3410,TB!$B$9:$C$1500,2,FALSE))</f>
        <v>Mandiri TBB IDR</v>
      </c>
      <c r="F3410" s="142" t="s">
        <v>1527</v>
      </c>
      <c r="G3410" s="130"/>
      <c r="H3410" s="10">
        <f>I3412-H3411</f>
        <v>25769254.146000002</v>
      </c>
      <c r="I3410" s="10"/>
      <c r="J3410" s="79" t="e">
        <f t="shared" si="222"/>
        <v>#VALUE!</v>
      </c>
      <c r="K3410" s="106"/>
      <c r="L3410" s="141"/>
      <c r="M3410" s="132"/>
      <c r="N3410" s="133"/>
      <c r="O3410" s="4"/>
      <c r="P3410" s="4"/>
      <c r="Q3410" s="4"/>
      <c r="R3410" s="4"/>
      <c r="S3410" s="4"/>
      <c r="T3410" s="4"/>
      <c r="U3410" s="4"/>
      <c r="V3410" s="4"/>
      <c r="W3410" s="4"/>
      <c r="X3410" s="4"/>
    </row>
    <row r="3411" spans="1:24" ht="14.25" customHeight="1">
      <c r="A3411" s="4"/>
      <c r="B3411" s="125">
        <v>46198</v>
      </c>
      <c r="C3411" s="126" t="s">
        <v>1526</v>
      </c>
      <c r="D3411" s="15" t="s">
        <v>124</v>
      </c>
      <c r="E3411" s="10" t="str">
        <f>TRIM(VLOOKUP(D3411,TB!$B$9:$C$1500,2,FALSE))</f>
        <v>Bank charges</v>
      </c>
      <c r="F3411" s="142" t="str">
        <f t="shared" ref="F3411:F3412" si="238">F3410</f>
        <v>Mandiri CC 23-06-2026</v>
      </c>
      <c r="G3411" s="130"/>
      <c r="H3411" s="10">
        <f>1.8%*I3412</f>
        <v>472348.85400000005</v>
      </c>
      <c r="I3411" s="10"/>
      <c r="J3411" s="79" t="e">
        <f t="shared" si="222"/>
        <v>#VALUE!</v>
      </c>
      <c r="K3411" s="106"/>
      <c r="L3411" s="141"/>
      <c r="M3411" s="132"/>
      <c r="N3411" s="133"/>
      <c r="O3411" s="4"/>
      <c r="P3411" s="4"/>
      <c r="Q3411" s="4"/>
      <c r="R3411" s="4"/>
      <c r="S3411" s="4"/>
      <c r="T3411" s="4"/>
      <c r="U3411" s="4"/>
      <c r="V3411" s="4"/>
      <c r="W3411" s="4"/>
      <c r="X3411" s="4"/>
    </row>
    <row r="3412" spans="1:24" ht="14.25" customHeight="1">
      <c r="A3412" s="4"/>
      <c r="B3412" s="125">
        <v>46198</v>
      </c>
      <c r="C3412" s="126" t="s">
        <v>1526</v>
      </c>
      <c r="D3412" s="15" t="s">
        <v>48</v>
      </c>
      <c r="E3412" s="10" t="str">
        <f>TRIM(VLOOKUP(D3412,TB!$B$9:$C$1500,2,FALSE))</f>
        <v>Mandiri Card TBB</v>
      </c>
      <c r="F3412" s="142" t="str">
        <f t="shared" si="238"/>
        <v>Mandiri CC 23-06-2026</v>
      </c>
      <c r="G3412" s="130"/>
      <c r="H3412" s="10"/>
      <c r="I3412" s="10">
        <v>26241603</v>
      </c>
      <c r="J3412" s="79" t="e">
        <f t="shared" si="222"/>
        <v>#VALUE!</v>
      </c>
      <c r="K3412" s="106"/>
      <c r="L3412" s="141"/>
      <c r="M3412" s="132"/>
      <c r="N3412" s="133"/>
      <c r="O3412" s="4"/>
      <c r="P3412" s="4"/>
      <c r="Q3412" s="4"/>
      <c r="R3412" s="4"/>
      <c r="S3412" s="4"/>
      <c r="T3412" s="4"/>
      <c r="U3412" s="4"/>
      <c r="V3412" s="4"/>
      <c r="W3412" s="4"/>
      <c r="X3412" s="4"/>
    </row>
    <row r="3413" spans="1:24" ht="14.25" customHeight="1">
      <c r="A3413" s="4"/>
      <c r="B3413" s="125"/>
      <c r="C3413" s="126"/>
      <c r="D3413" s="159"/>
      <c r="E3413" s="10" t="e">
        <f>TRIM(VLOOKUP(D3413,TB!$B$9:$C$1500,2,FALSE))</f>
        <v>#N/A</v>
      </c>
      <c r="F3413" s="142"/>
      <c r="G3413" s="130"/>
      <c r="H3413" s="10"/>
      <c r="I3413" s="10"/>
      <c r="J3413" s="79" t="e">
        <f t="shared" si="222"/>
        <v>#VALUE!</v>
      </c>
      <c r="K3413" s="106"/>
      <c r="L3413" s="141"/>
      <c r="M3413" s="132"/>
      <c r="N3413" s="133"/>
      <c r="O3413" s="4"/>
      <c r="P3413" s="4"/>
      <c r="Q3413" s="4"/>
      <c r="R3413" s="4"/>
      <c r="S3413" s="4"/>
      <c r="T3413" s="4"/>
      <c r="U3413" s="4"/>
      <c r="V3413" s="4"/>
      <c r="W3413" s="4"/>
      <c r="X3413" s="4"/>
    </row>
    <row r="3414" spans="1:24" ht="14.25" customHeight="1">
      <c r="A3414" s="4"/>
      <c r="B3414" s="125">
        <v>46198</v>
      </c>
      <c r="C3414" s="126" t="s">
        <v>1528</v>
      </c>
      <c r="D3414" s="68" t="s">
        <v>158</v>
      </c>
      <c r="E3414" s="10" t="str">
        <f>TRIM(VLOOKUP(D3414,TB!$B$9:$C$1500,2,FALSE))</f>
        <v>Mandiri TBB IDR</v>
      </c>
      <c r="F3414" s="142" t="s">
        <v>1529</v>
      </c>
      <c r="G3414" s="130"/>
      <c r="H3414" s="10">
        <f>I3416-H3415</f>
        <v>4663002.45</v>
      </c>
      <c r="I3414" s="10"/>
      <c r="J3414" s="79" t="e">
        <f t="shared" si="222"/>
        <v>#VALUE!</v>
      </c>
      <c r="K3414" s="106"/>
      <c r="L3414" s="141"/>
      <c r="M3414" s="132"/>
      <c r="N3414" s="133"/>
      <c r="O3414" s="4"/>
      <c r="P3414" s="4"/>
      <c r="Q3414" s="4"/>
      <c r="R3414" s="4"/>
      <c r="S3414" s="4"/>
      <c r="T3414" s="4"/>
      <c r="U3414" s="4"/>
      <c r="V3414" s="4"/>
      <c r="W3414" s="4"/>
      <c r="X3414" s="4"/>
    </row>
    <row r="3415" spans="1:24" ht="14.25" customHeight="1">
      <c r="A3415" s="4"/>
      <c r="B3415" s="125">
        <v>46198</v>
      </c>
      <c r="C3415" s="126" t="s">
        <v>1528</v>
      </c>
      <c r="D3415" s="15" t="s">
        <v>124</v>
      </c>
      <c r="E3415" s="10" t="str">
        <f>TRIM(VLOOKUP(D3415,TB!$B$9:$C$1500,2,FALSE))</f>
        <v>Bank charges</v>
      </c>
      <c r="F3415" s="142" t="str">
        <f t="shared" ref="F3415:F3416" si="239">F3414</f>
        <v>Mandiri NPG 23-06-2026</v>
      </c>
      <c r="G3415" s="130"/>
      <c r="H3415" s="10">
        <f>1.8%*I3416</f>
        <v>85472.55</v>
      </c>
      <c r="I3415" s="10"/>
      <c r="J3415" s="79" t="e">
        <f t="shared" si="222"/>
        <v>#VALUE!</v>
      </c>
      <c r="K3415" s="106"/>
      <c r="L3415" s="141"/>
      <c r="M3415" s="132"/>
      <c r="N3415" s="133"/>
      <c r="O3415" s="4"/>
      <c r="P3415" s="4"/>
      <c r="Q3415" s="4"/>
      <c r="R3415" s="4"/>
      <c r="S3415" s="4"/>
      <c r="T3415" s="4"/>
      <c r="U3415" s="4"/>
      <c r="V3415" s="4"/>
      <c r="W3415" s="4"/>
      <c r="X3415" s="4"/>
    </row>
    <row r="3416" spans="1:24" ht="14.25" customHeight="1">
      <c r="A3416" s="4"/>
      <c r="B3416" s="125">
        <v>46198</v>
      </c>
      <c r="C3416" s="126" t="s">
        <v>1528</v>
      </c>
      <c r="D3416" s="15" t="s">
        <v>48</v>
      </c>
      <c r="E3416" s="10" t="str">
        <f>TRIM(VLOOKUP(D3416,TB!$B$9:$C$1500,2,FALSE))</f>
        <v>Mandiri Card TBB</v>
      </c>
      <c r="F3416" s="142" t="str">
        <f t="shared" si="239"/>
        <v>Mandiri NPG 23-06-2026</v>
      </c>
      <c r="G3416" s="130"/>
      <c r="H3416" s="10"/>
      <c r="I3416" s="10">
        <v>4748475</v>
      </c>
      <c r="J3416" s="79" t="e">
        <f t="shared" si="222"/>
        <v>#VALUE!</v>
      </c>
      <c r="K3416" s="106"/>
      <c r="L3416" s="141"/>
      <c r="M3416" s="132"/>
      <c r="N3416" s="133"/>
      <c r="O3416" s="4"/>
      <c r="P3416" s="4"/>
      <c r="Q3416" s="4"/>
      <c r="R3416" s="4"/>
      <c r="S3416" s="4"/>
      <c r="T3416" s="4"/>
      <c r="U3416" s="4"/>
      <c r="V3416" s="4"/>
      <c r="W3416" s="4"/>
      <c r="X3416" s="4"/>
    </row>
    <row r="3417" spans="1:24" ht="14.25" customHeight="1">
      <c r="A3417" s="4"/>
      <c r="B3417" s="125"/>
      <c r="C3417" s="126"/>
      <c r="D3417" s="159"/>
      <c r="E3417" s="10" t="e">
        <f>TRIM(VLOOKUP(D3417,TB!$B$9:$C$1500,2,FALSE))</f>
        <v>#N/A</v>
      </c>
      <c r="F3417" s="142"/>
      <c r="G3417" s="130"/>
      <c r="H3417" s="10"/>
      <c r="I3417" s="10"/>
      <c r="J3417" s="79" t="e">
        <f t="shared" si="222"/>
        <v>#VALUE!</v>
      </c>
      <c r="K3417" s="106"/>
      <c r="L3417" s="141"/>
      <c r="M3417" s="132"/>
      <c r="N3417" s="133"/>
      <c r="O3417" s="4"/>
      <c r="P3417" s="4"/>
      <c r="Q3417" s="4"/>
      <c r="R3417" s="4"/>
      <c r="S3417" s="4"/>
      <c r="T3417" s="4"/>
      <c r="U3417" s="4"/>
      <c r="V3417" s="4"/>
      <c r="W3417" s="4"/>
      <c r="X3417" s="4"/>
    </row>
    <row r="3418" spans="1:24" ht="14.25" customHeight="1">
      <c r="A3418" s="4"/>
      <c r="B3418" s="125">
        <v>46198</v>
      </c>
      <c r="C3418" s="126" t="s">
        <v>1530</v>
      </c>
      <c r="D3418" s="68" t="s">
        <v>158</v>
      </c>
      <c r="E3418" s="10" t="str">
        <f>TRIM(VLOOKUP(D3418,TB!$B$9:$C$1500,2,FALSE))</f>
        <v>Mandiri TBB IDR</v>
      </c>
      <c r="F3418" s="142" t="s">
        <v>1531</v>
      </c>
      <c r="G3418" s="130"/>
      <c r="H3418" s="10">
        <f>I3420-H3419</f>
        <v>23169060.535999998</v>
      </c>
      <c r="I3418" s="10"/>
      <c r="J3418" s="79" t="e">
        <f t="shared" si="222"/>
        <v>#VALUE!</v>
      </c>
      <c r="K3418" s="106"/>
      <c r="L3418" s="141"/>
      <c r="M3418" s="132"/>
      <c r="N3418" s="133"/>
      <c r="O3418" s="4"/>
      <c r="P3418" s="4"/>
      <c r="Q3418" s="4"/>
      <c r="R3418" s="4"/>
      <c r="S3418" s="4"/>
      <c r="T3418" s="4"/>
      <c r="U3418" s="4"/>
      <c r="V3418" s="4"/>
      <c r="W3418" s="4"/>
      <c r="X3418" s="4"/>
    </row>
    <row r="3419" spans="1:24" ht="14.25" customHeight="1">
      <c r="A3419" s="4"/>
      <c r="B3419" s="125">
        <v>46198</v>
      </c>
      <c r="C3419" s="126" t="s">
        <v>1530</v>
      </c>
      <c r="D3419" s="15" t="s">
        <v>124</v>
      </c>
      <c r="E3419" s="10" t="str">
        <f>TRIM(VLOOKUP(D3419,TB!$B$9:$C$1500,2,FALSE))</f>
        <v>Bank charges</v>
      </c>
      <c r="F3419" s="142" t="str">
        <f t="shared" ref="F3419:F3420" si="240">F3418</f>
        <v>Mandiri QR 23-06-2026</v>
      </c>
      <c r="G3419" s="130"/>
      <c r="H3419" s="10">
        <f>1.8%*I3420</f>
        <v>424687.46400000004</v>
      </c>
      <c r="I3419" s="10"/>
      <c r="J3419" s="79" t="e">
        <f t="shared" si="222"/>
        <v>#VALUE!</v>
      </c>
      <c r="K3419" s="106"/>
      <c r="L3419" s="141"/>
      <c r="M3419" s="132"/>
      <c r="N3419" s="133"/>
      <c r="O3419" s="4"/>
      <c r="P3419" s="4"/>
      <c r="Q3419" s="4"/>
      <c r="R3419" s="4"/>
      <c r="S3419" s="4"/>
      <c r="T3419" s="4"/>
      <c r="U3419" s="4"/>
      <c r="V3419" s="4"/>
      <c r="W3419" s="4"/>
      <c r="X3419" s="4"/>
    </row>
    <row r="3420" spans="1:24" ht="14.25" customHeight="1">
      <c r="A3420" s="4"/>
      <c r="B3420" s="125">
        <v>46198</v>
      </c>
      <c r="C3420" s="126" t="s">
        <v>1530</v>
      </c>
      <c r="D3420" s="15" t="s">
        <v>48</v>
      </c>
      <c r="E3420" s="10" t="str">
        <f>TRIM(VLOOKUP(D3420,TB!$B$9:$C$1500,2,FALSE))</f>
        <v>Mandiri Card TBB</v>
      </c>
      <c r="F3420" s="142" t="str">
        <f t="shared" si="240"/>
        <v>Mandiri QR 23-06-2026</v>
      </c>
      <c r="G3420" s="130"/>
      <c r="H3420" s="10"/>
      <c r="I3420" s="10">
        <v>23593748</v>
      </c>
      <c r="J3420" s="79" t="e">
        <f t="shared" si="222"/>
        <v>#VALUE!</v>
      </c>
      <c r="K3420" s="106"/>
      <c r="L3420" s="141"/>
      <c r="M3420" s="132"/>
      <c r="N3420" s="133"/>
      <c r="O3420" s="4"/>
      <c r="P3420" s="4"/>
      <c r="Q3420" s="4"/>
      <c r="R3420" s="4"/>
      <c r="S3420" s="4"/>
      <c r="T3420" s="4"/>
      <c r="U3420" s="4"/>
      <c r="V3420" s="4"/>
      <c r="W3420" s="4"/>
      <c r="X3420" s="4"/>
    </row>
    <row r="3421" spans="1:24" ht="14.25" customHeight="1">
      <c r="A3421" s="4"/>
      <c r="B3421" s="125"/>
      <c r="C3421" s="126"/>
      <c r="D3421" s="159"/>
      <c r="E3421" s="10" t="e">
        <f>TRIM(VLOOKUP(D3421,TB!$B$9:$C$1500,2,FALSE))</f>
        <v>#N/A</v>
      </c>
      <c r="F3421" s="142"/>
      <c r="G3421" s="130"/>
      <c r="H3421" s="10"/>
      <c r="I3421" s="10">
        <f t="shared" ref="I3421:I3431" si="241">SUM(H3420)</f>
        <v>0</v>
      </c>
      <c r="J3421" s="79" t="e">
        <f t="shared" si="222"/>
        <v>#VALUE!</v>
      </c>
      <c r="K3421" s="106"/>
      <c r="L3421" s="141"/>
      <c r="M3421" s="132"/>
      <c r="N3421" s="133"/>
      <c r="O3421" s="4"/>
      <c r="P3421" s="4"/>
      <c r="Q3421" s="4"/>
      <c r="R3421" s="4"/>
      <c r="S3421" s="4"/>
      <c r="T3421" s="4"/>
      <c r="U3421" s="4"/>
      <c r="V3421" s="4"/>
      <c r="W3421" s="4"/>
      <c r="X3421" s="4"/>
    </row>
    <row r="3422" spans="1:24" ht="14.25" customHeight="1">
      <c r="A3422" s="4"/>
      <c r="B3422" s="125">
        <v>46198</v>
      </c>
      <c r="C3422" s="126" t="s">
        <v>1532</v>
      </c>
      <c r="D3422" s="15" t="s">
        <v>188</v>
      </c>
      <c r="E3422" s="10" t="str">
        <f>TRIM(VLOOKUP(D3422,TB!$B$9:$C$1500,2,FALSE))</f>
        <v>Advertising Costs</v>
      </c>
      <c r="F3422" s="142" t="s">
        <v>1533</v>
      </c>
      <c r="G3422" s="130"/>
      <c r="H3422" s="10">
        <v>788151</v>
      </c>
      <c r="I3422" s="10">
        <f t="shared" si="241"/>
        <v>0</v>
      </c>
      <c r="J3422" s="79" t="e">
        <f t="shared" si="222"/>
        <v>#VALUE!</v>
      </c>
      <c r="K3422" s="106"/>
      <c r="L3422" s="141"/>
      <c r="M3422" s="132"/>
      <c r="N3422" s="133"/>
      <c r="O3422" s="4"/>
      <c r="P3422" s="4"/>
      <c r="Q3422" s="4"/>
      <c r="R3422" s="4"/>
      <c r="S3422" s="4"/>
      <c r="T3422" s="4"/>
      <c r="U3422" s="4"/>
      <c r="V3422" s="4"/>
      <c r="W3422" s="4"/>
      <c r="X3422" s="4"/>
    </row>
    <row r="3423" spans="1:24" ht="14.25" customHeight="1">
      <c r="A3423" s="4"/>
      <c r="B3423" s="125">
        <v>46198</v>
      </c>
      <c r="C3423" s="126" t="s">
        <v>1532</v>
      </c>
      <c r="D3423" s="68" t="s">
        <v>158</v>
      </c>
      <c r="E3423" s="10" t="str">
        <f>TRIM(VLOOKUP(D3423,TB!$B$9:$C$1500,2,FALSE))</f>
        <v>Mandiri TBB IDR</v>
      </c>
      <c r="F3423" s="142" t="str">
        <f>F3422</f>
        <v>MAGNIFIC - INV. 0039 - 25 JUNE 26 (Magnific Premium+ Monthly) (20.486,24 * 37,74eur)</v>
      </c>
      <c r="G3423" s="130"/>
      <c r="H3423" s="10"/>
      <c r="I3423" s="10">
        <f t="shared" si="241"/>
        <v>788151</v>
      </c>
      <c r="J3423" s="79" t="e">
        <f t="shared" si="222"/>
        <v>#VALUE!</v>
      </c>
      <c r="K3423" s="106"/>
      <c r="L3423" s="141"/>
      <c r="M3423" s="132"/>
      <c r="N3423" s="133"/>
      <c r="O3423" s="4"/>
      <c r="P3423" s="4"/>
      <c r="Q3423" s="4"/>
      <c r="R3423" s="4"/>
      <c r="S3423" s="4"/>
      <c r="T3423" s="4"/>
      <c r="U3423" s="4"/>
      <c r="V3423" s="4"/>
      <c r="W3423" s="4"/>
      <c r="X3423" s="4"/>
    </row>
    <row r="3424" spans="1:24" ht="14.25" customHeight="1">
      <c r="A3424" s="4"/>
      <c r="B3424" s="125"/>
      <c r="C3424" s="126"/>
      <c r="D3424" s="159"/>
      <c r="E3424" s="10" t="e">
        <f>TRIM(VLOOKUP(D3424,TB!$B$9:$C$1500,2,FALSE))</f>
        <v>#N/A</v>
      </c>
      <c r="F3424" s="142"/>
      <c r="G3424" s="130"/>
      <c r="H3424" s="10"/>
      <c r="I3424" s="10">
        <f t="shared" si="241"/>
        <v>0</v>
      </c>
      <c r="J3424" s="79" t="e">
        <f t="shared" si="222"/>
        <v>#VALUE!</v>
      </c>
      <c r="K3424" s="106"/>
      <c r="L3424" s="141"/>
      <c r="M3424" s="132"/>
      <c r="N3424" s="133"/>
      <c r="O3424" s="4"/>
      <c r="P3424" s="4"/>
      <c r="Q3424" s="4"/>
      <c r="R3424" s="4"/>
      <c r="S3424" s="4"/>
      <c r="T3424" s="4"/>
      <c r="U3424" s="4"/>
      <c r="V3424" s="4"/>
      <c r="W3424" s="4"/>
      <c r="X3424" s="4"/>
    </row>
    <row r="3425" spans="1:24" ht="14.25" customHeight="1">
      <c r="A3425" s="4"/>
      <c r="B3425" s="125">
        <v>46198</v>
      </c>
      <c r="C3425" s="126" t="s">
        <v>1534</v>
      </c>
      <c r="D3425" s="15" t="s">
        <v>124</v>
      </c>
      <c r="E3425" s="10" t="str">
        <f>TRIM(VLOOKUP(D3425,TB!$B$9:$C$1500,2,FALSE))</f>
        <v>Bank charges</v>
      </c>
      <c r="F3425" s="142" t="s">
        <v>1535</v>
      </c>
      <c r="G3425" s="130"/>
      <c r="H3425" s="10">
        <v>7500</v>
      </c>
      <c r="I3425" s="10">
        <f t="shared" si="241"/>
        <v>0</v>
      </c>
      <c r="J3425" s="79" t="e">
        <f t="shared" si="222"/>
        <v>#VALUE!</v>
      </c>
      <c r="K3425" s="106"/>
      <c r="L3425" s="141"/>
      <c r="M3425" s="132"/>
      <c r="N3425" s="133"/>
      <c r="O3425" s="4"/>
      <c r="P3425" s="4"/>
      <c r="Q3425" s="4"/>
      <c r="R3425" s="4"/>
      <c r="S3425" s="4"/>
      <c r="T3425" s="4"/>
      <c r="U3425" s="4"/>
      <c r="V3425" s="4"/>
      <c r="W3425" s="4"/>
      <c r="X3425" s="4"/>
    </row>
    <row r="3426" spans="1:24" ht="14.25" customHeight="1">
      <c r="A3426" s="4"/>
      <c r="B3426" s="125">
        <v>46198</v>
      </c>
      <c r="C3426" s="126" t="s">
        <v>1534</v>
      </c>
      <c r="D3426" s="68" t="s">
        <v>158</v>
      </c>
      <c r="E3426" s="10" t="str">
        <f>TRIM(VLOOKUP(D3426,TB!$B$9:$C$1500,2,FALSE))</f>
        <v>Mandiri TBB IDR</v>
      </c>
      <c r="F3426" s="142" t="str">
        <f>F3425</f>
        <v>Sinthia - Reimburse kekurangan bayar MAGNIFIC - INV. 0039 - 25 JUNE 26 (Magnific Premium+ Monthly) (20.486,24 * 37,74eur)</v>
      </c>
      <c r="G3426" s="130"/>
      <c r="H3426" s="10"/>
      <c r="I3426" s="10">
        <f t="shared" si="241"/>
        <v>7500</v>
      </c>
      <c r="J3426" s="79" t="e">
        <f t="shared" si="222"/>
        <v>#VALUE!</v>
      </c>
      <c r="K3426" s="106"/>
      <c r="L3426" s="141"/>
      <c r="M3426" s="132"/>
      <c r="N3426" s="133"/>
      <c r="O3426" s="4"/>
      <c r="P3426" s="4"/>
      <c r="Q3426" s="4"/>
      <c r="R3426" s="4"/>
      <c r="S3426" s="4"/>
      <c r="T3426" s="4"/>
      <c r="U3426" s="4"/>
      <c r="V3426" s="4"/>
      <c r="W3426" s="4"/>
      <c r="X3426" s="4"/>
    </row>
    <row r="3427" spans="1:24" ht="14.25" customHeight="1">
      <c r="A3427" s="4"/>
      <c r="B3427" s="125"/>
      <c r="C3427" s="126"/>
      <c r="D3427" s="159"/>
      <c r="E3427" s="10" t="e">
        <f>TRIM(VLOOKUP(D3427,TB!$B$9:$C$1500,2,FALSE))</f>
        <v>#N/A</v>
      </c>
      <c r="F3427" s="142"/>
      <c r="G3427" s="130"/>
      <c r="H3427" s="10"/>
      <c r="I3427" s="10">
        <f t="shared" si="241"/>
        <v>0</v>
      </c>
      <c r="J3427" s="79" t="e">
        <f t="shared" si="222"/>
        <v>#VALUE!</v>
      </c>
      <c r="K3427" s="106"/>
      <c r="L3427" s="141"/>
      <c r="M3427" s="132"/>
      <c r="N3427" s="133"/>
      <c r="O3427" s="4"/>
      <c r="P3427" s="4"/>
      <c r="Q3427" s="4"/>
      <c r="R3427" s="4"/>
      <c r="S3427" s="4"/>
      <c r="T3427" s="4"/>
      <c r="U3427" s="4"/>
      <c r="V3427" s="4"/>
      <c r="W3427" s="4"/>
      <c r="X3427" s="4"/>
    </row>
    <row r="3428" spans="1:24" ht="14.25" customHeight="1">
      <c r="A3428" s="4"/>
      <c r="B3428" s="125">
        <v>46198</v>
      </c>
      <c r="C3428" s="126" t="s">
        <v>1536</v>
      </c>
      <c r="D3428" s="68" t="s">
        <v>158</v>
      </c>
      <c r="E3428" s="10" t="str">
        <f>TRIM(VLOOKUP(D3428,TB!$B$9:$C$1500,2,FALSE))</f>
        <v>Mandiri TBB IDR</v>
      </c>
      <c r="F3428" s="142" t="s">
        <v>623</v>
      </c>
      <c r="G3428" s="130"/>
      <c r="H3428" s="10">
        <v>100000</v>
      </c>
      <c r="I3428" s="10">
        <f t="shared" si="241"/>
        <v>0</v>
      </c>
      <c r="J3428" s="79" t="e">
        <f t="shared" si="222"/>
        <v>#VALUE!</v>
      </c>
      <c r="K3428" s="106"/>
      <c r="L3428" s="141"/>
      <c r="M3428" s="132"/>
      <c r="N3428" s="133"/>
      <c r="O3428" s="4"/>
      <c r="P3428" s="4"/>
      <c r="Q3428" s="4"/>
      <c r="R3428" s="4"/>
      <c r="S3428" s="4"/>
      <c r="T3428" s="4"/>
      <c r="U3428" s="4"/>
      <c r="V3428" s="4"/>
      <c r="W3428" s="4"/>
      <c r="X3428" s="4"/>
    </row>
    <row r="3429" spans="1:24" ht="14.25" customHeight="1">
      <c r="A3429" s="4"/>
      <c r="B3429" s="125">
        <v>46198</v>
      </c>
      <c r="C3429" s="126" t="s">
        <v>1536</v>
      </c>
      <c r="D3429" s="68" t="s">
        <v>175</v>
      </c>
      <c r="E3429" s="10" t="str">
        <f>TRIM(VLOOKUP(D3429,TB!$B$9:$C$1500,2,FALSE))</f>
        <v>Intercompany Receivable – Treasury StarPOINTS</v>
      </c>
      <c r="F3429" s="142" t="str">
        <f>F3428</f>
        <v>LOAN FROM ROSALITA</v>
      </c>
      <c r="G3429" s="130"/>
      <c r="H3429" s="10"/>
      <c r="I3429" s="10">
        <f t="shared" si="241"/>
        <v>100000</v>
      </c>
      <c r="J3429" s="79" t="e">
        <f t="shared" si="222"/>
        <v>#VALUE!</v>
      </c>
      <c r="K3429" s="106"/>
      <c r="L3429" s="141"/>
      <c r="M3429" s="132"/>
      <c r="N3429" s="133"/>
      <c r="O3429" s="4"/>
      <c r="P3429" s="4"/>
      <c r="Q3429" s="4"/>
      <c r="R3429" s="4"/>
      <c r="S3429" s="4"/>
      <c r="T3429" s="4"/>
      <c r="U3429" s="4"/>
      <c r="V3429" s="4"/>
      <c r="W3429" s="4"/>
      <c r="X3429" s="4"/>
    </row>
    <row r="3430" spans="1:24" ht="14.25" customHeight="1">
      <c r="A3430" s="4"/>
      <c r="B3430" s="125"/>
      <c r="C3430" s="126"/>
      <c r="D3430" s="159"/>
      <c r="E3430" s="10" t="e">
        <f>TRIM(VLOOKUP(D3430,TB!$B$9:$C$1500,2,FALSE))</f>
        <v>#N/A</v>
      </c>
      <c r="F3430" s="142"/>
      <c r="G3430" s="130"/>
      <c r="H3430" s="10"/>
      <c r="I3430" s="10">
        <f t="shared" si="241"/>
        <v>0</v>
      </c>
      <c r="J3430" s="79" t="e">
        <f t="shared" si="222"/>
        <v>#VALUE!</v>
      </c>
      <c r="K3430" s="106"/>
      <c r="L3430" s="141"/>
      <c r="M3430" s="132"/>
      <c r="N3430" s="133"/>
      <c r="O3430" s="4"/>
      <c r="P3430" s="4"/>
      <c r="Q3430" s="4"/>
      <c r="R3430" s="4"/>
      <c r="S3430" s="4"/>
      <c r="T3430" s="4"/>
      <c r="U3430" s="4"/>
      <c r="V3430" s="4"/>
      <c r="W3430" s="4"/>
      <c r="X3430" s="4"/>
    </row>
    <row r="3431" spans="1:24" ht="14.25" customHeight="1">
      <c r="A3431" s="4"/>
      <c r="B3431" s="125">
        <v>46199</v>
      </c>
      <c r="C3431" s="126" t="s">
        <v>1537</v>
      </c>
      <c r="D3431" s="15" t="s">
        <v>1538</v>
      </c>
      <c r="E3431" s="10" t="str">
        <f>TRIM(VLOOKUP(D3431,TB!$B$9:$C$1500,2,FALSE))</f>
        <v>Salaries</v>
      </c>
      <c r="F3431" s="173" t="s">
        <v>1539</v>
      </c>
      <c r="G3431" s="130"/>
      <c r="H3431" s="10">
        <f>505526223</f>
        <v>505526223</v>
      </c>
      <c r="I3431" s="10">
        <f t="shared" si="241"/>
        <v>0</v>
      </c>
      <c r="J3431" s="79" t="e">
        <f t="shared" si="222"/>
        <v>#VALUE!</v>
      </c>
      <c r="K3431" s="106"/>
      <c r="L3431" s="141"/>
      <c r="M3431" s="132"/>
      <c r="N3431" s="133"/>
      <c r="O3431" s="4"/>
      <c r="P3431" s="4"/>
      <c r="Q3431" s="4"/>
      <c r="R3431" s="4"/>
      <c r="S3431" s="4"/>
      <c r="T3431" s="4"/>
      <c r="U3431" s="4"/>
      <c r="V3431" s="4"/>
      <c r="W3431" s="4"/>
      <c r="X3431" s="4"/>
    </row>
    <row r="3432" spans="1:24" ht="14.25" customHeight="1">
      <c r="A3432" s="4"/>
      <c r="B3432" s="125">
        <v>46199</v>
      </c>
      <c r="C3432" s="126" t="s">
        <v>1537</v>
      </c>
      <c r="D3432" s="15" t="s">
        <v>1540</v>
      </c>
      <c r="E3432" s="10" t="str">
        <f>TRIM(VLOOKUP(D3432,TB!$B$9:$C$1500,2,FALSE))</f>
        <v>Meals &amp; Transport allowance</v>
      </c>
      <c r="F3432" s="173" t="s">
        <v>1541</v>
      </c>
      <c r="G3432" s="130"/>
      <c r="H3432" s="10">
        <v>35545000</v>
      </c>
      <c r="I3432" s="10"/>
      <c r="J3432" s="79" t="e">
        <f t="shared" si="222"/>
        <v>#VALUE!</v>
      </c>
      <c r="K3432" s="106"/>
      <c r="L3432" s="141"/>
      <c r="M3432" s="132"/>
      <c r="N3432" s="133"/>
      <c r="O3432" s="4"/>
      <c r="P3432" s="4"/>
      <c r="Q3432" s="4"/>
      <c r="R3432" s="4"/>
      <c r="S3432" s="4"/>
      <c r="T3432" s="4"/>
      <c r="U3432" s="4"/>
      <c r="V3432" s="4"/>
      <c r="W3432" s="4"/>
      <c r="X3432" s="4"/>
    </row>
    <row r="3433" spans="1:24" ht="14.25" customHeight="1">
      <c r="A3433" s="4"/>
      <c r="B3433" s="125">
        <v>46199</v>
      </c>
      <c r="C3433" s="126" t="s">
        <v>1537</v>
      </c>
      <c r="D3433" s="15" t="s">
        <v>1540</v>
      </c>
      <c r="E3433" s="10" t="str">
        <f>TRIM(VLOOKUP(D3433,TB!$B$9:$C$1500,2,FALSE))</f>
        <v>Meals &amp; Transport allowance</v>
      </c>
      <c r="F3433" s="173" t="s">
        <v>1542</v>
      </c>
      <c r="G3433" s="130"/>
      <c r="H3433" s="10">
        <v>500000</v>
      </c>
      <c r="I3433" s="10"/>
      <c r="J3433" s="79" t="e">
        <f t="shared" si="222"/>
        <v>#VALUE!</v>
      </c>
      <c r="K3433" s="106"/>
      <c r="L3433" s="141"/>
      <c r="M3433" s="132"/>
      <c r="N3433" s="133"/>
      <c r="O3433" s="4"/>
      <c r="P3433" s="4"/>
      <c r="Q3433" s="4"/>
      <c r="R3433" s="4"/>
      <c r="S3433" s="4"/>
      <c r="T3433" s="4"/>
      <c r="U3433" s="4"/>
      <c r="V3433" s="4"/>
      <c r="W3433" s="4"/>
      <c r="X3433" s="4"/>
    </row>
    <row r="3434" spans="1:24" ht="14.25" customHeight="1">
      <c r="A3434" s="4"/>
      <c r="B3434" s="125">
        <v>46199</v>
      </c>
      <c r="C3434" s="126" t="s">
        <v>1537</v>
      </c>
      <c r="D3434" s="15" t="s">
        <v>1538</v>
      </c>
      <c r="E3434" s="10" t="str">
        <f>TRIM(VLOOKUP(D3434,TB!$B$9:$C$1500,2,FALSE))</f>
        <v>Salaries</v>
      </c>
      <c r="F3434" s="173" t="s">
        <v>1543</v>
      </c>
      <c r="G3434" s="130"/>
      <c r="H3434" s="10">
        <v>2548408</v>
      </c>
      <c r="I3434" s="10"/>
      <c r="J3434" s="79" t="e">
        <f t="shared" si="222"/>
        <v>#VALUE!</v>
      </c>
      <c r="K3434" s="106"/>
      <c r="L3434" s="141"/>
      <c r="M3434" s="132"/>
      <c r="N3434" s="133"/>
      <c r="O3434" s="4"/>
      <c r="P3434" s="4"/>
      <c r="Q3434" s="4"/>
      <c r="R3434" s="4"/>
      <c r="S3434" s="4"/>
      <c r="T3434" s="4"/>
      <c r="U3434" s="4"/>
      <c r="V3434" s="4"/>
      <c r="W3434" s="4"/>
      <c r="X3434" s="4"/>
    </row>
    <row r="3435" spans="1:24" ht="14.25" customHeight="1">
      <c r="A3435" s="4"/>
      <c r="B3435" s="125">
        <v>46199</v>
      </c>
      <c r="C3435" s="126" t="s">
        <v>1537</v>
      </c>
      <c r="D3435" s="68" t="s">
        <v>1213</v>
      </c>
      <c r="E3435" s="10" t="str">
        <f>TRIM(VLOOKUP(D3435,TB!$B$9:$C$1500,2,FALSE))</f>
        <v>Jamsostek Payable</v>
      </c>
      <c r="F3435" s="173" t="s">
        <v>1544</v>
      </c>
      <c r="G3435" s="130"/>
      <c r="H3435" s="10"/>
      <c r="I3435" s="10">
        <v>12509954</v>
      </c>
      <c r="J3435" s="79" t="e">
        <f t="shared" si="222"/>
        <v>#VALUE!</v>
      </c>
      <c r="K3435" s="106"/>
      <c r="L3435" s="141"/>
      <c r="M3435" s="132"/>
      <c r="N3435" s="133"/>
      <c r="O3435" s="4"/>
      <c r="P3435" s="4"/>
      <c r="Q3435" s="4"/>
      <c r="R3435" s="4"/>
      <c r="S3435" s="4"/>
      <c r="T3435" s="4"/>
      <c r="U3435" s="4"/>
      <c r="V3435" s="4"/>
      <c r="W3435" s="4"/>
      <c r="X3435" s="4"/>
    </row>
    <row r="3436" spans="1:24" ht="14.25" customHeight="1">
      <c r="A3436" s="4"/>
      <c r="B3436" s="125">
        <v>46199</v>
      </c>
      <c r="C3436" s="126" t="s">
        <v>1537</v>
      </c>
      <c r="D3436" s="68" t="s">
        <v>590</v>
      </c>
      <c r="E3436" s="10" t="str">
        <f>TRIM(VLOOKUP(D3436,TB!$B$9:$C$1500,2,FALSE))</f>
        <v>BPJS Kesehatan Payable</v>
      </c>
      <c r="F3436" s="173" t="s">
        <v>1545</v>
      </c>
      <c r="G3436" s="130"/>
      <c r="H3436" s="10"/>
      <c r="I3436" s="10">
        <v>3653985</v>
      </c>
      <c r="J3436" s="79" t="e">
        <f t="shared" si="222"/>
        <v>#VALUE!</v>
      </c>
      <c r="K3436" s="106"/>
      <c r="L3436" s="141"/>
      <c r="M3436" s="132"/>
      <c r="N3436" s="133"/>
      <c r="O3436" s="4"/>
      <c r="P3436" s="4"/>
      <c r="Q3436" s="4"/>
      <c r="R3436" s="4"/>
      <c r="S3436" s="4"/>
      <c r="T3436" s="4"/>
      <c r="U3436" s="4"/>
      <c r="V3436" s="4"/>
      <c r="W3436" s="4"/>
      <c r="X3436" s="4"/>
    </row>
    <row r="3437" spans="1:24" ht="14.25" customHeight="1">
      <c r="A3437" s="4"/>
      <c r="B3437" s="125">
        <v>46199</v>
      </c>
      <c r="C3437" s="126" t="s">
        <v>1537</v>
      </c>
      <c r="D3437" s="68" t="s">
        <v>63</v>
      </c>
      <c r="E3437" s="10" t="str">
        <f>TRIM(VLOOKUP(D3437,TB!$B$9:$C$1500,2,FALSE))</f>
        <v>City Ledger</v>
      </c>
      <c r="F3437" s="142" t="s">
        <v>1546</v>
      </c>
      <c r="G3437" s="130"/>
      <c r="H3437" s="10"/>
      <c r="I3437" s="10">
        <v>238343</v>
      </c>
      <c r="J3437" s="79" t="e">
        <f t="shared" si="222"/>
        <v>#VALUE!</v>
      </c>
      <c r="K3437" s="106"/>
      <c r="L3437" s="141"/>
      <c r="M3437" s="132"/>
      <c r="N3437" s="133"/>
      <c r="O3437" s="4"/>
      <c r="P3437" s="4"/>
      <c r="Q3437" s="4"/>
      <c r="R3437" s="4"/>
      <c r="S3437" s="4"/>
      <c r="T3437" s="4"/>
      <c r="U3437" s="4"/>
      <c r="V3437" s="4"/>
      <c r="W3437" s="4"/>
      <c r="X3437" s="4"/>
    </row>
    <row r="3438" spans="1:24" ht="14.25" customHeight="1">
      <c r="A3438" s="4"/>
      <c r="B3438" s="125">
        <v>46199</v>
      </c>
      <c r="C3438" s="126" t="s">
        <v>1537</v>
      </c>
      <c r="D3438" s="68" t="s">
        <v>63</v>
      </c>
      <c r="E3438" s="10" t="str">
        <f>TRIM(VLOOKUP(D3438,TB!$B$9:$C$1500,2,FALSE))</f>
        <v>City Ledger</v>
      </c>
      <c r="F3438" s="142" t="s">
        <v>1547</v>
      </c>
      <c r="G3438" s="130"/>
      <c r="H3438" s="10"/>
      <c r="I3438" s="10">
        <v>64735</v>
      </c>
      <c r="J3438" s="79" t="e">
        <f t="shared" si="222"/>
        <v>#VALUE!</v>
      </c>
      <c r="K3438" s="106"/>
      <c r="L3438" s="141"/>
      <c r="M3438" s="132"/>
      <c r="N3438" s="133"/>
      <c r="O3438" s="4"/>
      <c r="P3438" s="4"/>
      <c r="Q3438" s="4"/>
      <c r="R3438" s="4"/>
      <c r="S3438" s="4"/>
      <c r="T3438" s="4"/>
      <c r="U3438" s="4"/>
      <c r="V3438" s="4"/>
      <c r="W3438" s="4"/>
      <c r="X3438" s="4"/>
    </row>
    <row r="3439" spans="1:24" ht="14.25" customHeight="1">
      <c r="A3439" s="4"/>
      <c r="B3439" s="125">
        <v>46199</v>
      </c>
      <c r="C3439" s="126" t="s">
        <v>1537</v>
      </c>
      <c r="D3439" s="68" t="s">
        <v>63</v>
      </c>
      <c r="E3439" s="10" t="str">
        <f>TRIM(VLOOKUP(D3439,TB!$B$9:$C$1500,2,FALSE))</f>
        <v>City Ledger</v>
      </c>
      <c r="F3439" s="142" t="s">
        <v>1548</v>
      </c>
      <c r="G3439" s="130"/>
      <c r="H3439" s="10"/>
      <c r="I3439" s="10">
        <v>220688</v>
      </c>
      <c r="J3439" s="79" t="e">
        <f t="shared" si="222"/>
        <v>#VALUE!</v>
      </c>
      <c r="K3439" s="106"/>
      <c r="L3439" s="141"/>
      <c r="M3439" s="132"/>
      <c r="N3439" s="133"/>
      <c r="O3439" s="4"/>
      <c r="P3439" s="4"/>
      <c r="Q3439" s="4"/>
      <c r="R3439" s="4"/>
      <c r="S3439" s="4"/>
      <c r="T3439" s="4"/>
      <c r="U3439" s="4"/>
      <c r="V3439" s="4"/>
      <c r="W3439" s="4"/>
      <c r="X3439" s="4"/>
    </row>
    <row r="3440" spans="1:24" ht="14.25" customHeight="1">
      <c r="A3440" s="4"/>
      <c r="B3440" s="125">
        <v>46199</v>
      </c>
      <c r="C3440" s="126" t="s">
        <v>1537</v>
      </c>
      <c r="D3440" s="68" t="s">
        <v>63</v>
      </c>
      <c r="E3440" s="10" t="str">
        <f>TRIM(VLOOKUP(D3440,TB!$B$9:$C$1500,2,FALSE))</f>
        <v>City Ledger</v>
      </c>
      <c r="F3440" s="142" t="s">
        <v>1549</v>
      </c>
      <c r="G3440" s="130"/>
      <c r="H3440" s="10"/>
      <c r="I3440" s="10">
        <v>600273</v>
      </c>
      <c r="J3440" s="79" t="e">
        <f t="shared" si="222"/>
        <v>#VALUE!</v>
      </c>
      <c r="K3440" s="106"/>
      <c r="L3440" s="141"/>
      <c r="M3440" s="132"/>
      <c r="N3440" s="133"/>
      <c r="O3440" s="4"/>
      <c r="P3440" s="4"/>
      <c r="Q3440" s="4"/>
      <c r="R3440" s="4"/>
      <c r="S3440" s="4"/>
      <c r="T3440" s="4"/>
      <c r="U3440" s="4"/>
      <c r="V3440" s="4"/>
      <c r="W3440" s="4"/>
      <c r="X3440" s="4"/>
    </row>
    <row r="3441" spans="1:24" ht="14.25" customHeight="1">
      <c r="A3441" s="4"/>
      <c r="B3441" s="125">
        <v>46199</v>
      </c>
      <c r="C3441" s="126" t="s">
        <v>1537</v>
      </c>
      <c r="D3441" s="68" t="s">
        <v>63</v>
      </c>
      <c r="E3441" s="10" t="str">
        <f>TRIM(VLOOKUP(D3441,TB!$B$9:$C$1500,2,FALSE))</f>
        <v>City Ledger</v>
      </c>
      <c r="F3441" s="142" t="s">
        <v>1550</v>
      </c>
      <c r="G3441" s="130"/>
      <c r="H3441" s="10"/>
      <c r="I3441" s="10">
        <v>55908</v>
      </c>
      <c r="J3441" s="79" t="e">
        <f t="shared" si="222"/>
        <v>#VALUE!</v>
      </c>
      <c r="K3441" s="106"/>
      <c r="L3441" s="141"/>
      <c r="M3441" s="132"/>
      <c r="N3441" s="133"/>
      <c r="O3441" s="4"/>
      <c r="P3441" s="4"/>
      <c r="Q3441" s="4"/>
      <c r="R3441" s="4"/>
      <c r="S3441" s="4"/>
      <c r="T3441" s="4"/>
      <c r="U3441" s="4"/>
      <c r="V3441" s="4"/>
      <c r="W3441" s="4"/>
      <c r="X3441" s="4"/>
    </row>
    <row r="3442" spans="1:24" ht="14.25" customHeight="1">
      <c r="A3442" s="4"/>
      <c r="B3442" s="125">
        <v>46199</v>
      </c>
      <c r="C3442" s="126" t="s">
        <v>1537</v>
      </c>
      <c r="D3442" s="68" t="s">
        <v>63</v>
      </c>
      <c r="E3442" s="10" t="str">
        <f>TRIM(VLOOKUP(D3442,TB!$B$9:$C$1500,2,FALSE))</f>
        <v>City Ledger</v>
      </c>
      <c r="F3442" s="142" t="s">
        <v>1551</v>
      </c>
      <c r="G3442" s="130"/>
      <c r="H3442" s="10"/>
      <c r="I3442" s="10">
        <v>1050526</v>
      </c>
      <c r="J3442" s="79" t="e">
        <f t="shared" si="222"/>
        <v>#VALUE!</v>
      </c>
      <c r="K3442" s="106"/>
      <c r="L3442" s="141"/>
      <c r="M3442" s="132"/>
      <c r="N3442" s="133"/>
      <c r="O3442" s="4"/>
      <c r="P3442" s="4"/>
      <c r="Q3442" s="4"/>
      <c r="R3442" s="4"/>
      <c r="S3442" s="4"/>
      <c r="T3442" s="4"/>
      <c r="U3442" s="4"/>
      <c r="V3442" s="4"/>
      <c r="W3442" s="4"/>
      <c r="X3442" s="4"/>
    </row>
    <row r="3443" spans="1:24" ht="14.25" customHeight="1">
      <c r="A3443" s="4"/>
      <c r="B3443" s="125">
        <v>46199</v>
      </c>
      <c r="C3443" s="126" t="s">
        <v>1537</v>
      </c>
      <c r="D3443" s="68" t="s">
        <v>63</v>
      </c>
      <c r="E3443" s="10" t="str">
        <f>TRIM(VLOOKUP(D3443,TB!$B$9:$C$1500,2,FALSE))</f>
        <v>City Ledger</v>
      </c>
      <c r="F3443" s="142" t="s">
        <v>1552</v>
      </c>
      <c r="G3443" s="130"/>
      <c r="H3443" s="10"/>
      <c r="I3443" s="10">
        <v>129471</v>
      </c>
      <c r="J3443" s="79" t="e">
        <f t="shared" si="222"/>
        <v>#VALUE!</v>
      </c>
      <c r="K3443" s="106"/>
      <c r="L3443" s="141"/>
      <c r="M3443" s="132"/>
      <c r="N3443" s="133"/>
      <c r="O3443" s="4"/>
      <c r="P3443" s="4"/>
      <c r="Q3443" s="4"/>
      <c r="R3443" s="4"/>
      <c r="S3443" s="4"/>
      <c r="T3443" s="4"/>
      <c r="U3443" s="4"/>
      <c r="V3443" s="4"/>
      <c r="W3443" s="4"/>
      <c r="X3443" s="4"/>
    </row>
    <row r="3444" spans="1:24" ht="14.25" customHeight="1">
      <c r="A3444" s="4"/>
      <c r="B3444" s="125">
        <v>46199</v>
      </c>
      <c r="C3444" s="126" t="s">
        <v>1537</v>
      </c>
      <c r="D3444" s="68" t="s">
        <v>63</v>
      </c>
      <c r="E3444" s="10" t="str">
        <f>TRIM(VLOOKUP(D3444,TB!$B$9:$C$1500,2,FALSE))</f>
        <v>City Ledger</v>
      </c>
      <c r="F3444" s="142" t="s">
        <v>1553</v>
      </c>
      <c r="G3444" s="130"/>
      <c r="H3444" s="10"/>
      <c r="I3444" s="10">
        <v>135355</v>
      </c>
      <c r="J3444" s="79" t="e">
        <f t="shared" si="222"/>
        <v>#VALUE!</v>
      </c>
      <c r="K3444" s="106"/>
      <c r="L3444" s="141"/>
      <c r="M3444" s="132"/>
      <c r="N3444" s="133"/>
      <c r="O3444" s="4"/>
      <c r="P3444" s="4"/>
      <c r="Q3444" s="4"/>
      <c r="R3444" s="4"/>
      <c r="S3444" s="4"/>
      <c r="T3444" s="4"/>
      <c r="U3444" s="4"/>
      <c r="V3444" s="4"/>
      <c r="W3444" s="4"/>
      <c r="X3444" s="4"/>
    </row>
    <row r="3445" spans="1:24" ht="14.25" customHeight="1">
      <c r="A3445" s="4"/>
      <c r="B3445" s="125">
        <v>46199</v>
      </c>
      <c r="C3445" s="126" t="s">
        <v>1537</v>
      </c>
      <c r="D3445" s="68" t="s">
        <v>63</v>
      </c>
      <c r="E3445" s="10" t="str">
        <f>TRIM(VLOOKUP(D3445,TB!$B$9:$C$1500,2,FALSE))</f>
        <v>City Ledger</v>
      </c>
      <c r="F3445" s="142" t="s">
        <v>1554</v>
      </c>
      <c r="G3445" s="130"/>
      <c r="H3445" s="10"/>
      <c r="I3445" s="10">
        <v>88275</v>
      </c>
      <c r="J3445" s="79" t="e">
        <f t="shared" si="222"/>
        <v>#VALUE!</v>
      </c>
      <c r="K3445" s="106"/>
      <c r="L3445" s="141"/>
      <c r="M3445" s="132"/>
      <c r="N3445" s="133"/>
      <c r="O3445" s="4"/>
      <c r="P3445" s="4"/>
      <c r="Q3445" s="4"/>
      <c r="R3445" s="4"/>
      <c r="S3445" s="4"/>
      <c r="T3445" s="4"/>
      <c r="U3445" s="4"/>
      <c r="V3445" s="4"/>
      <c r="W3445" s="4"/>
      <c r="X3445" s="4"/>
    </row>
    <row r="3446" spans="1:24" ht="14.25" customHeight="1">
      <c r="A3446" s="4"/>
      <c r="B3446" s="125">
        <v>46199</v>
      </c>
      <c r="C3446" s="126" t="s">
        <v>1537</v>
      </c>
      <c r="D3446" s="68" t="s">
        <v>63</v>
      </c>
      <c r="E3446" s="10" t="str">
        <f>TRIM(VLOOKUP(D3446,TB!$B$9:$C$1500,2,FALSE))</f>
        <v>City Ledger</v>
      </c>
      <c r="F3446" s="142" t="s">
        <v>1555</v>
      </c>
      <c r="G3446" s="130"/>
      <c r="H3446" s="10"/>
      <c r="I3446" s="10">
        <v>70620</v>
      </c>
      <c r="J3446" s="79" t="e">
        <f t="shared" si="222"/>
        <v>#VALUE!</v>
      </c>
      <c r="K3446" s="106"/>
      <c r="L3446" s="141"/>
      <c r="M3446" s="132"/>
      <c r="N3446" s="133"/>
      <c r="O3446" s="4"/>
      <c r="P3446" s="4"/>
      <c r="Q3446" s="4"/>
      <c r="R3446" s="4"/>
      <c r="S3446" s="4"/>
      <c r="T3446" s="4"/>
      <c r="U3446" s="4"/>
      <c r="V3446" s="4"/>
      <c r="W3446" s="4"/>
      <c r="X3446" s="4"/>
    </row>
    <row r="3447" spans="1:24" ht="14.25" customHeight="1">
      <c r="A3447" s="4"/>
      <c r="B3447" s="125">
        <v>46199</v>
      </c>
      <c r="C3447" s="126" t="s">
        <v>1537</v>
      </c>
      <c r="D3447" s="68" t="s">
        <v>63</v>
      </c>
      <c r="E3447" s="10" t="str">
        <f>TRIM(VLOOKUP(D3447,TB!$B$9:$C$1500,2,FALSE))</f>
        <v>City Ledger</v>
      </c>
      <c r="F3447" s="142" t="s">
        <v>1556</v>
      </c>
      <c r="G3447" s="130"/>
      <c r="H3447" s="10"/>
      <c r="I3447" s="10">
        <v>123586</v>
      </c>
      <c r="J3447" s="79" t="e">
        <f t="shared" si="222"/>
        <v>#VALUE!</v>
      </c>
      <c r="K3447" s="106"/>
      <c r="L3447" s="141"/>
      <c r="M3447" s="132"/>
      <c r="N3447" s="133"/>
      <c r="O3447" s="4"/>
      <c r="P3447" s="4"/>
      <c r="Q3447" s="4"/>
      <c r="R3447" s="4"/>
      <c r="S3447" s="4"/>
      <c r="T3447" s="4"/>
      <c r="U3447" s="4"/>
      <c r="V3447" s="4"/>
      <c r="W3447" s="4"/>
      <c r="X3447" s="4"/>
    </row>
    <row r="3448" spans="1:24" ht="14.25" customHeight="1">
      <c r="A3448" s="4"/>
      <c r="B3448" s="125">
        <v>46199</v>
      </c>
      <c r="C3448" s="126" t="s">
        <v>1537</v>
      </c>
      <c r="D3448" s="68" t="s">
        <v>63</v>
      </c>
      <c r="E3448" s="10" t="str">
        <f>TRIM(VLOOKUP(D3448,TB!$B$9:$C$1500,2,FALSE))</f>
        <v>City Ledger</v>
      </c>
      <c r="F3448" s="142" t="s">
        <v>1557</v>
      </c>
      <c r="G3448" s="130"/>
      <c r="H3448" s="10"/>
      <c r="I3448" s="10">
        <v>55908</v>
      </c>
      <c r="J3448" s="79" t="e">
        <f t="shared" si="222"/>
        <v>#VALUE!</v>
      </c>
      <c r="K3448" s="106"/>
      <c r="L3448" s="141"/>
      <c r="M3448" s="132"/>
      <c r="N3448" s="133"/>
      <c r="O3448" s="4"/>
      <c r="P3448" s="4"/>
      <c r="Q3448" s="4"/>
      <c r="R3448" s="4"/>
      <c r="S3448" s="4"/>
      <c r="T3448" s="4"/>
      <c r="U3448" s="4"/>
      <c r="V3448" s="4"/>
      <c r="W3448" s="4"/>
      <c r="X3448" s="4"/>
    </row>
    <row r="3449" spans="1:24" ht="14.25" customHeight="1">
      <c r="A3449" s="4"/>
      <c r="B3449" s="125">
        <v>46199</v>
      </c>
      <c r="C3449" s="126" t="s">
        <v>1537</v>
      </c>
      <c r="D3449" s="68" t="s">
        <v>63</v>
      </c>
      <c r="E3449" s="10" t="str">
        <f>TRIM(VLOOKUP(D3449,TB!$B$9:$C$1500,2,FALSE))</f>
        <v>City Ledger</v>
      </c>
      <c r="F3449" s="142" t="s">
        <v>1558</v>
      </c>
      <c r="G3449" s="130"/>
      <c r="H3449" s="10"/>
      <c r="I3449" s="10">
        <v>70620</v>
      </c>
      <c r="J3449" s="79" t="e">
        <f t="shared" si="222"/>
        <v>#VALUE!</v>
      </c>
      <c r="K3449" s="106"/>
      <c r="L3449" s="141"/>
      <c r="M3449" s="132"/>
      <c r="N3449" s="133"/>
      <c r="O3449" s="4"/>
      <c r="P3449" s="4"/>
      <c r="Q3449" s="4"/>
      <c r="R3449" s="4"/>
      <c r="S3449" s="4"/>
      <c r="T3449" s="4"/>
      <c r="U3449" s="4"/>
      <c r="V3449" s="4"/>
      <c r="W3449" s="4"/>
      <c r="X3449" s="4"/>
    </row>
    <row r="3450" spans="1:24" ht="14.25" customHeight="1">
      <c r="A3450" s="4"/>
      <c r="B3450" s="125">
        <v>46199</v>
      </c>
      <c r="C3450" s="126" t="s">
        <v>1537</v>
      </c>
      <c r="D3450" s="68" t="s">
        <v>63</v>
      </c>
      <c r="E3450" s="10" t="str">
        <f>TRIM(VLOOKUP(D3450,TB!$B$9:$C$1500,2,FALSE))</f>
        <v>City Ledger</v>
      </c>
      <c r="F3450" s="142" t="s">
        <v>1559</v>
      </c>
      <c r="G3450" s="130"/>
      <c r="H3450" s="10"/>
      <c r="I3450" s="10">
        <v>323676</v>
      </c>
      <c r="J3450" s="79" t="e">
        <f t="shared" si="222"/>
        <v>#VALUE!</v>
      </c>
      <c r="K3450" s="106"/>
      <c r="L3450" s="141"/>
      <c r="M3450" s="132"/>
      <c r="N3450" s="133"/>
      <c r="O3450" s="4"/>
      <c r="P3450" s="4"/>
      <c r="Q3450" s="4"/>
      <c r="R3450" s="4"/>
      <c r="S3450" s="4"/>
      <c r="T3450" s="4"/>
      <c r="U3450" s="4"/>
      <c r="V3450" s="4"/>
      <c r="W3450" s="4"/>
      <c r="X3450" s="4"/>
    </row>
    <row r="3451" spans="1:24" ht="14.25" customHeight="1">
      <c r="A3451" s="4"/>
      <c r="B3451" s="125">
        <v>46199</v>
      </c>
      <c r="C3451" s="126" t="s">
        <v>1537</v>
      </c>
      <c r="D3451" s="68" t="s">
        <v>63</v>
      </c>
      <c r="E3451" s="10" t="str">
        <f>TRIM(VLOOKUP(D3451,TB!$B$9:$C$1500,2,FALSE))</f>
        <v>City Ledger</v>
      </c>
      <c r="F3451" s="142" t="s">
        <v>1560</v>
      </c>
      <c r="G3451" s="130"/>
      <c r="H3451" s="10"/>
      <c r="I3451" s="10">
        <v>870980</v>
      </c>
      <c r="J3451" s="79" t="e">
        <f t="shared" si="222"/>
        <v>#VALUE!</v>
      </c>
      <c r="K3451" s="106"/>
      <c r="L3451" s="141"/>
      <c r="M3451" s="132"/>
      <c r="N3451" s="133"/>
      <c r="O3451" s="4"/>
      <c r="P3451" s="4"/>
      <c r="Q3451" s="4"/>
      <c r="R3451" s="4"/>
      <c r="S3451" s="4"/>
      <c r="T3451" s="4"/>
      <c r="U3451" s="4"/>
      <c r="V3451" s="4"/>
      <c r="W3451" s="4"/>
      <c r="X3451" s="4"/>
    </row>
    <row r="3452" spans="1:24" ht="14.25" customHeight="1">
      <c r="A3452" s="4"/>
      <c r="B3452" s="125">
        <v>46199</v>
      </c>
      <c r="C3452" s="126" t="s">
        <v>1537</v>
      </c>
      <c r="D3452" s="68" t="s">
        <v>63</v>
      </c>
      <c r="E3452" s="10" t="str">
        <f>TRIM(VLOOKUP(D3452,TB!$B$9:$C$1500,2,FALSE))</f>
        <v>City Ledger</v>
      </c>
      <c r="F3452" s="142" t="s">
        <v>1561</v>
      </c>
      <c r="G3452" s="130"/>
      <c r="H3452" s="10"/>
      <c r="I3452" s="10">
        <v>144183</v>
      </c>
      <c r="J3452" s="79" t="e">
        <f t="shared" si="222"/>
        <v>#VALUE!</v>
      </c>
      <c r="K3452" s="106"/>
      <c r="L3452" s="141"/>
      <c r="M3452" s="132"/>
      <c r="N3452" s="133"/>
      <c r="O3452" s="4"/>
      <c r="P3452" s="4"/>
      <c r="Q3452" s="4"/>
      <c r="R3452" s="4"/>
      <c r="S3452" s="4"/>
      <c r="T3452" s="4"/>
      <c r="U3452" s="4"/>
      <c r="V3452" s="4"/>
      <c r="W3452" s="4"/>
      <c r="X3452" s="4"/>
    </row>
    <row r="3453" spans="1:24" ht="14.25" customHeight="1">
      <c r="A3453" s="4"/>
      <c r="B3453" s="125">
        <v>46199</v>
      </c>
      <c r="C3453" s="126" t="s">
        <v>1537</v>
      </c>
      <c r="D3453" s="68" t="s">
        <v>63</v>
      </c>
      <c r="E3453" s="10" t="str">
        <f>TRIM(VLOOKUP(D3453,TB!$B$9:$C$1500,2,FALSE))</f>
        <v>City Ledger</v>
      </c>
      <c r="F3453" s="142" t="s">
        <v>1562</v>
      </c>
      <c r="G3453" s="130"/>
      <c r="H3453" s="10"/>
      <c r="I3453" s="10">
        <v>532594</v>
      </c>
      <c r="J3453" s="79" t="e">
        <f t="shared" si="222"/>
        <v>#VALUE!</v>
      </c>
      <c r="K3453" s="106"/>
      <c r="L3453" s="141"/>
      <c r="M3453" s="132"/>
      <c r="N3453" s="133"/>
      <c r="O3453" s="4"/>
      <c r="P3453" s="4"/>
      <c r="Q3453" s="4"/>
      <c r="R3453" s="4"/>
      <c r="S3453" s="4"/>
      <c r="T3453" s="4"/>
      <c r="U3453" s="4"/>
      <c r="V3453" s="4"/>
      <c r="W3453" s="4"/>
      <c r="X3453" s="4"/>
    </row>
    <row r="3454" spans="1:24" ht="14.25" customHeight="1">
      <c r="A3454" s="4"/>
      <c r="B3454" s="125">
        <v>46199</v>
      </c>
      <c r="C3454" s="126" t="s">
        <v>1537</v>
      </c>
      <c r="D3454" s="68" t="s">
        <v>63</v>
      </c>
      <c r="E3454" s="10" t="str">
        <f>TRIM(VLOOKUP(D3454,TB!$B$9:$C$1500,2,FALSE))</f>
        <v>City Ledger</v>
      </c>
      <c r="F3454" s="142" t="s">
        <v>1563</v>
      </c>
      <c r="G3454" s="130"/>
      <c r="H3454" s="10"/>
      <c r="I3454" s="10">
        <v>950429</v>
      </c>
      <c r="J3454" s="79" t="e">
        <f t="shared" si="222"/>
        <v>#VALUE!</v>
      </c>
      <c r="K3454" s="106"/>
      <c r="L3454" s="141"/>
      <c r="M3454" s="132"/>
      <c r="N3454" s="133"/>
      <c r="O3454" s="4"/>
      <c r="P3454" s="4"/>
      <c r="Q3454" s="4"/>
      <c r="R3454" s="4"/>
      <c r="S3454" s="4"/>
      <c r="T3454" s="4"/>
      <c r="U3454" s="4"/>
      <c r="V3454" s="4"/>
      <c r="W3454" s="4"/>
      <c r="X3454" s="4"/>
    </row>
    <row r="3455" spans="1:24" ht="14.25" customHeight="1">
      <c r="A3455" s="4"/>
      <c r="B3455" s="125">
        <v>46199</v>
      </c>
      <c r="C3455" s="126" t="s">
        <v>1537</v>
      </c>
      <c r="D3455" s="68" t="s">
        <v>63</v>
      </c>
      <c r="E3455" s="10" t="str">
        <f>TRIM(VLOOKUP(D3455,TB!$B$9:$C$1500,2,FALSE))</f>
        <v>City Ledger</v>
      </c>
      <c r="F3455" s="142" t="s">
        <v>1564</v>
      </c>
      <c r="G3455" s="130"/>
      <c r="H3455" s="10"/>
      <c r="I3455" s="10">
        <v>188321</v>
      </c>
      <c r="J3455" s="79" t="e">
        <f t="shared" si="222"/>
        <v>#VALUE!</v>
      </c>
      <c r="K3455" s="106"/>
      <c r="L3455" s="141"/>
      <c r="M3455" s="132"/>
      <c r="N3455" s="133"/>
      <c r="O3455" s="4"/>
      <c r="P3455" s="4"/>
      <c r="Q3455" s="4"/>
      <c r="R3455" s="4"/>
      <c r="S3455" s="4"/>
      <c r="T3455" s="4"/>
      <c r="U3455" s="4"/>
      <c r="V3455" s="4"/>
      <c r="W3455" s="4"/>
      <c r="X3455" s="4"/>
    </row>
    <row r="3456" spans="1:24" ht="14.25" customHeight="1">
      <c r="A3456" s="4"/>
      <c r="B3456" s="125">
        <v>46199</v>
      </c>
      <c r="C3456" s="126" t="s">
        <v>1537</v>
      </c>
      <c r="D3456" s="68" t="s">
        <v>63</v>
      </c>
      <c r="E3456" s="10" t="str">
        <f>TRIM(VLOOKUP(D3456,TB!$B$9:$C$1500,2,FALSE))</f>
        <v>City Ledger</v>
      </c>
      <c r="F3456" s="142" t="s">
        <v>1565</v>
      </c>
      <c r="G3456" s="130"/>
      <c r="H3456" s="10"/>
      <c r="I3456" s="10">
        <v>423722</v>
      </c>
      <c r="J3456" s="79" t="e">
        <f t="shared" si="222"/>
        <v>#VALUE!</v>
      </c>
      <c r="K3456" s="106"/>
      <c r="L3456" s="141"/>
      <c r="M3456" s="132"/>
      <c r="N3456" s="133"/>
      <c r="O3456" s="4"/>
      <c r="P3456" s="4"/>
      <c r="Q3456" s="4"/>
      <c r="R3456" s="4"/>
      <c r="S3456" s="4"/>
      <c r="T3456" s="4"/>
      <c r="U3456" s="4"/>
      <c r="V3456" s="4"/>
      <c r="W3456" s="4"/>
      <c r="X3456" s="4"/>
    </row>
    <row r="3457" spans="1:24" ht="14.25" customHeight="1">
      <c r="A3457" s="4"/>
      <c r="B3457" s="125">
        <v>46199</v>
      </c>
      <c r="C3457" s="126" t="s">
        <v>1537</v>
      </c>
      <c r="D3457" s="68" t="s">
        <v>63</v>
      </c>
      <c r="E3457" s="10" t="str">
        <f>TRIM(VLOOKUP(D3457,TB!$B$9:$C$1500,2,FALSE))</f>
        <v>City Ledger</v>
      </c>
      <c r="F3457" s="142" t="s">
        <v>1566</v>
      </c>
      <c r="G3457" s="130"/>
      <c r="H3457" s="10"/>
      <c r="I3457" s="10">
        <v>865095</v>
      </c>
      <c r="J3457" s="79" t="e">
        <f t="shared" si="222"/>
        <v>#VALUE!</v>
      </c>
      <c r="K3457" s="106"/>
      <c r="L3457" s="141"/>
      <c r="M3457" s="132"/>
      <c r="N3457" s="133"/>
      <c r="O3457" s="4"/>
      <c r="P3457" s="4"/>
      <c r="Q3457" s="4"/>
      <c r="R3457" s="4"/>
      <c r="S3457" s="4"/>
      <c r="T3457" s="4"/>
      <c r="U3457" s="4"/>
      <c r="V3457" s="4"/>
      <c r="W3457" s="4"/>
      <c r="X3457" s="4"/>
    </row>
    <row r="3458" spans="1:24" ht="14.25" customHeight="1">
      <c r="A3458" s="4"/>
      <c r="B3458" s="125">
        <v>46199</v>
      </c>
      <c r="C3458" s="126" t="s">
        <v>1537</v>
      </c>
      <c r="D3458" s="68" t="s">
        <v>63</v>
      </c>
      <c r="E3458" s="10" t="str">
        <f>TRIM(VLOOKUP(D3458,TB!$B$9:$C$1500,2,FALSE))</f>
        <v>City Ledger</v>
      </c>
      <c r="F3458" s="142" t="s">
        <v>1567</v>
      </c>
      <c r="G3458" s="130"/>
      <c r="H3458" s="10"/>
      <c r="I3458" s="10">
        <v>279538</v>
      </c>
      <c r="J3458" s="79" t="e">
        <f t="shared" si="222"/>
        <v>#VALUE!</v>
      </c>
      <c r="K3458" s="106"/>
      <c r="L3458" s="141"/>
      <c r="M3458" s="132"/>
      <c r="N3458" s="133"/>
      <c r="O3458" s="4"/>
      <c r="P3458" s="4"/>
      <c r="Q3458" s="4"/>
      <c r="R3458" s="4"/>
      <c r="S3458" s="4"/>
      <c r="T3458" s="4"/>
      <c r="U3458" s="4"/>
      <c r="V3458" s="4"/>
      <c r="W3458" s="4"/>
      <c r="X3458" s="4"/>
    </row>
    <row r="3459" spans="1:24" ht="14.25" customHeight="1">
      <c r="A3459" s="4"/>
      <c r="B3459" s="125">
        <v>46199</v>
      </c>
      <c r="C3459" s="126" t="s">
        <v>1537</v>
      </c>
      <c r="D3459" s="68" t="s">
        <v>63</v>
      </c>
      <c r="E3459" s="10" t="str">
        <f>TRIM(VLOOKUP(D3459,TB!$B$9:$C$1500,2,FALSE))</f>
        <v>City Ledger</v>
      </c>
      <c r="F3459" s="142" t="s">
        <v>1568</v>
      </c>
      <c r="G3459" s="130"/>
      <c r="H3459" s="10"/>
      <c r="I3459" s="10">
        <v>200090</v>
      </c>
      <c r="J3459" s="79" t="e">
        <f t="shared" si="222"/>
        <v>#VALUE!</v>
      </c>
      <c r="K3459" s="106"/>
      <c r="L3459" s="141"/>
      <c r="M3459" s="132"/>
      <c r="N3459" s="133"/>
      <c r="O3459" s="4"/>
      <c r="P3459" s="4"/>
      <c r="Q3459" s="4"/>
      <c r="R3459" s="4"/>
      <c r="S3459" s="4"/>
      <c r="T3459" s="4"/>
      <c r="U3459" s="4"/>
      <c r="V3459" s="4"/>
      <c r="W3459" s="4"/>
      <c r="X3459" s="4"/>
    </row>
    <row r="3460" spans="1:24" ht="14.25" customHeight="1">
      <c r="A3460" s="4"/>
      <c r="B3460" s="125">
        <v>46199</v>
      </c>
      <c r="C3460" s="126" t="s">
        <v>1537</v>
      </c>
      <c r="D3460" s="68" t="s">
        <v>63</v>
      </c>
      <c r="E3460" s="10" t="str">
        <f>TRIM(VLOOKUP(D3460,TB!$B$9:$C$1500,2,FALSE))</f>
        <v>City Ledger</v>
      </c>
      <c r="F3460" s="142" t="s">
        <v>1569</v>
      </c>
      <c r="G3460" s="130"/>
      <c r="H3460" s="10"/>
      <c r="I3460" s="10">
        <v>211860</v>
      </c>
      <c r="J3460" s="79" t="e">
        <f t="shared" si="222"/>
        <v>#VALUE!</v>
      </c>
      <c r="K3460" s="106"/>
      <c r="L3460" s="141"/>
      <c r="M3460" s="132"/>
      <c r="N3460" s="133"/>
      <c r="O3460" s="4"/>
      <c r="P3460" s="4"/>
      <c r="Q3460" s="4"/>
      <c r="R3460" s="4"/>
      <c r="S3460" s="4"/>
      <c r="T3460" s="4"/>
      <c r="U3460" s="4"/>
      <c r="V3460" s="4"/>
      <c r="W3460" s="4"/>
      <c r="X3460" s="4"/>
    </row>
    <row r="3461" spans="1:24" ht="14.25" customHeight="1">
      <c r="A3461" s="4"/>
      <c r="B3461" s="125">
        <v>46199</v>
      </c>
      <c r="C3461" s="126" t="s">
        <v>1537</v>
      </c>
      <c r="D3461" s="68" t="s">
        <v>63</v>
      </c>
      <c r="E3461" s="10" t="str">
        <f>TRIM(VLOOKUP(D3461,TB!$B$9:$C$1500,2,FALSE))</f>
        <v>City Ledger</v>
      </c>
      <c r="F3461" s="142" t="s">
        <v>1570</v>
      </c>
      <c r="G3461" s="130"/>
      <c r="H3461" s="10"/>
      <c r="I3461" s="10">
        <v>176550</v>
      </c>
      <c r="J3461" s="79" t="e">
        <f t="shared" si="222"/>
        <v>#VALUE!</v>
      </c>
      <c r="K3461" s="106"/>
      <c r="L3461" s="141"/>
      <c r="M3461" s="132"/>
      <c r="N3461" s="133"/>
      <c r="O3461" s="4"/>
      <c r="P3461" s="4"/>
      <c r="Q3461" s="4"/>
      <c r="R3461" s="4"/>
      <c r="S3461" s="4"/>
      <c r="T3461" s="4"/>
      <c r="U3461" s="4"/>
      <c r="V3461" s="4"/>
      <c r="W3461" s="4"/>
      <c r="X3461" s="4"/>
    </row>
    <row r="3462" spans="1:24" ht="14.25" customHeight="1">
      <c r="A3462" s="4"/>
      <c r="B3462" s="125">
        <v>46199</v>
      </c>
      <c r="C3462" s="126" t="s">
        <v>1537</v>
      </c>
      <c r="D3462" s="68" t="s">
        <v>63</v>
      </c>
      <c r="E3462" s="10" t="str">
        <f>TRIM(VLOOKUP(D3462,TB!$B$9:$C$1500,2,FALSE))</f>
        <v>City Ledger</v>
      </c>
      <c r="F3462" s="142" t="s">
        <v>1571</v>
      </c>
      <c r="G3462" s="130"/>
      <c r="H3462" s="10"/>
      <c r="I3462" s="10">
        <v>158895</v>
      </c>
      <c r="J3462" s="79" t="e">
        <f t="shared" si="222"/>
        <v>#VALUE!</v>
      </c>
      <c r="K3462" s="106"/>
      <c r="L3462" s="141"/>
      <c r="M3462" s="132"/>
      <c r="N3462" s="133"/>
      <c r="O3462" s="4"/>
      <c r="P3462" s="4"/>
      <c r="Q3462" s="4"/>
      <c r="R3462" s="4"/>
      <c r="S3462" s="4"/>
      <c r="T3462" s="4"/>
      <c r="U3462" s="4"/>
      <c r="V3462" s="4"/>
      <c r="W3462" s="4"/>
      <c r="X3462" s="4"/>
    </row>
    <row r="3463" spans="1:24" ht="14.25" customHeight="1">
      <c r="A3463" s="4"/>
      <c r="B3463" s="125">
        <v>46199</v>
      </c>
      <c r="C3463" s="126" t="s">
        <v>1537</v>
      </c>
      <c r="D3463" s="68" t="s">
        <v>63</v>
      </c>
      <c r="E3463" s="10" t="str">
        <f>TRIM(VLOOKUP(D3463,TB!$B$9:$C$1500,2,FALSE))</f>
        <v>City Ledger</v>
      </c>
      <c r="F3463" s="142" t="s">
        <v>1572</v>
      </c>
      <c r="G3463" s="130"/>
      <c r="H3463" s="10"/>
      <c r="I3463" s="10">
        <v>205975</v>
      </c>
      <c r="J3463" s="79" t="e">
        <f t="shared" si="222"/>
        <v>#VALUE!</v>
      </c>
      <c r="K3463" s="106"/>
      <c r="L3463" s="141"/>
      <c r="M3463" s="132"/>
      <c r="N3463" s="133"/>
      <c r="O3463" s="4"/>
      <c r="P3463" s="4"/>
      <c r="Q3463" s="4"/>
      <c r="R3463" s="4"/>
      <c r="S3463" s="4"/>
      <c r="T3463" s="4"/>
      <c r="U3463" s="4"/>
      <c r="V3463" s="4"/>
      <c r="W3463" s="4"/>
      <c r="X3463" s="4"/>
    </row>
    <row r="3464" spans="1:24" ht="14.25" customHeight="1">
      <c r="A3464" s="4"/>
      <c r="B3464" s="125">
        <v>46199</v>
      </c>
      <c r="C3464" s="126" t="s">
        <v>1537</v>
      </c>
      <c r="D3464" s="68" t="s">
        <v>1573</v>
      </c>
      <c r="E3464" s="10" t="str">
        <f>TRIM(VLOOKUP(D3464,TB!$B$9:$C$1500,2,FALSE))</f>
        <v>Cash Advance</v>
      </c>
      <c r="F3464" s="142" t="s">
        <v>1574</v>
      </c>
      <c r="G3464" s="130"/>
      <c r="H3464" s="10"/>
      <c r="I3464" s="10">
        <v>500000</v>
      </c>
      <c r="J3464" s="79" t="e">
        <f t="shared" si="222"/>
        <v>#VALUE!</v>
      </c>
      <c r="K3464" s="106"/>
      <c r="L3464" s="141"/>
      <c r="M3464" s="132"/>
      <c r="N3464" s="133"/>
      <c r="O3464" s="4"/>
      <c r="P3464" s="4"/>
      <c r="Q3464" s="4"/>
      <c r="R3464" s="4"/>
      <c r="S3464" s="4"/>
      <c r="T3464" s="4"/>
      <c r="U3464" s="4"/>
      <c r="V3464" s="4"/>
      <c r="W3464" s="4"/>
      <c r="X3464" s="4"/>
    </row>
    <row r="3465" spans="1:24" ht="14.25" customHeight="1">
      <c r="A3465" s="4"/>
      <c r="B3465" s="125">
        <v>46199</v>
      </c>
      <c r="C3465" s="126" t="s">
        <v>1537</v>
      </c>
      <c r="D3465" s="68" t="s">
        <v>1573</v>
      </c>
      <c r="E3465" s="10" t="str">
        <f>TRIM(VLOOKUP(D3465,TB!$B$9:$C$1500,2,FALSE))</f>
        <v>Cash Advance</v>
      </c>
      <c r="F3465" s="142" t="s">
        <v>1549</v>
      </c>
      <c r="G3465" s="130"/>
      <c r="H3465" s="10"/>
      <c r="I3465" s="10">
        <v>500000</v>
      </c>
      <c r="J3465" s="79" t="e">
        <f t="shared" si="222"/>
        <v>#VALUE!</v>
      </c>
      <c r="K3465" s="106"/>
      <c r="L3465" s="141"/>
      <c r="M3465" s="132"/>
      <c r="N3465" s="133"/>
      <c r="O3465" s="4"/>
      <c r="P3465" s="4"/>
      <c r="Q3465" s="4"/>
      <c r="R3465" s="4"/>
      <c r="S3465" s="4"/>
      <c r="T3465" s="4"/>
      <c r="U3465" s="4"/>
      <c r="V3465" s="4"/>
      <c r="W3465" s="4"/>
      <c r="X3465" s="4"/>
    </row>
    <row r="3466" spans="1:24" ht="14.25" customHeight="1">
      <c r="A3466" s="4"/>
      <c r="B3466" s="125">
        <v>46199</v>
      </c>
      <c r="C3466" s="126" t="s">
        <v>1537</v>
      </c>
      <c r="D3466" s="15" t="s">
        <v>1538</v>
      </c>
      <c r="E3466" s="10" t="str">
        <f>TRIM(VLOOKUP(D3466,TB!$B$9:$C$1500,2,FALSE))</f>
        <v>Salaries</v>
      </c>
      <c r="F3466" s="142" t="s">
        <v>1575</v>
      </c>
      <c r="G3466" s="130"/>
      <c r="H3466" s="10"/>
      <c r="I3466" s="10">
        <v>415942</v>
      </c>
      <c r="J3466" s="79" t="e">
        <f t="shared" si="222"/>
        <v>#VALUE!</v>
      </c>
      <c r="K3466" s="106"/>
      <c r="L3466" s="141"/>
      <c r="M3466" s="132"/>
      <c r="N3466" s="133"/>
      <c r="O3466" s="4"/>
      <c r="P3466" s="4"/>
      <c r="Q3466" s="4"/>
      <c r="R3466" s="4"/>
      <c r="S3466" s="4"/>
      <c r="T3466" s="4"/>
      <c r="U3466" s="4"/>
      <c r="V3466" s="4"/>
      <c r="W3466" s="4"/>
      <c r="X3466" s="4"/>
    </row>
    <row r="3467" spans="1:24" ht="14.25" customHeight="1">
      <c r="A3467" s="4"/>
      <c r="B3467" s="125">
        <v>46199</v>
      </c>
      <c r="C3467" s="126" t="s">
        <v>1537</v>
      </c>
      <c r="D3467" s="15" t="s">
        <v>1538</v>
      </c>
      <c r="E3467" s="10" t="str">
        <f>TRIM(VLOOKUP(D3467,TB!$B$9:$C$1500,2,FALSE))</f>
        <v>Salaries</v>
      </c>
      <c r="F3467" s="142" t="s">
        <v>1576</v>
      </c>
      <c r="G3467" s="130"/>
      <c r="H3467" s="10"/>
      <c r="I3467" s="10">
        <v>360694</v>
      </c>
      <c r="J3467" s="79" t="e">
        <f t="shared" si="222"/>
        <v>#VALUE!</v>
      </c>
      <c r="K3467" s="106"/>
      <c r="L3467" s="141"/>
      <c r="M3467" s="132"/>
      <c r="N3467" s="133"/>
      <c r="O3467" s="4"/>
      <c r="P3467" s="4"/>
      <c r="Q3467" s="4"/>
      <c r="R3467" s="4"/>
      <c r="S3467" s="4"/>
      <c r="T3467" s="4"/>
      <c r="U3467" s="4"/>
      <c r="V3467" s="4"/>
      <c r="W3467" s="4"/>
      <c r="X3467" s="4"/>
    </row>
    <row r="3468" spans="1:24" ht="14.25" customHeight="1">
      <c r="A3468" s="4"/>
      <c r="B3468" s="125">
        <v>46199</v>
      </c>
      <c r="C3468" s="126" t="s">
        <v>1537</v>
      </c>
      <c r="D3468" s="68" t="s">
        <v>812</v>
      </c>
      <c r="E3468" s="10" t="str">
        <f>TRIM(VLOOKUP(D3468,TB!$B$9:$C$1500,2,FALSE))</f>
        <v>PPh Ps 21</v>
      </c>
      <c r="F3468" s="173" t="s">
        <v>1577</v>
      </c>
      <c r="G3468" s="130"/>
      <c r="H3468" s="10"/>
      <c r="I3468" s="10">
        <v>1614766</v>
      </c>
      <c r="J3468" s="79" t="e">
        <f t="shared" si="222"/>
        <v>#VALUE!</v>
      </c>
      <c r="K3468" s="106"/>
      <c r="L3468" s="141"/>
      <c r="M3468" s="132"/>
      <c r="N3468" s="133"/>
      <c r="O3468" s="4"/>
      <c r="P3468" s="4"/>
      <c r="Q3468" s="4"/>
      <c r="R3468" s="4"/>
      <c r="S3468" s="4"/>
      <c r="T3468" s="4"/>
      <c r="U3468" s="4"/>
      <c r="V3468" s="4"/>
      <c r="W3468" s="4"/>
      <c r="X3468" s="4"/>
    </row>
    <row r="3469" spans="1:24" ht="14.25" customHeight="1">
      <c r="A3469" s="4"/>
      <c r="B3469" s="125">
        <v>46199</v>
      </c>
      <c r="C3469" s="126" t="s">
        <v>1537</v>
      </c>
      <c r="D3469" s="68" t="s">
        <v>158</v>
      </c>
      <c r="E3469" s="10" t="str">
        <f>TRIM(VLOOKUP(D3469,TB!$B$9:$C$1500,2,FALSE))</f>
        <v>Mandiri TBB IDR</v>
      </c>
      <c r="F3469" s="142" t="s">
        <v>1578</v>
      </c>
      <c r="G3469" s="130"/>
      <c r="H3469" s="10"/>
      <c r="I3469" s="10">
        <f>515616986+260500</f>
        <v>515877486</v>
      </c>
      <c r="J3469" s="79" t="e">
        <f t="shared" si="222"/>
        <v>#VALUE!</v>
      </c>
      <c r="K3469" s="106"/>
      <c r="L3469" s="141"/>
      <c r="M3469" s="132"/>
      <c r="N3469" s="133"/>
      <c r="O3469" s="4"/>
      <c r="P3469" s="4"/>
      <c r="Q3469" s="4"/>
      <c r="R3469" s="4"/>
      <c r="S3469" s="4"/>
      <c r="T3469" s="4"/>
      <c r="U3469" s="4"/>
      <c r="V3469" s="4"/>
      <c r="W3469" s="4"/>
      <c r="X3469" s="4"/>
    </row>
    <row r="3470" spans="1:24" ht="14.25" customHeight="1">
      <c r="A3470" s="4"/>
      <c r="B3470" s="125">
        <v>46199</v>
      </c>
      <c r="C3470" s="126" t="s">
        <v>1537</v>
      </c>
      <c r="D3470" s="68" t="s">
        <v>1573</v>
      </c>
      <c r="E3470" s="10" t="str">
        <f>TRIM(VLOOKUP(D3470,TB!$B$9:$C$1500,2,FALSE))</f>
        <v>Cash Advance</v>
      </c>
      <c r="F3470" s="142" t="s">
        <v>1579</v>
      </c>
      <c r="G3470" s="130"/>
      <c r="H3470" s="10">
        <v>75000</v>
      </c>
      <c r="I3470" s="10"/>
      <c r="J3470" s="79" t="e">
        <f t="shared" si="222"/>
        <v>#VALUE!</v>
      </c>
      <c r="K3470" s="106"/>
      <c r="L3470" s="141"/>
      <c r="M3470" s="132"/>
      <c r="N3470" s="133"/>
      <c r="O3470" s="4"/>
      <c r="P3470" s="4"/>
      <c r="Q3470" s="4"/>
      <c r="R3470" s="4"/>
      <c r="S3470" s="4"/>
      <c r="T3470" s="4"/>
      <c r="U3470" s="4"/>
      <c r="V3470" s="4"/>
      <c r="W3470" s="4"/>
      <c r="X3470" s="4"/>
    </row>
    <row r="3471" spans="1:24" ht="14.25" customHeight="1">
      <c r="A3471" s="4"/>
      <c r="B3471" s="125">
        <v>46199</v>
      </c>
      <c r="C3471" s="126" t="s">
        <v>1537</v>
      </c>
      <c r="D3471" s="68" t="s">
        <v>1573</v>
      </c>
      <c r="E3471" s="10" t="str">
        <f>TRIM(VLOOKUP(D3471,TB!$B$9:$C$1500,2,FALSE))</f>
        <v>Cash Advance</v>
      </c>
      <c r="F3471" s="142" t="s">
        <v>1580</v>
      </c>
      <c r="G3471" s="130"/>
      <c r="H3471" s="10">
        <v>84600</v>
      </c>
      <c r="I3471" s="10"/>
      <c r="J3471" s="79" t="e">
        <f t="shared" si="222"/>
        <v>#VALUE!</v>
      </c>
      <c r="K3471" s="106"/>
      <c r="L3471" s="141"/>
      <c r="M3471" s="132"/>
      <c r="N3471" s="133"/>
      <c r="O3471" s="4"/>
      <c r="P3471" s="4"/>
      <c r="Q3471" s="4"/>
      <c r="R3471" s="4"/>
      <c r="S3471" s="4"/>
      <c r="T3471" s="4"/>
      <c r="U3471" s="4"/>
      <c r="V3471" s="4"/>
      <c r="W3471" s="4"/>
      <c r="X3471" s="4"/>
    </row>
    <row r="3472" spans="1:24" ht="14.25" customHeight="1">
      <c r="A3472" s="4"/>
      <c r="B3472" s="125">
        <v>46199</v>
      </c>
      <c r="C3472" s="126" t="s">
        <v>1537</v>
      </c>
      <c r="D3472" s="68" t="s">
        <v>1573</v>
      </c>
      <c r="E3472" s="10" t="str">
        <f>TRIM(VLOOKUP(D3472,TB!$B$9:$C$1500,2,FALSE))</f>
        <v>Cash Advance</v>
      </c>
      <c r="F3472" s="142" t="s">
        <v>1581</v>
      </c>
      <c r="G3472" s="130"/>
      <c r="H3472" s="10">
        <v>22540</v>
      </c>
      <c r="I3472" s="10"/>
      <c r="J3472" s="79" t="e">
        <f t="shared" si="222"/>
        <v>#VALUE!</v>
      </c>
      <c r="K3472" s="106"/>
      <c r="L3472" s="141"/>
      <c r="M3472" s="132"/>
      <c r="N3472" s="133"/>
      <c r="O3472" s="4"/>
      <c r="P3472" s="4"/>
      <c r="Q3472" s="4"/>
      <c r="R3472" s="4"/>
      <c r="S3472" s="4"/>
      <c r="T3472" s="4"/>
      <c r="U3472" s="4"/>
      <c r="V3472" s="4"/>
      <c r="W3472" s="4"/>
      <c r="X3472" s="4"/>
    </row>
    <row r="3473" spans="1:24" ht="14.25" customHeight="1">
      <c r="A3473" s="4"/>
      <c r="B3473" s="125">
        <v>46199</v>
      </c>
      <c r="C3473" s="126" t="s">
        <v>1537</v>
      </c>
      <c r="D3473" s="68" t="s">
        <v>1573</v>
      </c>
      <c r="E3473" s="10" t="str">
        <f>TRIM(VLOOKUP(D3473,TB!$B$9:$C$1500,2,FALSE))</f>
        <v>Cash Advance</v>
      </c>
      <c r="F3473" s="142" t="s">
        <v>1582</v>
      </c>
      <c r="G3473" s="130"/>
      <c r="H3473" s="10">
        <v>23000</v>
      </c>
      <c r="I3473" s="10"/>
      <c r="J3473" s="79" t="e">
        <f t="shared" si="222"/>
        <v>#VALUE!</v>
      </c>
      <c r="K3473" s="106"/>
      <c r="L3473" s="141"/>
      <c r="M3473" s="132"/>
      <c r="N3473" s="133"/>
      <c r="O3473" s="4"/>
      <c r="P3473" s="4"/>
      <c r="Q3473" s="4"/>
      <c r="R3473" s="4"/>
      <c r="S3473" s="4"/>
      <c r="T3473" s="4"/>
      <c r="U3473" s="4"/>
      <c r="V3473" s="4"/>
      <c r="W3473" s="4"/>
      <c r="X3473" s="4"/>
    </row>
    <row r="3474" spans="1:24" ht="14.25" customHeight="1">
      <c r="A3474" s="4"/>
      <c r="B3474" s="125">
        <v>46199</v>
      </c>
      <c r="C3474" s="126" t="s">
        <v>1537</v>
      </c>
      <c r="D3474" s="68" t="s">
        <v>1573</v>
      </c>
      <c r="E3474" s="10" t="str">
        <f>TRIM(VLOOKUP(D3474,TB!$B$9:$C$1500,2,FALSE))</f>
        <v>Cash Advance</v>
      </c>
      <c r="F3474" s="142" t="s">
        <v>1583</v>
      </c>
      <c r="G3474" s="130"/>
      <c r="H3474" s="10">
        <v>92000</v>
      </c>
      <c r="I3474" s="10"/>
      <c r="J3474" s="79" t="e">
        <f t="shared" si="222"/>
        <v>#VALUE!</v>
      </c>
      <c r="K3474" s="106"/>
      <c r="L3474" s="141"/>
      <c r="M3474" s="132"/>
      <c r="N3474" s="133"/>
      <c r="O3474" s="4"/>
      <c r="P3474" s="4"/>
      <c r="Q3474" s="4"/>
      <c r="R3474" s="4"/>
      <c r="S3474" s="4"/>
      <c r="T3474" s="4"/>
      <c r="U3474" s="4"/>
      <c r="V3474" s="4"/>
      <c r="W3474" s="4"/>
      <c r="X3474" s="4"/>
    </row>
    <row r="3475" spans="1:24" ht="14.25" customHeight="1">
      <c r="A3475" s="4"/>
      <c r="B3475" s="125">
        <v>46199</v>
      </c>
      <c r="C3475" s="126" t="s">
        <v>1537</v>
      </c>
      <c r="D3475" s="68" t="s">
        <v>1573</v>
      </c>
      <c r="E3475" s="10" t="str">
        <f>TRIM(VLOOKUP(D3475,TB!$B$9:$C$1500,2,FALSE))</f>
        <v>Cash Advance</v>
      </c>
      <c r="F3475" s="142" t="s">
        <v>1584</v>
      </c>
      <c r="G3475" s="130"/>
      <c r="H3475" s="10">
        <v>138000</v>
      </c>
      <c r="I3475" s="10"/>
      <c r="J3475" s="79" t="e">
        <f t="shared" si="222"/>
        <v>#VALUE!</v>
      </c>
      <c r="K3475" s="106"/>
      <c r="L3475" s="141"/>
      <c r="M3475" s="132"/>
      <c r="N3475" s="133"/>
      <c r="O3475" s="4"/>
      <c r="P3475" s="4"/>
      <c r="Q3475" s="4"/>
      <c r="R3475" s="4"/>
      <c r="S3475" s="4"/>
      <c r="T3475" s="4"/>
      <c r="U3475" s="4"/>
      <c r="V3475" s="4"/>
      <c r="W3475" s="4"/>
      <c r="X3475" s="4"/>
    </row>
    <row r="3476" spans="1:24" ht="14.25" customHeight="1">
      <c r="A3476" s="4"/>
      <c r="B3476" s="125">
        <v>46199</v>
      </c>
      <c r="C3476" s="126" t="s">
        <v>1537</v>
      </c>
      <c r="D3476" s="68" t="s">
        <v>1573</v>
      </c>
      <c r="E3476" s="10" t="str">
        <f>TRIM(VLOOKUP(D3476,TB!$B$9:$C$1500,2,FALSE))</f>
        <v>Cash Advance</v>
      </c>
      <c r="F3476" s="142" t="s">
        <v>1585</v>
      </c>
      <c r="G3476" s="130"/>
      <c r="H3476" s="10">
        <v>23000</v>
      </c>
      <c r="I3476" s="10"/>
      <c r="J3476" s="79" t="e">
        <f t="shared" si="222"/>
        <v>#VALUE!</v>
      </c>
      <c r="K3476" s="106"/>
      <c r="L3476" s="141"/>
      <c r="M3476" s="132"/>
      <c r="N3476" s="133"/>
      <c r="O3476" s="4"/>
      <c r="P3476" s="4"/>
      <c r="Q3476" s="4"/>
      <c r="R3476" s="4"/>
      <c r="S3476" s="4"/>
      <c r="T3476" s="4"/>
      <c r="U3476" s="4"/>
      <c r="V3476" s="4"/>
      <c r="W3476" s="4"/>
      <c r="X3476" s="4"/>
    </row>
    <row r="3477" spans="1:24" ht="14.25" customHeight="1">
      <c r="A3477" s="4"/>
      <c r="B3477" s="125">
        <v>46199</v>
      </c>
      <c r="C3477" s="126" t="s">
        <v>1537</v>
      </c>
      <c r="D3477" s="68" t="s">
        <v>1573</v>
      </c>
      <c r="E3477" s="10" t="str">
        <f>TRIM(VLOOKUP(D3477,TB!$B$9:$C$1500,2,FALSE))</f>
        <v>Cash Advance</v>
      </c>
      <c r="F3477" s="142" t="s">
        <v>1586</v>
      </c>
      <c r="G3477" s="130"/>
      <c r="H3477" s="10">
        <v>115000</v>
      </c>
      <c r="I3477" s="10"/>
      <c r="J3477" s="79" t="e">
        <f t="shared" si="222"/>
        <v>#VALUE!</v>
      </c>
      <c r="K3477" s="106"/>
      <c r="L3477" s="141"/>
      <c r="M3477" s="132"/>
      <c r="N3477" s="133"/>
      <c r="O3477" s="4"/>
      <c r="P3477" s="4"/>
      <c r="Q3477" s="4"/>
      <c r="R3477" s="4"/>
      <c r="S3477" s="4"/>
      <c r="T3477" s="4"/>
      <c r="U3477" s="4"/>
      <c r="V3477" s="4"/>
      <c r="W3477" s="4"/>
      <c r="X3477" s="4"/>
    </row>
    <row r="3478" spans="1:24" ht="14.25" customHeight="1">
      <c r="A3478" s="4"/>
      <c r="B3478" s="125">
        <v>46199</v>
      </c>
      <c r="C3478" s="126" t="s">
        <v>1537</v>
      </c>
      <c r="D3478" s="68" t="s">
        <v>1573</v>
      </c>
      <c r="E3478" s="10" t="str">
        <f>TRIM(VLOOKUP(D3478,TB!$B$9:$C$1500,2,FALSE))</f>
        <v>Cash Advance</v>
      </c>
      <c r="F3478" s="142" t="s">
        <v>1587</v>
      </c>
      <c r="G3478" s="130"/>
      <c r="H3478" s="10">
        <v>92000</v>
      </c>
      <c r="I3478" s="10"/>
      <c r="J3478" s="79" t="e">
        <f t="shared" si="222"/>
        <v>#VALUE!</v>
      </c>
      <c r="K3478" s="106"/>
      <c r="L3478" s="141"/>
      <c r="M3478" s="132"/>
      <c r="N3478" s="133"/>
      <c r="O3478" s="4"/>
      <c r="P3478" s="4"/>
      <c r="Q3478" s="4"/>
      <c r="R3478" s="4"/>
      <c r="S3478" s="4"/>
      <c r="T3478" s="4"/>
      <c r="U3478" s="4"/>
      <c r="V3478" s="4"/>
      <c r="W3478" s="4"/>
      <c r="X3478" s="4"/>
    </row>
    <row r="3479" spans="1:24" ht="14.25" customHeight="1">
      <c r="A3479" s="4"/>
      <c r="B3479" s="125">
        <v>46199</v>
      </c>
      <c r="C3479" s="126" t="s">
        <v>1537</v>
      </c>
      <c r="D3479" s="68" t="s">
        <v>1573</v>
      </c>
      <c r="E3479" s="10" t="str">
        <f>TRIM(VLOOKUP(D3479,TB!$B$9:$C$1500,2,FALSE))</f>
        <v>Cash Advance</v>
      </c>
      <c r="F3479" s="142" t="s">
        <v>1588</v>
      </c>
      <c r="G3479" s="130"/>
      <c r="H3479" s="10">
        <v>69000</v>
      </c>
      <c r="I3479" s="10"/>
      <c r="J3479" s="79" t="e">
        <f t="shared" si="222"/>
        <v>#VALUE!</v>
      </c>
      <c r="K3479" s="106"/>
      <c r="L3479" s="141"/>
      <c r="M3479" s="132"/>
      <c r="N3479" s="133"/>
      <c r="O3479" s="4"/>
      <c r="P3479" s="4"/>
      <c r="Q3479" s="4"/>
      <c r="R3479" s="4"/>
      <c r="S3479" s="4"/>
      <c r="T3479" s="4"/>
      <c r="U3479" s="4"/>
      <c r="V3479" s="4"/>
      <c r="W3479" s="4"/>
      <c r="X3479" s="4"/>
    </row>
    <row r="3480" spans="1:24" ht="14.25" customHeight="1">
      <c r="A3480" s="4"/>
      <c r="B3480" s="125">
        <v>46199</v>
      </c>
      <c r="C3480" s="126" t="s">
        <v>1537</v>
      </c>
      <c r="D3480" s="68" t="s">
        <v>1573</v>
      </c>
      <c r="E3480" s="10" t="str">
        <f>TRIM(VLOOKUP(D3480,TB!$B$9:$C$1500,2,FALSE))</f>
        <v>Cash Advance</v>
      </c>
      <c r="F3480" s="142" t="s">
        <v>1589</v>
      </c>
      <c r="G3480" s="130"/>
      <c r="H3480" s="10">
        <v>138000</v>
      </c>
      <c r="I3480" s="10"/>
      <c r="J3480" s="79" t="e">
        <f t="shared" si="222"/>
        <v>#VALUE!</v>
      </c>
      <c r="K3480" s="106"/>
      <c r="L3480" s="141"/>
      <c r="M3480" s="132"/>
      <c r="N3480" s="133"/>
      <c r="O3480" s="4"/>
      <c r="P3480" s="4"/>
      <c r="Q3480" s="4"/>
      <c r="R3480" s="4"/>
      <c r="S3480" s="4"/>
      <c r="T3480" s="4"/>
      <c r="U3480" s="4"/>
      <c r="V3480" s="4"/>
      <c r="W3480" s="4"/>
      <c r="X3480" s="4"/>
    </row>
    <row r="3481" spans="1:24" ht="14.25" customHeight="1">
      <c r="A3481" s="4"/>
      <c r="B3481" s="125">
        <v>46199</v>
      </c>
      <c r="C3481" s="126" t="s">
        <v>1537</v>
      </c>
      <c r="D3481" s="68" t="s">
        <v>1573</v>
      </c>
      <c r="E3481" s="10" t="str">
        <f>TRIM(VLOOKUP(D3481,TB!$B$9:$C$1500,2,FALSE))</f>
        <v>Cash Advance</v>
      </c>
      <c r="F3481" s="142" t="s">
        <v>1590</v>
      </c>
      <c r="G3481" s="130"/>
      <c r="H3481" s="10">
        <v>46000</v>
      </c>
      <c r="I3481" s="10"/>
      <c r="J3481" s="79" t="e">
        <f t="shared" si="222"/>
        <v>#VALUE!</v>
      </c>
      <c r="K3481" s="106"/>
      <c r="L3481" s="141"/>
      <c r="M3481" s="132"/>
      <c r="N3481" s="133"/>
      <c r="O3481" s="4"/>
      <c r="P3481" s="4"/>
      <c r="Q3481" s="4"/>
      <c r="R3481" s="4"/>
      <c r="S3481" s="4"/>
      <c r="T3481" s="4"/>
      <c r="U3481" s="4"/>
      <c r="V3481" s="4"/>
      <c r="W3481" s="4"/>
      <c r="X3481" s="4"/>
    </row>
    <row r="3482" spans="1:24" ht="14.25" customHeight="1">
      <c r="A3482" s="4"/>
      <c r="B3482" s="125">
        <v>46199</v>
      </c>
      <c r="C3482" s="126" t="s">
        <v>1537</v>
      </c>
      <c r="D3482" s="68" t="s">
        <v>1573</v>
      </c>
      <c r="E3482" s="10" t="str">
        <f>TRIM(VLOOKUP(D3482,TB!$B$9:$C$1500,2,FALSE))</f>
        <v>Cash Advance</v>
      </c>
      <c r="F3482" s="142" t="s">
        <v>1591</v>
      </c>
      <c r="G3482" s="130"/>
      <c r="H3482" s="10">
        <v>125000</v>
      </c>
      <c r="I3482" s="10"/>
      <c r="J3482" s="79" t="e">
        <f t="shared" si="222"/>
        <v>#VALUE!</v>
      </c>
      <c r="K3482" s="106"/>
      <c r="L3482" s="141"/>
      <c r="M3482" s="132"/>
      <c r="N3482" s="133"/>
      <c r="O3482" s="4"/>
      <c r="P3482" s="4"/>
      <c r="Q3482" s="4"/>
      <c r="R3482" s="4"/>
      <c r="S3482" s="4"/>
      <c r="T3482" s="4"/>
      <c r="U3482" s="4"/>
      <c r="V3482" s="4"/>
      <c r="W3482" s="4"/>
      <c r="X3482" s="4"/>
    </row>
    <row r="3483" spans="1:24" ht="14.25" customHeight="1">
      <c r="A3483" s="4"/>
      <c r="B3483" s="125">
        <v>46199</v>
      </c>
      <c r="C3483" s="126" t="s">
        <v>1537</v>
      </c>
      <c r="D3483" s="68" t="s">
        <v>1573</v>
      </c>
      <c r="E3483" s="10" t="str">
        <f>TRIM(VLOOKUP(D3483,TB!$B$9:$C$1500,2,FALSE))</f>
        <v>Cash Advance</v>
      </c>
      <c r="F3483" s="142" t="s">
        <v>1592</v>
      </c>
      <c r="G3483" s="130"/>
      <c r="H3483" s="10">
        <v>23000</v>
      </c>
      <c r="I3483" s="10"/>
      <c r="J3483" s="79" t="e">
        <f t="shared" si="222"/>
        <v>#VALUE!</v>
      </c>
      <c r="K3483" s="106"/>
      <c r="L3483" s="141"/>
      <c r="M3483" s="132"/>
      <c r="N3483" s="133"/>
      <c r="O3483" s="4"/>
      <c r="P3483" s="4"/>
      <c r="Q3483" s="4"/>
      <c r="R3483" s="4"/>
      <c r="S3483" s="4"/>
      <c r="T3483" s="4"/>
      <c r="U3483" s="4"/>
      <c r="V3483" s="4"/>
      <c r="W3483" s="4"/>
      <c r="X3483" s="4"/>
    </row>
    <row r="3484" spans="1:24" ht="14.25" customHeight="1">
      <c r="A3484" s="4"/>
      <c r="B3484" s="125">
        <v>46199</v>
      </c>
      <c r="C3484" s="126" t="s">
        <v>1537</v>
      </c>
      <c r="D3484" s="68" t="s">
        <v>1573</v>
      </c>
      <c r="E3484" s="10" t="str">
        <f>TRIM(VLOOKUP(D3484,TB!$B$9:$C$1500,2,FALSE))</f>
        <v>Cash Advance</v>
      </c>
      <c r="F3484" s="142" t="s">
        <v>1593</v>
      </c>
      <c r="G3484" s="130"/>
      <c r="H3484" s="10">
        <v>46000</v>
      </c>
      <c r="I3484" s="10"/>
      <c r="J3484" s="79" t="e">
        <f t="shared" si="222"/>
        <v>#VALUE!</v>
      </c>
      <c r="K3484" s="106"/>
      <c r="L3484" s="141"/>
      <c r="M3484" s="132"/>
      <c r="N3484" s="133"/>
      <c r="O3484" s="4"/>
      <c r="P3484" s="4"/>
      <c r="Q3484" s="4"/>
      <c r="R3484" s="4"/>
      <c r="S3484" s="4"/>
      <c r="T3484" s="4"/>
      <c r="U3484" s="4"/>
      <c r="V3484" s="4"/>
      <c r="W3484" s="4"/>
      <c r="X3484" s="4"/>
    </row>
    <row r="3485" spans="1:24" ht="14.25" customHeight="1">
      <c r="A3485" s="4"/>
      <c r="B3485" s="125">
        <v>46199</v>
      </c>
      <c r="C3485" s="126" t="s">
        <v>1537</v>
      </c>
      <c r="D3485" s="15" t="s">
        <v>124</v>
      </c>
      <c r="E3485" s="10" t="str">
        <f>TRIM(VLOOKUP(D3485,TB!$B$9:$C$1500,2,FALSE))</f>
        <v>Bank charges</v>
      </c>
      <c r="F3485" s="173" t="s">
        <v>1594</v>
      </c>
      <c r="G3485" s="130"/>
      <c r="H3485" s="10">
        <v>260500</v>
      </c>
      <c r="I3485" s="10"/>
      <c r="J3485" s="79" t="e">
        <f t="shared" si="222"/>
        <v>#VALUE!</v>
      </c>
      <c r="K3485" s="106"/>
      <c r="L3485" s="141"/>
      <c r="M3485" s="132"/>
      <c r="N3485" s="133"/>
      <c r="O3485" s="4"/>
      <c r="P3485" s="4"/>
      <c r="Q3485" s="4"/>
      <c r="R3485" s="4"/>
      <c r="S3485" s="4"/>
      <c r="T3485" s="4"/>
      <c r="U3485" s="4"/>
      <c r="V3485" s="4"/>
      <c r="W3485" s="4"/>
      <c r="X3485" s="4"/>
    </row>
    <row r="3486" spans="1:24" ht="14.25" customHeight="1">
      <c r="A3486" s="4"/>
      <c r="B3486" s="125">
        <v>46199</v>
      </c>
      <c r="C3486" s="126" t="s">
        <v>1537</v>
      </c>
      <c r="D3486" s="68" t="s">
        <v>1595</v>
      </c>
      <c r="E3486" s="10" t="str">
        <f>TRIM(VLOOKUP(D3486,TB!$B$9:$C$1500,2,FALSE))</f>
        <v>Salaries payable</v>
      </c>
      <c r="F3486" s="173" t="s">
        <v>1596</v>
      </c>
      <c r="G3486" s="130"/>
      <c r="H3486" s="10"/>
      <c r="I3486" s="10">
        <v>1623228</v>
      </c>
      <c r="J3486" s="79" t="e">
        <f t="shared" si="222"/>
        <v>#VALUE!</v>
      </c>
      <c r="K3486" s="106"/>
      <c r="L3486" s="141"/>
      <c r="M3486" s="132"/>
      <c r="N3486" s="133"/>
      <c r="O3486" s="4"/>
      <c r="P3486" s="4"/>
      <c r="Q3486" s="4"/>
      <c r="R3486" s="4"/>
      <c r="S3486" s="4"/>
      <c r="T3486" s="4"/>
      <c r="U3486" s="4"/>
      <c r="V3486" s="4"/>
      <c r="W3486" s="4"/>
      <c r="X3486" s="4"/>
    </row>
    <row r="3487" spans="1:24" ht="14.25" customHeight="1">
      <c r="A3487" s="4"/>
      <c r="B3487" s="125"/>
      <c r="C3487" s="126"/>
      <c r="D3487" s="159"/>
      <c r="E3487" s="10" t="e">
        <f>TRIM(VLOOKUP(D3487,TB!$B$9:$C$1500,2,FALSE))</f>
        <v>#N/A</v>
      </c>
      <c r="F3487" s="142"/>
      <c r="G3487" s="130"/>
      <c r="H3487" s="10"/>
      <c r="I3487" s="10"/>
      <c r="J3487" s="79" t="e">
        <f t="shared" si="222"/>
        <v>#VALUE!</v>
      </c>
      <c r="K3487" s="106"/>
      <c r="L3487" s="141"/>
      <c r="M3487" s="132"/>
      <c r="N3487" s="133"/>
      <c r="O3487" s="4"/>
      <c r="P3487" s="4"/>
      <c r="Q3487" s="4"/>
      <c r="R3487" s="4"/>
      <c r="S3487" s="4"/>
      <c r="T3487" s="4"/>
      <c r="U3487" s="4"/>
      <c r="V3487" s="4"/>
      <c r="W3487" s="4"/>
      <c r="X3487" s="4"/>
    </row>
    <row r="3488" spans="1:24" ht="14.25" customHeight="1">
      <c r="A3488" s="4"/>
      <c r="B3488" s="125">
        <v>46199</v>
      </c>
      <c r="C3488" s="126" t="s">
        <v>1597</v>
      </c>
      <c r="D3488" s="68" t="s">
        <v>158</v>
      </c>
      <c r="E3488" s="10" t="str">
        <f>TRIM(VLOOKUP(D3488,TB!$B$9:$C$1500,2,FALSE))</f>
        <v>Mandiri TBB IDR</v>
      </c>
      <c r="F3488" s="142" t="s">
        <v>1598</v>
      </c>
      <c r="G3488" s="130"/>
      <c r="H3488" s="10">
        <f>I3490-H3489</f>
        <v>774130.24</v>
      </c>
      <c r="I3488" s="10"/>
      <c r="J3488" s="79" t="e">
        <f t="shared" si="222"/>
        <v>#VALUE!</v>
      </c>
      <c r="K3488" s="106"/>
      <c r="L3488" s="141"/>
      <c r="M3488" s="132"/>
      <c r="N3488" s="133"/>
      <c r="O3488" s="4"/>
      <c r="P3488" s="4"/>
      <c r="Q3488" s="4"/>
      <c r="R3488" s="4"/>
      <c r="S3488" s="4"/>
      <c r="T3488" s="4"/>
      <c r="U3488" s="4"/>
      <c r="V3488" s="4"/>
      <c r="W3488" s="4"/>
      <c r="X3488" s="4"/>
    </row>
    <row r="3489" spans="1:24" ht="14.25" customHeight="1">
      <c r="A3489" s="4"/>
      <c r="B3489" s="125">
        <v>46199</v>
      </c>
      <c r="C3489" s="126" t="s">
        <v>1597</v>
      </c>
      <c r="D3489" s="15" t="s">
        <v>124</v>
      </c>
      <c r="E3489" s="10" t="str">
        <f>TRIM(VLOOKUP(D3489,TB!$B$9:$C$1500,2,FALSE))</f>
        <v>Bank charges</v>
      </c>
      <c r="F3489" s="142" t="s">
        <v>1598</v>
      </c>
      <c r="G3489" s="130"/>
      <c r="H3489" s="10">
        <f>1.8%*I3490</f>
        <v>14189.760000000002</v>
      </c>
      <c r="I3489" s="10"/>
      <c r="J3489" s="79" t="e">
        <f t="shared" si="222"/>
        <v>#VALUE!</v>
      </c>
      <c r="K3489" s="106"/>
      <c r="L3489" s="141"/>
      <c r="M3489" s="132"/>
      <c r="N3489" s="133"/>
      <c r="O3489" s="4"/>
      <c r="P3489" s="4"/>
      <c r="Q3489" s="4"/>
      <c r="R3489" s="4"/>
      <c r="S3489" s="4"/>
      <c r="T3489" s="4"/>
      <c r="U3489" s="4"/>
      <c r="V3489" s="4"/>
      <c r="W3489" s="4"/>
      <c r="X3489" s="4"/>
    </row>
    <row r="3490" spans="1:24" ht="14.25" customHeight="1">
      <c r="A3490" s="4"/>
      <c r="B3490" s="125">
        <v>46199</v>
      </c>
      <c r="C3490" s="126" t="s">
        <v>1597</v>
      </c>
      <c r="D3490" s="15" t="s">
        <v>48</v>
      </c>
      <c r="E3490" s="10" t="str">
        <f>TRIM(VLOOKUP(D3490,TB!$B$9:$C$1500,2,FALSE))</f>
        <v>Mandiri Card TBB</v>
      </c>
      <c r="F3490" s="142" t="s">
        <v>1598</v>
      </c>
      <c r="G3490" s="130"/>
      <c r="H3490" s="10"/>
      <c r="I3490" s="10">
        <v>788320</v>
      </c>
      <c r="J3490" s="79" t="e">
        <f t="shared" si="222"/>
        <v>#VALUE!</v>
      </c>
      <c r="K3490" s="106"/>
      <c r="L3490" s="141"/>
      <c r="M3490" s="132"/>
      <c r="N3490" s="133"/>
      <c r="O3490" s="4"/>
      <c r="P3490" s="4"/>
      <c r="Q3490" s="4"/>
      <c r="R3490" s="4"/>
      <c r="S3490" s="4"/>
      <c r="T3490" s="4"/>
      <c r="U3490" s="4"/>
      <c r="V3490" s="4"/>
      <c r="W3490" s="4"/>
      <c r="X3490" s="4"/>
    </row>
    <row r="3491" spans="1:24" ht="14.25" customHeight="1">
      <c r="A3491" s="4"/>
      <c r="B3491" s="125"/>
      <c r="C3491" s="126"/>
      <c r="D3491" s="159"/>
      <c r="E3491" s="10" t="e">
        <f>TRIM(VLOOKUP(D3491,TB!$B$9:$C$1500,2,FALSE))</f>
        <v>#N/A</v>
      </c>
      <c r="F3491" s="142"/>
      <c r="G3491" s="130"/>
      <c r="H3491" s="10"/>
      <c r="I3491" s="10"/>
      <c r="J3491" s="79" t="e">
        <f t="shared" si="222"/>
        <v>#VALUE!</v>
      </c>
      <c r="K3491" s="106"/>
      <c r="L3491" s="141"/>
      <c r="M3491" s="132"/>
      <c r="N3491" s="133"/>
      <c r="O3491" s="4"/>
      <c r="P3491" s="4"/>
      <c r="Q3491" s="4"/>
      <c r="R3491" s="4"/>
      <c r="S3491" s="4"/>
      <c r="T3491" s="4"/>
      <c r="U3491" s="4"/>
      <c r="V3491" s="4"/>
      <c r="W3491" s="4"/>
      <c r="X3491" s="4"/>
    </row>
    <row r="3492" spans="1:24" ht="14.25" customHeight="1">
      <c r="A3492" s="4"/>
      <c r="B3492" s="125">
        <v>46199</v>
      </c>
      <c r="C3492" s="126" t="s">
        <v>1599</v>
      </c>
      <c r="D3492" s="68" t="s">
        <v>158</v>
      </c>
      <c r="E3492" s="10" t="str">
        <f>TRIM(VLOOKUP(D3492,TB!$B$9:$C$1500,2,FALSE))</f>
        <v>Mandiri TBB IDR</v>
      </c>
      <c r="F3492" s="142" t="s">
        <v>1600</v>
      </c>
      <c r="G3492" s="130"/>
      <c r="H3492" s="10">
        <f>I3494-H3493</f>
        <v>22085130.899999999</v>
      </c>
      <c r="I3492" s="10"/>
      <c r="J3492" s="79" t="e">
        <f t="shared" si="222"/>
        <v>#VALUE!</v>
      </c>
      <c r="K3492" s="106"/>
      <c r="L3492" s="141"/>
      <c r="M3492" s="132"/>
      <c r="N3492" s="133"/>
      <c r="O3492" s="4"/>
      <c r="P3492" s="4"/>
      <c r="Q3492" s="4"/>
      <c r="R3492" s="4"/>
      <c r="S3492" s="4"/>
      <c r="T3492" s="4"/>
      <c r="U3492" s="4"/>
      <c r="V3492" s="4"/>
      <c r="W3492" s="4"/>
      <c r="X3492" s="4"/>
    </row>
    <row r="3493" spans="1:24" ht="14.25" customHeight="1">
      <c r="A3493" s="4"/>
      <c r="B3493" s="125">
        <v>46199</v>
      </c>
      <c r="C3493" s="126" t="s">
        <v>1599</v>
      </c>
      <c r="D3493" s="15" t="s">
        <v>124</v>
      </c>
      <c r="E3493" s="10" t="str">
        <f>TRIM(VLOOKUP(D3493,TB!$B$9:$C$1500,2,FALSE))</f>
        <v>Bank charges</v>
      </c>
      <c r="F3493" s="142" t="s">
        <v>1600</v>
      </c>
      <c r="G3493" s="130"/>
      <c r="H3493" s="10">
        <f>1.8%*I3494</f>
        <v>404819.10000000003</v>
      </c>
      <c r="I3493" s="10"/>
      <c r="J3493" s="79" t="e">
        <f t="shared" si="222"/>
        <v>#VALUE!</v>
      </c>
      <c r="K3493" s="106"/>
      <c r="L3493" s="141"/>
      <c r="M3493" s="132"/>
      <c r="N3493" s="133"/>
      <c r="O3493" s="4"/>
      <c r="P3493" s="4"/>
      <c r="Q3493" s="4"/>
      <c r="R3493" s="4"/>
      <c r="S3493" s="4"/>
      <c r="T3493" s="4"/>
      <c r="U3493" s="4"/>
      <c r="V3493" s="4"/>
      <c r="W3493" s="4"/>
      <c r="X3493" s="4"/>
    </row>
    <row r="3494" spans="1:24" ht="14.25" customHeight="1">
      <c r="A3494" s="4"/>
      <c r="B3494" s="125">
        <v>46199</v>
      </c>
      <c r="C3494" s="126" t="s">
        <v>1599</v>
      </c>
      <c r="D3494" s="15" t="s">
        <v>48</v>
      </c>
      <c r="E3494" s="10" t="str">
        <f>TRIM(VLOOKUP(D3494,TB!$B$9:$C$1500,2,FALSE))</f>
        <v>Mandiri Card TBB</v>
      </c>
      <c r="F3494" s="142" t="s">
        <v>1600</v>
      </c>
      <c r="G3494" s="130"/>
      <c r="H3494" s="10"/>
      <c r="I3494" s="10">
        <v>22489950</v>
      </c>
      <c r="J3494" s="79" t="e">
        <f t="shared" si="222"/>
        <v>#VALUE!</v>
      </c>
      <c r="K3494" s="106"/>
      <c r="L3494" s="141"/>
      <c r="M3494" s="132"/>
      <c r="N3494" s="133"/>
      <c r="O3494" s="4"/>
      <c r="P3494" s="4"/>
      <c r="Q3494" s="4"/>
      <c r="R3494" s="4"/>
      <c r="S3494" s="4"/>
      <c r="T3494" s="4"/>
      <c r="U3494" s="4"/>
      <c r="V3494" s="4"/>
      <c r="W3494" s="4"/>
      <c r="X3494" s="4"/>
    </row>
    <row r="3495" spans="1:24" ht="14.25" customHeight="1">
      <c r="A3495" s="4"/>
      <c r="B3495" s="125"/>
      <c r="C3495" s="126"/>
      <c r="D3495" s="159"/>
      <c r="E3495" s="10" t="e">
        <f>TRIM(VLOOKUP(D3495,TB!$B$9:$C$1500,2,FALSE))</f>
        <v>#N/A</v>
      </c>
      <c r="F3495" s="142"/>
      <c r="G3495" s="130"/>
      <c r="H3495" s="10"/>
      <c r="I3495" s="10"/>
      <c r="J3495" s="79" t="e">
        <f t="shared" si="222"/>
        <v>#VALUE!</v>
      </c>
      <c r="K3495" s="106"/>
      <c r="L3495" s="141"/>
      <c r="M3495" s="132"/>
      <c r="N3495" s="133"/>
      <c r="O3495" s="4"/>
      <c r="P3495" s="4"/>
      <c r="Q3495" s="4"/>
      <c r="R3495" s="4"/>
      <c r="S3495" s="4"/>
      <c r="T3495" s="4"/>
      <c r="U3495" s="4"/>
      <c r="V3495" s="4"/>
      <c r="W3495" s="4"/>
      <c r="X3495" s="4"/>
    </row>
    <row r="3496" spans="1:24" ht="14.25" customHeight="1">
      <c r="A3496" s="4"/>
      <c r="B3496" s="125">
        <v>46199</v>
      </c>
      <c r="C3496" s="126" t="s">
        <v>1601</v>
      </c>
      <c r="D3496" s="68" t="s">
        <v>158</v>
      </c>
      <c r="E3496" s="10" t="str">
        <f>TRIM(VLOOKUP(D3496,TB!$B$9:$C$1500,2,FALSE))</f>
        <v>Mandiri TBB IDR</v>
      </c>
      <c r="F3496" s="142" t="s">
        <v>1602</v>
      </c>
      <c r="G3496" s="130"/>
      <c r="H3496" s="10">
        <f>I3498-H3497</f>
        <v>4958442.0599999996</v>
      </c>
      <c r="I3496" s="10"/>
      <c r="J3496" s="79" t="e">
        <f t="shared" si="222"/>
        <v>#VALUE!</v>
      </c>
      <c r="K3496" s="106"/>
      <c r="L3496" s="141"/>
      <c r="M3496" s="132"/>
      <c r="N3496" s="133"/>
      <c r="O3496" s="4"/>
      <c r="P3496" s="4"/>
      <c r="Q3496" s="4"/>
      <c r="R3496" s="4"/>
      <c r="S3496" s="4"/>
      <c r="T3496" s="4"/>
      <c r="U3496" s="4"/>
      <c r="V3496" s="4"/>
      <c r="W3496" s="4"/>
      <c r="X3496" s="4"/>
    </row>
    <row r="3497" spans="1:24" ht="14.25" customHeight="1">
      <c r="A3497" s="4"/>
      <c r="B3497" s="125">
        <v>46199</v>
      </c>
      <c r="C3497" s="126" t="s">
        <v>1601</v>
      </c>
      <c r="D3497" s="15" t="s">
        <v>124</v>
      </c>
      <c r="E3497" s="10" t="str">
        <f>TRIM(VLOOKUP(D3497,TB!$B$9:$C$1500,2,FALSE))</f>
        <v>Bank charges</v>
      </c>
      <c r="F3497" s="142" t="s">
        <v>1602</v>
      </c>
      <c r="G3497" s="130"/>
      <c r="H3497" s="10">
        <f>1.8%*I3498</f>
        <v>90887.940000000017</v>
      </c>
      <c r="I3497" s="10"/>
      <c r="J3497" s="79" t="e">
        <f t="shared" si="222"/>
        <v>#VALUE!</v>
      </c>
      <c r="K3497" s="106"/>
      <c r="L3497" s="141"/>
      <c r="M3497" s="132"/>
      <c r="N3497" s="133"/>
      <c r="O3497" s="4"/>
      <c r="P3497" s="4"/>
      <c r="Q3497" s="4"/>
      <c r="R3497" s="4"/>
      <c r="S3497" s="4"/>
      <c r="T3497" s="4"/>
      <c r="U3497" s="4"/>
      <c r="V3497" s="4"/>
      <c r="W3497" s="4"/>
      <c r="X3497" s="4"/>
    </row>
    <row r="3498" spans="1:24" ht="14.25" customHeight="1">
      <c r="A3498" s="4"/>
      <c r="B3498" s="125">
        <v>46199</v>
      </c>
      <c r="C3498" s="126" t="s">
        <v>1601</v>
      </c>
      <c r="D3498" s="15" t="s">
        <v>48</v>
      </c>
      <c r="E3498" s="10" t="str">
        <f>TRIM(VLOOKUP(D3498,TB!$B$9:$C$1500,2,FALSE))</f>
        <v>Mandiri Card TBB</v>
      </c>
      <c r="F3498" s="142" t="s">
        <v>1602</v>
      </c>
      <c r="G3498" s="130"/>
      <c r="H3498" s="10"/>
      <c r="I3498" s="10">
        <v>5049330</v>
      </c>
      <c r="J3498" s="79" t="e">
        <f t="shared" si="222"/>
        <v>#VALUE!</v>
      </c>
      <c r="K3498" s="106"/>
      <c r="L3498" s="141"/>
      <c r="M3498" s="132"/>
      <c r="N3498" s="133"/>
      <c r="O3498" s="4"/>
      <c r="P3498" s="4"/>
      <c r="Q3498" s="4"/>
      <c r="R3498" s="4"/>
      <c r="S3498" s="4"/>
      <c r="T3498" s="4"/>
      <c r="U3498" s="4"/>
      <c r="V3498" s="4"/>
      <c r="W3498" s="4"/>
      <c r="X3498" s="4"/>
    </row>
    <row r="3499" spans="1:24" ht="14.25" customHeight="1">
      <c r="A3499" s="4"/>
      <c r="B3499" s="125"/>
      <c r="C3499" s="126"/>
      <c r="D3499" s="159"/>
      <c r="E3499" s="10" t="e">
        <f>TRIM(VLOOKUP(D3499,TB!$B$9:$C$1500,2,FALSE))</f>
        <v>#N/A</v>
      </c>
      <c r="F3499" s="142"/>
      <c r="G3499" s="130"/>
      <c r="H3499" s="10"/>
      <c r="I3499" s="10"/>
      <c r="J3499" s="79" t="e">
        <f t="shared" si="222"/>
        <v>#VALUE!</v>
      </c>
      <c r="K3499" s="106"/>
      <c r="L3499" s="141"/>
      <c r="M3499" s="132"/>
      <c r="N3499" s="133"/>
      <c r="O3499" s="4"/>
      <c r="P3499" s="4"/>
      <c r="Q3499" s="4"/>
      <c r="R3499" s="4"/>
      <c r="S3499" s="4"/>
      <c r="T3499" s="4"/>
      <c r="U3499" s="4"/>
      <c r="V3499" s="4"/>
      <c r="W3499" s="4"/>
      <c r="X3499" s="4"/>
    </row>
    <row r="3500" spans="1:24" ht="14.25" customHeight="1">
      <c r="A3500" s="4"/>
      <c r="B3500" s="125">
        <v>46199</v>
      </c>
      <c r="C3500" s="126" t="s">
        <v>1603</v>
      </c>
      <c r="D3500" s="68" t="s">
        <v>158</v>
      </c>
      <c r="E3500" s="10" t="str">
        <f>TRIM(VLOOKUP(D3500,TB!$B$9:$C$1500,2,FALSE))</f>
        <v>Mandiri TBB IDR</v>
      </c>
      <c r="F3500" s="142" t="s">
        <v>1604</v>
      </c>
      <c r="G3500" s="130"/>
      <c r="H3500" s="10">
        <f>I3502-H3501</f>
        <v>5520531.9859999996</v>
      </c>
      <c r="I3500" s="10"/>
      <c r="J3500" s="79" t="e">
        <f t="shared" si="222"/>
        <v>#VALUE!</v>
      </c>
      <c r="K3500" s="106"/>
      <c r="L3500" s="141"/>
      <c r="M3500" s="132"/>
      <c r="N3500" s="133"/>
      <c r="O3500" s="4"/>
      <c r="P3500" s="4"/>
      <c r="Q3500" s="4"/>
      <c r="R3500" s="4"/>
      <c r="S3500" s="4"/>
      <c r="T3500" s="4"/>
      <c r="U3500" s="4"/>
      <c r="V3500" s="4"/>
      <c r="W3500" s="4"/>
      <c r="X3500" s="4"/>
    </row>
    <row r="3501" spans="1:24" ht="14.25" customHeight="1">
      <c r="A3501" s="4"/>
      <c r="B3501" s="125">
        <v>46199</v>
      </c>
      <c r="C3501" s="126" t="s">
        <v>1603</v>
      </c>
      <c r="D3501" s="15" t="s">
        <v>124</v>
      </c>
      <c r="E3501" s="10" t="str">
        <f>TRIM(VLOOKUP(D3501,TB!$B$9:$C$1500,2,FALSE))</f>
        <v>Bank charges</v>
      </c>
      <c r="F3501" s="142" t="s">
        <v>1604</v>
      </c>
      <c r="G3501" s="130"/>
      <c r="H3501" s="10">
        <f>1.8%*I3502</f>
        <v>101191.01400000001</v>
      </c>
      <c r="I3501" s="10"/>
      <c r="J3501" s="79" t="e">
        <f t="shared" si="222"/>
        <v>#VALUE!</v>
      </c>
      <c r="K3501" s="106"/>
      <c r="L3501" s="141"/>
      <c r="M3501" s="132"/>
      <c r="N3501" s="133"/>
      <c r="O3501" s="4"/>
      <c r="P3501" s="4"/>
      <c r="Q3501" s="4"/>
      <c r="R3501" s="4"/>
      <c r="S3501" s="4"/>
      <c r="T3501" s="4"/>
      <c r="U3501" s="4"/>
      <c r="V3501" s="4"/>
      <c r="W3501" s="4"/>
      <c r="X3501" s="4"/>
    </row>
    <row r="3502" spans="1:24" ht="14.25" customHeight="1">
      <c r="A3502" s="4"/>
      <c r="B3502" s="125">
        <v>46199</v>
      </c>
      <c r="C3502" s="126" t="s">
        <v>1603</v>
      </c>
      <c r="D3502" s="15" t="s">
        <v>48</v>
      </c>
      <c r="E3502" s="10" t="str">
        <f>TRIM(VLOOKUP(D3502,TB!$B$9:$C$1500,2,FALSE))</f>
        <v>Mandiri Card TBB</v>
      </c>
      <c r="F3502" s="142" t="s">
        <v>1604</v>
      </c>
      <c r="G3502" s="130"/>
      <c r="H3502" s="10"/>
      <c r="I3502" s="10">
        <v>5621723</v>
      </c>
      <c r="J3502" s="79" t="e">
        <f t="shared" si="222"/>
        <v>#VALUE!</v>
      </c>
      <c r="K3502" s="106"/>
      <c r="L3502" s="141"/>
      <c r="M3502" s="132"/>
      <c r="N3502" s="133"/>
      <c r="O3502" s="4"/>
      <c r="P3502" s="4"/>
      <c r="Q3502" s="4"/>
      <c r="R3502" s="4"/>
      <c r="S3502" s="4"/>
      <c r="T3502" s="4"/>
      <c r="U3502" s="4"/>
      <c r="V3502" s="4"/>
      <c r="W3502" s="4"/>
      <c r="X3502" s="4"/>
    </row>
    <row r="3503" spans="1:24" ht="14.25" customHeight="1">
      <c r="A3503" s="4"/>
      <c r="B3503" s="125"/>
      <c r="C3503" s="126"/>
      <c r="D3503" s="159"/>
      <c r="E3503" s="10" t="e">
        <f>TRIM(VLOOKUP(D3503,TB!$B$9:$C$1500,2,FALSE))</f>
        <v>#N/A</v>
      </c>
      <c r="F3503" s="142"/>
      <c r="G3503" s="130"/>
      <c r="H3503" s="10"/>
      <c r="I3503" s="10">
        <f t="shared" ref="I3503:I3576" si="242">SUM(H3502)</f>
        <v>0</v>
      </c>
      <c r="J3503" s="79" t="e">
        <f t="shared" si="222"/>
        <v>#VALUE!</v>
      </c>
      <c r="K3503" s="106"/>
      <c r="L3503" s="141"/>
      <c r="M3503" s="132"/>
      <c r="N3503" s="133"/>
      <c r="O3503" s="4"/>
      <c r="P3503" s="4"/>
      <c r="Q3503" s="4"/>
      <c r="R3503" s="4"/>
      <c r="S3503" s="4"/>
      <c r="T3503" s="4"/>
      <c r="U3503" s="4"/>
      <c r="V3503" s="4"/>
      <c r="W3503" s="4"/>
      <c r="X3503" s="4"/>
    </row>
    <row r="3504" spans="1:24" ht="14.25" customHeight="1">
      <c r="A3504" s="4"/>
      <c r="B3504" s="125">
        <v>46199</v>
      </c>
      <c r="C3504" s="126" t="s">
        <v>1605</v>
      </c>
      <c r="D3504" s="68" t="s">
        <v>285</v>
      </c>
      <c r="E3504" s="10" t="str">
        <f>TRIM(VLOOKUP(D3504,TB!$B$9:$C$1500,2,FALSE))</f>
        <v>Misc Cash Purchase</v>
      </c>
      <c r="F3504" s="142" t="s">
        <v>1606</v>
      </c>
      <c r="G3504" s="130"/>
      <c r="H3504" s="10">
        <v>180000</v>
      </c>
      <c r="I3504" s="10">
        <f t="shared" si="242"/>
        <v>0</v>
      </c>
      <c r="J3504" s="79" t="e">
        <f t="shared" si="222"/>
        <v>#VALUE!</v>
      </c>
      <c r="K3504" s="106"/>
      <c r="L3504" s="141"/>
      <c r="M3504" s="132"/>
      <c r="N3504" s="133"/>
      <c r="O3504" s="4"/>
      <c r="P3504" s="4"/>
      <c r="Q3504" s="4"/>
      <c r="R3504" s="4"/>
      <c r="S3504" s="4"/>
      <c r="T3504" s="4"/>
      <c r="U3504" s="4"/>
      <c r="V3504" s="4"/>
      <c r="W3504" s="4"/>
      <c r="X3504" s="4"/>
    </row>
    <row r="3505" spans="1:24" ht="14.25" customHeight="1">
      <c r="A3505" s="4"/>
      <c r="B3505" s="125">
        <v>46199</v>
      </c>
      <c r="C3505" s="126" t="s">
        <v>1605</v>
      </c>
      <c r="D3505" s="68" t="s">
        <v>158</v>
      </c>
      <c r="E3505" s="10" t="str">
        <f>TRIM(VLOOKUP(D3505,TB!$B$9:$C$1500,2,FALSE))</f>
        <v>Mandiri TBB IDR</v>
      </c>
      <c r="F3505" s="142" t="s">
        <v>1606</v>
      </c>
      <c r="G3505" s="130"/>
      <c r="H3505" s="10"/>
      <c r="I3505" s="10">
        <f t="shared" si="242"/>
        <v>180000</v>
      </c>
      <c r="J3505" s="79" t="e">
        <f t="shared" si="222"/>
        <v>#VALUE!</v>
      </c>
      <c r="K3505" s="106"/>
      <c r="L3505" s="141"/>
      <c r="M3505" s="132"/>
      <c r="N3505" s="133"/>
      <c r="O3505" s="4"/>
      <c r="P3505" s="4"/>
      <c r="Q3505" s="4"/>
      <c r="R3505" s="4"/>
      <c r="S3505" s="4"/>
      <c r="T3505" s="4"/>
      <c r="U3505" s="4"/>
      <c r="V3505" s="4"/>
      <c r="W3505" s="4"/>
      <c r="X3505" s="4"/>
    </row>
    <row r="3506" spans="1:24" ht="14.25" customHeight="1">
      <c r="A3506" s="4"/>
      <c r="B3506" s="125"/>
      <c r="C3506" s="126"/>
      <c r="D3506" s="159"/>
      <c r="E3506" s="10" t="e">
        <f>TRIM(VLOOKUP(D3506,TB!$B$9:$C$1500,2,FALSE))</f>
        <v>#N/A</v>
      </c>
      <c r="F3506" s="142"/>
      <c r="G3506" s="130"/>
      <c r="H3506" s="10"/>
      <c r="I3506" s="10">
        <f t="shared" si="242"/>
        <v>0</v>
      </c>
      <c r="J3506" s="79" t="e">
        <f t="shared" si="222"/>
        <v>#VALUE!</v>
      </c>
      <c r="K3506" s="106"/>
      <c r="L3506" s="141"/>
      <c r="M3506" s="132"/>
      <c r="N3506" s="133"/>
      <c r="O3506" s="4"/>
      <c r="P3506" s="4"/>
      <c r="Q3506" s="4"/>
      <c r="R3506" s="4"/>
      <c r="S3506" s="4"/>
      <c r="T3506" s="4"/>
      <c r="U3506" s="4"/>
      <c r="V3506" s="4"/>
      <c r="W3506" s="4"/>
      <c r="X3506" s="4"/>
    </row>
    <row r="3507" spans="1:24" ht="14.25" customHeight="1">
      <c r="A3507" s="4"/>
      <c r="B3507" s="125">
        <v>46199</v>
      </c>
      <c r="C3507" s="126" t="s">
        <v>1607</v>
      </c>
      <c r="D3507" s="15" t="s">
        <v>1608</v>
      </c>
      <c r="E3507" s="10" t="str">
        <f>TRIM(VLOOKUP(D3507,TB!$B$9:$C$1500,2,FALSE))</f>
        <v>Property Repair &amp; Maintenance</v>
      </c>
      <c r="F3507" s="142" t="s">
        <v>1609</v>
      </c>
      <c r="G3507" s="130"/>
      <c r="H3507" s="10">
        <v>700000</v>
      </c>
      <c r="I3507" s="10">
        <f t="shared" si="242"/>
        <v>0</v>
      </c>
      <c r="J3507" s="79" t="e">
        <f t="shared" si="222"/>
        <v>#VALUE!</v>
      </c>
      <c r="K3507" s="106"/>
      <c r="L3507" s="141"/>
      <c r="M3507" s="132"/>
      <c r="N3507" s="133"/>
      <c r="O3507" s="4"/>
      <c r="P3507" s="4"/>
      <c r="Q3507" s="4"/>
      <c r="R3507" s="4"/>
      <c r="S3507" s="4"/>
      <c r="T3507" s="4"/>
      <c r="U3507" s="4"/>
      <c r="V3507" s="4"/>
      <c r="W3507" s="4"/>
      <c r="X3507" s="4"/>
    </row>
    <row r="3508" spans="1:24" ht="14.25" customHeight="1">
      <c r="A3508" s="4"/>
      <c r="B3508" s="125">
        <v>46199</v>
      </c>
      <c r="C3508" s="126" t="s">
        <v>1607</v>
      </c>
      <c r="D3508" s="68" t="s">
        <v>158</v>
      </c>
      <c r="E3508" s="10" t="str">
        <f>TRIM(VLOOKUP(D3508,TB!$B$9:$C$1500,2,FALSE))</f>
        <v>Mandiri TBB IDR</v>
      </c>
      <c r="F3508" s="142" t="s">
        <v>1609</v>
      </c>
      <c r="G3508" s="130"/>
      <c r="H3508" s="10"/>
      <c r="I3508" s="10">
        <f t="shared" si="242"/>
        <v>700000</v>
      </c>
      <c r="J3508" s="79" t="e">
        <f t="shared" si="222"/>
        <v>#VALUE!</v>
      </c>
      <c r="K3508" s="106"/>
      <c r="L3508" s="141"/>
      <c r="M3508" s="132"/>
      <c r="N3508" s="133"/>
      <c r="O3508" s="4"/>
      <c r="P3508" s="4"/>
      <c r="Q3508" s="4"/>
      <c r="R3508" s="4"/>
      <c r="S3508" s="4"/>
      <c r="T3508" s="4"/>
      <c r="U3508" s="4"/>
      <c r="V3508" s="4"/>
      <c r="W3508" s="4"/>
      <c r="X3508" s="4"/>
    </row>
    <row r="3509" spans="1:24" ht="14.25" customHeight="1">
      <c r="A3509" s="4"/>
      <c r="B3509" s="125"/>
      <c r="C3509" s="126"/>
      <c r="D3509" s="159"/>
      <c r="E3509" s="10" t="e">
        <f>TRIM(VLOOKUP(D3509,TB!$B$9:$C$1500,2,FALSE))</f>
        <v>#N/A</v>
      </c>
      <c r="F3509" s="142"/>
      <c r="G3509" s="130"/>
      <c r="H3509" s="10"/>
      <c r="I3509" s="10">
        <f t="shared" si="242"/>
        <v>0</v>
      </c>
      <c r="J3509" s="79" t="e">
        <f t="shared" si="222"/>
        <v>#VALUE!</v>
      </c>
      <c r="K3509" s="106"/>
      <c r="L3509" s="141"/>
      <c r="M3509" s="132"/>
      <c r="N3509" s="133"/>
      <c r="O3509" s="4"/>
      <c r="P3509" s="4"/>
      <c r="Q3509" s="4"/>
      <c r="R3509" s="4"/>
      <c r="S3509" s="4"/>
      <c r="T3509" s="4"/>
      <c r="U3509" s="4"/>
      <c r="V3509" s="4"/>
      <c r="W3509" s="4"/>
      <c r="X3509" s="4"/>
    </row>
    <row r="3510" spans="1:24" ht="14.25" customHeight="1">
      <c r="A3510" s="4"/>
      <c r="B3510" s="125">
        <v>46199</v>
      </c>
      <c r="C3510" s="126" t="s">
        <v>1610</v>
      </c>
      <c r="D3510" s="68" t="s">
        <v>285</v>
      </c>
      <c r="E3510" s="10" t="str">
        <f>TRIM(VLOOKUP(D3510,TB!$B$9:$C$1500,2,FALSE))</f>
        <v>Misc Cash Purchase</v>
      </c>
      <c r="F3510" s="142" t="s">
        <v>1611</v>
      </c>
      <c r="G3510" s="130"/>
      <c r="H3510" s="10">
        <v>1500000</v>
      </c>
      <c r="I3510" s="10">
        <f t="shared" si="242"/>
        <v>0</v>
      </c>
      <c r="J3510" s="79" t="e">
        <f t="shared" si="222"/>
        <v>#VALUE!</v>
      </c>
      <c r="K3510" s="106"/>
      <c r="L3510" s="141"/>
      <c r="M3510" s="132"/>
      <c r="N3510" s="133"/>
      <c r="O3510" s="4"/>
      <c r="P3510" s="4"/>
      <c r="Q3510" s="4"/>
      <c r="R3510" s="4"/>
      <c r="S3510" s="4"/>
      <c r="T3510" s="4"/>
      <c r="U3510" s="4"/>
      <c r="V3510" s="4"/>
      <c r="W3510" s="4"/>
      <c r="X3510" s="4"/>
    </row>
    <row r="3511" spans="1:24" ht="14.25" customHeight="1">
      <c r="A3511" s="4"/>
      <c r="B3511" s="125">
        <v>46199</v>
      </c>
      <c r="C3511" s="126" t="s">
        <v>1610</v>
      </c>
      <c r="D3511" s="68" t="s">
        <v>158</v>
      </c>
      <c r="E3511" s="10" t="str">
        <f>TRIM(VLOOKUP(D3511,TB!$B$9:$C$1500,2,FALSE))</f>
        <v>Mandiri TBB IDR</v>
      </c>
      <c r="F3511" s="142" t="s">
        <v>1611</v>
      </c>
      <c r="G3511" s="130"/>
      <c r="H3511" s="10"/>
      <c r="I3511" s="10">
        <f t="shared" si="242"/>
        <v>1500000</v>
      </c>
      <c r="J3511" s="79" t="e">
        <f t="shared" si="222"/>
        <v>#VALUE!</v>
      </c>
      <c r="K3511" s="106"/>
      <c r="L3511" s="141"/>
      <c r="M3511" s="132"/>
      <c r="N3511" s="133"/>
      <c r="O3511" s="4"/>
      <c r="P3511" s="4"/>
      <c r="Q3511" s="4"/>
      <c r="R3511" s="4"/>
      <c r="S3511" s="4"/>
      <c r="T3511" s="4"/>
      <c r="U3511" s="4"/>
      <c r="V3511" s="4"/>
      <c r="W3511" s="4"/>
      <c r="X3511" s="4"/>
    </row>
    <row r="3512" spans="1:24" ht="14.25" customHeight="1">
      <c r="A3512" s="4"/>
      <c r="B3512" s="125"/>
      <c r="C3512" s="126"/>
      <c r="D3512" s="159"/>
      <c r="E3512" s="10" t="e">
        <f>TRIM(VLOOKUP(D3512,TB!$B$9:$C$1500,2,FALSE))</f>
        <v>#N/A</v>
      </c>
      <c r="F3512" s="142"/>
      <c r="G3512" s="130"/>
      <c r="H3512" s="10"/>
      <c r="I3512" s="10">
        <f t="shared" si="242"/>
        <v>0</v>
      </c>
      <c r="J3512" s="79" t="e">
        <f t="shared" si="222"/>
        <v>#VALUE!</v>
      </c>
      <c r="K3512" s="106"/>
      <c r="L3512" s="141"/>
      <c r="M3512" s="132"/>
      <c r="N3512" s="133"/>
      <c r="O3512" s="4"/>
      <c r="P3512" s="4"/>
      <c r="Q3512" s="4"/>
      <c r="R3512" s="4"/>
      <c r="S3512" s="4"/>
      <c r="T3512" s="4"/>
      <c r="U3512" s="4"/>
      <c r="V3512" s="4"/>
      <c r="W3512" s="4"/>
      <c r="X3512" s="4"/>
    </row>
    <row r="3513" spans="1:24" ht="14.25" customHeight="1">
      <c r="A3513" s="4"/>
      <c r="B3513" s="125">
        <v>46199</v>
      </c>
      <c r="C3513" s="126" t="s">
        <v>1612</v>
      </c>
      <c r="D3513" s="68" t="s">
        <v>285</v>
      </c>
      <c r="E3513" s="10" t="str">
        <f>TRIM(VLOOKUP(D3513,TB!$B$9:$C$1500,2,FALSE))</f>
        <v>Misc Cash Purchase</v>
      </c>
      <c r="F3513" s="142" t="s">
        <v>1613</v>
      </c>
      <c r="G3513" s="130"/>
      <c r="H3513" s="10">
        <v>2000000</v>
      </c>
      <c r="I3513" s="10">
        <f t="shared" si="242"/>
        <v>0</v>
      </c>
      <c r="J3513" s="79" t="e">
        <f t="shared" si="222"/>
        <v>#VALUE!</v>
      </c>
      <c r="K3513" s="106"/>
      <c r="L3513" s="141"/>
      <c r="M3513" s="132"/>
      <c r="N3513" s="133"/>
      <c r="O3513" s="4"/>
      <c r="P3513" s="4"/>
      <c r="Q3513" s="4"/>
      <c r="R3513" s="4"/>
      <c r="S3513" s="4"/>
      <c r="T3513" s="4"/>
      <c r="U3513" s="4"/>
      <c r="V3513" s="4"/>
      <c r="W3513" s="4"/>
      <c r="X3513" s="4"/>
    </row>
    <row r="3514" spans="1:24" ht="14.25" customHeight="1">
      <c r="A3514" s="4"/>
      <c r="B3514" s="125">
        <v>46199</v>
      </c>
      <c r="C3514" s="126" t="s">
        <v>1612</v>
      </c>
      <c r="D3514" s="68" t="s">
        <v>158</v>
      </c>
      <c r="E3514" s="10" t="str">
        <f>TRIM(VLOOKUP(D3514,TB!$B$9:$C$1500,2,FALSE))</f>
        <v>Mandiri TBB IDR</v>
      </c>
      <c r="F3514" s="142" t="s">
        <v>1613</v>
      </c>
      <c r="G3514" s="130"/>
      <c r="H3514" s="10"/>
      <c r="I3514" s="10">
        <f t="shared" si="242"/>
        <v>2000000</v>
      </c>
      <c r="J3514" s="79" t="e">
        <f t="shared" si="222"/>
        <v>#VALUE!</v>
      </c>
      <c r="K3514" s="106"/>
      <c r="L3514" s="141"/>
      <c r="M3514" s="132"/>
      <c r="N3514" s="133"/>
      <c r="O3514" s="4"/>
      <c r="P3514" s="4"/>
      <c r="Q3514" s="4"/>
      <c r="R3514" s="4"/>
      <c r="S3514" s="4"/>
      <c r="T3514" s="4"/>
      <c r="U3514" s="4"/>
      <c r="V3514" s="4"/>
      <c r="W3514" s="4"/>
      <c r="X3514" s="4"/>
    </row>
    <row r="3515" spans="1:24" ht="14.25" customHeight="1">
      <c r="A3515" s="4"/>
      <c r="B3515" s="125"/>
      <c r="C3515" s="126"/>
      <c r="D3515" s="159"/>
      <c r="E3515" s="10" t="e">
        <f>TRIM(VLOOKUP(D3515,TB!$B$9:$C$1500,2,FALSE))</f>
        <v>#N/A</v>
      </c>
      <c r="F3515" s="142"/>
      <c r="G3515" s="130"/>
      <c r="H3515" s="10"/>
      <c r="I3515" s="10">
        <f t="shared" si="242"/>
        <v>0</v>
      </c>
      <c r="J3515" s="79" t="e">
        <f t="shared" si="222"/>
        <v>#VALUE!</v>
      </c>
      <c r="K3515" s="106"/>
      <c r="L3515" s="141"/>
      <c r="M3515" s="132"/>
      <c r="N3515" s="133"/>
      <c r="O3515" s="4"/>
      <c r="P3515" s="4"/>
      <c r="Q3515" s="4"/>
      <c r="R3515" s="4"/>
      <c r="S3515" s="4"/>
      <c r="T3515" s="4"/>
      <c r="U3515" s="4"/>
      <c r="V3515" s="4"/>
      <c r="W3515" s="4"/>
      <c r="X3515" s="4"/>
    </row>
    <row r="3516" spans="1:24" ht="14.25" customHeight="1">
      <c r="A3516" s="4"/>
      <c r="B3516" s="125">
        <v>46199</v>
      </c>
      <c r="C3516" s="126" t="s">
        <v>1614</v>
      </c>
      <c r="D3516" s="68" t="s">
        <v>285</v>
      </c>
      <c r="E3516" s="10" t="str">
        <f>TRIM(VLOOKUP(D3516,TB!$B$9:$C$1500,2,FALSE))</f>
        <v>Misc Cash Purchase</v>
      </c>
      <c r="F3516" s="142" t="s">
        <v>1615</v>
      </c>
      <c r="G3516" s="130"/>
      <c r="H3516" s="10">
        <v>340000</v>
      </c>
      <c r="I3516" s="10">
        <f t="shared" si="242"/>
        <v>0</v>
      </c>
      <c r="J3516" s="79" t="e">
        <f t="shared" si="222"/>
        <v>#VALUE!</v>
      </c>
      <c r="K3516" s="106"/>
      <c r="L3516" s="141"/>
      <c r="M3516" s="132"/>
      <c r="N3516" s="133"/>
      <c r="O3516" s="4"/>
      <c r="P3516" s="4"/>
      <c r="Q3516" s="4"/>
      <c r="R3516" s="4"/>
      <c r="S3516" s="4"/>
      <c r="T3516" s="4"/>
      <c r="U3516" s="4"/>
      <c r="V3516" s="4"/>
      <c r="W3516" s="4"/>
      <c r="X3516" s="4"/>
    </row>
    <row r="3517" spans="1:24" ht="14.25" customHeight="1">
      <c r="A3517" s="4"/>
      <c r="B3517" s="125">
        <v>46199</v>
      </c>
      <c r="C3517" s="126" t="s">
        <v>1614</v>
      </c>
      <c r="D3517" s="68" t="s">
        <v>158</v>
      </c>
      <c r="E3517" s="10" t="str">
        <f>TRIM(VLOOKUP(D3517,TB!$B$9:$C$1500,2,FALSE))</f>
        <v>Mandiri TBB IDR</v>
      </c>
      <c r="F3517" s="142" t="s">
        <v>1615</v>
      </c>
      <c r="G3517" s="130"/>
      <c r="H3517" s="10"/>
      <c r="I3517" s="10">
        <f t="shared" si="242"/>
        <v>340000</v>
      </c>
      <c r="J3517" s="79" t="e">
        <f t="shared" si="222"/>
        <v>#VALUE!</v>
      </c>
      <c r="K3517" s="106"/>
      <c r="L3517" s="141"/>
      <c r="M3517" s="132"/>
      <c r="N3517" s="133"/>
      <c r="O3517" s="4"/>
      <c r="P3517" s="4"/>
      <c r="Q3517" s="4"/>
      <c r="R3517" s="4"/>
      <c r="S3517" s="4"/>
      <c r="T3517" s="4"/>
      <c r="U3517" s="4"/>
      <c r="V3517" s="4"/>
      <c r="W3517" s="4"/>
      <c r="X3517" s="4"/>
    </row>
    <row r="3518" spans="1:24" ht="14.25" customHeight="1">
      <c r="A3518" s="4"/>
      <c r="B3518" s="125"/>
      <c r="C3518" s="126"/>
      <c r="D3518" s="159"/>
      <c r="E3518" s="10" t="e">
        <f>TRIM(VLOOKUP(D3518,TB!$B$9:$C$1500,2,FALSE))</f>
        <v>#N/A</v>
      </c>
      <c r="F3518" s="142"/>
      <c r="G3518" s="130"/>
      <c r="H3518" s="10"/>
      <c r="I3518" s="10">
        <f t="shared" si="242"/>
        <v>0</v>
      </c>
      <c r="J3518" s="79" t="e">
        <f t="shared" si="222"/>
        <v>#VALUE!</v>
      </c>
      <c r="K3518" s="106"/>
      <c r="L3518" s="141"/>
      <c r="M3518" s="132"/>
      <c r="N3518" s="133"/>
      <c r="O3518" s="4"/>
      <c r="P3518" s="4"/>
      <c r="Q3518" s="4"/>
      <c r="R3518" s="4"/>
      <c r="S3518" s="4"/>
      <c r="T3518" s="4"/>
      <c r="U3518" s="4"/>
      <c r="V3518" s="4"/>
      <c r="W3518" s="4"/>
      <c r="X3518" s="4"/>
    </row>
    <row r="3519" spans="1:24" ht="14.25" customHeight="1">
      <c r="A3519" s="4"/>
      <c r="B3519" s="125">
        <v>46199</v>
      </c>
      <c r="C3519" s="126" t="s">
        <v>1616</v>
      </c>
      <c r="D3519" s="68" t="s">
        <v>285</v>
      </c>
      <c r="E3519" s="10" t="str">
        <f>TRIM(VLOOKUP(D3519,TB!$B$9:$C$1500,2,FALSE))</f>
        <v>Misc Cash Purchase</v>
      </c>
      <c r="F3519" s="142" t="s">
        <v>1617</v>
      </c>
      <c r="G3519" s="130"/>
      <c r="H3519" s="10">
        <v>780000</v>
      </c>
      <c r="I3519" s="10">
        <f t="shared" si="242"/>
        <v>0</v>
      </c>
      <c r="J3519" s="79" t="e">
        <f t="shared" si="222"/>
        <v>#VALUE!</v>
      </c>
      <c r="K3519" s="106"/>
      <c r="L3519" s="141"/>
      <c r="M3519" s="132"/>
      <c r="N3519" s="133"/>
      <c r="O3519" s="4"/>
      <c r="P3519" s="4"/>
      <c r="Q3519" s="4"/>
      <c r="R3519" s="4"/>
      <c r="S3519" s="4"/>
      <c r="T3519" s="4"/>
      <c r="U3519" s="4"/>
      <c r="V3519" s="4"/>
      <c r="W3519" s="4"/>
      <c r="X3519" s="4"/>
    </row>
    <row r="3520" spans="1:24" ht="14.25" customHeight="1">
      <c r="A3520" s="4"/>
      <c r="B3520" s="125">
        <v>46199</v>
      </c>
      <c r="C3520" s="126" t="s">
        <v>1616</v>
      </c>
      <c r="D3520" s="68" t="s">
        <v>158</v>
      </c>
      <c r="E3520" s="10" t="str">
        <f>TRIM(VLOOKUP(D3520,TB!$B$9:$C$1500,2,FALSE))</f>
        <v>Mandiri TBB IDR</v>
      </c>
      <c r="F3520" s="142" t="s">
        <v>1617</v>
      </c>
      <c r="G3520" s="130"/>
      <c r="H3520" s="10"/>
      <c r="I3520" s="10">
        <f t="shared" si="242"/>
        <v>780000</v>
      </c>
      <c r="J3520" s="79" t="e">
        <f t="shared" si="222"/>
        <v>#VALUE!</v>
      </c>
      <c r="K3520" s="106"/>
      <c r="L3520" s="141"/>
      <c r="M3520" s="132"/>
      <c r="N3520" s="133"/>
      <c r="O3520" s="4"/>
      <c r="P3520" s="4"/>
      <c r="Q3520" s="4"/>
      <c r="R3520" s="4"/>
      <c r="S3520" s="4"/>
      <c r="T3520" s="4"/>
      <c r="U3520" s="4"/>
      <c r="V3520" s="4"/>
      <c r="W3520" s="4"/>
      <c r="X3520" s="4"/>
    </row>
    <row r="3521" spans="1:24" ht="14.25" customHeight="1">
      <c r="A3521" s="4"/>
      <c r="B3521" s="125"/>
      <c r="C3521" s="126"/>
      <c r="D3521" s="159"/>
      <c r="E3521" s="10" t="e">
        <f>TRIM(VLOOKUP(D3521,TB!$B$9:$C$1500,2,FALSE))</f>
        <v>#N/A</v>
      </c>
      <c r="F3521" s="142"/>
      <c r="G3521" s="130"/>
      <c r="H3521" s="10"/>
      <c r="I3521" s="10">
        <f t="shared" si="242"/>
        <v>0</v>
      </c>
      <c r="J3521" s="79" t="e">
        <f t="shared" si="222"/>
        <v>#VALUE!</v>
      </c>
      <c r="K3521" s="106"/>
      <c r="L3521" s="141"/>
      <c r="M3521" s="132"/>
      <c r="N3521" s="133"/>
      <c r="O3521" s="4"/>
      <c r="P3521" s="4"/>
      <c r="Q3521" s="4"/>
      <c r="R3521" s="4"/>
      <c r="S3521" s="4"/>
      <c r="T3521" s="4"/>
      <c r="U3521" s="4"/>
      <c r="V3521" s="4"/>
      <c r="W3521" s="4"/>
      <c r="X3521" s="4"/>
    </row>
    <row r="3522" spans="1:24" ht="14.25" customHeight="1">
      <c r="A3522" s="4"/>
      <c r="B3522" s="125">
        <v>46199</v>
      </c>
      <c r="C3522" s="126" t="s">
        <v>1618</v>
      </c>
      <c r="D3522" s="15" t="s">
        <v>188</v>
      </c>
      <c r="E3522" s="10" t="str">
        <f>TRIM(VLOOKUP(D3522,TB!$B$9:$C$1500,2,FALSE))</f>
        <v>Advertising Costs</v>
      </c>
      <c r="F3522" s="142" t="s">
        <v>1619</v>
      </c>
      <c r="G3522" s="130"/>
      <c r="H3522" s="10">
        <v>4200000</v>
      </c>
      <c r="I3522" s="10">
        <f t="shared" si="242"/>
        <v>0</v>
      </c>
      <c r="J3522" s="79" t="e">
        <f t="shared" si="222"/>
        <v>#VALUE!</v>
      </c>
      <c r="K3522" s="106"/>
      <c r="L3522" s="141"/>
      <c r="M3522" s="132"/>
      <c r="N3522" s="133"/>
      <c r="O3522" s="4"/>
      <c r="P3522" s="4"/>
      <c r="Q3522" s="4"/>
      <c r="R3522" s="4"/>
      <c r="S3522" s="4"/>
      <c r="T3522" s="4"/>
      <c r="U3522" s="4"/>
      <c r="V3522" s="4"/>
      <c r="W3522" s="4"/>
      <c r="X3522" s="4"/>
    </row>
    <row r="3523" spans="1:24" ht="14.25" customHeight="1">
      <c r="A3523" s="4"/>
      <c r="B3523" s="125">
        <v>46199</v>
      </c>
      <c r="C3523" s="126" t="s">
        <v>1618</v>
      </c>
      <c r="D3523" s="68" t="s">
        <v>158</v>
      </c>
      <c r="E3523" s="10" t="str">
        <f>TRIM(VLOOKUP(D3523,TB!$B$9:$C$1500,2,FALSE))</f>
        <v>Mandiri TBB IDR</v>
      </c>
      <c r="F3523" s="142" t="s">
        <v>1619</v>
      </c>
      <c r="G3523" s="130"/>
      <c r="H3523" s="10"/>
      <c r="I3523" s="10">
        <f t="shared" si="242"/>
        <v>4200000</v>
      </c>
      <c r="J3523" s="79" t="e">
        <f t="shared" si="222"/>
        <v>#VALUE!</v>
      </c>
      <c r="K3523" s="106"/>
      <c r="L3523" s="141"/>
      <c r="M3523" s="132"/>
      <c r="N3523" s="133"/>
      <c r="O3523" s="4"/>
      <c r="P3523" s="4"/>
      <c r="Q3523" s="4"/>
      <c r="R3523" s="4"/>
      <c r="S3523" s="4"/>
      <c r="T3523" s="4"/>
      <c r="U3523" s="4"/>
      <c r="V3523" s="4"/>
      <c r="W3523" s="4"/>
      <c r="X3523" s="4"/>
    </row>
    <row r="3524" spans="1:24" ht="14.25" customHeight="1">
      <c r="A3524" s="4"/>
      <c r="B3524" s="125"/>
      <c r="C3524" s="126"/>
      <c r="D3524" s="159"/>
      <c r="E3524" s="10" t="e">
        <f>TRIM(VLOOKUP(D3524,TB!$B$9:$C$1500,2,FALSE))</f>
        <v>#N/A</v>
      </c>
      <c r="F3524" s="142"/>
      <c r="G3524" s="130"/>
      <c r="H3524" s="10"/>
      <c r="I3524" s="10">
        <f t="shared" si="242"/>
        <v>0</v>
      </c>
      <c r="J3524" s="79" t="e">
        <f t="shared" si="222"/>
        <v>#VALUE!</v>
      </c>
      <c r="K3524" s="106"/>
      <c r="L3524" s="141"/>
      <c r="M3524" s="132"/>
      <c r="N3524" s="133"/>
      <c r="O3524" s="4"/>
      <c r="P3524" s="4"/>
      <c r="Q3524" s="4"/>
      <c r="R3524" s="4"/>
      <c r="S3524" s="4"/>
      <c r="T3524" s="4"/>
      <c r="U3524" s="4"/>
      <c r="V3524" s="4"/>
      <c r="W3524" s="4"/>
      <c r="X3524" s="4"/>
    </row>
    <row r="3525" spans="1:24" ht="14.25" customHeight="1">
      <c r="A3525" s="4"/>
      <c r="B3525" s="125">
        <v>46199</v>
      </c>
      <c r="C3525" s="126" t="s">
        <v>1620</v>
      </c>
      <c r="D3525" s="15" t="s">
        <v>438</v>
      </c>
      <c r="E3525" s="10" t="str">
        <f>TRIM(VLOOKUP(D3525,TB!$B$9:$C$1500,2,FALSE))</f>
        <v>Brochure Flyer Printing</v>
      </c>
      <c r="F3525" s="142" t="s">
        <v>1621</v>
      </c>
      <c r="G3525" s="130"/>
      <c r="H3525" s="10">
        <v>428000</v>
      </c>
      <c r="I3525" s="10">
        <f t="shared" si="242"/>
        <v>0</v>
      </c>
      <c r="J3525" s="79" t="e">
        <f t="shared" si="222"/>
        <v>#VALUE!</v>
      </c>
      <c r="K3525" s="106"/>
      <c r="L3525" s="141"/>
      <c r="M3525" s="132"/>
      <c r="N3525" s="133"/>
      <c r="O3525" s="4"/>
      <c r="P3525" s="4"/>
      <c r="Q3525" s="4"/>
      <c r="R3525" s="4"/>
      <c r="S3525" s="4"/>
      <c r="T3525" s="4"/>
      <c r="U3525" s="4"/>
      <c r="V3525" s="4"/>
      <c r="W3525" s="4"/>
      <c r="X3525" s="4"/>
    </row>
    <row r="3526" spans="1:24" ht="14.25" customHeight="1">
      <c r="A3526" s="4"/>
      <c r="B3526" s="125">
        <v>46199</v>
      </c>
      <c r="C3526" s="126" t="s">
        <v>1620</v>
      </c>
      <c r="D3526" s="68" t="s">
        <v>158</v>
      </c>
      <c r="E3526" s="10" t="str">
        <f>TRIM(VLOOKUP(D3526,TB!$B$9:$C$1500,2,FALSE))</f>
        <v>Mandiri TBB IDR</v>
      </c>
      <c r="F3526" s="142" t="s">
        <v>1621</v>
      </c>
      <c r="G3526" s="130"/>
      <c r="H3526" s="10"/>
      <c r="I3526" s="10">
        <f t="shared" si="242"/>
        <v>428000</v>
      </c>
      <c r="J3526" s="79" t="e">
        <f t="shared" si="222"/>
        <v>#VALUE!</v>
      </c>
      <c r="K3526" s="106"/>
      <c r="L3526" s="141"/>
      <c r="M3526" s="132"/>
      <c r="N3526" s="133"/>
      <c r="O3526" s="4"/>
      <c r="P3526" s="4"/>
      <c r="Q3526" s="4"/>
      <c r="R3526" s="4"/>
      <c r="S3526" s="4"/>
      <c r="T3526" s="4"/>
      <c r="U3526" s="4"/>
      <c r="V3526" s="4"/>
      <c r="W3526" s="4"/>
      <c r="X3526" s="4"/>
    </row>
    <row r="3527" spans="1:24" ht="14.25" customHeight="1">
      <c r="A3527" s="4"/>
      <c r="B3527" s="125"/>
      <c r="C3527" s="126"/>
      <c r="D3527" s="159"/>
      <c r="E3527" s="10" t="e">
        <f>TRIM(VLOOKUP(D3527,TB!$B$9:$C$1500,2,FALSE))</f>
        <v>#N/A</v>
      </c>
      <c r="F3527" s="142"/>
      <c r="G3527" s="130"/>
      <c r="H3527" s="10"/>
      <c r="I3527" s="10">
        <f t="shared" si="242"/>
        <v>0</v>
      </c>
      <c r="J3527" s="79" t="e">
        <f t="shared" si="222"/>
        <v>#VALUE!</v>
      </c>
      <c r="K3527" s="106"/>
      <c r="L3527" s="141"/>
      <c r="M3527" s="132"/>
      <c r="N3527" s="133"/>
      <c r="O3527" s="4"/>
      <c r="P3527" s="4"/>
      <c r="Q3527" s="4"/>
      <c r="R3527" s="4"/>
      <c r="S3527" s="4"/>
      <c r="T3527" s="4"/>
      <c r="U3527" s="4"/>
      <c r="V3527" s="4"/>
      <c r="W3527" s="4"/>
      <c r="X3527" s="4"/>
    </row>
    <row r="3528" spans="1:24" ht="14.25" customHeight="1">
      <c r="A3528" s="4"/>
      <c r="B3528" s="125">
        <v>46199</v>
      </c>
      <c r="C3528" s="126" t="s">
        <v>1622</v>
      </c>
      <c r="D3528" s="68" t="s">
        <v>1595</v>
      </c>
      <c r="E3528" s="10" t="str">
        <f>TRIM(VLOOKUP(D3528,TB!$B$9:$C$1500,2,FALSE))</f>
        <v>Salaries payable</v>
      </c>
      <c r="F3528" s="142" t="s">
        <v>1623</v>
      </c>
      <c r="G3528" s="130"/>
      <c r="H3528" s="10">
        <v>35728</v>
      </c>
      <c r="I3528" s="10">
        <f t="shared" si="242"/>
        <v>0</v>
      </c>
      <c r="J3528" s="79" t="e">
        <f t="shared" si="222"/>
        <v>#VALUE!</v>
      </c>
      <c r="K3528" s="106"/>
      <c r="L3528" s="141"/>
      <c r="M3528" s="132"/>
      <c r="N3528" s="133"/>
      <c r="O3528" s="4"/>
      <c r="P3528" s="4"/>
      <c r="Q3528" s="4"/>
      <c r="R3528" s="4"/>
      <c r="S3528" s="4"/>
      <c r="T3528" s="4"/>
      <c r="U3528" s="4"/>
      <c r="V3528" s="4"/>
      <c r="W3528" s="4"/>
      <c r="X3528" s="4"/>
    </row>
    <row r="3529" spans="1:24" ht="14.25" customHeight="1">
      <c r="A3529" s="4"/>
      <c r="B3529" s="125">
        <v>46199</v>
      </c>
      <c r="C3529" s="126" t="s">
        <v>1622</v>
      </c>
      <c r="D3529" s="68" t="s">
        <v>158</v>
      </c>
      <c r="E3529" s="10" t="str">
        <f>TRIM(VLOOKUP(D3529,TB!$B$9:$C$1500,2,FALSE))</f>
        <v>Mandiri TBB IDR</v>
      </c>
      <c r="F3529" s="142" t="s">
        <v>1623</v>
      </c>
      <c r="G3529" s="130"/>
      <c r="H3529" s="10"/>
      <c r="I3529" s="10">
        <f t="shared" si="242"/>
        <v>35728</v>
      </c>
      <c r="J3529" s="79" t="e">
        <f t="shared" si="222"/>
        <v>#VALUE!</v>
      </c>
      <c r="K3529" s="106"/>
      <c r="L3529" s="141"/>
      <c r="M3529" s="132"/>
      <c r="N3529" s="133"/>
      <c r="O3529" s="4"/>
      <c r="P3529" s="4"/>
      <c r="Q3529" s="4"/>
      <c r="R3529" s="4"/>
      <c r="S3529" s="4"/>
      <c r="T3529" s="4"/>
      <c r="U3529" s="4"/>
      <c r="V3529" s="4"/>
      <c r="W3529" s="4"/>
      <c r="X3529" s="4"/>
    </row>
    <row r="3530" spans="1:24" ht="14.25" customHeight="1">
      <c r="A3530" s="4"/>
      <c r="B3530" s="125"/>
      <c r="C3530" s="126"/>
      <c r="D3530" s="159"/>
      <c r="E3530" s="10" t="e">
        <f>TRIM(VLOOKUP(D3530,TB!$B$9:$C$1500,2,FALSE))</f>
        <v>#N/A</v>
      </c>
      <c r="F3530" s="142"/>
      <c r="G3530" s="130"/>
      <c r="H3530" s="10"/>
      <c r="I3530" s="10">
        <f t="shared" si="242"/>
        <v>0</v>
      </c>
      <c r="J3530" s="79" t="e">
        <f t="shared" si="222"/>
        <v>#VALUE!</v>
      </c>
      <c r="K3530" s="106"/>
      <c r="L3530" s="141"/>
      <c r="M3530" s="132"/>
      <c r="N3530" s="133"/>
      <c r="O3530" s="4"/>
      <c r="P3530" s="4"/>
      <c r="Q3530" s="4"/>
      <c r="R3530" s="4"/>
      <c r="S3530" s="4"/>
      <c r="T3530" s="4"/>
      <c r="U3530" s="4"/>
      <c r="V3530" s="4"/>
      <c r="W3530" s="4"/>
      <c r="X3530" s="4"/>
    </row>
    <row r="3531" spans="1:24" ht="14.25" customHeight="1">
      <c r="A3531" s="4"/>
      <c r="B3531" s="125">
        <v>46199</v>
      </c>
      <c r="C3531" s="126" t="s">
        <v>1624</v>
      </c>
      <c r="D3531" s="68" t="s">
        <v>1595</v>
      </c>
      <c r="E3531" s="10" t="str">
        <f>TRIM(VLOOKUP(D3531,TB!$B$9:$C$1500,2,FALSE))</f>
        <v>Salaries payable</v>
      </c>
      <c r="F3531" s="142" t="s">
        <v>1625</v>
      </c>
      <c r="G3531" s="130"/>
      <c r="H3531" s="10">
        <v>46000</v>
      </c>
      <c r="I3531" s="10">
        <f t="shared" si="242"/>
        <v>0</v>
      </c>
      <c r="J3531" s="79" t="e">
        <f t="shared" si="222"/>
        <v>#VALUE!</v>
      </c>
      <c r="K3531" s="106"/>
      <c r="L3531" s="141"/>
      <c r="M3531" s="132"/>
      <c r="N3531" s="133"/>
      <c r="O3531" s="4"/>
      <c r="P3531" s="4"/>
      <c r="Q3531" s="4"/>
      <c r="R3531" s="4"/>
      <c r="S3531" s="4"/>
      <c r="T3531" s="4"/>
      <c r="U3531" s="4"/>
      <c r="V3531" s="4"/>
      <c r="W3531" s="4"/>
      <c r="X3531" s="4"/>
    </row>
    <row r="3532" spans="1:24" ht="14.25" customHeight="1">
      <c r="A3532" s="4"/>
      <c r="B3532" s="125">
        <v>46199</v>
      </c>
      <c r="C3532" s="126" t="s">
        <v>1624</v>
      </c>
      <c r="D3532" s="68" t="s">
        <v>158</v>
      </c>
      <c r="E3532" s="10" t="str">
        <f>TRIM(VLOOKUP(D3532,TB!$B$9:$C$1500,2,FALSE))</f>
        <v>Mandiri TBB IDR</v>
      </c>
      <c r="F3532" s="142" t="s">
        <v>1625</v>
      </c>
      <c r="G3532" s="130"/>
      <c r="H3532" s="10"/>
      <c r="I3532" s="10">
        <f t="shared" si="242"/>
        <v>46000</v>
      </c>
      <c r="J3532" s="79" t="e">
        <f t="shared" si="222"/>
        <v>#VALUE!</v>
      </c>
      <c r="K3532" s="106"/>
      <c r="L3532" s="141"/>
      <c r="M3532" s="132"/>
      <c r="N3532" s="133"/>
      <c r="O3532" s="4"/>
      <c r="P3532" s="4"/>
      <c r="Q3532" s="4"/>
      <c r="R3532" s="4"/>
      <c r="S3532" s="4"/>
      <c r="T3532" s="4"/>
      <c r="U3532" s="4"/>
      <c r="V3532" s="4"/>
      <c r="W3532" s="4"/>
      <c r="X3532" s="4"/>
    </row>
    <row r="3533" spans="1:24" ht="14.25" customHeight="1">
      <c r="A3533" s="4"/>
      <c r="B3533" s="125"/>
      <c r="C3533" s="126"/>
      <c r="D3533" s="159"/>
      <c r="E3533" s="10" t="e">
        <f>TRIM(VLOOKUP(D3533,TB!$B$9:$C$1500,2,FALSE))</f>
        <v>#N/A</v>
      </c>
      <c r="F3533" s="142"/>
      <c r="G3533" s="130"/>
      <c r="H3533" s="10"/>
      <c r="I3533" s="10">
        <f t="shared" si="242"/>
        <v>0</v>
      </c>
      <c r="J3533" s="79" t="e">
        <f t="shared" si="222"/>
        <v>#VALUE!</v>
      </c>
      <c r="K3533" s="106"/>
      <c r="L3533" s="141"/>
      <c r="M3533" s="132"/>
      <c r="N3533" s="133"/>
      <c r="O3533" s="4"/>
      <c r="P3533" s="4"/>
      <c r="Q3533" s="4"/>
      <c r="R3533" s="4"/>
      <c r="S3533" s="4"/>
      <c r="T3533" s="4"/>
      <c r="U3533" s="4"/>
      <c r="V3533" s="4"/>
      <c r="W3533" s="4"/>
      <c r="X3533" s="4"/>
    </row>
    <row r="3534" spans="1:24" ht="14.25" customHeight="1">
      <c r="A3534" s="4"/>
      <c r="B3534" s="125">
        <v>46199</v>
      </c>
      <c r="C3534" s="126" t="s">
        <v>1626</v>
      </c>
      <c r="D3534" s="68" t="s">
        <v>1595</v>
      </c>
      <c r="E3534" s="10" t="str">
        <f>TRIM(VLOOKUP(D3534,TB!$B$9:$C$1500,2,FALSE))</f>
        <v>Salaries payable</v>
      </c>
      <c r="F3534" s="142" t="s">
        <v>1627</v>
      </c>
      <c r="G3534" s="130"/>
      <c r="H3534" s="10">
        <v>23000</v>
      </c>
      <c r="I3534" s="10">
        <f t="shared" si="242"/>
        <v>0</v>
      </c>
      <c r="J3534" s="79" t="e">
        <f t="shared" si="222"/>
        <v>#VALUE!</v>
      </c>
      <c r="K3534" s="106"/>
      <c r="L3534" s="141"/>
      <c r="M3534" s="132"/>
      <c r="N3534" s="133"/>
      <c r="O3534" s="4"/>
      <c r="P3534" s="4"/>
      <c r="Q3534" s="4"/>
      <c r="R3534" s="4"/>
      <c r="S3534" s="4"/>
      <c r="T3534" s="4"/>
      <c r="U3534" s="4"/>
      <c r="V3534" s="4"/>
      <c r="W3534" s="4"/>
      <c r="X3534" s="4"/>
    </row>
    <row r="3535" spans="1:24" ht="14.25" customHeight="1">
      <c r="A3535" s="4"/>
      <c r="B3535" s="125">
        <v>46199</v>
      </c>
      <c r="C3535" s="126" t="s">
        <v>1626</v>
      </c>
      <c r="D3535" s="68" t="s">
        <v>158</v>
      </c>
      <c r="E3535" s="10" t="str">
        <f>TRIM(VLOOKUP(D3535,TB!$B$9:$C$1500,2,FALSE))</f>
        <v>Mandiri TBB IDR</v>
      </c>
      <c r="F3535" s="142" t="s">
        <v>1627</v>
      </c>
      <c r="G3535" s="130"/>
      <c r="H3535" s="10"/>
      <c r="I3535" s="10">
        <f t="shared" si="242"/>
        <v>23000</v>
      </c>
      <c r="J3535" s="79" t="e">
        <f t="shared" si="222"/>
        <v>#VALUE!</v>
      </c>
      <c r="K3535" s="106"/>
      <c r="L3535" s="141"/>
      <c r="M3535" s="132"/>
      <c r="N3535" s="133"/>
      <c r="O3535" s="4"/>
      <c r="P3535" s="4"/>
      <c r="Q3535" s="4"/>
      <c r="R3535" s="4"/>
      <c r="S3535" s="4"/>
      <c r="T3535" s="4"/>
      <c r="U3535" s="4"/>
      <c r="V3535" s="4"/>
      <c r="W3535" s="4"/>
      <c r="X3535" s="4"/>
    </row>
    <row r="3536" spans="1:24" ht="14.25" customHeight="1">
      <c r="A3536" s="4"/>
      <c r="B3536" s="125"/>
      <c r="C3536" s="126"/>
      <c r="D3536" s="159"/>
      <c r="E3536" s="10" t="e">
        <f>TRIM(VLOOKUP(D3536,TB!$B$9:$C$1500,2,FALSE))</f>
        <v>#N/A</v>
      </c>
      <c r="F3536" s="142"/>
      <c r="G3536" s="130"/>
      <c r="H3536" s="10"/>
      <c r="I3536" s="10">
        <f t="shared" si="242"/>
        <v>0</v>
      </c>
      <c r="J3536" s="79" t="e">
        <f t="shared" si="222"/>
        <v>#VALUE!</v>
      </c>
      <c r="K3536" s="106"/>
      <c r="L3536" s="141"/>
      <c r="M3536" s="132"/>
      <c r="N3536" s="133"/>
      <c r="O3536" s="4"/>
      <c r="P3536" s="4"/>
      <c r="Q3536" s="4"/>
      <c r="R3536" s="4"/>
      <c r="S3536" s="4"/>
      <c r="T3536" s="4"/>
      <c r="U3536" s="4"/>
      <c r="V3536" s="4"/>
      <c r="W3536" s="4"/>
      <c r="X3536" s="4"/>
    </row>
    <row r="3537" spans="1:24" ht="14.25" customHeight="1">
      <c r="A3537" s="4"/>
      <c r="B3537" s="125">
        <v>46199</v>
      </c>
      <c r="C3537" s="126" t="s">
        <v>1628</v>
      </c>
      <c r="D3537" s="68" t="s">
        <v>1595</v>
      </c>
      <c r="E3537" s="10" t="str">
        <f>TRIM(VLOOKUP(D3537,TB!$B$9:$C$1500,2,FALSE))</f>
        <v>Salaries payable</v>
      </c>
      <c r="F3537" s="142" t="s">
        <v>1629</v>
      </c>
      <c r="G3537" s="130"/>
      <c r="H3537" s="10">
        <v>46000</v>
      </c>
      <c r="I3537" s="10">
        <f t="shared" si="242"/>
        <v>0</v>
      </c>
      <c r="J3537" s="79" t="e">
        <f t="shared" si="222"/>
        <v>#VALUE!</v>
      </c>
      <c r="K3537" s="106"/>
      <c r="L3537" s="141"/>
      <c r="M3537" s="132"/>
      <c r="N3537" s="133"/>
      <c r="O3537" s="4"/>
      <c r="P3537" s="4"/>
      <c r="Q3537" s="4"/>
      <c r="R3537" s="4"/>
      <c r="S3537" s="4"/>
      <c r="T3537" s="4"/>
      <c r="U3537" s="4"/>
      <c r="V3537" s="4"/>
      <c r="W3537" s="4"/>
      <c r="X3537" s="4"/>
    </row>
    <row r="3538" spans="1:24" ht="14.25" customHeight="1">
      <c r="A3538" s="4"/>
      <c r="B3538" s="125">
        <v>46199</v>
      </c>
      <c r="C3538" s="126" t="s">
        <v>1628</v>
      </c>
      <c r="D3538" s="68" t="s">
        <v>158</v>
      </c>
      <c r="E3538" s="10" t="str">
        <f>TRIM(VLOOKUP(D3538,TB!$B$9:$C$1500,2,FALSE))</f>
        <v>Mandiri TBB IDR</v>
      </c>
      <c r="F3538" s="142" t="s">
        <v>1629</v>
      </c>
      <c r="G3538" s="130"/>
      <c r="H3538" s="10"/>
      <c r="I3538" s="10">
        <f t="shared" si="242"/>
        <v>46000</v>
      </c>
      <c r="J3538" s="79" t="e">
        <f t="shared" si="222"/>
        <v>#VALUE!</v>
      </c>
      <c r="K3538" s="106"/>
      <c r="L3538" s="141"/>
      <c r="M3538" s="132"/>
      <c r="N3538" s="133"/>
      <c r="O3538" s="4"/>
      <c r="P3538" s="4"/>
      <c r="Q3538" s="4"/>
      <c r="R3538" s="4"/>
      <c r="S3538" s="4"/>
      <c r="T3538" s="4"/>
      <c r="U3538" s="4"/>
      <c r="V3538" s="4"/>
      <c r="W3538" s="4"/>
      <c r="X3538" s="4"/>
    </row>
    <row r="3539" spans="1:24" ht="14.25" customHeight="1">
      <c r="A3539" s="4"/>
      <c r="B3539" s="125"/>
      <c r="C3539" s="126"/>
      <c r="D3539" s="159"/>
      <c r="E3539" s="10" t="e">
        <f>TRIM(VLOOKUP(D3539,TB!$B$9:$C$1500,2,FALSE))</f>
        <v>#N/A</v>
      </c>
      <c r="F3539" s="142"/>
      <c r="G3539" s="130"/>
      <c r="H3539" s="10"/>
      <c r="I3539" s="10">
        <f t="shared" si="242"/>
        <v>0</v>
      </c>
      <c r="J3539" s="79" t="e">
        <f t="shared" si="222"/>
        <v>#VALUE!</v>
      </c>
      <c r="K3539" s="106"/>
      <c r="L3539" s="141"/>
      <c r="M3539" s="132"/>
      <c r="N3539" s="133"/>
      <c r="O3539" s="4"/>
      <c r="P3539" s="4"/>
      <c r="Q3539" s="4"/>
      <c r="R3539" s="4"/>
      <c r="S3539" s="4"/>
      <c r="T3539" s="4"/>
      <c r="U3539" s="4"/>
      <c r="V3539" s="4"/>
      <c r="W3539" s="4"/>
      <c r="X3539" s="4"/>
    </row>
    <row r="3540" spans="1:24" ht="14.25" customHeight="1">
      <c r="A3540" s="4"/>
      <c r="B3540" s="125">
        <v>46199</v>
      </c>
      <c r="C3540" s="126" t="s">
        <v>1630</v>
      </c>
      <c r="D3540" s="68" t="s">
        <v>1595</v>
      </c>
      <c r="E3540" s="10" t="str">
        <f>TRIM(VLOOKUP(D3540,TB!$B$9:$C$1500,2,FALSE))</f>
        <v>Salaries payable</v>
      </c>
      <c r="F3540" s="142" t="s">
        <v>1631</v>
      </c>
      <c r="G3540" s="130"/>
      <c r="H3540" s="10">
        <v>500000</v>
      </c>
      <c r="I3540" s="10">
        <f t="shared" si="242"/>
        <v>0</v>
      </c>
      <c r="J3540" s="79" t="e">
        <f t="shared" si="222"/>
        <v>#VALUE!</v>
      </c>
      <c r="K3540" s="106"/>
      <c r="L3540" s="141"/>
      <c r="M3540" s="132"/>
      <c r="N3540" s="133"/>
      <c r="O3540" s="4"/>
      <c r="P3540" s="4"/>
      <c r="Q3540" s="4"/>
      <c r="R3540" s="4"/>
      <c r="S3540" s="4"/>
      <c r="T3540" s="4"/>
      <c r="U3540" s="4"/>
      <c r="V3540" s="4"/>
      <c r="W3540" s="4"/>
      <c r="X3540" s="4"/>
    </row>
    <row r="3541" spans="1:24" ht="14.25" customHeight="1">
      <c r="A3541" s="4"/>
      <c r="B3541" s="125">
        <v>46199</v>
      </c>
      <c r="C3541" s="126" t="s">
        <v>1630</v>
      </c>
      <c r="D3541" s="68" t="s">
        <v>158</v>
      </c>
      <c r="E3541" s="10" t="str">
        <f>TRIM(VLOOKUP(D3541,TB!$B$9:$C$1500,2,FALSE))</f>
        <v>Mandiri TBB IDR</v>
      </c>
      <c r="F3541" s="142" t="s">
        <v>1631</v>
      </c>
      <c r="G3541" s="130"/>
      <c r="H3541" s="10"/>
      <c r="I3541" s="10">
        <f t="shared" si="242"/>
        <v>500000</v>
      </c>
      <c r="J3541" s="79" t="e">
        <f t="shared" si="222"/>
        <v>#VALUE!</v>
      </c>
      <c r="K3541" s="106"/>
      <c r="L3541" s="141"/>
      <c r="M3541" s="132"/>
      <c r="N3541" s="133"/>
      <c r="O3541" s="4"/>
      <c r="P3541" s="4"/>
      <c r="Q3541" s="4"/>
      <c r="R3541" s="4"/>
      <c r="S3541" s="4"/>
      <c r="T3541" s="4"/>
      <c r="U3541" s="4"/>
      <c r="V3541" s="4"/>
      <c r="W3541" s="4"/>
      <c r="X3541" s="4"/>
    </row>
    <row r="3542" spans="1:24" ht="14.25" customHeight="1">
      <c r="A3542" s="4"/>
      <c r="B3542" s="125"/>
      <c r="C3542" s="126"/>
      <c r="D3542" s="159"/>
      <c r="E3542" s="10" t="e">
        <f>TRIM(VLOOKUP(D3542,TB!$B$9:$C$1500,2,FALSE))</f>
        <v>#N/A</v>
      </c>
      <c r="F3542" s="142"/>
      <c r="G3542" s="130"/>
      <c r="H3542" s="10"/>
      <c r="I3542" s="10">
        <f t="shared" si="242"/>
        <v>0</v>
      </c>
      <c r="J3542" s="79" t="e">
        <f t="shared" si="222"/>
        <v>#VALUE!</v>
      </c>
      <c r="K3542" s="106"/>
      <c r="L3542" s="141"/>
      <c r="M3542" s="132"/>
      <c r="N3542" s="133"/>
      <c r="O3542" s="4"/>
      <c r="P3542" s="4"/>
      <c r="Q3542" s="4"/>
      <c r="R3542" s="4"/>
      <c r="S3542" s="4"/>
      <c r="T3542" s="4"/>
      <c r="U3542" s="4"/>
      <c r="V3542" s="4"/>
      <c r="W3542" s="4"/>
      <c r="X3542" s="4"/>
    </row>
    <row r="3543" spans="1:24" ht="14.25" customHeight="1">
      <c r="A3543" s="4"/>
      <c r="B3543" s="125">
        <v>46199</v>
      </c>
      <c r="C3543" s="126" t="s">
        <v>1632</v>
      </c>
      <c r="D3543" s="68" t="s">
        <v>1595</v>
      </c>
      <c r="E3543" s="10" t="str">
        <f>TRIM(VLOOKUP(D3543,TB!$B$9:$C$1500,2,FALSE))</f>
        <v>Salaries payable</v>
      </c>
      <c r="F3543" s="142" t="s">
        <v>1633</v>
      </c>
      <c r="G3543" s="130"/>
      <c r="H3543" s="10">
        <v>247500</v>
      </c>
      <c r="I3543" s="10">
        <f t="shared" si="242"/>
        <v>0</v>
      </c>
      <c r="J3543" s="79" t="e">
        <f t="shared" si="222"/>
        <v>#VALUE!</v>
      </c>
      <c r="K3543" s="106"/>
      <c r="L3543" s="141"/>
      <c r="M3543" s="132"/>
      <c r="N3543" s="133"/>
      <c r="O3543" s="4"/>
      <c r="P3543" s="4"/>
      <c r="Q3543" s="4"/>
      <c r="R3543" s="4"/>
      <c r="S3543" s="4"/>
      <c r="T3543" s="4"/>
      <c r="U3543" s="4"/>
      <c r="V3543" s="4"/>
      <c r="W3543" s="4"/>
      <c r="X3543" s="4"/>
    </row>
    <row r="3544" spans="1:24" ht="14.25" customHeight="1">
      <c r="A3544" s="4"/>
      <c r="B3544" s="125">
        <v>46199</v>
      </c>
      <c r="C3544" s="126" t="s">
        <v>1632</v>
      </c>
      <c r="D3544" s="68" t="s">
        <v>158</v>
      </c>
      <c r="E3544" s="10" t="str">
        <f>TRIM(VLOOKUP(D3544,TB!$B$9:$C$1500,2,FALSE))</f>
        <v>Mandiri TBB IDR</v>
      </c>
      <c r="F3544" s="142" t="s">
        <v>1633</v>
      </c>
      <c r="G3544" s="130"/>
      <c r="H3544" s="10"/>
      <c r="I3544" s="10">
        <f t="shared" si="242"/>
        <v>247500</v>
      </c>
      <c r="J3544" s="79" t="e">
        <f t="shared" si="222"/>
        <v>#VALUE!</v>
      </c>
      <c r="K3544" s="106"/>
      <c r="L3544" s="141"/>
      <c r="M3544" s="132"/>
      <c r="N3544" s="133"/>
      <c r="O3544" s="4"/>
      <c r="P3544" s="4"/>
      <c r="Q3544" s="4"/>
      <c r="R3544" s="4"/>
      <c r="S3544" s="4"/>
      <c r="T3544" s="4"/>
      <c r="U3544" s="4"/>
      <c r="V3544" s="4"/>
      <c r="W3544" s="4"/>
      <c r="X3544" s="4"/>
    </row>
    <row r="3545" spans="1:24" ht="14.25" customHeight="1">
      <c r="A3545" s="4"/>
      <c r="B3545" s="125"/>
      <c r="C3545" s="126"/>
      <c r="D3545" s="159"/>
      <c r="E3545" s="10" t="e">
        <f>TRIM(VLOOKUP(D3545,TB!$B$9:$C$1500,2,FALSE))</f>
        <v>#N/A</v>
      </c>
      <c r="F3545" s="142"/>
      <c r="G3545" s="130"/>
      <c r="H3545" s="10"/>
      <c r="I3545" s="10">
        <f t="shared" si="242"/>
        <v>0</v>
      </c>
      <c r="J3545" s="79" t="e">
        <f t="shared" si="222"/>
        <v>#VALUE!</v>
      </c>
      <c r="K3545" s="106"/>
      <c r="L3545" s="141"/>
      <c r="M3545" s="132"/>
      <c r="N3545" s="133"/>
      <c r="O3545" s="4"/>
      <c r="P3545" s="4"/>
      <c r="Q3545" s="4"/>
      <c r="R3545" s="4"/>
      <c r="S3545" s="4"/>
      <c r="T3545" s="4"/>
      <c r="U3545" s="4"/>
      <c r="V3545" s="4"/>
      <c r="W3545" s="4"/>
      <c r="X3545" s="4"/>
    </row>
    <row r="3546" spans="1:24" ht="14.25" customHeight="1">
      <c r="A3546" s="4"/>
      <c r="B3546" s="125">
        <v>46199</v>
      </c>
      <c r="C3546" s="126" t="s">
        <v>1634</v>
      </c>
      <c r="D3546" s="68" t="s">
        <v>1595</v>
      </c>
      <c r="E3546" s="10" t="str">
        <f>TRIM(VLOOKUP(D3546,TB!$B$9:$C$1500,2,FALSE))</f>
        <v>Salaries payable</v>
      </c>
      <c r="F3546" s="142" t="s">
        <v>1635</v>
      </c>
      <c r="G3546" s="130"/>
      <c r="H3546" s="10">
        <v>92000</v>
      </c>
      <c r="I3546" s="10">
        <f t="shared" si="242"/>
        <v>0</v>
      </c>
      <c r="J3546" s="79" t="e">
        <f t="shared" si="222"/>
        <v>#VALUE!</v>
      </c>
      <c r="K3546" s="106"/>
      <c r="L3546" s="141"/>
      <c r="M3546" s="132"/>
      <c r="N3546" s="133"/>
      <c r="O3546" s="4"/>
      <c r="P3546" s="4"/>
      <c r="Q3546" s="4"/>
      <c r="R3546" s="4"/>
      <c r="S3546" s="4"/>
      <c r="T3546" s="4"/>
      <c r="U3546" s="4"/>
      <c r="V3546" s="4"/>
      <c r="W3546" s="4"/>
      <c r="X3546" s="4"/>
    </row>
    <row r="3547" spans="1:24" ht="14.25" customHeight="1">
      <c r="A3547" s="4"/>
      <c r="B3547" s="125">
        <v>46199</v>
      </c>
      <c r="C3547" s="126" t="s">
        <v>1634</v>
      </c>
      <c r="D3547" s="68" t="s">
        <v>158</v>
      </c>
      <c r="E3547" s="10" t="str">
        <f>TRIM(VLOOKUP(D3547,TB!$B$9:$C$1500,2,FALSE))</f>
        <v>Mandiri TBB IDR</v>
      </c>
      <c r="F3547" s="142" t="s">
        <v>1635</v>
      </c>
      <c r="G3547" s="130"/>
      <c r="H3547" s="10"/>
      <c r="I3547" s="10">
        <f t="shared" si="242"/>
        <v>92000</v>
      </c>
      <c r="J3547" s="79" t="e">
        <f t="shared" si="222"/>
        <v>#VALUE!</v>
      </c>
      <c r="K3547" s="106"/>
      <c r="L3547" s="141"/>
      <c r="M3547" s="132"/>
      <c r="N3547" s="133"/>
      <c r="O3547" s="4"/>
      <c r="P3547" s="4"/>
      <c r="Q3547" s="4"/>
      <c r="R3547" s="4"/>
      <c r="S3547" s="4"/>
      <c r="T3547" s="4"/>
      <c r="U3547" s="4"/>
      <c r="V3547" s="4"/>
      <c r="W3547" s="4"/>
      <c r="X3547" s="4"/>
    </row>
    <row r="3548" spans="1:24" ht="14.25" customHeight="1">
      <c r="A3548" s="4"/>
      <c r="B3548" s="125"/>
      <c r="C3548" s="126"/>
      <c r="D3548" s="159"/>
      <c r="E3548" s="10" t="e">
        <f>TRIM(VLOOKUP(D3548,TB!$B$9:$C$1500,2,FALSE))</f>
        <v>#N/A</v>
      </c>
      <c r="F3548" s="142"/>
      <c r="G3548" s="130"/>
      <c r="H3548" s="10"/>
      <c r="I3548" s="10">
        <f t="shared" si="242"/>
        <v>0</v>
      </c>
      <c r="J3548" s="79" t="e">
        <f t="shared" si="222"/>
        <v>#VALUE!</v>
      </c>
      <c r="K3548" s="106"/>
      <c r="L3548" s="141"/>
      <c r="M3548" s="132"/>
      <c r="N3548" s="133"/>
      <c r="O3548" s="4"/>
      <c r="P3548" s="4"/>
      <c r="Q3548" s="4"/>
      <c r="R3548" s="4"/>
      <c r="S3548" s="4"/>
      <c r="T3548" s="4"/>
      <c r="U3548" s="4"/>
      <c r="V3548" s="4"/>
      <c r="W3548" s="4"/>
      <c r="X3548" s="4"/>
    </row>
    <row r="3549" spans="1:24" ht="14.25" customHeight="1">
      <c r="A3549" s="4"/>
      <c r="B3549" s="125">
        <v>46199</v>
      </c>
      <c r="C3549" s="126" t="s">
        <v>1636</v>
      </c>
      <c r="D3549" s="68" t="s">
        <v>1595</v>
      </c>
      <c r="E3549" s="10" t="str">
        <f>TRIM(VLOOKUP(D3549,TB!$B$9:$C$1500,2,FALSE))</f>
        <v>Salaries payable</v>
      </c>
      <c r="F3549" s="142" t="s">
        <v>1637</v>
      </c>
      <c r="G3549" s="130"/>
      <c r="H3549" s="10">
        <v>184000</v>
      </c>
      <c r="I3549" s="10">
        <f t="shared" si="242"/>
        <v>0</v>
      </c>
      <c r="J3549" s="79" t="e">
        <f t="shared" si="222"/>
        <v>#VALUE!</v>
      </c>
      <c r="K3549" s="106"/>
      <c r="L3549" s="141"/>
      <c r="M3549" s="132"/>
      <c r="N3549" s="133"/>
      <c r="O3549" s="4"/>
      <c r="P3549" s="4"/>
      <c r="Q3549" s="4"/>
      <c r="R3549" s="4"/>
      <c r="S3549" s="4"/>
      <c r="T3549" s="4"/>
      <c r="U3549" s="4"/>
      <c r="V3549" s="4"/>
      <c r="W3549" s="4"/>
      <c r="X3549" s="4"/>
    </row>
    <row r="3550" spans="1:24" ht="14.25" customHeight="1">
      <c r="A3550" s="4"/>
      <c r="B3550" s="125">
        <v>46199</v>
      </c>
      <c r="C3550" s="126" t="s">
        <v>1636</v>
      </c>
      <c r="D3550" s="68" t="s">
        <v>158</v>
      </c>
      <c r="E3550" s="10" t="str">
        <f>TRIM(VLOOKUP(D3550,TB!$B$9:$C$1500,2,FALSE))</f>
        <v>Mandiri TBB IDR</v>
      </c>
      <c r="F3550" s="142" t="s">
        <v>1637</v>
      </c>
      <c r="G3550" s="130"/>
      <c r="H3550" s="10"/>
      <c r="I3550" s="10">
        <f t="shared" si="242"/>
        <v>184000</v>
      </c>
      <c r="J3550" s="79" t="e">
        <f t="shared" si="222"/>
        <v>#VALUE!</v>
      </c>
      <c r="K3550" s="106"/>
      <c r="L3550" s="141"/>
      <c r="M3550" s="132"/>
      <c r="N3550" s="133"/>
      <c r="O3550" s="4"/>
      <c r="P3550" s="4"/>
      <c r="Q3550" s="4"/>
      <c r="R3550" s="4"/>
      <c r="S3550" s="4"/>
      <c r="T3550" s="4"/>
      <c r="U3550" s="4"/>
      <c r="V3550" s="4"/>
      <c r="W3550" s="4"/>
      <c r="X3550" s="4"/>
    </row>
    <row r="3551" spans="1:24" ht="14.25" customHeight="1">
      <c r="A3551" s="4"/>
      <c r="B3551" s="125"/>
      <c r="C3551" s="126"/>
      <c r="D3551" s="159"/>
      <c r="E3551" s="10" t="e">
        <f>TRIM(VLOOKUP(D3551,TB!$B$9:$C$1500,2,FALSE))</f>
        <v>#N/A</v>
      </c>
      <c r="F3551" s="142"/>
      <c r="G3551" s="130"/>
      <c r="H3551" s="10"/>
      <c r="I3551" s="10">
        <f t="shared" si="242"/>
        <v>0</v>
      </c>
      <c r="J3551" s="79" t="e">
        <f t="shared" si="222"/>
        <v>#VALUE!</v>
      </c>
      <c r="K3551" s="106"/>
      <c r="L3551" s="141"/>
      <c r="M3551" s="132"/>
      <c r="N3551" s="133"/>
      <c r="O3551" s="4"/>
      <c r="P3551" s="4"/>
      <c r="Q3551" s="4"/>
      <c r="R3551" s="4"/>
      <c r="S3551" s="4"/>
      <c r="T3551" s="4"/>
      <c r="U3551" s="4"/>
      <c r="V3551" s="4"/>
      <c r="W3551" s="4"/>
      <c r="X3551" s="4"/>
    </row>
    <row r="3552" spans="1:24" ht="14.25" customHeight="1">
      <c r="A3552" s="4"/>
      <c r="B3552" s="125">
        <v>46199</v>
      </c>
      <c r="C3552" s="126" t="s">
        <v>1638</v>
      </c>
      <c r="D3552" s="68" t="s">
        <v>1595</v>
      </c>
      <c r="E3552" s="10" t="str">
        <f>TRIM(VLOOKUP(D3552,TB!$B$9:$C$1500,2,FALSE))</f>
        <v>Salaries payable</v>
      </c>
      <c r="F3552" s="142" t="s">
        <v>1639</v>
      </c>
      <c r="G3552" s="130"/>
      <c r="H3552" s="10">
        <v>46000</v>
      </c>
      <c r="I3552" s="10">
        <f t="shared" si="242"/>
        <v>0</v>
      </c>
      <c r="J3552" s="79" t="e">
        <f t="shared" si="222"/>
        <v>#VALUE!</v>
      </c>
      <c r="K3552" s="106"/>
      <c r="L3552" s="141"/>
      <c r="M3552" s="132"/>
      <c r="N3552" s="133"/>
      <c r="O3552" s="4"/>
      <c r="P3552" s="4"/>
      <c r="Q3552" s="4"/>
      <c r="R3552" s="4"/>
      <c r="S3552" s="4"/>
      <c r="T3552" s="4"/>
      <c r="U3552" s="4"/>
      <c r="V3552" s="4"/>
      <c r="W3552" s="4"/>
      <c r="X3552" s="4"/>
    </row>
    <row r="3553" spans="1:24" ht="14.25" customHeight="1">
      <c r="A3553" s="4"/>
      <c r="B3553" s="125">
        <v>46199</v>
      </c>
      <c r="C3553" s="126" t="s">
        <v>1638</v>
      </c>
      <c r="D3553" s="68" t="s">
        <v>158</v>
      </c>
      <c r="E3553" s="10" t="str">
        <f>TRIM(VLOOKUP(D3553,TB!$B$9:$C$1500,2,FALSE))</f>
        <v>Mandiri TBB IDR</v>
      </c>
      <c r="F3553" s="142" t="s">
        <v>1639</v>
      </c>
      <c r="G3553" s="130"/>
      <c r="H3553" s="10"/>
      <c r="I3553" s="10">
        <f t="shared" si="242"/>
        <v>46000</v>
      </c>
      <c r="J3553" s="79" t="e">
        <f t="shared" si="222"/>
        <v>#VALUE!</v>
      </c>
      <c r="K3553" s="106"/>
      <c r="L3553" s="141"/>
      <c r="M3553" s="132"/>
      <c r="N3553" s="133"/>
      <c r="O3553" s="4"/>
      <c r="P3553" s="4"/>
      <c r="Q3553" s="4"/>
      <c r="R3553" s="4"/>
      <c r="S3553" s="4"/>
      <c r="T3553" s="4"/>
      <c r="U3553" s="4"/>
      <c r="V3553" s="4"/>
      <c r="W3553" s="4"/>
      <c r="X3553" s="4"/>
    </row>
    <row r="3554" spans="1:24" ht="14.25" customHeight="1">
      <c r="A3554" s="4"/>
      <c r="B3554" s="125"/>
      <c r="C3554" s="126"/>
      <c r="D3554" s="159"/>
      <c r="E3554" s="10" t="e">
        <f>TRIM(VLOOKUP(D3554,TB!$B$9:$C$1500,2,FALSE))</f>
        <v>#N/A</v>
      </c>
      <c r="F3554" s="142"/>
      <c r="G3554" s="130"/>
      <c r="H3554" s="10"/>
      <c r="I3554" s="10">
        <f t="shared" si="242"/>
        <v>0</v>
      </c>
      <c r="J3554" s="79" t="e">
        <f t="shared" si="222"/>
        <v>#VALUE!</v>
      </c>
      <c r="K3554" s="106"/>
      <c r="L3554" s="141"/>
      <c r="M3554" s="132"/>
      <c r="N3554" s="133"/>
      <c r="O3554" s="4"/>
      <c r="P3554" s="4"/>
      <c r="Q3554" s="4"/>
      <c r="R3554" s="4"/>
      <c r="S3554" s="4"/>
      <c r="T3554" s="4"/>
      <c r="U3554" s="4"/>
      <c r="V3554" s="4"/>
      <c r="W3554" s="4"/>
      <c r="X3554" s="4"/>
    </row>
    <row r="3555" spans="1:24" ht="14.25" customHeight="1">
      <c r="A3555" s="4"/>
      <c r="B3555" s="125">
        <v>46199</v>
      </c>
      <c r="C3555" s="126" t="s">
        <v>1640</v>
      </c>
      <c r="D3555" s="68" t="s">
        <v>1595</v>
      </c>
      <c r="E3555" s="10" t="str">
        <f>TRIM(VLOOKUP(D3555,TB!$B$9:$C$1500,2,FALSE))</f>
        <v>Salaries payable</v>
      </c>
      <c r="F3555" s="142" t="s">
        <v>1641</v>
      </c>
      <c r="G3555" s="130"/>
      <c r="H3555" s="10">
        <v>150000</v>
      </c>
      <c r="I3555" s="10">
        <f t="shared" si="242"/>
        <v>0</v>
      </c>
      <c r="J3555" s="79" t="e">
        <f t="shared" si="222"/>
        <v>#VALUE!</v>
      </c>
      <c r="K3555" s="106"/>
      <c r="L3555" s="141"/>
      <c r="M3555" s="132"/>
      <c r="N3555" s="133"/>
      <c r="O3555" s="4"/>
      <c r="P3555" s="4"/>
      <c r="Q3555" s="4"/>
      <c r="R3555" s="4"/>
      <c r="S3555" s="4"/>
      <c r="T3555" s="4"/>
      <c r="U3555" s="4"/>
      <c r="V3555" s="4"/>
      <c r="W3555" s="4"/>
      <c r="X3555" s="4"/>
    </row>
    <row r="3556" spans="1:24" ht="14.25" customHeight="1">
      <c r="A3556" s="4"/>
      <c r="B3556" s="125">
        <v>46199</v>
      </c>
      <c r="C3556" s="126" t="s">
        <v>1640</v>
      </c>
      <c r="D3556" s="68" t="s">
        <v>158</v>
      </c>
      <c r="E3556" s="10" t="str">
        <f>TRIM(VLOOKUP(D3556,TB!$B$9:$C$1500,2,FALSE))</f>
        <v>Mandiri TBB IDR</v>
      </c>
      <c r="F3556" s="142" t="s">
        <v>1641</v>
      </c>
      <c r="G3556" s="130"/>
      <c r="H3556" s="10"/>
      <c r="I3556" s="10">
        <f t="shared" si="242"/>
        <v>150000</v>
      </c>
      <c r="J3556" s="79" t="e">
        <f t="shared" si="222"/>
        <v>#VALUE!</v>
      </c>
      <c r="K3556" s="106"/>
      <c r="L3556" s="141"/>
      <c r="M3556" s="132"/>
      <c r="N3556" s="133"/>
      <c r="O3556" s="4"/>
      <c r="P3556" s="4"/>
      <c r="Q3556" s="4"/>
      <c r="R3556" s="4"/>
      <c r="S3556" s="4"/>
      <c r="T3556" s="4"/>
      <c r="U3556" s="4"/>
      <c r="V3556" s="4"/>
      <c r="W3556" s="4"/>
      <c r="X3556" s="4"/>
    </row>
    <row r="3557" spans="1:24" ht="14.25" customHeight="1">
      <c r="A3557" s="4"/>
      <c r="B3557" s="125"/>
      <c r="C3557" s="126"/>
      <c r="D3557" s="159"/>
      <c r="E3557" s="10" t="e">
        <f>TRIM(VLOOKUP(D3557,TB!$B$9:$C$1500,2,FALSE))</f>
        <v>#N/A</v>
      </c>
      <c r="F3557" s="142"/>
      <c r="G3557" s="130"/>
      <c r="H3557" s="10"/>
      <c r="I3557" s="10">
        <f t="shared" si="242"/>
        <v>0</v>
      </c>
      <c r="J3557" s="79" t="e">
        <f t="shared" si="222"/>
        <v>#VALUE!</v>
      </c>
      <c r="K3557" s="106"/>
      <c r="L3557" s="141"/>
      <c r="M3557" s="132"/>
      <c r="N3557" s="133"/>
      <c r="O3557" s="4"/>
      <c r="P3557" s="4"/>
      <c r="Q3557" s="4"/>
      <c r="R3557" s="4"/>
      <c r="S3557" s="4"/>
      <c r="T3557" s="4"/>
      <c r="U3557" s="4"/>
      <c r="V3557" s="4"/>
      <c r="W3557" s="4"/>
      <c r="X3557" s="4"/>
    </row>
    <row r="3558" spans="1:24" ht="14.25" customHeight="1">
      <c r="A3558" s="4"/>
      <c r="B3558" s="125">
        <v>46199</v>
      </c>
      <c r="C3558" s="126" t="s">
        <v>1642</v>
      </c>
      <c r="D3558" s="68" t="s">
        <v>1595</v>
      </c>
      <c r="E3558" s="10" t="str">
        <f>TRIM(VLOOKUP(D3558,TB!$B$9:$C$1500,2,FALSE))</f>
        <v>Salaries payable</v>
      </c>
      <c r="F3558" s="142" t="s">
        <v>1643</v>
      </c>
      <c r="G3558" s="130"/>
      <c r="H3558" s="10">
        <v>23000</v>
      </c>
      <c r="I3558" s="10">
        <f t="shared" si="242"/>
        <v>0</v>
      </c>
      <c r="J3558" s="79" t="e">
        <f t="shared" si="222"/>
        <v>#VALUE!</v>
      </c>
      <c r="K3558" s="106"/>
      <c r="L3558" s="141"/>
      <c r="M3558" s="132"/>
      <c r="N3558" s="133"/>
      <c r="O3558" s="4"/>
      <c r="P3558" s="4"/>
      <c r="Q3558" s="4"/>
      <c r="R3558" s="4"/>
      <c r="S3558" s="4"/>
      <c r="T3558" s="4"/>
      <c r="U3558" s="4"/>
      <c r="V3558" s="4"/>
      <c r="W3558" s="4"/>
      <c r="X3558" s="4"/>
    </row>
    <row r="3559" spans="1:24" ht="14.25" customHeight="1">
      <c r="A3559" s="4"/>
      <c r="B3559" s="125">
        <v>46199</v>
      </c>
      <c r="C3559" s="126" t="s">
        <v>1642</v>
      </c>
      <c r="D3559" s="68" t="s">
        <v>158</v>
      </c>
      <c r="E3559" s="10" t="str">
        <f>TRIM(VLOOKUP(D3559,TB!$B$9:$C$1500,2,FALSE))</f>
        <v>Mandiri TBB IDR</v>
      </c>
      <c r="F3559" s="142" t="s">
        <v>1643</v>
      </c>
      <c r="G3559" s="130"/>
      <c r="H3559" s="10"/>
      <c r="I3559" s="10">
        <f t="shared" si="242"/>
        <v>23000</v>
      </c>
      <c r="J3559" s="79" t="e">
        <f t="shared" si="222"/>
        <v>#VALUE!</v>
      </c>
      <c r="K3559" s="106"/>
      <c r="L3559" s="141"/>
      <c r="M3559" s="132"/>
      <c r="N3559" s="133"/>
      <c r="O3559" s="4"/>
      <c r="P3559" s="4"/>
      <c r="Q3559" s="4"/>
      <c r="R3559" s="4"/>
      <c r="S3559" s="4"/>
      <c r="T3559" s="4"/>
      <c r="U3559" s="4"/>
      <c r="V3559" s="4"/>
      <c r="W3559" s="4"/>
      <c r="X3559" s="4"/>
    </row>
    <row r="3560" spans="1:24" ht="14.25" customHeight="1">
      <c r="A3560" s="4"/>
      <c r="B3560" s="125"/>
      <c r="C3560" s="126"/>
      <c r="D3560" s="159"/>
      <c r="E3560" s="10" t="e">
        <f>TRIM(VLOOKUP(D3560,TB!$B$9:$C$1500,2,FALSE))</f>
        <v>#N/A</v>
      </c>
      <c r="F3560" s="142"/>
      <c r="G3560" s="130"/>
      <c r="H3560" s="10"/>
      <c r="I3560" s="10">
        <f t="shared" si="242"/>
        <v>0</v>
      </c>
      <c r="J3560" s="79" t="e">
        <f t="shared" si="222"/>
        <v>#VALUE!</v>
      </c>
      <c r="K3560" s="106"/>
      <c r="L3560" s="141"/>
      <c r="M3560" s="132"/>
      <c r="N3560" s="133"/>
      <c r="O3560" s="4"/>
      <c r="P3560" s="4"/>
      <c r="Q3560" s="4"/>
      <c r="R3560" s="4"/>
      <c r="S3560" s="4"/>
      <c r="T3560" s="4"/>
      <c r="U3560" s="4"/>
      <c r="V3560" s="4"/>
      <c r="W3560" s="4"/>
      <c r="X3560" s="4"/>
    </row>
    <row r="3561" spans="1:24" ht="14.25" customHeight="1">
      <c r="A3561" s="4"/>
      <c r="B3561" s="125">
        <v>46199</v>
      </c>
      <c r="C3561" s="126" t="s">
        <v>1644</v>
      </c>
      <c r="D3561" s="68" t="s">
        <v>1595</v>
      </c>
      <c r="E3561" s="10" t="str">
        <f>TRIM(VLOOKUP(D3561,TB!$B$9:$C$1500,2,FALSE))</f>
        <v>Salaries payable</v>
      </c>
      <c r="F3561" s="142" t="s">
        <v>1645</v>
      </c>
      <c r="G3561" s="130"/>
      <c r="H3561" s="10">
        <v>23000</v>
      </c>
      <c r="I3561" s="10">
        <f t="shared" si="242"/>
        <v>0</v>
      </c>
      <c r="J3561" s="79" t="e">
        <f t="shared" si="222"/>
        <v>#VALUE!</v>
      </c>
      <c r="K3561" s="106"/>
      <c r="L3561" s="141"/>
      <c r="M3561" s="132"/>
      <c r="N3561" s="133"/>
      <c r="O3561" s="4"/>
      <c r="P3561" s="4"/>
      <c r="Q3561" s="4"/>
      <c r="R3561" s="4"/>
      <c r="S3561" s="4"/>
      <c r="T3561" s="4"/>
      <c r="U3561" s="4"/>
      <c r="V3561" s="4"/>
      <c r="W3561" s="4"/>
      <c r="X3561" s="4"/>
    </row>
    <row r="3562" spans="1:24" ht="14.25" customHeight="1">
      <c r="A3562" s="4"/>
      <c r="B3562" s="125">
        <v>46199</v>
      </c>
      <c r="C3562" s="126" t="s">
        <v>1644</v>
      </c>
      <c r="D3562" s="68" t="s">
        <v>158</v>
      </c>
      <c r="E3562" s="10" t="str">
        <f>TRIM(VLOOKUP(D3562,TB!$B$9:$C$1500,2,FALSE))</f>
        <v>Mandiri TBB IDR</v>
      </c>
      <c r="F3562" s="142" t="s">
        <v>1645</v>
      </c>
      <c r="G3562" s="130"/>
      <c r="H3562" s="10"/>
      <c r="I3562" s="10">
        <f t="shared" si="242"/>
        <v>23000</v>
      </c>
      <c r="J3562" s="79" t="e">
        <f t="shared" si="222"/>
        <v>#VALUE!</v>
      </c>
      <c r="K3562" s="106"/>
      <c r="L3562" s="141"/>
      <c r="M3562" s="132"/>
      <c r="N3562" s="133"/>
      <c r="O3562" s="4"/>
      <c r="P3562" s="4"/>
      <c r="Q3562" s="4"/>
      <c r="R3562" s="4"/>
      <c r="S3562" s="4"/>
      <c r="T3562" s="4"/>
      <c r="U3562" s="4"/>
      <c r="V3562" s="4"/>
      <c r="W3562" s="4"/>
      <c r="X3562" s="4"/>
    </row>
    <row r="3563" spans="1:24" ht="14.25" customHeight="1">
      <c r="A3563" s="4"/>
      <c r="B3563" s="125"/>
      <c r="C3563" s="126"/>
      <c r="D3563" s="159"/>
      <c r="E3563" s="10" t="e">
        <f>TRIM(VLOOKUP(D3563,TB!$B$9:$C$1500,2,FALSE))</f>
        <v>#N/A</v>
      </c>
      <c r="F3563" s="142"/>
      <c r="G3563" s="130"/>
      <c r="H3563" s="10"/>
      <c r="I3563" s="10">
        <f t="shared" si="242"/>
        <v>0</v>
      </c>
      <c r="J3563" s="79" t="e">
        <f t="shared" si="222"/>
        <v>#VALUE!</v>
      </c>
      <c r="K3563" s="106"/>
      <c r="L3563" s="141"/>
      <c r="M3563" s="132"/>
      <c r="N3563" s="133"/>
      <c r="O3563" s="4"/>
      <c r="P3563" s="4"/>
      <c r="Q3563" s="4"/>
      <c r="R3563" s="4"/>
      <c r="S3563" s="4"/>
      <c r="T3563" s="4"/>
      <c r="U3563" s="4"/>
      <c r="V3563" s="4"/>
      <c r="W3563" s="4"/>
      <c r="X3563" s="4"/>
    </row>
    <row r="3564" spans="1:24" ht="14.25" customHeight="1">
      <c r="A3564" s="4"/>
      <c r="B3564" s="125">
        <v>46199</v>
      </c>
      <c r="C3564" s="126" t="s">
        <v>1646</v>
      </c>
      <c r="D3564" s="68" t="s">
        <v>1595</v>
      </c>
      <c r="E3564" s="10" t="str">
        <f>TRIM(VLOOKUP(D3564,TB!$B$9:$C$1500,2,FALSE))</f>
        <v>Salaries payable</v>
      </c>
      <c r="F3564" s="142" t="s">
        <v>1647</v>
      </c>
      <c r="G3564" s="130"/>
      <c r="H3564" s="10">
        <v>23000</v>
      </c>
      <c r="I3564" s="10">
        <f t="shared" si="242"/>
        <v>0</v>
      </c>
      <c r="J3564" s="79" t="e">
        <f t="shared" si="222"/>
        <v>#VALUE!</v>
      </c>
      <c r="K3564" s="106"/>
      <c r="L3564" s="141"/>
      <c r="M3564" s="132"/>
      <c r="N3564" s="133"/>
      <c r="O3564" s="4"/>
      <c r="P3564" s="4"/>
      <c r="Q3564" s="4"/>
      <c r="R3564" s="4"/>
      <c r="S3564" s="4"/>
      <c r="T3564" s="4"/>
      <c r="U3564" s="4"/>
      <c r="V3564" s="4"/>
      <c r="W3564" s="4"/>
      <c r="X3564" s="4"/>
    </row>
    <row r="3565" spans="1:24" ht="14.25" customHeight="1">
      <c r="A3565" s="4"/>
      <c r="B3565" s="125">
        <v>46199</v>
      </c>
      <c r="C3565" s="126" t="s">
        <v>1646</v>
      </c>
      <c r="D3565" s="68" t="s">
        <v>158</v>
      </c>
      <c r="E3565" s="10" t="str">
        <f>TRIM(VLOOKUP(D3565,TB!$B$9:$C$1500,2,FALSE))</f>
        <v>Mandiri TBB IDR</v>
      </c>
      <c r="F3565" s="142" t="s">
        <v>1647</v>
      </c>
      <c r="G3565" s="130"/>
      <c r="H3565" s="10"/>
      <c r="I3565" s="10">
        <f t="shared" si="242"/>
        <v>23000</v>
      </c>
      <c r="J3565" s="79" t="e">
        <f t="shared" si="222"/>
        <v>#VALUE!</v>
      </c>
      <c r="K3565" s="106"/>
      <c r="L3565" s="141"/>
      <c r="M3565" s="132"/>
      <c r="N3565" s="133"/>
      <c r="O3565" s="4"/>
      <c r="P3565" s="4"/>
      <c r="Q3565" s="4"/>
      <c r="R3565" s="4"/>
      <c r="S3565" s="4"/>
      <c r="T3565" s="4"/>
      <c r="U3565" s="4"/>
      <c r="V3565" s="4"/>
      <c r="W3565" s="4"/>
      <c r="X3565" s="4"/>
    </row>
    <row r="3566" spans="1:24" ht="14.25" customHeight="1">
      <c r="A3566" s="4"/>
      <c r="B3566" s="125"/>
      <c r="C3566" s="126"/>
      <c r="D3566" s="159"/>
      <c r="E3566" s="10" t="e">
        <f>TRIM(VLOOKUP(D3566,TB!$B$9:$C$1500,2,FALSE))</f>
        <v>#N/A</v>
      </c>
      <c r="F3566" s="142"/>
      <c r="G3566" s="130"/>
      <c r="H3566" s="10"/>
      <c r="I3566" s="10">
        <f t="shared" si="242"/>
        <v>0</v>
      </c>
      <c r="J3566" s="79" t="e">
        <f t="shared" si="222"/>
        <v>#VALUE!</v>
      </c>
      <c r="K3566" s="106"/>
      <c r="L3566" s="141"/>
      <c r="M3566" s="132"/>
      <c r="N3566" s="133"/>
      <c r="O3566" s="4"/>
      <c r="P3566" s="4"/>
      <c r="Q3566" s="4"/>
      <c r="R3566" s="4"/>
      <c r="S3566" s="4"/>
      <c r="T3566" s="4"/>
      <c r="U3566" s="4"/>
      <c r="V3566" s="4"/>
      <c r="W3566" s="4"/>
      <c r="X3566" s="4"/>
    </row>
    <row r="3567" spans="1:24" ht="14.25" customHeight="1">
      <c r="A3567" s="4"/>
      <c r="B3567" s="125">
        <v>46199</v>
      </c>
      <c r="C3567" s="126" t="s">
        <v>1648</v>
      </c>
      <c r="D3567" s="68" t="s">
        <v>1595</v>
      </c>
      <c r="E3567" s="10" t="str">
        <f>TRIM(VLOOKUP(D3567,TB!$B$9:$C$1500,2,FALSE))</f>
        <v>Salaries payable</v>
      </c>
      <c r="F3567" s="142" t="s">
        <v>1649</v>
      </c>
      <c r="G3567" s="130"/>
      <c r="H3567" s="10">
        <v>69000</v>
      </c>
      <c r="I3567" s="10">
        <f t="shared" si="242"/>
        <v>0</v>
      </c>
      <c r="J3567" s="79" t="e">
        <f t="shared" si="222"/>
        <v>#VALUE!</v>
      </c>
      <c r="K3567" s="106"/>
      <c r="L3567" s="141"/>
      <c r="M3567" s="132"/>
      <c r="N3567" s="133"/>
      <c r="O3567" s="4"/>
      <c r="P3567" s="4"/>
      <c r="Q3567" s="4"/>
      <c r="R3567" s="4"/>
      <c r="S3567" s="4"/>
      <c r="T3567" s="4"/>
      <c r="U3567" s="4"/>
      <c r="V3567" s="4"/>
      <c r="W3567" s="4"/>
      <c r="X3567" s="4"/>
    </row>
    <row r="3568" spans="1:24" ht="14.25" customHeight="1">
      <c r="A3568" s="4"/>
      <c r="B3568" s="125">
        <v>46199</v>
      </c>
      <c r="C3568" s="126" t="s">
        <v>1648</v>
      </c>
      <c r="D3568" s="68" t="s">
        <v>158</v>
      </c>
      <c r="E3568" s="10" t="str">
        <f>TRIM(VLOOKUP(D3568,TB!$B$9:$C$1500,2,FALSE))</f>
        <v>Mandiri TBB IDR</v>
      </c>
      <c r="F3568" s="142" t="s">
        <v>1649</v>
      </c>
      <c r="G3568" s="130"/>
      <c r="H3568" s="10"/>
      <c r="I3568" s="10">
        <f t="shared" si="242"/>
        <v>69000</v>
      </c>
      <c r="J3568" s="79" t="e">
        <f t="shared" si="222"/>
        <v>#VALUE!</v>
      </c>
      <c r="K3568" s="106"/>
      <c r="L3568" s="141"/>
      <c r="M3568" s="132"/>
      <c r="N3568" s="133"/>
      <c r="O3568" s="4"/>
      <c r="P3568" s="4"/>
      <c r="Q3568" s="4"/>
      <c r="R3568" s="4"/>
      <c r="S3568" s="4"/>
      <c r="T3568" s="4"/>
      <c r="U3568" s="4"/>
      <c r="V3568" s="4"/>
      <c r="W3568" s="4"/>
      <c r="X3568" s="4"/>
    </row>
    <row r="3569" spans="1:24" ht="14.25" customHeight="1">
      <c r="A3569" s="4"/>
      <c r="B3569" s="125"/>
      <c r="C3569" s="126"/>
      <c r="D3569" s="159"/>
      <c r="E3569" s="10" t="e">
        <f>TRIM(VLOOKUP(D3569,TB!$B$9:$C$1500,2,FALSE))</f>
        <v>#N/A</v>
      </c>
      <c r="F3569" s="142"/>
      <c r="G3569" s="130"/>
      <c r="H3569" s="10"/>
      <c r="I3569" s="10">
        <f t="shared" si="242"/>
        <v>0</v>
      </c>
      <c r="J3569" s="79" t="e">
        <f t="shared" si="222"/>
        <v>#VALUE!</v>
      </c>
      <c r="K3569" s="106"/>
      <c r="L3569" s="141"/>
      <c r="M3569" s="132"/>
      <c r="N3569" s="133"/>
      <c r="O3569" s="4"/>
      <c r="P3569" s="4"/>
      <c r="Q3569" s="4"/>
      <c r="R3569" s="4"/>
      <c r="S3569" s="4"/>
      <c r="T3569" s="4"/>
      <c r="U3569" s="4"/>
      <c r="V3569" s="4"/>
      <c r="W3569" s="4"/>
      <c r="X3569" s="4"/>
    </row>
    <row r="3570" spans="1:24" ht="14.25" customHeight="1">
      <c r="A3570" s="4"/>
      <c r="B3570" s="125">
        <v>46199</v>
      </c>
      <c r="C3570" s="126" t="s">
        <v>1650</v>
      </c>
      <c r="D3570" s="68" t="s">
        <v>1595</v>
      </c>
      <c r="E3570" s="10" t="str">
        <f>TRIM(VLOOKUP(D3570,TB!$B$9:$C$1500,2,FALSE))</f>
        <v>Salaries payable</v>
      </c>
      <c r="F3570" s="142" t="s">
        <v>1651</v>
      </c>
      <c r="G3570" s="130"/>
      <c r="H3570" s="10">
        <v>46000</v>
      </c>
      <c r="I3570" s="10">
        <f t="shared" si="242"/>
        <v>0</v>
      </c>
      <c r="J3570" s="79" t="e">
        <f t="shared" si="222"/>
        <v>#VALUE!</v>
      </c>
      <c r="K3570" s="106"/>
      <c r="L3570" s="141"/>
      <c r="M3570" s="132"/>
      <c r="N3570" s="133"/>
      <c r="O3570" s="4"/>
      <c r="P3570" s="4"/>
      <c r="Q3570" s="4"/>
      <c r="R3570" s="4"/>
      <c r="S3570" s="4"/>
      <c r="T3570" s="4"/>
      <c r="U3570" s="4"/>
      <c r="V3570" s="4"/>
      <c r="W3570" s="4"/>
      <c r="X3570" s="4"/>
    </row>
    <row r="3571" spans="1:24" ht="14.25" customHeight="1">
      <c r="A3571" s="4"/>
      <c r="B3571" s="125">
        <v>46199</v>
      </c>
      <c r="C3571" s="126" t="s">
        <v>1650</v>
      </c>
      <c r="D3571" s="68" t="s">
        <v>158</v>
      </c>
      <c r="E3571" s="10" t="str">
        <f>TRIM(VLOOKUP(D3571,TB!$B$9:$C$1500,2,FALSE))</f>
        <v>Mandiri TBB IDR</v>
      </c>
      <c r="F3571" s="142" t="s">
        <v>1651</v>
      </c>
      <c r="G3571" s="130"/>
      <c r="H3571" s="10"/>
      <c r="I3571" s="10">
        <f t="shared" si="242"/>
        <v>46000</v>
      </c>
      <c r="J3571" s="79" t="e">
        <f t="shared" si="222"/>
        <v>#VALUE!</v>
      </c>
      <c r="K3571" s="106"/>
      <c r="L3571" s="141"/>
      <c r="M3571" s="132"/>
      <c r="N3571" s="133"/>
      <c r="O3571" s="4"/>
      <c r="P3571" s="4"/>
      <c r="Q3571" s="4"/>
      <c r="R3571" s="4"/>
      <c r="S3571" s="4"/>
      <c r="T3571" s="4"/>
      <c r="U3571" s="4"/>
      <c r="V3571" s="4"/>
      <c r="W3571" s="4"/>
      <c r="X3571" s="4"/>
    </row>
    <row r="3572" spans="1:24" ht="14.25" customHeight="1">
      <c r="A3572" s="4"/>
      <c r="B3572" s="125"/>
      <c r="C3572" s="126"/>
      <c r="D3572" s="159"/>
      <c r="E3572" s="10" t="e">
        <f>TRIM(VLOOKUP(D3572,TB!$B$9:$C$1500,2,FALSE))</f>
        <v>#N/A</v>
      </c>
      <c r="F3572" s="142"/>
      <c r="G3572" s="130"/>
      <c r="H3572" s="10"/>
      <c r="I3572" s="10">
        <f t="shared" si="242"/>
        <v>0</v>
      </c>
      <c r="J3572" s="79" t="e">
        <f t="shared" si="222"/>
        <v>#VALUE!</v>
      </c>
      <c r="K3572" s="106"/>
      <c r="L3572" s="141"/>
      <c r="M3572" s="132"/>
      <c r="N3572" s="133"/>
      <c r="O3572" s="4"/>
      <c r="P3572" s="4"/>
      <c r="Q3572" s="4"/>
      <c r="R3572" s="4"/>
      <c r="S3572" s="4"/>
      <c r="T3572" s="4"/>
      <c r="U3572" s="4"/>
      <c r="V3572" s="4"/>
      <c r="W3572" s="4"/>
      <c r="X3572" s="4"/>
    </row>
    <row r="3573" spans="1:24" ht="14.25" customHeight="1">
      <c r="A3573" s="4"/>
      <c r="B3573" s="125">
        <v>46199</v>
      </c>
      <c r="C3573" s="126" t="s">
        <v>1652</v>
      </c>
      <c r="D3573" s="68" t="s">
        <v>1595</v>
      </c>
      <c r="E3573" s="10" t="str">
        <f>TRIM(VLOOKUP(D3573,TB!$B$9:$C$1500,2,FALSE))</f>
        <v>Salaries payable</v>
      </c>
      <c r="F3573" s="142" t="s">
        <v>1653</v>
      </c>
      <c r="G3573" s="130"/>
      <c r="H3573" s="10">
        <v>69000</v>
      </c>
      <c r="I3573" s="10">
        <f t="shared" si="242"/>
        <v>0</v>
      </c>
      <c r="J3573" s="79" t="e">
        <f t="shared" si="222"/>
        <v>#VALUE!</v>
      </c>
      <c r="K3573" s="106"/>
      <c r="L3573" s="141"/>
      <c r="M3573" s="132"/>
      <c r="N3573" s="133"/>
      <c r="O3573" s="4"/>
      <c r="P3573" s="4"/>
      <c r="Q3573" s="4"/>
      <c r="R3573" s="4"/>
      <c r="S3573" s="4"/>
      <c r="T3573" s="4"/>
      <c r="U3573" s="4"/>
      <c r="V3573" s="4"/>
      <c r="W3573" s="4"/>
      <c r="X3573" s="4"/>
    </row>
    <row r="3574" spans="1:24" ht="14.25" customHeight="1">
      <c r="A3574" s="4"/>
      <c r="B3574" s="125">
        <v>46199</v>
      </c>
      <c r="C3574" s="126" t="s">
        <v>1652</v>
      </c>
      <c r="D3574" s="68" t="s">
        <v>158</v>
      </c>
      <c r="E3574" s="10" t="str">
        <f>TRIM(VLOOKUP(D3574,TB!$B$9:$C$1500,2,FALSE))</f>
        <v>Mandiri TBB IDR</v>
      </c>
      <c r="F3574" s="142" t="s">
        <v>1653</v>
      </c>
      <c r="G3574" s="130"/>
      <c r="H3574" s="10"/>
      <c r="I3574" s="10">
        <f t="shared" si="242"/>
        <v>69000</v>
      </c>
      <c r="J3574" s="79" t="e">
        <f t="shared" si="222"/>
        <v>#VALUE!</v>
      </c>
      <c r="K3574" s="106"/>
      <c r="L3574" s="141"/>
      <c r="M3574" s="132"/>
      <c r="N3574" s="133"/>
      <c r="O3574" s="4"/>
      <c r="P3574" s="4"/>
      <c r="Q3574" s="4"/>
      <c r="R3574" s="4"/>
      <c r="S3574" s="4"/>
      <c r="T3574" s="4"/>
      <c r="U3574" s="4"/>
      <c r="V3574" s="4"/>
      <c r="W3574" s="4"/>
      <c r="X3574" s="4"/>
    </row>
    <row r="3575" spans="1:24" ht="14.25" customHeight="1">
      <c r="A3575" s="4"/>
      <c r="B3575" s="125"/>
      <c r="C3575" s="126"/>
      <c r="D3575" s="159"/>
      <c r="E3575" s="10" t="e">
        <f>TRIM(VLOOKUP(D3575,TB!$B$9:$C$1500,2,FALSE))</f>
        <v>#N/A</v>
      </c>
      <c r="F3575" s="142"/>
      <c r="G3575" s="130"/>
      <c r="H3575" s="10"/>
      <c r="I3575" s="10">
        <f t="shared" si="242"/>
        <v>0</v>
      </c>
      <c r="J3575" s="79" t="e">
        <f t="shared" si="222"/>
        <v>#VALUE!</v>
      </c>
      <c r="K3575" s="106"/>
      <c r="L3575" s="141"/>
      <c r="M3575" s="132"/>
      <c r="N3575" s="133"/>
      <c r="O3575" s="4"/>
      <c r="P3575" s="4"/>
      <c r="Q3575" s="4"/>
      <c r="R3575" s="4"/>
      <c r="S3575" s="4"/>
      <c r="T3575" s="4"/>
      <c r="U3575" s="4"/>
      <c r="V3575" s="4"/>
      <c r="W3575" s="4"/>
      <c r="X3575" s="4"/>
    </row>
    <row r="3576" spans="1:24" ht="14.25" customHeight="1">
      <c r="A3576" s="4"/>
      <c r="B3576" s="125">
        <v>46199</v>
      </c>
      <c r="C3576" s="126" t="s">
        <v>1654</v>
      </c>
      <c r="D3576" s="68" t="s">
        <v>130</v>
      </c>
      <c r="E3576" s="10" t="str">
        <f>TRIM(VLOOKUP(D3576,TB!$B$9:$C$1500,2,FALSE))</f>
        <v>BCA TBB</v>
      </c>
      <c r="F3576" s="142" t="s">
        <v>1247</v>
      </c>
      <c r="G3576" s="130"/>
      <c r="H3576" s="10">
        <v>37000000</v>
      </c>
      <c r="I3576" s="10">
        <f t="shared" si="242"/>
        <v>0</v>
      </c>
      <c r="J3576" s="79" t="e">
        <f t="shared" si="222"/>
        <v>#VALUE!</v>
      </c>
      <c r="K3576" s="106"/>
      <c r="L3576" s="141"/>
      <c r="M3576" s="132"/>
      <c r="N3576" s="133"/>
      <c r="O3576" s="4"/>
      <c r="P3576" s="4"/>
      <c r="Q3576" s="4"/>
      <c r="R3576" s="4"/>
      <c r="S3576" s="4"/>
      <c r="T3576" s="4"/>
      <c r="U3576" s="4"/>
      <c r="V3576" s="4"/>
      <c r="W3576" s="4"/>
      <c r="X3576" s="4"/>
    </row>
    <row r="3577" spans="1:24" ht="14.25" customHeight="1">
      <c r="A3577" s="4"/>
      <c r="B3577" s="125">
        <v>46199</v>
      </c>
      <c r="C3577" s="126" t="s">
        <v>1654</v>
      </c>
      <c r="D3577" s="15" t="s">
        <v>124</v>
      </c>
      <c r="E3577" s="10" t="str">
        <f>TRIM(VLOOKUP(D3577,TB!$B$9:$C$1500,2,FALSE))</f>
        <v>Bank charges</v>
      </c>
      <c r="F3577" s="142" t="s">
        <v>1247</v>
      </c>
      <c r="G3577" s="130"/>
      <c r="H3577" s="10">
        <v>2500</v>
      </c>
      <c r="I3577" s="10"/>
      <c r="J3577" s="79" t="e">
        <f t="shared" si="222"/>
        <v>#VALUE!</v>
      </c>
      <c r="K3577" s="106"/>
      <c r="L3577" s="141"/>
      <c r="M3577" s="132"/>
      <c r="N3577" s="133"/>
      <c r="O3577" s="4"/>
      <c r="P3577" s="4"/>
      <c r="Q3577" s="4"/>
      <c r="R3577" s="4"/>
      <c r="S3577" s="4"/>
      <c r="T3577" s="4"/>
      <c r="U3577" s="4"/>
      <c r="V3577" s="4"/>
      <c r="W3577" s="4"/>
      <c r="X3577" s="4"/>
    </row>
    <row r="3578" spans="1:24" ht="14.25" customHeight="1">
      <c r="A3578" s="4"/>
      <c r="B3578" s="125">
        <v>46199</v>
      </c>
      <c r="C3578" s="126" t="s">
        <v>1654</v>
      </c>
      <c r="D3578" s="68" t="s">
        <v>158</v>
      </c>
      <c r="E3578" s="10" t="str">
        <f>TRIM(VLOOKUP(D3578,TB!$B$9:$C$1500,2,FALSE))</f>
        <v>Mandiri TBB IDR</v>
      </c>
      <c r="F3578" s="142" t="s">
        <v>1247</v>
      </c>
      <c r="G3578" s="130"/>
      <c r="H3578" s="10"/>
      <c r="I3578" s="10">
        <f>SUM(H3576:H3577)</f>
        <v>37002500</v>
      </c>
      <c r="J3578" s="79" t="e">
        <f t="shared" si="222"/>
        <v>#VALUE!</v>
      </c>
      <c r="K3578" s="106"/>
      <c r="L3578" s="141"/>
      <c r="M3578" s="132"/>
      <c r="N3578" s="133"/>
      <c r="O3578" s="4"/>
      <c r="P3578" s="4"/>
      <c r="Q3578" s="4"/>
      <c r="R3578" s="4"/>
      <c r="S3578" s="4"/>
      <c r="T3578" s="4"/>
      <c r="U3578" s="4"/>
      <c r="V3578" s="4"/>
      <c r="W3578" s="4"/>
      <c r="X3578" s="4"/>
    </row>
    <row r="3579" spans="1:24" ht="14.25" customHeight="1">
      <c r="A3579" s="4"/>
      <c r="B3579" s="125"/>
      <c r="C3579" s="126"/>
      <c r="D3579" s="159"/>
      <c r="E3579" s="10" t="e">
        <f>TRIM(VLOOKUP(D3579,TB!$B$9:$C$1500,2,FALSE))</f>
        <v>#N/A</v>
      </c>
      <c r="F3579" s="142"/>
      <c r="G3579" s="130"/>
      <c r="H3579" s="10"/>
      <c r="I3579" s="10">
        <f t="shared" ref="I3579:I3580" si="243">SUM(H3578)</f>
        <v>0</v>
      </c>
      <c r="J3579" s="79" t="e">
        <f t="shared" si="222"/>
        <v>#VALUE!</v>
      </c>
      <c r="K3579" s="106"/>
      <c r="L3579" s="141"/>
      <c r="M3579" s="132"/>
      <c r="N3579" s="133"/>
      <c r="O3579" s="4"/>
      <c r="P3579" s="4"/>
      <c r="Q3579" s="4"/>
      <c r="R3579" s="4"/>
      <c r="S3579" s="4"/>
      <c r="T3579" s="4"/>
      <c r="U3579" s="4"/>
      <c r="V3579" s="4"/>
      <c r="W3579" s="4"/>
      <c r="X3579" s="4"/>
    </row>
    <row r="3580" spans="1:24" ht="14.25" customHeight="1">
      <c r="A3580" s="4"/>
      <c r="B3580" s="125">
        <v>46202</v>
      </c>
      <c r="C3580" s="126" t="s">
        <v>1655</v>
      </c>
      <c r="D3580" s="68" t="s">
        <v>158</v>
      </c>
      <c r="E3580" s="10" t="str">
        <f>TRIM(VLOOKUP(D3580,TB!$B$9:$C$1500,2,FALSE))</f>
        <v>Mandiri TBB IDR</v>
      </c>
      <c r="F3580" s="142" t="s">
        <v>1656</v>
      </c>
      <c r="G3580" s="130"/>
      <c r="H3580" s="10">
        <f>I3582-H3581</f>
        <v>28600858.02</v>
      </c>
      <c r="I3580" s="10">
        <f t="shared" si="243"/>
        <v>0</v>
      </c>
      <c r="J3580" s="79" t="e">
        <f t="shared" si="222"/>
        <v>#VALUE!</v>
      </c>
      <c r="K3580" s="106"/>
      <c r="L3580" s="141"/>
      <c r="M3580" s="132"/>
      <c r="N3580" s="133"/>
      <c r="O3580" s="4"/>
      <c r="P3580" s="4"/>
      <c r="Q3580" s="4"/>
      <c r="R3580" s="4"/>
      <c r="S3580" s="4"/>
      <c r="T3580" s="4"/>
      <c r="U3580" s="4"/>
      <c r="V3580" s="4"/>
      <c r="W3580" s="4"/>
      <c r="X3580" s="4"/>
    </row>
    <row r="3581" spans="1:24" ht="14.25" customHeight="1">
      <c r="A3581" s="4"/>
      <c r="B3581" s="125">
        <v>46202</v>
      </c>
      <c r="C3581" s="126" t="s">
        <v>1655</v>
      </c>
      <c r="D3581" s="15" t="s">
        <v>124</v>
      </c>
      <c r="E3581" s="10" t="str">
        <f>TRIM(VLOOKUP(D3581,TB!$B$9:$C$1500,2,FALSE))</f>
        <v>Bank charges</v>
      </c>
      <c r="F3581" s="142" t="s">
        <v>1656</v>
      </c>
      <c r="G3581" s="130"/>
      <c r="H3581" s="10">
        <f>1.8%*I3582</f>
        <v>524251.98000000004</v>
      </c>
      <c r="I3581" s="10"/>
      <c r="J3581" s="79" t="e">
        <f t="shared" si="222"/>
        <v>#VALUE!</v>
      </c>
      <c r="K3581" s="106"/>
      <c r="L3581" s="141"/>
      <c r="M3581" s="132"/>
      <c r="N3581" s="133"/>
      <c r="O3581" s="4"/>
      <c r="P3581" s="4"/>
      <c r="Q3581" s="4"/>
      <c r="R3581" s="4"/>
      <c r="S3581" s="4"/>
      <c r="T3581" s="4"/>
      <c r="U3581" s="4"/>
      <c r="V3581" s="4"/>
      <c r="W3581" s="4"/>
      <c r="X3581" s="4"/>
    </row>
    <row r="3582" spans="1:24" ht="14.25" customHeight="1">
      <c r="A3582" s="4"/>
      <c r="B3582" s="125">
        <v>46202</v>
      </c>
      <c r="C3582" s="126" t="s">
        <v>1655</v>
      </c>
      <c r="D3582" s="15" t="s">
        <v>48</v>
      </c>
      <c r="E3582" s="10" t="str">
        <f>TRIM(VLOOKUP(D3582,TB!$B$9:$C$1500,2,FALSE))</f>
        <v>Mandiri Card TBB</v>
      </c>
      <c r="F3582" s="142" t="s">
        <v>1656</v>
      </c>
      <c r="G3582" s="130"/>
      <c r="H3582" s="10"/>
      <c r="I3582" s="10">
        <v>29125110</v>
      </c>
      <c r="J3582" s="79" t="e">
        <f t="shared" si="222"/>
        <v>#VALUE!</v>
      </c>
      <c r="K3582" s="106"/>
      <c r="L3582" s="141"/>
      <c r="M3582" s="132"/>
      <c r="N3582" s="133"/>
      <c r="O3582" s="4"/>
      <c r="P3582" s="4"/>
      <c r="Q3582" s="4"/>
      <c r="R3582" s="4"/>
      <c r="S3582" s="4"/>
      <c r="T3582" s="4"/>
      <c r="U3582" s="4"/>
      <c r="V3582" s="4"/>
      <c r="W3582" s="4"/>
      <c r="X3582" s="4"/>
    </row>
    <row r="3583" spans="1:24" ht="14.25" customHeight="1">
      <c r="A3583" s="4"/>
      <c r="B3583" s="125"/>
      <c r="C3583" s="126"/>
      <c r="D3583" s="159"/>
      <c r="E3583" s="10" t="e">
        <f>TRIM(VLOOKUP(D3583,TB!$B$9:$C$1500,2,FALSE))</f>
        <v>#N/A</v>
      </c>
      <c r="F3583" s="142"/>
      <c r="G3583" s="130"/>
      <c r="H3583" s="10"/>
      <c r="I3583" s="10">
        <f t="shared" ref="I3583:I3584" si="244">SUM(H3582)</f>
        <v>0</v>
      </c>
      <c r="J3583" s="79" t="e">
        <f t="shared" si="222"/>
        <v>#VALUE!</v>
      </c>
      <c r="K3583" s="106"/>
      <c r="L3583" s="141"/>
      <c r="M3583" s="132"/>
      <c r="N3583" s="133"/>
      <c r="O3583" s="4"/>
      <c r="P3583" s="4"/>
      <c r="Q3583" s="4"/>
      <c r="R3583" s="4"/>
      <c r="S3583" s="4"/>
      <c r="T3583" s="4"/>
      <c r="U3583" s="4"/>
      <c r="V3583" s="4"/>
      <c r="W3583" s="4"/>
      <c r="X3583" s="4"/>
    </row>
    <row r="3584" spans="1:24" ht="14.25" customHeight="1">
      <c r="A3584" s="4"/>
      <c r="B3584" s="125">
        <v>46202</v>
      </c>
      <c r="C3584" s="126" t="s">
        <v>1657</v>
      </c>
      <c r="D3584" s="68" t="s">
        <v>158</v>
      </c>
      <c r="E3584" s="10" t="str">
        <f>TRIM(VLOOKUP(D3584,TB!$B$9:$C$1500,2,FALSE))</f>
        <v>Mandiri TBB IDR</v>
      </c>
      <c r="F3584" s="142" t="s">
        <v>1658</v>
      </c>
      <c r="G3584" s="130"/>
      <c r="H3584" s="10">
        <f>I3586-H3585</f>
        <v>3764269.176</v>
      </c>
      <c r="I3584" s="10">
        <f t="shared" si="244"/>
        <v>0</v>
      </c>
      <c r="J3584" s="79" t="e">
        <f t="shared" si="222"/>
        <v>#VALUE!</v>
      </c>
      <c r="K3584" s="106"/>
      <c r="L3584" s="141"/>
      <c r="M3584" s="132"/>
      <c r="N3584" s="133"/>
      <c r="O3584" s="4"/>
      <c r="P3584" s="4"/>
      <c r="Q3584" s="4"/>
      <c r="R3584" s="4"/>
      <c r="S3584" s="4"/>
      <c r="T3584" s="4"/>
      <c r="U3584" s="4"/>
      <c r="V3584" s="4"/>
      <c r="W3584" s="4"/>
      <c r="X3584" s="4"/>
    </row>
    <row r="3585" spans="1:24" ht="14.25" customHeight="1">
      <c r="A3585" s="4"/>
      <c r="B3585" s="125">
        <v>46202</v>
      </c>
      <c r="C3585" s="126" t="s">
        <v>1657</v>
      </c>
      <c r="D3585" s="15" t="s">
        <v>124</v>
      </c>
      <c r="E3585" s="10" t="str">
        <f>TRIM(VLOOKUP(D3585,TB!$B$9:$C$1500,2,FALSE))</f>
        <v>Bank charges</v>
      </c>
      <c r="F3585" s="142" t="s">
        <v>1658</v>
      </c>
      <c r="G3585" s="130"/>
      <c r="H3585" s="10">
        <f>1.8%*I3586</f>
        <v>68998.824000000008</v>
      </c>
      <c r="I3585" s="10"/>
      <c r="J3585" s="79" t="e">
        <f t="shared" si="222"/>
        <v>#VALUE!</v>
      </c>
      <c r="K3585" s="106"/>
      <c r="L3585" s="141"/>
      <c r="M3585" s="132"/>
      <c r="N3585" s="133"/>
      <c r="O3585" s="4"/>
      <c r="P3585" s="4"/>
      <c r="Q3585" s="4"/>
      <c r="R3585" s="4"/>
      <c r="S3585" s="4"/>
      <c r="T3585" s="4"/>
      <c r="U3585" s="4"/>
      <c r="V3585" s="4"/>
      <c r="W3585" s="4"/>
      <c r="X3585" s="4"/>
    </row>
    <row r="3586" spans="1:24" ht="14.25" customHeight="1">
      <c r="A3586" s="4"/>
      <c r="B3586" s="125">
        <v>46202</v>
      </c>
      <c r="C3586" s="126" t="s">
        <v>1657</v>
      </c>
      <c r="D3586" s="15" t="s">
        <v>48</v>
      </c>
      <c r="E3586" s="10" t="str">
        <f>TRIM(VLOOKUP(D3586,TB!$B$9:$C$1500,2,FALSE))</f>
        <v>Mandiri Card TBB</v>
      </c>
      <c r="F3586" s="142" t="s">
        <v>1658</v>
      </c>
      <c r="G3586" s="130"/>
      <c r="H3586" s="10"/>
      <c r="I3586" s="10">
        <v>3833268</v>
      </c>
      <c r="J3586" s="79" t="e">
        <f t="shared" si="222"/>
        <v>#VALUE!</v>
      </c>
      <c r="K3586" s="106"/>
      <c r="L3586" s="141"/>
      <c r="M3586" s="132"/>
      <c r="N3586" s="133"/>
      <c r="O3586" s="4"/>
      <c r="P3586" s="4"/>
      <c r="Q3586" s="4"/>
      <c r="R3586" s="4"/>
      <c r="S3586" s="4"/>
      <c r="T3586" s="4"/>
      <c r="U3586" s="4"/>
      <c r="V3586" s="4"/>
      <c r="W3586" s="4"/>
      <c r="X3586" s="4"/>
    </row>
    <row r="3587" spans="1:24" ht="14.25" customHeight="1">
      <c r="A3587" s="4"/>
      <c r="B3587" s="125"/>
      <c r="C3587" s="126"/>
      <c r="D3587" s="159"/>
      <c r="E3587" s="10" t="e">
        <f>TRIM(VLOOKUP(D3587,TB!$B$9:$C$1500,2,FALSE))</f>
        <v>#N/A</v>
      </c>
      <c r="F3587" s="142"/>
      <c r="G3587" s="130"/>
      <c r="H3587" s="10"/>
      <c r="I3587" s="10"/>
      <c r="J3587" s="79" t="e">
        <f t="shared" si="222"/>
        <v>#VALUE!</v>
      </c>
      <c r="K3587" s="106"/>
      <c r="L3587" s="141"/>
      <c r="M3587" s="132"/>
      <c r="N3587" s="133"/>
      <c r="O3587" s="4"/>
      <c r="P3587" s="4"/>
      <c r="Q3587" s="4"/>
      <c r="R3587" s="4"/>
      <c r="S3587" s="4"/>
      <c r="T3587" s="4"/>
      <c r="U3587" s="4"/>
      <c r="V3587" s="4"/>
      <c r="W3587" s="4"/>
      <c r="X3587" s="4"/>
    </row>
    <row r="3588" spans="1:24" ht="14.25" customHeight="1">
      <c r="A3588" s="4"/>
      <c r="B3588" s="125">
        <v>46202</v>
      </c>
      <c r="C3588" s="126" t="s">
        <v>1659</v>
      </c>
      <c r="D3588" s="68" t="s">
        <v>158</v>
      </c>
      <c r="E3588" s="10" t="str">
        <f>TRIM(VLOOKUP(D3588,TB!$B$9:$C$1500,2,FALSE))</f>
        <v>Mandiri TBB IDR</v>
      </c>
      <c r="F3588" s="142" t="s">
        <v>1660</v>
      </c>
      <c r="G3588" s="130"/>
      <c r="H3588" s="10">
        <f>I3590-H3589</f>
        <v>4587823.4759999998</v>
      </c>
      <c r="I3588" s="10"/>
      <c r="J3588" s="79" t="e">
        <f t="shared" si="222"/>
        <v>#VALUE!</v>
      </c>
      <c r="K3588" s="106"/>
      <c r="L3588" s="141"/>
      <c r="M3588" s="132"/>
      <c r="N3588" s="133"/>
      <c r="O3588" s="4"/>
      <c r="P3588" s="4"/>
      <c r="Q3588" s="4"/>
      <c r="R3588" s="4"/>
      <c r="S3588" s="4"/>
      <c r="T3588" s="4"/>
      <c r="U3588" s="4"/>
      <c r="V3588" s="4"/>
      <c r="W3588" s="4"/>
      <c r="X3588" s="4"/>
    </row>
    <row r="3589" spans="1:24" ht="14.25" customHeight="1">
      <c r="A3589" s="4"/>
      <c r="B3589" s="125">
        <v>46202</v>
      </c>
      <c r="C3589" s="126" t="s">
        <v>1659</v>
      </c>
      <c r="D3589" s="15" t="s">
        <v>124</v>
      </c>
      <c r="E3589" s="10" t="str">
        <f>TRIM(VLOOKUP(D3589,TB!$B$9:$C$1500,2,FALSE))</f>
        <v>Bank charges</v>
      </c>
      <c r="F3589" s="142" t="s">
        <v>1660</v>
      </c>
      <c r="G3589" s="130"/>
      <c r="H3589" s="10">
        <f>1.8%*I3590</f>
        <v>84094.524000000005</v>
      </c>
      <c r="I3589" s="10"/>
      <c r="J3589" s="79" t="e">
        <f t="shared" si="222"/>
        <v>#VALUE!</v>
      </c>
      <c r="K3589" s="106"/>
      <c r="L3589" s="141"/>
      <c r="M3589" s="132"/>
      <c r="N3589" s="133"/>
      <c r="O3589" s="4"/>
      <c r="P3589" s="4"/>
      <c r="Q3589" s="4"/>
      <c r="R3589" s="4"/>
      <c r="S3589" s="4"/>
      <c r="T3589" s="4"/>
      <c r="U3589" s="4"/>
      <c r="V3589" s="4"/>
      <c r="W3589" s="4"/>
      <c r="X3589" s="4"/>
    </row>
    <row r="3590" spans="1:24" ht="14.25" customHeight="1">
      <c r="A3590" s="4"/>
      <c r="B3590" s="125">
        <v>46202</v>
      </c>
      <c r="C3590" s="126" t="s">
        <v>1659</v>
      </c>
      <c r="D3590" s="15" t="s">
        <v>48</v>
      </c>
      <c r="E3590" s="10" t="str">
        <f>TRIM(VLOOKUP(D3590,TB!$B$9:$C$1500,2,FALSE))</f>
        <v>Mandiri Card TBB</v>
      </c>
      <c r="F3590" s="142" t="s">
        <v>1660</v>
      </c>
      <c r="G3590" s="130"/>
      <c r="H3590" s="10"/>
      <c r="I3590" s="10">
        <v>4671918</v>
      </c>
      <c r="J3590" s="79" t="e">
        <f t="shared" si="222"/>
        <v>#VALUE!</v>
      </c>
      <c r="K3590" s="106"/>
      <c r="L3590" s="141"/>
      <c r="M3590" s="132"/>
      <c r="N3590" s="133"/>
      <c r="O3590" s="4"/>
      <c r="P3590" s="4"/>
      <c r="Q3590" s="4"/>
      <c r="R3590" s="4"/>
      <c r="S3590" s="4"/>
      <c r="T3590" s="4"/>
      <c r="U3590" s="4"/>
      <c r="V3590" s="4"/>
      <c r="W3590" s="4"/>
      <c r="X3590" s="4"/>
    </row>
    <row r="3591" spans="1:24" ht="14.25" customHeight="1">
      <c r="A3591" s="4"/>
      <c r="B3591" s="125"/>
      <c r="C3591" s="126"/>
      <c r="D3591" s="159"/>
      <c r="E3591" s="10" t="e">
        <f>TRIM(VLOOKUP(D3591,TB!$B$9:$C$1500,2,FALSE))</f>
        <v>#N/A</v>
      </c>
      <c r="F3591" s="142"/>
      <c r="G3591" s="130"/>
      <c r="H3591" s="10"/>
      <c r="I3591" s="10"/>
      <c r="J3591" s="79" t="e">
        <f t="shared" si="222"/>
        <v>#VALUE!</v>
      </c>
      <c r="K3591" s="106"/>
      <c r="L3591" s="141"/>
      <c r="M3591" s="132"/>
      <c r="N3591" s="133"/>
      <c r="O3591" s="4"/>
      <c r="P3591" s="4"/>
      <c r="Q3591" s="4"/>
      <c r="R3591" s="4"/>
      <c r="S3591" s="4"/>
      <c r="T3591" s="4"/>
      <c r="U3591" s="4"/>
      <c r="V3591" s="4"/>
      <c r="W3591" s="4"/>
      <c r="X3591" s="4"/>
    </row>
    <row r="3592" spans="1:24" ht="14.25" customHeight="1">
      <c r="A3592" s="4"/>
      <c r="B3592" s="125">
        <v>46202</v>
      </c>
      <c r="C3592" s="126" t="s">
        <v>1661</v>
      </c>
      <c r="D3592" s="68" t="s">
        <v>158</v>
      </c>
      <c r="E3592" s="10" t="str">
        <f>TRIM(VLOOKUP(D3592,TB!$B$9:$C$1500,2,FALSE))</f>
        <v>Mandiri TBB IDR</v>
      </c>
      <c r="F3592" s="142" t="s">
        <v>1662</v>
      </c>
      <c r="G3592" s="130"/>
      <c r="H3592" s="10">
        <f>I3594-H3593</f>
        <v>7848360.04</v>
      </c>
      <c r="I3592" s="10"/>
      <c r="J3592" s="79" t="e">
        <f t="shared" si="222"/>
        <v>#VALUE!</v>
      </c>
      <c r="K3592" s="106"/>
      <c r="L3592" s="141"/>
      <c r="M3592" s="132"/>
      <c r="N3592" s="133"/>
      <c r="O3592" s="4"/>
      <c r="P3592" s="4"/>
      <c r="Q3592" s="4"/>
      <c r="R3592" s="4"/>
      <c r="S3592" s="4"/>
      <c r="T3592" s="4"/>
      <c r="U3592" s="4"/>
      <c r="V3592" s="4"/>
      <c r="W3592" s="4"/>
      <c r="X3592" s="4"/>
    </row>
    <row r="3593" spans="1:24" ht="14.25" customHeight="1">
      <c r="A3593" s="4"/>
      <c r="B3593" s="125">
        <v>46202</v>
      </c>
      <c r="C3593" s="126" t="s">
        <v>1661</v>
      </c>
      <c r="D3593" s="15" t="s">
        <v>124</v>
      </c>
      <c r="E3593" s="10" t="str">
        <f>TRIM(VLOOKUP(D3593,TB!$B$9:$C$1500,2,FALSE))</f>
        <v>Bank charges</v>
      </c>
      <c r="F3593" s="142" t="s">
        <v>1662</v>
      </c>
      <c r="G3593" s="130"/>
      <c r="H3593" s="10">
        <f>1.8%*I3594</f>
        <v>143859.96000000002</v>
      </c>
      <c r="I3593" s="10"/>
      <c r="J3593" s="79" t="e">
        <f t="shared" si="222"/>
        <v>#VALUE!</v>
      </c>
      <c r="K3593" s="106"/>
      <c r="L3593" s="141"/>
      <c r="M3593" s="132"/>
      <c r="N3593" s="133"/>
      <c r="O3593" s="4"/>
      <c r="P3593" s="4"/>
      <c r="Q3593" s="4"/>
      <c r="R3593" s="4"/>
      <c r="S3593" s="4"/>
      <c r="T3593" s="4"/>
      <c r="U3593" s="4"/>
      <c r="V3593" s="4"/>
      <c r="W3593" s="4"/>
      <c r="X3593" s="4"/>
    </row>
    <row r="3594" spans="1:24" ht="14.25" customHeight="1">
      <c r="A3594" s="4"/>
      <c r="B3594" s="125">
        <v>46202</v>
      </c>
      <c r="C3594" s="126" t="s">
        <v>1661</v>
      </c>
      <c r="D3594" s="15" t="s">
        <v>48</v>
      </c>
      <c r="E3594" s="10" t="str">
        <f>TRIM(VLOOKUP(D3594,TB!$B$9:$C$1500,2,FALSE))</f>
        <v>Mandiri Card TBB</v>
      </c>
      <c r="F3594" s="142" t="s">
        <v>1662</v>
      </c>
      <c r="G3594" s="130"/>
      <c r="H3594" s="10"/>
      <c r="I3594" s="10">
        <v>7992220</v>
      </c>
      <c r="J3594" s="79" t="e">
        <f t="shared" si="222"/>
        <v>#VALUE!</v>
      </c>
      <c r="K3594" s="106"/>
      <c r="L3594" s="141"/>
      <c r="M3594" s="132"/>
      <c r="N3594" s="133"/>
      <c r="O3594" s="4"/>
      <c r="P3594" s="4"/>
      <c r="Q3594" s="4"/>
      <c r="R3594" s="4"/>
      <c r="S3594" s="4"/>
      <c r="T3594" s="4"/>
      <c r="U3594" s="4"/>
      <c r="V3594" s="4"/>
      <c r="W3594" s="4"/>
      <c r="X3594" s="4"/>
    </row>
    <row r="3595" spans="1:24" ht="14.25" customHeight="1">
      <c r="A3595" s="4"/>
      <c r="B3595" s="125"/>
      <c r="C3595" s="126"/>
      <c r="D3595" s="159"/>
      <c r="E3595" s="10" t="e">
        <f>TRIM(VLOOKUP(D3595,TB!$B$9:$C$1500,2,FALSE))</f>
        <v>#N/A</v>
      </c>
      <c r="F3595" s="142"/>
      <c r="G3595" s="130"/>
      <c r="H3595" s="10"/>
      <c r="I3595" s="10"/>
      <c r="J3595" s="79" t="e">
        <f t="shared" si="222"/>
        <v>#VALUE!</v>
      </c>
      <c r="K3595" s="106"/>
      <c r="L3595" s="141"/>
      <c r="M3595" s="132"/>
      <c r="N3595" s="133"/>
      <c r="O3595" s="4"/>
      <c r="P3595" s="4"/>
      <c r="Q3595" s="4"/>
      <c r="R3595" s="4"/>
      <c r="S3595" s="4"/>
      <c r="T3595" s="4"/>
      <c r="U3595" s="4"/>
      <c r="V3595" s="4"/>
      <c r="W3595" s="4"/>
      <c r="X3595" s="4"/>
    </row>
    <row r="3596" spans="1:24" ht="14.25" customHeight="1">
      <c r="A3596" s="4"/>
      <c r="B3596" s="125">
        <v>46202</v>
      </c>
      <c r="C3596" s="126" t="s">
        <v>1663</v>
      </c>
      <c r="D3596" s="68" t="s">
        <v>158</v>
      </c>
      <c r="E3596" s="10" t="str">
        <f>TRIM(VLOOKUP(D3596,TB!$B$9:$C$1500,2,FALSE))</f>
        <v>Mandiri TBB IDR</v>
      </c>
      <c r="F3596" s="142" t="s">
        <v>1664</v>
      </c>
      <c r="G3596" s="130"/>
      <c r="H3596" s="10">
        <f>I3598-H3597</f>
        <v>46790562.842</v>
      </c>
      <c r="I3596" s="10"/>
      <c r="J3596" s="79" t="e">
        <f t="shared" ref="J3596:J3850" si="245">J3595+H3596-I3596</f>
        <v>#VALUE!</v>
      </c>
      <c r="K3596" s="106"/>
      <c r="L3596" s="141"/>
      <c r="M3596" s="132"/>
      <c r="N3596" s="133"/>
      <c r="O3596" s="4"/>
      <c r="P3596" s="4"/>
      <c r="Q3596" s="4"/>
      <c r="R3596" s="4"/>
      <c r="S3596" s="4"/>
      <c r="T3596" s="4"/>
      <c r="U3596" s="4"/>
      <c r="V3596" s="4"/>
      <c r="W3596" s="4"/>
      <c r="X3596" s="4"/>
    </row>
    <row r="3597" spans="1:24" ht="14.25" customHeight="1">
      <c r="A3597" s="4"/>
      <c r="B3597" s="125">
        <v>46202</v>
      </c>
      <c r="C3597" s="126" t="s">
        <v>1663</v>
      </c>
      <c r="D3597" s="15" t="s">
        <v>124</v>
      </c>
      <c r="E3597" s="10" t="str">
        <f>TRIM(VLOOKUP(D3597,TB!$B$9:$C$1500,2,FALSE))</f>
        <v>Bank charges</v>
      </c>
      <c r="F3597" s="142" t="s">
        <v>1664</v>
      </c>
      <c r="G3597" s="130"/>
      <c r="H3597" s="10">
        <f>1.8%*I3598</f>
        <v>857668.15800000005</v>
      </c>
      <c r="I3597" s="10"/>
      <c r="J3597" s="79" t="e">
        <f t="shared" si="245"/>
        <v>#VALUE!</v>
      </c>
      <c r="K3597" s="106"/>
      <c r="L3597" s="141"/>
      <c r="M3597" s="132"/>
      <c r="N3597" s="133"/>
      <c r="O3597" s="4"/>
      <c r="P3597" s="4"/>
      <c r="Q3597" s="4"/>
      <c r="R3597" s="4"/>
      <c r="S3597" s="4"/>
      <c r="T3597" s="4"/>
      <c r="U3597" s="4"/>
      <c r="V3597" s="4"/>
      <c r="W3597" s="4"/>
      <c r="X3597" s="4"/>
    </row>
    <row r="3598" spans="1:24" ht="14.25" customHeight="1">
      <c r="A3598" s="4"/>
      <c r="B3598" s="125">
        <v>46202</v>
      </c>
      <c r="C3598" s="126" t="s">
        <v>1663</v>
      </c>
      <c r="D3598" s="15" t="s">
        <v>48</v>
      </c>
      <c r="E3598" s="10" t="str">
        <f>TRIM(VLOOKUP(D3598,TB!$B$9:$C$1500,2,FALSE))</f>
        <v>Mandiri Card TBB</v>
      </c>
      <c r="F3598" s="142" t="s">
        <v>1664</v>
      </c>
      <c r="G3598" s="130"/>
      <c r="H3598" s="10"/>
      <c r="I3598" s="10">
        <v>47648231</v>
      </c>
      <c r="J3598" s="79" t="e">
        <f t="shared" si="245"/>
        <v>#VALUE!</v>
      </c>
      <c r="K3598" s="106"/>
      <c r="L3598" s="141"/>
      <c r="M3598" s="132"/>
      <c r="N3598" s="133"/>
      <c r="O3598" s="4"/>
      <c r="P3598" s="4"/>
      <c r="Q3598" s="4"/>
      <c r="R3598" s="4"/>
      <c r="S3598" s="4"/>
      <c r="T3598" s="4"/>
      <c r="U3598" s="4"/>
      <c r="V3598" s="4"/>
      <c r="W3598" s="4"/>
      <c r="X3598" s="4"/>
    </row>
    <row r="3599" spans="1:24" ht="14.25" customHeight="1">
      <c r="A3599" s="4"/>
      <c r="B3599" s="125"/>
      <c r="C3599" s="126"/>
      <c r="D3599" s="159"/>
      <c r="E3599" s="10" t="e">
        <f>TRIM(VLOOKUP(D3599,TB!$B$9:$C$1500,2,FALSE))</f>
        <v>#N/A</v>
      </c>
      <c r="F3599" s="142"/>
      <c r="G3599" s="130"/>
      <c r="H3599" s="10"/>
      <c r="I3599" s="10"/>
      <c r="J3599" s="79" t="e">
        <f t="shared" si="245"/>
        <v>#VALUE!</v>
      </c>
      <c r="K3599" s="106"/>
      <c r="L3599" s="141"/>
      <c r="M3599" s="132"/>
      <c r="N3599" s="133"/>
      <c r="O3599" s="4"/>
      <c r="P3599" s="4"/>
      <c r="Q3599" s="4"/>
      <c r="R3599" s="4"/>
      <c r="S3599" s="4"/>
      <c r="T3599" s="4"/>
      <c r="U3599" s="4"/>
      <c r="V3599" s="4"/>
      <c r="W3599" s="4"/>
      <c r="X3599" s="4"/>
    </row>
    <row r="3600" spans="1:24" ht="14.25" customHeight="1">
      <c r="A3600" s="4"/>
      <c r="B3600" s="125">
        <v>46202</v>
      </c>
      <c r="C3600" s="126" t="s">
        <v>1665</v>
      </c>
      <c r="D3600" s="68" t="s">
        <v>158</v>
      </c>
      <c r="E3600" s="10" t="str">
        <f>TRIM(VLOOKUP(D3600,TB!$B$9:$C$1500,2,FALSE))</f>
        <v>Mandiri TBB IDR</v>
      </c>
      <c r="F3600" s="142" t="s">
        <v>1666</v>
      </c>
      <c r="G3600" s="130"/>
      <c r="H3600" s="10">
        <f>I3602-H3601</f>
        <v>6868093.2699999996</v>
      </c>
      <c r="I3600" s="10"/>
      <c r="J3600" s="79" t="e">
        <f t="shared" si="245"/>
        <v>#VALUE!</v>
      </c>
      <c r="K3600" s="106"/>
      <c r="L3600" s="141"/>
      <c r="M3600" s="132"/>
      <c r="N3600" s="133"/>
      <c r="O3600" s="4"/>
      <c r="P3600" s="4"/>
      <c r="Q3600" s="4"/>
      <c r="R3600" s="4"/>
      <c r="S3600" s="4"/>
      <c r="T3600" s="4"/>
      <c r="U3600" s="4"/>
      <c r="V3600" s="4"/>
      <c r="W3600" s="4"/>
      <c r="X3600" s="4"/>
    </row>
    <row r="3601" spans="1:24" ht="14.25" customHeight="1">
      <c r="A3601" s="4"/>
      <c r="B3601" s="125">
        <v>46202</v>
      </c>
      <c r="C3601" s="126" t="s">
        <v>1665</v>
      </c>
      <c r="D3601" s="15" t="s">
        <v>124</v>
      </c>
      <c r="E3601" s="10" t="str">
        <f>TRIM(VLOOKUP(D3601,TB!$B$9:$C$1500,2,FALSE))</f>
        <v>Bank charges</v>
      </c>
      <c r="F3601" s="142" t="s">
        <v>1666</v>
      </c>
      <c r="G3601" s="130"/>
      <c r="H3601" s="10">
        <f>1.8%*I3602</f>
        <v>125891.73000000001</v>
      </c>
      <c r="I3601" s="10"/>
      <c r="J3601" s="79" t="e">
        <f t="shared" si="245"/>
        <v>#VALUE!</v>
      </c>
      <c r="K3601" s="106"/>
      <c r="L3601" s="141"/>
      <c r="M3601" s="132"/>
      <c r="N3601" s="133"/>
      <c r="O3601" s="4"/>
      <c r="P3601" s="4"/>
      <c r="Q3601" s="4"/>
      <c r="R3601" s="4"/>
      <c r="S3601" s="4"/>
      <c r="T3601" s="4"/>
      <c r="U3601" s="4"/>
      <c r="V3601" s="4"/>
      <c r="W3601" s="4"/>
      <c r="X3601" s="4"/>
    </row>
    <row r="3602" spans="1:24" ht="14.25" customHeight="1">
      <c r="A3602" s="4"/>
      <c r="B3602" s="125">
        <v>46202</v>
      </c>
      <c r="C3602" s="126" t="s">
        <v>1665</v>
      </c>
      <c r="D3602" s="15" t="s">
        <v>48</v>
      </c>
      <c r="E3602" s="10" t="str">
        <f>TRIM(VLOOKUP(D3602,TB!$B$9:$C$1500,2,FALSE))</f>
        <v>Mandiri Card TBB</v>
      </c>
      <c r="F3602" s="142" t="s">
        <v>1666</v>
      </c>
      <c r="G3602" s="130"/>
      <c r="H3602" s="10"/>
      <c r="I3602" s="10">
        <v>6993985</v>
      </c>
      <c r="J3602" s="79" t="e">
        <f t="shared" si="245"/>
        <v>#VALUE!</v>
      </c>
      <c r="K3602" s="106"/>
      <c r="L3602" s="141"/>
      <c r="M3602" s="132"/>
      <c r="N3602" s="133"/>
      <c r="O3602" s="4"/>
      <c r="P3602" s="4"/>
      <c r="Q3602" s="4"/>
      <c r="R3602" s="4"/>
      <c r="S3602" s="4"/>
      <c r="T3602" s="4"/>
      <c r="U3602" s="4"/>
      <c r="V3602" s="4"/>
      <c r="W3602" s="4"/>
      <c r="X3602" s="4"/>
    </row>
    <row r="3603" spans="1:24" ht="14.25" customHeight="1">
      <c r="A3603" s="4"/>
      <c r="B3603" s="125"/>
      <c r="C3603" s="126"/>
      <c r="D3603" s="159"/>
      <c r="E3603" s="10" t="e">
        <f>TRIM(VLOOKUP(D3603,TB!$B$9:$C$1500,2,FALSE))</f>
        <v>#N/A</v>
      </c>
      <c r="F3603" s="142"/>
      <c r="G3603" s="130"/>
      <c r="H3603" s="10"/>
      <c r="I3603" s="10"/>
      <c r="J3603" s="79" t="e">
        <f t="shared" si="245"/>
        <v>#VALUE!</v>
      </c>
      <c r="K3603" s="106"/>
      <c r="L3603" s="141"/>
      <c r="M3603" s="132"/>
      <c r="N3603" s="133"/>
      <c r="O3603" s="4"/>
      <c r="P3603" s="4"/>
      <c r="Q3603" s="4"/>
      <c r="R3603" s="4"/>
      <c r="S3603" s="4"/>
      <c r="T3603" s="4"/>
      <c r="U3603" s="4"/>
      <c r="V3603" s="4"/>
      <c r="W3603" s="4"/>
      <c r="X3603" s="4"/>
    </row>
    <row r="3604" spans="1:24" ht="14.25" customHeight="1">
      <c r="A3604" s="4"/>
      <c r="B3604" s="125">
        <v>46202</v>
      </c>
      <c r="C3604" s="126" t="s">
        <v>1667</v>
      </c>
      <c r="D3604" s="68" t="s">
        <v>158</v>
      </c>
      <c r="E3604" s="10" t="str">
        <f>TRIM(VLOOKUP(D3604,TB!$B$9:$C$1500,2,FALSE))</f>
        <v>Mandiri TBB IDR</v>
      </c>
      <c r="F3604" s="142" t="s">
        <v>1668</v>
      </c>
      <c r="G3604" s="130"/>
      <c r="H3604" s="10">
        <f>I3606-H3605</f>
        <v>20136811.476</v>
      </c>
      <c r="I3604" s="10"/>
      <c r="J3604" s="79" t="e">
        <f t="shared" si="245"/>
        <v>#VALUE!</v>
      </c>
      <c r="K3604" s="106"/>
      <c r="L3604" s="141"/>
      <c r="M3604" s="132"/>
      <c r="N3604" s="133"/>
      <c r="O3604" s="4"/>
      <c r="P3604" s="4"/>
      <c r="Q3604" s="4"/>
      <c r="R3604" s="4"/>
      <c r="S3604" s="4"/>
      <c r="T3604" s="4"/>
      <c r="U3604" s="4"/>
      <c r="V3604" s="4"/>
      <c r="W3604" s="4"/>
      <c r="X3604" s="4"/>
    </row>
    <row r="3605" spans="1:24" ht="14.25" customHeight="1">
      <c r="A3605" s="4"/>
      <c r="B3605" s="125">
        <v>46202</v>
      </c>
      <c r="C3605" s="126" t="s">
        <v>1667</v>
      </c>
      <c r="D3605" s="15" t="s">
        <v>124</v>
      </c>
      <c r="E3605" s="10" t="str">
        <f>TRIM(VLOOKUP(D3605,TB!$B$9:$C$1500,2,FALSE))</f>
        <v>Bank charges</v>
      </c>
      <c r="F3605" s="142" t="s">
        <v>1668</v>
      </c>
      <c r="G3605" s="130"/>
      <c r="H3605" s="10">
        <f>1.8%*I3606</f>
        <v>369106.52400000003</v>
      </c>
      <c r="I3605" s="10"/>
      <c r="J3605" s="79" t="e">
        <f t="shared" si="245"/>
        <v>#VALUE!</v>
      </c>
      <c r="K3605" s="106"/>
      <c r="L3605" s="141"/>
      <c r="M3605" s="132"/>
      <c r="N3605" s="133"/>
      <c r="O3605" s="4"/>
      <c r="P3605" s="4"/>
      <c r="Q3605" s="4"/>
      <c r="R3605" s="4"/>
      <c r="S3605" s="4"/>
      <c r="T3605" s="4"/>
      <c r="U3605" s="4"/>
      <c r="V3605" s="4"/>
      <c r="W3605" s="4"/>
      <c r="X3605" s="4"/>
    </row>
    <row r="3606" spans="1:24" ht="14.25" customHeight="1">
      <c r="A3606" s="4"/>
      <c r="B3606" s="125">
        <v>46202</v>
      </c>
      <c r="C3606" s="126" t="s">
        <v>1667</v>
      </c>
      <c r="D3606" s="15" t="s">
        <v>48</v>
      </c>
      <c r="E3606" s="10" t="str">
        <f>TRIM(VLOOKUP(D3606,TB!$B$9:$C$1500,2,FALSE))</f>
        <v>Mandiri Card TBB</v>
      </c>
      <c r="F3606" s="142" t="s">
        <v>1668</v>
      </c>
      <c r="G3606" s="130"/>
      <c r="H3606" s="10"/>
      <c r="I3606" s="10">
        <v>20505918</v>
      </c>
      <c r="J3606" s="79" t="e">
        <f t="shared" si="245"/>
        <v>#VALUE!</v>
      </c>
      <c r="K3606" s="106"/>
      <c r="L3606" s="141"/>
      <c r="M3606" s="132"/>
      <c r="N3606" s="133"/>
      <c r="O3606" s="4"/>
      <c r="P3606" s="4"/>
      <c r="Q3606" s="4"/>
      <c r="R3606" s="4"/>
      <c r="S3606" s="4"/>
      <c r="T3606" s="4"/>
      <c r="U3606" s="4"/>
      <c r="V3606" s="4"/>
      <c r="W3606" s="4"/>
      <c r="X3606" s="4"/>
    </row>
    <row r="3607" spans="1:24" ht="14.25" customHeight="1">
      <c r="A3607" s="4"/>
      <c r="B3607" s="125"/>
      <c r="C3607" s="126"/>
      <c r="D3607" s="159"/>
      <c r="E3607" s="10" t="e">
        <f>TRIM(VLOOKUP(D3607,TB!$B$9:$C$1500,2,FALSE))</f>
        <v>#N/A</v>
      </c>
      <c r="F3607" s="142"/>
      <c r="G3607" s="130"/>
      <c r="H3607" s="10"/>
      <c r="I3607" s="10"/>
      <c r="J3607" s="79" t="e">
        <f t="shared" si="245"/>
        <v>#VALUE!</v>
      </c>
      <c r="K3607" s="106"/>
      <c r="L3607" s="141"/>
      <c r="M3607" s="132"/>
      <c r="N3607" s="133"/>
      <c r="O3607" s="4"/>
      <c r="P3607" s="4"/>
      <c r="Q3607" s="4"/>
      <c r="R3607" s="4"/>
      <c r="S3607" s="4"/>
      <c r="T3607" s="4"/>
      <c r="U3607" s="4"/>
      <c r="V3607" s="4"/>
      <c r="W3607" s="4"/>
      <c r="X3607" s="4"/>
    </row>
    <row r="3608" spans="1:24" ht="14.25" customHeight="1">
      <c r="A3608" s="4"/>
      <c r="B3608" s="125">
        <v>46202</v>
      </c>
      <c r="C3608" s="126" t="s">
        <v>1669</v>
      </c>
      <c r="D3608" s="68" t="s">
        <v>158</v>
      </c>
      <c r="E3608" s="10" t="str">
        <f>TRIM(VLOOKUP(D3608,TB!$B$9:$C$1500,2,FALSE))</f>
        <v>Mandiri TBB IDR</v>
      </c>
      <c r="F3608" s="142" t="s">
        <v>1670</v>
      </c>
      <c r="G3608" s="130"/>
      <c r="H3608" s="10">
        <f>I3610-H3609</f>
        <v>5842988.3799999999</v>
      </c>
      <c r="I3608" s="10"/>
      <c r="J3608" s="79" t="e">
        <f t="shared" si="245"/>
        <v>#VALUE!</v>
      </c>
      <c r="K3608" s="106"/>
      <c r="L3608" s="141"/>
      <c r="M3608" s="132"/>
      <c r="N3608" s="133"/>
      <c r="O3608" s="4"/>
      <c r="P3608" s="4"/>
      <c r="Q3608" s="4"/>
      <c r="R3608" s="4"/>
      <c r="S3608" s="4"/>
      <c r="T3608" s="4"/>
      <c r="U3608" s="4"/>
      <c r="V3608" s="4"/>
      <c r="W3608" s="4"/>
      <c r="X3608" s="4"/>
    </row>
    <row r="3609" spans="1:24" ht="14.25" customHeight="1">
      <c r="A3609" s="4"/>
      <c r="B3609" s="125">
        <v>46202</v>
      </c>
      <c r="C3609" s="126" t="s">
        <v>1669</v>
      </c>
      <c r="D3609" s="15" t="s">
        <v>124</v>
      </c>
      <c r="E3609" s="10" t="str">
        <f>TRIM(VLOOKUP(D3609,TB!$B$9:$C$1500,2,FALSE))</f>
        <v>Bank charges</v>
      </c>
      <c r="F3609" s="142" t="s">
        <v>1670</v>
      </c>
      <c r="G3609" s="130"/>
      <c r="H3609" s="10">
        <f>1.8%*I3610</f>
        <v>107101.62000000001</v>
      </c>
      <c r="I3609" s="10"/>
      <c r="J3609" s="79" t="e">
        <f t="shared" si="245"/>
        <v>#VALUE!</v>
      </c>
      <c r="K3609" s="106"/>
      <c r="L3609" s="141"/>
      <c r="M3609" s="132"/>
      <c r="N3609" s="133"/>
      <c r="O3609" s="4"/>
      <c r="P3609" s="4"/>
      <c r="Q3609" s="4"/>
      <c r="R3609" s="4"/>
      <c r="S3609" s="4"/>
      <c r="T3609" s="4"/>
      <c r="U3609" s="4"/>
      <c r="V3609" s="4"/>
      <c r="W3609" s="4"/>
      <c r="X3609" s="4"/>
    </row>
    <row r="3610" spans="1:24" ht="14.25" customHeight="1">
      <c r="A3610" s="4"/>
      <c r="B3610" s="125">
        <v>46202</v>
      </c>
      <c r="C3610" s="126" t="s">
        <v>1669</v>
      </c>
      <c r="D3610" s="15" t="s">
        <v>48</v>
      </c>
      <c r="E3610" s="10" t="str">
        <f>TRIM(VLOOKUP(D3610,TB!$B$9:$C$1500,2,FALSE))</f>
        <v>Mandiri Card TBB</v>
      </c>
      <c r="F3610" s="142" t="s">
        <v>1670</v>
      </c>
      <c r="G3610" s="130"/>
      <c r="H3610" s="10"/>
      <c r="I3610" s="10">
        <v>5950090</v>
      </c>
      <c r="J3610" s="79" t="e">
        <f t="shared" si="245"/>
        <v>#VALUE!</v>
      </c>
      <c r="K3610" s="106"/>
      <c r="L3610" s="141"/>
      <c r="M3610" s="132"/>
      <c r="N3610" s="133"/>
      <c r="O3610" s="4"/>
      <c r="P3610" s="4"/>
      <c r="Q3610" s="4"/>
      <c r="R3610" s="4"/>
      <c r="S3610" s="4"/>
      <c r="T3610" s="4"/>
      <c r="U3610" s="4"/>
      <c r="V3610" s="4"/>
      <c r="W3610" s="4"/>
      <c r="X3610" s="4"/>
    </row>
    <row r="3611" spans="1:24" ht="14.25" customHeight="1">
      <c r="A3611" s="4"/>
      <c r="B3611" s="125"/>
      <c r="C3611" s="126"/>
      <c r="D3611" s="159"/>
      <c r="E3611" s="10" t="e">
        <f>TRIM(VLOOKUP(D3611,TB!$B$9:$C$1500,2,FALSE))</f>
        <v>#N/A</v>
      </c>
      <c r="F3611" s="142"/>
      <c r="G3611" s="130"/>
      <c r="H3611" s="10"/>
      <c r="I3611" s="10"/>
      <c r="J3611" s="79" t="e">
        <f t="shared" si="245"/>
        <v>#VALUE!</v>
      </c>
      <c r="K3611" s="106"/>
      <c r="L3611" s="141"/>
      <c r="M3611" s="132"/>
      <c r="N3611" s="133"/>
      <c r="O3611" s="4"/>
      <c r="P3611" s="4"/>
      <c r="Q3611" s="4"/>
      <c r="R3611" s="4"/>
      <c r="S3611" s="4"/>
      <c r="T3611" s="4"/>
      <c r="U3611" s="4"/>
      <c r="V3611" s="4"/>
      <c r="W3611" s="4"/>
      <c r="X3611" s="4"/>
    </row>
    <row r="3612" spans="1:24" ht="14.25" customHeight="1">
      <c r="A3612" s="4"/>
      <c r="B3612" s="125">
        <v>46202</v>
      </c>
      <c r="C3612" s="126" t="s">
        <v>1671</v>
      </c>
      <c r="D3612" s="68" t="s">
        <v>158</v>
      </c>
      <c r="E3612" s="10" t="str">
        <f>TRIM(VLOOKUP(D3612,TB!$B$9:$C$1500,2,FALSE))</f>
        <v>Mandiri TBB IDR</v>
      </c>
      <c r="F3612" s="142" t="s">
        <v>1672</v>
      </c>
      <c r="G3612" s="130"/>
      <c r="H3612" s="10">
        <f>I3614-H3613</f>
        <v>49335115.350000001</v>
      </c>
      <c r="I3612" s="10"/>
      <c r="J3612" s="79" t="e">
        <f t="shared" si="245"/>
        <v>#VALUE!</v>
      </c>
      <c r="K3612" s="106"/>
      <c r="L3612" s="141"/>
      <c r="M3612" s="132"/>
      <c r="N3612" s="133"/>
      <c r="O3612" s="4"/>
      <c r="P3612" s="4"/>
      <c r="Q3612" s="4"/>
      <c r="R3612" s="4"/>
      <c r="S3612" s="4"/>
      <c r="T3612" s="4"/>
      <c r="U3612" s="4"/>
      <c r="V3612" s="4"/>
      <c r="W3612" s="4"/>
      <c r="X3612" s="4"/>
    </row>
    <row r="3613" spans="1:24" ht="14.25" customHeight="1">
      <c r="A3613" s="4"/>
      <c r="B3613" s="125">
        <v>46202</v>
      </c>
      <c r="C3613" s="126" t="s">
        <v>1671</v>
      </c>
      <c r="D3613" s="15" t="s">
        <v>124</v>
      </c>
      <c r="E3613" s="10" t="str">
        <f>TRIM(VLOOKUP(D3613,TB!$B$9:$C$1500,2,FALSE))</f>
        <v>Bank charges</v>
      </c>
      <c r="F3613" s="142" t="s">
        <v>1672</v>
      </c>
      <c r="G3613" s="130"/>
      <c r="H3613" s="10">
        <f>1.8%*I3614</f>
        <v>904309.65000000014</v>
      </c>
      <c r="I3613" s="10"/>
      <c r="J3613" s="79" t="e">
        <f t="shared" si="245"/>
        <v>#VALUE!</v>
      </c>
      <c r="K3613" s="106"/>
      <c r="L3613" s="141"/>
      <c r="M3613" s="132"/>
      <c r="N3613" s="133"/>
      <c r="O3613" s="4"/>
      <c r="P3613" s="4"/>
      <c r="Q3613" s="4"/>
      <c r="R3613" s="4"/>
      <c r="S3613" s="4"/>
      <c r="T3613" s="4"/>
      <c r="U3613" s="4"/>
      <c r="V3613" s="4"/>
      <c r="W3613" s="4"/>
      <c r="X3613" s="4"/>
    </row>
    <row r="3614" spans="1:24" ht="14.25" customHeight="1">
      <c r="A3614" s="4"/>
      <c r="B3614" s="125">
        <v>46202</v>
      </c>
      <c r="C3614" s="126" t="s">
        <v>1671</v>
      </c>
      <c r="D3614" s="15" t="s">
        <v>48</v>
      </c>
      <c r="E3614" s="10" t="str">
        <f>TRIM(VLOOKUP(D3614,TB!$B$9:$C$1500,2,FALSE))</f>
        <v>Mandiri Card TBB</v>
      </c>
      <c r="F3614" s="142" t="s">
        <v>1672</v>
      </c>
      <c r="G3614" s="130"/>
      <c r="H3614" s="10"/>
      <c r="I3614" s="10">
        <v>50239425</v>
      </c>
      <c r="J3614" s="79" t="e">
        <f t="shared" si="245"/>
        <v>#VALUE!</v>
      </c>
      <c r="K3614" s="106"/>
      <c r="L3614" s="141"/>
      <c r="M3614" s="132"/>
      <c r="N3614" s="133"/>
      <c r="O3614" s="4"/>
      <c r="P3614" s="4"/>
      <c r="Q3614" s="4"/>
      <c r="R3614" s="4"/>
      <c r="S3614" s="4"/>
      <c r="T3614" s="4"/>
      <c r="U3614" s="4"/>
      <c r="V3614" s="4"/>
      <c r="W3614" s="4"/>
      <c r="X3614" s="4"/>
    </row>
    <row r="3615" spans="1:24" ht="14.25" customHeight="1">
      <c r="A3615" s="4"/>
      <c r="B3615" s="125"/>
      <c r="C3615" s="126"/>
      <c r="D3615" s="159"/>
      <c r="E3615" s="10" t="e">
        <f>TRIM(VLOOKUP(D3615,TB!$B$9:$C$1500,2,FALSE))</f>
        <v>#N/A</v>
      </c>
      <c r="F3615" s="142"/>
      <c r="G3615" s="130"/>
      <c r="H3615" s="10"/>
      <c r="I3615" s="10"/>
      <c r="J3615" s="79" t="e">
        <f t="shared" si="245"/>
        <v>#VALUE!</v>
      </c>
      <c r="K3615" s="106"/>
      <c r="L3615" s="141"/>
      <c r="M3615" s="132"/>
      <c r="N3615" s="133"/>
      <c r="O3615" s="4"/>
      <c r="P3615" s="4"/>
      <c r="Q3615" s="4"/>
      <c r="R3615" s="4"/>
      <c r="S3615" s="4"/>
      <c r="T3615" s="4"/>
      <c r="U3615" s="4"/>
      <c r="V3615" s="4"/>
      <c r="W3615" s="4"/>
      <c r="X3615" s="4"/>
    </row>
    <row r="3616" spans="1:24" ht="14.25" customHeight="1">
      <c r="A3616" s="4"/>
      <c r="B3616" s="125">
        <v>46202</v>
      </c>
      <c r="C3616" s="126" t="s">
        <v>1673</v>
      </c>
      <c r="D3616" s="68" t="s">
        <v>158</v>
      </c>
      <c r="E3616" s="10" t="str">
        <f>TRIM(VLOOKUP(D3616,TB!$B$9:$C$1500,2,FALSE))</f>
        <v>Mandiri TBB IDR</v>
      </c>
      <c r="F3616" s="142" t="s">
        <v>1674</v>
      </c>
      <c r="G3616" s="130"/>
      <c r="H3616" s="10">
        <f>I3618-H3617</f>
        <v>26891500.440000001</v>
      </c>
      <c r="I3616" s="10"/>
      <c r="J3616" s="79" t="e">
        <f t="shared" si="245"/>
        <v>#VALUE!</v>
      </c>
      <c r="K3616" s="106"/>
      <c r="L3616" s="141"/>
      <c r="M3616" s="132"/>
      <c r="N3616" s="133"/>
      <c r="O3616" s="4"/>
      <c r="P3616" s="4"/>
      <c r="Q3616" s="4"/>
      <c r="R3616" s="4"/>
      <c r="S3616" s="4"/>
      <c r="T3616" s="4"/>
      <c r="U3616" s="4"/>
      <c r="V3616" s="4"/>
      <c r="W3616" s="4"/>
      <c r="X3616" s="4"/>
    </row>
    <row r="3617" spans="1:24" ht="14.25" customHeight="1">
      <c r="A3617" s="4"/>
      <c r="B3617" s="125">
        <v>46202</v>
      </c>
      <c r="C3617" s="126" t="s">
        <v>1673</v>
      </c>
      <c r="D3617" s="15" t="s">
        <v>124</v>
      </c>
      <c r="E3617" s="10" t="str">
        <f>TRIM(VLOOKUP(D3617,TB!$B$9:$C$1500,2,FALSE))</f>
        <v>Bank charges</v>
      </c>
      <c r="F3617" s="142" t="s">
        <v>1674</v>
      </c>
      <c r="G3617" s="130"/>
      <c r="H3617" s="10">
        <f>1.8%*I3618</f>
        <v>492919.56000000006</v>
      </c>
      <c r="I3617" s="10"/>
      <c r="J3617" s="79" t="e">
        <f t="shared" si="245"/>
        <v>#VALUE!</v>
      </c>
      <c r="K3617" s="106"/>
      <c r="L3617" s="141"/>
      <c r="M3617" s="132"/>
      <c r="N3617" s="133"/>
      <c r="O3617" s="4"/>
      <c r="P3617" s="4"/>
      <c r="Q3617" s="4"/>
      <c r="R3617" s="4"/>
      <c r="S3617" s="4"/>
      <c r="T3617" s="4"/>
      <c r="U3617" s="4"/>
      <c r="V3617" s="4"/>
      <c r="W3617" s="4"/>
      <c r="X3617" s="4"/>
    </row>
    <row r="3618" spans="1:24" ht="14.25" customHeight="1">
      <c r="A3618" s="4"/>
      <c r="B3618" s="125">
        <v>46202</v>
      </c>
      <c r="C3618" s="126" t="s">
        <v>1673</v>
      </c>
      <c r="D3618" s="15" t="s">
        <v>48</v>
      </c>
      <c r="E3618" s="10" t="str">
        <f>TRIM(VLOOKUP(D3618,TB!$B$9:$C$1500,2,FALSE))</f>
        <v>Mandiri Card TBB</v>
      </c>
      <c r="F3618" s="142" t="s">
        <v>1674</v>
      </c>
      <c r="G3618" s="130"/>
      <c r="H3618" s="10"/>
      <c r="I3618" s="10">
        <v>27384420</v>
      </c>
      <c r="J3618" s="79" t="e">
        <f t="shared" si="245"/>
        <v>#VALUE!</v>
      </c>
      <c r="K3618" s="106"/>
      <c r="L3618" s="141"/>
      <c r="M3618" s="132"/>
      <c r="N3618" s="133"/>
      <c r="O3618" s="4"/>
      <c r="P3618" s="4"/>
      <c r="Q3618" s="4"/>
      <c r="R3618" s="4"/>
      <c r="S3618" s="4"/>
      <c r="T3618" s="4"/>
      <c r="U3618" s="4"/>
      <c r="V3618" s="4"/>
      <c r="W3618" s="4"/>
      <c r="X3618" s="4"/>
    </row>
    <row r="3619" spans="1:24" ht="14.25" customHeight="1">
      <c r="A3619" s="4"/>
      <c r="B3619" s="125"/>
      <c r="C3619" s="126"/>
      <c r="D3619" s="159"/>
      <c r="E3619" s="10" t="e">
        <f>TRIM(VLOOKUP(D3619,TB!$B$9:$C$1500,2,FALSE))</f>
        <v>#N/A</v>
      </c>
      <c r="F3619" s="142"/>
      <c r="G3619" s="130"/>
      <c r="H3619" s="10"/>
      <c r="I3619" s="10"/>
      <c r="J3619" s="79" t="e">
        <f t="shared" si="245"/>
        <v>#VALUE!</v>
      </c>
      <c r="K3619" s="106"/>
      <c r="L3619" s="141"/>
      <c r="M3619" s="132"/>
      <c r="N3619" s="133"/>
      <c r="O3619" s="4"/>
      <c r="P3619" s="4"/>
      <c r="Q3619" s="4"/>
      <c r="R3619" s="4"/>
      <c r="S3619" s="4"/>
      <c r="T3619" s="4"/>
      <c r="U3619" s="4"/>
      <c r="V3619" s="4"/>
      <c r="W3619" s="4"/>
      <c r="X3619" s="4"/>
    </row>
    <row r="3620" spans="1:24" ht="14.25" customHeight="1">
      <c r="A3620" s="4"/>
      <c r="B3620" s="125">
        <v>46202</v>
      </c>
      <c r="C3620" s="126" t="s">
        <v>1675</v>
      </c>
      <c r="D3620" s="68" t="s">
        <v>158</v>
      </c>
      <c r="E3620" s="10" t="str">
        <f>TRIM(VLOOKUP(D3620,TB!$B$9:$C$1500,2,FALSE))</f>
        <v>Mandiri TBB IDR</v>
      </c>
      <c r="F3620" s="142" t="s">
        <v>1676</v>
      </c>
      <c r="G3620" s="130"/>
      <c r="H3620" s="10">
        <f>I3622-H3621</f>
        <v>31432285.134</v>
      </c>
      <c r="I3620" s="10"/>
      <c r="J3620" s="79" t="e">
        <f t="shared" si="245"/>
        <v>#VALUE!</v>
      </c>
      <c r="K3620" s="106"/>
      <c r="L3620" s="141"/>
      <c r="M3620" s="132"/>
      <c r="N3620" s="133"/>
      <c r="O3620" s="4"/>
      <c r="P3620" s="4"/>
      <c r="Q3620" s="4"/>
      <c r="R3620" s="4"/>
      <c r="S3620" s="4"/>
      <c r="T3620" s="4"/>
      <c r="U3620" s="4"/>
      <c r="V3620" s="4"/>
      <c r="W3620" s="4"/>
      <c r="X3620" s="4"/>
    </row>
    <row r="3621" spans="1:24" ht="14.25" customHeight="1">
      <c r="A3621" s="4"/>
      <c r="B3621" s="125">
        <v>46202</v>
      </c>
      <c r="C3621" s="126" t="s">
        <v>1675</v>
      </c>
      <c r="D3621" s="15" t="s">
        <v>124</v>
      </c>
      <c r="E3621" s="10" t="str">
        <f>TRIM(VLOOKUP(D3621,TB!$B$9:$C$1500,2,FALSE))</f>
        <v>Bank charges</v>
      </c>
      <c r="F3621" s="142" t="s">
        <v>1676</v>
      </c>
      <c r="G3621" s="130"/>
      <c r="H3621" s="10">
        <f>1.8%*I3622</f>
        <v>576151.86600000004</v>
      </c>
      <c r="I3621" s="10"/>
      <c r="J3621" s="79" t="e">
        <f t="shared" si="245"/>
        <v>#VALUE!</v>
      </c>
      <c r="K3621" s="106"/>
      <c r="L3621" s="141"/>
      <c r="M3621" s="132"/>
      <c r="N3621" s="133"/>
      <c r="O3621" s="4"/>
      <c r="P3621" s="4"/>
      <c r="Q3621" s="4"/>
      <c r="R3621" s="4"/>
      <c r="S3621" s="4"/>
      <c r="T3621" s="4"/>
      <c r="U3621" s="4"/>
      <c r="V3621" s="4"/>
      <c r="W3621" s="4"/>
      <c r="X3621" s="4"/>
    </row>
    <row r="3622" spans="1:24" ht="14.25" customHeight="1">
      <c r="A3622" s="4"/>
      <c r="B3622" s="125">
        <v>46202</v>
      </c>
      <c r="C3622" s="126" t="s">
        <v>1675</v>
      </c>
      <c r="D3622" s="15" t="s">
        <v>48</v>
      </c>
      <c r="E3622" s="10" t="str">
        <f>TRIM(VLOOKUP(D3622,TB!$B$9:$C$1500,2,FALSE))</f>
        <v>Mandiri Card TBB</v>
      </c>
      <c r="F3622" s="142" t="s">
        <v>1676</v>
      </c>
      <c r="G3622" s="130"/>
      <c r="H3622" s="10"/>
      <c r="I3622" s="10">
        <v>32008437</v>
      </c>
      <c r="J3622" s="79" t="e">
        <f t="shared" si="245"/>
        <v>#VALUE!</v>
      </c>
      <c r="K3622" s="106"/>
      <c r="L3622" s="141"/>
      <c r="M3622" s="132"/>
      <c r="N3622" s="133"/>
      <c r="O3622" s="4"/>
      <c r="P3622" s="4"/>
      <c r="Q3622" s="4"/>
      <c r="R3622" s="4"/>
      <c r="S3622" s="4"/>
      <c r="T3622" s="4"/>
      <c r="U3622" s="4"/>
      <c r="V3622" s="4"/>
      <c r="W3622" s="4"/>
      <c r="X3622" s="4"/>
    </row>
    <row r="3623" spans="1:24" ht="14.25" customHeight="1">
      <c r="A3623" s="4"/>
      <c r="B3623" s="125"/>
      <c r="C3623" s="126"/>
      <c r="D3623" s="159"/>
      <c r="E3623" s="10" t="e">
        <f>TRIM(VLOOKUP(D3623,TB!$B$9:$C$1500,2,FALSE))</f>
        <v>#N/A</v>
      </c>
      <c r="F3623" s="142"/>
      <c r="G3623" s="130"/>
      <c r="H3623" s="10"/>
      <c r="I3623" s="10">
        <f>SUM(H3622)</f>
        <v>0</v>
      </c>
      <c r="J3623" s="79" t="e">
        <f t="shared" si="245"/>
        <v>#VALUE!</v>
      </c>
      <c r="K3623" s="106"/>
      <c r="L3623" s="141"/>
      <c r="M3623" s="132"/>
      <c r="N3623" s="133"/>
      <c r="O3623" s="4"/>
      <c r="P3623" s="4"/>
      <c r="Q3623" s="4"/>
      <c r="R3623" s="4"/>
      <c r="S3623" s="4"/>
      <c r="T3623" s="4"/>
      <c r="U3623" s="4"/>
      <c r="V3623" s="4"/>
      <c r="W3623" s="4"/>
      <c r="X3623" s="4"/>
    </row>
    <row r="3624" spans="1:24" ht="14.25" customHeight="1">
      <c r="A3624" s="4"/>
      <c r="B3624" s="125">
        <v>46202</v>
      </c>
      <c r="C3624" s="126" t="s">
        <v>1677</v>
      </c>
      <c r="D3624" s="68" t="s">
        <v>158</v>
      </c>
      <c r="E3624" s="10" t="str">
        <f>TRIM(VLOOKUP(D3624,TB!$B$9:$C$1500,2,FALSE))</f>
        <v>Mandiri TBB IDR</v>
      </c>
      <c r="F3624" s="142" t="s">
        <v>1678</v>
      </c>
      <c r="G3624" s="130"/>
      <c r="H3624" s="10">
        <v>204000</v>
      </c>
      <c r="I3624" s="10"/>
      <c r="J3624" s="79" t="e">
        <f t="shared" si="245"/>
        <v>#VALUE!</v>
      </c>
      <c r="K3624" s="106"/>
      <c r="L3624" s="141"/>
      <c r="M3624" s="132"/>
      <c r="N3624" s="133"/>
      <c r="O3624" s="4"/>
      <c r="P3624" s="4"/>
      <c r="Q3624" s="4"/>
      <c r="R3624" s="4"/>
      <c r="S3624" s="4"/>
      <c r="T3624" s="4"/>
      <c r="U3624" s="4"/>
      <c r="V3624" s="4"/>
      <c r="W3624" s="4"/>
      <c r="X3624" s="4"/>
    </row>
    <row r="3625" spans="1:24" ht="14.25" customHeight="1">
      <c r="A3625" s="4"/>
      <c r="B3625" s="125">
        <v>46202</v>
      </c>
      <c r="C3625" s="126" t="s">
        <v>1677</v>
      </c>
      <c r="D3625" s="15" t="s">
        <v>42</v>
      </c>
      <c r="E3625" s="10" t="str">
        <f>TRIM(VLOOKUP(D3625,TB!$B$9:$C$1500,2,FALSE))</f>
        <v>BCA Card TBB</v>
      </c>
      <c r="F3625" s="142" t="s">
        <v>1678</v>
      </c>
      <c r="G3625" s="130"/>
      <c r="H3625" s="10"/>
      <c r="I3625" s="10">
        <v>204000</v>
      </c>
      <c r="J3625" s="79" t="e">
        <f t="shared" si="245"/>
        <v>#VALUE!</v>
      </c>
      <c r="K3625" s="106"/>
      <c r="L3625" s="141"/>
      <c r="M3625" s="132"/>
      <c r="N3625" s="133"/>
      <c r="O3625" s="4"/>
      <c r="P3625" s="4"/>
      <c r="Q3625" s="4"/>
      <c r="R3625" s="4"/>
      <c r="S3625" s="4"/>
      <c r="T3625" s="4"/>
      <c r="U3625" s="4"/>
      <c r="V3625" s="4"/>
      <c r="W3625" s="4"/>
      <c r="X3625" s="10"/>
    </row>
    <row r="3626" spans="1:24" ht="14.25" customHeight="1">
      <c r="A3626" s="4"/>
      <c r="B3626" s="125"/>
      <c r="C3626" s="126"/>
      <c r="D3626" s="159"/>
      <c r="E3626" s="10" t="e">
        <f>TRIM(VLOOKUP(D3626,TB!$B$9:$C$1500,2,FALSE))</f>
        <v>#N/A</v>
      </c>
      <c r="F3626" s="142"/>
      <c r="G3626" s="130"/>
      <c r="H3626" s="10"/>
      <c r="I3626" s="10"/>
      <c r="J3626" s="79" t="e">
        <f t="shared" si="245"/>
        <v>#VALUE!</v>
      </c>
      <c r="K3626" s="106"/>
      <c r="L3626" s="141"/>
      <c r="M3626" s="132"/>
      <c r="N3626" s="133"/>
      <c r="O3626" s="4"/>
      <c r="P3626" s="4"/>
      <c r="Q3626" s="4"/>
      <c r="R3626" s="4"/>
      <c r="S3626" s="4"/>
      <c r="T3626" s="4"/>
      <c r="U3626" s="4"/>
      <c r="V3626" s="4"/>
      <c r="W3626" s="4"/>
      <c r="X3626" s="4"/>
    </row>
    <row r="3627" spans="1:24" ht="14.25" customHeight="1">
      <c r="A3627" s="4"/>
      <c r="B3627" s="125">
        <v>46202</v>
      </c>
      <c r="C3627" s="126" t="s">
        <v>1679</v>
      </c>
      <c r="D3627" s="68" t="s">
        <v>285</v>
      </c>
      <c r="E3627" s="10" t="str">
        <f>TRIM(VLOOKUP(D3627,TB!$B$9:$C$1500,2,FALSE))</f>
        <v>Misc Cash Purchase</v>
      </c>
      <c r="F3627" s="142" t="s">
        <v>1680</v>
      </c>
      <c r="G3627" s="130"/>
      <c r="H3627" s="10">
        <v>2000000</v>
      </c>
      <c r="I3627" s="10">
        <f>SUM(H3623)</f>
        <v>0</v>
      </c>
      <c r="J3627" s="79" t="e">
        <f t="shared" si="245"/>
        <v>#VALUE!</v>
      </c>
      <c r="K3627" s="106"/>
      <c r="L3627" s="141"/>
      <c r="M3627" s="132"/>
      <c r="N3627" s="133"/>
      <c r="O3627" s="4"/>
      <c r="P3627" s="4"/>
      <c r="Q3627" s="4"/>
      <c r="R3627" s="4"/>
      <c r="S3627" s="4"/>
      <c r="T3627" s="4"/>
      <c r="U3627" s="4"/>
      <c r="V3627" s="4"/>
      <c r="W3627" s="4"/>
      <c r="X3627" s="4"/>
    </row>
    <row r="3628" spans="1:24" ht="14.25" customHeight="1">
      <c r="A3628" s="4"/>
      <c r="B3628" s="125">
        <v>46202</v>
      </c>
      <c r="C3628" s="126" t="s">
        <v>1679</v>
      </c>
      <c r="D3628" s="68" t="s">
        <v>158</v>
      </c>
      <c r="E3628" s="10" t="str">
        <f>TRIM(VLOOKUP(D3628,TB!$B$9:$C$1500,2,FALSE))</f>
        <v>Mandiri TBB IDR</v>
      </c>
      <c r="F3628" s="142" t="s">
        <v>1680</v>
      </c>
      <c r="G3628" s="130"/>
      <c r="H3628" s="10"/>
      <c r="I3628" s="10">
        <f t="shared" ref="I3628:I3633" si="246">SUM(H3627)</f>
        <v>2000000</v>
      </c>
      <c r="J3628" s="79" t="e">
        <f t="shared" si="245"/>
        <v>#VALUE!</v>
      </c>
      <c r="K3628" s="106"/>
      <c r="L3628" s="141"/>
      <c r="M3628" s="132"/>
      <c r="N3628" s="133"/>
      <c r="O3628" s="4"/>
      <c r="P3628" s="4"/>
      <c r="Q3628" s="4"/>
      <c r="R3628" s="4"/>
      <c r="S3628" s="4"/>
      <c r="T3628" s="4"/>
      <c r="U3628" s="4"/>
      <c r="V3628" s="4"/>
      <c r="W3628" s="4"/>
      <c r="X3628" s="4"/>
    </row>
    <row r="3629" spans="1:24" ht="14.25" customHeight="1">
      <c r="A3629" s="4"/>
      <c r="B3629" s="125"/>
      <c r="C3629" s="126"/>
      <c r="D3629" s="159"/>
      <c r="E3629" s="10" t="e">
        <f>TRIM(VLOOKUP(D3629,TB!$B$9:$C$1500,2,FALSE))</f>
        <v>#N/A</v>
      </c>
      <c r="F3629" s="142"/>
      <c r="G3629" s="130"/>
      <c r="H3629" s="10"/>
      <c r="I3629" s="10">
        <f t="shared" si="246"/>
        <v>0</v>
      </c>
      <c r="J3629" s="79" t="e">
        <f t="shared" si="245"/>
        <v>#VALUE!</v>
      </c>
      <c r="K3629" s="106"/>
      <c r="L3629" s="141"/>
      <c r="M3629" s="132"/>
      <c r="N3629" s="133"/>
      <c r="O3629" s="4"/>
      <c r="P3629" s="4"/>
      <c r="Q3629" s="4"/>
      <c r="R3629" s="4"/>
      <c r="S3629" s="4"/>
      <c r="T3629" s="4"/>
      <c r="U3629" s="4"/>
      <c r="V3629" s="4"/>
      <c r="W3629" s="4"/>
      <c r="X3629" s="4"/>
    </row>
    <row r="3630" spans="1:24" ht="14.25" customHeight="1">
      <c r="A3630" s="4"/>
      <c r="B3630" s="125">
        <v>46202</v>
      </c>
      <c r="C3630" s="126" t="s">
        <v>1681</v>
      </c>
      <c r="D3630" s="68" t="s">
        <v>285</v>
      </c>
      <c r="E3630" s="10" t="str">
        <f>TRIM(VLOOKUP(D3630,TB!$B$9:$C$1500,2,FALSE))</f>
        <v>Misc Cash Purchase</v>
      </c>
      <c r="F3630" s="142" t="s">
        <v>1682</v>
      </c>
      <c r="G3630" s="130"/>
      <c r="H3630" s="10">
        <v>10583920</v>
      </c>
      <c r="I3630" s="10">
        <f t="shared" si="246"/>
        <v>0</v>
      </c>
      <c r="J3630" s="79" t="e">
        <f t="shared" si="245"/>
        <v>#VALUE!</v>
      </c>
      <c r="K3630" s="106"/>
      <c r="L3630" s="141"/>
      <c r="M3630" s="132"/>
      <c r="N3630" s="133"/>
      <c r="O3630" s="4"/>
      <c r="P3630" s="4"/>
      <c r="Q3630" s="4"/>
      <c r="R3630" s="4"/>
      <c r="S3630" s="4"/>
      <c r="T3630" s="4"/>
      <c r="U3630" s="4"/>
      <c r="V3630" s="4"/>
      <c r="W3630" s="4"/>
      <c r="X3630" s="4"/>
    </row>
    <row r="3631" spans="1:24" ht="14.25" customHeight="1">
      <c r="A3631" s="4"/>
      <c r="B3631" s="125">
        <v>46202</v>
      </c>
      <c r="C3631" s="126" t="s">
        <v>1681</v>
      </c>
      <c r="D3631" s="68" t="s">
        <v>158</v>
      </c>
      <c r="E3631" s="10" t="str">
        <f>TRIM(VLOOKUP(D3631,TB!$B$9:$C$1500,2,FALSE))</f>
        <v>Mandiri TBB IDR</v>
      </c>
      <c r="F3631" s="142" t="s">
        <v>1682</v>
      </c>
      <c r="G3631" s="130"/>
      <c r="H3631" s="10"/>
      <c r="I3631" s="10">
        <f t="shared" si="246"/>
        <v>10583920</v>
      </c>
      <c r="J3631" s="79" t="e">
        <f t="shared" si="245"/>
        <v>#VALUE!</v>
      </c>
      <c r="K3631" s="106"/>
      <c r="L3631" s="141"/>
      <c r="M3631" s="132"/>
      <c r="N3631" s="133"/>
      <c r="O3631" s="4"/>
      <c r="P3631" s="4"/>
      <c r="Q3631" s="4"/>
      <c r="R3631" s="4"/>
      <c r="S3631" s="4"/>
      <c r="T3631" s="4"/>
      <c r="U3631" s="4"/>
      <c r="V3631" s="4"/>
      <c r="W3631" s="4"/>
      <c r="X3631" s="4"/>
    </row>
    <row r="3632" spans="1:24" ht="14.25" customHeight="1">
      <c r="A3632" s="4"/>
      <c r="B3632" s="125"/>
      <c r="C3632" s="126"/>
      <c r="D3632" s="159"/>
      <c r="E3632" s="10" t="e">
        <f>TRIM(VLOOKUP(D3632,TB!$B$9:$C$1500,2,FALSE))</f>
        <v>#N/A</v>
      </c>
      <c r="F3632" s="142"/>
      <c r="G3632" s="130"/>
      <c r="H3632" s="10"/>
      <c r="I3632" s="10">
        <f t="shared" si="246"/>
        <v>0</v>
      </c>
      <c r="J3632" s="79" t="e">
        <f t="shared" si="245"/>
        <v>#VALUE!</v>
      </c>
      <c r="K3632" s="106"/>
      <c r="L3632" s="141"/>
      <c r="M3632" s="132"/>
      <c r="N3632" s="133"/>
      <c r="O3632" s="4"/>
      <c r="P3632" s="4"/>
      <c r="Q3632" s="4"/>
      <c r="R3632" s="4"/>
      <c r="S3632" s="4"/>
      <c r="T3632" s="4"/>
      <c r="U3632" s="4"/>
      <c r="V3632" s="4"/>
      <c r="W3632" s="4"/>
      <c r="X3632" s="4"/>
    </row>
    <row r="3633" spans="1:24" ht="14.25" customHeight="1">
      <c r="A3633" s="4"/>
      <c r="B3633" s="125">
        <v>46202</v>
      </c>
      <c r="C3633" s="126" t="s">
        <v>1683</v>
      </c>
      <c r="D3633" s="68" t="s">
        <v>1219</v>
      </c>
      <c r="E3633" s="10" t="str">
        <f>TRIM(VLOOKUP(D3633,TB!$B$9:$C$1500,2,FALSE))</f>
        <v>Prepaid Building and Land rental</v>
      </c>
      <c r="F3633" s="142" t="s">
        <v>1684</v>
      </c>
      <c r="G3633" s="130"/>
      <c r="H3633" s="10">
        <v>50000000</v>
      </c>
      <c r="I3633" s="10">
        <f t="shared" si="246"/>
        <v>0</v>
      </c>
      <c r="J3633" s="79" t="e">
        <f t="shared" si="245"/>
        <v>#VALUE!</v>
      </c>
      <c r="K3633" s="106"/>
      <c r="L3633" s="141"/>
      <c r="M3633" s="132"/>
      <c r="N3633" s="133"/>
      <c r="O3633" s="4"/>
      <c r="P3633" s="4"/>
      <c r="Q3633" s="4"/>
      <c r="R3633" s="4"/>
      <c r="S3633" s="4"/>
      <c r="T3633" s="4"/>
      <c r="U3633" s="4"/>
      <c r="V3633" s="4"/>
      <c r="W3633" s="4"/>
      <c r="X3633" s="4"/>
    </row>
    <row r="3634" spans="1:24" ht="14.25" customHeight="1">
      <c r="A3634" s="4"/>
      <c r="B3634" s="125">
        <v>46202</v>
      </c>
      <c r="C3634" s="126" t="s">
        <v>1683</v>
      </c>
      <c r="D3634" s="15" t="s">
        <v>124</v>
      </c>
      <c r="E3634" s="10" t="str">
        <f>TRIM(VLOOKUP(D3634,TB!$B$9:$C$1500,2,FALSE))</f>
        <v>Bank charges</v>
      </c>
      <c r="F3634" s="142" t="s">
        <v>1684</v>
      </c>
      <c r="G3634" s="130"/>
      <c r="H3634" s="10">
        <v>2500</v>
      </c>
      <c r="I3634" s="10"/>
      <c r="J3634" s="79" t="e">
        <f t="shared" si="245"/>
        <v>#VALUE!</v>
      </c>
      <c r="K3634" s="106"/>
      <c r="L3634" s="141"/>
      <c r="M3634" s="132"/>
      <c r="N3634" s="133"/>
      <c r="O3634" s="4"/>
      <c r="P3634" s="4"/>
      <c r="Q3634" s="4"/>
      <c r="R3634" s="4"/>
      <c r="S3634" s="4"/>
      <c r="T3634" s="4"/>
      <c r="U3634" s="4"/>
      <c r="V3634" s="4"/>
      <c r="W3634" s="4"/>
      <c r="X3634" s="4"/>
    </row>
    <row r="3635" spans="1:24" ht="14.25" customHeight="1">
      <c r="A3635" s="4"/>
      <c r="B3635" s="125">
        <v>46202</v>
      </c>
      <c r="C3635" s="126" t="s">
        <v>1683</v>
      </c>
      <c r="D3635" s="68" t="s">
        <v>158</v>
      </c>
      <c r="E3635" s="10" t="str">
        <f>TRIM(VLOOKUP(D3635,TB!$B$9:$C$1500,2,FALSE))</f>
        <v>Mandiri TBB IDR</v>
      </c>
      <c r="F3635" s="142" t="s">
        <v>1684</v>
      </c>
      <c r="G3635" s="130"/>
      <c r="H3635" s="10"/>
      <c r="I3635" s="10">
        <f>SUM(H3633:H3634)</f>
        <v>50002500</v>
      </c>
      <c r="J3635" s="79" t="e">
        <f t="shared" si="245"/>
        <v>#VALUE!</v>
      </c>
      <c r="K3635" s="106"/>
      <c r="L3635" s="141"/>
      <c r="M3635" s="132"/>
      <c r="N3635" s="133"/>
      <c r="O3635" s="4"/>
      <c r="P3635" s="4"/>
      <c r="Q3635" s="4"/>
      <c r="R3635" s="4"/>
      <c r="S3635" s="4"/>
      <c r="T3635" s="4"/>
      <c r="U3635" s="4"/>
      <c r="V3635" s="4"/>
      <c r="W3635" s="4"/>
      <c r="X3635" s="4"/>
    </row>
    <row r="3636" spans="1:24" ht="14.25" customHeight="1">
      <c r="A3636" s="4"/>
      <c r="B3636" s="125"/>
      <c r="C3636" s="126"/>
      <c r="D3636" s="159"/>
      <c r="E3636" s="10" t="e">
        <f>TRIM(VLOOKUP(D3636,TB!$B$9:$C$1500,2,FALSE))</f>
        <v>#N/A</v>
      </c>
      <c r="F3636" s="142"/>
      <c r="G3636" s="130"/>
      <c r="H3636" s="10"/>
      <c r="I3636" s="10">
        <f t="shared" ref="I3636:I3658" si="247">SUM(H3635)</f>
        <v>0</v>
      </c>
      <c r="J3636" s="79" t="e">
        <f t="shared" si="245"/>
        <v>#VALUE!</v>
      </c>
      <c r="K3636" s="106"/>
      <c r="L3636" s="141"/>
      <c r="M3636" s="132"/>
      <c r="N3636" s="133"/>
      <c r="O3636" s="4"/>
      <c r="P3636" s="4"/>
      <c r="Q3636" s="4"/>
      <c r="R3636" s="4"/>
      <c r="S3636" s="4"/>
      <c r="T3636" s="4"/>
      <c r="U3636" s="4"/>
      <c r="V3636" s="4"/>
      <c r="W3636" s="4"/>
      <c r="X3636" s="4"/>
    </row>
    <row r="3637" spans="1:24" ht="14.25" customHeight="1">
      <c r="A3637" s="4"/>
      <c r="B3637" s="125">
        <v>46202</v>
      </c>
      <c r="C3637" s="126" t="s">
        <v>1685</v>
      </c>
      <c r="D3637" s="68" t="s">
        <v>285</v>
      </c>
      <c r="E3637" s="10" t="str">
        <f>TRIM(VLOOKUP(D3637,TB!$B$9:$C$1500,2,FALSE))</f>
        <v>Misc Cash Purchase</v>
      </c>
      <c r="F3637" s="142" t="s">
        <v>1686</v>
      </c>
      <c r="G3637" s="130"/>
      <c r="H3637" s="10">
        <v>200000</v>
      </c>
      <c r="I3637" s="10">
        <f t="shared" si="247"/>
        <v>0</v>
      </c>
      <c r="J3637" s="79" t="e">
        <f t="shared" si="245"/>
        <v>#VALUE!</v>
      </c>
      <c r="K3637" s="106"/>
      <c r="L3637" s="141"/>
      <c r="M3637" s="132"/>
      <c r="N3637" s="133"/>
      <c r="O3637" s="4"/>
      <c r="P3637" s="4"/>
      <c r="Q3637" s="4"/>
      <c r="R3637" s="4"/>
      <c r="S3637" s="4"/>
      <c r="T3637" s="4"/>
      <c r="U3637" s="4"/>
      <c r="V3637" s="4"/>
      <c r="W3637" s="4"/>
      <c r="X3637" s="4"/>
    </row>
    <row r="3638" spans="1:24" ht="14.25" customHeight="1">
      <c r="A3638" s="4"/>
      <c r="B3638" s="125">
        <v>46202</v>
      </c>
      <c r="C3638" s="126" t="s">
        <v>1685</v>
      </c>
      <c r="D3638" s="68" t="s">
        <v>158</v>
      </c>
      <c r="E3638" s="10" t="str">
        <f>TRIM(VLOOKUP(D3638,TB!$B$9:$C$1500,2,FALSE))</f>
        <v>Mandiri TBB IDR</v>
      </c>
      <c r="F3638" s="142" t="s">
        <v>1686</v>
      </c>
      <c r="G3638" s="130"/>
      <c r="H3638" s="10"/>
      <c r="I3638" s="10">
        <f t="shared" si="247"/>
        <v>200000</v>
      </c>
      <c r="J3638" s="79" t="e">
        <f t="shared" si="245"/>
        <v>#VALUE!</v>
      </c>
      <c r="K3638" s="106"/>
      <c r="L3638" s="141"/>
      <c r="M3638" s="132"/>
      <c r="N3638" s="133"/>
      <c r="O3638" s="4"/>
      <c r="P3638" s="4"/>
      <c r="Q3638" s="4"/>
      <c r="R3638" s="4"/>
      <c r="S3638" s="4"/>
      <c r="T3638" s="4"/>
      <c r="U3638" s="4"/>
      <c r="V3638" s="4"/>
      <c r="W3638" s="4"/>
      <c r="X3638" s="4"/>
    </row>
    <row r="3639" spans="1:24" ht="14.25" customHeight="1">
      <c r="A3639" s="4"/>
      <c r="B3639" s="125"/>
      <c r="C3639" s="126"/>
      <c r="D3639" s="159"/>
      <c r="E3639" s="10" t="e">
        <f>TRIM(VLOOKUP(D3639,TB!$B$9:$C$1500,2,FALSE))</f>
        <v>#N/A</v>
      </c>
      <c r="F3639" s="142"/>
      <c r="G3639" s="130"/>
      <c r="H3639" s="10"/>
      <c r="I3639" s="10">
        <f t="shared" si="247"/>
        <v>0</v>
      </c>
      <c r="J3639" s="79" t="e">
        <f t="shared" si="245"/>
        <v>#VALUE!</v>
      </c>
      <c r="K3639" s="106"/>
      <c r="L3639" s="141"/>
      <c r="M3639" s="132"/>
      <c r="N3639" s="133"/>
      <c r="O3639" s="4"/>
      <c r="P3639" s="4"/>
      <c r="Q3639" s="4"/>
      <c r="R3639" s="4"/>
      <c r="S3639" s="4"/>
      <c r="T3639" s="4"/>
      <c r="U3639" s="4"/>
      <c r="V3639" s="4"/>
      <c r="W3639" s="4"/>
      <c r="X3639" s="4"/>
    </row>
    <row r="3640" spans="1:24" ht="14.25" customHeight="1">
      <c r="A3640" s="4"/>
      <c r="B3640" s="125">
        <v>46202</v>
      </c>
      <c r="C3640" s="126" t="s">
        <v>1687</v>
      </c>
      <c r="D3640" s="68" t="s">
        <v>285</v>
      </c>
      <c r="E3640" s="10" t="str">
        <f>TRIM(VLOOKUP(D3640,TB!$B$9:$C$1500,2,FALSE))</f>
        <v>Misc Cash Purchase</v>
      </c>
      <c r="F3640" s="142" t="s">
        <v>1688</v>
      </c>
      <c r="G3640" s="130"/>
      <c r="H3640" s="10">
        <v>300000</v>
      </c>
      <c r="I3640" s="10">
        <f t="shared" si="247"/>
        <v>0</v>
      </c>
      <c r="J3640" s="79" t="e">
        <f t="shared" si="245"/>
        <v>#VALUE!</v>
      </c>
      <c r="K3640" s="106"/>
      <c r="L3640" s="141"/>
      <c r="M3640" s="132"/>
      <c r="N3640" s="133"/>
      <c r="O3640" s="4"/>
      <c r="P3640" s="4"/>
      <c r="Q3640" s="4"/>
      <c r="R3640" s="4"/>
      <c r="S3640" s="4"/>
      <c r="T3640" s="4"/>
      <c r="U3640" s="4"/>
      <c r="V3640" s="4"/>
      <c r="W3640" s="4"/>
      <c r="X3640" s="4"/>
    </row>
    <row r="3641" spans="1:24" ht="14.25" customHeight="1">
      <c r="A3641" s="4"/>
      <c r="B3641" s="125">
        <v>46202</v>
      </c>
      <c r="C3641" s="126" t="s">
        <v>1687</v>
      </c>
      <c r="D3641" s="68" t="s">
        <v>158</v>
      </c>
      <c r="E3641" s="10" t="str">
        <f>TRIM(VLOOKUP(D3641,TB!$B$9:$C$1500,2,FALSE))</f>
        <v>Mandiri TBB IDR</v>
      </c>
      <c r="F3641" s="142" t="s">
        <v>1688</v>
      </c>
      <c r="G3641" s="130"/>
      <c r="H3641" s="10"/>
      <c r="I3641" s="10">
        <f t="shared" si="247"/>
        <v>300000</v>
      </c>
      <c r="J3641" s="79" t="e">
        <f t="shared" si="245"/>
        <v>#VALUE!</v>
      </c>
      <c r="K3641" s="106"/>
      <c r="L3641" s="141"/>
      <c r="M3641" s="132"/>
      <c r="N3641" s="133"/>
      <c r="O3641" s="4"/>
      <c r="P3641" s="4"/>
      <c r="Q3641" s="4"/>
      <c r="R3641" s="4"/>
      <c r="S3641" s="4"/>
      <c r="T3641" s="4"/>
      <c r="U3641" s="4"/>
      <c r="V3641" s="4"/>
      <c r="W3641" s="4"/>
      <c r="X3641" s="4"/>
    </row>
    <row r="3642" spans="1:24" ht="14.25" customHeight="1">
      <c r="A3642" s="4"/>
      <c r="B3642" s="125"/>
      <c r="C3642" s="126"/>
      <c r="D3642" s="159"/>
      <c r="E3642" s="10" t="e">
        <f>TRIM(VLOOKUP(D3642,TB!$B$9:$C$1500,2,FALSE))</f>
        <v>#N/A</v>
      </c>
      <c r="F3642" s="142"/>
      <c r="G3642" s="130"/>
      <c r="H3642" s="10"/>
      <c r="I3642" s="10">
        <f t="shared" si="247"/>
        <v>0</v>
      </c>
      <c r="J3642" s="79" t="e">
        <f t="shared" si="245"/>
        <v>#VALUE!</v>
      </c>
      <c r="K3642" s="106"/>
      <c r="L3642" s="141"/>
      <c r="M3642" s="132"/>
      <c r="N3642" s="133"/>
      <c r="O3642" s="4"/>
      <c r="P3642" s="4"/>
      <c r="Q3642" s="4"/>
      <c r="R3642" s="4"/>
      <c r="S3642" s="4"/>
      <c r="T3642" s="4"/>
      <c r="U3642" s="4"/>
      <c r="V3642" s="4"/>
      <c r="W3642" s="4"/>
      <c r="X3642" s="4"/>
    </row>
    <row r="3643" spans="1:24" ht="14.25" customHeight="1">
      <c r="A3643" s="4"/>
      <c r="B3643" s="125">
        <v>46202</v>
      </c>
      <c r="C3643" s="126" t="s">
        <v>1689</v>
      </c>
      <c r="D3643" s="68" t="s">
        <v>285</v>
      </c>
      <c r="E3643" s="10" t="str">
        <f>TRIM(VLOOKUP(D3643,TB!$B$9:$C$1500,2,FALSE))</f>
        <v>Misc Cash Purchase</v>
      </c>
      <c r="F3643" s="142" t="s">
        <v>1690</v>
      </c>
      <c r="G3643" s="130"/>
      <c r="H3643" s="10">
        <v>620000</v>
      </c>
      <c r="I3643" s="10">
        <f t="shared" si="247"/>
        <v>0</v>
      </c>
      <c r="J3643" s="79" t="e">
        <f t="shared" si="245"/>
        <v>#VALUE!</v>
      </c>
      <c r="K3643" s="106"/>
      <c r="L3643" s="141"/>
      <c r="M3643" s="132"/>
      <c r="N3643" s="133"/>
      <c r="O3643" s="4"/>
      <c r="P3643" s="4"/>
      <c r="Q3643" s="4"/>
      <c r="R3643" s="4"/>
      <c r="S3643" s="4"/>
      <c r="T3643" s="4"/>
      <c r="U3643" s="4"/>
      <c r="V3643" s="4"/>
      <c r="W3643" s="4"/>
      <c r="X3643" s="4"/>
    </row>
    <row r="3644" spans="1:24" ht="14.25" customHeight="1">
      <c r="A3644" s="4"/>
      <c r="B3644" s="125">
        <v>46202</v>
      </c>
      <c r="C3644" s="126" t="s">
        <v>1689</v>
      </c>
      <c r="D3644" s="68" t="s">
        <v>158</v>
      </c>
      <c r="E3644" s="10" t="str">
        <f>TRIM(VLOOKUP(D3644,TB!$B$9:$C$1500,2,FALSE))</f>
        <v>Mandiri TBB IDR</v>
      </c>
      <c r="F3644" s="142" t="s">
        <v>1690</v>
      </c>
      <c r="G3644" s="130"/>
      <c r="H3644" s="10"/>
      <c r="I3644" s="10">
        <f t="shared" si="247"/>
        <v>620000</v>
      </c>
      <c r="J3644" s="79" t="e">
        <f t="shared" si="245"/>
        <v>#VALUE!</v>
      </c>
      <c r="K3644" s="106"/>
      <c r="L3644" s="141"/>
      <c r="M3644" s="132"/>
      <c r="N3644" s="133"/>
      <c r="O3644" s="4"/>
      <c r="P3644" s="4"/>
      <c r="Q3644" s="4"/>
      <c r="R3644" s="4"/>
      <c r="S3644" s="4"/>
      <c r="T3644" s="4"/>
      <c r="U3644" s="4"/>
      <c r="V3644" s="4"/>
      <c r="W3644" s="4"/>
      <c r="X3644" s="4"/>
    </row>
    <row r="3645" spans="1:24" ht="14.25" customHeight="1">
      <c r="A3645" s="4"/>
      <c r="B3645" s="125"/>
      <c r="C3645" s="126"/>
      <c r="D3645" s="159"/>
      <c r="E3645" s="10" t="e">
        <f>TRIM(VLOOKUP(D3645,TB!$B$9:$C$1500,2,FALSE))</f>
        <v>#N/A</v>
      </c>
      <c r="F3645" s="142"/>
      <c r="G3645" s="130"/>
      <c r="H3645" s="10"/>
      <c r="I3645" s="10">
        <f t="shared" si="247"/>
        <v>0</v>
      </c>
      <c r="J3645" s="79" t="e">
        <f t="shared" si="245"/>
        <v>#VALUE!</v>
      </c>
      <c r="K3645" s="106"/>
      <c r="L3645" s="141"/>
      <c r="M3645" s="132"/>
      <c r="N3645" s="133"/>
      <c r="O3645" s="4"/>
      <c r="P3645" s="4"/>
      <c r="Q3645" s="4"/>
      <c r="R3645" s="4"/>
      <c r="S3645" s="4"/>
      <c r="T3645" s="4"/>
      <c r="U3645" s="4"/>
      <c r="V3645" s="4"/>
      <c r="W3645" s="4"/>
      <c r="X3645" s="4"/>
    </row>
    <row r="3646" spans="1:24" ht="14.25" customHeight="1">
      <c r="A3646" s="4"/>
      <c r="B3646" s="125">
        <v>46202</v>
      </c>
      <c r="C3646" s="126" t="s">
        <v>1691</v>
      </c>
      <c r="D3646" s="68" t="s">
        <v>285</v>
      </c>
      <c r="E3646" s="10" t="str">
        <f>TRIM(VLOOKUP(D3646,TB!$B$9:$C$1500,2,FALSE))</f>
        <v>Misc Cash Purchase</v>
      </c>
      <c r="F3646" s="142" t="s">
        <v>1692</v>
      </c>
      <c r="G3646" s="130"/>
      <c r="H3646" s="10">
        <v>280000</v>
      </c>
      <c r="I3646" s="10">
        <f t="shared" si="247"/>
        <v>0</v>
      </c>
      <c r="J3646" s="79" t="e">
        <f t="shared" si="245"/>
        <v>#VALUE!</v>
      </c>
      <c r="K3646" s="106"/>
      <c r="L3646" s="141"/>
      <c r="M3646" s="132"/>
      <c r="N3646" s="133"/>
      <c r="O3646" s="4"/>
      <c r="P3646" s="4"/>
      <c r="Q3646" s="4"/>
      <c r="R3646" s="4"/>
      <c r="S3646" s="4"/>
      <c r="T3646" s="4"/>
      <c r="U3646" s="4"/>
      <c r="V3646" s="4"/>
      <c r="W3646" s="4"/>
      <c r="X3646" s="4"/>
    </row>
    <row r="3647" spans="1:24" ht="14.25" customHeight="1">
      <c r="A3647" s="4"/>
      <c r="B3647" s="125">
        <v>46202</v>
      </c>
      <c r="C3647" s="126" t="s">
        <v>1691</v>
      </c>
      <c r="D3647" s="68" t="s">
        <v>158</v>
      </c>
      <c r="E3647" s="10" t="str">
        <f>TRIM(VLOOKUP(D3647,TB!$B$9:$C$1500,2,FALSE))</f>
        <v>Mandiri TBB IDR</v>
      </c>
      <c r="F3647" s="142" t="s">
        <v>1692</v>
      </c>
      <c r="G3647" s="130"/>
      <c r="H3647" s="10"/>
      <c r="I3647" s="10">
        <f t="shared" si="247"/>
        <v>280000</v>
      </c>
      <c r="J3647" s="79" t="e">
        <f t="shared" si="245"/>
        <v>#VALUE!</v>
      </c>
      <c r="K3647" s="106"/>
      <c r="L3647" s="141"/>
      <c r="M3647" s="132"/>
      <c r="N3647" s="133"/>
      <c r="O3647" s="4"/>
      <c r="P3647" s="4"/>
      <c r="Q3647" s="4"/>
      <c r="R3647" s="4"/>
      <c r="S3647" s="4"/>
      <c r="T3647" s="4"/>
      <c r="U3647" s="4"/>
      <c r="V3647" s="4"/>
      <c r="W3647" s="4"/>
      <c r="X3647" s="4"/>
    </row>
    <row r="3648" spans="1:24" ht="14.25" customHeight="1">
      <c r="A3648" s="4"/>
      <c r="B3648" s="125"/>
      <c r="C3648" s="126"/>
      <c r="D3648" s="159"/>
      <c r="E3648" s="10" t="e">
        <f>TRIM(VLOOKUP(D3648,TB!$B$9:$C$1500,2,FALSE))</f>
        <v>#N/A</v>
      </c>
      <c r="F3648" s="142"/>
      <c r="G3648" s="130"/>
      <c r="H3648" s="10"/>
      <c r="I3648" s="10">
        <f t="shared" si="247"/>
        <v>0</v>
      </c>
      <c r="J3648" s="79" t="e">
        <f t="shared" si="245"/>
        <v>#VALUE!</v>
      </c>
      <c r="K3648" s="106"/>
      <c r="L3648" s="141"/>
      <c r="M3648" s="132"/>
      <c r="N3648" s="133"/>
      <c r="O3648" s="4"/>
      <c r="P3648" s="4"/>
      <c r="Q3648" s="4"/>
      <c r="R3648" s="4"/>
      <c r="S3648" s="4"/>
      <c r="T3648" s="4"/>
      <c r="U3648" s="4"/>
      <c r="V3648" s="4"/>
      <c r="W3648" s="4"/>
      <c r="X3648" s="4"/>
    </row>
    <row r="3649" spans="1:24" ht="14.25" customHeight="1">
      <c r="A3649" s="4"/>
      <c r="B3649" s="125">
        <v>46202</v>
      </c>
      <c r="C3649" s="126" t="s">
        <v>1693</v>
      </c>
      <c r="D3649" s="68" t="s">
        <v>285</v>
      </c>
      <c r="E3649" s="10" t="str">
        <f>TRIM(VLOOKUP(D3649,TB!$B$9:$C$1500,2,FALSE))</f>
        <v>Misc Cash Purchase</v>
      </c>
      <c r="F3649" s="142" t="s">
        <v>1694</v>
      </c>
      <c r="G3649" s="130"/>
      <c r="H3649" s="10">
        <v>600000</v>
      </c>
      <c r="I3649" s="10">
        <f t="shared" si="247"/>
        <v>0</v>
      </c>
      <c r="J3649" s="79" t="e">
        <f t="shared" si="245"/>
        <v>#VALUE!</v>
      </c>
      <c r="K3649" s="106"/>
      <c r="L3649" s="141"/>
      <c r="M3649" s="132"/>
      <c r="N3649" s="133"/>
      <c r="O3649" s="4"/>
      <c r="P3649" s="4"/>
      <c r="Q3649" s="4"/>
      <c r="R3649" s="4"/>
      <c r="S3649" s="4"/>
      <c r="T3649" s="4"/>
      <c r="U3649" s="4"/>
      <c r="V3649" s="4"/>
      <c r="W3649" s="4"/>
      <c r="X3649" s="4"/>
    </row>
    <row r="3650" spans="1:24" ht="14.25" customHeight="1">
      <c r="A3650" s="4"/>
      <c r="B3650" s="125">
        <v>46202</v>
      </c>
      <c r="C3650" s="126" t="s">
        <v>1693</v>
      </c>
      <c r="D3650" s="68" t="s">
        <v>158</v>
      </c>
      <c r="E3650" s="10" t="str">
        <f>TRIM(VLOOKUP(D3650,TB!$B$9:$C$1500,2,FALSE))</f>
        <v>Mandiri TBB IDR</v>
      </c>
      <c r="F3650" s="142" t="s">
        <v>1694</v>
      </c>
      <c r="G3650" s="130"/>
      <c r="H3650" s="10"/>
      <c r="I3650" s="10">
        <f t="shared" si="247"/>
        <v>600000</v>
      </c>
      <c r="J3650" s="79" t="e">
        <f t="shared" si="245"/>
        <v>#VALUE!</v>
      </c>
      <c r="K3650" s="106"/>
      <c r="L3650" s="141"/>
      <c r="M3650" s="132"/>
      <c r="N3650" s="133"/>
      <c r="O3650" s="4"/>
      <c r="P3650" s="4"/>
      <c r="Q3650" s="4"/>
      <c r="R3650" s="4"/>
      <c r="S3650" s="4"/>
      <c r="T3650" s="4"/>
      <c r="U3650" s="4"/>
      <c r="V3650" s="4"/>
      <c r="W3650" s="4"/>
      <c r="X3650" s="4"/>
    </row>
    <row r="3651" spans="1:24" ht="14.25" customHeight="1">
      <c r="A3651" s="4"/>
      <c r="B3651" s="125"/>
      <c r="C3651" s="126"/>
      <c r="D3651" s="159"/>
      <c r="E3651" s="10" t="e">
        <f>TRIM(VLOOKUP(D3651,TB!$B$9:$C$1500,2,FALSE))</f>
        <v>#N/A</v>
      </c>
      <c r="F3651" s="142"/>
      <c r="G3651" s="130"/>
      <c r="H3651" s="10"/>
      <c r="I3651" s="10">
        <f t="shared" si="247"/>
        <v>0</v>
      </c>
      <c r="J3651" s="79" t="e">
        <f t="shared" si="245"/>
        <v>#VALUE!</v>
      </c>
      <c r="K3651" s="106"/>
      <c r="L3651" s="141"/>
      <c r="M3651" s="132"/>
      <c r="N3651" s="133"/>
      <c r="O3651" s="4"/>
      <c r="P3651" s="4"/>
      <c r="Q3651" s="4"/>
      <c r="R3651" s="4"/>
      <c r="S3651" s="4"/>
      <c r="T3651" s="4"/>
      <c r="U3651" s="4"/>
      <c r="V3651" s="4"/>
      <c r="W3651" s="4"/>
      <c r="X3651" s="4"/>
    </row>
    <row r="3652" spans="1:24" ht="14.25" customHeight="1">
      <c r="A3652" s="4"/>
      <c r="B3652" s="125">
        <v>46202</v>
      </c>
      <c r="C3652" s="126" t="s">
        <v>1695</v>
      </c>
      <c r="D3652" s="68" t="s">
        <v>285</v>
      </c>
      <c r="E3652" s="10" t="str">
        <f>TRIM(VLOOKUP(D3652,TB!$B$9:$C$1500,2,FALSE))</f>
        <v>Misc Cash Purchase</v>
      </c>
      <c r="F3652" s="142" t="s">
        <v>1696</v>
      </c>
      <c r="G3652" s="130"/>
      <c r="H3652" s="10">
        <v>300000</v>
      </c>
      <c r="I3652" s="10">
        <f t="shared" si="247"/>
        <v>0</v>
      </c>
      <c r="J3652" s="79" t="e">
        <f t="shared" si="245"/>
        <v>#VALUE!</v>
      </c>
      <c r="K3652" s="106"/>
      <c r="L3652" s="141"/>
      <c r="M3652" s="132"/>
      <c r="N3652" s="133"/>
      <c r="O3652" s="4"/>
      <c r="P3652" s="4"/>
      <c r="Q3652" s="4"/>
      <c r="R3652" s="4"/>
      <c r="S3652" s="4"/>
      <c r="T3652" s="4"/>
      <c r="U3652" s="4"/>
      <c r="V3652" s="4"/>
      <c r="W3652" s="4"/>
      <c r="X3652" s="4"/>
    </row>
    <row r="3653" spans="1:24" ht="14.25" customHeight="1">
      <c r="A3653" s="4"/>
      <c r="B3653" s="125">
        <v>46202</v>
      </c>
      <c r="C3653" s="126" t="s">
        <v>1695</v>
      </c>
      <c r="D3653" s="68" t="s">
        <v>158</v>
      </c>
      <c r="E3653" s="10" t="str">
        <f>TRIM(VLOOKUP(D3653,TB!$B$9:$C$1500,2,FALSE))</f>
        <v>Mandiri TBB IDR</v>
      </c>
      <c r="F3653" s="142" t="s">
        <v>1696</v>
      </c>
      <c r="G3653" s="130"/>
      <c r="H3653" s="10"/>
      <c r="I3653" s="10">
        <f t="shared" si="247"/>
        <v>300000</v>
      </c>
      <c r="J3653" s="79" t="e">
        <f t="shared" si="245"/>
        <v>#VALUE!</v>
      </c>
      <c r="K3653" s="106"/>
      <c r="L3653" s="141"/>
      <c r="M3653" s="132"/>
      <c r="N3653" s="133"/>
      <c r="O3653" s="4"/>
      <c r="P3653" s="4"/>
      <c r="Q3653" s="4"/>
      <c r="R3653" s="4"/>
      <c r="S3653" s="4"/>
      <c r="T3653" s="4"/>
      <c r="U3653" s="4"/>
      <c r="V3653" s="4"/>
      <c r="W3653" s="4"/>
      <c r="X3653" s="4"/>
    </row>
    <row r="3654" spans="1:24" ht="14.25" customHeight="1">
      <c r="A3654" s="4"/>
      <c r="B3654" s="125"/>
      <c r="C3654" s="126"/>
      <c r="D3654" s="159"/>
      <c r="E3654" s="10" t="e">
        <f>TRIM(VLOOKUP(D3654,TB!$B$9:$C$1500,2,FALSE))</f>
        <v>#N/A</v>
      </c>
      <c r="F3654" s="142"/>
      <c r="G3654" s="130"/>
      <c r="H3654" s="10"/>
      <c r="I3654" s="10">
        <f t="shared" si="247"/>
        <v>0</v>
      </c>
      <c r="J3654" s="79" t="e">
        <f t="shared" si="245"/>
        <v>#VALUE!</v>
      </c>
      <c r="K3654" s="106"/>
      <c r="L3654" s="141"/>
      <c r="M3654" s="132"/>
      <c r="N3654" s="133"/>
      <c r="O3654" s="4"/>
      <c r="P3654" s="4"/>
      <c r="Q3654" s="4"/>
      <c r="R3654" s="4"/>
      <c r="S3654" s="4"/>
      <c r="T3654" s="4"/>
      <c r="U3654" s="4"/>
      <c r="V3654" s="4"/>
      <c r="W3654" s="4"/>
      <c r="X3654" s="4"/>
    </row>
    <row r="3655" spans="1:24" ht="14.25" customHeight="1">
      <c r="A3655" s="4"/>
      <c r="B3655" s="125">
        <v>46202</v>
      </c>
      <c r="C3655" s="126" t="s">
        <v>1697</v>
      </c>
      <c r="D3655" s="68" t="s">
        <v>285</v>
      </c>
      <c r="E3655" s="10" t="str">
        <f>TRIM(VLOOKUP(D3655,TB!$B$9:$C$1500,2,FALSE))</f>
        <v>Misc Cash Purchase</v>
      </c>
      <c r="F3655" s="142" t="s">
        <v>1698</v>
      </c>
      <c r="G3655" s="130"/>
      <c r="H3655" s="10">
        <v>140000</v>
      </c>
      <c r="I3655" s="10">
        <f t="shared" si="247"/>
        <v>0</v>
      </c>
      <c r="J3655" s="79" t="e">
        <f t="shared" si="245"/>
        <v>#VALUE!</v>
      </c>
      <c r="K3655" s="106"/>
      <c r="L3655" s="141"/>
      <c r="M3655" s="132"/>
      <c r="N3655" s="133"/>
      <c r="O3655" s="4"/>
      <c r="P3655" s="4"/>
      <c r="Q3655" s="4"/>
      <c r="R3655" s="4"/>
      <c r="S3655" s="4"/>
      <c r="T3655" s="4"/>
      <c r="U3655" s="4"/>
      <c r="V3655" s="4"/>
      <c r="W3655" s="4"/>
      <c r="X3655" s="4"/>
    </row>
    <row r="3656" spans="1:24" ht="14.25" customHeight="1">
      <c r="A3656" s="4"/>
      <c r="B3656" s="125">
        <v>46202</v>
      </c>
      <c r="C3656" s="126" t="s">
        <v>1697</v>
      </c>
      <c r="D3656" s="68" t="s">
        <v>158</v>
      </c>
      <c r="E3656" s="10" t="str">
        <f>TRIM(VLOOKUP(D3656,TB!$B$9:$C$1500,2,FALSE))</f>
        <v>Mandiri TBB IDR</v>
      </c>
      <c r="F3656" s="142" t="s">
        <v>1698</v>
      </c>
      <c r="G3656" s="130"/>
      <c r="H3656" s="10"/>
      <c r="I3656" s="10">
        <f t="shared" si="247"/>
        <v>140000</v>
      </c>
      <c r="J3656" s="79" t="e">
        <f t="shared" si="245"/>
        <v>#VALUE!</v>
      </c>
      <c r="K3656" s="106"/>
      <c r="L3656" s="141"/>
      <c r="M3656" s="132"/>
      <c r="N3656" s="133"/>
      <c r="O3656" s="4"/>
      <c r="P3656" s="4"/>
      <c r="Q3656" s="4"/>
      <c r="R3656" s="4"/>
      <c r="S3656" s="4"/>
      <c r="T3656" s="4"/>
      <c r="U3656" s="4"/>
      <c r="V3656" s="4"/>
      <c r="W3656" s="4"/>
      <c r="X3656" s="4"/>
    </row>
    <row r="3657" spans="1:24" ht="14.25" customHeight="1">
      <c r="A3657" s="4"/>
      <c r="B3657" s="125"/>
      <c r="C3657" s="126"/>
      <c r="D3657" s="159"/>
      <c r="E3657" s="10" t="e">
        <f>TRIM(VLOOKUP(D3657,TB!$B$9:$C$1500,2,FALSE))</f>
        <v>#N/A</v>
      </c>
      <c r="F3657" s="142"/>
      <c r="G3657" s="130"/>
      <c r="H3657" s="10"/>
      <c r="I3657" s="10">
        <f t="shared" si="247"/>
        <v>0</v>
      </c>
      <c r="J3657" s="79" t="e">
        <f t="shared" si="245"/>
        <v>#VALUE!</v>
      </c>
      <c r="K3657" s="106"/>
      <c r="L3657" s="141"/>
      <c r="M3657" s="132"/>
      <c r="N3657" s="133"/>
      <c r="O3657" s="4"/>
      <c r="P3657" s="4"/>
      <c r="Q3657" s="4"/>
      <c r="R3657" s="4"/>
      <c r="S3657" s="4"/>
      <c r="T3657" s="4"/>
      <c r="U3657" s="4"/>
      <c r="V3657" s="4"/>
      <c r="W3657" s="4"/>
      <c r="X3657" s="4"/>
    </row>
    <row r="3658" spans="1:24" ht="14.25" customHeight="1">
      <c r="A3658" s="4"/>
      <c r="B3658" s="125">
        <v>46202</v>
      </c>
      <c r="C3658" s="126" t="s">
        <v>1699</v>
      </c>
      <c r="D3658" s="68" t="s">
        <v>130</v>
      </c>
      <c r="E3658" s="10" t="str">
        <f>TRIM(VLOOKUP(D3658,TB!$B$9:$C$1500,2,FALSE))</f>
        <v>BCA TBB</v>
      </c>
      <c r="F3658" s="142" t="s">
        <v>1247</v>
      </c>
      <c r="G3658" s="130"/>
      <c r="H3658" s="10">
        <v>50000000</v>
      </c>
      <c r="I3658" s="10">
        <f t="shared" si="247"/>
        <v>0</v>
      </c>
      <c r="J3658" s="79" t="e">
        <f t="shared" si="245"/>
        <v>#VALUE!</v>
      </c>
      <c r="K3658" s="106"/>
      <c r="L3658" s="141"/>
      <c r="M3658" s="132"/>
      <c r="N3658" s="133"/>
      <c r="O3658" s="4"/>
      <c r="P3658" s="4"/>
      <c r="Q3658" s="4"/>
      <c r="R3658" s="4"/>
      <c r="S3658" s="4"/>
      <c r="T3658" s="4"/>
      <c r="U3658" s="4"/>
      <c r="V3658" s="4"/>
      <c r="W3658" s="4"/>
      <c r="X3658" s="4"/>
    </row>
    <row r="3659" spans="1:24" ht="14.25" customHeight="1">
      <c r="A3659" s="4"/>
      <c r="B3659" s="125">
        <v>46202</v>
      </c>
      <c r="C3659" s="126" t="s">
        <v>1699</v>
      </c>
      <c r="D3659" s="15" t="s">
        <v>124</v>
      </c>
      <c r="E3659" s="10" t="str">
        <f>TRIM(VLOOKUP(D3659,TB!$B$9:$C$1500,2,FALSE))</f>
        <v>Bank charges</v>
      </c>
      <c r="F3659" s="142" t="s">
        <v>1247</v>
      </c>
      <c r="G3659" s="130"/>
      <c r="H3659" s="10">
        <v>2500</v>
      </c>
      <c r="I3659" s="10"/>
      <c r="J3659" s="79" t="e">
        <f t="shared" si="245"/>
        <v>#VALUE!</v>
      </c>
      <c r="K3659" s="106"/>
      <c r="L3659" s="141"/>
      <c r="M3659" s="132"/>
      <c r="N3659" s="133"/>
      <c r="O3659" s="4"/>
      <c r="P3659" s="4"/>
      <c r="Q3659" s="4"/>
      <c r="R3659" s="4"/>
      <c r="S3659" s="4"/>
      <c r="T3659" s="4"/>
      <c r="U3659" s="4"/>
      <c r="V3659" s="4"/>
      <c r="W3659" s="4"/>
      <c r="X3659" s="4"/>
    </row>
    <row r="3660" spans="1:24" ht="14.25" customHeight="1">
      <c r="A3660" s="4"/>
      <c r="B3660" s="125">
        <v>46202</v>
      </c>
      <c r="C3660" s="126" t="s">
        <v>1699</v>
      </c>
      <c r="D3660" s="68" t="s">
        <v>158</v>
      </c>
      <c r="E3660" s="10" t="str">
        <f>TRIM(VLOOKUP(D3660,TB!$B$9:$C$1500,2,FALSE))</f>
        <v>Mandiri TBB IDR</v>
      </c>
      <c r="F3660" s="142" t="s">
        <v>1247</v>
      </c>
      <c r="G3660" s="130"/>
      <c r="H3660" s="10"/>
      <c r="I3660" s="10">
        <f>SUM(H3658:H3659)</f>
        <v>50002500</v>
      </c>
      <c r="J3660" s="79" t="e">
        <f t="shared" si="245"/>
        <v>#VALUE!</v>
      </c>
      <c r="K3660" s="106"/>
      <c r="L3660" s="141"/>
      <c r="M3660" s="132"/>
      <c r="N3660" s="133"/>
      <c r="O3660" s="4"/>
      <c r="P3660" s="4"/>
      <c r="Q3660" s="4"/>
      <c r="R3660" s="4"/>
      <c r="S3660" s="4"/>
      <c r="T3660" s="4"/>
      <c r="U3660" s="4"/>
      <c r="V3660" s="4"/>
      <c r="W3660" s="4"/>
      <c r="X3660" s="4"/>
    </row>
    <row r="3661" spans="1:24" ht="14.25" customHeight="1">
      <c r="A3661" s="4"/>
      <c r="B3661" s="125"/>
      <c r="C3661" s="126"/>
      <c r="D3661" s="159"/>
      <c r="E3661" s="10" t="e">
        <f>TRIM(VLOOKUP(D3661,TB!$B$9:$C$1500,2,FALSE))</f>
        <v>#N/A</v>
      </c>
      <c r="F3661" s="142"/>
      <c r="G3661" s="130"/>
      <c r="H3661" s="10"/>
      <c r="I3661" s="10">
        <f t="shared" ref="I3661:I3662" si="248">SUM(H3660)</f>
        <v>0</v>
      </c>
      <c r="J3661" s="79" t="e">
        <f t="shared" si="245"/>
        <v>#VALUE!</v>
      </c>
      <c r="K3661" s="106"/>
      <c r="L3661" s="141"/>
      <c r="M3661" s="132"/>
      <c r="N3661" s="133"/>
      <c r="O3661" s="4"/>
      <c r="P3661" s="4"/>
      <c r="Q3661" s="4"/>
      <c r="R3661" s="4"/>
      <c r="S3661" s="4"/>
      <c r="T3661" s="4"/>
      <c r="U3661" s="4"/>
      <c r="V3661" s="4"/>
      <c r="W3661" s="4"/>
      <c r="X3661" s="4"/>
    </row>
    <row r="3662" spans="1:24" ht="14.25" customHeight="1">
      <c r="A3662" s="4"/>
      <c r="B3662" s="125">
        <v>46202</v>
      </c>
      <c r="C3662" s="126" t="s">
        <v>1700</v>
      </c>
      <c r="D3662" s="68" t="s">
        <v>130</v>
      </c>
      <c r="E3662" s="10" t="str">
        <f>TRIM(VLOOKUP(D3662,TB!$B$9:$C$1500,2,FALSE))</f>
        <v>BCA TBB</v>
      </c>
      <c r="F3662" s="142" t="s">
        <v>1247</v>
      </c>
      <c r="G3662" s="130"/>
      <c r="H3662" s="10">
        <v>50000000</v>
      </c>
      <c r="I3662" s="10">
        <f t="shared" si="248"/>
        <v>0</v>
      </c>
      <c r="J3662" s="79" t="e">
        <f t="shared" si="245"/>
        <v>#VALUE!</v>
      </c>
      <c r="K3662" s="106"/>
      <c r="L3662" s="141"/>
      <c r="M3662" s="132"/>
      <c r="N3662" s="133"/>
      <c r="O3662" s="4"/>
      <c r="P3662" s="4"/>
      <c r="Q3662" s="4"/>
      <c r="R3662" s="4"/>
      <c r="S3662" s="4"/>
      <c r="T3662" s="4"/>
      <c r="U3662" s="4"/>
      <c r="V3662" s="4"/>
      <c r="W3662" s="4"/>
      <c r="X3662" s="4"/>
    </row>
    <row r="3663" spans="1:24" ht="14.25" customHeight="1">
      <c r="A3663" s="4"/>
      <c r="B3663" s="125">
        <v>46202</v>
      </c>
      <c r="C3663" s="126" t="s">
        <v>1700</v>
      </c>
      <c r="D3663" s="15" t="s">
        <v>124</v>
      </c>
      <c r="E3663" s="10" t="str">
        <f>TRIM(VLOOKUP(D3663,TB!$B$9:$C$1500,2,FALSE))</f>
        <v>Bank charges</v>
      </c>
      <c r="F3663" s="142" t="s">
        <v>1247</v>
      </c>
      <c r="G3663" s="130"/>
      <c r="H3663" s="10">
        <v>2500</v>
      </c>
      <c r="I3663" s="10"/>
      <c r="J3663" s="79" t="e">
        <f t="shared" si="245"/>
        <v>#VALUE!</v>
      </c>
      <c r="K3663" s="106"/>
      <c r="L3663" s="141"/>
      <c r="M3663" s="132"/>
      <c r="N3663" s="133"/>
      <c r="O3663" s="4"/>
      <c r="P3663" s="4"/>
      <c r="Q3663" s="4"/>
      <c r="R3663" s="4"/>
      <c r="S3663" s="4"/>
      <c r="T3663" s="4"/>
      <c r="U3663" s="4"/>
      <c r="V3663" s="4"/>
      <c r="W3663" s="4"/>
      <c r="X3663" s="4"/>
    </row>
    <row r="3664" spans="1:24" ht="14.25" customHeight="1">
      <c r="A3664" s="4"/>
      <c r="B3664" s="125">
        <v>46202</v>
      </c>
      <c r="C3664" s="126" t="s">
        <v>1700</v>
      </c>
      <c r="D3664" s="68" t="s">
        <v>158</v>
      </c>
      <c r="E3664" s="10" t="str">
        <f>TRIM(VLOOKUP(D3664,TB!$B$9:$C$1500,2,FALSE))</f>
        <v>Mandiri TBB IDR</v>
      </c>
      <c r="F3664" s="142" t="s">
        <v>1247</v>
      </c>
      <c r="G3664" s="130"/>
      <c r="H3664" s="10"/>
      <c r="I3664" s="10">
        <f>SUM(H3662:H3663)</f>
        <v>50002500</v>
      </c>
      <c r="J3664" s="79" t="e">
        <f t="shared" si="245"/>
        <v>#VALUE!</v>
      </c>
      <c r="K3664" s="106"/>
      <c r="L3664" s="141"/>
      <c r="M3664" s="132"/>
      <c r="N3664" s="133"/>
      <c r="O3664" s="4"/>
      <c r="P3664" s="4"/>
      <c r="Q3664" s="4"/>
      <c r="R3664" s="4"/>
      <c r="S3664" s="4"/>
      <c r="T3664" s="4"/>
      <c r="U3664" s="4"/>
      <c r="V3664" s="4"/>
      <c r="W3664" s="4"/>
      <c r="X3664" s="4"/>
    </row>
    <row r="3665" spans="1:24" ht="14.25" customHeight="1">
      <c r="A3665" s="4"/>
      <c r="B3665" s="125"/>
      <c r="C3665" s="126"/>
      <c r="D3665" s="159"/>
      <c r="E3665" s="10" t="e">
        <f>TRIM(VLOOKUP(D3665,TB!$B$9:$C$1500,2,FALSE))</f>
        <v>#N/A</v>
      </c>
      <c r="F3665" s="142"/>
      <c r="G3665" s="130"/>
      <c r="H3665" s="10"/>
      <c r="I3665" s="10">
        <f t="shared" ref="I3665:I3666" si="249">SUM(H3664)</f>
        <v>0</v>
      </c>
      <c r="J3665" s="79" t="e">
        <f t="shared" si="245"/>
        <v>#VALUE!</v>
      </c>
      <c r="K3665" s="106"/>
      <c r="L3665" s="141"/>
      <c r="M3665" s="132"/>
      <c r="N3665" s="133"/>
      <c r="O3665" s="4"/>
      <c r="P3665" s="4"/>
      <c r="Q3665" s="4"/>
      <c r="R3665" s="4"/>
      <c r="S3665" s="4"/>
      <c r="T3665" s="4"/>
      <c r="U3665" s="4"/>
      <c r="V3665" s="4"/>
      <c r="W3665" s="4"/>
      <c r="X3665" s="4"/>
    </row>
    <row r="3666" spans="1:24" ht="14.25" customHeight="1">
      <c r="A3666" s="4"/>
      <c r="B3666" s="125">
        <v>46202</v>
      </c>
      <c r="C3666" s="126" t="s">
        <v>1701</v>
      </c>
      <c r="D3666" s="68" t="s">
        <v>130</v>
      </c>
      <c r="E3666" s="10" t="str">
        <f>TRIM(VLOOKUP(D3666,TB!$B$9:$C$1500,2,FALSE))</f>
        <v>BCA TBB</v>
      </c>
      <c r="F3666" s="142" t="s">
        <v>1247</v>
      </c>
      <c r="G3666" s="130"/>
      <c r="H3666" s="10">
        <v>50000000</v>
      </c>
      <c r="I3666" s="10">
        <f t="shared" si="249"/>
        <v>0</v>
      </c>
      <c r="J3666" s="79" t="e">
        <f t="shared" si="245"/>
        <v>#VALUE!</v>
      </c>
      <c r="K3666" s="106"/>
      <c r="L3666" s="141"/>
      <c r="M3666" s="132"/>
      <c r="N3666" s="133"/>
      <c r="O3666" s="4"/>
      <c r="P3666" s="4"/>
      <c r="Q3666" s="4"/>
      <c r="R3666" s="4"/>
      <c r="S3666" s="4"/>
      <c r="T3666" s="4"/>
      <c r="U3666" s="4"/>
      <c r="V3666" s="4"/>
      <c r="W3666" s="4"/>
      <c r="X3666" s="4"/>
    </row>
    <row r="3667" spans="1:24" ht="14.25" customHeight="1">
      <c r="A3667" s="4"/>
      <c r="B3667" s="125">
        <v>46202</v>
      </c>
      <c r="C3667" s="126" t="s">
        <v>1701</v>
      </c>
      <c r="D3667" s="15" t="s">
        <v>124</v>
      </c>
      <c r="E3667" s="10" t="str">
        <f>TRIM(VLOOKUP(D3667,TB!$B$9:$C$1500,2,FALSE))</f>
        <v>Bank charges</v>
      </c>
      <c r="F3667" s="142" t="s">
        <v>1247</v>
      </c>
      <c r="G3667" s="130"/>
      <c r="H3667" s="10">
        <v>2500</v>
      </c>
      <c r="I3667" s="10"/>
      <c r="J3667" s="79" t="e">
        <f t="shared" si="245"/>
        <v>#VALUE!</v>
      </c>
      <c r="K3667" s="106"/>
      <c r="L3667" s="141"/>
      <c r="M3667" s="132"/>
      <c r="N3667" s="133"/>
      <c r="O3667" s="4"/>
      <c r="P3667" s="4"/>
      <c r="Q3667" s="4"/>
      <c r="R3667" s="4"/>
      <c r="S3667" s="4"/>
      <c r="T3667" s="4"/>
      <c r="U3667" s="4"/>
      <c r="V3667" s="4"/>
      <c r="W3667" s="4"/>
      <c r="X3667" s="4"/>
    </row>
    <row r="3668" spans="1:24" ht="14.25" customHeight="1">
      <c r="A3668" s="4"/>
      <c r="B3668" s="125">
        <v>46202</v>
      </c>
      <c r="C3668" s="126" t="s">
        <v>1701</v>
      </c>
      <c r="D3668" s="68" t="s">
        <v>158</v>
      </c>
      <c r="E3668" s="10" t="str">
        <f>TRIM(VLOOKUP(D3668,TB!$B$9:$C$1500,2,FALSE))</f>
        <v>Mandiri TBB IDR</v>
      </c>
      <c r="F3668" s="142" t="s">
        <v>1247</v>
      </c>
      <c r="G3668" s="130"/>
      <c r="H3668" s="10"/>
      <c r="I3668" s="10">
        <f>SUM(H3666:H3667)</f>
        <v>50002500</v>
      </c>
      <c r="J3668" s="79" t="e">
        <f t="shared" si="245"/>
        <v>#VALUE!</v>
      </c>
      <c r="K3668" s="106"/>
      <c r="L3668" s="141"/>
      <c r="M3668" s="132"/>
      <c r="N3668" s="133"/>
      <c r="O3668" s="4"/>
      <c r="P3668" s="4"/>
      <c r="Q3668" s="4"/>
      <c r="R3668" s="4"/>
      <c r="S3668" s="4"/>
      <c r="T3668" s="4"/>
      <c r="U3668" s="4"/>
      <c r="V3668" s="4"/>
      <c r="W3668" s="4"/>
      <c r="X3668" s="4"/>
    </row>
    <row r="3669" spans="1:24" ht="14.25" customHeight="1">
      <c r="A3669" s="4"/>
      <c r="B3669" s="125"/>
      <c r="C3669" s="126"/>
      <c r="D3669" s="159"/>
      <c r="E3669" s="10" t="e">
        <f>TRIM(VLOOKUP(D3669,TB!$B$9:$C$1500,2,FALSE))</f>
        <v>#N/A</v>
      </c>
      <c r="F3669" s="142"/>
      <c r="G3669" s="130"/>
      <c r="H3669" s="10"/>
      <c r="I3669" s="10">
        <f t="shared" ref="I3669:I3670" si="250">SUM(H3668)</f>
        <v>0</v>
      </c>
      <c r="J3669" s="79" t="e">
        <f t="shared" si="245"/>
        <v>#VALUE!</v>
      </c>
      <c r="K3669" s="106"/>
      <c r="L3669" s="141"/>
      <c r="M3669" s="132"/>
      <c r="N3669" s="133"/>
      <c r="O3669" s="4"/>
      <c r="P3669" s="4"/>
      <c r="Q3669" s="4"/>
      <c r="R3669" s="4"/>
      <c r="S3669" s="4"/>
      <c r="T3669" s="4"/>
      <c r="U3669" s="4"/>
      <c r="V3669" s="4"/>
      <c r="W3669" s="4"/>
      <c r="X3669" s="4"/>
    </row>
    <row r="3670" spans="1:24" ht="14.25" customHeight="1">
      <c r="A3670" s="4"/>
      <c r="B3670" s="125">
        <v>46202</v>
      </c>
      <c r="C3670" s="126" t="s">
        <v>1702</v>
      </c>
      <c r="D3670" s="68" t="s">
        <v>130</v>
      </c>
      <c r="E3670" s="10" t="str">
        <f>TRIM(VLOOKUP(D3670,TB!$B$9:$C$1500,2,FALSE))</f>
        <v>BCA TBB</v>
      </c>
      <c r="F3670" s="142" t="s">
        <v>1247</v>
      </c>
      <c r="G3670" s="130"/>
      <c r="H3670" s="10">
        <v>44000000</v>
      </c>
      <c r="I3670" s="10">
        <f t="shared" si="250"/>
        <v>0</v>
      </c>
      <c r="J3670" s="79" t="e">
        <f t="shared" si="245"/>
        <v>#VALUE!</v>
      </c>
      <c r="K3670" s="106"/>
      <c r="L3670" s="141"/>
      <c r="M3670" s="132"/>
      <c r="N3670" s="133"/>
      <c r="O3670" s="4"/>
      <c r="P3670" s="4"/>
      <c r="Q3670" s="4"/>
      <c r="R3670" s="4"/>
      <c r="S3670" s="4"/>
      <c r="T3670" s="4"/>
      <c r="U3670" s="4"/>
      <c r="V3670" s="4"/>
      <c r="W3670" s="4"/>
      <c r="X3670" s="4"/>
    </row>
    <row r="3671" spans="1:24" ht="14.25" customHeight="1">
      <c r="A3671" s="4"/>
      <c r="B3671" s="125">
        <v>46202</v>
      </c>
      <c r="C3671" s="126" t="s">
        <v>1702</v>
      </c>
      <c r="D3671" s="15" t="s">
        <v>124</v>
      </c>
      <c r="E3671" s="10" t="str">
        <f>TRIM(VLOOKUP(D3671,TB!$B$9:$C$1500,2,FALSE))</f>
        <v>Bank charges</v>
      </c>
      <c r="F3671" s="142" t="s">
        <v>1247</v>
      </c>
      <c r="G3671" s="130"/>
      <c r="H3671" s="10">
        <v>2500</v>
      </c>
      <c r="I3671" s="10"/>
      <c r="J3671" s="79" t="e">
        <f t="shared" si="245"/>
        <v>#VALUE!</v>
      </c>
      <c r="K3671" s="106"/>
      <c r="L3671" s="141"/>
      <c r="M3671" s="132"/>
      <c r="N3671" s="133"/>
      <c r="O3671" s="4"/>
      <c r="P3671" s="4"/>
      <c r="Q3671" s="4"/>
      <c r="R3671" s="4"/>
      <c r="S3671" s="4"/>
      <c r="T3671" s="4"/>
      <c r="U3671" s="4"/>
      <c r="V3671" s="4"/>
      <c r="W3671" s="4"/>
      <c r="X3671" s="4"/>
    </row>
    <row r="3672" spans="1:24" ht="14.25" customHeight="1">
      <c r="A3672" s="4"/>
      <c r="B3672" s="125">
        <v>46202</v>
      </c>
      <c r="C3672" s="126" t="s">
        <v>1702</v>
      </c>
      <c r="D3672" s="68" t="s">
        <v>158</v>
      </c>
      <c r="E3672" s="10" t="str">
        <f>TRIM(VLOOKUP(D3672,TB!$B$9:$C$1500,2,FALSE))</f>
        <v>Mandiri TBB IDR</v>
      </c>
      <c r="F3672" s="142" t="s">
        <v>1247</v>
      </c>
      <c r="G3672" s="130"/>
      <c r="H3672" s="10"/>
      <c r="I3672" s="10">
        <f>SUM(H3670:H3671)</f>
        <v>44002500</v>
      </c>
      <c r="J3672" s="79" t="e">
        <f t="shared" si="245"/>
        <v>#VALUE!</v>
      </c>
      <c r="K3672" s="106"/>
      <c r="L3672" s="141"/>
      <c r="M3672" s="132"/>
      <c r="N3672" s="133"/>
      <c r="O3672" s="4"/>
      <c r="P3672" s="4"/>
      <c r="Q3672" s="4"/>
      <c r="R3672" s="4"/>
      <c r="S3672" s="4"/>
      <c r="T3672" s="4"/>
      <c r="U3672" s="4"/>
      <c r="V3672" s="4"/>
      <c r="W3672" s="4"/>
      <c r="X3672" s="4"/>
    </row>
    <row r="3673" spans="1:24" ht="14.25" customHeight="1">
      <c r="A3673" s="4"/>
      <c r="B3673" s="125"/>
      <c r="C3673" s="126"/>
      <c r="D3673" s="159"/>
      <c r="E3673" s="10" t="e">
        <f>TRIM(VLOOKUP(D3673,TB!$B$9:$C$1500,2,FALSE))</f>
        <v>#N/A</v>
      </c>
      <c r="F3673" s="142"/>
      <c r="G3673" s="130"/>
      <c r="H3673" s="10"/>
      <c r="I3673" s="10"/>
      <c r="J3673" s="79" t="e">
        <f t="shared" si="245"/>
        <v>#VALUE!</v>
      </c>
      <c r="K3673" s="106"/>
      <c r="L3673" s="141"/>
      <c r="M3673" s="132"/>
      <c r="N3673" s="133"/>
      <c r="O3673" s="4"/>
      <c r="P3673" s="4"/>
      <c r="Q3673" s="4"/>
      <c r="R3673" s="4"/>
      <c r="S3673" s="4"/>
      <c r="T3673" s="4"/>
      <c r="U3673" s="4"/>
      <c r="V3673" s="4"/>
      <c r="W3673" s="4"/>
      <c r="X3673" s="4"/>
    </row>
    <row r="3674" spans="1:24" ht="14.25" customHeight="1">
      <c r="A3674" s="4"/>
      <c r="B3674" s="125">
        <v>46203</v>
      </c>
      <c r="C3674" s="126" t="s">
        <v>1703</v>
      </c>
      <c r="D3674" s="68" t="s">
        <v>158</v>
      </c>
      <c r="E3674" s="10" t="str">
        <f>TRIM(VLOOKUP(D3674,TB!$B$9:$C$1500,2,FALSE))</f>
        <v>Mandiri TBB IDR</v>
      </c>
      <c r="F3674" s="142" t="s">
        <v>1704</v>
      </c>
      <c r="G3674" s="130"/>
      <c r="H3674" s="10">
        <f>I3676-H3675</f>
        <v>1236720.98</v>
      </c>
      <c r="I3674" s="10"/>
      <c r="J3674" s="79" t="e">
        <f t="shared" si="245"/>
        <v>#VALUE!</v>
      </c>
      <c r="K3674" s="106"/>
      <c r="L3674" s="141"/>
      <c r="M3674" s="132"/>
      <c r="N3674" s="133"/>
      <c r="O3674" s="4"/>
      <c r="P3674" s="4"/>
      <c r="Q3674" s="4"/>
      <c r="R3674" s="4"/>
      <c r="S3674" s="4"/>
      <c r="T3674" s="4"/>
      <c r="U3674" s="4"/>
      <c r="V3674" s="4"/>
      <c r="W3674" s="4"/>
      <c r="X3674" s="4"/>
    </row>
    <row r="3675" spans="1:24" ht="14.25" customHeight="1">
      <c r="A3675" s="4"/>
      <c r="B3675" s="125">
        <v>46203</v>
      </c>
      <c r="C3675" s="126" t="s">
        <v>1703</v>
      </c>
      <c r="D3675" s="15" t="s">
        <v>124</v>
      </c>
      <c r="E3675" s="10" t="str">
        <f>TRIM(VLOOKUP(D3675,TB!$B$9:$C$1500,2,FALSE))</f>
        <v>Bank charges</v>
      </c>
      <c r="F3675" s="142" t="s">
        <v>1704</v>
      </c>
      <c r="G3675" s="130"/>
      <c r="H3675" s="155">
        <v>22669.020000000004</v>
      </c>
      <c r="I3675" s="10"/>
      <c r="J3675" s="79" t="e">
        <f t="shared" si="245"/>
        <v>#VALUE!</v>
      </c>
      <c r="K3675" s="106"/>
      <c r="L3675" s="141"/>
      <c r="M3675" s="132"/>
      <c r="N3675" s="133"/>
      <c r="O3675" s="4"/>
      <c r="P3675" s="4"/>
      <c r="Q3675" s="4"/>
      <c r="R3675" s="4"/>
      <c r="S3675" s="4"/>
      <c r="T3675" s="4"/>
      <c r="U3675" s="4"/>
      <c r="V3675" s="4"/>
      <c r="W3675" s="4"/>
      <c r="X3675" s="4"/>
    </row>
    <row r="3676" spans="1:24" ht="14.25" customHeight="1">
      <c r="A3676" s="4"/>
      <c r="B3676" s="125">
        <v>46203</v>
      </c>
      <c r="C3676" s="126" t="s">
        <v>1703</v>
      </c>
      <c r="D3676" s="15" t="s">
        <v>48</v>
      </c>
      <c r="E3676" s="10" t="str">
        <f>TRIM(VLOOKUP(D3676,TB!$B$9:$C$1500,2,FALSE))</f>
        <v>Mandiri Card TBB</v>
      </c>
      <c r="F3676" s="142" t="s">
        <v>1704</v>
      </c>
      <c r="G3676" s="130"/>
      <c r="H3676" s="10"/>
      <c r="I3676" s="10">
        <v>1259390</v>
      </c>
      <c r="J3676" s="79" t="e">
        <f t="shared" si="245"/>
        <v>#VALUE!</v>
      </c>
      <c r="K3676" s="106"/>
      <c r="L3676" s="141"/>
      <c r="M3676" s="132"/>
      <c r="N3676" s="133"/>
      <c r="O3676" s="4"/>
      <c r="P3676" s="4"/>
      <c r="Q3676" s="4"/>
      <c r="R3676" s="4"/>
      <c r="S3676" s="4"/>
      <c r="T3676" s="4"/>
      <c r="U3676" s="4"/>
      <c r="V3676" s="4"/>
      <c r="W3676" s="4"/>
      <c r="X3676" s="4"/>
    </row>
    <row r="3677" spans="1:24" ht="14.25" customHeight="1">
      <c r="A3677" s="4"/>
      <c r="B3677" s="125"/>
      <c r="C3677" s="126"/>
      <c r="D3677" s="159"/>
      <c r="E3677" s="10" t="e">
        <f>TRIM(VLOOKUP(D3677,TB!$B$9:$C$1500,2,FALSE))</f>
        <v>#N/A</v>
      </c>
      <c r="F3677" s="142"/>
      <c r="G3677" s="130"/>
      <c r="H3677" s="10"/>
      <c r="I3677" s="10"/>
      <c r="J3677" s="79" t="e">
        <f t="shared" si="245"/>
        <v>#VALUE!</v>
      </c>
      <c r="K3677" s="106"/>
      <c r="L3677" s="141"/>
      <c r="M3677" s="132"/>
      <c r="N3677" s="133"/>
      <c r="O3677" s="4"/>
      <c r="P3677" s="4"/>
      <c r="Q3677" s="4"/>
      <c r="R3677" s="4"/>
      <c r="S3677" s="4"/>
      <c r="T3677" s="4"/>
      <c r="U3677" s="4"/>
      <c r="V3677" s="4"/>
      <c r="W3677" s="4"/>
      <c r="X3677" s="4"/>
    </row>
    <row r="3678" spans="1:24" ht="14.25" customHeight="1">
      <c r="A3678" s="4"/>
      <c r="B3678" s="125">
        <v>46203</v>
      </c>
      <c r="C3678" s="126" t="s">
        <v>1705</v>
      </c>
      <c r="D3678" s="68" t="s">
        <v>158</v>
      </c>
      <c r="E3678" s="10" t="str">
        <f>TRIM(VLOOKUP(D3678,TB!$B$9:$C$1500,2,FALSE))</f>
        <v>Mandiri TBB IDR</v>
      </c>
      <c r="F3678" s="142" t="s">
        <v>1706</v>
      </c>
      <c r="G3678" s="130"/>
      <c r="H3678" s="10">
        <f>I3680-H3679</f>
        <v>12492051.460000001</v>
      </c>
      <c r="I3678" s="10"/>
      <c r="J3678" s="79" t="e">
        <f t="shared" si="245"/>
        <v>#VALUE!</v>
      </c>
      <c r="K3678" s="106"/>
      <c r="L3678" s="141"/>
      <c r="M3678" s="132"/>
      <c r="N3678" s="133"/>
      <c r="O3678" s="4"/>
      <c r="P3678" s="4"/>
      <c r="Q3678" s="4"/>
      <c r="R3678" s="4"/>
      <c r="S3678" s="4"/>
      <c r="T3678" s="4"/>
      <c r="U3678" s="4"/>
      <c r="V3678" s="4"/>
      <c r="W3678" s="4"/>
      <c r="X3678" s="4"/>
    </row>
    <row r="3679" spans="1:24" ht="14.25" customHeight="1">
      <c r="A3679" s="4"/>
      <c r="B3679" s="125">
        <v>46203</v>
      </c>
      <c r="C3679" s="126" t="s">
        <v>1705</v>
      </c>
      <c r="D3679" s="15" t="s">
        <v>124</v>
      </c>
      <c r="E3679" s="10" t="str">
        <f>TRIM(VLOOKUP(D3679,TB!$B$9:$C$1500,2,FALSE))</f>
        <v>Bank charges</v>
      </c>
      <c r="F3679" s="142" t="s">
        <v>1706</v>
      </c>
      <c r="G3679" s="130"/>
      <c r="H3679" s="155">
        <v>228978.54000000004</v>
      </c>
      <c r="I3679" s="10"/>
      <c r="J3679" s="79" t="e">
        <f t="shared" si="245"/>
        <v>#VALUE!</v>
      </c>
      <c r="K3679" s="106"/>
      <c r="L3679" s="141"/>
      <c r="M3679" s="132"/>
      <c r="N3679" s="133"/>
      <c r="O3679" s="4"/>
      <c r="P3679" s="4"/>
      <c r="Q3679" s="4"/>
      <c r="R3679" s="4"/>
      <c r="S3679" s="4"/>
      <c r="T3679" s="4"/>
      <c r="U3679" s="4"/>
      <c r="V3679" s="4"/>
      <c r="W3679" s="4"/>
      <c r="X3679" s="4"/>
    </row>
    <row r="3680" spans="1:24" ht="14.25" customHeight="1">
      <c r="A3680" s="4"/>
      <c r="B3680" s="125">
        <v>46203</v>
      </c>
      <c r="C3680" s="126" t="s">
        <v>1705</v>
      </c>
      <c r="D3680" s="15" t="s">
        <v>48</v>
      </c>
      <c r="E3680" s="10" t="str">
        <f>TRIM(VLOOKUP(D3680,TB!$B$9:$C$1500,2,FALSE))</f>
        <v>Mandiri Card TBB</v>
      </c>
      <c r="F3680" s="142" t="s">
        <v>1706</v>
      </c>
      <c r="G3680" s="130"/>
      <c r="H3680" s="10"/>
      <c r="I3680" s="10">
        <v>12721030</v>
      </c>
      <c r="J3680" s="79" t="e">
        <f t="shared" si="245"/>
        <v>#VALUE!</v>
      </c>
      <c r="K3680" s="106"/>
      <c r="L3680" s="141"/>
      <c r="M3680" s="132"/>
      <c r="N3680" s="133"/>
      <c r="O3680" s="4"/>
      <c r="P3680" s="4"/>
      <c r="Q3680" s="4"/>
      <c r="R3680" s="4"/>
      <c r="S3680" s="4"/>
      <c r="T3680" s="4"/>
      <c r="U3680" s="4"/>
      <c r="V3680" s="4"/>
      <c r="W3680" s="4"/>
      <c r="X3680" s="4"/>
    </row>
    <row r="3681" spans="1:24" ht="14.25" customHeight="1">
      <c r="A3681" s="4"/>
      <c r="B3681" s="125"/>
      <c r="C3681" s="126"/>
      <c r="D3681" s="159"/>
      <c r="E3681" s="10" t="e">
        <f>TRIM(VLOOKUP(D3681,TB!$B$9:$C$1500,2,FALSE))</f>
        <v>#N/A</v>
      </c>
      <c r="F3681" s="142"/>
      <c r="G3681" s="130"/>
      <c r="H3681" s="10"/>
      <c r="I3681" s="10"/>
      <c r="J3681" s="79" t="e">
        <f t="shared" si="245"/>
        <v>#VALUE!</v>
      </c>
      <c r="K3681" s="106"/>
      <c r="L3681" s="141"/>
      <c r="M3681" s="132"/>
      <c r="N3681" s="133"/>
      <c r="O3681" s="4"/>
      <c r="P3681" s="4"/>
      <c r="Q3681" s="4"/>
      <c r="R3681" s="4"/>
      <c r="S3681" s="4"/>
      <c r="T3681" s="4"/>
      <c r="U3681" s="4"/>
      <c r="V3681" s="4"/>
      <c r="W3681" s="4"/>
      <c r="X3681" s="4"/>
    </row>
    <row r="3682" spans="1:24" ht="14.25" customHeight="1">
      <c r="A3682" s="4"/>
      <c r="B3682" s="125">
        <v>46203</v>
      </c>
      <c r="C3682" s="126" t="s">
        <v>1707</v>
      </c>
      <c r="D3682" s="68" t="s">
        <v>158</v>
      </c>
      <c r="E3682" s="10" t="str">
        <f>TRIM(VLOOKUP(D3682,TB!$B$9:$C$1500,2,FALSE))</f>
        <v>Mandiri TBB IDR</v>
      </c>
      <c r="F3682" s="142" t="s">
        <v>1708</v>
      </c>
      <c r="G3682" s="130"/>
      <c r="H3682" s="10">
        <f>I3684-H3683</f>
        <v>1224897.7</v>
      </c>
      <c r="I3682" s="10"/>
      <c r="J3682" s="79" t="e">
        <f t="shared" si="245"/>
        <v>#VALUE!</v>
      </c>
      <c r="K3682" s="106"/>
      <c r="L3682" s="141"/>
      <c r="M3682" s="132"/>
      <c r="N3682" s="133"/>
      <c r="O3682" s="4"/>
      <c r="P3682" s="4"/>
      <c r="Q3682" s="4"/>
      <c r="R3682" s="4"/>
      <c r="S3682" s="4"/>
      <c r="T3682" s="4"/>
      <c r="U3682" s="4"/>
      <c r="V3682" s="4"/>
      <c r="W3682" s="4"/>
      <c r="X3682" s="4"/>
    </row>
    <row r="3683" spans="1:24" ht="14.25" customHeight="1">
      <c r="A3683" s="4"/>
      <c r="B3683" s="125">
        <v>46203</v>
      </c>
      <c r="C3683" s="126" t="s">
        <v>1707</v>
      </c>
      <c r="D3683" s="15" t="s">
        <v>124</v>
      </c>
      <c r="E3683" s="10" t="str">
        <f>TRIM(VLOOKUP(D3683,TB!$B$9:$C$1500,2,FALSE))</f>
        <v>Bank charges</v>
      </c>
      <c r="F3683" s="142" t="s">
        <v>1708</v>
      </c>
      <c r="G3683" s="130"/>
      <c r="H3683" s="155">
        <v>22452.300000000003</v>
      </c>
      <c r="I3683" s="10"/>
      <c r="J3683" s="79" t="e">
        <f t="shared" si="245"/>
        <v>#VALUE!</v>
      </c>
      <c r="K3683" s="106"/>
      <c r="L3683" s="141"/>
      <c r="M3683" s="132"/>
      <c r="N3683" s="133"/>
      <c r="O3683" s="4"/>
      <c r="P3683" s="4"/>
      <c r="Q3683" s="4"/>
      <c r="R3683" s="4"/>
      <c r="S3683" s="4"/>
      <c r="T3683" s="4"/>
      <c r="U3683" s="4"/>
      <c r="V3683" s="4"/>
      <c r="W3683" s="4"/>
      <c r="X3683" s="4"/>
    </row>
    <row r="3684" spans="1:24" ht="14.25" customHeight="1">
      <c r="A3684" s="4"/>
      <c r="B3684" s="125">
        <v>46203</v>
      </c>
      <c r="C3684" s="126" t="s">
        <v>1707</v>
      </c>
      <c r="D3684" s="15" t="s">
        <v>48</v>
      </c>
      <c r="E3684" s="10" t="str">
        <f>TRIM(VLOOKUP(D3684,TB!$B$9:$C$1500,2,FALSE))</f>
        <v>Mandiri Card TBB</v>
      </c>
      <c r="F3684" s="142" t="s">
        <v>1708</v>
      </c>
      <c r="G3684" s="130"/>
      <c r="H3684" s="10"/>
      <c r="I3684" s="10">
        <v>1247350</v>
      </c>
      <c r="J3684" s="79" t="e">
        <f t="shared" si="245"/>
        <v>#VALUE!</v>
      </c>
      <c r="K3684" s="106"/>
      <c r="L3684" s="141"/>
      <c r="M3684" s="132"/>
      <c r="N3684" s="133"/>
      <c r="O3684" s="4"/>
      <c r="P3684" s="4"/>
      <c r="Q3684" s="4"/>
      <c r="R3684" s="4"/>
      <c r="S3684" s="4"/>
      <c r="T3684" s="4"/>
      <c r="U3684" s="4"/>
      <c r="V3684" s="4"/>
      <c r="W3684" s="4"/>
      <c r="X3684" s="4"/>
    </row>
    <row r="3685" spans="1:24" ht="14.25" customHeight="1">
      <c r="A3685" s="4"/>
      <c r="B3685" s="125"/>
      <c r="C3685" s="126"/>
      <c r="D3685" s="159"/>
      <c r="E3685" s="10" t="e">
        <f>TRIM(VLOOKUP(D3685,TB!$B$9:$C$1500,2,FALSE))</f>
        <v>#N/A</v>
      </c>
      <c r="F3685" s="142"/>
      <c r="G3685" s="130"/>
      <c r="H3685" s="10"/>
      <c r="I3685" s="10"/>
      <c r="J3685" s="79" t="e">
        <f t="shared" si="245"/>
        <v>#VALUE!</v>
      </c>
      <c r="K3685" s="106"/>
      <c r="L3685" s="141"/>
      <c r="M3685" s="132"/>
      <c r="N3685" s="133"/>
      <c r="O3685" s="4"/>
      <c r="P3685" s="4"/>
      <c r="Q3685" s="4"/>
      <c r="R3685" s="4"/>
      <c r="S3685" s="4"/>
      <c r="T3685" s="4"/>
      <c r="U3685" s="4"/>
      <c r="V3685" s="4"/>
      <c r="W3685" s="4"/>
      <c r="X3685" s="4"/>
    </row>
    <row r="3686" spans="1:24" ht="14.25" customHeight="1">
      <c r="A3686" s="4"/>
      <c r="B3686" s="125">
        <v>46203</v>
      </c>
      <c r="C3686" s="126" t="s">
        <v>1709</v>
      </c>
      <c r="D3686" s="68" t="s">
        <v>158</v>
      </c>
      <c r="E3686" s="10" t="str">
        <f>TRIM(VLOOKUP(D3686,TB!$B$9:$C$1500,2,FALSE))</f>
        <v>Mandiri TBB IDR</v>
      </c>
      <c r="F3686" s="142" t="s">
        <v>1710</v>
      </c>
      <c r="G3686" s="130"/>
      <c r="H3686" s="10">
        <f>I3688-H3687</f>
        <v>9783435.2300000004</v>
      </c>
      <c r="I3686" s="10"/>
      <c r="J3686" s="79" t="e">
        <f t="shared" si="245"/>
        <v>#VALUE!</v>
      </c>
      <c r="K3686" s="106"/>
      <c r="L3686" s="141"/>
      <c r="M3686" s="132"/>
      <c r="N3686" s="133"/>
      <c r="O3686" s="4"/>
      <c r="P3686" s="4"/>
      <c r="Q3686" s="4"/>
      <c r="R3686" s="4"/>
      <c r="S3686" s="4"/>
      <c r="T3686" s="4"/>
      <c r="U3686" s="4"/>
      <c r="V3686" s="4"/>
      <c r="W3686" s="4"/>
      <c r="X3686" s="4"/>
    </row>
    <row r="3687" spans="1:24" ht="14.25" customHeight="1">
      <c r="A3687" s="4"/>
      <c r="B3687" s="125">
        <v>46203</v>
      </c>
      <c r="C3687" s="126" t="s">
        <v>1709</v>
      </c>
      <c r="D3687" s="15" t="s">
        <v>124</v>
      </c>
      <c r="E3687" s="10" t="str">
        <f>TRIM(VLOOKUP(D3687,TB!$B$9:$C$1500,2,FALSE))</f>
        <v>Bank charges</v>
      </c>
      <c r="F3687" s="142" t="s">
        <v>1710</v>
      </c>
      <c r="G3687" s="130"/>
      <c r="H3687" s="155">
        <v>179329.77000000002</v>
      </c>
      <c r="I3687" s="10"/>
      <c r="J3687" s="79" t="e">
        <f t="shared" si="245"/>
        <v>#VALUE!</v>
      </c>
      <c r="K3687" s="106"/>
      <c r="L3687" s="141"/>
      <c r="M3687" s="132"/>
      <c r="N3687" s="133"/>
      <c r="O3687" s="4"/>
      <c r="P3687" s="4"/>
      <c r="Q3687" s="4"/>
      <c r="R3687" s="4"/>
      <c r="S3687" s="4"/>
      <c r="T3687" s="4"/>
      <c r="U3687" s="4"/>
      <c r="V3687" s="4"/>
      <c r="W3687" s="4"/>
      <c r="X3687" s="4"/>
    </row>
    <row r="3688" spans="1:24" ht="14.25" customHeight="1">
      <c r="A3688" s="4"/>
      <c r="B3688" s="125">
        <v>46203</v>
      </c>
      <c r="C3688" s="126" t="s">
        <v>1709</v>
      </c>
      <c r="D3688" s="15" t="s">
        <v>48</v>
      </c>
      <c r="E3688" s="10" t="str">
        <f>TRIM(VLOOKUP(D3688,TB!$B$9:$C$1500,2,FALSE))</f>
        <v>Mandiri Card TBB</v>
      </c>
      <c r="F3688" s="142" t="s">
        <v>1710</v>
      </c>
      <c r="G3688" s="130"/>
      <c r="H3688" s="10"/>
      <c r="I3688" s="10">
        <v>9962765</v>
      </c>
      <c r="J3688" s="79" t="e">
        <f t="shared" si="245"/>
        <v>#VALUE!</v>
      </c>
      <c r="K3688" s="106"/>
      <c r="L3688" s="141"/>
      <c r="M3688" s="132"/>
      <c r="N3688" s="133"/>
      <c r="O3688" s="4"/>
      <c r="P3688" s="4"/>
      <c r="Q3688" s="4"/>
      <c r="R3688" s="4"/>
      <c r="S3688" s="4"/>
      <c r="T3688" s="4"/>
      <c r="U3688" s="4"/>
      <c r="V3688" s="4"/>
      <c r="W3688" s="4"/>
      <c r="X3688" s="4"/>
    </row>
    <row r="3689" spans="1:24" ht="14.25" customHeight="1">
      <c r="A3689" s="4"/>
      <c r="B3689" s="125"/>
      <c r="C3689" s="126"/>
      <c r="D3689" s="159"/>
      <c r="E3689" s="10" t="e">
        <f>TRIM(VLOOKUP(D3689,TB!$B$9:$C$1500,2,FALSE))</f>
        <v>#N/A</v>
      </c>
      <c r="F3689" s="142"/>
      <c r="G3689" s="130"/>
      <c r="H3689" s="10"/>
      <c r="I3689" s="10"/>
      <c r="J3689" s="79" t="e">
        <f t="shared" si="245"/>
        <v>#VALUE!</v>
      </c>
      <c r="K3689" s="106"/>
      <c r="L3689" s="141"/>
      <c r="M3689" s="132"/>
      <c r="N3689" s="133"/>
      <c r="O3689" s="4"/>
      <c r="P3689" s="4"/>
      <c r="Q3689" s="4"/>
      <c r="R3689" s="4"/>
      <c r="S3689" s="4"/>
      <c r="T3689" s="4"/>
      <c r="U3689" s="4"/>
      <c r="V3689" s="4"/>
      <c r="W3689" s="4"/>
      <c r="X3689" s="4"/>
    </row>
    <row r="3690" spans="1:24" ht="14.25" customHeight="1">
      <c r="A3690" s="4"/>
      <c r="B3690" s="125">
        <v>46203</v>
      </c>
      <c r="C3690" s="126" t="s">
        <v>1711</v>
      </c>
      <c r="D3690" s="15" t="s">
        <v>1712</v>
      </c>
      <c r="E3690" s="10" t="str">
        <f>TRIM(VLOOKUP(D3690,TB!$B$9:$C$1500,2,FALSE))</f>
        <v>Prepaid Website/Internet</v>
      </c>
      <c r="F3690" s="142" t="s">
        <v>1713</v>
      </c>
      <c r="G3690" s="130"/>
      <c r="H3690" s="10">
        <v>2220000</v>
      </c>
      <c r="I3690" s="10"/>
      <c r="J3690" s="79" t="e">
        <f t="shared" si="245"/>
        <v>#VALUE!</v>
      </c>
      <c r="K3690" s="106"/>
      <c r="L3690" s="141"/>
      <c r="M3690" s="132"/>
      <c r="N3690" s="133"/>
      <c r="O3690" s="4"/>
      <c r="P3690" s="4"/>
      <c r="Q3690" s="4"/>
      <c r="R3690" s="4"/>
      <c r="S3690" s="4"/>
      <c r="T3690" s="4"/>
      <c r="U3690" s="4"/>
      <c r="V3690" s="4"/>
      <c r="W3690" s="4"/>
      <c r="X3690" s="4"/>
    </row>
    <row r="3691" spans="1:24" ht="14.25" customHeight="1">
      <c r="A3691" s="4"/>
      <c r="B3691" s="125">
        <v>46203</v>
      </c>
      <c r="C3691" s="126" t="s">
        <v>1711</v>
      </c>
      <c r="D3691" s="15" t="s">
        <v>124</v>
      </c>
      <c r="E3691" s="10" t="str">
        <f>TRIM(VLOOKUP(D3691,TB!$B$9:$C$1500,2,FALSE))</f>
        <v>Bank charges</v>
      </c>
      <c r="F3691" s="142" t="s">
        <v>1713</v>
      </c>
      <c r="G3691" s="130"/>
      <c r="H3691" s="10">
        <v>2500</v>
      </c>
      <c r="I3691" s="10"/>
      <c r="J3691" s="79" t="e">
        <f t="shared" si="245"/>
        <v>#VALUE!</v>
      </c>
      <c r="K3691" s="106"/>
      <c r="L3691" s="141"/>
      <c r="M3691" s="132"/>
      <c r="N3691" s="133"/>
      <c r="O3691" s="4"/>
      <c r="P3691" s="4"/>
      <c r="Q3691" s="4"/>
      <c r="R3691" s="4"/>
      <c r="S3691" s="4"/>
      <c r="T3691" s="4"/>
      <c r="U3691" s="4"/>
      <c r="V3691" s="4"/>
      <c r="W3691" s="4"/>
      <c r="X3691" s="4"/>
    </row>
    <row r="3692" spans="1:24" ht="14.25" customHeight="1">
      <c r="A3692" s="4"/>
      <c r="B3692" s="125">
        <v>46203</v>
      </c>
      <c r="C3692" s="126" t="s">
        <v>1711</v>
      </c>
      <c r="D3692" s="68" t="s">
        <v>158</v>
      </c>
      <c r="E3692" s="10" t="str">
        <f>TRIM(VLOOKUP(D3692,TB!$B$9:$C$1500,2,FALSE))</f>
        <v>Mandiri TBB IDR</v>
      </c>
      <c r="F3692" s="142" t="s">
        <v>1713</v>
      </c>
      <c r="G3692" s="130"/>
      <c r="H3692" s="10"/>
      <c r="I3692" s="10">
        <v>2222500</v>
      </c>
      <c r="J3692" s="79" t="e">
        <f t="shared" si="245"/>
        <v>#VALUE!</v>
      </c>
      <c r="K3692" s="106"/>
      <c r="L3692" s="141"/>
      <c r="M3692" s="132"/>
      <c r="N3692" s="133"/>
      <c r="O3692" s="4"/>
      <c r="P3692" s="4"/>
      <c r="Q3692" s="4"/>
      <c r="R3692" s="4"/>
      <c r="S3692" s="4"/>
      <c r="T3692" s="4"/>
      <c r="U3692" s="4"/>
      <c r="V3692" s="4"/>
      <c r="W3692" s="4"/>
      <c r="X3692" s="4"/>
    </row>
    <row r="3693" spans="1:24" ht="14.25" customHeight="1">
      <c r="A3693" s="4"/>
      <c r="B3693" s="125"/>
      <c r="C3693" s="126"/>
      <c r="D3693" s="159"/>
      <c r="E3693" s="10" t="e">
        <f>TRIM(VLOOKUP(D3693,TB!$B$9:$C$1500,2,FALSE))</f>
        <v>#N/A</v>
      </c>
      <c r="F3693" s="142"/>
      <c r="G3693" s="130"/>
      <c r="H3693" s="10"/>
      <c r="I3693" s="10"/>
      <c r="J3693" s="79" t="e">
        <f t="shared" si="245"/>
        <v>#VALUE!</v>
      </c>
      <c r="K3693" s="106"/>
      <c r="L3693" s="141"/>
      <c r="M3693" s="132"/>
      <c r="N3693" s="133"/>
      <c r="O3693" s="4"/>
      <c r="P3693" s="4"/>
      <c r="Q3693" s="4"/>
      <c r="R3693" s="4"/>
      <c r="S3693" s="4"/>
      <c r="T3693" s="4"/>
      <c r="U3693" s="4"/>
      <c r="V3693" s="4"/>
      <c r="W3693" s="4"/>
      <c r="X3693" s="4"/>
    </row>
    <row r="3694" spans="1:24" ht="14.25" customHeight="1">
      <c r="A3694" s="4"/>
      <c r="B3694" s="125">
        <v>46203</v>
      </c>
      <c r="C3694" s="126" t="s">
        <v>1714</v>
      </c>
      <c r="D3694" s="15" t="s">
        <v>1712</v>
      </c>
      <c r="E3694" s="10" t="str">
        <f>TRIM(VLOOKUP(D3694,TB!$B$9:$C$1500,2,FALSE))</f>
        <v>Prepaid Website/Internet</v>
      </c>
      <c r="F3694" s="142" t="s">
        <v>1715</v>
      </c>
      <c r="G3694" s="130"/>
      <c r="H3694" s="10">
        <v>2220000</v>
      </c>
      <c r="I3694" s="10"/>
      <c r="J3694" s="79" t="e">
        <f t="shared" si="245"/>
        <v>#VALUE!</v>
      </c>
      <c r="K3694" s="106"/>
      <c r="L3694" s="141"/>
      <c r="M3694" s="132"/>
      <c r="N3694" s="133"/>
      <c r="O3694" s="4"/>
      <c r="P3694" s="4"/>
      <c r="Q3694" s="4"/>
      <c r="R3694" s="4"/>
      <c r="S3694" s="4"/>
      <c r="T3694" s="4"/>
      <c r="U3694" s="4"/>
      <c r="V3694" s="4"/>
      <c r="W3694" s="4"/>
      <c r="X3694" s="4"/>
    </row>
    <row r="3695" spans="1:24" ht="14.25" customHeight="1">
      <c r="A3695" s="4"/>
      <c r="B3695" s="125">
        <v>46203</v>
      </c>
      <c r="C3695" s="126" t="s">
        <v>1714</v>
      </c>
      <c r="D3695" s="15" t="s">
        <v>124</v>
      </c>
      <c r="E3695" s="10" t="str">
        <f>TRIM(VLOOKUP(D3695,TB!$B$9:$C$1500,2,FALSE))</f>
        <v>Bank charges</v>
      </c>
      <c r="F3695" s="142" t="s">
        <v>1715</v>
      </c>
      <c r="G3695" s="130"/>
      <c r="H3695" s="10">
        <v>2500</v>
      </c>
      <c r="I3695" s="10"/>
      <c r="J3695" s="79" t="e">
        <f t="shared" si="245"/>
        <v>#VALUE!</v>
      </c>
      <c r="K3695" s="106"/>
      <c r="L3695" s="141"/>
      <c r="M3695" s="132"/>
      <c r="N3695" s="133"/>
      <c r="O3695" s="4"/>
      <c r="P3695" s="4"/>
      <c r="Q3695" s="4"/>
      <c r="R3695" s="4"/>
      <c r="S3695" s="4"/>
      <c r="T3695" s="4"/>
      <c r="U3695" s="4"/>
      <c r="V3695" s="4"/>
      <c r="W3695" s="4"/>
      <c r="X3695" s="4"/>
    </row>
    <row r="3696" spans="1:24" ht="14.25" customHeight="1">
      <c r="A3696" s="4"/>
      <c r="B3696" s="125">
        <v>46203</v>
      </c>
      <c r="C3696" s="126" t="s">
        <v>1714</v>
      </c>
      <c r="D3696" s="68" t="s">
        <v>158</v>
      </c>
      <c r="E3696" s="10" t="str">
        <f>TRIM(VLOOKUP(D3696,TB!$B$9:$C$1500,2,FALSE))</f>
        <v>Mandiri TBB IDR</v>
      </c>
      <c r="F3696" s="142" t="s">
        <v>1715</v>
      </c>
      <c r="G3696" s="130"/>
      <c r="H3696" s="10"/>
      <c r="I3696" s="10">
        <v>2222500</v>
      </c>
      <c r="J3696" s="79" t="e">
        <f t="shared" si="245"/>
        <v>#VALUE!</v>
      </c>
      <c r="K3696" s="106"/>
      <c r="L3696" s="141"/>
      <c r="M3696" s="132"/>
      <c r="N3696" s="133"/>
      <c r="O3696" s="4"/>
      <c r="P3696" s="4"/>
      <c r="Q3696" s="4"/>
      <c r="R3696" s="4"/>
      <c r="S3696" s="4"/>
      <c r="T3696" s="4"/>
      <c r="U3696" s="4"/>
      <c r="V3696" s="4"/>
      <c r="W3696" s="4"/>
      <c r="X3696" s="4"/>
    </row>
    <row r="3697" spans="1:24" ht="14.25" customHeight="1">
      <c r="A3697" s="4"/>
      <c r="B3697" s="125"/>
      <c r="C3697" s="126"/>
      <c r="D3697" s="159"/>
      <c r="E3697" s="10" t="e">
        <f>TRIM(VLOOKUP(D3697,TB!$B$9:$C$1500,2,FALSE))</f>
        <v>#N/A</v>
      </c>
      <c r="F3697" s="142"/>
      <c r="G3697" s="130"/>
      <c r="H3697" s="10"/>
      <c r="I3697" s="10"/>
      <c r="J3697" s="79" t="e">
        <f t="shared" si="245"/>
        <v>#VALUE!</v>
      </c>
      <c r="K3697" s="106"/>
      <c r="L3697" s="141"/>
      <c r="M3697" s="132"/>
      <c r="N3697" s="133"/>
      <c r="O3697" s="4"/>
      <c r="P3697" s="4"/>
      <c r="Q3697" s="4"/>
      <c r="R3697" s="4"/>
      <c r="S3697" s="4"/>
      <c r="T3697" s="4"/>
      <c r="U3697" s="4"/>
      <c r="V3697" s="4"/>
      <c r="W3697" s="4"/>
      <c r="X3697" s="4"/>
    </row>
    <row r="3698" spans="1:24" ht="14.25" customHeight="1">
      <c r="A3698" s="4"/>
      <c r="B3698" s="125">
        <v>46203</v>
      </c>
      <c r="C3698" s="126" t="s">
        <v>1716</v>
      </c>
      <c r="D3698" s="68" t="s">
        <v>229</v>
      </c>
      <c r="E3698" s="10" t="str">
        <f>TRIM(VLOOKUP(D3698,TB!$B$9:$C$1500,2,FALSE))</f>
        <v>Mandiri TBB USD</v>
      </c>
      <c r="F3698" s="142" t="s">
        <v>1717</v>
      </c>
      <c r="G3698" s="130"/>
      <c r="H3698" s="10">
        <v>45600000</v>
      </c>
      <c r="I3698" s="10"/>
      <c r="J3698" s="79" t="e">
        <f t="shared" si="245"/>
        <v>#VALUE!</v>
      </c>
      <c r="K3698" s="106"/>
      <c r="L3698" s="141"/>
      <c r="M3698" s="132"/>
      <c r="N3698" s="133"/>
      <c r="O3698" s="4"/>
      <c r="P3698" s="4"/>
      <c r="Q3698" s="4"/>
      <c r="R3698" s="4"/>
      <c r="S3698" s="4"/>
      <c r="T3698" s="4"/>
      <c r="U3698" s="4"/>
      <c r="V3698" s="4"/>
      <c r="W3698" s="4"/>
      <c r="X3698" s="4"/>
    </row>
    <row r="3699" spans="1:24" ht="14.25" customHeight="1">
      <c r="A3699" s="4"/>
      <c r="B3699" s="125">
        <v>46203</v>
      </c>
      <c r="C3699" s="126" t="s">
        <v>1716</v>
      </c>
      <c r="D3699" s="68" t="s">
        <v>158</v>
      </c>
      <c r="E3699" s="10" t="str">
        <f>TRIM(VLOOKUP(D3699,TB!$B$9:$C$1500,2,FALSE))</f>
        <v>Mandiri TBB IDR</v>
      </c>
      <c r="F3699" s="142" t="s">
        <v>1717</v>
      </c>
      <c r="G3699" s="130"/>
      <c r="H3699" s="10"/>
      <c r="I3699" s="10">
        <v>45600000</v>
      </c>
      <c r="J3699" s="79" t="e">
        <f t="shared" si="245"/>
        <v>#VALUE!</v>
      </c>
      <c r="K3699" s="106"/>
      <c r="L3699" s="141"/>
      <c r="M3699" s="132"/>
      <c r="N3699" s="133"/>
      <c r="O3699" s="4"/>
      <c r="P3699" s="4"/>
      <c r="Q3699" s="4"/>
      <c r="R3699" s="4"/>
      <c r="S3699" s="4"/>
      <c r="T3699" s="4"/>
      <c r="U3699" s="4"/>
      <c r="V3699" s="4"/>
      <c r="W3699" s="4"/>
      <c r="X3699" s="4"/>
    </row>
    <row r="3700" spans="1:24" ht="14.25" customHeight="1">
      <c r="A3700" s="4"/>
      <c r="B3700" s="125"/>
      <c r="C3700" s="126"/>
      <c r="D3700" s="159"/>
      <c r="E3700" s="10" t="e">
        <f>TRIM(VLOOKUP(D3700,TB!$B$9:$C$1500,2,FALSE))</f>
        <v>#N/A</v>
      </c>
      <c r="F3700" s="142"/>
      <c r="G3700" s="130"/>
      <c r="H3700" s="10"/>
      <c r="I3700" s="10"/>
      <c r="J3700" s="79" t="e">
        <f t="shared" si="245"/>
        <v>#VALUE!</v>
      </c>
      <c r="K3700" s="106"/>
      <c r="L3700" s="141"/>
      <c r="M3700" s="132"/>
      <c r="N3700" s="133"/>
      <c r="O3700" s="4"/>
      <c r="P3700" s="4"/>
      <c r="Q3700" s="4"/>
      <c r="R3700" s="4"/>
      <c r="S3700" s="4"/>
      <c r="T3700" s="4"/>
      <c r="U3700" s="4"/>
      <c r="V3700" s="4"/>
      <c r="W3700" s="4"/>
      <c r="X3700" s="4"/>
    </row>
    <row r="3701" spans="1:24" ht="14.25" customHeight="1">
      <c r="A3701" s="4"/>
      <c r="B3701" s="125">
        <v>46203</v>
      </c>
      <c r="C3701" s="126" t="s">
        <v>1718</v>
      </c>
      <c r="D3701" s="68" t="s">
        <v>158</v>
      </c>
      <c r="E3701" s="10" t="str">
        <f>TRIM(VLOOKUP(D3701,TB!$B$9:$C$1500,2,FALSE))</f>
        <v>Mandiri TBB IDR</v>
      </c>
      <c r="F3701" s="142" t="s">
        <v>1719</v>
      </c>
      <c r="G3701" s="130"/>
      <c r="H3701" s="10">
        <f>I3703-H3702</f>
        <v>16325077.33</v>
      </c>
      <c r="I3701" s="10"/>
      <c r="J3701" s="79" t="e">
        <f t="shared" si="245"/>
        <v>#VALUE!</v>
      </c>
      <c r="K3701" s="106"/>
      <c r="L3701" s="141"/>
      <c r="M3701" s="132"/>
      <c r="N3701" s="133"/>
      <c r="O3701" s="4"/>
      <c r="P3701" s="4"/>
      <c r="Q3701" s="4"/>
      <c r="R3701" s="4"/>
      <c r="S3701" s="4"/>
      <c r="T3701" s="4"/>
      <c r="U3701" s="4"/>
      <c r="V3701" s="4"/>
      <c r="W3701" s="4"/>
      <c r="X3701" s="4"/>
    </row>
    <row r="3702" spans="1:24" ht="14.25" customHeight="1">
      <c r="A3702" s="4"/>
      <c r="B3702" s="125">
        <v>46203</v>
      </c>
      <c r="C3702" s="126" t="s">
        <v>1718</v>
      </c>
      <c r="D3702" s="15" t="s">
        <v>124</v>
      </c>
      <c r="E3702" s="10" t="str">
        <f>TRIM(VLOOKUP(D3702,TB!$B$9:$C$1500,2,FALSE))</f>
        <v>Bank charges</v>
      </c>
      <c r="F3702" s="142" t="s">
        <v>1719</v>
      </c>
      <c r="G3702" s="130"/>
      <c r="H3702" s="155">
        <v>299237.67000000004</v>
      </c>
      <c r="I3702" s="10"/>
      <c r="J3702" s="79" t="e">
        <f t="shared" si="245"/>
        <v>#VALUE!</v>
      </c>
      <c r="K3702" s="106"/>
      <c r="L3702" s="141"/>
      <c r="M3702" s="132"/>
      <c r="N3702" s="133"/>
      <c r="O3702" s="4"/>
      <c r="P3702" s="4"/>
      <c r="Q3702" s="4"/>
      <c r="R3702" s="4"/>
      <c r="S3702" s="4"/>
      <c r="T3702" s="4"/>
      <c r="U3702" s="4"/>
      <c r="V3702" s="4"/>
      <c r="W3702" s="4"/>
      <c r="X3702" s="4"/>
    </row>
    <row r="3703" spans="1:24" ht="14.25" customHeight="1">
      <c r="A3703" s="4"/>
      <c r="B3703" s="125">
        <v>46203</v>
      </c>
      <c r="C3703" s="126" t="s">
        <v>1718</v>
      </c>
      <c r="D3703" s="15" t="s">
        <v>48</v>
      </c>
      <c r="E3703" s="10" t="str">
        <f>TRIM(VLOOKUP(D3703,TB!$B$9:$C$1500,2,FALSE))</f>
        <v>Mandiri Card TBB</v>
      </c>
      <c r="F3703" s="142" t="s">
        <v>1719</v>
      </c>
      <c r="G3703" s="130"/>
      <c r="H3703" s="10"/>
      <c r="I3703" s="10">
        <v>16624315</v>
      </c>
      <c r="J3703" s="79" t="e">
        <f t="shared" si="245"/>
        <v>#VALUE!</v>
      </c>
      <c r="K3703" s="106"/>
      <c r="L3703" s="141"/>
      <c r="M3703" s="132"/>
      <c r="N3703" s="133"/>
      <c r="O3703" s="4"/>
      <c r="P3703" s="4"/>
      <c r="Q3703" s="4"/>
      <c r="R3703" s="4"/>
      <c r="S3703" s="4"/>
      <c r="T3703" s="4"/>
      <c r="U3703" s="4"/>
      <c r="V3703" s="4"/>
      <c r="W3703" s="4"/>
      <c r="X3703" s="4"/>
    </row>
    <row r="3704" spans="1:24" ht="14.25" customHeight="1">
      <c r="A3704" s="4"/>
      <c r="B3704" s="125"/>
      <c r="C3704" s="126"/>
      <c r="D3704" s="174"/>
      <c r="E3704" s="10" t="e">
        <f>TRIM(VLOOKUP(D3704,TB!$B$9:$C$1500,2,FALSE))</f>
        <v>#N/A</v>
      </c>
      <c r="F3704" s="142"/>
      <c r="G3704" s="130"/>
      <c r="H3704" s="10"/>
      <c r="I3704" s="10"/>
      <c r="J3704" s="79" t="e">
        <f t="shared" si="245"/>
        <v>#VALUE!</v>
      </c>
      <c r="K3704" s="106"/>
      <c r="L3704" s="141"/>
      <c r="M3704" s="132"/>
      <c r="N3704" s="133"/>
      <c r="O3704" s="4"/>
      <c r="P3704" s="4"/>
      <c r="Q3704" s="4"/>
      <c r="R3704" s="4"/>
      <c r="S3704" s="4"/>
      <c r="T3704" s="4"/>
      <c r="U3704" s="4"/>
      <c r="V3704" s="4"/>
      <c r="W3704" s="4"/>
      <c r="X3704" s="4"/>
    </row>
    <row r="3705" spans="1:24" ht="14.25" customHeight="1">
      <c r="A3705" s="4"/>
      <c r="B3705" s="125">
        <v>46203</v>
      </c>
      <c r="C3705" s="126" t="s">
        <v>1720</v>
      </c>
      <c r="D3705" s="15" t="s">
        <v>124</v>
      </c>
      <c r="E3705" s="10" t="str">
        <f>TRIM(VLOOKUP(D3705,TB!$B$9:$C$1500,2,FALSE))</f>
        <v>Bank charges</v>
      </c>
      <c r="F3705" s="142" t="s">
        <v>168</v>
      </c>
      <c r="G3705" s="130"/>
      <c r="H3705" s="10">
        <v>25000</v>
      </c>
      <c r="I3705" s="10"/>
      <c r="J3705" s="79" t="e">
        <f t="shared" si="245"/>
        <v>#VALUE!</v>
      </c>
      <c r="K3705" s="106"/>
      <c r="L3705" s="141"/>
      <c r="M3705" s="132"/>
      <c r="N3705" s="133"/>
      <c r="O3705" s="4"/>
      <c r="P3705" s="4"/>
      <c r="Q3705" s="4"/>
      <c r="R3705" s="4"/>
      <c r="S3705" s="4"/>
      <c r="T3705" s="4"/>
      <c r="U3705" s="4"/>
      <c r="V3705" s="4"/>
      <c r="W3705" s="4"/>
      <c r="X3705" s="4"/>
    </row>
    <row r="3706" spans="1:24" ht="14.25" customHeight="1">
      <c r="A3706" s="4"/>
      <c r="B3706" s="125">
        <v>46203</v>
      </c>
      <c r="C3706" s="126" t="s">
        <v>1720</v>
      </c>
      <c r="D3706" s="15" t="s">
        <v>1721</v>
      </c>
      <c r="E3706" s="10" t="str">
        <f>TRIM(VLOOKUP(D3706,TB!$B$9:$C$1500,2,FALSE))</f>
        <v>Interest Income</v>
      </c>
      <c r="F3706" s="142" t="s">
        <v>1722</v>
      </c>
      <c r="G3706" s="130"/>
      <c r="H3706" s="10"/>
      <c r="I3706" s="10">
        <v>22743.93</v>
      </c>
      <c r="J3706" s="79" t="e">
        <f t="shared" si="245"/>
        <v>#VALUE!</v>
      </c>
      <c r="K3706" s="106"/>
      <c r="L3706" s="141"/>
      <c r="M3706" s="132"/>
      <c r="N3706" s="133"/>
      <c r="O3706" s="4"/>
      <c r="P3706" s="4"/>
      <c r="Q3706" s="4"/>
      <c r="R3706" s="4"/>
      <c r="S3706" s="4"/>
      <c r="T3706" s="4"/>
      <c r="U3706" s="4"/>
      <c r="V3706" s="4"/>
      <c r="W3706" s="4"/>
      <c r="X3706" s="4"/>
    </row>
    <row r="3707" spans="1:24" ht="14.25" customHeight="1">
      <c r="A3707" s="4"/>
      <c r="B3707" s="125">
        <v>46203</v>
      </c>
      <c r="C3707" s="126" t="s">
        <v>1720</v>
      </c>
      <c r="D3707" s="15" t="s">
        <v>124</v>
      </c>
      <c r="E3707" s="10" t="str">
        <f>TRIM(VLOOKUP(D3707,TB!$B$9:$C$1500,2,FALSE))</f>
        <v>Bank charges</v>
      </c>
      <c r="F3707" s="142" t="s">
        <v>1723</v>
      </c>
      <c r="G3707" s="130"/>
      <c r="H3707" s="10">
        <v>4548.79</v>
      </c>
      <c r="I3707" s="10"/>
      <c r="J3707" s="79" t="e">
        <f t="shared" si="245"/>
        <v>#VALUE!</v>
      </c>
      <c r="K3707" s="106"/>
      <c r="L3707" s="141"/>
      <c r="M3707" s="132"/>
      <c r="N3707" s="133"/>
      <c r="O3707" s="4"/>
      <c r="P3707" s="4"/>
      <c r="Q3707" s="4"/>
      <c r="R3707" s="4"/>
      <c r="S3707" s="4"/>
      <c r="T3707" s="4"/>
      <c r="U3707" s="4"/>
      <c r="V3707" s="4"/>
      <c r="W3707" s="4"/>
      <c r="X3707" s="4"/>
    </row>
    <row r="3708" spans="1:24" ht="14.25" customHeight="1">
      <c r="A3708" s="4"/>
      <c r="B3708" s="125">
        <v>46203</v>
      </c>
      <c r="C3708" s="126" t="s">
        <v>1720</v>
      </c>
      <c r="D3708" s="68" t="s">
        <v>158</v>
      </c>
      <c r="E3708" s="10" t="str">
        <f>TRIM(VLOOKUP(D3708,TB!$B$9:$C$1500,2,FALSE))</f>
        <v>Mandiri TBB IDR</v>
      </c>
      <c r="F3708" s="142" t="s">
        <v>168</v>
      </c>
      <c r="G3708" s="130"/>
      <c r="H3708" s="10"/>
      <c r="I3708" s="10">
        <v>25000</v>
      </c>
      <c r="J3708" s="79" t="e">
        <f t="shared" si="245"/>
        <v>#VALUE!</v>
      </c>
      <c r="K3708" s="106"/>
      <c r="L3708" s="141"/>
      <c r="M3708" s="132"/>
      <c r="N3708" s="133"/>
      <c r="O3708" s="4"/>
      <c r="P3708" s="4"/>
      <c r="Q3708" s="4"/>
      <c r="R3708" s="4"/>
      <c r="S3708" s="4"/>
      <c r="T3708" s="4"/>
      <c r="U3708" s="4"/>
      <c r="V3708" s="4"/>
      <c r="W3708" s="4"/>
      <c r="X3708" s="4"/>
    </row>
    <row r="3709" spans="1:24" ht="14.25" customHeight="1">
      <c r="A3709" s="4"/>
      <c r="B3709" s="125">
        <v>46203</v>
      </c>
      <c r="C3709" s="126" t="s">
        <v>1720</v>
      </c>
      <c r="D3709" s="68" t="s">
        <v>158</v>
      </c>
      <c r="E3709" s="10" t="str">
        <f>TRIM(VLOOKUP(D3709,TB!$B$9:$C$1500,2,FALSE))</f>
        <v>Mandiri TBB IDR</v>
      </c>
      <c r="F3709" s="142" t="s">
        <v>1722</v>
      </c>
      <c r="G3709" s="130"/>
      <c r="H3709" s="10">
        <v>22743.93</v>
      </c>
      <c r="I3709" s="10"/>
      <c r="J3709" s="79" t="e">
        <f t="shared" si="245"/>
        <v>#VALUE!</v>
      </c>
      <c r="K3709" s="106"/>
      <c r="L3709" s="141"/>
      <c r="M3709" s="132"/>
      <c r="N3709" s="133"/>
      <c r="O3709" s="4"/>
      <c r="P3709" s="4"/>
      <c r="Q3709" s="4"/>
      <c r="R3709" s="4"/>
      <c r="S3709" s="4"/>
      <c r="T3709" s="4"/>
      <c r="U3709" s="4"/>
      <c r="V3709" s="4"/>
      <c r="W3709" s="4"/>
      <c r="X3709" s="4"/>
    </row>
    <row r="3710" spans="1:24" ht="14.25" customHeight="1">
      <c r="A3710" s="4"/>
      <c r="B3710" s="125">
        <v>46203</v>
      </c>
      <c r="C3710" s="126" t="s">
        <v>1720</v>
      </c>
      <c r="D3710" s="68" t="s">
        <v>158</v>
      </c>
      <c r="E3710" s="10" t="str">
        <f>TRIM(VLOOKUP(D3710,TB!$B$9:$C$1500,2,FALSE))</f>
        <v>Mandiri TBB IDR</v>
      </c>
      <c r="F3710" s="142" t="s">
        <v>1723</v>
      </c>
      <c r="G3710" s="130"/>
      <c r="H3710" s="10"/>
      <c r="I3710" s="10">
        <v>4548.79</v>
      </c>
      <c r="J3710" s="79" t="e">
        <f t="shared" si="245"/>
        <v>#VALUE!</v>
      </c>
      <c r="K3710" s="106"/>
      <c r="L3710" s="141"/>
      <c r="M3710" s="132"/>
      <c r="N3710" s="133"/>
      <c r="O3710" s="4"/>
      <c r="P3710" s="4"/>
      <c r="Q3710" s="4"/>
      <c r="R3710" s="4"/>
      <c r="S3710" s="4"/>
      <c r="T3710" s="4"/>
      <c r="U3710" s="4"/>
      <c r="V3710" s="4"/>
      <c r="W3710" s="4"/>
      <c r="X3710" s="4"/>
    </row>
    <row r="3711" spans="1:24" ht="14.25" customHeight="1">
      <c r="A3711" s="4"/>
      <c r="B3711" s="125"/>
      <c r="C3711" s="126"/>
      <c r="D3711" s="159"/>
      <c r="E3711" s="10" t="e">
        <f>TRIM(VLOOKUP(D3711,TB!$B$9:$C$1500,2,FALSE))</f>
        <v>#N/A</v>
      </c>
      <c r="F3711" s="142"/>
      <c r="G3711" s="130"/>
      <c r="H3711" s="10"/>
      <c r="I3711" s="10"/>
      <c r="J3711" s="79" t="e">
        <f t="shared" si="245"/>
        <v>#VALUE!</v>
      </c>
      <c r="K3711" s="106"/>
      <c r="L3711" s="141"/>
      <c r="M3711" s="132"/>
      <c r="N3711" s="133"/>
      <c r="O3711" s="4"/>
      <c r="P3711" s="4"/>
      <c r="Q3711" s="4"/>
      <c r="R3711" s="4"/>
      <c r="S3711" s="4"/>
      <c r="T3711" s="4"/>
      <c r="U3711" s="4"/>
      <c r="V3711" s="4"/>
      <c r="W3711" s="4"/>
      <c r="X3711" s="4"/>
    </row>
    <row r="3712" spans="1:24" ht="14.25" customHeight="1">
      <c r="A3712" s="4"/>
      <c r="B3712" s="125">
        <v>46203</v>
      </c>
      <c r="C3712" s="126" t="s">
        <v>1724</v>
      </c>
      <c r="D3712" s="68" t="s">
        <v>158</v>
      </c>
      <c r="E3712" s="10" t="str">
        <f>TRIM(VLOOKUP(D3712,TB!$B$9:$C$1500,2,FALSE))</f>
        <v>Mandiri TBB IDR</v>
      </c>
      <c r="F3712" s="142" t="s">
        <v>1725</v>
      </c>
      <c r="G3712" s="130"/>
      <c r="H3712" s="10">
        <v>8787884</v>
      </c>
      <c r="I3712" s="10"/>
      <c r="J3712" s="79" t="e">
        <f t="shared" si="245"/>
        <v>#VALUE!</v>
      </c>
      <c r="K3712" s="106"/>
      <c r="L3712" s="141"/>
      <c r="M3712" s="132"/>
      <c r="N3712" s="133"/>
      <c r="O3712" s="4"/>
      <c r="P3712" s="4"/>
      <c r="Q3712" s="4"/>
      <c r="R3712" s="4"/>
      <c r="S3712" s="4"/>
      <c r="T3712" s="4"/>
      <c r="U3712" s="4"/>
      <c r="V3712" s="4"/>
      <c r="W3712" s="4"/>
      <c r="X3712" s="4"/>
    </row>
    <row r="3713" spans="1:24" ht="14.25" customHeight="1">
      <c r="A3713" s="4"/>
      <c r="B3713" s="125">
        <v>46203</v>
      </c>
      <c r="C3713" s="126" t="s">
        <v>1724</v>
      </c>
      <c r="D3713" s="15" t="s">
        <v>124</v>
      </c>
      <c r="E3713" s="10" t="str">
        <f>TRIM(VLOOKUP(D3713,TB!$B$9:$C$1500,2,FALSE))</f>
        <v>Bank charges</v>
      </c>
      <c r="F3713" s="142" t="s">
        <v>1725</v>
      </c>
      <c r="G3713" s="130"/>
      <c r="H3713" s="10"/>
      <c r="I3713" s="10">
        <v>8787884</v>
      </c>
      <c r="J3713" s="79" t="e">
        <f t="shared" si="245"/>
        <v>#VALUE!</v>
      </c>
      <c r="K3713" s="106"/>
      <c r="L3713" s="141"/>
      <c r="M3713" s="132"/>
      <c r="N3713" s="133"/>
      <c r="O3713" s="4"/>
      <c r="P3713" s="4"/>
      <c r="Q3713" s="4"/>
      <c r="R3713" s="4"/>
      <c r="S3713" s="4"/>
      <c r="T3713" s="4"/>
      <c r="U3713" s="4"/>
      <c r="V3713" s="4"/>
      <c r="W3713" s="4"/>
      <c r="X3713" s="4"/>
    </row>
    <row r="3714" spans="1:24" ht="14.25" customHeight="1">
      <c r="A3714" s="4"/>
      <c r="B3714" s="125"/>
      <c r="C3714" s="126"/>
      <c r="D3714" s="159"/>
      <c r="E3714" s="10" t="e">
        <f>TRIM(VLOOKUP(D3714,TB!$B$9:$C$1500,2,FALSE))</f>
        <v>#N/A</v>
      </c>
      <c r="F3714" s="142"/>
      <c r="G3714" s="130"/>
      <c r="H3714" s="10"/>
      <c r="I3714" s="10"/>
      <c r="J3714" s="79" t="e">
        <f t="shared" si="245"/>
        <v>#VALUE!</v>
      </c>
      <c r="K3714" s="106"/>
      <c r="L3714" s="141"/>
      <c r="M3714" s="132"/>
      <c r="N3714" s="133"/>
      <c r="O3714" s="4"/>
      <c r="P3714" s="4"/>
      <c r="Q3714" s="4"/>
      <c r="R3714" s="4"/>
      <c r="S3714" s="4"/>
      <c r="T3714" s="4"/>
      <c r="U3714" s="4"/>
      <c r="V3714" s="4"/>
      <c r="W3714" s="4"/>
      <c r="X3714" s="4"/>
    </row>
    <row r="3715" spans="1:24" ht="14.25" customHeight="1">
      <c r="A3715" s="4"/>
      <c r="B3715" s="125">
        <v>46203</v>
      </c>
      <c r="C3715" s="126" t="s">
        <v>1726</v>
      </c>
      <c r="D3715" s="68" t="s">
        <v>158</v>
      </c>
      <c r="E3715" s="10" t="str">
        <f>TRIM(VLOOKUP(D3715,TB!$B$9:$C$1500,2,FALSE))</f>
        <v>Mandiri TBB IDR</v>
      </c>
      <c r="F3715" s="142" t="s">
        <v>1727</v>
      </c>
      <c r="G3715" s="130"/>
      <c r="H3715" s="10">
        <f>1500764.17</f>
        <v>1500764.17</v>
      </c>
      <c r="I3715" s="10"/>
      <c r="J3715" s="79" t="e">
        <f t="shared" si="245"/>
        <v>#VALUE!</v>
      </c>
      <c r="K3715" s="106"/>
      <c r="L3715" s="141"/>
      <c r="M3715" s="132"/>
      <c r="N3715" s="133"/>
      <c r="O3715" s="4"/>
      <c r="P3715" s="4"/>
      <c r="Q3715" s="4"/>
      <c r="R3715" s="4"/>
      <c r="S3715" s="4"/>
      <c r="T3715" s="4"/>
      <c r="U3715" s="4"/>
      <c r="V3715" s="4"/>
      <c r="W3715" s="4"/>
      <c r="X3715" s="4"/>
    </row>
    <row r="3716" spans="1:24" ht="14.25" customHeight="1">
      <c r="A3716" s="4"/>
      <c r="B3716" s="125">
        <v>46203</v>
      </c>
      <c r="C3716" s="126" t="s">
        <v>1726</v>
      </c>
      <c r="D3716" s="15" t="s">
        <v>124</v>
      </c>
      <c r="E3716" s="10" t="str">
        <f>TRIM(VLOOKUP(D3716,TB!$B$9:$C$1500,2,FALSE))</f>
        <v>Bank charges</v>
      </c>
      <c r="F3716" s="142" t="s">
        <v>1727</v>
      </c>
      <c r="G3716" s="130"/>
      <c r="H3716" s="10"/>
      <c r="I3716" s="10">
        <f>1500764.17</f>
        <v>1500764.17</v>
      </c>
      <c r="J3716" s="79" t="e">
        <f t="shared" si="245"/>
        <v>#VALUE!</v>
      </c>
      <c r="K3716" s="106"/>
      <c r="L3716" s="141"/>
      <c r="M3716" s="132"/>
      <c r="N3716" s="133"/>
      <c r="O3716" s="4"/>
      <c r="P3716" s="4"/>
      <c r="Q3716" s="4"/>
      <c r="R3716" s="4"/>
      <c r="S3716" s="4"/>
      <c r="T3716" s="4"/>
      <c r="U3716" s="4"/>
      <c r="V3716" s="4"/>
      <c r="W3716" s="4"/>
      <c r="X3716" s="4"/>
    </row>
    <row r="3717" spans="1:24" ht="14.25" customHeight="1">
      <c r="A3717" s="4"/>
      <c r="B3717" s="125"/>
      <c r="C3717" s="126"/>
      <c r="D3717" s="159"/>
      <c r="E3717" s="10" t="e">
        <f>TRIM(VLOOKUP(D3717,TB!$B$9:$C$1500,2,FALSE))</f>
        <v>#N/A</v>
      </c>
      <c r="F3717" s="142"/>
      <c r="G3717" s="130"/>
      <c r="H3717" s="10"/>
      <c r="I3717" s="10"/>
      <c r="J3717" s="79" t="e">
        <f t="shared" si="245"/>
        <v>#VALUE!</v>
      </c>
      <c r="K3717" s="106"/>
      <c r="L3717" s="141"/>
      <c r="M3717" s="132"/>
      <c r="N3717" s="133"/>
      <c r="O3717" s="4"/>
      <c r="P3717" s="4"/>
      <c r="Q3717" s="4"/>
      <c r="R3717" s="4"/>
      <c r="S3717" s="4"/>
      <c r="T3717" s="4"/>
      <c r="U3717" s="4"/>
      <c r="V3717" s="4"/>
      <c r="W3717" s="4"/>
      <c r="X3717" s="4"/>
    </row>
    <row r="3718" spans="1:24" ht="14.25" customHeight="1">
      <c r="A3718" s="4"/>
      <c r="B3718" s="125"/>
      <c r="C3718" s="126"/>
      <c r="D3718" s="159"/>
      <c r="E3718" s="10" t="e">
        <f>TRIM(VLOOKUP(D3718,TB!$B$9:$C$1500,2,FALSE))</f>
        <v>#N/A</v>
      </c>
      <c r="F3718" s="142"/>
      <c r="G3718" s="130"/>
      <c r="H3718" s="10"/>
      <c r="I3718" s="10"/>
      <c r="J3718" s="79" t="e">
        <f t="shared" si="245"/>
        <v>#VALUE!</v>
      </c>
      <c r="K3718" s="106"/>
      <c r="L3718" s="141"/>
      <c r="M3718" s="132"/>
      <c r="N3718" s="133"/>
      <c r="O3718" s="4"/>
      <c r="P3718" s="4"/>
      <c r="Q3718" s="4"/>
      <c r="R3718" s="4"/>
      <c r="S3718" s="4"/>
      <c r="T3718" s="4"/>
      <c r="U3718" s="4"/>
      <c r="V3718" s="4"/>
      <c r="W3718" s="4"/>
      <c r="X3718" s="4"/>
    </row>
    <row r="3719" spans="1:24" ht="14.25" customHeight="1">
      <c r="A3719" s="4"/>
      <c r="B3719" s="125"/>
      <c r="C3719" s="126"/>
      <c r="D3719" s="159"/>
      <c r="E3719" s="10" t="e">
        <f>TRIM(VLOOKUP(D3719,TB!$B$9:$C$1500,2,FALSE))</f>
        <v>#N/A</v>
      </c>
      <c r="F3719" s="142"/>
      <c r="G3719" s="130"/>
      <c r="H3719" s="10"/>
      <c r="I3719" s="10"/>
      <c r="J3719" s="79" t="e">
        <f t="shared" si="245"/>
        <v>#VALUE!</v>
      </c>
      <c r="K3719" s="106"/>
      <c r="L3719" s="141"/>
      <c r="M3719" s="132"/>
      <c r="N3719" s="133"/>
      <c r="O3719" s="4"/>
      <c r="P3719" s="4"/>
      <c r="Q3719" s="4"/>
      <c r="R3719" s="4"/>
      <c r="S3719" s="4"/>
      <c r="T3719" s="4"/>
      <c r="U3719" s="4"/>
      <c r="V3719" s="4"/>
      <c r="W3719" s="4"/>
      <c r="X3719" s="4"/>
    </row>
    <row r="3720" spans="1:24" ht="14.25" customHeight="1">
      <c r="A3720" s="4"/>
      <c r="B3720" s="125"/>
      <c r="C3720" s="126"/>
      <c r="D3720" s="159"/>
      <c r="E3720" s="10" t="e">
        <f>TRIM(VLOOKUP(D3720,TB!$B$9:$C$1500,2,FALSE))</f>
        <v>#N/A</v>
      </c>
      <c r="F3720" s="142"/>
      <c r="G3720" s="130"/>
      <c r="H3720" s="10"/>
      <c r="I3720" s="10"/>
      <c r="J3720" s="79" t="e">
        <f t="shared" si="245"/>
        <v>#VALUE!</v>
      </c>
      <c r="K3720" s="106"/>
      <c r="L3720" s="141"/>
      <c r="M3720" s="132"/>
      <c r="N3720" s="133"/>
      <c r="O3720" s="4"/>
      <c r="P3720" s="4"/>
      <c r="Q3720" s="4"/>
      <c r="R3720" s="4"/>
      <c r="S3720" s="4"/>
      <c r="T3720" s="4"/>
      <c r="U3720" s="4"/>
      <c r="V3720" s="4"/>
      <c r="W3720" s="4"/>
      <c r="X3720" s="4"/>
    </row>
    <row r="3721" spans="1:24" ht="14.25" customHeight="1">
      <c r="A3721" s="4"/>
      <c r="B3721" s="125"/>
      <c r="C3721" s="126"/>
      <c r="D3721" s="159"/>
      <c r="E3721" s="10" t="e">
        <f>TRIM(VLOOKUP(D3721,TB!$B$9:$C$1500,2,FALSE))</f>
        <v>#N/A</v>
      </c>
      <c r="F3721" s="142"/>
      <c r="G3721" s="130"/>
      <c r="H3721" s="10"/>
      <c r="I3721" s="10"/>
      <c r="J3721" s="79" t="e">
        <f t="shared" si="245"/>
        <v>#VALUE!</v>
      </c>
      <c r="K3721" s="106"/>
      <c r="L3721" s="141"/>
      <c r="M3721" s="132"/>
      <c r="N3721" s="133"/>
      <c r="O3721" s="4"/>
      <c r="P3721" s="4"/>
      <c r="Q3721" s="4"/>
      <c r="R3721" s="4"/>
      <c r="S3721" s="4"/>
      <c r="T3721" s="4"/>
      <c r="U3721" s="4"/>
      <c r="V3721" s="4"/>
      <c r="W3721" s="4"/>
      <c r="X3721" s="4"/>
    </row>
    <row r="3722" spans="1:24" ht="14.25" customHeight="1">
      <c r="A3722" s="4"/>
      <c r="B3722" s="125"/>
      <c r="C3722" s="126"/>
      <c r="D3722" s="159"/>
      <c r="E3722" s="10" t="e">
        <f>TRIM(VLOOKUP(D3722,TB!$B$9:$C$1500,2,FALSE))</f>
        <v>#N/A</v>
      </c>
      <c r="F3722" s="142"/>
      <c r="G3722" s="130"/>
      <c r="H3722" s="10"/>
      <c r="I3722" s="10"/>
      <c r="J3722" s="79" t="e">
        <f t="shared" si="245"/>
        <v>#VALUE!</v>
      </c>
      <c r="K3722" s="106"/>
      <c r="L3722" s="141"/>
      <c r="M3722" s="132"/>
      <c r="N3722" s="133"/>
      <c r="O3722" s="4"/>
      <c r="P3722" s="4"/>
      <c r="Q3722" s="4"/>
      <c r="R3722" s="4"/>
      <c r="S3722" s="4"/>
      <c r="T3722" s="4"/>
      <c r="U3722" s="4"/>
      <c r="V3722" s="4"/>
      <c r="W3722" s="4"/>
      <c r="X3722" s="4"/>
    </row>
    <row r="3723" spans="1:24" ht="14.25" customHeight="1">
      <c r="A3723" s="4"/>
      <c r="B3723" s="125"/>
      <c r="C3723" s="126"/>
      <c r="D3723" s="159"/>
      <c r="E3723" s="10" t="e">
        <f>TRIM(VLOOKUP(D3723,TB!$B$9:$C$1500,2,FALSE))</f>
        <v>#N/A</v>
      </c>
      <c r="F3723" s="142"/>
      <c r="G3723" s="130"/>
      <c r="H3723" s="10"/>
      <c r="I3723" s="10"/>
      <c r="J3723" s="79" t="e">
        <f t="shared" si="245"/>
        <v>#VALUE!</v>
      </c>
      <c r="K3723" s="106"/>
      <c r="L3723" s="141"/>
      <c r="M3723" s="132"/>
      <c r="N3723" s="133"/>
      <c r="O3723" s="4"/>
      <c r="P3723" s="4"/>
      <c r="Q3723" s="4"/>
      <c r="R3723" s="4"/>
      <c r="S3723" s="4"/>
      <c r="T3723" s="4"/>
      <c r="U3723" s="4"/>
      <c r="V3723" s="4"/>
      <c r="W3723" s="4"/>
      <c r="X3723" s="4"/>
    </row>
    <row r="3724" spans="1:24" ht="14.25" customHeight="1">
      <c r="A3724" s="4"/>
      <c r="B3724" s="144"/>
      <c r="C3724" s="145"/>
      <c r="D3724" s="189"/>
      <c r="E3724" s="147" t="e">
        <f>TRIM(VLOOKUP(D3724,TB!$B$9:$C$1500,2,FALSE))</f>
        <v>#N/A</v>
      </c>
      <c r="F3724" s="4"/>
      <c r="G3724" s="148"/>
      <c r="H3724" s="147"/>
      <c r="I3724" s="147"/>
      <c r="J3724" s="79" t="e">
        <f t="shared" si="245"/>
        <v>#VALUE!</v>
      </c>
      <c r="K3724" s="106"/>
      <c r="L3724" s="141"/>
      <c r="M3724" s="132"/>
      <c r="N3724" s="133"/>
      <c r="O3724" s="4"/>
      <c r="P3724" s="4"/>
      <c r="Q3724" s="4"/>
      <c r="R3724" s="4"/>
      <c r="S3724" s="4"/>
      <c r="T3724" s="4"/>
      <c r="U3724" s="4"/>
      <c r="V3724" s="4"/>
      <c r="W3724" s="4"/>
      <c r="X3724" s="4"/>
    </row>
    <row r="3725" spans="1:24" ht="14.25" customHeight="1">
      <c r="A3725" s="4"/>
      <c r="B3725" s="149"/>
      <c r="C3725" s="150"/>
      <c r="D3725" s="190"/>
      <c r="E3725" s="152" t="e">
        <f>TRIM(VLOOKUP(D3725,TB!$B$9:$C$1500,2,FALSE))</f>
        <v>#N/A</v>
      </c>
      <c r="F3725" s="153"/>
      <c r="G3725" s="154"/>
      <c r="H3725" s="152"/>
      <c r="I3725" s="152"/>
      <c r="J3725" s="79" t="e">
        <f t="shared" si="245"/>
        <v>#VALUE!</v>
      </c>
      <c r="K3725" s="106"/>
      <c r="L3725" s="141"/>
      <c r="M3725" s="132"/>
      <c r="N3725" s="133"/>
      <c r="O3725" s="4"/>
      <c r="P3725" s="4"/>
      <c r="Q3725" s="4"/>
      <c r="R3725" s="4"/>
      <c r="S3725" s="4"/>
      <c r="T3725" s="4"/>
      <c r="U3725" s="4"/>
      <c r="V3725" s="4"/>
      <c r="W3725" s="4"/>
      <c r="X3725" s="4"/>
    </row>
    <row r="3726" spans="1:24" ht="14.25" customHeight="1">
      <c r="A3726" s="4"/>
      <c r="B3726" s="125">
        <v>46175</v>
      </c>
      <c r="C3726" s="126" t="s">
        <v>1728</v>
      </c>
      <c r="D3726" s="24" t="s">
        <v>1729</v>
      </c>
      <c r="E3726" s="10" t="str">
        <f>TRIM(VLOOKUP(D3726,TB!$B$9:$C$1500,2,FALSE))</f>
        <v>Shareholders Loans - William</v>
      </c>
      <c r="F3726" s="142" t="s">
        <v>1730</v>
      </c>
      <c r="G3726" s="130"/>
      <c r="H3726" s="10">
        <v>45000000</v>
      </c>
      <c r="I3726" s="10"/>
      <c r="J3726" s="79" t="e">
        <f t="shared" si="245"/>
        <v>#VALUE!</v>
      </c>
      <c r="K3726" s="106"/>
      <c r="L3726" s="141"/>
      <c r="M3726" s="132"/>
      <c r="N3726" s="133"/>
      <c r="O3726" s="4"/>
      <c r="P3726" s="4"/>
      <c r="Q3726" s="4"/>
      <c r="R3726" s="4"/>
      <c r="S3726" s="4"/>
      <c r="T3726" s="4"/>
      <c r="U3726" s="4"/>
      <c r="V3726" s="4"/>
      <c r="W3726" s="4"/>
      <c r="X3726" s="4"/>
    </row>
    <row r="3727" spans="1:24" ht="14.25" customHeight="1">
      <c r="A3727" s="4"/>
      <c r="B3727" s="125">
        <v>46175</v>
      </c>
      <c r="C3727" s="126" t="s">
        <v>1728</v>
      </c>
      <c r="D3727" s="15" t="s">
        <v>124</v>
      </c>
      <c r="E3727" s="10" t="str">
        <f>TRIM(VLOOKUP(D3727,TB!$B$9:$C$1500,2,FALSE))</f>
        <v>Bank charges</v>
      </c>
      <c r="F3727" s="142" t="s">
        <v>1730</v>
      </c>
      <c r="G3727" s="130"/>
      <c r="H3727" s="10">
        <f>35*17940</f>
        <v>627900</v>
      </c>
      <c r="I3727" s="10"/>
      <c r="J3727" s="79" t="e">
        <f t="shared" si="245"/>
        <v>#VALUE!</v>
      </c>
      <c r="K3727" s="106"/>
      <c r="L3727" s="141"/>
      <c r="M3727" s="132"/>
      <c r="N3727" s="133"/>
      <c r="O3727" s="4"/>
      <c r="P3727" s="4"/>
      <c r="Q3727" s="4"/>
      <c r="R3727" s="4"/>
      <c r="S3727" s="4"/>
      <c r="T3727" s="4"/>
      <c r="U3727" s="4"/>
      <c r="V3727" s="4"/>
      <c r="W3727" s="4"/>
      <c r="X3727" s="4"/>
    </row>
    <row r="3728" spans="1:24" ht="14.25" customHeight="1">
      <c r="A3728" s="4"/>
      <c r="B3728" s="125">
        <v>46175</v>
      </c>
      <c r="C3728" s="126" t="s">
        <v>1728</v>
      </c>
      <c r="D3728" s="68" t="s">
        <v>229</v>
      </c>
      <c r="E3728" s="10" t="str">
        <f>TRIM(VLOOKUP(D3728,TB!$B$9:$C$1500,2,FALSE))</f>
        <v>Mandiri TBB USD</v>
      </c>
      <c r="F3728" s="142" t="s">
        <v>1730</v>
      </c>
      <c r="G3728" s="130"/>
      <c r="H3728" s="10"/>
      <c r="I3728" s="10">
        <v>45627900</v>
      </c>
      <c r="J3728" s="79" t="e">
        <f t="shared" si="245"/>
        <v>#VALUE!</v>
      </c>
      <c r="K3728" s="106"/>
      <c r="L3728" s="141"/>
      <c r="M3728" s="132"/>
      <c r="N3728" s="133"/>
      <c r="O3728" s="4"/>
      <c r="P3728" s="4"/>
      <c r="Q3728" s="4"/>
      <c r="R3728" s="4"/>
      <c r="S3728" s="4"/>
      <c r="T3728" s="4"/>
      <c r="U3728" s="4"/>
      <c r="V3728" s="4"/>
      <c r="W3728" s="4"/>
      <c r="X3728" s="4"/>
    </row>
    <row r="3729" spans="1:24" ht="14.25" customHeight="1">
      <c r="A3729" s="4"/>
      <c r="B3729" s="125"/>
      <c r="C3729" s="126"/>
      <c r="D3729" s="159"/>
      <c r="E3729" s="10" t="e">
        <f>TRIM(VLOOKUP(D3729,TB!$B$9:$C$1500,2,FALSE))</f>
        <v>#N/A</v>
      </c>
      <c r="F3729" s="142"/>
      <c r="G3729" s="130"/>
      <c r="H3729" s="10"/>
      <c r="I3729" s="10"/>
      <c r="J3729" s="79" t="e">
        <f t="shared" si="245"/>
        <v>#VALUE!</v>
      </c>
      <c r="K3729" s="106"/>
      <c r="L3729" s="141"/>
      <c r="M3729" s="132"/>
      <c r="N3729" s="133"/>
      <c r="O3729" s="4"/>
      <c r="P3729" s="4"/>
      <c r="Q3729" s="4"/>
      <c r="R3729" s="4"/>
      <c r="S3729" s="4"/>
      <c r="T3729" s="4"/>
      <c r="U3729" s="4"/>
      <c r="V3729" s="4"/>
      <c r="W3729" s="4"/>
      <c r="X3729" s="4"/>
    </row>
    <row r="3730" spans="1:24" ht="14.25" customHeight="1">
      <c r="A3730" s="4"/>
      <c r="B3730" s="125">
        <v>46181</v>
      </c>
      <c r="C3730" s="126" t="s">
        <v>1731</v>
      </c>
      <c r="D3730" s="24" t="s">
        <v>1729</v>
      </c>
      <c r="E3730" s="10" t="str">
        <f>TRIM(VLOOKUP(D3730,TB!$B$9:$C$1500,2,FALSE))</f>
        <v>Shareholders Loans - William</v>
      </c>
      <c r="F3730" s="142" t="s">
        <v>1732</v>
      </c>
      <c r="G3730" s="130"/>
      <c r="H3730" s="155">
        <v>42545000</v>
      </c>
      <c r="I3730" s="10"/>
      <c r="J3730" s="79" t="e">
        <f t="shared" si="245"/>
        <v>#VALUE!</v>
      </c>
      <c r="K3730" s="106"/>
      <c r="L3730" s="141"/>
      <c r="M3730" s="132"/>
      <c r="N3730" s="133"/>
      <c r="O3730" s="4"/>
      <c r="P3730" s="4"/>
      <c r="Q3730" s="4"/>
      <c r="R3730" s="4"/>
      <c r="S3730" s="4"/>
      <c r="T3730" s="4"/>
      <c r="U3730" s="4"/>
      <c r="V3730" s="4"/>
      <c r="W3730" s="4"/>
      <c r="X3730" s="4"/>
    </row>
    <row r="3731" spans="1:24" ht="14.25" customHeight="1">
      <c r="A3731" s="4"/>
      <c r="B3731" s="125">
        <v>46181</v>
      </c>
      <c r="C3731" s="126" t="s">
        <v>1731</v>
      </c>
      <c r="D3731" s="15" t="s">
        <v>124</v>
      </c>
      <c r="E3731" s="10" t="str">
        <f>TRIM(VLOOKUP(D3731,TB!$B$9:$C$1500,2,FALSE))</f>
        <v>Bank charges</v>
      </c>
      <c r="F3731" s="142" t="s">
        <v>1732</v>
      </c>
      <c r="G3731" s="130"/>
      <c r="H3731" s="10">
        <f>35*18230</f>
        <v>638050</v>
      </c>
      <c r="I3731" s="10"/>
      <c r="J3731" s="79" t="e">
        <f t="shared" si="245"/>
        <v>#VALUE!</v>
      </c>
      <c r="K3731" s="106"/>
      <c r="L3731" s="141"/>
      <c r="M3731" s="132"/>
      <c r="N3731" s="133"/>
      <c r="O3731" s="4"/>
      <c r="P3731" s="4"/>
      <c r="Q3731" s="4"/>
      <c r="R3731" s="4"/>
      <c r="S3731" s="4"/>
      <c r="T3731" s="4"/>
      <c r="U3731" s="4"/>
      <c r="V3731" s="4"/>
      <c r="W3731" s="4"/>
      <c r="X3731" s="4"/>
    </row>
    <row r="3732" spans="1:24" ht="14.25" customHeight="1">
      <c r="A3732" s="4"/>
      <c r="B3732" s="125">
        <v>46181</v>
      </c>
      <c r="C3732" s="126" t="s">
        <v>1731</v>
      </c>
      <c r="D3732" s="68" t="s">
        <v>229</v>
      </c>
      <c r="E3732" s="10" t="str">
        <f>TRIM(VLOOKUP(D3732,TB!$B$9:$C$1500,2,FALSE))</f>
        <v>Mandiri TBB USD</v>
      </c>
      <c r="F3732" s="142" t="s">
        <v>1732</v>
      </c>
      <c r="G3732" s="130"/>
      <c r="H3732" s="10"/>
      <c r="I3732" s="10">
        <v>43183050</v>
      </c>
      <c r="J3732" s="79" t="e">
        <f t="shared" si="245"/>
        <v>#VALUE!</v>
      </c>
      <c r="K3732" s="106"/>
      <c r="L3732" s="141"/>
      <c r="M3732" s="132"/>
      <c r="N3732" s="133"/>
      <c r="O3732" s="4"/>
      <c r="P3732" s="4"/>
      <c r="Q3732" s="4"/>
      <c r="R3732" s="4"/>
      <c r="S3732" s="4"/>
      <c r="T3732" s="4"/>
      <c r="U3732" s="4"/>
      <c r="V3732" s="4"/>
      <c r="W3732" s="4"/>
      <c r="X3732" s="4"/>
    </row>
    <row r="3733" spans="1:24" ht="14.25" customHeight="1">
      <c r="A3733" s="4"/>
      <c r="B3733" s="125"/>
      <c r="C3733" s="126"/>
      <c r="D3733" s="159"/>
      <c r="E3733" s="10" t="e">
        <f>TRIM(VLOOKUP(D3733,TB!$B$9:$C$1500,2,FALSE))</f>
        <v>#N/A</v>
      </c>
      <c r="F3733" s="142"/>
      <c r="G3733" s="130"/>
      <c r="H3733" s="10"/>
      <c r="I3733" s="10"/>
      <c r="J3733" s="79" t="e">
        <f t="shared" si="245"/>
        <v>#VALUE!</v>
      </c>
      <c r="K3733" s="106"/>
      <c r="L3733" s="141"/>
      <c r="M3733" s="132"/>
      <c r="N3733" s="133"/>
      <c r="O3733" s="4"/>
      <c r="P3733" s="4"/>
      <c r="Q3733" s="4"/>
      <c r="R3733" s="4"/>
      <c r="S3733" s="4"/>
      <c r="T3733" s="4"/>
      <c r="U3733" s="4"/>
      <c r="V3733" s="4"/>
      <c r="W3733" s="4"/>
      <c r="X3733" s="4"/>
    </row>
    <row r="3734" spans="1:24" ht="14.25" customHeight="1">
      <c r="A3734" s="4"/>
      <c r="B3734" s="125">
        <v>46182</v>
      </c>
      <c r="C3734" s="126" t="s">
        <v>1733</v>
      </c>
      <c r="D3734" s="68" t="s">
        <v>229</v>
      </c>
      <c r="E3734" s="10" t="str">
        <f>TRIM(VLOOKUP(D3734,TB!$B$9:$C$1500,2,FALSE))</f>
        <v>Mandiri TBB USD</v>
      </c>
      <c r="F3734" s="142" t="s">
        <v>1734</v>
      </c>
      <c r="G3734" s="130"/>
      <c r="H3734" s="155">
        <v>42545000</v>
      </c>
      <c r="I3734" s="10"/>
      <c r="J3734" s="79" t="e">
        <f t="shared" si="245"/>
        <v>#VALUE!</v>
      </c>
      <c r="K3734" s="106"/>
      <c r="L3734" s="141"/>
      <c r="M3734" s="132"/>
      <c r="N3734" s="133"/>
      <c r="O3734" s="4"/>
      <c r="P3734" s="4"/>
      <c r="Q3734" s="4"/>
      <c r="R3734" s="4"/>
      <c r="S3734" s="4"/>
      <c r="T3734" s="4"/>
      <c r="U3734" s="4"/>
      <c r="V3734" s="4"/>
      <c r="W3734" s="4"/>
      <c r="X3734" s="4"/>
    </row>
    <row r="3735" spans="1:24" ht="14.25" customHeight="1">
      <c r="A3735" s="4"/>
      <c r="B3735" s="125">
        <v>46182</v>
      </c>
      <c r="C3735" s="126" t="s">
        <v>1733</v>
      </c>
      <c r="D3735" s="24" t="s">
        <v>1729</v>
      </c>
      <c r="E3735" s="10" t="str">
        <f>TRIM(VLOOKUP(D3735,TB!$B$9:$C$1500,2,FALSE))</f>
        <v>Shareholders Loans - William</v>
      </c>
      <c r="F3735" s="142" t="s">
        <v>1734</v>
      </c>
      <c r="G3735" s="130"/>
      <c r="H3735" s="10"/>
      <c r="I3735" s="155">
        <v>42545000</v>
      </c>
      <c r="J3735" s="79" t="e">
        <f t="shared" si="245"/>
        <v>#VALUE!</v>
      </c>
      <c r="K3735" s="106"/>
      <c r="L3735" s="141"/>
      <c r="M3735" s="132"/>
      <c r="N3735" s="133"/>
      <c r="O3735" s="4"/>
      <c r="P3735" s="4"/>
      <c r="Q3735" s="4"/>
      <c r="R3735" s="4"/>
      <c r="S3735" s="4"/>
      <c r="T3735" s="4"/>
      <c r="U3735" s="4"/>
      <c r="V3735" s="4"/>
      <c r="W3735" s="4"/>
      <c r="X3735" s="4"/>
    </row>
    <row r="3736" spans="1:24" ht="14.25" customHeight="1">
      <c r="A3736" s="4"/>
      <c r="B3736" s="125"/>
      <c r="C3736" s="126"/>
      <c r="D3736" s="159"/>
      <c r="E3736" s="10" t="e">
        <f>TRIM(VLOOKUP(D3736,TB!$B$9:$C$1500,2,FALSE))</f>
        <v>#N/A</v>
      </c>
      <c r="F3736" s="142"/>
      <c r="G3736" s="130"/>
      <c r="H3736" s="10"/>
      <c r="I3736" s="10"/>
      <c r="J3736" s="79" t="e">
        <f t="shared" si="245"/>
        <v>#VALUE!</v>
      </c>
      <c r="K3736" s="106"/>
      <c r="L3736" s="141"/>
      <c r="M3736" s="132"/>
      <c r="N3736" s="133"/>
      <c r="O3736" s="4"/>
      <c r="P3736" s="4"/>
      <c r="Q3736" s="4"/>
      <c r="R3736" s="4"/>
      <c r="S3736" s="4"/>
      <c r="T3736" s="4"/>
      <c r="U3736" s="4"/>
      <c r="V3736" s="4"/>
      <c r="W3736" s="4"/>
      <c r="X3736" s="4"/>
    </row>
    <row r="3737" spans="1:24" ht="14.25" customHeight="1">
      <c r="A3737" s="4"/>
      <c r="B3737" s="125">
        <v>46184</v>
      </c>
      <c r="C3737" s="126" t="s">
        <v>1735</v>
      </c>
      <c r="D3737" s="24" t="s">
        <v>1729</v>
      </c>
      <c r="E3737" s="10" t="str">
        <f>TRIM(VLOOKUP(D3737,TB!$B$9:$C$1500,2,FALSE))</f>
        <v>Shareholders Loans - William</v>
      </c>
      <c r="F3737" s="142" t="s">
        <v>1736</v>
      </c>
      <c r="G3737" s="130"/>
      <c r="H3737" s="155">
        <v>42545000</v>
      </c>
      <c r="I3737" s="10"/>
      <c r="J3737" s="79" t="e">
        <f t="shared" si="245"/>
        <v>#VALUE!</v>
      </c>
      <c r="K3737" s="106"/>
      <c r="L3737" s="141"/>
      <c r="M3737" s="132"/>
      <c r="N3737" s="133"/>
      <c r="O3737" s="4"/>
      <c r="P3737" s="4"/>
      <c r="Q3737" s="4"/>
      <c r="R3737" s="4"/>
      <c r="S3737" s="4"/>
      <c r="T3737" s="4"/>
      <c r="U3737" s="4"/>
      <c r="V3737" s="4"/>
      <c r="W3737" s="4"/>
      <c r="X3737" s="4"/>
    </row>
    <row r="3738" spans="1:24" ht="14.25" customHeight="1">
      <c r="A3738" s="4"/>
      <c r="B3738" s="125">
        <v>46184</v>
      </c>
      <c r="C3738" s="126" t="s">
        <v>1735</v>
      </c>
      <c r="D3738" s="15" t="s">
        <v>124</v>
      </c>
      <c r="E3738" s="10" t="str">
        <f>TRIM(VLOOKUP(D3738,TB!$B$9:$C$1500,2,FALSE))</f>
        <v>Bank charges</v>
      </c>
      <c r="F3738" s="142" t="s">
        <v>1736</v>
      </c>
      <c r="G3738" s="130"/>
      <c r="H3738" s="10">
        <f>35*18035</f>
        <v>631225</v>
      </c>
      <c r="I3738" s="10"/>
      <c r="J3738" s="79" t="e">
        <f t="shared" si="245"/>
        <v>#VALUE!</v>
      </c>
      <c r="K3738" s="106"/>
      <c r="L3738" s="141"/>
      <c r="M3738" s="132"/>
      <c r="N3738" s="133"/>
      <c r="O3738" s="4"/>
      <c r="P3738" s="4"/>
      <c r="Q3738" s="4"/>
      <c r="R3738" s="4"/>
      <c r="S3738" s="4"/>
      <c r="T3738" s="4"/>
      <c r="U3738" s="4"/>
      <c r="V3738" s="4"/>
      <c r="W3738" s="4"/>
      <c r="X3738" s="4"/>
    </row>
    <row r="3739" spans="1:24" ht="14.25" customHeight="1">
      <c r="A3739" s="4"/>
      <c r="B3739" s="125">
        <v>46184</v>
      </c>
      <c r="C3739" s="126" t="s">
        <v>1735</v>
      </c>
      <c r="D3739" s="68" t="s">
        <v>229</v>
      </c>
      <c r="E3739" s="10" t="str">
        <f>TRIM(VLOOKUP(D3739,TB!$B$9:$C$1500,2,FALSE))</f>
        <v>Mandiri TBB USD</v>
      </c>
      <c r="F3739" s="142" t="s">
        <v>1736</v>
      </c>
      <c r="G3739" s="130"/>
      <c r="H3739" s="10"/>
      <c r="I3739" s="10">
        <v>43176225</v>
      </c>
      <c r="J3739" s="79" t="e">
        <f t="shared" si="245"/>
        <v>#VALUE!</v>
      </c>
      <c r="K3739" s="106"/>
      <c r="L3739" s="141"/>
      <c r="M3739" s="132"/>
      <c r="N3739" s="133"/>
      <c r="O3739" s="4"/>
      <c r="P3739" s="4"/>
      <c r="Q3739" s="4"/>
      <c r="R3739" s="4"/>
      <c r="S3739" s="4"/>
      <c r="T3739" s="4"/>
      <c r="U3739" s="4"/>
      <c r="V3739" s="4"/>
      <c r="W3739" s="4"/>
      <c r="X3739" s="4"/>
    </row>
    <row r="3740" spans="1:24" ht="14.25" customHeight="1">
      <c r="A3740" s="4"/>
      <c r="B3740" s="125"/>
      <c r="C3740" s="126"/>
      <c r="D3740" s="159"/>
      <c r="E3740" s="10" t="e">
        <f>TRIM(VLOOKUP(D3740,TB!$B$9:$C$1500,2,FALSE))</f>
        <v>#N/A</v>
      </c>
      <c r="F3740" s="142"/>
      <c r="G3740" s="130"/>
      <c r="H3740" s="10"/>
      <c r="I3740" s="10"/>
      <c r="J3740" s="79" t="e">
        <f t="shared" si="245"/>
        <v>#VALUE!</v>
      </c>
      <c r="K3740" s="106"/>
      <c r="L3740" s="141"/>
      <c r="M3740" s="132"/>
      <c r="N3740" s="133"/>
      <c r="O3740" s="4"/>
      <c r="P3740" s="4"/>
      <c r="Q3740" s="4"/>
      <c r="R3740" s="4"/>
      <c r="S3740" s="4"/>
      <c r="T3740" s="4"/>
      <c r="U3740" s="4"/>
      <c r="V3740" s="4"/>
      <c r="W3740" s="4"/>
      <c r="X3740" s="4"/>
    </row>
    <row r="3741" spans="1:24" ht="14.25" customHeight="1">
      <c r="A3741" s="4"/>
      <c r="B3741" s="125">
        <v>46185</v>
      </c>
      <c r="C3741" s="126" t="s">
        <v>1737</v>
      </c>
      <c r="D3741" s="68" t="s">
        <v>229</v>
      </c>
      <c r="E3741" s="10" t="str">
        <f>TRIM(VLOOKUP(D3741,TB!$B$9:$C$1500,2,FALSE))</f>
        <v>Mandiri TBB USD</v>
      </c>
      <c r="F3741" s="142" t="s">
        <v>1734</v>
      </c>
      <c r="G3741" s="130"/>
      <c r="H3741" s="155">
        <v>42545000</v>
      </c>
      <c r="I3741" s="10"/>
      <c r="J3741" s="79" t="e">
        <f t="shared" si="245"/>
        <v>#VALUE!</v>
      </c>
      <c r="K3741" s="106"/>
      <c r="L3741" s="141"/>
      <c r="M3741" s="132"/>
      <c r="N3741" s="133"/>
      <c r="O3741" s="4"/>
      <c r="P3741" s="4"/>
      <c r="Q3741" s="4"/>
      <c r="R3741" s="4"/>
      <c r="S3741" s="4"/>
      <c r="T3741" s="4"/>
      <c r="U3741" s="4"/>
      <c r="V3741" s="4"/>
      <c r="W3741" s="4"/>
      <c r="X3741" s="4"/>
    </row>
    <row r="3742" spans="1:24" ht="14.25" customHeight="1">
      <c r="A3742" s="4"/>
      <c r="B3742" s="125">
        <v>46185</v>
      </c>
      <c r="C3742" s="126" t="s">
        <v>1737</v>
      </c>
      <c r="D3742" s="24" t="s">
        <v>1729</v>
      </c>
      <c r="E3742" s="10" t="str">
        <f>TRIM(VLOOKUP(D3742,TB!$B$9:$C$1500,2,FALSE))</f>
        <v>Shareholders Loans - William</v>
      </c>
      <c r="F3742" s="142" t="s">
        <v>1734</v>
      </c>
      <c r="G3742" s="130"/>
      <c r="H3742" s="155"/>
      <c r="I3742" s="155">
        <v>42545000</v>
      </c>
      <c r="J3742" s="79" t="e">
        <f t="shared" si="245"/>
        <v>#VALUE!</v>
      </c>
      <c r="K3742" s="106"/>
      <c r="L3742" s="141"/>
      <c r="M3742" s="132"/>
      <c r="N3742" s="133"/>
      <c r="O3742" s="4"/>
      <c r="P3742" s="4"/>
      <c r="Q3742" s="4"/>
      <c r="R3742" s="4"/>
      <c r="S3742" s="4"/>
      <c r="T3742" s="4"/>
      <c r="U3742" s="4"/>
      <c r="V3742" s="4"/>
      <c r="W3742" s="4"/>
      <c r="X3742" s="4"/>
    </row>
    <row r="3743" spans="1:24" ht="14.25" customHeight="1">
      <c r="A3743" s="4"/>
      <c r="B3743" s="125"/>
      <c r="C3743" s="126"/>
      <c r="D3743" s="159"/>
      <c r="E3743" s="10" t="e">
        <f>TRIM(VLOOKUP(D3743,TB!$B$9:$C$1500,2,FALSE))</f>
        <v>#N/A</v>
      </c>
      <c r="F3743" s="142"/>
      <c r="G3743" s="130"/>
      <c r="H3743" s="10"/>
      <c r="I3743" s="10"/>
      <c r="J3743" s="79" t="e">
        <f t="shared" si="245"/>
        <v>#VALUE!</v>
      </c>
      <c r="K3743" s="106"/>
      <c r="L3743" s="141"/>
      <c r="M3743" s="132"/>
      <c r="N3743" s="133"/>
      <c r="O3743" s="4"/>
      <c r="P3743" s="4"/>
      <c r="Q3743" s="4"/>
      <c r="R3743" s="4"/>
      <c r="S3743" s="4"/>
      <c r="T3743" s="4"/>
      <c r="U3743" s="4"/>
      <c r="V3743" s="4"/>
      <c r="W3743" s="4"/>
      <c r="X3743" s="4"/>
    </row>
    <row r="3744" spans="1:24" ht="14.25" customHeight="1">
      <c r="A3744" s="4"/>
      <c r="B3744" s="125">
        <v>46188</v>
      </c>
      <c r="C3744" s="126" t="s">
        <v>1738</v>
      </c>
      <c r="D3744" s="24" t="s">
        <v>1729</v>
      </c>
      <c r="E3744" s="10" t="str">
        <f>TRIM(VLOOKUP(D3744,TB!$B$9:$C$1500,2,FALSE))</f>
        <v>Shareholders Loans - William</v>
      </c>
      <c r="F3744" s="142" t="s">
        <v>1730</v>
      </c>
      <c r="G3744" s="130"/>
      <c r="H3744" s="155">
        <v>42545000</v>
      </c>
      <c r="I3744" s="10"/>
      <c r="J3744" s="79" t="e">
        <f t="shared" si="245"/>
        <v>#VALUE!</v>
      </c>
      <c r="K3744" s="106"/>
      <c r="L3744" s="141"/>
      <c r="M3744" s="132"/>
      <c r="N3744" s="133"/>
      <c r="O3744" s="4"/>
      <c r="P3744" s="4"/>
      <c r="Q3744" s="4"/>
      <c r="R3744" s="4"/>
      <c r="S3744" s="4"/>
      <c r="T3744" s="4"/>
      <c r="U3744" s="4"/>
      <c r="V3744" s="4"/>
      <c r="W3744" s="4"/>
      <c r="X3744" s="4"/>
    </row>
    <row r="3745" spans="1:24" ht="14.25" customHeight="1">
      <c r="A3745" s="4"/>
      <c r="B3745" s="125">
        <v>46188</v>
      </c>
      <c r="C3745" s="126" t="s">
        <v>1738</v>
      </c>
      <c r="D3745" s="15" t="s">
        <v>124</v>
      </c>
      <c r="E3745" s="10" t="str">
        <f>TRIM(VLOOKUP(D3745,TB!$B$9:$C$1500,2,FALSE))</f>
        <v>Bank charges</v>
      </c>
      <c r="F3745" s="142" t="s">
        <v>1730</v>
      </c>
      <c r="G3745" s="130"/>
      <c r="H3745" s="10">
        <f>35*17800</f>
        <v>623000</v>
      </c>
      <c r="I3745" s="10"/>
      <c r="J3745" s="79" t="e">
        <f t="shared" si="245"/>
        <v>#VALUE!</v>
      </c>
      <c r="K3745" s="106"/>
      <c r="L3745" s="141"/>
      <c r="M3745" s="132"/>
      <c r="N3745" s="133"/>
      <c r="O3745" s="4"/>
      <c r="P3745" s="4"/>
      <c r="Q3745" s="4"/>
      <c r="R3745" s="4"/>
      <c r="S3745" s="4"/>
      <c r="T3745" s="4"/>
      <c r="U3745" s="4"/>
      <c r="V3745" s="4"/>
      <c r="W3745" s="4"/>
      <c r="X3745" s="4"/>
    </row>
    <row r="3746" spans="1:24" ht="14.25" customHeight="1">
      <c r="A3746" s="4"/>
      <c r="B3746" s="125">
        <v>46188</v>
      </c>
      <c r="C3746" s="126" t="s">
        <v>1738</v>
      </c>
      <c r="D3746" s="68" t="s">
        <v>229</v>
      </c>
      <c r="E3746" s="10" t="str">
        <f>TRIM(VLOOKUP(D3746,TB!$B$9:$C$1500,2,FALSE))</f>
        <v>Mandiri TBB USD</v>
      </c>
      <c r="F3746" s="142" t="s">
        <v>1730</v>
      </c>
      <c r="G3746" s="130"/>
      <c r="H3746" s="10"/>
      <c r="I3746" s="10">
        <v>43168000</v>
      </c>
      <c r="J3746" s="79" t="e">
        <f t="shared" si="245"/>
        <v>#VALUE!</v>
      </c>
      <c r="K3746" s="106"/>
      <c r="L3746" s="141"/>
      <c r="M3746" s="132"/>
      <c r="N3746" s="133"/>
      <c r="O3746" s="4"/>
      <c r="P3746" s="4"/>
      <c r="Q3746" s="4"/>
      <c r="R3746" s="4"/>
      <c r="S3746" s="4"/>
      <c r="T3746" s="4"/>
      <c r="U3746" s="4"/>
      <c r="V3746" s="4"/>
      <c r="W3746" s="4"/>
      <c r="X3746" s="4"/>
    </row>
    <row r="3747" spans="1:24" ht="14.25" customHeight="1">
      <c r="A3747" s="4"/>
      <c r="B3747" s="125"/>
      <c r="C3747" s="126"/>
      <c r="D3747" s="159"/>
      <c r="E3747" s="10" t="e">
        <f>TRIM(VLOOKUP(D3747,TB!$B$9:$C$1500,2,FALSE))</f>
        <v>#N/A</v>
      </c>
      <c r="F3747" s="142"/>
      <c r="G3747" s="130"/>
      <c r="H3747" s="10"/>
      <c r="I3747" s="10"/>
      <c r="J3747" s="79" t="e">
        <f t="shared" si="245"/>
        <v>#VALUE!</v>
      </c>
      <c r="K3747" s="106"/>
      <c r="L3747" s="141"/>
      <c r="M3747" s="132"/>
      <c r="N3747" s="133"/>
      <c r="O3747" s="4"/>
      <c r="P3747" s="4"/>
      <c r="Q3747" s="4"/>
      <c r="R3747" s="4"/>
      <c r="S3747" s="4"/>
      <c r="T3747" s="4"/>
      <c r="U3747" s="4"/>
      <c r="V3747" s="4"/>
      <c r="W3747" s="4"/>
      <c r="X3747" s="4"/>
    </row>
    <row r="3748" spans="1:24" ht="14.25" customHeight="1">
      <c r="A3748" s="4"/>
      <c r="B3748" s="125">
        <v>46203</v>
      </c>
      <c r="C3748" s="126" t="s">
        <v>1739</v>
      </c>
      <c r="D3748" s="24" t="s">
        <v>1729</v>
      </c>
      <c r="E3748" s="10" t="str">
        <f>TRIM(VLOOKUP(D3748,TB!$B$9:$C$1500,2,FALSE))</f>
        <v>Shareholders Loans - William</v>
      </c>
      <c r="F3748" s="142" t="s">
        <v>1740</v>
      </c>
      <c r="G3748" s="130"/>
      <c r="H3748" s="155">
        <v>44925000</v>
      </c>
      <c r="I3748" s="10"/>
      <c r="J3748" s="79" t="e">
        <f t="shared" si="245"/>
        <v>#VALUE!</v>
      </c>
      <c r="K3748" s="106"/>
      <c r="L3748" s="141"/>
      <c r="M3748" s="132"/>
      <c r="N3748" s="133"/>
      <c r="O3748" s="4"/>
      <c r="P3748" s="4"/>
      <c r="Q3748" s="4"/>
      <c r="R3748" s="4"/>
      <c r="S3748" s="4"/>
      <c r="T3748" s="4"/>
      <c r="U3748" s="4"/>
      <c r="V3748" s="4"/>
      <c r="W3748" s="4"/>
      <c r="X3748" s="4"/>
    </row>
    <row r="3749" spans="1:24" ht="14.25" customHeight="1">
      <c r="A3749" s="4"/>
      <c r="B3749" s="125">
        <v>46203</v>
      </c>
      <c r="C3749" s="126" t="s">
        <v>1739</v>
      </c>
      <c r="D3749" s="15" t="s">
        <v>124</v>
      </c>
      <c r="E3749" s="10" t="str">
        <f>TRIM(VLOOKUP(D3749,TB!$B$9:$C$1500,2,FALSE))</f>
        <v>Bank charges</v>
      </c>
      <c r="F3749" s="142" t="s">
        <v>1740</v>
      </c>
      <c r="G3749" s="130"/>
      <c r="H3749" s="10">
        <f>35*17970</f>
        <v>628950</v>
      </c>
      <c r="I3749" s="10"/>
      <c r="J3749" s="79" t="e">
        <f t="shared" si="245"/>
        <v>#VALUE!</v>
      </c>
      <c r="K3749" s="106"/>
      <c r="L3749" s="141"/>
      <c r="M3749" s="132"/>
      <c r="N3749" s="133"/>
      <c r="O3749" s="4"/>
      <c r="P3749" s="4"/>
      <c r="Q3749" s="4"/>
      <c r="R3749" s="4"/>
      <c r="S3749" s="4"/>
      <c r="T3749" s="4"/>
      <c r="U3749" s="4"/>
      <c r="V3749" s="4"/>
      <c r="W3749" s="4"/>
      <c r="X3749" s="4"/>
    </row>
    <row r="3750" spans="1:24" ht="14.25" customHeight="1">
      <c r="A3750" s="4"/>
      <c r="B3750" s="125">
        <v>46203</v>
      </c>
      <c r="C3750" s="126" t="s">
        <v>1739</v>
      </c>
      <c r="D3750" s="68" t="s">
        <v>229</v>
      </c>
      <c r="E3750" s="10" t="str">
        <f>TRIM(VLOOKUP(D3750,TB!$B$9:$C$1500,2,FALSE))</f>
        <v>Mandiri TBB USD</v>
      </c>
      <c r="F3750" s="142" t="s">
        <v>1740</v>
      </c>
      <c r="G3750" s="130"/>
      <c r="H3750" s="10"/>
      <c r="I3750" s="10">
        <v>45553950</v>
      </c>
      <c r="J3750" s="79" t="e">
        <f t="shared" si="245"/>
        <v>#VALUE!</v>
      </c>
      <c r="K3750" s="106"/>
      <c r="L3750" s="141"/>
      <c r="M3750" s="132"/>
      <c r="N3750" s="133"/>
      <c r="O3750" s="4"/>
      <c r="P3750" s="4"/>
      <c r="Q3750" s="4"/>
      <c r="R3750" s="4"/>
      <c r="S3750" s="4"/>
      <c r="T3750" s="4"/>
      <c r="U3750" s="4"/>
      <c r="V3750" s="4"/>
      <c r="W3750" s="4"/>
      <c r="X3750" s="4"/>
    </row>
    <row r="3751" spans="1:24" ht="14.25" customHeight="1">
      <c r="A3751" s="4"/>
      <c r="B3751" s="125"/>
      <c r="C3751" s="126"/>
      <c r="D3751" s="159"/>
      <c r="E3751" s="10" t="e">
        <f>TRIM(VLOOKUP(D3751,TB!$B$9:$C$1500,2,FALSE))</f>
        <v>#N/A</v>
      </c>
      <c r="F3751" s="142"/>
      <c r="G3751" s="130"/>
      <c r="H3751" s="10"/>
      <c r="I3751" s="10"/>
      <c r="J3751" s="79" t="e">
        <f t="shared" si="245"/>
        <v>#VALUE!</v>
      </c>
      <c r="K3751" s="106"/>
      <c r="L3751" s="141"/>
      <c r="M3751" s="132"/>
      <c r="N3751" s="133"/>
      <c r="O3751" s="4"/>
      <c r="P3751" s="4"/>
      <c r="Q3751" s="4"/>
      <c r="R3751" s="4"/>
      <c r="S3751" s="4"/>
      <c r="T3751" s="4"/>
      <c r="U3751" s="4"/>
      <c r="V3751" s="4"/>
      <c r="W3751" s="4"/>
      <c r="X3751" s="4"/>
    </row>
    <row r="3752" spans="1:24" ht="14.25" customHeight="1">
      <c r="A3752" s="4"/>
      <c r="B3752" s="125">
        <v>46203</v>
      </c>
      <c r="C3752" s="126" t="s">
        <v>1741</v>
      </c>
      <c r="D3752" s="15" t="s">
        <v>124</v>
      </c>
      <c r="E3752" s="10" t="str">
        <f>TRIM(VLOOKUP(D3752,TB!$B$9:$C$1500,2,FALSE))</f>
        <v>Bank charges</v>
      </c>
      <c r="F3752" s="142" t="s">
        <v>168</v>
      </c>
      <c r="G3752" s="130"/>
      <c r="H3752" s="10">
        <f>(35+5)*17840</f>
        <v>713600</v>
      </c>
      <c r="I3752" s="10"/>
      <c r="J3752" s="79" t="e">
        <f t="shared" si="245"/>
        <v>#VALUE!</v>
      </c>
      <c r="K3752" s="106"/>
      <c r="L3752" s="141"/>
      <c r="M3752" s="132"/>
      <c r="N3752" s="133"/>
      <c r="O3752" s="4"/>
      <c r="P3752" s="4"/>
      <c r="Q3752" s="4"/>
      <c r="R3752" s="4"/>
      <c r="S3752" s="4"/>
      <c r="T3752" s="4"/>
      <c r="U3752" s="4"/>
      <c r="V3752" s="4"/>
      <c r="W3752" s="4"/>
      <c r="X3752" s="4"/>
    </row>
    <row r="3753" spans="1:24" ht="14.25" customHeight="1">
      <c r="A3753" s="4"/>
      <c r="B3753" s="125">
        <v>46203</v>
      </c>
      <c r="C3753" s="126" t="s">
        <v>1741</v>
      </c>
      <c r="D3753" s="68" t="s">
        <v>229</v>
      </c>
      <c r="E3753" s="10" t="str">
        <f>TRIM(VLOOKUP(D3753,TB!$B$9:$C$1500,2,FALSE))</f>
        <v>Mandiri TBB USD</v>
      </c>
      <c r="F3753" s="142" t="s">
        <v>168</v>
      </c>
      <c r="G3753" s="130"/>
      <c r="H3753" s="10"/>
      <c r="I3753" s="10">
        <f>(35+5)*17840</f>
        <v>713600</v>
      </c>
      <c r="J3753" s="79" t="e">
        <f t="shared" si="245"/>
        <v>#VALUE!</v>
      </c>
      <c r="K3753" s="106"/>
      <c r="L3753" s="141"/>
      <c r="M3753" s="132"/>
      <c r="N3753" s="133"/>
      <c r="O3753" s="4"/>
      <c r="P3753" s="4"/>
      <c r="Q3753" s="4"/>
      <c r="R3753" s="4"/>
      <c r="S3753" s="4"/>
      <c r="T3753" s="4"/>
      <c r="U3753" s="4"/>
      <c r="V3753" s="4"/>
      <c r="W3753" s="4"/>
      <c r="X3753" s="4"/>
    </row>
    <row r="3754" spans="1:24" ht="14.25" customHeight="1">
      <c r="A3754" s="4"/>
      <c r="B3754" s="125"/>
      <c r="C3754" s="126"/>
      <c r="D3754" s="159"/>
      <c r="E3754" s="10" t="e">
        <f>TRIM(VLOOKUP(D3754,TB!$B$9:$C$1500,2,FALSE))</f>
        <v>#N/A</v>
      </c>
      <c r="F3754" s="142"/>
      <c r="G3754" s="130"/>
      <c r="H3754" s="10"/>
      <c r="I3754" s="10"/>
      <c r="J3754" s="79" t="e">
        <f t="shared" si="245"/>
        <v>#VALUE!</v>
      </c>
      <c r="K3754" s="106"/>
      <c r="L3754" s="141"/>
      <c r="M3754" s="132"/>
      <c r="N3754" s="133"/>
      <c r="O3754" s="4"/>
      <c r="P3754" s="4"/>
      <c r="Q3754" s="4"/>
      <c r="R3754" s="4"/>
      <c r="S3754" s="4"/>
      <c r="T3754" s="4"/>
      <c r="U3754" s="4"/>
      <c r="V3754" s="4"/>
      <c r="W3754" s="4"/>
      <c r="X3754" s="4"/>
    </row>
    <row r="3755" spans="1:24" ht="14.25" customHeight="1">
      <c r="A3755" s="4"/>
      <c r="B3755" s="125">
        <v>46203</v>
      </c>
      <c r="C3755" s="126" t="s">
        <v>1742</v>
      </c>
      <c r="D3755" s="15" t="s">
        <v>124</v>
      </c>
      <c r="E3755" s="10" t="str">
        <f>TRIM(VLOOKUP(D3755,TB!$B$9:$C$1500,2,FALSE))</f>
        <v>Bank charges</v>
      </c>
      <c r="F3755" s="142" t="s">
        <v>1743</v>
      </c>
      <c r="G3755" s="130"/>
      <c r="H3755" s="10">
        <f>2280452</f>
        <v>2280452</v>
      </c>
      <c r="I3755" s="10"/>
      <c r="J3755" s="79" t="e">
        <f t="shared" si="245"/>
        <v>#VALUE!</v>
      </c>
      <c r="K3755" s="106"/>
      <c r="L3755" s="141"/>
      <c r="M3755" s="132"/>
      <c r="N3755" s="133"/>
      <c r="O3755" s="4"/>
      <c r="P3755" s="4"/>
      <c r="Q3755" s="4"/>
      <c r="R3755" s="4"/>
      <c r="S3755" s="4"/>
      <c r="T3755" s="4"/>
      <c r="U3755" s="4"/>
      <c r="V3755" s="4"/>
      <c r="W3755" s="4"/>
      <c r="X3755" s="4"/>
    </row>
    <row r="3756" spans="1:24" ht="14.25" customHeight="1">
      <c r="A3756" s="4"/>
      <c r="B3756" s="125">
        <v>46203</v>
      </c>
      <c r="C3756" s="126" t="s">
        <v>1742</v>
      </c>
      <c r="D3756" s="68" t="s">
        <v>229</v>
      </c>
      <c r="E3756" s="10" t="str">
        <f>TRIM(VLOOKUP(D3756,TB!$B$9:$C$1500,2,FALSE))</f>
        <v>Mandiri TBB USD</v>
      </c>
      <c r="F3756" s="142" t="s">
        <v>1743</v>
      </c>
      <c r="G3756" s="130"/>
      <c r="H3756" s="10"/>
      <c r="I3756" s="10">
        <f>2280452</f>
        <v>2280452</v>
      </c>
      <c r="J3756" s="79" t="e">
        <f t="shared" si="245"/>
        <v>#VALUE!</v>
      </c>
      <c r="K3756" s="106"/>
      <c r="L3756" s="141"/>
      <c r="M3756" s="132"/>
      <c r="N3756" s="133"/>
      <c r="O3756" s="4"/>
      <c r="P3756" s="4"/>
      <c r="Q3756" s="4"/>
      <c r="R3756" s="4"/>
      <c r="S3756" s="4"/>
      <c r="T3756" s="4"/>
      <c r="U3756" s="4"/>
      <c r="V3756" s="4"/>
      <c r="W3756" s="4"/>
      <c r="X3756" s="4"/>
    </row>
    <row r="3757" spans="1:24" ht="14.25" customHeight="1">
      <c r="A3757" s="4"/>
      <c r="B3757" s="125"/>
      <c r="C3757" s="126"/>
      <c r="D3757" s="159"/>
      <c r="E3757" s="10" t="e">
        <f>TRIM(VLOOKUP(D3757,TB!$B$9:$C$1500,2,FALSE))</f>
        <v>#N/A</v>
      </c>
      <c r="F3757" s="142"/>
      <c r="G3757" s="130"/>
      <c r="H3757" s="10"/>
      <c r="I3757" s="10"/>
      <c r="J3757" s="79" t="e">
        <f t="shared" si="245"/>
        <v>#VALUE!</v>
      </c>
      <c r="K3757" s="106"/>
      <c r="L3757" s="141"/>
      <c r="M3757" s="132"/>
      <c r="N3757" s="133"/>
      <c r="O3757" s="4"/>
      <c r="P3757" s="4"/>
      <c r="Q3757" s="4"/>
      <c r="R3757" s="4"/>
      <c r="S3757" s="4"/>
      <c r="T3757" s="4"/>
      <c r="U3757" s="4"/>
      <c r="V3757" s="4"/>
      <c r="W3757" s="4"/>
      <c r="X3757" s="4"/>
    </row>
    <row r="3758" spans="1:24" ht="14.25" customHeight="1">
      <c r="A3758" s="4"/>
      <c r="B3758" s="125"/>
      <c r="C3758" s="126"/>
      <c r="D3758" s="159"/>
      <c r="E3758" s="10" t="e">
        <f>TRIM(VLOOKUP(D3758,TB!$B$9:$C$1500,2,FALSE))</f>
        <v>#N/A</v>
      </c>
      <c r="F3758" s="142"/>
      <c r="G3758" s="130"/>
      <c r="H3758" s="10"/>
      <c r="I3758" s="10"/>
      <c r="J3758" s="79" t="e">
        <f t="shared" si="245"/>
        <v>#VALUE!</v>
      </c>
      <c r="K3758" s="106"/>
      <c r="L3758" s="141"/>
      <c r="M3758" s="132"/>
      <c r="N3758" s="133"/>
      <c r="O3758" s="4"/>
      <c r="P3758" s="4"/>
      <c r="Q3758" s="4"/>
      <c r="R3758" s="4"/>
      <c r="S3758" s="4"/>
      <c r="T3758" s="4"/>
      <c r="U3758" s="4"/>
      <c r="V3758" s="4"/>
      <c r="W3758" s="4"/>
      <c r="X3758" s="4"/>
    </row>
    <row r="3759" spans="1:24" ht="14.25" customHeight="1">
      <c r="A3759" s="4"/>
      <c r="B3759" s="125"/>
      <c r="C3759" s="126"/>
      <c r="D3759" s="159"/>
      <c r="E3759" s="10" t="e">
        <f>TRIM(VLOOKUP(D3759,TB!$B$9:$C$1500,2,FALSE))</f>
        <v>#N/A</v>
      </c>
      <c r="F3759" s="142"/>
      <c r="G3759" s="130"/>
      <c r="H3759" s="10"/>
      <c r="I3759" s="10"/>
      <c r="J3759" s="79" t="e">
        <f t="shared" si="245"/>
        <v>#VALUE!</v>
      </c>
      <c r="K3759" s="106"/>
      <c r="L3759" s="141"/>
      <c r="M3759" s="132"/>
      <c r="N3759" s="133"/>
      <c r="O3759" s="4"/>
      <c r="P3759" s="4"/>
      <c r="Q3759" s="4"/>
      <c r="R3759" s="4"/>
      <c r="S3759" s="4"/>
      <c r="T3759" s="4"/>
      <c r="U3759" s="4"/>
      <c r="V3759" s="4"/>
      <c r="W3759" s="4"/>
      <c r="X3759" s="4"/>
    </row>
    <row r="3760" spans="1:24" ht="14.25" customHeight="1">
      <c r="A3760" s="4"/>
      <c r="B3760" s="125"/>
      <c r="C3760" s="126"/>
      <c r="D3760" s="159"/>
      <c r="E3760" s="10" t="e">
        <f>TRIM(VLOOKUP(D3760,TB!$B$9:$C$1500,2,FALSE))</f>
        <v>#N/A</v>
      </c>
      <c r="F3760" s="142"/>
      <c r="G3760" s="130"/>
      <c r="H3760" s="10"/>
      <c r="I3760" s="10"/>
      <c r="J3760" s="79" t="e">
        <f t="shared" si="245"/>
        <v>#VALUE!</v>
      </c>
      <c r="K3760" s="106"/>
      <c r="L3760" s="141"/>
      <c r="M3760" s="132"/>
      <c r="N3760" s="133"/>
      <c r="O3760" s="4"/>
      <c r="P3760" s="4"/>
      <c r="Q3760" s="4"/>
      <c r="R3760" s="4"/>
      <c r="S3760" s="4"/>
      <c r="T3760" s="4"/>
      <c r="U3760" s="4"/>
      <c r="V3760" s="4"/>
      <c r="W3760" s="4"/>
      <c r="X3760" s="4"/>
    </row>
    <row r="3761" spans="1:24" ht="14.25" customHeight="1">
      <c r="A3761" s="4"/>
      <c r="B3761" s="125"/>
      <c r="C3761" s="126"/>
      <c r="D3761" s="159"/>
      <c r="E3761" s="10" t="e">
        <f>TRIM(VLOOKUP(D3761,TB!$B$9:$C$1500,2,FALSE))</f>
        <v>#N/A</v>
      </c>
      <c r="F3761" s="142"/>
      <c r="G3761" s="130"/>
      <c r="H3761" s="10"/>
      <c r="I3761" s="10"/>
      <c r="J3761" s="79" t="e">
        <f t="shared" si="245"/>
        <v>#VALUE!</v>
      </c>
      <c r="K3761" s="106"/>
      <c r="L3761" s="141"/>
      <c r="M3761" s="132"/>
      <c r="N3761" s="133"/>
      <c r="O3761" s="4"/>
      <c r="P3761" s="4"/>
      <c r="Q3761" s="4"/>
      <c r="R3761" s="4"/>
      <c r="S3761" s="4"/>
      <c r="T3761" s="4"/>
      <c r="U3761" s="4"/>
      <c r="V3761" s="4"/>
      <c r="W3761" s="4"/>
      <c r="X3761" s="4"/>
    </row>
    <row r="3762" spans="1:24" ht="14.25" customHeight="1">
      <c r="A3762" s="4"/>
      <c r="B3762" s="125"/>
      <c r="C3762" s="126"/>
      <c r="D3762" s="159"/>
      <c r="E3762" s="10" t="e">
        <f>TRIM(VLOOKUP(D3762,TB!$B$9:$C$1500,2,FALSE))</f>
        <v>#N/A</v>
      </c>
      <c r="F3762" s="142"/>
      <c r="G3762" s="130"/>
      <c r="H3762" s="10"/>
      <c r="I3762" s="10"/>
      <c r="J3762" s="79" t="e">
        <f t="shared" si="245"/>
        <v>#VALUE!</v>
      </c>
      <c r="K3762" s="106"/>
      <c r="L3762" s="141"/>
      <c r="M3762" s="132"/>
      <c r="N3762" s="133"/>
      <c r="O3762" s="4"/>
      <c r="P3762" s="4"/>
      <c r="Q3762" s="4"/>
      <c r="R3762" s="4"/>
      <c r="S3762" s="4"/>
      <c r="T3762" s="4"/>
      <c r="U3762" s="4"/>
      <c r="V3762" s="4"/>
      <c r="W3762" s="4"/>
      <c r="X3762" s="4"/>
    </row>
    <row r="3763" spans="1:24" ht="14.25" customHeight="1">
      <c r="A3763" s="4"/>
      <c r="B3763" s="125"/>
      <c r="C3763" s="126"/>
      <c r="D3763" s="159"/>
      <c r="E3763" s="10" t="e">
        <f>TRIM(VLOOKUP(D3763,TB!$B$9:$C$1500,2,FALSE))</f>
        <v>#N/A</v>
      </c>
      <c r="F3763" s="142"/>
      <c r="G3763" s="130"/>
      <c r="H3763" s="10"/>
      <c r="I3763" s="10"/>
      <c r="J3763" s="79" t="e">
        <f t="shared" si="245"/>
        <v>#VALUE!</v>
      </c>
      <c r="K3763" s="106"/>
      <c r="L3763" s="141"/>
      <c r="M3763" s="132"/>
      <c r="N3763" s="133"/>
      <c r="O3763" s="4"/>
      <c r="P3763" s="4"/>
      <c r="Q3763" s="4"/>
      <c r="R3763" s="4"/>
      <c r="S3763" s="4"/>
      <c r="T3763" s="4"/>
      <c r="U3763" s="4"/>
      <c r="V3763" s="4"/>
      <c r="W3763" s="4"/>
      <c r="X3763" s="4"/>
    </row>
    <row r="3764" spans="1:24" ht="14.25" customHeight="1">
      <c r="A3764" s="4"/>
      <c r="B3764" s="125"/>
      <c r="C3764" s="126"/>
      <c r="D3764" s="159"/>
      <c r="E3764" s="10" t="e">
        <f>TRIM(VLOOKUP(D3764,TB!$B$9:$C$1500,2,FALSE))</f>
        <v>#N/A</v>
      </c>
      <c r="F3764" s="142"/>
      <c r="G3764" s="130"/>
      <c r="H3764" s="10"/>
      <c r="I3764" s="10"/>
      <c r="J3764" s="79" t="e">
        <f t="shared" si="245"/>
        <v>#VALUE!</v>
      </c>
      <c r="K3764" s="106"/>
      <c r="L3764" s="141"/>
      <c r="M3764" s="132"/>
      <c r="N3764" s="133"/>
      <c r="O3764" s="4"/>
      <c r="P3764" s="4"/>
      <c r="Q3764" s="4"/>
      <c r="R3764" s="4"/>
      <c r="S3764" s="4"/>
      <c r="T3764" s="4"/>
      <c r="U3764" s="4"/>
      <c r="V3764" s="4"/>
      <c r="W3764" s="4"/>
      <c r="X3764" s="4"/>
    </row>
    <row r="3765" spans="1:24" ht="14.25" customHeight="1">
      <c r="A3765" s="4"/>
      <c r="B3765" s="125"/>
      <c r="C3765" s="126"/>
      <c r="D3765" s="159"/>
      <c r="E3765" s="10" t="e">
        <f>TRIM(VLOOKUP(D3765,TB!$B$9:$C$1500,2,FALSE))</f>
        <v>#N/A</v>
      </c>
      <c r="F3765" s="142"/>
      <c r="G3765" s="130"/>
      <c r="H3765" s="10"/>
      <c r="I3765" s="10"/>
      <c r="J3765" s="79" t="e">
        <f t="shared" si="245"/>
        <v>#VALUE!</v>
      </c>
      <c r="K3765" s="106"/>
      <c r="L3765" s="141"/>
      <c r="M3765" s="132"/>
      <c r="N3765" s="133"/>
      <c r="O3765" s="4"/>
      <c r="P3765" s="4"/>
      <c r="Q3765" s="4"/>
      <c r="R3765" s="4"/>
      <c r="S3765" s="4"/>
      <c r="T3765" s="4"/>
      <c r="U3765" s="4"/>
      <c r="V3765" s="4"/>
      <c r="W3765" s="4"/>
      <c r="X3765" s="4"/>
    </row>
    <row r="3766" spans="1:24" ht="14.25" customHeight="1">
      <c r="A3766" s="4"/>
      <c r="B3766" s="125"/>
      <c r="C3766" s="126"/>
      <c r="D3766" s="159"/>
      <c r="E3766" s="10" t="e">
        <f>TRIM(VLOOKUP(D3766,TB!$B$9:$C$1500,2,FALSE))</f>
        <v>#N/A</v>
      </c>
      <c r="F3766" s="142"/>
      <c r="G3766" s="130"/>
      <c r="H3766" s="10"/>
      <c r="I3766" s="10"/>
      <c r="J3766" s="79" t="e">
        <f t="shared" si="245"/>
        <v>#VALUE!</v>
      </c>
      <c r="K3766" s="106"/>
      <c r="L3766" s="141"/>
      <c r="M3766" s="132"/>
      <c r="N3766" s="133"/>
      <c r="O3766" s="4"/>
      <c r="P3766" s="4"/>
      <c r="Q3766" s="4"/>
      <c r="R3766" s="4"/>
      <c r="S3766" s="4"/>
      <c r="T3766" s="4"/>
      <c r="U3766" s="4"/>
      <c r="V3766" s="4"/>
      <c r="W3766" s="4"/>
      <c r="X3766" s="4"/>
    </row>
    <row r="3767" spans="1:24" ht="14.25" customHeight="1">
      <c r="A3767" s="4"/>
      <c r="B3767" s="125"/>
      <c r="C3767" s="126"/>
      <c r="D3767" s="159"/>
      <c r="E3767" s="10" t="e">
        <f>TRIM(VLOOKUP(D3767,TB!$B$9:$C$1500,2,FALSE))</f>
        <v>#N/A</v>
      </c>
      <c r="F3767" s="142"/>
      <c r="G3767" s="130"/>
      <c r="H3767" s="10"/>
      <c r="I3767" s="10"/>
      <c r="J3767" s="79" t="e">
        <f t="shared" si="245"/>
        <v>#VALUE!</v>
      </c>
      <c r="K3767" s="106"/>
      <c r="L3767" s="141"/>
      <c r="M3767" s="132"/>
      <c r="N3767" s="133"/>
      <c r="O3767" s="4"/>
      <c r="P3767" s="4"/>
      <c r="Q3767" s="4"/>
      <c r="R3767" s="4"/>
      <c r="S3767" s="4"/>
      <c r="T3767" s="4"/>
      <c r="U3767" s="4"/>
      <c r="V3767" s="4"/>
      <c r="W3767" s="4"/>
      <c r="X3767" s="4"/>
    </row>
    <row r="3768" spans="1:24" ht="14.25" customHeight="1">
      <c r="A3768" s="4"/>
      <c r="B3768" s="125"/>
      <c r="C3768" s="126"/>
      <c r="D3768" s="159"/>
      <c r="E3768" s="10" t="e">
        <f>TRIM(VLOOKUP(D3768,TB!$B$9:$C$1500,2,FALSE))</f>
        <v>#N/A</v>
      </c>
      <c r="F3768" s="142"/>
      <c r="G3768" s="130"/>
      <c r="H3768" s="10"/>
      <c r="I3768" s="10"/>
      <c r="J3768" s="79" t="e">
        <f t="shared" si="245"/>
        <v>#VALUE!</v>
      </c>
      <c r="K3768" s="106"/>
      <c r="L3768" s="141"/>
      <c r="M3768" s="132"/>
      <c r="N3768" s="133"/>
      <c r="O3768" s="4"/>
      <c r="P3768" s="4"/>
      <c r="Q3768" s="4"/>
      <c r="R3768" s="4"/>
      <c r="S3768" s="4"/>
      <c r="T3768" s="4"/>
      <c r="U3768" s="4"/>
      <c r="V3768" s="4"/>
      <c r="W3768" s="4"/>
      <c r="X3768" s="4"/>
    </row>
    <row r="3769" spans="1:24" ht="14.25" customHeight="1">
      <c r="A3769" s="4"/>
      <c r="B3769" s="144"/>
      <c r="C3769" s="145"/>
      <c r="D3769" s="189"/>
      <c r="E3769" s="147" t="e">
        <f>TRIM(VLOOKUP(D3769,TB!$B$9:$C$1500,2,FALSE))</f>
        <v>#N/A</v>
      </c>
      <c r="F3769" s="4"/>
      <c r="G3769" s="148"/>
      <c r="H3769" s="147"/>
      <c r="I3769" s="147"/>
      <c r="J3769" s="79" t="e">
        <f t="shared" si="245"/>
        <v>#VALUE!</v>
      </c>
      <c r="K3769" s="106"/>
      <c r="L3769" s="141"/>
      <c r="M3769" s="132"/>
      <c r="N3769" s="133"/>
      <c r="O3769" s="4"/>
      <c r="P3769" s="4"/>
      <c r="Q3769" s="4"/>
      <c r="R3769" s="4"/>
      <c r="S3769" s="4"/>
      <c r="T3769" s="4"/>
      <c r="U3769" s="4"/>
      <c r="V3769" s="4"/>
      <c r="W3769" s="4"/>
      <c r="X3769" s="4"/>
    </row>
    <row r="3770" spans="1:24" ht="14.25" customHeight="1">
      <c r="A3770" s="4"/>
      <c r="B3770" s="149"/>
      <c r="C3770" s="150"/>
      <c r="D3770" s="190"/>
      <c r="E3770" s="152" t="e">
        <f>TRIM(VLOOKUP(D3770,TB!$B$9:$C$1500,2,FALSE))</f>
        <v>#N/A</v>
      </c>
      <c r="F3770" s="153"/>
      <c r="G3770" s="154"/>
      <c r="H3770" s="152"/>
      <c r="I3770" s="152"/>
      <c r="J3770" s="79" t="e">
        <f t="shared" si="245"/>
        <v>#VALUE!</v>
      </c>
      <c r="K3770" s="106"/>
      <c r="L3770" s="141"/>
      <c r="M3770" s="132"/>
      <c r="N3770" s="133"/>
      <c r="O3770" s="4"/>
      <c r="P3770" s="4"/>
      <c r="Q3770" s="4"/>
      <c r="R3770" s="4"/>
      <c r="S3770" s="4"/>
      <c r="T3770" s="4"/>
      <c r="U3770" s="4"/>
      <c r="V3770" s="4"/>
      <c r="W3770" s="4"/>
      <c r="X3770" s="4"/>
    </row>
    <row r="3771" spans="1:24" ht="14.25" customHeight="1">
      <c r="A3771" s="4"/>
      <c r="B3771" s="125">
        <v>46174</v>
      </c>
      <c r="C3771" s="126" t="s">
        <v>1744</v>
      </c>
      <c r="D3771" s="15" t="s">
        <v>1745</v>
      </c>
      <c r="E3771" s="10" t="str">
        <f>TRIM(VLOOKUP(D3771,TB!$B$9:$C$1500,2,FALSE))</f>
        <v>Petty Cash IDR - on General Cashier</v>
      </c>
      <c r="F3771" s="142" t="s">
        <v>1746</v>
      </c>
      <c r="G3771" s="130"/>
      <c r="H3771" s="10">
        <v>14772760</v>
      </c>
      <c r="I3771" s="10"/>
      <c r="J3771" s="79" t="e">
        <f t="shared" si="245"/>
        <v>#VALUE!</v>
      </c>
      <c r="K3771" s="106"/>
      <c r="L3771" s="141"/>
      <c r="M3771" s="132"/>
      <c r="N3771" s="133"/>
      <c r="O3771" s="4"/>
      <c r="P3771" s="4"/>
      <c r="Q3771" s="4"/>
      <c r="R3771" s="4"/>
      <c r="S3771" s="4"/>
      <c r="T3771" s="4"/>
      <c r="U3771" s="4"/>
      <c r="V3771" s="4"/>
      <c r="W3771" s="4"/>
      <c r="X3771" s="4"/>
    </row>
    <row r="3772" spans="1:24" ht="14.25" customHeight="1">
      <c r="A3772" s="4"/>
      <c r="B3772" s="125">
        <v>46174</v>
      </c>
      <c r="C3772" s="126" t="s">
        <v>1744</v>
      </c>
      <c r="D3772" s="15" t="s">
        <v>39</v>
      </c>
      <c r="E3772" s="10" t="str">
        <f>TRIM(VLOOKUP(D3772,TB!$B$9:$C$1500,2,FALSE))</f>
        <v>Petty Cash IDR - on Bar Cashier</v>
      </c>
      <c r="F3772" s="142" t="s">
        <v>1746</v>
      </c>
      <c r="G3772" s="130"/>
      <c r="H3772" s="10"/>
      <c r="I3772" s="10">
        <v>14772760</v>
      </c>
      <c r="J3772" s="79" t="e">
        <f t="shared" si="245"/>
        <v>#VALUE!</v>
      </c>
      <c r="K3772" s="106"/>
      <c r="L3772" s="141"/>
      <c r="M3772" s="132"/>
      <c r="N3772" s="133"/>
      <c r="O3772" s="4"/>
      <c r="P3772" s="4"/>
      <c r="Q3772" s="4"/>
      <c r="R3772" s="4"/>
      <c r="S3772" s="4"/>
      <c r="T3772" s="4"/>
      <c r="U3772" s="4"/>
      <c r="V3772" s="4"/>
      <c r="W3772" s="4"/>
      <c r="X3772" s="4"/>
    </row>
    <row r="3773" spans="1:24" ht="14.25" customHeight="1">
      <c r="A3773" s="4"/>
      <c r="B3773" s="125">
        <v>46174</v>
      </c>
      <c r="C3773" s="126" t="s">
        <v>1744</v>
      </c>
      <c r="D3773" s="176" t="s">
        <v>285</v>
      </c>
      <c r="E3773" s="10" t="str">
        <f>TRIM(VLOOKUP(D3773,TB!$B$9:$C$1500,2,FALSE))</f>
        <v>Misc Cash Purchase</v>
      </c>
      <c r="F3773" s="142" t="s">
        <v>1747</v>
      </c>
      <c r="G3773" s="130"/>
      <c r="H3773" s="155">
        <v>150000</v>
      </c>
      <c r="I3773" s="10"/>
      <c r="J3773" s="79" t="e">
        <f t="shared" si="245"/>
        <v>#VALUE!</v>
      </c>
      <c r="K3773" s="106"/>
      <c r="L3773" s="141"/>
      <c r="M3773" s="132"/>
      <c r="N3773" s="133"/>
      <c r="O3773" s="4"/>
      <c r="P3773" s="4"/>
      <c r="Q3773" s="4"/>
      <c r="R3773" s="4"/>
      <c r="S3773" s="4"/>
      <c r="T3773" s="4"/>
      <c r="U3773" s="4"/>
      <c r="V3773" s="4"/>
      <c r="W3773" s="4"/>
      <c r="X3773" s="4"/>
    </row>
    <row r="3774" spans="1:24" ht="14.25" customHeight="1">
      <c r="A3774" s="4"/>
      <c r="B3774" s="125">
        <v>46174</v>
      </c>
      <c r="C3774" s="126" t="s">
        <v>1744</v>
      </c>
      <c r="D3774" s="176" t="s">
        <v>285</v>
      </c>
      <c r="E3774" s="10" t="str">
        <f>TRIM(VLOOKUP(D3774,TB!$B$9:$C$1500,2,FALSE))</f>
        <v>Misc Cash Purchase</v>
      </c>
      <c r="F3774" s="142" t="s">
        <v>1748</v>
      </c>
      <c r="G3774" s="130"/>
      <c r="H3774" s="155">
        <v>45000</v>
      </c>
      <c r="I3774" s="10"/>
      <c r="J3774" s="79" t="e">
        <f t="shared" si="245"/>
        <v>#VALUE!</v>
      </c>
      <c r="K3774" s="106"/>
      <c r="L3774" s="141"/>
      <c r="M3774" s="132"/>
      <c r="N3774" s="133"/>
      <c r="O3774" s="4"/>
      <c r="P3774" s="4"/>
      <c r="Q3774" s="4"/>
      <c r="R3774" s="4"/>
      <c r="S3774" s="4"/>
      <c r="T3774" s="4"/>
      <c r="U3774" s="4"/>
      <c r="V3774" s="4"/>
      <c r="W3774" s="4"/>
      <c r="X3774" s="4"/>
    </row>
    <row r="3775" spans="1:24" ht="14.25" customHeight="1">
      <c r="A3775" s="4"/>
      <c r="B3775" s="125">
        <v>46174</v>
      </c>
      <c r="C3775" s="126" t="s">
        <v>1744</v>
      </c>
      <c r="D3775" s="176" t="s">
        <v>285</v>
      </c>
      <c r="E3775" s="10" t="str">
        <f>TRIM(VLOOKUP(D3775,TB!$B$9:$C$1500,2,FALSE))</f>
        <v>Misc Cash Purchase</v>
      </c>
      <c r="F3775" s="191" t="s">
        <v>1749</v>
      </c>
      <c r="G3775" s="130"/>
      <c r="H3775" s="155">
        <v>1905000</v>
      </c>
      <c r="I3775" s="10"/>
      <c r="J3775" s="79" t="e">
        <f t="shared" si="245"/>
        <v>#VALUE!</v>
      </c>
      <c r="K3775" s="106"/>
      <c r="L3775" s="141"/>
      <c r="M3775" s="132"/>
      <c r="N3775" s="133"/>
      <c r="O3775" s="4"/>
      <c r="P3775" s="4"/>
      <c r="Q3775" s="4"/>
      <c r="R3775" s="4"/>
      <c r="S3775" s="4"/>
      <c r="T3775" s="4"/>
      <c r="U3775" s="4"/>
      <c r="V3775" s="4"/>
      <c r="W3775" s="4"/>
      <c r="X3775" s="4"/>
    </row>
    <row r="3776" spans="1:24" ht="14.25" customHeight="1">
      <c r="A3776" s="4"/>
      <c r="B3776" s="125">
        <v>46174</v>
      </c>
      <c r="C3776" s="126" t="s">
        <v>1744</v>
      </c>
      <c r="D3776" s="68" t="s">
        <v>158</v>
      </c>
      <c r="E3776" s="10" t="str">
        <f>TRIM(VLOOKUP(D3776,TB!$B$9:$C$1500,2,FALSE))</f>
        <v>Mandiri TBB IDR</v>
      </c>
      <c r="F3776" s="191" t="s">
        <v>1750</v>
      </c>
      <c r="G3776" s="130"/>
      <c r="H3776" s="155">
        <v>20153000</v>
      </c>
      <c r="I3776" s="10"/>
      <c r="J3776" s="79" t="e">
        <f t="shared" si="245"/>
        <v>#VALUE!</v>
      </c>
      <c r="K3776" s="106"/>
      <c r="L3776" s="141"/>
      <c r="M3776" s="132"/>
      <c r="N3776" s="133"/>
      <c r="O3776" s="4"/>
      <c r="P3776" s="4"/>
      <c r="Q3776" s="4"/>
      <c r="R3776" s="4"/>
      <c r="S3776" s="4"/>
      <c r="T3776" s="4"/>
      <c r="U3776" s="4"/>
      <c r="V3776" s="4"/>
      <c r="W3776" s="4"/>
      <c r="X3776" s="4"/>
    </row>
    <row r="3777" spans="1:24" ht="14.25" customHeight="1">
      <c r="A3777" s="4"/>
      <c r="B3777" s="125">
        <v>46174</v>
      </c>
      <c r="C3777" s="126" t="s">
        <v>1744</v>
      </c>
      <c r="D3777" s="15" t="s">
        <v>1745</v>
      </c>
      <c r="E3777" s="10" t="str">
        <f>TRIM(VLOOKUP(D3777,TB!$B$9:$C$1500,2,FALSE))</f>
        <v>Petty Cash IDR - on General Cashier</v>
      </c>
      <c r="F3777" s="142" t="s">
        <v>1751</v>
      </c>
      <c r="G3777" s="130"/>
      <c r="H3777" s="10"/>
      <c r="I3777" s="10">
        <v>22253000</v>
      </c>
      <c r="J3777" s="79" t="e">
        <f t="shared" si="245"/>
        <v>#VALUE!</v>
      </c>
      <c r="K3777" s="106"/>
      <c r="L3777" s="141"/>
      <c r="M3777" s="132"/>
      <c r="N3777" s="133"/>
      <c r="O3777" s="4"/>
      <c r="P3777" s="4"/>
      <c r="Q3777" s="4"/>
      <c r="R3777" s="4"/>
      <c r="S3777" s="4"/>
      <c r="T3777" s="4"/>
      <c r="U3777" s="4"/>
      <c r="V3777" s="4"/>
      <c r="W3777" s="4"/>
      <c r="X3777" s="4"/>
    </row>
    <row r="3778" spans="1:24" ht="14.25" customHeight="1">
      <c r="A3778" s="4"/>
      <c r="B3778" s="125"/>
      <c r="C3778" s="126"/>
      <c r="D3778" s="159"/>
      <c r="E3778" s="10" t="e">
        <f>TRIM(VLOOKUP(D3778,TB!$B$9:$C$1500,2,FALSE))</f>
        <v>#N/A</v>
      </c>
      <c r="F3778" s="142"/>
      <c r="G3778" s="130"/>
      <c r="H3778" s="10"/>
      <c r="I3778" s="10"/>
      <c r="J3778" s="79" t="e">
        <f t="shared" si="245"/>
        <v>#VALUE!</v>
      </c>
      <c r="K3778" s="106"/>
      <c r="L3778" s="141"/>
      <c r="M3778" s="132"/>
      <c r="N3778" s="133"/>
      <c r="O3778" s="4"/>
      <c r="P3778" s="4"/>
      <c r="Q3778" s="4"/>
      <c r="R3778" s="4"/>
      <c r="S3778" s="4"/>
      <c r="T3778" s="4"/>
      <c r="U3778" s="4"/>
      <c r="V3778" s="4"/>
      <c r="W3778" s="4"/>
      <c r="X3778" s="4"/>
    </row>
    <row r="3779" spans="1:24" ht="14.25" customHeight="1">
      <c r="A3779" s="4"/>
      <c r="B3779" s="125">
        <v>46178</v>
      </c>
      <c r="C3779" s="126" t="s">
        <v>1752</v>
      </c>
      <c r="D3779" s="15" t="s">
        <v>1745</v>
      </c>
      <c r="E3779" s="10" t="str">
        <f>TRIM(VLOOKUP(D3779,TB!$B$9:$C$1500,2,FALSE))</f>
        <v>Petty Cash IDR - on General Cashier</v>
      </c>
      <c r="F3779" s="191" t="s">
        <v>1753</v>
      </c>
      <c r="G3779" s="130"/>
      <c r="H3779" s="10">
        <v>10502700</v>
      </c>
      <c r="I3779" s="10"/>
      <c r="J3779" s="79" t="e">
        <f t="shared" si="245"/>
        <v>#VALUE!</v>
      </c>
      <c r="K3779" s="106"/>
      <c r="L3779" s="141"/>
      <c r="M3779" s="132"/>
      <c r="N3779" s="133"/>
      <c r="O3779" s="4"/>
      <c r="P3779" s="4"/>
      <c r="Q3779" s="4"/>
      <c r="R3779" s="4"/>
      <c r="S3779" s="4"/>
      <c r="T3779" s="4"/>
      <c r="U3779" s="4"/>
      <c r="V3779" s="4"/>
      <c r="W3779" s="4"/>
      <c r="X3779" s="4"/>
    </row>
    <row r="3780" spans="1:24" ht="14.25" customHeight="1">
      <c r="A3780" s="4"/>
      <c r="B3780" s="125">
        <v>46178</v>
      </c>
      <c r="C3780" s="126" t="s">
        <v>1752</v>
      </c>
      <c r="D3780" s="15" t="s">
        <v>39</v>
      </c>
      <c r="E3780" s="10" t="str">
        <f>TRIM(VLOOKUP(D3780,TB!$B$9:$C$1500,2,FALSE))</f>
        <v>Petty Cash IDR - on Bar Cashier</v>
      </c>
      <c r="F3780" s="191" t="s">
        <v>1753</v>
      </c>
      <c r="G3780" s="130"/>
      <c r="H3780" s="10"/>
      <c r="I3780" s="10">
        <v>10502700</v>
      </c>
      <c r="J3780" s="79" t="e">
        <f t="shared" si="245"/>
        <v>#VALUE!</v>
      </c>
      <c r="K3780" s="106"/>
      <c r="L3780" s="141"/>
      <c r="M3780" s="132"/>
      <c r="N3780" s="133"/>
      <c r="O3780" s="4"/>
      <c r="P3780" s="4"/>
      <c r="Q3780" s="4"/>
      <c r="R3780" s="4"/>
      <c r="S3780" s="4"/>
      <c r="T3780" s="4"/>
      <c r="U3780" s="4"/>
      <c r="V3780" s="4"/>
      <c r="W3780" s="4"/>
      <c r="X3780" s="4"/>
    </row>
    <row r="3781" spans="1:24" ht="14.25" customHeight="1">
      <c r="A3781" s="4"/>
      <c r="B3781" s="125">
        <v>46178</v>
      </c>
      <c r="C3781" s="126" t="s">
        <v>1752</v>
      </c>
      <c r="D3781" s="15" t="s">
        <v>1754</v>
      </c>
      <c r="E3781" s="10" t="str">
        <f>TRIM(VLOOKUP(D3781,TB!$B$9:$C$1500,2,FALSE))</f>
        <v>Ice Cube</v>
      </c>
      <c r="F3781" s="191" t="s">
        <v>1755</v>
      </c>
      <c r="G3781" s="130">
        <v>6</v>
      </c>
      <c r="H3781" s="155">
        <v>48000</v>
      </c>
      <c r="I3781" s="10"/>
      <c r="J3781" s="79" t="e">
        <f t="shared" si="245"/>
        <v>#VALUE!</v>
      </c>
      <c r="K3781" s="106">
        <f>H3781/G3781</f>
        <v>8000</v>
      </c>
      <c r="L3781" s="141"/>
      <c r="M3781" s="132"/>
      <c r="N3781" s="133"/>
      <c r="O3781" s="4"/>
      <c r="P3781" s="4"/>
      <c r="Q3781" s="4"/>
      <c r="R3781" s="4"/>
      <c r="S3781" s="4"/>
      <c r="T3781" s="4"/>
      <c r="U3781" s="4"/>
      <c r="V3781" s="4"/>
      <c r="W3781" s="4"/>
      <c r="X3781" s="4"/>
    </row>
    <row r="3782" spans="1:24" ht="14.25" customHeight="1">
      <c r="A3782" s="4"/>
      <c r="B3782" s="125">
        <v>46178</v>
      </c>
      <c r="C3782" s="126" t="s">
        <v>1752</v>
      </c>
      <c r="D3782" s="15" t="s">
        <v>1226</v>
      </c>
      <c r="E3782" s="10" t="str">
        <f>TRIM(VLOOKUP(D3782,TB!$B$9:$C$1500,2,FALSE))</f>
        <v>Enggineering Electrical &amp; plumbing Supplies</v>
      </c>
      <c r="F3782" s="191" t="s">
        <v>1756</v>
      </c>
      <c r="G3782" s="130"/>
      <c r="H3782" s="155">
        <v>90000</v>
      </c>
      <c r="I3782" s="10"/>
      <c r="J3782" s="79" t="e">
        <f t="shared" si="245"/>
        <v>#VALUE!</v>
      </c>
      <c r="K3782" s="106"/>
      <c r="L3782" s="141"/>
      <c r="M3782" s="132"/>
      <c r="N3782" s="133"/>
      <c r="O3782" s="4"/>
      <c r="P3782" s="4"/>
      <c r="Q3782" s="4"/>
      <c r="R3782" s="4"/>
      <c r="S3782" s="4"/>
      <c r="T3782" s="4"/>
      <c r="U3782" s="4"/>
      <c r="V3782" s="4"/>
      <c r="W3782" s="4"/>
      <c r="X3782" s="4"/>
    </row>
    <row r="3783" spans="1:24" ht="14.25" customHeight="1">
      <c r="A3783" s="4"/>
      <c r="B3783" s="125">
        <v>46178</v>
      </c>
      <c r="C3783" s="126" t="s">
        <v>1752</v>
      </c>
      <c r="D3783" s="15" t="s">
        <v>1754</v>
      </c>
      <c r="E3783" s="10" t="str">
        <f>TRIM(VLOOKUP(D3783,TB!$B$9:$C$1500,2,FALSE))</f>
        <v>Ice Cube</v>
      </c>
      <c r="F3783" s="191" t="s">
        <v>1757</v>
      </c>
      <c r="G3783" s="130">
        <v>10</v>
      </c>
      <c r="H3783" s="155">
        <v>120000</v>
      </c>
      <c r="I3783" s="10"/>
      <c r="J3783" s="79" t="e">
        <f t="shared" si="245"/>
        <v>#VALUE!</v>
      </c>
      <c r="K3783" s="106">
        <f>H3783/G3783</f>
        <v>12000</v>
      </c>
      <c r="L3783" s="141"/>
      <c r="M3783" s="132"/>
      <c r="N3783" s="133"/>
      <c r="O3783" s="4"/>
      <c r="P3783" s="4"/>
      <c r="Q3783" s="4"/>
      <c r="R3783" s="4"/>
      <c r="S3783" s="4"/>
      <c r="T3783" s="4"/>
      <c r="U3783" s="4"/>
      <c r="V3783" s="4"/>
      <c r="W3783" s="4"/>
      <c r="X3783" s="4"/>
    </row>
    <row r="3784" spans="1:24" ht="14.25" customHeight="1">
      <c r="A3784" s="4"/>
      <c r="B3784" s="125">
        <v>46178</v>
      </c>
      <c r="C3784" s="126" t="s">
        <v>1752</v>
      </c>
      <c r="D3784" s="15" t="s">
        <v>1226</v>
      </c>
      <c r="E3784" s="10" t="str">
        <f>TRIM(VLOOKUP(D3784,TB!$B$9:$C$1500,2,FALSE))</f>
        <v>Enggineering Electrical &amp; plumbing Supplies</v>
      </c>
      <c r="F3784" s="191" t="s">
        <v>1758</v>
      </c>
      <c r="G3784" s="130"/>
      <c r="H3784" s="155">
        <v>128000</v>
      </c>
      <c r="I3784" s="10"/>
      <c r="J3784" s="79" t="e">
        <f t="shared" si="245"/>
        <v>#VALUE!</v>
      </c>
      <c r="K3784" s="106"/>
      <c r="L3784" s="141"/>
      <c r="M3784" s="132"/>
      <c r="N3784" s="133"/>
      <c r="O3784" s="4"/>
      <c r="P3784" s="4"/>
      <c r="Q3784" s="4"/>
      <c r="R3784" s="4"/>
      <c r="S3784" s="4"/>
      <c r="T3784" s="4"/>
      <c r="U3784" s="4"/>
      <c r="V3784" s="4"/>
      <c r="W3784" s="4"/>
      <c r="X3784" s="4"/>
    </row>
    <row r="3785" spans="1:24" ht="14.25" customHeight="1">
      <c r="A3785" s="4"/>
      <c r="B3785" s="125">
        <v>46178</v>
      </c>
      <c r="C3785" s="126" t="s">
        <v>1752</v>
      </c>
      <c r="D3785" s="15" t="s">
        <v>1745</v>
      </c>
      <c r="E3785" s="10" t="str">
        <f>TRIM(VLOOKUP(D3785,TB!$B$9:$C$1500,2,FALSE))</f>
        <v>Petty Cash IDR - on General Cashier</v>
      </c>
      <c r="F3785" s="142" t="s">
        <v>1759</v>
      </c>
      <c r="G3785" s="130"/>
      <c r="H3785" s="10"/>
      <c r="I3785" s="10">
        <v>386000</v>
      </c>
      <c r="J3785" s="79" t="e">
        <f t="shared" si="245"/>
        <v>#VALUE!</v>
      </c>
      <c r="K3785" s="106"/>
      <c r="L3785" s="141"/>
      <c r="M3785" s="132"/>
      <c r="N3785" s="133"/>
      <c r="O3785" s="4"/>
      <c r="P3785" s="4"/>
      <c r="Q3785" s="4"/>
      <c r="R3785" s="4"/>
      <c r="S3785" s="4"/>
      <c r="T3785" s="4"/>
      <c r="U3785" s="4"/>
      <c r="V3785" s="4"/>
      <c r="W3785" s="4"/>
      <c r="X3785" s="4"/>
    </row>
    <row r="3786" spans="1:24" ht="14.25" customHeight="1">
      <c r="A3786" s="4"/>
      <c r="B3786" s="125"/>
      <c r="C3786" s="126"/>
      <c r="D3786" s="159"/>
      <c r="E3786" s="10" t="e">
        <f>TRIM(VLOOKUP(D3786,TB!$B$9:$C$1500,2,FALSE))</f>
        <v>#N/A</v>
      </c>
      <c r="F3786" s="142"/>
      <c r="G3786" s="130"/>
      <c r="H3786" s="10"/>
      <c r="I3786" s="10"/>
      <c r="J3786" s="79" t="e">
        <f t="shared" si="245"/>
        <v>#VALUE!</v>
      </c>
      <c r="K3786" s="106"/>
      <c r="L3786" s="141"/>
      <c r="M3786" s="132"/>
      <c r="N3786" s="133"/>
      <c r="O3786" s="4"/>
      <c r="P3786" s="4"/>
      <c r="Q3786" s="4"/>
      <c r="R3786" s="4"/>
      <c r="S3786" s="4"/>
      <c r="T3786" s="4"/>
      <c r="U3786" s="4"/>
      <c r="V3786" s="4"/>
      <c r="W3786" s="4"/>
      <c r="X3786" s="4"/>
    </row>
    <row r="3787" spans="1:24" ht="14.25" customHeight="1">
      <c r="A3787" s="4"/>
      <c r="B3787" s="125">
        <v>46178</v>
      </c>
      <c r="C3787" s="126" t="s">
        <v>1760</v>
      </c>
      <c r="D3787" s="15" t="s">
        <v>1745</v>
      </c>
      <c r="E3787" s="10" t="str">
        <f>TRIM(VLOOKUP(D3787,TB!$B$9:$C$1500,2,FALSE))</f>
        <v>Petty Cash IDR - on General Cashier</v>
      </c>
      <c r="F3787" s="191" t="s">
        <v>1761</v>
      </c>
      <c r="G3787" s="130"/>
      <c r="H3787" s="10">
        <v>7081180</v>
      </c>
      <c r="I3787" s="10"/>
      <c r="J3787" s="79" t="e">
        <f t="shared" si="245"/>
        <v>#VALUE!</v>
      </c>
      <c r="K3787" s="106"/>
      <c r="L3787" s="141"/>
      <c r="M3787" s="132"/>
      <c r="N3787" s="133"/>
      <c r="O3787" s="4"/>
      <c r="P3787" s="4"/>
      <c r="Q3787" s="4"/>
      <c r="R3787" s="4"/>
      <c r="S3787" s="4"/>
      <c r="T3787" s="4"/>
      <c r="U3787" s="4"/>
      <c r="V3787" s="4"/>
      <c r="W3787" s="4"/>
      <c r="X3787" s="4"/>
    </row>
    <row r="3788" spans="1:24" ht="14.25" customHeight="1">
      <c r="A3788" s="4"/>
      <c r="B3788" s="125">
        <v>46178</v>
      </c>
      <c r="C3788" s="126" t="s">
        <v>1760</v>
      </c>
      <c r="D3788" s="15" t="s">
        <v>39</v>
      </c>
      <c r="E3788" s="10" t="str">
        <f>TRIM(VLOOKUP(D3788,TB!$B$9:$C$1500,2,FALSE))</f>
        <v>Petty Cash IDR - on Bar Cashier</v>
      </c>
      <c r="F3788" s="191" t="s">
        <v>1761</v>
      </c>
      <c r="G3788" s="130"/>
      <c r="H3788" s="10"/>
      <c r="I3788" s="10">
        <v>7081180</v>
      </c>
      <c r="J3788" s="79" t="e">
        <f t="shared" si="245"/>
        <v>#VALUE!</v>
      </c>
      <c r="K3788" s="106"/>
      <c r="L3788" s="141"/>
      <c r="M3788" s="132"/>
      <c r="N3788" s="133"/>
      <c r="O3788" s="4"/>
      <c r="P3788" s="4"/>
      <c r="Q3788" s="4"/>
      <c r="R3788" s="4"/>
      <c r="S3788" s="4"/>
      <c r="T3788" s="4"/>
      <c r="U3788" s="4"/>
      <c r="V3788" s="4"/>
      <c r="W3788" s="4"/>
      <c r="X3788" s="4"/>
    </row>
    <row r="3789" spans="1:24" ht="14.25" customHeight="1">
      <c r="A3789" s="4"/>
      <c r="B3789" s="125">
        <v>46178</v>
      </c>
      <c r="C3789" s="126" t="s">
        <v>1760</v>
      </c>
      <c r="D3789" s="15" t="s">
        <v>1754</v>
      </c>
      <c r="E3789" s="10" t="str">
        <f>TRIM(VLOOKUP(D3789,TB!$B$9:$C$1500,2,FALSE))</f>
        <v>Ice Cube</v>
      </c>
      <c r="F3789" s="191" t="s">
        <v>1762</v>
      </c>
      <c r="G3789" s="130">
        <v>6</v>
      </c>
      <c r="H3789" s="155">
        <v>48000</v>
      </c>
      <c r="I3789" s="10"/>
      <c r="J3789" s="79" t="e">
        <f t="shared" si="245"/>
        <v>#VALUE!</v>
      </c>
      <c r="K3789" s="106">
        <f t="shared" ref="K3789:K3793" si="251">H3789/G3789</f>
        <v>8000</v>
      </c>
      <c r="L3789" s="141"/>
      <c r="M3789" s="132"/>
      <c r="N3789" s="133"/>
      <c r="O3789" s="4"/>
      <c r="P3789" s="4"/>
      <c r="Q3789" s="4"/>
      <c r="R3789" s="4"/>
      <c r="S3789" s="4"/>
      <c r="T3789" s="4"/>
      <c r="U3789" s="4"/>
      <c r="V3789" s="4"/>
      <c r="W3789" s="4"/>
      <c r="X3789" s="4"/>
    </row>
    <row r="3790" spans="1:24" ht="14.25" customHeight="1">
      <c r="A3790" s="4"/>
      <c r="B3790" s="125">
        <v>46178</v>
      </c>
      <c r="C3790" s="126" t="s">
        <v>1760</v>
      </c>
      <c r="D3790" s="15" t="s">
        <v>1763</v>
      </c>
      <c r="E3790" s="10" t="str">
        <f>TRIM(VLOOKUP(D3790,TB!$B$9:$C$1500,2,FALSE))</f>
        <v>Leek / Bawang Pre</v>
      </c>
      <c r="F3790" s="191" t="s">
        <v>1764</v>
      </c>
      <c r="G3790" s="130">
        <v>0.156</v>
      </c>
      <c r="H3790" s="155">
        <v>4000</v>
      </c>
      <c r="I3790" s="10"/>
      <c r="J3790" s="79" t="e">
        <f t="shared" si="245"/>
        <v>#VALUE!</v>
      </c>
      <c r="K3790" s="106">
        <f t="shared" si="251"/>
        <v>25641.025641025641</v>
      </c>
      <c r="L3790" s="141"/>
      <c r="M3790" s="132"/>
      <c r="N3790" s="133"/>
      <c r="O3790" s="4"/>
      <c r="P3790" s="4"/>
      <c r="Q3790" s="4"/>
      <c r="R3790" s="4"/>
      <c r="S3790" s="4"/>
      <c r="T3790" s="4"/>
      <c r="U3790" s="4"/>
      <c r="V3790" s="4"/>
      <c r="W3790" s="4"/>
      <c r="X3790" s="4"/>
    </row>
    <row r="3791" spans="1:24" ht="14.25" customHeight="1">
      <c r="A3791" s="4"/>
      <c r="B3791" s="125">
        <v>46178</v>
      </c>
      <c r="C3791" s="126" t="s">
        <v>1760</v>
      </c>
      <c r="D3791" s="15" t="s">
        <v>1765</v>
      </c>
      <c r="E3791" s="10" t="str">
        <f>TRIM(VLOOKUP(D3791,TB!$B$9:$C$1500,2,FALSE))</f>
        <v>Great Chilli / Lombok Besar</v>
      </c>
      <c r="F3791" s="191" t="s">
        <v>1766</v>
      </c>
      <c r="G3791" s="130">
        <v>0.35</v>
      </c>
      <c r="H3791" s="155">
        <v>19000</v>
      </c>
      <c r="I3791" s="10"/>
      <c r="J3791" s="79" t="e">
        <f t="shared" si="245"/>
        <v>#VALUE!</v>
      </c>
      <c r="K3791" s="106">
        <f t="shared" si="251"/>
        <v>54285.71428571429</v>
      </c>
      <c r="L3791" s="141"/>
      <c r="M3791" s="132"/>
      <c r="N3791" s="133"/>
      <c r="O3791" s="4"/>
      <c r="P3791" s="4"/>
      <c r="Q3791" s="4"/>
      <c r="R3791" s="4"/>
      <c r="S3791" s="4"/>
      <c r="T3791" s="4"/>
      <c r="U3791" s="4"/>
      <c r="V3791" s="4"/>
      <c r="W3791" s="4"/>
      <c r="X3791" s="4"/>
    </row>
    <row r="3792" spans="1:24" ht="14.25" customHeight="1">
      <c r="A3792" s="4"/>
      <c r="B3792" s="125">
        <v>46178</v>
      </c>
      <c r="C3792" s="126" t="s">
        <v>1760</v>
      </c>
      <c r="D3792" s="15" t="s">
        <v>1754</v>
      </c>
      <c r="E3792" s="10" t="str">
        <f>TRIM(VLOOKUP(D3792,TB!$B$9:$C$1500,2,FALSE))</f>
        <v>Ice Cube</v>
      </c>
      <c r="F3792" s="191" t="s">
        <v>1767</v>
      </c>
      <c r="G3792" s="130">
        <v>9</v>
      </c>
      <c r="H3792" s="155">
        <v>108000</v>
      </c>
      <c r="I3792" s="10"/>
      <c r="J3792" s="79" t="e">
        <f t="shared" si="245"/>
        <v>#VALUE!</v>
      </c>
      <c r="K3792" s="106">
        <f t="shared" si="251"/>
        <v>12000</v>
      </c>
      <c r="L3792" s="141"/>
      <c r="M3792" s="132"/>
      <c r="N3792" s="133"/>
      <c r="O3792" s="4"/>
      <c r="P3792" s="4"/>
      <c r="Q3792" s="4"/>
      <c r="R3792" s="4"/>
      <c r="S3792" s="4"/>
      <c r="T3792" s="4"/>
      <c r="U3792" s="4"/>
      <c r="V3792" s="4"/>
      <c r="W3792" s="4"/>
      <c r="X3792" s="4"/>
    </row>
    <row r="3793" spans="1:24" ht="14.25" customHeight="1">
      <c r="A3793" s="4"/>
      <c r="B3793" s="125">
        <v>46178</v>
      </c>
      <c r="C3793" s="126" t="s">
        <v>1760</v>
      </c>
      <c r="D3793" s="15" t="s">
        <v>1768</v>
      </c>
      <c r="E3793" s="10" t="str">
        <f>TRIM(VLOOKUP(D3793,TB!$B$9:$C$1500,2,FALSE))</f>
        <v>Lime Green</v>
      </c>
      <c r="F3793" s="191" t="s">
        <v>1769</v>
      </c>
      <c r="G3793" s="130">
        <v>0.99399999999999999</v>
      </c>
      <c r="H3793" s="155">
        <v>25344</v>
      </c>
      <c r="I3793" s="10"/>
      <c r="J3793" s="79" t="e">
        <f t="shared" si="245"/>
        <v>#VALUE!</v>
      </c>
      <c r="K3793" s="106">
        <f t="shared" si="251"/>
        <v>25496.981891348089</v>
      </c>
      <c r="L3793" s="141"/>
      <c r="M3793" s="132"/>
      <c r="N3793" s="133"/>
      <c r="O3793" s="4"/>
      <c r="P3793" s="4"/>
      <c r="Q3793" s="4"/>
      <c r="R3793" s="4"/>
      <c r="S3793" s="4"/>
      <c r="T3793" s="4"/>
      <c r="U3793" s="4"/>
      <c r="V3793" s="4"/>
      <c r="W3793" s="4"/>
      <c r="X3793" s="4"/>
    </row>
    <row r="3794" spans="1:24" ht="14.25" customHeight="1">
      <c r="A3794" s="4"/>
      <c r="B3794" s="125">
        <v>46178</v>
      </c>
      <c r="C3794" s="126" t="s">
        <v>1760</v>
      </c>
      <c r="D3794" s="15" t="s">
        <v>1770</v>
      </c>
      <c r="E3794" s="10" t="str">
        <f>TRIM(VLOOKUP(D3794,TB!$B$9:$C$1500,2,FALSE))</f>
        <v>Ceremony Expenses</v>
      </c>
      <c r="F3794" s="191" t="s">
        <v>1771</v>
      </c>
      <c r="G3794" s="130"/>
      <c r="H3794" s="155">
        <v>288000</v>
      </c>
      <c r="I3794" s="10"/>
      <c r="J3794" s="79" t="e">
        <f t="shared" si="245"/>
        <v>#VALUE!</v>
      </c>
      <c r="K3794" s="106"/>
      <c r="L3794" s="141"/>
      <c r="M3794" s="132"/>
      <c r="N3794" s="133"/>
      <c r="O3794" s="4"/>
      <c r="P3794" s="4"/>
      <c r="Q3794" s="4"/>
      <c r="R3794" s="4"/>
      <c r="S3794" s="4"/>
      <c r="T3794" s="4"/>
      <c r="U3794" s="4"/>
      <c r="V3794" s="4"/>
      <c r="W3794" s="4"/>
      <c r="X3794" s="4"/>
    </row>
    <row r="3795" spans="1:24" ht="14.25" customHeight="1">
      <c r="A3795" s="4"/>
      <c r="B3795" s="125">
        <v>46178</v>
      </c>
      <c r="C3795" s="126" t="s">
        <v>1760</v>
      </c>
      <c r="D3795" s="15" t="s">
        <v>1745</v>
      </c>
      <c r="E3795" s="10" t="str">
        <f>TRIM(VLOOKUP(D3795,TB!$B$9:$C$1500,2,FALSE))</f>
        <v>Petty Cash IDR - on General Cashier</v>
      </c>
      <c r="F3795" s="142" t="s">
        <v>1772</v>
      </c>
      <c r="G3795" s="130"/>
      <c r="H3795" s="10"/>
      <c r="I3795" s="10">
        <v>492344</v>
      </c>
      <c r="J3795" s="79" t="e">
        <f t="shared" si="245"/>
        <v>#VALUE!</v>
      </c>
      <c r="K3795" s="106"/>
      <c r="L3795" s="141"/>
      <c r="M3795" s="132"/>
      <c r="N3795" s="133"/>
      <c r="O3795" s="4"/>
      <c r="P3795" s="4"/>
      <c r="Q3795" s="4"/>
      <c r="R3795" s="4"/>
      <c r="S3795" s="4"/>
      <c r="T3795" s="4"/>
      <c r="U3795" s="4"/>
      <c r="V3795" s="4"/>
      <c r="W3795" s="4"/>
      <c r="X3795" s="4"/>
    </row>
    <row r="3796" spans="1:24" ht="14.25" customHeight="1">
      <c r="A3796" s="4"/>
      <c r="B3796" s="125"/>
      <c r="C3796" s="126"/>
      <c r="D3796" s="159"/>
      <c r="E3796" s="10" t="e">
        <f>TRIM(VLOOKUP(D3796,TB!$B$9:$C$1500,2,FALSE))</f>
        <v>#N/A</v>
      </c>
      <c r="F3796" s="142"/>
      <c r="G3796" s="130"/>
      <c r="H3796" s="10"/>
      <c r="I3796" s="10"/>
      <c r="J3796" s="79" t="e">
        <f t="shared" si="245"/>
        <v>#VALUE!</v>
      </c>
      <c r="K3796" s="106"/>
      <c r="L3796" s="141"/>
      <c r="M3796" s="132"/>
      <c r="N3796" s="133"/>
      <c r="O3796" s="4"/>
      <c r="P3796" s="4"/>
      <c r="Q3796" s="4"/>
      <c r="R3796" s="4"/>
      <c r="S3796" s="4"/>
      <c r="T3796" s="4"/>
      <c r="U3796" s="4"/>
      <c r="V3796" s="4"/>
      <c r="W3796" s="4"/>
      <c r="X3796" s="4"/>
    </row>
    <row r="3797" spans="1:24" ht="14.25" customHeight="1">
      <c r="A3797" s="4"/>
      <c r="B3797" s="125">
        <v>46178</v>
      </c>
      <c r="C3797" s="126" t="s">
        <v>1773</v>
      </c>
      <c r="D3797" s="15" t="s">
        <v>1745</v>
      </c>
      <c r="E3797" s="10" t="str">
        <f>TRIM(VLOOKUP(D3797,TB!$B$9:$C$1500,2,FALSE))</f>
        <v>Petty Cash IDR - on General Cashier</v>
      </c>
      <c r="F3797" s="191" t="s">
        <v>1774</v>
      </c>
      <c r="G3797" s="130"/>
      <c r="H3797" s="10">
        <v>9760327</v>
      </c>
      <c r="I3797" s="10"/>
      <c r="J3797" s="79" t="e">
        <f t="shared" si="245"/>
        <v>#VALUE!</v>
      </c>
      <c r="K3797" s="106"/>
      <c r="L3797" s="141"/>
      <c r="M3797" s="132"/>
      <c r="N3797" s="133"/>
      <c r="O3797" s="4"/>
      <c r="P3797" s="4"/>
      <c r="Q3797" s="4"/>
      <c r="R3797" s="4"/>
      <c r="S3797" s="4"/>
      <c r="T3797" s="4"/>
      <c r="U3797" s="4"/>
      <c r="V3797" s="4"/>
      <c r="W3797" s="4"/>
      <c r="X3797" s="4"/>
    </row>
    <row r="3798" spans="1:24" ht="14.25" customHeight="1">
      <c r="A3798" s="4"/>
      <c r="B3798" s="125">
        <v>46178</v>
      </c>
      <c r="C3798" s="126" t="s">
        <v>1773</v>
      </c>
      <c r="D3798" s="15" t="s">
        <v>39</v>
      </c>
      <c r="E3798" s="10" t="str">
        <f>TRIM(VLOOKUP(D3798,TB!$B$9:$C$1500,2,FALSE))</f>
        <v>Petty Cash IDR - on Bar Cashier</v>
      </c>
      <c r="F3798" s="191" t="s">
        <v>1774</v>
      </c>
      <c r="G3798" s="130"/>
      <c r="H3798" s="10"/>
      <c r="I3798" s="10">
        <v>9760327</v>
      </c>
      <c r="J3798" s="79" t="e">
        <f t="shared" si="245"/>
        <v>#VALUE!</v>
      </c>
      <c r="K3798" s="106"/>
      <c r="L3798" s="141"/>
      <c r="M3798" s="132"/>
      <c r="N3798" s="133"/>
      <c r="O3798" s="4"/>
      <c r="P3798" s="4"/>
      <c r="Q3798" s="4"/>
      <c r="R3798" s="4"/>
      <c r="S3798" s="4"/>
      <c r="T3798" s="4"/>
      <c r="U3798" s="4"/>
      <c r="V3798" s="4"/>
      <c r="W3798" s="4"/>
      <c r="X3798" s="4"/>
    </row>
    <row r="3799" spans="1:24" ht="14.25" customHeight="1">
      <c r="A3799" s="4"/>
      <c r="B3799" s="125">
        <v>46178</v>
      </c>
      <c r="C3799" s="126" t="s">
        <v>1773</v>
      </c>
      <c r="D3799" s="15" t="s">
        <v>1208</v>
      </c>
      <c r="E3799" s="10" t="str">
        <f>TRIM(VLOOKUP(D3799,TB!$B$9:$C$1500,2,FALSE))</f>
        <v>Telephone/Interne/Pulsa/Courier &amp; Postage</v>
      </c>
      <c r="F3799" s="191" t="s">
        <v>1775</v>
      </c>
      <c r="G3799" s="130"/>
      <c r="H3799" s="155">
        <v>22000</v>
      </c>
      <c r="I3799" s="10"/>
      <c r="J3799" s="79" t="e">
        <f t="shared" si="245"/>
        <v>#VALUE!</v>
      </c>
      <c r="K3799" s="106"/>
      <c r="L3799" s="141"/>
      <c r="M3799" s="132"/>
      <c r="N3799" s="133"/>
      <c r="O3799" s="4"/>
      <c r="P3799" s="4"/>
      <c r="Q3799" s="4"/>
      <c r="R3799" s="4"/>
      <c r="S3799" s="4"/>
      <c r="T3799" s="4"/>
      <c r="U3799" s="4"/>
      <c r="V3799" s="4"/>
      <c r="W3799" s="4"/>
      <c r="X3799" s="4"/>
    </row>
    <row r="3800" spans="1:24" ht="14.25" customHeight="1">
      <c r="A3800" s="4"/>
      <c r="B3800" s="125">
        <v>46178</v>
      </c>
      <c r="C3800" s="126" t="s">
        <v>1773</v>
      </c>
      <c r="D3800" s="15" t="s">
        <v>1776</v>
      </c>
      <c r="E3800" s="10" t="str">
        <f>TRIM(VLOOKUP(D3800,TB!$B$9:$C$1500,2,FALSE))</f>
        <v>Marlboro Merah</v>
      </c>
      <c r="F3800" s="191" t="s">
        <v>1777</v>
      </c>
      <c r="G3800" s="130">
        <v>20</v>
      </c>
      <c r="H3800" s="155">
        <v>518000</v>
      </c>
      <c r="I3800" s="10"/>
      <c r="J3800" s="79" t="e">
        <f t="shared" si="245"/>
        <v>#VALUE!</v>
      </c>
      <c r="K3800" s="106"/>
      <c r="L3800" s="141"/>
      <c r="M3800" s="132"/>
      <c r="N3800" s="133"/>
      <c r="O3800" s="4"/>
      <c r="P3800" s="4"/>
      <c r="Q3800" s="4"/>
      <c r="R3800" s="4"/>
      <c r="S3800" s="4"/>
      <c r="T3800" s="4"/>
      <c r="U3800" s="4"/>
      <c r="V3800" s="4"/>
      <c r="W3800" s="4"/>
      <c r="X3800" s="4"/>
    </row>
    <row r="3801" spans="1:24" ht="14.25" customHeight="1">
      <c r="A3801" s="4"/>
      <c r="B3801" s="125">
        <v>46178</v>
      </c>
      <c r="C3801" s="126" t="s">
        <v>1773</v>
      </c>
      <c r="D3801" s="15" t="s">
        <v>1778</v>
      </c>
      <c r="E3801" s="10" t="str">
        <f>TRIM(VLOOKUP(D3801,TB!$B$9:$C$1500,2,FALSE))</f>
        <v>Marlboro Light / GOLD</v>
      </c>
      <c r="F3801" s="191" t="s">
        <v>1779</v>
      </c>
      <c r="G3801" s="130">
        <v>20</v>
      </c>
      <c r="H3801" s="155">
        <v>518000</v>
      </c>
      <c r="I3801" s="10"/>
      <c r="J3801" s="79" t="e">
        <f t="shared" si="245"/>
        <v>#VALUE!</v>
      </c>
      <c r="K3801" s="106"/>
      <c r="L3801" s="141"/>
      <c r="M3801" s="132"/>
      <c r="N3801" s="133"/>
      <c r="O3801" s="4"/>
      <c r="P3801" s="4"/>
      <c r="Q3801" s="4"/>
      <c r="R3801" s="4"/>
      <c r="S3801" s="4"/>
      <c r="T3801" s="4"/>
      <c r="U3801" s="4"/>
      <c r="V3801" s="4"/>
      <c r="W3801" s="4"/>
      <c r="X3801" s="4"/>
    </row>
    <row r="3802" spans="1:24" ht="14.25" customHeight="1">
      <c r="A3802" s="4"/>
      <c r="B3802" s="125">
        <v>46178</v>
      </c>
      <c r="C3802" s="126" t="s">
        <v>1773</v>
      </c>
      <c r="D3802" s="15" t="s">
        <v>1754</v>
      </c>
      <c r="E3802" s="10" t="str">
        <f>TRIM(VLOOKUP(D3802,TB!$B$9:$C$1500,2,FALSE))</f>
        <v>Ice Cube</v>
      </c>
      <c r="F3802" s="191" t="s">
        <v>1780</v>
      </c>
      <c r="G3802" s="130">
        <v>6</v>
      </c>
      <c r="H3802" s="155">
        <v>48000</v>
      </c>
      <c r="I3802" s="10"/>
      <c r="J3802" s="79" t="e">
        <f t="shared" si="245"/>
        <v>#VALUE!</v>
      </c>
      <c r="K3802" s="106">
        <f t="shared" ref="K3802:K3803" si="252">H3802/G3802</f>
        <v>8000</v>
      </c>
      <c r="L3802" s="141"/>
      <c r="M3802" s="132"/>
      <c r="N3802" s="133"/>
      <c r="O3802" s="4"/>
      <c r="P3802" s="4"/>
      <c r="Q3802" s="4"/>
      <c r="R3802" s="4"/>
      <c r="S3802" s="4"/>
      <c r="T3802" s="4"/>
      <c r="U3802" s="4"/>
      <c r="V3802" s="4"/>
      <c r="W3802" s="4"/>
      <c r="X3802" s="4"/>
    </row>
    <row r="3803" spans="1:24" ht="14.25" customHeight="1">
      <c r="A3803" s="4"/>
      <c r="B3803" s="125">
        <v>46178</v>
      </c>
      <c r="C3803" s="126" t="s">
        <v>1773</v>
      </c>
      <c r="D3803" s="15" t="s">
        <v>1754</v>
      </c>
      <c r="E3803" s="10" t="str">
        <f>TRIM(VLOOKUP(D3803,TB!$B$9:$C$1500,2,FALSE))</f>
        <v>Ice Cube</v>
      </c>
      <c r="F3803" s="191" t="s">
        <v>1781</v>
      </c>
      <c r="G3803" s="130">
        <v>15</v>
      </c>
      <c r="H3803" s="155">
        <v>90000</v>
      </c>
      <c r="I3803" s="10"/>
      <c r="J3803" s="79" t="e">
        <f t="shared" si="245"/>
        <v>#VALUE!</v>
      </c>
      <c r="K3803" s="106">
        <f t="shared" si="252"/>
        <v>6000</v>
      </c>
      <c r="L3803" s="141"/>
      <c r="M3803" s="132"/>
      <c r="N3803" s="133"/>
      <c r="O3803" s="4"/>
      <c r="P3803" s="4"/>
      <c r="Q3803" s="4"/>
      <c r="R3803" s="4"/>
      <c r="S3803" s="4"/>
      <c r="T3803" s="4"/>
      <c r="U3803" s="4"/>
      <c r="V3803" s="4"/>
      <c r="W3803" s="4"/>
      <c r="X3803" s="4"/>
    </row>
    <row r="3804" spans="1:24" ht="14.25" customHeight="1">
      <c r="A3804" s="4"/>
      <c r="B3804" s="125">
        <v>46178</v>
      </c>
      <c r="C3804" s="126" t="s">
        <v>1773</v>
      </c>
      <c r="D3804" s="15" t="s">
        <v>1155</v>
      </c>
      <c r="E3804" s="10" t="str">
        <f>TRIM(VLOOKUP(D3804,TB!$B$9:$C$1500,2,FALSE))</f>
        <v>Kitchen Supplies</v>
      </c>
      <c r="F3804" s="191" t="s">
        <v>1782</v>
      </c>
      <c r="G3804" s="130">
        <f>5*0.2</f>
        <v>1</v>
      </c>
      <c r="H3804" s="155">
        <v>32500</v>
      </c>
      <c r="I3804" s="10"/>
      <c r="J3804" s="79" t="e">
        <f t="shared" si="245"/>
        <v>#VALUE!</v>
      </c>
      <c r="K3804" s="106"/>
      <c r="L3804" s="141"/>
      <c r="M3804" s="132"/>
      <c r="N3804" s="133"/>
      <c r="O3804" s="4"/>
      <c r="P3804" s="4"/>
      <c r="Q3804" s="4"/>
      <c r="R3804" s="4"/>
      <c r="S3804" s="4"/>
      <c r="T3804" s="4"/>
      <c r="U3804" s="4"/>
      <c r="V3804" s="4"/>
      <c r="W3804" s="4"/>
      <c r="X3804" s="4"/>
    </row>
    <row r="3805" spans="1:24" ht="14.25" customHeight="1">
      <c r="A3805" s="4"/>
      <c r="B3805" s="125">
        <v>46178</v>
      </c>
      <c r="C3805" s="126" t="s">
        <v>1773</v>
      </c>
      <c r="D3805" s="15" t="s">
        <v>1745</v>
      </c>
      <c r="E3805" s="10" t="str">
        <f>TRIM(VLOOKUP(D3805,TB!$B$9:$C$1500,2,FALSE))</f>
        <v>Petty Cash IDR - on General Cashier</v>
      </c>
      <c r="F3805" s="142" t="s">
        <v>1783</v>
      </c>
      <c r="G3805" s="130"/>
      <c r="H3805" s="10"/>
      <c r="I3805" s="10">
        <v>1228500</v>
      </c>
      <c r="J3805" s="79" t="e">
        <f t="shared" si="245"/>
        <v>#VALUE!</v>
      </c>
      <c r="K3805" s="106"/>
      <c r="L3805" s="141"/>
      <c r="M3805" s="132"/>
      <c r="N3805" s="133"/>
      <c r="O3805" s="4"/>
      <c r="P3805" s="4"/>
      <c r="Q3805" s="4"/>
      <c r="R3805" s="4"/>
      <c r="S3805" s="4"/>
      <c r="T3805" s="4"/>
      <c r="U3805" s="4"/>
      <c r="V3805" s="4"/>
      <c r="W3805" s="4"/>
      <c r="X3805" s="4"/>
    </row>
    <row r="3806" spans="1:24" ht="14.25" customHeight="1">
      <c r="A3806" s="4"/>
      <c r="B3806" s="125"/>
      <c r="C3806" s="126"/>
      <c r="D3806" s="159"/>
      <c r="E3806" s="10" t="e">
        <f>TRIM(VLOOKUP(D3806,TB!$B$9:$C$1500,2,FALSE))</f>
        <v>#N/A</v>
      </c>
      <c r="F3806" s="142"/>
      <c r="G3806" s="130"/>
      <c r="H3806" s="10"/>
      <c r="I3806" s="10"/>
      <c r="J3806" s="79" t="e">
        <f t="shared" si="245"/>
        <v>#VALUE!</v>
      </c>
      <c r="K3806" s="106"/>
      <c r="L3806" s="141"/>
      <c r="M3806" s="132"/>
      <c r="N3806" s="133"/>
      <c r="O3806" s="4"/>
      <c r="P3806" s="4"/>
      <c r="Q3806" s="4"/>
      <c r="R3806" s="4"/>
      <c r="S3806" s="4"/>
      <c r="T3806" s="4"/>
      <c r="U3806" s="4"/>
      <c r="V3806" s="4"/>
      <c r="W3806" s="4"/>
      <c r="X3806" s="4"/>
    </row>
    <row r="3807" spans="1:24" ht="14.25" customHeight="1">
      <c r="A3807" s="4"/>
      <c r="B3807" s="125">
        <v>46178</v>
      </c>
      <c r="C3807" s="126" t="s">
        <v>1784</v>
      </c>
      <c r="D3807" s="15" t="s">
        <v>1745</v>
      </c>
      <c r="E3807" s="10" t="str">
        <f>TRIM(VLOOKUP(D3807,TB!$B$9:$C$1500,2,FALSE))</f>
        <v>Petty Cash IDR - on General Cashier</v>
      </c>
      <c r="F3807" s="191" t="s">
        <v>1785</v>
      </c>
      <c r="G3807" s="130"/>
      <c r="H3807" s="10">
        <v>6021430</v>
      </c>
      <c r="I3807" s="10"/>
      <c r="J3807" s="79" t="e">
        <f t="shared" si="245"/>
        <v>#VALUE!</v>
      </c>
      <c r="K3807" s="106"/>
      <c r="L3807" s="141"/>
      <c r="M3807" s="132"/>
      <c r="N3807" s="133"/>
      <c r="O3807" s="4"/>
      <c r="P3807" s="4"/>
      <c r="Q3807" s="4"/>
      <c r="R3807" s="4"/>
      <c r="S3807" s="4"/>
      <c r="T3807" s="4"/>
      <c r="U3807" s="4"/>
      <c r="V3807" s="4"/>
      <c r="W3807" s="4"/>
      <c r="X3807" s="4"/>
    </row>
    <row r="3808" spans="1:24" ht="14.25" customHeight="1">
      <c r="A3808" s="4"/>
      <c r="B3808" s="125">
        <v>46178</v>
      </c>
      <c r="C3808" s="126" t="s">
        <v>1784</v>
      </c>
      <c r="D3808" s="15" t="s">
        <v>39</v>
      </c>
      <c r="E3808" s="10" t="str">
        <f>TRIM(VLOOKUP(D3808,TB!$B$9:$C$1500,2,FALSE))</f>
        <v>Petty Cash IDR - on Bar Cashier</v>
      </c>
      <c r="F3808" s="191" t="s">
        <v>1785</v>
      </c>
      <c r="G3808" s="130"/>
      <c r="H3808" s="10"/>
      <c r="I3808" s="10">
        <v>6021430</v>
      </c>
      <c r="J3808" s="79" t="e">
        <f t="shared" si="245"/>
        <v>#VALUE!</v>
      </c>
      <c r="K3808" s="106"/>
      <c r="L3808" s="141"/>
      <c r="M3808" s="132"/>
      <c r="N3808" s="133"/>
      <c r="O3808" s="4"/>
      <c r="P3808" s="4"/>
      <c r="Q3808" s="4"/>
      <c r="R3808" s="4"/>
      <c r="S3808" s="4"/>
      <c r="T3808" s="4"/>
      <c r="U3808" s="4"/>
      <c r="V3808" s="4"/>
      <c r="W3808" s="4"/>
      <c r="X3808" s="4"/>
    </row>
    <row r="3809" spans="1:24" ht="14.25" customHeight="1">
      <c r="A3809" s="4"/>
      <c r="B3809" s="125">
        <v>46178</v>
      </c>
      <c r="C3809" s="126" t="s">
        <v>1784</v>
      </c>
      <c r="D3809" s="15" t="s">
        <v>1754</v>
      </c>
      <c r="E3809" s="10" t="str">
        <f>TRIM(VLOOKUP(D3809,TB!$B$9:$C$1500,2,FALSE))</f>
        <v>Ice Cube</v>
      </c>
      <c r="F3809" s="191" t="s">
        <v>1786</v>
      </c>
      <c r="G3809" s="130">
        <v>6</v>
      </c>
      <c r="H3809" s="155">
        <v>48000</v>
      </c>
      <c r="I3809" s="10"/>
      <c r="J3809" s="79" t="e">
        <f t="shared" si="245"/>
        <v>#VALUE!</v>
      </c>
      <c r="K3809" s="106">
        <f t="shared" ref="K3809:K3810" si="253">H3809/G3809</f>
        <v>8000</v>
      </c>
      <c r="L3809" s="141"/>
      <c r="M3809" s="132"/>
      <c r="N3809" s="133"/>
      <c r="O3809" s="4"/>
      <c r="P3809" s="4"/>
      <c r="Q3809" s="4"/>
      <c r="R3809" s="4"/>
      <c r="S3809" s="4"/>
      <c r="T3809" s="4"/>
      <c r="U3809" s="4"/>
      <c r="V3809" s="4"/>
      <c r="W3809" s="4"/>
      <c r="X3809" s="4"/>
    </row>
    <row r="3810" spans="1:24" ht="14.25" customHeight="1">
      <c r="A3810" s="4"/>
      <c r="B3810" s="125">
        <v>46178</v>
      </c>
      <c r="C3810" s="126" t="s">
        <v>1784</v>
      </c>
      <c r="D3810" s="15" t="s">
        <v>1787</v>
      </c>
      <c r="E3810" s="10" t="str">
        <f>TRIM(VLOOKUP(D3810,TB!$B$9:$C$1500,2,FALSE))</f>
        <v>Milk Fresh</v>
      </c>
      <c r="F3810" s="191" t="s">
        <v>1788</v>
      </c>
      <c r="G3810" s="130">
        <v>2</v>
      </c>
      <c r="H3810" s="155">
        <v>39600</v>
      </c>
      <c r="I3810" s="10"/>
      <c r="J3810" s="79" t="e">
        <f t="shared" si="245"/>
        <v>#VALUE!</v>
      </c>
      <c r="K3810" s="106">
        <f t="shared" si="253"/>
        <v>19800</v>
      </c>
      <c r="L3810" s="141"/>
      <c r="M3810" s="132"/>
      <c r="N3810" s="133"/>
      <c r="O3810" s="4"/>
      <c r="P3810" s="4"/>
      <c r="Q3810" s="4"/>
      <c r="R3810" s="4"/>
      <c r="S3810" s="4"/>
      <c r="T3810" s="4"/>
      <c r="U3810" s="4"/>
      <c r="V3810" s="4"/>
      <c r="W3810" s="4"/>
      <c r="X3810" s="4"/>
    </row>
    <row r="3811" spans="1:24" ht="14.25" customHeight="1">
      <c r="A3811" s="4"/>
      <c r="B3811" s="125">
        <v>46178</v>
      </c>
      <c r="C3811" s="126" t="s">
        <v>1784</v>
      </c>
      <c r="D3811" s="15" t="s">
        <v>1226</v>
      </c>
      <c r="E3811" s="10" t="str">
        <f>TRIM(VLOOKUP(D3811,TB!$B$9:$C$1500,2,FALSE))</f>
        <v>Enggineering Electrical &amp; plumbing Supplies</v>
      </c>
      <c r="F3811" s="191" t="s">
        <v>1789</v>
      </c>
      <c r="G3811" s="130"/>
      <c r="H3811" s="155">
        <v>168000</v>
      </c>
      <c r="I3811" s="10"/>
      <c r="J3811" s="79" t="e">
        <f t="shared" si="245"/>
        <v>#VALUE!</v>
      </c>
      <c r="K3811" s="106"/>
      <c r="L3811" s="141"/>
      <c r="M3811" s="132"/>
      <c r="N3811" s="133"/>
      <c r="O3811" s="4"/>
      <c r="P3811" s="4"/>
      <c r="Q3811" s="4"/>
      <c r="R3811" s="4"/>
      <c r="S3811" s="4"/>
      <c r="T3811" s="4"/>
      <c r="U3811" s="4"/>
      <c r="V3811" s="4"/>
      <c r="W3811" s="4"/>
      <c r="X3811" s="4"/>
    </row>
    <row r="3812" spans="1:24" ht="14.25" customHeight="1">
      <c r="A3812" s="4"/>
      <c r="B3812" s="125">
        <v>46178</v>
      </c>
      <c r="C3812" s="126" t="s">
        <v>1784</v>
      </c>
      <c r="D3812" s="15" t="s">
        <v>1754</v>
      </c>
      <c r="E3812" s="10" t="str">
        <f>TRIM(VLOOKUP(D3812,TB!$B$9:$C$1500,2,FALSE))</f>
        <v>Ice Cube</v>
      </c>
      <c r="F3812" s="191" t="s">
        <v>1790</v>
      </c>
      <c r="G3812" s="130">
        <v>10</v>
      </c>
      <c r="H3812" s="155">
        <v>60000</v>
      </c>
      <c r="I3812" s="10"/>
      <c r="J3812" s="79" t="e">
        <f t="shared" si="245"/>
        <v>#VALUE!</v>
      </c>
      <c r="K3812" s="106">
        <f>H3812/G3812</f>
        <v>6000</v>
      </c>
      <c r="L3812" s="141"/>
      <c r="M3812" s="132"/>
      <c r="N3812" s="133"/>
      <c r="O3812" s="4"/>
      <c r="P3812" s="4"/>
      <c r="Q3812" s="4"/>
      <c r="R3812" s="4"/>
      <c r="S3812" s="4"/>
      <c r="T3812" s="4"/>
      <c r="U3812" s="4"/>
      <c r="V3812" s="4"/>
      <c r="W3812" s="4"/>
      <c r="X3812" s="4"/>
    </row>
    <row r="3813" spans="1:24" ht="14.25" customHeight="1">
      <c r="A3813" s="4"/>
      <c r="B3813" s="125">
        <v>46178</v>
      </c>
      <c r="C3813" s="126" t="s">
        <v>1784</v>
      </c>
      <c r="D3813" s="15" t="s">
        <v>1745</v>
      </c>
      <c r="E3813" s="10" t="str">
        <f>TRIM(VLOOKUP(D3813,TB!$B$9:$C$1500,2,FALSE))</f>
        <v>Petty Cash IDR - on General Cashier</v>
      </c>
      <c r="F3813" s="142" t="s">
        <v>1791</v>
      </c>
      <c r="G3813" s="130"/>
      <c r="H3813" s="10"/>
      <c r="I3813" s="10">
        <v>315600</v>
      </c>
      <c r="J3813" s="79" t="e">
        <f t="shared" si="245"/>
        <v>#VALUE!</v>
      </c>
      <c r="K3813" s="106"/>
      <c r="L3813" s="141"/>
      <c r="M3813" s="132"/>
      <c r="N3813" s="133"/>
      <c r="O3813" s="4"/>
      <c r="P3813" s="4"/>
      <c r="Q3813" s="4"/>
      <c r="R3813" s="4"/>
      <c r="S3813" s="4"/>
      <c r="T3813" s="4"/>
      <c r="U3813" s="4"/>
      <c r="V3813" s="4"/>
      <c r="W3813" s="4"/>
      <c r="X3813" s="4"/>
    </row>
    <row r="3814" spans="1:24" ht="14.25" customHeight="1">
      <c r="A3814" s="4"/>
      <c r="B3814" s="125"/>
      <c r="C3814" s="126"/>
      <c r="D3814" s="159"/>
      <c r="E3814" s="10" t="e">
        <f>TRIM(VLOOKUP(D3814,TB!$B$9:$C$1500,2,FALSE))</f>
        <v>#N/A</v>
      </c>
      <c r="F3814" s="142"/>
      <c r="G3814" s="130"/>
      <c r="H3814" s="10"/>
      <c r="I3814" s="10"/>
      <c r="J3814" s="79" t="e">
        <f t="shared" si="245"/>
        <v>#VALUE!</v>
      </c>
      <c r="K3814" s="106"/>
      <c r="L3814" s="141"/>
      <c r="M3814" s="132"/>
      <c r="N3814" s="133"/>
      <c r="O3814" s="4"/>
      <c r="P3814" s="4"/>
      <c r="Q3814" s="4"/>
      <c r="R3814" s="4"/>
      <c r="S3814" s="4"/>
      <c r="T3814" s="4"/>
      <c r="U3814" s="4"/>
      <c r="V3814" s="4"/>
      <c r="W3814" s="4"/>
      <c r="X3814" s="4"/>
    </row>
    <row r="3815" spans="1:24" ht="14.25" customHeight="1">
      <c r="A3815" s="4"/>
      <c r="B3815" s="125">
        <v>46181</v>
      </c>
      <c r="C3815" s="126" t="s">
        <v>1792</v>
      </c>
      <c r="D3815" s="15" t="s">
        <v>1745</v>
      </c>
      <c r="E3815" s="10" t="str">
        <f>TRIM(VLOOKUP(D3815,TB!$B$9:$C$1500,2,FALSE))</f>
        <v>Petty Cash IDR - on General Cashier</v>
      </c>
      <c r="F3815" s="191" t="s">
        <v>1793</v>
      </c>
      <c r="G3815" s="130"/>
      <c r="H3815" s="10">
        <v>16352290</v>
      </c>
      <c r="I3815" s="10"/>
      <c r="J3815" s="79" t="e">
        <f t="shared" si="245"/>
        <v>#VALUE!</v>
      </c>
      <c r="K3815" s="106"/>
      <c r="L3815" s="141"/>
      <c r="M3815" s="132"/>
      <c r="N3815" s="133"/>
      <c r="O3815" s="4"/>
      <c r="P3815" s="4"/>
      <c r="Q3815" s="4"/>
      <c r="R3815" s="4"/>
      <c r="S3815" s="4"/>
      <c r="T3815" s="4"/>
      <c r="U3815" s="4"/>
      <c r="V3815" s="4"/>
      <c r="W3815" s="4"/>
      <c r="X3815" s="4"/>
    </row>
    <row r="3816" spans="1:24" ht="14.25" customHeight="1">
      <c r="A3816" s="4"/>
      <c r="B3816" s="125">
        <v>46181</v>
      </c>
      <c r="C3816" s="126" t="s">
        <v>1792</v>
      </c>
      <c r="D3816" s="15" t="s">
        <v>39</v>
      </c>
      <c r="E3816" s="10" t="str">
        <f>TRIM(VLOOKUP(D3816,TB!$B$9:$C$1500,2,FALSE))</f>
        <v>Petty Cash IDR - on Bar Cashier</v>
      </c>
      <c r="F3816" s="191" t="s">
        <v>1793</v>
      </c>
      <c r="G3816" s="130"/>
      <c r="H3816" s="10"/>
      <c r="I3816" s="10">
        <v>16352290</v>
      </c>
      <c r="J3816" s="79" t="e">
        <f t="shared" si="245"/>
        <v>#VALUE!</v>
      </c>
      <c r="K3816" s="106"/>
      <c r="L3816" s="141"/>
      <c r="M3816" s="132"/>
      <c r="N3816" s="133"/>
      <c r="O3816" s="4"/>
      <c r="P3816" s="4"/>
      <c r="Q3816" s="4"/>
      <c r="R3816" s="4"/>
      <c r="S3816" s="4"/>
      <c r="T3816" s="4"/>
      <c r="U3816" s="4"/>
      <c r="V3816" s="4"/>
      <c r="W3816" s="4"/>
      <c r="X3816" s="4"/>
    </row>
    <row r="3817" spans="1:24" ht="14.25" customHeight="1">
      <c r="A3817" s="4"/>
      <c r="B3817" s="125">
        <v>46181</v>
      </c>
      <c r="C3817" s="126" t="s">
        <v>1792</v>
      </c>
      <c r="D3817" s="15" t="s">
        <v>1794</v>
      </c>
      <c r="E3817" s="10" t="str">
        <f>TRIM(VLOOKUP(D3817,TB!$B$9:$C$1500,2,FALSE))</f>
        <v>Garlic/Bawang Putih</v>
      </c>
      <c r="F3817" s="142" t="s">
        <v>1795</v>
      </c>
      <c r="G3817" s="130">
        <v>0.25</v>
      </c>
      <c r="H3817" s="155">
        <v>20000</v>
      </c>
      <c r="I3817" s="10"/>
      <c r="J3817" s="79" t="e">
        <f t="shared" si="245"/>
        <v>#VALUE!</v>
      </c>
      <c r="K3817" s="106">
        <f>H3817/G3817</f>
        <v>80000</v>
      </c>
      <c r="L3817" s="141"/>
      <c r="M3817" s="132"/>
      <c r="N3817" s="133"/>
      <c r="O3817" s="4"/>
      <c r="P3817" s="4"/>
      <c r="Q3817" s="4"/>
      <c r="R3817" s="4"/>
      <c r="S3817" s="4"/>
      <c r="T3817" s="4"/>
      <c r="U3817" s="4"/>
      <c r="V3817" s="4"/>
      <c r="W3817" s="4"/>
      <c r="X3817" s="4"/>
    </row>
    <row r="3818" spans="1:24" ht="14.25" customHeight="1">
      <c r="A3818" s="4"/>
      <c r="B3818" s="125">
        <v>46181</v>
      </c>
      <c r="C3818" s="126" t="s">
        <v>1792</v>
      </c>
      <c r="D3818" s="15" t="s">
        <v>1208</v>
      </c>
      <c r="E3818" s="10" t="str">
        <f>TRIM(VLOOKUP(D3818,TB!$B$9:$C$1500,2,FALSE))</f>
        <v>Telephone/Interne/Pulsa/Courier &amp; Postage</v>
      </c>
      <c r="F3818" s="191" t="s">
        <v>1775</v>
      </c>
      <c r="G3818" s="130"/>
      <c r="H3818" s="155">
        <v>32000</v>
      </c>
      <c r="I3818" s="10"/>
      <c r="J3818" s="79" t="e">
        <f t="shared" si="245"/>
        <v>#VALUE!</v>
      </c>
      <c r="K3818" s="106"/>
      <c r="L3818" s="141"/>
      <c r="M3818" s="132"/>
      <c r="N3818" s="133"/>
      <c r="O3818" s="4"/>
      <c r="P3818" s="4"/>
      <c r="Q3818" s="4"/>
      <c r="R3818" s="4"/>
      <c r="S3818" s="4"/>
      <c r="T3818" s="4"/>
      <c r="U3818" s="4"/>
      <c r="V3818" s="4"/>
      <c r="W3818" s="4"/>
      <c r="X3818" s="4"/>
    </row>
    <row r="3819" spans="1:24" ht="14.25" customHeight="1">
      <c r="A3819" s="4"/>
      <c r="B3819" s="125">
        <v>46181</v>
      </c>
      <c r="C3819" s="126" t="s">
        <v>1792</v>
      </c>
      <c r="D3819" s="15" t="s">
        <v>1754</v>
      </c>
      <c r="E3819" s="10" t="str">
        <f>TRIM(VLOOKUP(D3819,TB!$B$9:$C$1500,2,FALSE))</f>
        <v>Ice Cube</v>
      </c>
      <c r="F3819" s="191" t="s">
        <v>1796</v>
      </c>
      <c r="G3819" s="130">
        <v>12</v>
      </c>
      <c r="H3819" s="155">
        <v>144000</v>
      </c>
      <c r="I3819" s="10"/>
      <c r="J3819" s="79" t="e">
        <f t="shared" si="245"/>
        <v>#VALUE!</v>
      </c>
      <c r="K3819" s="106">
        <f>H3819/G3819</f>
        <v>12000</v>
      </c>
      <c r="L3819" s="141"/>
      <c r="M3819" s="132"/>
      <c r="N3819" s="133"/>
      <c r="O3819" s="4"/>
      <c r="P3819" s="4"/>
      <c r="Q3819" s="4"/>
      <c r="R3819" s="4"/>
      <c r="S3819" s="4"/>
      <c r="T3819" s="4"/>
      <c r="U3819" s="4"/>
      <c r="V3819" s="4"/>
      <c r="W3819" s="4"/>
      <c r="X3819" s="4"/>
    </row>
    <row r="3820" spans="1:24" ht="14.25" customHeight="1">
      <c r="A3820" s="4"/>
      <c r="B3820" s="125">
        <v>46181</v>
      </c>
      <c r="C3820" s="126" t="s">
        <v>1792</v>
      </c>
      <c r="D3820" s="15" t="s">
        <v>1208</v>
      </c>
      <c r="E3820" s="10" t="str">
        <f>TRIM(VLOOKUP(D3820,TB!$B$9:$C$1500,2,FALSE))</f>
        <v>Telephone/Interne/Pulsa/Courier &amp; Postage</v>
      </c>
      <c r="F3820" s="191" t="s">
        <v>1775</v>
      </c>
      <c r="G3820" s="130"/>
      <c r="H3820" s="155">
        <v>29000</v>
      </c>
      <c r="I3820" s="10"/>
      <c r="J3820" s="79" t="e">
        <f t="shared" si="245"/>
        <v>#VALUE!</v>
      </c>
      <c r="K3820" s="106"/>
      <c r="L3820" s="141"/>
      <c r="M3820" s="132"/>
      <c r="N3820" s="133"/>
      <c r="O3820" s="4"/>
      <c r="P3820" s="4"/>
      <c r="Q3820" s="4"/>
      <c r="R3820" s="4"/>
      <c r="S3820" s="4"/>
      <c r="T3820" s="4"/>
      <c r="U3820" s="4"/>
      <c r="V3820" s="4"/>
      <c r="W3820" s="4"/>
      <c r="X3820" s="4"/>
    </row>
    <row r="3821" spans="1:24" ht="14.25" customHeight="1">
      <c r="A3821" s="4"/>
      <c r="B3821" s="125">
        <v>46181</v>
      </c>
      <c r="C3821" s="126" t="s">
        <v>1792</v>
      </c>
      <c r="D3821" s="15" t="s">
        <v>1797</v>
      </c>
      <c r="E3821" s="10" t="str">
        <f>TRIM(VLOOKUP(D3821,TB!$B$9:$C$1500,2,FALSE))</f>
        <v>Pork Toulouse</v>
      </c>
      <c r="F3821" s="142" t="s">
        <v>1798</v>
      </c>
      <c r="G3821" s="130">
        <v>2.0459999999999998</v>
      </c>
      <c r="H3821" s="155">
        <v>304854</v>
      </c>
      <c r="I3821" s="10"/>
      <c r="J3821" s="79" t="e">
        <f t="shared" si="245"/>
        <v>#VALUE!</v>
      </c>
      <c r="K3821" s="106"/>
      <c r="L3821" s="141"/>
      <c r="M3821" s="132"/>
      <c r="N3821" s="133"/>
      <c r="O3821" s="4"/>
      <c r="P3821" s="4"/>
      <c r="Q3821" s="4"/>
      <c r="R3821" s="4"/>
      <c r="S3821" s="4"/>
      <c r="T3821" s="4"/>
      <c r="U3821" s="4"/>
      <c r="V3821" s="4"/>
      <c r="W3821" s="4"/>
      <c r="X3821" s="4"/>
    </row>
    <row r="3822" spans="1:24" ht="14.25" customHeight="1">
      <c r="A3822" s="4"/>
      <c r="B3822" s="125">
        <v>46181</v>
      </c>
      <c r="C3822" s="126" t="s">
        <v>1792</v>
      </c>
      <c r="D3822" s="15" t="s">
        <v>1799</v>
      </c>
      <c r="E3822" s="10" t="str">
        <f>TRIM(VLOOKUP(D3822,TB!$B$9:$C$1500,2,FALSE))</f>
        <v>Sausage Chicken</v>
      </c>
      <c r="F3822" s="142" t="s">
        <v>1800</v>
      </c>
      <c r="G3822" s="130">
        <v>1.974</v>
      </c>
      <c r="H3822" s="155">
        <v>246750</v>
      </c>
      <c r="I3822" s="10"/>
      <c r="J3822" s="79" t="e">
        <f t="shared" si="245"/>
        <v>#VALUE!</v>
      </c>
      <c r="K3822" s="106"/>
      <c r="L3822" s="141"/>
      <c r="M3822" s="132"/>
      <c r="N3822" s="133"/>
      <c r="O3822" s="4"/>
      <c r="P3822" s="4"/>
      <c r="Q3822" s="4"/>
      <c r="R3822" s="4"/>
      <c r="S3822" s="4"/>
      <c r="T3822" s="4"/>
      <c r="U3822" s="4"/>
      <c r="V3822" s="4"/>
      <c r="W3822" s="4"/>
      <c r="X3822" s="4"/>
    </row>
    <row r="3823" spans="1:24" ht="14.25" customHeight="1">
      <c r="A3823" s="4"/>
      <c r="B3823" s="125">
        <v>46181</v>
      </c>
      <c r="C3823" s="126" t="s">
        <v>1792</v>
      </c>
      <c r="D3823" s="15" t="s">
        <v>1754</v>
      </c>
      <c r="E3823" s="10" t="str">
        <f>TRIM(VLOOKUP(D3823,TB!$B$9:$C$1500,2,FALSE))</f>
        <v>Ice Cube</v>
      </c>
      <c r="F3823" s="191" t="s">
        <v>1801</v>
      </c>
      <c r="G3823" s="130">
        <v>6</v>
      </c>
      <c r="H3823" s="155">
        <v>48000</v>
      </c>
      <c r="I3823" s="10"/>
      <c r="J3823" s="79" t="e">
        <f t="shared" si="245"/>
        <v>#VALUE!</v>
      </c>
      <c r="K3823" s="106">
        <f>H3823/G3823</f>
        <v>8000</v>
      </c>
      <c r="L3823" s="141"/>
      <c r="M3823" s="132"/>
      <c r="N3823" s="133"/>
      <c r="O3823" s="4"/>
      <c r="P3823" s="4"/>
      <c r="Q3823" s="4"/>
      <c r="R3823" s="4"/>
      <c r="S3823" s="4"/>
      <c r="T3823" s="4"/>
      <c r="U3823" s="4"/>
      <c r="V3823" s="4"/>
      <c r="W3823" s="4"/>
      <c r="X3823" s="4"/>
    </row>
    <row r="3824" spans="1:24" ht="14.25" customHeight="1">
      <c r="A3824" s="4"/>
      <c r="B3824" s="125">
        <v>46181</v>
      </c>
      <c r="C3824" s="126" t="s">
        <v>1792</v>
      </c>
      <c r="D3824" s="15" t="s">
        <v>659</v>
      </c>
      <c r="E3824" s="10" t="str">
        <f>TRIM(VLOOKUP(D3824,TB!$B$9:$C$1500,2,FALSE))</f>
        <v>COS - Entertainment</v>
      </c>
      <c r="F3824" s="142" t="s">
        <v>1802</v>
      </c>
      <c r="G3824" s="130"/>
      <c r="H3824" s="155">
        <v>4000000</v>
      </c>
      <c r="I3824" s="10"/>
      <c r="J3824" s="79" t="e">
        <f t="shared" si="245"/>
        <v>#VALUE!</v>
      </c>
      <c r="K3824" s="106"/>
      <c r="L3824" s="141"/>
      <c r="M3824" s="132"/>
      <c r="N3824" s="133"/>
      <c r="O3824" s="4"/>
      <c r="P3824" s="4"/>
      <c r="Q3824" s="4"/>
      <c r="R3824" s="4"/>
      <c r="S3824" s="4"/>
      <c r="T3824" s="4"/>
      <c r="U3824" s="4"/>
      <c r="V3824" s="4"/>
      <c r="W3824" s="4"/>
      <c r="X3824" s="4"/>
    </row>
    <row r="3825" spans="1:24" ht="14.25" customHeight="1">
      <c r="A3825" s="4"/>
      <c r="B3825" s="125">
        <v>46181</v>
      </c>
      <c r="C3825" s="126" t="s">
        <v>1792</v>
      </c>
      <c r="D3825" s="15" t="s">
        <v>1155</v>
      </c>
      <c r="E3825" s="10" t="str">
        <f>TRIM(VLOOKUP(D3825,TB!$B$9:$C$1500,2,FALSE))</f>
        <v>Kitchen Supplies</v>
      </c>
      <c r="F3825" s="142" t="s">
        <v>1803</v>
      </c>
      <c r="G3825" s="130">
        <v>1</v>
      </c>
      <c r="H3825" s="155">
        <v>93500</v>
      </c>
      <c r="I3825" s="10"/>
      <c r="J3825" s="79" t="e">
        <f t="shared" si="245"/>
        <v>#VALUE!</v>
      </c>
      <c r="K3825" s="106">
        <f>H3825/G3825</f>
        <v>93500</v>
      </c>
      <c r="L3825" s="141"/>
      <c r="M3825" s="132"/>
      <c r="N3825" s="133"/>
      <c r="O3825" s="4"/>
      <c r="P3825" s="4"/>
      <c r="Q3825" s="4"/>
      <c r="R3825" s="4"/>
      <c r="S3825" s="4"/>
      <c r="T3825" s="4"/>
      <c r="U3825" s="4"/>
      <c r="V3825" s="4"/>
      <c r="W3825" s="4"/>
      <c r="X3825" s="4"/>
    </row>
    <row r="3826" spans="1:24" ht="14.25" customHeight="1">
      <c r="A3826" s="4"/>
      <c r="B3826" s="125">
        <v>46181</v>
      </c>
      <c r="C3826" s="126" t="s">
        <v>1792</v>
      </c>
      <c r="D3826" s="15" t="s">
        <v>1745</v>
      </c>
      <c r="E3826" s="10" t="str">
        <f>TRIM(VLOOKUP(D3826,TB!$B$9:$C$1500,2,FALSE))</f>
        <v>Petty Cash IDR - on General Cashier</v>
      </c>
      <c r="F3826" s="142" t="s">
        <v>1804</v>
      </c>
      <c r="G3826" s="130"/>
      <c r="H3826" s="10"/>
      <c r="I3826" s="10">
        <v>4918104</v>
      </c>
      <c r="J3826" s="79" t="e">
        <f t="shared" si="245"/>
        <v>#VALUE!</v>
      </c>
      <c r="K3826" s="106"/>
      <c r="L3826" s="141"/>
      <c r="M3826" s="132"/>
      <c r="N3826" s="133"/>
      <c r="O3826" s="4"/>
      <c r="P3826" s="4"/>
      <c r="Q3826" s="4"/>
      <c r="R3826" s="4"/>
      <c r="S3826" s="4"/>
      <c r="T3826" s="4"/>
      <c r="U3826" s="4"/>
      <c r="V3826" s="4"/>
      <c r="W3826" s="4"/>
      <c r="X3826" s="4"/>
    </row>
    <row r="3827" spans="1:24" ht="14.25" customHeight="1">
      <c r="A3827" s="4"/>
      <c r="B3827" s="125"/>
      <c r="C3827" s="126"/>
      <c r="D3827" s="159"/>
      <c r="E3827" s="10" t="e">
        <f>TRIM(VLOOKUP(D3827,TB!$B$9:$C$1500,2,FALSE))</f>
        <v>#N/A</v>
      </c>
      <c r="F3827" s="142"/>
      <c r="G3827" s="130"/>
      <c r="H3827" s="10"/>
      <c r="I3827" s="10"/>
      <c r="J3827" s="79" t="e">
        <f t="shared" si="245"/>
        <v>#VALUE!</v>
      </c>
      <c r="K3827" s="106"/>
      <c r="L3827" s="141"/>
      <c r="M3827" s="132"/>
      <c r="N3827" s="133"/>
      <c r="O3827" s="4"/>
      <c r="P3827" s="4"/>
      <c r="Q3827" s="4"/>
      <c r="R3827" s="4"/>
      <c r="S3827" s="4"/>
      <c r="T3827" s="4"/>
      <c r="U3827" s="4"/>
      <c r="V3827" s="4"/>
      <c r="W3827" s="4"/>
      <c r="X3827" s="4"/>
    </row>
    <row r="3828" spans="1:24" ht="14.25" customHeight="1">
      <c r="A3828" s="4"/>
      <c r="B3828" s="125">
        <v>46181</v>
      </c>
      <c r="C3828" s="126" t="s">
        <v>1805</v>
      </c>
      <c r="D3828" s="15" t="s">
        <v>1745</v>
      </c>
      <c r="E3828" s="10" t="str">
        <f>TRIM(VLOOKUP(D3828,TB!$B$9:$C$1500,2,FALSE))</f>
        <v>Petty Cash IDR - on General Cashier</v>
      </c>
      <c r="F3828" s="191" t="s">
        <v>1806</v>
      </c>
      <c r="G3828" s="130"/>
      <c r="H3828" s="10">
        <v>18648462</v>
      </c>
      <c r="I3828" s="10"/>
      <c r="J3828" s="79" t="e">
        <f t="shared" si="245"/>
        <v>#VALUE!</v>
      </c>
      <c r="K3828" s="106"/>
      <c r="L3828" s="141"/>
      <c r="M3828" s="132"/>
      <c r="N3828" s="133"/>
      <c r="O3828" s="4"/>
      <c r="P3828" s="4"/>
      <c r="Q3828" s="4"/>
      <c r="R3828" s="4"/>
      <c r="S3828" s="4"/>
      <c r="T3828" s="4"/>
      <c r="U3828" s="4"/>
      <c r="V3828" s="4"/>
      <c r="W3828" s="4"/>
      <c r="X3828" s="4"/>
    </row>
    <row r="3829" spans="1:24" ht="14.25" customHeight="1">
      <c r="A3829" s="4"/>
      <c r="B3829" s="125">
        <v>46181</v>
      </c>
      <c r="C3829" s="126" t="s">
        <v>1805</v>
      </c>
      <c r="D3829" s="15" t="s">
        <v>39</v>
      </c>
      <c r="E3829" s="10" t="str">
        <f>TRIM(VLOOKUP(D3829,TB!$B$9:$C$1500,2,FALSE))</f>
        <v>Petty Cash IDR - on Bar Cashier</v>
      </c>
      <c r="F3829" s="191" t="s">
        <v>1806</v>
      </c>
      <c r="G3829" s="130"/>
      <c r="H3829" s="10"/>
      <c r="I3829" s="10">
        <v>18648462</v>
      </c>
      <c r="J3829" s="79" t="e">
        <f t="shared" si="245"/>
        <v>#VALUE!</v>
      </c>
      <c r="K3829" s="106"/>
      <c r="L3829" s="141"/>
      <c r="M3829" s="132"/>
      <c r="N3829" s="133"/>
      <c r="O3829" s="4"/>
      <c r="P3829" s="4"/>
      <c r="Q3829" s="4"/>
      <c r="R3829" s="4"/>
      <c r="S3829" s="4"/>
      <c r="T3829" s="4"/>
      <c r="U3829" s="4"/>
      <c r="V3829" s="4"/>
      <c r="W3829" s="4"/>
      <c r="X3829" s="4"/>
    </row>
    <row r="3830" spans="1:24" ht="14.25" customHeight="1">
      <c r="A3830" s="4"/>
      <c r="B3830" s="125">
        <v>46181</v>
      </c>
      <c r="C3830" s="126" t="s">
        <v>1805</v>
      </c>
      <c r="D3830" s="15" t="s">
        <v>1807</v>
      </c>
      <c r="E3830" s="10" t="str">
        <f>TRIM(VLOOKUP(D3830,TB!$B$9:$C$1500,2,FALSE))</f>
        <v>Shallot/Bawang Merah</v>
      </c>
      <c r="F3830" s="142" t="s">
        <v>1808</v>
      </c>
      <c r="G3830" s="130">
        <v>0.25</v>
      </c>
      <c r="H3830" s="155">
        <v>20000</v>
      </c>
      <c r="I3830" s="10"/>
      <c r="J3830" s="79" t="e">
        <f t="shared" si="245"/>
        <v>#VALUE!</v>
      </c>
      <c r="K3830" s="106">
        <f>H3830/G3830</f>
        <v>80000</v>
      </c>
      <c r="L3830" s="141"/>
      <c r="M3830" s="132"/>
      <c r="N3830" s="133"/>
      <c r="O3830" s="4"/>
      <c r="P3830" s="4"/>
      <c r="Q3830" s="4"/>
      <c r="R3830" s="4"/>
      <c r="S3830" s="4"/>
      <c r="T3830" s="4"/>
      <c r="U3830" s="4"/>
      <c r="V3830" s="4"/>
      <c r="W3830" s="4"/>
      <c r="X3830" s="4"/>
    </row>
    <row r="3831" spans="1:24" ht="14.25" customHeight="1">
      <c r="A3831" s="4"/>
      <c r="B3831" s="125">
        <v>46181</v>
      </c>
      <c r="C3831" s="126" t="s">
        <v>1805</v>
      </c>
      <c r="D3831" s="15" t="s">
        <v>617</v>
      </c>
      <c r="E3831" s="10" t="str">
        <f>TRIM(VLOOKUP(D3831,TB!$B$9:$C$1500,2,FALSE))</f>
        <v>Cleaning Supplies &amp; Expenses</v>
      </c>
      <c r="F3831" s="142" t="s">
        <v>1809</v>
      </c>
      <c r="G3831" s="130"/>
      <c r="H3831" s="155">
        <v>36000</v>
      </c>
      <c r="I3831" s="10"/>
      <c r="J3831" s="79" t="e">
        <f t="shared" si="245"/>
        <v>#VALUE!</v>
      </c>
      <c r="K3831" s="106"/>
      <c r="L3831" s="141"/>
      <c r="M3831" s="132"/>
      <c r="N3831" s="133"/>
      <c r="O3831" s="4"/>
      <c r="P3831" s="4"/>
      <c r="Q3831" s="4"/>
      <c r="R3831" s="4"/>
      <c r="S3831" s="4"/>
      <c r="T3831" s="4"/>
      <c r="U3831" s="4"/>
      <c r="V3831" s="4"/>
      <c r="W3831" s="4"/>
      <c r="X3831" s="4"/>
    </row>
    <row r="3832" spans="1:24" ht="14.25" customHeight="1">
      <c r="A3832" s="4"/>
      <c r="B3832" s="125">
        <v>46181</v>
      </c>
      <c r="C3832" s="126" t="s">
        <v>1805</v>
      </c>
      <c r="D3832" s="15" t="s">
        <v>1155</v>
      </c>
      <c r="E3832" s="10" t="str">
        <f>TRIM(VLOOKUP(D3832,TB!$B$9:$C$1500,2,FALSE))</f>
        <v>Kitchen Supplies</v>
      </c>
      <c r="F3832" s="142" t="s">
        <v>1810</v>
      </c>
      <c r="G3832" s="130">
        <v>1</v>
      </c>
      <c r="H3832" s="155">
        <v>75000</v>
      </c>
      <c r="I3832" s="10"/>
      <c r="J3832" s="79" t="e">
        <f t="shared" si="245"/>
        <v>#VALUE!</v>
      </c>
      <c r="K3832" s="106"/>
      <c r="L3832" s="141"/>
      <c r="M3832" s="132"/>
      <c r="N3832" s="133"/>
      <c r="O3832" s="4"/>
      <c r="P3832" s="4"/>
      <c r="Q3832" s="4"/>
      <c r="R3832" s="4"/>
      <c r="S3832" s="4"/>
      <c r="T3832" s="4"/>
      <c r="U3832" s="4"/>
      <c r="V3832" s="4"/>
      <c r="W3832" s="4"/>
      <c r="X3832" s="4"/>
    </row>
    <row r="3833" spans="1:24" ht="14.25" customHeight="1">
      <c r="A3833" s="4"/>
      <c r="B3833" s="125">
        <v>46181</v>
      </c>
      <c r="C3833" s="126" t="s">
        <v>1805</v>
      </c>
      <c r="D3833" s="15" t="s">
        <v>1811</v>
      </c>
      <c r="E3833" s="10" t="str">
        <f>TRIM(VLOOKUP(D3833,TB!$B$9:$C$1500,2,FALSE))</f>
        <v>Yoghurt</v>
      </c>
      <c r="F3833" s="142" t="s">
        <v>1812</v>
      </c>
      <c r="G3833" s="130">
        <v>1</v>
      </c>
      <c r="H3833" s="155">
        <v>70000</v>
      </c>
      <c r="I3833" s="10"/>
      <c r="J3833" s="79" t="e">
        <f t="shared" si="245"/>
        <v>#VALUE!</v>
      </c>
      <c r="K3833" s="106"/>
      <c r="L3833" s="141"/>
      <c r="M3833" s="132"/>
      <c r="N3833" s="133"/>
      <c r="O3833" s="4"/>
      <c r="P3833" s="4"/>
      <c r="Q3833" s="4"/>
      <c r="R3833" s="4"/>
      <c r="S3833" s="4"/>
      <c r="T3833" s="4"/>
      <c r="U3833" s="4"/>
      <c r="V3833" s="4"/>
      <c r="W3833" s="4"/>
      <c r="X3833" s="4"/>
    </row>
    <row r="3834" spans="1:24" ht="14.25" customHeight="1">
      <c r="A3834" s="4"/>
      <c r="B3834" s="125">
        <v>46181</v>
      </c>
      <c r="C3834" s="126" t="s">
        <v>1805</v>
      </c>
      <c r="D3834" s="15" t="s">
        <v>1208</v>
      </c>
      <c r="E3834" s="10" t="str">
        <f>TRIM(VLOOKUP(D3834,TB!$B$9:$C$1500,2,FALSE))</f>
        <v>Telephone/Interne/Pulsa/Courier &amp; Postage</v>
      </c>
      <c r="F3834" s="191" t="s">
        <v>1775</v>
      </c>
      <c r="G3834" s="130"/>
      <c r="H3834" s="155">
        <v>24000</v>
      </c>
      <c r="I3834" s="10"/>
      <c r="J3834" s="79" t="e">
        <f t="shared" si="245"/>
        <v>#VALUE!</v>
      </c>
      <c r="K3834" s="106"/>
      <c r="L3834" s="141"/>
      <c r="M3834" s="132"/>
      <c r="N3834" s="133"/>
      <c r="O3834" s="4"/>
      <c r="P3834" s="4"/>
      <c r="Q3834" s="4"/>
      <c r="R3834" s="4"/>
      <c r="S3834" s="4"/>
      <c r="T3834" s="4"/>
      <c r="U3834" s="4"/>
      <c r="V3834" s="4"/>
      <c r="W3834" s="4"/>
      <c r="X3834" s="4"/>
    </row>
    <row r="3835" spans="1:24" ht="14.25" customHeight="1">
      <c r="A3835" s="4"/>
      <c r="B3835" s="125">
        <v>46181</v>
      </c>
      <c r="C3835" s="126" t="s">
        <v>1805</v>
      </c>
      <c r="D3835" s="15" t="s">
        <v>1754</v>
      </c>
      <c r="E3835" s="10" t="str">
        <f>TRIM(VLOOKUP(D3835,TB!$B$9:$C$1500,2,FALSE))</f>
        <v>Ice Cube</v>
      </c>
      <c r="F3835" s="191" t="s">
        <v>1813</v>
      </c>
      <c r="G3835" s="130">
        <v>6</v>
      </c>
      <c r="H3835" s="155">
        <v>48000</v>
      </c>
      <c r="I3835" s="10"/>
      <c r="J3835" s="79" t="e">
        <f t="shared" si="245"/>
        <v>#VALUE!</v>
      </c>
      <c r="K3835" s="106">
        <f>H3835/G3835</f>
        <v>8000</v>
      </c>
      <c r="L3835" s="141"/>
      <c r="M3835" s="132"/>
      <c r="N3835" s="133"/>
      <c r="O3835" s="4"/>
      <c r="P3835" s="4"/>
      <c r="Q3835" s="4"/>
      <c r="R3835" s="4"/>
      <c r="S3835" s="4"/>
      <c r="T3835" s="4"/>
      <c r="U3835" s="4"/>
      <c r="V3835" s="4"/>
      <c r="W3835" s="4"/>
      <c r="X3835" s="4"/>
    </row>
    <row r="3836" spans="1:24" ht="14.25" customHeight="1">
      <c r="A3836" s="4"/>
      <c r="B3836" s="125">
        <v>46181</v>
      </c>
      <c r="C3836" s="126" t="s">
        <v>1805</v>
      </c>
      <c r="D3836" s="15" t="s">
        <v>1208</v>
      </c>
      <c r="E3836" s="10" t="str">
        <f>TRIM(VLOOKUP(D3836,TB!$B$9:$C$1500,2,FALSE))</f>
        <v>Telephone/Interne/Pulsa/Courier &amp; Postage</v>
      </c>
      <c r="F3836" s="191" t="s">
        <v>1775</v>
      </c>
      <c r="G3836" s="130"/>
      <c r="H3836" s="155">
        <v>32000</v>
      </c>
      <c r="I3836" s="10"/>
      <c r="J3836" s="79" t="e">
        <f t="shared" si="245"/>
        <v>#VALUE!</v>
      </c>
      <c r="K3836" s="106"/>
      <c r="L3836" s="141"/>
      <c r="M3836" s="132"/>
      <c r="N3836" s="133"/>
      <c r="O3836" s="4"/>
      <c r="P3836" s="4"/>
      <c r="Q3836" s="4"/>
      <c r="R3836" s="4"/>
      <c r="S3836" s="4"/>
      <c r="T3836" s="4"/>
      <c r="U3836" s="4"/>
      <c r="V3836" s="4"/>
      <c r="W3836" s="4"/>
      <c r="X3836" s="4"/>
    </row>
    <row r="3837" spans="1:24" ht="14.25" customHeight="1">
      <c r="A3837" s="4"/>
      <c r="B3837" s="125">
        <v>46181</v>
      </c>
      <c r="C3837" s="126" t="s">
        <v>1805</v>
      </c>
      <c r="D3837" s="15" t="s">
        <v>1208</v>
      </c>
      <c r="E3837" s="10" t="str">
        <f>TRIM(VLOOKUP(D3837,TB!$B$9:$C$1500,2,FALSE))</f>
        <v>Telephone/Interne/Pulsa/Courier &amp; Postage</v>
      </c>
      <c r="F3837" s="191" t="s">
        <v>1775</v>
      </c>
      <c r="G3837" s="130"/>
      <c r="H3837" s="155">
        <v>27000</v>
      </c>
      <c r="I3837" s="10"/>
      <c r="J3837" s="79" t="e">
        <f t="shared" si="245"/>
        <v>#VALUE!</v>
      </c>
      <c r="K3837" s="106"/>
      <c r="L3837" s="141"/>
      <c r="M3837" s="132"/>
      <c r="N3837" s="133"/>
      <c r="O3837" s="4"/>
      <c r="P3837" s="4"/>
      <c r="Q3837" s="4"/>
      <c r="R3837" s="4"/>
      <c r="S3837" s="4"/>
      <c r="T3837" s="4"/>
      <c r="U3837" s="4"/>
      <c r="V3837" s="4"/>
      <c r="W3837" s="4"/>
      <c r="X3837" s="4"/>
    </row>
    <row r="3838" spans="1:24" ht="14.25" customHeight="1">
      <c r="A3838" s="4"/>
      <c r="B3838" s="125">
        <v>46181</v>
      </c>
      <c r="C3838" s="126" t="s">
        <v>1805</v>
      </c>
      <c r="D3838" s="15" t="s">
        <v>1208</v>
      </c>
      <c r="E3838" s="10" t="str">
        <f>TRIM(VLOOKUP(D3838,TB!$B$9:$C$1500,2,FALSE))</f>
        <v>Telephone/Interne/Pulsa/Courier &amp; Postage</v>
      </c>
      <c r="F3838" s="191" t="s">
        <v>1775</v>
      </c>
      <c r="G3838" s="130"/>
      <c r="H3838" s="155">
        <v>22000</v>
      </c>
      <c r="I3838" s="10"/>
      <c r="J3838" s="79" t="e">
        <f t="shared" si="245"/>
        <v>#VALUE!</v>
      </c>
      <c r="K3838" s="106"/>
      <c r="L3838" s="141"/>
      <c r="M3838" s="132"/>
      <c r="N3838" s="133"/>
      <c r="O3838" s="4"/>
      <c r="P3838" s="4"/>
      <c r="Q3838" s="4"/>
      <c r="R3838" s="4"/>
      <c r="S3838" s="4"/>
      <c r="T3838" s="4"/>
      <c r="U3838" s="4"/>
      <c r="V3838" s="4"/>
      <c r="W3838" s="4"/>
      <c r="X3838" s="4"/>
    </row>
    <row r="3839" spans="1:24" ht="14.25" customHeight="1">
      <c r="A3839" s="4"/>
      <c r="B3839" s="125">
        <v>46181</v>
      </c>
      <c r="C3839" s="126" t="s">
        <v>1805</v>
      </c>
      <c r="D3839" s="15" t="s">
        <v>1226</v>
      </c>
      <c r="E3839" s="10" t="str">
        <f>TRIM(VLOOKUP(D3839,TB!$B$9:$C$1500,2,FALSE))</f>
        <v>Enggineering Electrical &amp; plumbing Supplies</v>
      </c>
      <c r="F3839" s="142" t="s">
        <v>1814</v>
      </c>
      <c r="G3839" s="130"/>
      <c r="H3839" s="155">
        <v>170267</v>
      </c>
      <c r="I3839" s="10"/>
      <c r="J3839" s="79" t="e">
        <f t="shared" si="245"/>
        <v>#VALUE!</v>
      </c>
      <c r="K3839" s="106"/>
      <c r="L3839" s="141"/>
      <c r="M3839" s="132"/>
      <c r="N3839" s="133"/>
      <c r="O3839" s="4"/>
      <c r="P3839" s="4"/>
      <c r="Q3839" s="4"/>
      <c r="R3839" s="4"/>
      <c r="S3839" s="4"/>
      <c r="T3839" s="4"/>
      <c r="U3839" s="4"/>
      <c r="V3839" s="4"/>
      <c r="W3839" s="4"/>
      <c r="X3839" s="4"/>
    </row>
    <row r="3840" spans="1:24" ht="14.25" customHeight="1">
      <c r="A3840" s="4"/>
      <c r="B3840" s="125">
        <v>46181</v>
      </c>
      <c r="C3840" s="126" t="s">
        <v>1805</v>
      </c>
      <c r="D3840" s="15" t="s">
        <v>1754</v>
      </c>
      <c r="E3840" s="10" t="str">
        <f>TRIM(VLOOKUP(D3840,TB!$B$9:$C$1500,2,FALSE))</f>
        <v>Ice Cube</v>
      </c>
      <c r="F3840" s="191" t="s">
        <v>1815</v>
      </c>
      <c r="G3840" s="130">
        <v>56</v>
      </c>
      <c r="H3840" s="155">
        <v>372000</v>
      </c>
      <c r="I3840" s="10"/>
      <c r="J3840" s="79" t="e">
        <f t="shared" si="245"/>
        <v>#VALUE!</v>
      </c>
      <c r="K3840" s="106">
        <f>H3840/G3840</f>
        <v>6642.8571428571431</v>
      </c>
      <c r="L3840" s="141"/>
      <c r="M3840" s="132"/>
      <c r="N3840" s="133"/>
      <c r="O3840" s="4"/>
      <c r="P3840" s="4"/>
      <c r="Q3840" s="4"/>
      <c r="R3840" s="4"/>
      <c r="S3840" s="4"/>
      <c r="T3840" s="4"/>
      <c r="U3840" s="4"/>
      <c r="V3840" s="4"/>
      <c r="W3840" s="4"/>
      <c r="X3840" s="4"/>
    </row>
    <row r="3841" spans="1:24" ht="14.25" customHeight="1">
      <c r="A3841" s="4"/>
      <c r="B3841" s="125">
        <v>46181</v>
      </c>
      <c r="C3841" s="126" t="s">
        <v>1805</v>
      </c>
      <c r="D3841" s="15" t="s">
        <v>1573</v>
      </c>
      <c r="E3841" s="10" t="str">
        <f>TRIM(VLOOKUP(D3841,TB!$B$9:$C$1500,2,FALSE))</f>
        <v>Cash Advance</v>
      </c>
      <c r="F3841" s="191" t="s">
        <v>1816</v>
      </c>
      <c r="G3841" s="130"/>
      <c r="H3841" s="155">
        <v>200000</v>
      </c>
      <c r="I3841" s="10"/>
      <c r="J3841" s="79" t="e">
        <f t="shared" si="245"/>
        <v>#VALUE!</v>
      </c>
      <c r="K3841" s="106"/>
      <c r="L3841" s="141"/>
      <c r="M3841" s="132"/>
      <c r="N3841" s="133"/>
      <c r="O3841" s="4"/>
      <c r="P3841" s="4"/>
      <c r="Q3841" s="4"/>
      <c r="R3841" s="4"/>
      <c r="S3841" s="4"/>
      <c r="T3841" s="4"/>
      <c r="U3841" s="4"/>
      <c r="V3841" s="4"/>
      <c r="W3841" s="4"/>
      <c r="X3841" s="4"/>
    </row>
    <row r="3842" spans="1:24" ht="14.25" customHeight="1">
      <c r="A3842" s="4"/>
      <c r="B3842" s="125">
        <v>46181</v>
      </c>
      <c r="C3842" s="126" t="s">
        <v>1805</v>
      </c>
      <c r="D3842" s="15" t="s">
        <v>1573</v>
      </c>
      <c r="E3842" s="10" t="str">
        <f>TRIM(VLOOKUP(D3842,TB!$B$9:$C$1500,2,FALSE))</f>
        <v>Cash Advance</v>
      </c>
      <c r="F3842" s="191" t="s">
        <v>1816</v>
      </c>
      <c r="G3842" s="130"/>
      <c r="H3842" s="155">
        <v>10000000</v>
      </c>
      <c r="I3842" s="10"/>
      <c r="J3842" s="79" t="e">
        <f t="shared" si="245"/>
        <v>#VALUE!</v>
      </c>
      <c r="K3842" s="106"/>
      <c r="L3842" s="141"/>
      <c r="M3842" s="132"/>
      <c r="N3842" s="133"/>
      <c r="O3842" s="4"/>
      <c r="P3842" s="4"/>
      <c r="Q3842" s="4"/>
      <c r="R3842" s="4"/>
      <c r="S3842" s="4"/>
      <c r="T3842" s="4"/>
      <c r="U3842" s="4"/>
      <c r="V3842" s="4"/>
      <c r="W3842" s="4"/>
      <c r="X3842" s="4"/>
    </row>
    <row r="3843" spans="1:24" ht="14.25" customHeight="1">
      <c r="A3843" s="4"/>
      <c r="B3843" s="125">
        <v>46181</v>
      </c>
      <c r="C3843" s="126" t="s">
        <v>1805</v>
      </c>
      <c r="D3843" s="15" t="s">
        <v>1778</v>
      </c>
      <c r="E3843" s="10" t="str">
        <f>TRIM(VLOOKUP(D3843,TB!$B$9:$C$1500,2,FALSE))</f>
        <v>Marlboro Light / GOLD</v>
      </c>
      <c r="F3843" s="191" t="s">
        <v>1817</v>
      </c>
      <c r="G3843" s="130">
        <v>10</v>
      </c>
      <c r="H3843" s="155">
        <v>518000</v>
      </c>
      <c r="I3843" s="10"/>
      <c r="J3843" s="79" t="e">
        <f t="shared" si="245"/>
        <v>#VALUE!</v>
      </c>
      <c r="K3843" s="106"/>
      <c r="L3843" s="141"/>
      <c r="M3843" s="132"/>
      <c r="N3843" s="133"/>
      <c r="O3843" s="4"/>
      <c r="P3843" s="4"/>
      <c r="Q3843" s="4"/>
      <c r="R3843" s="4"/>
      <c r="S3843" s="4"/>
      <c r="T3843" s="4"/>
      <c r="U3843" s="4"/>
      <c r="V3843" s="4"/>
      <c r="W3843" s="4"/>
      <c r="X3843" s="4"/>
    </row>
    <row r="3844" spans="1:24" ht="14.25" customHeight="1">
      <c r="A3844" s="4"/>
      <c r="B3844" s="125">
        <v>46181</v>
      </c>
      <c r="C3844" s="126" t="s">
        <v>1805</v>
      </c>
      <c r="D3844" s="15" t="s">
        <v>1776</v>
      </c>
      <c r="E3844" s="10" t="str">
        <f>TRIM(VLOOKUP(D3844,TB!$B$9:$C$1500,2,FALSE))</f>
        <v>Marlboro Merah</v>
      </c>
      <c r="F3844" s="191" t="s">
        <v>1777</v>
      </c>
      <c r="G3844" s="130">
        <v>10</v>
      </c>
      <c r="H3844" s="155">
        <v>518000</v>
      </c>
      <c r="I3844" s="10"/>
      <c r="J3844" s="79" t="e">
        <f t="shared" si="245"/>
        <v>#VALUE!</v>
      </c>
      <c r="K3844" s="106"/>
      <c r="L3844" s="141"/>
      <c r="M3844" s="132"/>
      <c r="N3844" s="133"/>
      <c r="O3844" s="4"/>
      <c r="P3844" s="4"/>
      <c r="Q3844" s="4"/>
      <c r="R3844" s="4"/>
      <c r="S3844" s="4"/>
      <c r="T3844" s="4"/>
      <c r="U3844" s="4"/>
      <c r="V3844" s="4"/>
      <c r="W3844" s="4"/>
      <c r="X3844" s="4"/>
    </row>
    <row r="3845" spans="1:24" ht="14.25" customHeight="1">
      <c r="A3845" s="4"/>
      <c r="B3845" s="125">
        <v>46181</v>
      </c>
      <c r="C3845" s="126" t="s">
        <v>1805</v>
      </c>
      <c r="D3845" s="15" t="s">
        <v>1745</v>
      </c>
      <c r="E3845" s="10" t="str">
        <f>TRIM(VLOOKUP(D3845,TB!$B$9:$C$1500,2,FALSE))</f>
        <v>Petty Cash IDR - on General Cashier</v>
      </c>
      <c r="F3845" s="142" t="s">
        <v>1818</v>
      </c>
      <c r="G3845" s="130"/>
      <c r="H3845" s="10"/>
      <c r="I3845" s="10">
        <v>12132267</v>
      </c>
      <c r="J3845" s="79" t="e">
        <f t="shared" si="245"/>
        <v>#VALUE!</v>
      </c>
      <c r="K3845" s="106"/>
      <c r="L3845" s="141"/>
      <c r="M3845" s="132"/>
      <c r="N3845" s="133"/>
      <c r="O3845" s="4"/>
      <c r="P3845" s="4"/>
      <c r="Q3845" s="4"/>
      <c r="R3845" s="4"/>
      <c r="S3845" s="4"/>
      <c r="T3845" s="4"/>
      <c r="U3845" s="4"/>
      <c r="V3845" s="4"/>
      <c r="W3845" s="4"/>
      <c r="X3845" s="4"/>
    </row>
    <row r="3846" spans="1:24" ht="14.25" customHeight="1">
      <c r="A3846" s="4"/>
      <c r="B3846" s="125"/>
      <c r="C3846" s="126"/>
      <c r="D3846" s="159"/>
      <c r="E3846" s="10" t="e">
        <f>TRIM(VLOOKUP(D3846,TB!$B$9:$C$1500,2,FALSE))</f>
        <v>#N/A</v>
      </c>
      <c r="F3846" s="142"/>
      <c r="G3846" s="130"/>
      <c r="H3846" s="10"/>
      <c r="I3846" s="10"/>
      <c r="J3846" s="79" t="e">
        <f t="shared" si="245"/>
        <v>#VALUE!</v>
      </c>
      <c r="K3846" s="106"/>
      <c r="L3846" s="141"/>
      <c r="M3846" s="132"/>
      <c r="N3846" s="133"/>
      <c r="O3846" s="4"/>
      <c r="P3846" s="4"/>
      <c r="Q3846" s="4"/>
      <c r="R3846" s="4"/>
      <c r="S3846" s="4"/>
      <c r="T3846" s="4"/>
      <c r="U3846" s="4"/>
      <c r="V3846" s="4"/>
      <c r="W3846" s="4"/>
      <c r="X3846" s="4"/>
    </row>
    <row r="3847" spans="1:24" ht="14.25" customHeight="1">
      <c r="A3847" s="4"/>
      <c r="B3847" s="125">
        <v>46181</v>
      </c>
      <c r="C3847" s="126" t="s">
        <v>1819</v>
      </c>
      <c r="D3847" s="15" t="s">
        <v>1745</v>
      </c>
      <c r="E3847" s="10" t="str">
        <f>TRIM(VLOOKUP(D3847,TB!$B$9:$C$1500,2,FALSE))</f>
        <v>Petty Cash IDR - on General Cashier</v>
      </c>
      <c r="F3847" s="191" t="s">
        <v>1820</v>
      </c>
      <c r="G3847" s="130"/>
      <c r="H3847" s="10">
        <v>6757477</v>
      </c>
      <c r="I3847" s="10"/>
      <c r="J3847" s="79" t="e">
        <f t="shared" si="245"/>
        <v>#VALUE!</v>
      </c>
      <c r="K3847" s="106"/>
      <c r="L3847" s="141"/>
      <c r="M3847" s="132"/>
      <c r="N3847" s="133"/>
      <c r="O3847" s="4"/>
      <c r="P3847" s="4"/>
      <c r="Q3847" s="4"/>
      <c r="R3847" s="4"/>
      <c r="S3847" s="4"/>
      <c r="T3847" s="4"/>
      <c r="U3847" s="4"/>
      <c r="V3847" s="4"/>
      <c r="W3847" s="4"/>
      <c r="X3847" s="4"/>
    </row>
    <row r="3848" spans="1:24" ht="14.25" customHeight="1">
      <c r="A3848" s="4"/>
      <c r="B3848" s="125">
        <v>46181</v>
      </c>
      <c r="C3848" s="126" t="s">
        <v>1819</v>
      </c>
      <c r="D3848" s="15" t="s">
        <v>39</v>
      </c>
      <c r="E3848" s="10" t="str">
        <f>TRIM(VLOOKUP(D3848,TB!$B$9:$C$1500,2,FALSE))</f>
        <v>Petty Cash IDR - on Bar Cashier</v>
      </c>
      <c r="F3848" s="191" t="s">
        <v>1820</v>
      </c>
      <c r="G3848" s="130"/>
      <c r="H3848" s="10"/>
      <c r="I3848" s="10">
        <v>6757477</v>
      </c>
      <c r="J3848" s="79" t="e">
        <f t="shared" si="245"/>
        <v>#VALUE!</v>
      </c>
      <c r="K3848" s="106"/>
      <c r="L3848" s="141"/>
      <c r="M3848" s="132"/>
      <c r="N3848" s="133"/>
      <c r="O3848" s="4"/>
      <c r="P3848" s="4"/>
      <c r="Q3848" s="4"/>
      <c r="R3848" s="4"/>
      <c r="S3848" s="4"/>
      <c r="T3848" s="4"/>
      <c r="U3848" s="4"/>
      <c r="V3848" s="4"/>
      <c r="W3848" s="4"/>
      <c r="X3848" s="4"/>
    </row>
    <row r="3849" spans="1:24" ht="14.25" customHeight="1">
      <c r="A3849" s="4"/>
      <c r="B3849" s="125">
        <v>46181</v>
      </c>
      <c r="C3849" s="126" t="s">
        <v>1819</v>
      </c>
      <c r="D3849" s="15" t="s">
        <v>1754</v>
      </c>
      <c r="E3849" s="10" t="str">
        <f>TRIM(VLOOKUP(D3849,TB!$B$9:$C$1500,2,FALSE))</f>
        <v>Ice Cube</v>
      </c>
      <c r="F3849" s="191" t="s">
        <v>1821</v>
      </c>
      <c r="G3849" s="130">
        <v>30</v>
      </c>
      <c r="H3849" s="155">
        <v>180000</v>
      </c>
      <c r="I3849" s="10"/>
      <c r="J3849" s="79" t="e">
        <f t="shared" si="245"/>
        <v>#VALUE!</v>
      </c>
      <c r="K3849" s="106">
        <f>H3849/G3849</f>
        <v>6000</v>
      </c>
      <c r="L3849" s="141"/>
      <c r="M3849" s="132"/>
      <c r="N3849" s="133"/>
      <c r="O3849" s="4"/>
      <c r="P3849" s="4"/>
      <c r="Q3849" s="4"/>
      <c r="R3849" s="4"/>
      <c r="S3849" s="4"/>
      <c r="T3849" s="4"/>
      <c r="U3849" s="4"/>
      <c r="V3849" s="4"/>
      <c r="W3849" s="4"/>
      <c r="X3849" s="4"/>
    </row>
    <row r="3850" spans="1:24" ht="14.25" customHeight="1">
      <c r="A3850" s="4"/>
      <c r="B3850" s="125">
        <v>46181</v>
      </c>
      <c r="C3850" s="126" t="s">
        <v>1819</v>
      </c>
      <c r="D3850" s="15" t="s">
        <v>1208</v>
      </c>
      <c r="E3850" s="10" t="str">
        <f>TRIM(VLOOKUP(D3850,TB!$B$9:$C$1500,2,FALSE))</f>
        <v>Telephone/Interne/Pulsa/Courier &amp; Postage</v>
      </c>
      <c r="F3850" s="191" t="s">
        <v>1775</v>
      </c>
      <c r="G3850" s="130"/>
      <c r="H3850" s="155">
        <v>8000</v>
      </c>
      <c r="I3850" s="10"/>
      <c r="J3850" s="79" t="e">
        <f t="shared" si="245"/>
        <v>#VALUE!</v>
      </c>
      <c r="K3850" s="106"/>
      <c r="L3850" s="141"/>
      <c r="M3850" s="132"/>
      <c r="N3850" s="133"/>
      <c r="O3850" s="4"/>
      <c r="P3850" s="4"/>
      <c r="Q3850" s="4"/>
      <c r="R3850" s="4"/>
      <c r="S3850" s="4"/>
      <c r="T3850" s="4"/>
      <c r="U3850" s="4"/>
      <c r="V3850" s="4"/>
      <c r="W3850" s="4"/>
      <c r="X3850" s="4"/>
    </row>
    <row r="3851" spans="1:24" ht="14.25" customHeight="1">
      <c r="A3851" s="4"/>
      <c r="B3851" s="125">
        <v>46181</v>
      </c>
      <c r="C3851" s="126" t="s">
        <v>1819</v>
      </c>
      <c r="D3851" s="15" t="s">
        <v>1754</v>
      </c>
      <c r="E3851" s="10" t="str">
        <f>TRIM(VLOOKUP(D3851,TB!$B$9:$C$1500,2,FALSE))</f>
        <v>Ice Cube</v>
      </c>
      <c r="F3851" s="191" t="s">
        <v>1822</v>
      </c>
      <c r="G3851" s="130">
        <v>6</v>
      </c>
      <c r="H3851" s="155">
        <v>48000</v>
      </c>
      <c r="I3851" s="10"/>
      <c r="J3851" s="79" t="e">
        <f t="shared" ref="J3851:J4105" si="254">J3850+H3851-I3851</f>
        <v>#VALUE!</v>
      </c>
      <c r="K3851" s="106">
        <f>H3851/G3851</f>
        <v>8000</v>
      </c>
      <c r="L3851" s="141"/>
      <c r="M3851" s="132"/>
      <c r="N3851" s="133"/>
      <c r="O3851" s="4"/>
      <c r="P3851" s="4"/>
      <c r="Q3851" s="4"/>
      <c r="R3851" s="4"/>
      <c r="S3851" s="4"/>
      <c r="T3851" s="4"/>
      <c r="U3851" s="4"/>
      <c r="V3851" s="4"/>
      <c r="W3851" s="4"/>
      <c r="X3851" s="4"/>
    </row>
    <row r="3852" spans="1:24" ht="14.25" customHeight="1">
      <c r="A3852" s="4"/>
      <c r="B3852" s="125">
        <v>46181</v>
      </c>
      <c r="C3852" s="126" t="s">
        <v>1819</v>
      </c>
      <c r="D3852" s="15" t="s">
        <v>1823</v>
      </c>
      <c r="E3852" s="10" t="str">
        <f>TRIM(VLOOKUP(D3852,TB!$B$9:$C$1500,2,FALSE))</f>
        <v>Sampoerna</v>
      </c>
      <c r="F3852" s="191" t="s">
        <v>1824</v>
      </c>
      <c r="G3852" s="130">
        <v>10</v>
      </c>
      <c r="H3852" s="155">
        <v>351000</v>
      </c>
      <c r="I3852" s="10"/>
      <c r="J3852" s="79" t="e">
        <f t="shared" si="254"/>
        <v>#VALUE!</v>
      </c>
      <c r="K3852" s="106"/>
      <c r="L3852" s="141"/>
      <c r="M3852" s="132"/>
      <c r="N3852" s="133"/>
      <c r="O3852" s="4"/>
      <c r="P3852" s="4"/>
      <c r="Q3852" s="4"/>
      <c r="R3852" s="4"/>
      <c r="S3852" s="4"/>
      <c r="T3852" s="4"/>
      <c r="U3852" s="4"/>
      <c r="V3852" s="4"/>
      <c r="W3852" s="4"/>
      <c r="X3852" s="4"/>
    </row>
    <row r="3853" spans="1:24" ht="14.25" customHeight="1">
      <c r="A3853" s="4"/>
      <c r="B3853" s="125">
        <v>46181</v>
      </c>
      <c r="C3853" s="126" t="s">
        <v>1819</v>
      </c>
      <c r="D3853" s="15" t="s">
        <v>1776</v>
      </c>
      <c r="E3853" s="10" t="str">
        <f>TRIM(VLOOKUP(D3853,TB!$B$9:$C$1500,2,FALSE))</f>
        <v>Marlboro Merah</v>
      </c>
      <c r="F3853" s="191" t="s">
        <v>1825</v>
      </c>
      <c r="G3853" s="130">
        <v>10</v>
      </c>
      <c r="H3853" s="155">
        <v>518000</v>
      </c>
      <c r="I3853" s="10"/>
      <c r="J3853" s="79" t="e">
        <f t="shared" si="254"/>
        <v>#VALUE!</v>
      </c>
      <c r="K3853" s="106"/>
      <c r="L3853" s="141"/>
      <c r="M3853" s="132"/>
      <c r="N3853" s="133"/>
      <c r="O3853" s="4"/>
      <c r="P3853" s="4"/>
      <c r="Q3853" s="4"/>
      <c r="R3853" s="4"/>
      <c r="S3853" s="4"/>
      <c r="T3853" s="4"/>
      <c r="U3853" s="4"/>
      <c r="V3853" s="4"/>
      <c r="W3853" s="4"/>
      <c r="X3853" s="4"/>
    </row>
    <row r="3854" spans="1:24" ht="14.25" customHeight="1">
      <c r="A3854" s="4"/>
      <c r="B3854" s="125">
        <v>46181</v>
      </c>
      <c r="C3854" s="126" t="s">
        <v>1819</v>
      </c>
      <c r="D3854" s="15" t="s">
        <v>1778</v>
      </c>
      <c r="E3854" s="10" t="str">
        <f>TRIM(VLOOKUP(D3854,TB!$B$9:$C$1500,2,FALSE))</f>
        <v>Marlboro Light / GOLD</v>
      </c>
      <c r="F3854" s="191" t="s">
        <v>1817</v>
      </c>
      <c r="G3854" s="130">
        <v>10</v>
      </c>
      <c r="H3854" s="155">
        <v>518000</v>
      </c>
      <c r="I3854" s="10"/>
      <c r="J3854" s="79" t="e">
        <f t="shared" si="254"/>
        <v>#VALUE!</v>
      </c>
      <c r="K3854" s="106"/>
      <c r="L3854" s="141"/>
      <c r="M3854" s="132"/>
      <c r="N3854" s="133"/>
      <c r="O3854" s="4"/>
      <c r="P3854" s="4"/>
      <c r="Q3854" s="4"/>
      <c r="R3854" s="4"/>
      <c r="S3854" s="4"/>
      <c r="T3854" s="4"/>
      <c r="U3854" s="4"/>
      <c r="V3854" s="4"/>
      <c r="W3854" s="4"/>
      <c r="X3854" s="4"/>
    </row>
    <row r="3855" spans="1:24" ht="14.25" customHeight="1">
      <c r="A3855" s="4"/>
      <c r="B3855" s="125">
        <v>46181</v>
      </c>
      <c r="C3855" s="126" t="s">
        <v>1819</v>
      </c>
      <c r="D3855" s="15" t="s">
        <v>403</v>
      </c>
      <c r="E3855" s="10" t="str">
        <f>TRIM(VLOOKUP(D3855,TB!$B$9:$C$1500,2,FALSE))</f>
        <v>Security/Police/Banjar Costs</v>
      </c>
      <c r="F3855" s="191" t="s">
        <v>1826</v>
      </c>
      <c r="G3855" s="130"/>
      <c r="H3855" s="177">
        <v>5000000</v>
      </c>
      <c r="I3855" s="10"/>
      <c r="J3855" s="79" t="e">
        <f t="shared" si="254"/>
        <v>#VALUE!</v>
      </c>
      <c r="K3855" s="106"/>
      <c r="L3855" s="141"/>
      <c r="M3855" s="132"/>
      <c r="N3855" s="133"/>
      <c r="O3855" s="4"/>
      <c r="P3855" s="4"/>
      <c r="Q3855" s="4"/>
      <c r="R3855" s="4"/>
      <c r="S3855" s="4"/>
      <c r="T3855" s="4"/>
      <c r="U3855" s="4"/>
      <c r="V3855" s="4"/>
      <c r="W3855" s="4"/>
      <c r="X3855" s="4"/>
    </row>
    <row r="3856" spans="1:24" ht="14.25" customHeight="1">
      <c r="A3856" s="4"/>
      <c r="B3856" s="125">
        <v>46181</v>
      </c>
      <c r="C3856" s="126" t="s">
        <v>1819</v>
      </c>
      <c r="D3856" s="68" t="s">
        <v>158</v>
      </c>
      <c r="E3856" s="10" t="str">
        <f>TRIM(VLOOKUP(D3856,TB!$B$9:$C$1500,2,FALSE))</f>
        <v>Mandiri TBB IDR</v>
      </c>
      <c r="F3856" s="191" t="s">
        <v>1827</v>
      </c>
      <c r="G3856" s="130"/>
      <c r="H3856" s="177">
        <v>5000000</v>
      </c>
      <c r="I3856" s="10"/>
      <c r="J3856" s="79" t="e">
        <f t="shared" si="254"/>
        <v>#VALUE!</v>
      </c>
      <c r="K3856" s="106"/>
      <c r="L3856" s="141"/>
      <c r="M3856" s="132"/>
      <c r="N3856" s="133"/>
      <c r="O3856" s="4"/>
      <c r="P3856" s="4"/>
      <c r="Q3856" s="4"/>
      <c r="R3856" s="4"/>
      <c r="S3856" s="4"/>
      <c r="T3856" s="4"/>
      <c r="U3856" s="4"/>
      <c r="V3856" s="4"/>
      <c r="W3856" s="4"/>
      <c r="X3856" s="4"/>
    </row>
    <row r="3857" spans="1:24" ht="14.25" customHeight="1">
      <c r="A3857" s="4"/>
      <c r="B3857" s="125">
        <v>46181</v>
      </c>
      <c r="C3857" s="126" t="s">
        <v>1819</v>
      </c>
      <c r="D3857" s="68" t="s">
        <v>130</v>
      </c>
      <c r="E3857" s="10" t="str">
        <f>TRIM(VLOOKUP(D3857,TB!$B$9:$C$1500,2,FALSE))</f>
        <v>BCA TBB</v>
      </c>
      <c r="F3857" s="191" t="s">
        <v>1828</v>
      </c>
      <c r="G3857" s="130"/>
      <c r="H3857" s="155">
        <v>33530000</v>
      </c>
      <c r="I3857" s="10"/>
      <c r="J3857" s="79" t="e">
        <f t="shared" si="254"/>
        <v>#VALUE!</v>
      </c>
      <c r="K3857" s="106"/>
      <c r="L3857" s="141"/>
      <c r="M3857" s="132"/>
      <c r="N3857" s="133"/>
      <c r="O3857" s="4"/>
      <c r="P3857" s="4"/>
      <c r="Q3857" s="4"/>
      <c r="R3857" s="4"/>
      <c r="S3857" s="4"/>
      <c r="T3857" s="4"/>
      <c r="U3857" s="4"/>
      <c r="V3857" s="4"/>
      <c r="W3857" s="4"/>
      <c r="X3857" s="4"/>
    </row>
    <row r="3858" spans="1:24" ht="14.25" customHeight="1">
      <c r="A3858" s="4"/>
      <c r="B3858" s="125">
        <v>46181</v>
      </c>
      <c r="C3858" s="126" t="s">
        <v>1819</v>
      </c>
      <c r="D3858" s="15" t="s">
        <v>1745</v>
      </c>
      <c r="E3858" s="10" t="str">
        <f>TRIM(VLOOKUP(D3858,TB!$B$9:$C$1500,2,FALSE))</f>
        <v>Petty Cash IDR - on General Cashier</v>
      </c>
      <c r="F3858" s="142" t="s">
        <v>1829</v>
      </c>
      <c r="G3858" s="130"/>
      <c r="H3858" s="10"/>
      <c r="I3858" s="10">
        <v>45153000</v>
      </c>
      <c r="J3858" s="79" t="e">
        <f t="shared" si="254"/>
        <v>#VALUE!</v>
      </c>
      <c r="K3858" s="106"/>
      <c r="L3858" s="141"/>
      <c r="M3858" s="132"/>
      <c r="N3858" s="133"/>
      <c r="O3858" s="4"/>
      <c r="P3858" s="4"/>
      <c r="Q3858" s="4"/>
      <c r="R3858" s="4"/>
      <c r="S3858" s="4"/>
      <c r="T3858" s="4"/>
      <c r="U3858" s="4"/>
      <c r="V3858" s="4"/>
      <c r="W3858" s="4"/>
      <c r="X3858" s="4"/>
    </row>
    <row r="3859" spans="1:24" ht="14.25" customHeight="1">
      <c r="A3859" s="4"/>
      <c r="B3859" s="125"/>
      <c r="C3859" s="126"/>
      <c r="D3859" s="159"/>
      <c r="E3859" s="10" t="e">
        <f>TRIM(VLOOKUP(D3859,TB!$B$9:$C$1500,2,FALSE))</f>
        <v>#N/A</v>
      </c>
      <c r="F3859" s="142"/>
      <c r="G3859" s="130"/>
      <c r="H3859" s="10"/>
      <c r="I3859" s="10"/>
      <c r="J3859" s="79" t="e">
        <f t="shared" si="254"/>
        <v>#VALUE!</v>
      </c>
      <c r="K3859" s="106"/>
      <c r="L3859" s="141"/>
      <c r="M3859" s="132"/>
      <c r="N3859" s="133"/>
      <c r="O3859" s="4"/>
      <c r="P3859" s="4"/>
      <c r="Q3859" s="4"/>
      <c r="R3859" s="4"/>
      <c r="S3859" s="4"/>
      <c r="T3859" s="4"/>
      <c r="U3859" s="4"/>
      <c r="V3859" s="4"/>
      <c r="W3859" s="4"/>
      <c r="X3859" s="4"/>
    </row>
    <row r="3860" spans="1:24" ht="14.25" customHeight="1">
      <c r="A3860" s="4"/>
      <c r="B3860" s="125">
        <v>46181</v>
      </c>
      <c r="C3860" s="126" t="s">
        <v>1830</v>
      </c>
      <c r="D3860" s="15" t="s">
        <v>403</v>
      </c>
      <c r="E3860" s="10" t="str">
        <f>TRIM(VLOOKUP(D3860,TB!$B$9:$C$1500,2,FALSE))</f>
        <v>Security/Police/Banjar Costs</v>
      </c>
      <c r="F3860" s="194" t="s">
        <v>1831</v>
      </c>
      <c r="G3860" s="193"/>
      <c r="H3860" s="184">
        <v>6000000</v>
      </c>
      <c r="I3860" s="10"/>
      <c r="J3860" s="79" t="e">
        <f t="shared" si="254"/>
        <v>#VALUE!</v>
      </c>
      <c r="K3860" s="106"/>
      <c r="L3860" s="141"/>
      <c r="M3860" s="132"/>
      <c r="N3860" s="133"/>
      <c r="O3860" s="4"/>
      <c r="P3860" s="4"/>
      <c r="Q3860" s="4"/>
      <c r="R3860" s="4"/>
      <c r="S3860" s="4"/>
      <c r="T3860" s="4"/>
      <c r="U3860" s="4"/>
      <c r="V3860" s="4"/>
      <c r="W3860" s="4"/>
      <c r="X3860" s="4"/>
    </row>
    <row r="3861" spans="1:24" ht="14.25" customHeight="1">
      <c r="A3861" s="4"/>
      <c r="B3861" s="125">
        <v>46181</v>
      </c>
      <c r="C3861" s="126" t="s">
        <v>1830</v>
      </c>
      <c r="D3861" s="15" t="s">
        <v>1745</v>
      </c>
      <c r="E3861" s="10" t="str">
        <f>TRIM(VLOOKUP(D3861,TB!$B$9:$C$1500,2,FALSE))</f>
        <v>Petty Cash IDR - on General Cashier</v>
      </c>
      <c r="F3861" s="191" t="s">
        <v>1831</v>
      </c>
      <c r="G3861" s="130"/>
      <c r="H3861" s="10"/>
      <c r="I3861" s="10">
        <v>6000000</v>
      </c>
      <c r="J3861" s="79" t="e">
        <f t="shared" si="254"/>
        <v>#VALUE!</v>
      </c>
      <c r="K3861" s="106"/>
      <c r="L3861" s="141"/>
      <c r="M3861" s="132"/>
      <c r="N3861" s="133"/>
      <c r="O3861" s="4"/>
      <c r="P3861" s="4"/>
      <c r="Q3861" s="4"/>
      <c r="R3861" s="4"/>
      <c r="S3861" s="4"/>
      <c r="T3861" s="4"/>
      <c r="U3861" s="4"/>
      <c r="V3861" s="4"/>
      <c r="W3861" s="4"/>
      <c r="X3861" s="4"/>
    </row>
    <row r="3862" spans="1:24" ht="14.25" customHeight="1">
      <c r="A3862" s="4"/>
      <c r="B3862" s="125"/>
      <c r="C3862" s="126"/>
      <c r="D3862" s="159"/>
      <c r="E3862" s="10" t="e">
        <f>TRIM(VLOOKUP(D3862,TB!$B$9:$C$1500,2,FALSE))</f>
        <v>#N/A</v>
      </c>
      <c r="F3862" s="142"/>
      <c r="G3862" s="130"/>
      <c r="H3862" s="10"/>
      <c r="I3862" s="10"/>
      <c r="J3862" s="79" t="e">
        <f t="shared" si="254"/>
        <v>#VALUE!</v>
      </c>
      <c r="K3862" s="106"/>
      <c r="L3862" s="141"/>
      <c r="M3862" s="132"/>
      <c r="N3862" s="133"/>
      <c r="O3862" s="4"/>
      <c r="P3862" s="4"/>
      <c r="Q3862" s="4"/>
      <c r="R3862" s="4"/>
      <c r="S3862" s="4"/>
      <c r="T3862" s="4"/>
      <c r="U3862" s="4"/>
      <c r="V3862" s="4"/>
      <c r="W3862" s="4"/>
      <c r="X3862" s="4"/>
    </row>
    <row r="3863" spans="1:24" ht="14.25" customHeight="1">
      <c r="A3863" s="4"/>
      <c r="B3863" s="125">
        <v>46185</v>
      </c>
      <c r="C3863" s="126" t="s">
        <v>1832</v>
      </c>
      <c r="D3863" s="15" t="s">
        <v>1745</v>
      </c>
      <c r="E3863" s="10" t="str">
        <f>TRIM(VLOOKUP(D3863,TB!$B$9:$C$1500,2,FALSE))</f>
        <v>Petty Cash IDR - on General Cashier</v>
      </c>
      <c r="F3863" s="191" t="s">
        <v>1833</v>
      </c>
      <c r="G3863" s="130"/>
      <c r="H3863" s="10">
        <v>6333536</v>
      </c>
      <c r="I3863" s="10"/>
      <c r="J3863" s="79" t="e">
        <f t="shared" si="254"/>
        <v>#VALUE!</v>
      </c>
      <c r="K3863" s="106"/>
      <c r="L3863" s="141"/>
      <c r="M3863" s="132"/>
      <c r="N3863" s="133"/>
      <c r="O3863" s="4"/>
      <c r="P3863" s="4"/>
      <c r="Q3863" s="4"/>
      <c r="R3863" s="4"/>
      <c r="S3863" s="4"/>
      <c r="T3863" s="4"/>
      <c r="U3863" s="4"/>
      <c r="V3863" s="4"/>
      <c r="W3863" s="4"/>
      <c r="X3863" s="4"/>
    </row>
    <row r="3864" spans="1:24" ht="14.25" customHeight="1">
      <c r="A3864" s="4"/>
      <c r="B3864" s="125">
        <v>46185</v>
      </c>
      <c r="C3864" s="126" t="s">
        <v>1832</v>
      </c>
      <c r="D3864" s="15" t="s">
        <v>39</v>
      </c>
      <c r="E3864" s="10" t="str">
        <f>TRIM(VLOOKUP(D3864,TB!$B$9:$C$1500,2,FALSE))</f>
        <v>Petty Cash IDR - on Bar Cashier</v>
      </c>
      <c r="F3864" s="191" t="s">
        <v>1833</v>
      </c>
      <c r="G3864" s="130"/>
      <c r="H3864" s="10"/>
      <c r="I3864" s="10">
        <v>6333536</v>
      </c>
      <c r="J3864" s="79" t="e">
        <f t="shared" si="254"/>
        <v>#VALUE!</v>
      </c>
      <c r="K3864" s="106"/>
      <c r="L3864" s="141"/>
      <c r="M3864" s="132"/>
      <c r="N3864" s="133"/>
      <c r="O3864" s="4"/>
      <c r="P3864" s="4"/>
      <c r="Q3864" s="4"/>
      <c r="R3864" s="4"/>
      <c r="S3864" s="4"/>
      <c r="T3864" s="4"/>
      <c r="U3864" s="4"/>
      <c r="V3864" s="4"/>
      <c r="W3864" s="4"/>
      <c r="X3864" s="4"/>
    </row>
    <row r="3865" spans="1:24" ht="14.25" customHeight="1">
      <c r="A3865" s="4"/>
      <c r="B3865" s="125">
        <v>46185</v>
      </c>
      <c r="C3865" s="126" t="s">
        <v>1832</v>
      </c>
      <c r="D3865" s="15" t="s">
        <v>1754</v>
      </c>
      <c r="E3865" s="10" t="str">
        <f>TRIM(VLOOKUP(D3865,TB!$B$9:$C$1500,2,FALSE))</f>
        <v>Ice Cube</v>
      </c>
      <c r="F3865" s="191" t="s">
        <v>1834</v>
      </c>
      <c r="G3865" s="130">
        <v>6</v>
      </c>
      <c r="H3865" s="10">
        <v>48000</v>
      </c>
      <c r="I3865" s="10"/>
      <c r="J3865" s="79" t="e">
        <f t="shared" si="254"/>
        <v>#VALUE!</v>
      </c>
      <c r="K3865" s="106">
        <f>H3865/G3865</f>
        <v>8000</v>
      </c>
      <c r="L3865" s="141"/>
      <c r="M3865" s="132"/>
      <c r="N3865" s="133"/>
      <c r="O3865" s="4"/>
      <c r="P3865" s="4"/>
      <c r="Q3865" s="4"/>
      <c r="R3865" s="4"/>
      <c r="S3865" s="4"/>
      <c r="T3865" s="4"/>
      <c r="U3865" s="4"/>
      <c r="V3865" s="4"/>
      <c r="W3865" s="4"/>
      <c r="X3865" s="4"/>
    </row>
    <row r="3866" spans="1:24" ht="14.25" customHeight="1">
      <c r="A3866" s="4"/>
      <c r="B3866" s="125">
        <v>46185</v>
      </c>
      <c r="C3866" s="126" t="s">
        <v>1832</v>
      </c>
      <c r="D3866" s="15" t="s">
        <v>1797</v>
      </c>
      <c r="E3866" s="10" t="str">
        <f>TRIM(VLOOKUP(D3866,TB!$B$9:$C$1500,2,FALSE))</f>
        <v>Pork Toulouse</v>
      </c>
      <c r="F3866" s="191" t="s">
        <v>1835</v>
      </c>
      <c r="G3866" s="130">
        <v>1.038</v>
      </c>
      <c r="H3866" s="10">
        <v>154662</v>
      </c>
      <c r="I3866" s="10"/>
      <c r="J3866" s="79" t="e">
        <f t="shared" si="254"/>
        <v>#VALUE!</v>
      </c>
      <c r="K3866" s="106"/>
      <c r="L3866" s="141"/>
      <c r="M3866" s="132"/>
      <c r="N3866" s="133"/>
      <c r="O3866" s="4"/>
      <c r="P3866" s="4"/>
      <c r="Q3866" s="4"/>
      <c r="R3866" s="4"/>
      <c r="S3866" s="4"/>
      <c r="T3866" s="4"/>
      <c r="U3866" s="4"/>
      <c r="V3866" s="4"/>
      <c r="W3866" s="4"/>
      <c r="X3866" s="4"/>
    </row>
    <row r="3867" spans="1:24" ht="14.25" customHeight="1">
      <c r="A3867" s="4"/>
      <c r="B3867" s="125">
        <v>46185</v>
      </c>
      <c r="C3867" s="126" t="s">
        <v>1832</v>
      </c>
      <c r="D3867" s="15" t="s">
        <v>1836</v>
      </c>
      <c r="E3867" s="10" t="str">
        <f>TRIM(VLOOKUP(D3867,TB!$B$9:$C$1500,2,FALSE))</f>
        <v>Chicken Toulouse</v>
      </c>
      <c r="F3867" s="191" t="s">
        <v>1837</v>
      </c>
      <c r="G3867" s="130">
        <v>2.4660000000000002</v>
      </c>
      <c r="H3867" s="10">
        <v>308250</v>
      </c>
      <c r="I3867" s="10"/>
      <c r="J3867" s="79" t="e">
        <f t="shared" si="254"/>
        <v>#VALUE!</v>
      </c>
      <c r="K3867" s="106">
        <f>H3867/G3867</f>
        <v>124999.99999999999</v>
      </c>
      <c r="L3867" s="141"/>
      <c r="M3867" s="132"/>
      <c r="N3867" s="133"/>
      <c r="O3867" s="4"/>
      <c r="P3867" s="4"/>
      <c r="Q3867" s="4"/>
      <c r="R3867" s="4"/>
      <c r="S3867" s="4"/>
      <c r="T3867" s="4"/>
      <c r="U3867" s="4"/>
      <c r="V3867" s="4"/>
      <c r="W3867" s="4"/>
      <c r="X3867" s="4"/>
    </row>
    <row r="3868" spans="1:24" ht="14.25" customHeight="1">
      <c r="A3868" s="4"/>
      <c r="B3868" s="125">
        <v>46185</v>
      </c>
      <c r="C3868" s="126" t="s">
        <v>1832</v>
      </c>
      <c r="D3868" s="15" t="s">
        <v>1745</v>
      </c>
      <c r="E3868" s="10" t="str">
        <f>TRIM(VLOOKUP(D3868,TB!$B$9:$C$1500,2,FALSE))</f>
        <v>Petty Cash IDR - on General Cashier</v>
      </c>
      <c r="F3868" s="142" t="s">
        <v>1838</v>
      </c>
      <c r="G3868" s="130"/>
      <c r="H3868" s="10"/>
      <c r="I3868" s="10">
        <v>510912</v>
      </c>
      <c r="J3868" s="79" t="e">
        <f t="shared" si="254"/>
        <v>#VALUE!</v>
      </c>
      <c r="K3868" s="106"/>
      <c r="L3868" s="141"/>
      <c r="M3868" s="132"/>
      <c r="N3868" s="133"/>
      <c r="O3868" s="4"/>
      <c r="P3868" s="4"/>
      <c r="Q3868" s="4"/>
      <c r="R3868" s="4"/>
      <c r="S3868" s="4"/>
      <c r="T3868" s="4"/>
      <c r="U3868" s="4"/>
      <c r="V3868" s="4"/>
      <c r="W3868" s="4"/>
      <c r="X3868" s="4"/>
    </row>
    <row r="3869" spans="1:24" ht="14.25" customHeight="1">
      <c r="A3869" s="4"/>
      <c r="B3869" s="125"/>
      <c r="C3869" s="126"/>
      <c r="D3869" s="159"/>
      <c r="E3869" s="10" t="e">
        <f>TRIM(VLOOKUP(D3869,TB!$B$9:$C$1500,2,FALSE))</f>
        <v>#N/A</v>
      </c>
      <c r="F3869" s="142"/>
      <c r="G3869" s="130"/>
      <c r="H3869" s="10"/>
      <c r="I3869" s="10"/>
      <c r="J3869" s="79" t="e">
        <f t="shared" si="254"/>
        <v>#VALUE!</v>
      </c>
      <c r="K3869" s="106"/>
      <c r="L3869" s="141"/>
      <c r="M3869" s="132"/>
      <c r="N3869" s="133"/>
      <c r="O3869" s="4"/>
      <c r="P3869" s="4"/>
      <c r="Q3869" s="4"/>
      <c r="R3869" s="4"/>
      <c r="S3869" s="4"/>
      <c r="T3869" s="4"/>
      <c r="U3869" s="4"/>
      <c r="V3869" s="4"/>
      <c r="W3869" s="4"/>
      <c r="X3869" s="4"/>
    </row>
    <row r="3870" spans="1:24" ht="14.25" customHeight="1">
      <c r="A3870" s="4"/>
      <c r="B3870" s="125">
        <v>46185</v>
      </c>
      <c r="C3870" s="126" t="s">
        <v>1839</v>
      </c>
      <c r="D3870" s="15" t="s">
        <v>1745</v>
      </c>
      <c r="E3870" s="10" t="str">
        <f>TRIM(VLOOKUP(D3870,TB!$B$9:$C$1500,2,FALSE))</f>
        <v>Petty Cash IDR - on General Cashier</v>
      </c>
      <c r="F3870" s="191" t="s">
        <v>1840</v>
      </c>
      <c r="G3870" s="130"/>
      <c r="H3870" s="10">
        <v>6916461</v>
      </c>
      <c r="I3870" s="10"/>
      <c r="J3870" s="79" t="e">
        <f t="shared" si="254"/>
        <v>#VALUE!</v>
      </c>
      <c r="K3870" s="106"/>
      <c r="L3870" s="141"/>
      <c r="M3870" s="132"/>
      <c r="N3870" s="133"/>
      <c r="O3870" s="4"/>
      <c r="P3870" s="4"/>
      <c r="Q3870" s="4"/>
      <c r="R3870" s="4"/>
      <c r="S3870" s="4"/>
      <c r="T3870" s="4"/>
      <c r="U3870" s="4"/>
      <c r="V3870" s="4"/>
      <c r="W3870" s="4"/>
      <c r="X3870" s="4"/>
    </row>
    <row r="3871" spans="1:24" ht="14.25" customHeight="1">
      <c r="A3871" s="4"/>
      <c r="B3871" s="125">
        <v>46185</v>
      </c>
      <c r="C3871" s="126" t="s">
        <v>1839</v>
      </c>
      <c r="D3871" s="15" t="s">
        <v>39</v>
      </c>
      <c r="E3871" s="10" t="str">
        <f>TRIM(VLOOKUP(D3871,TB!$B$9:$C$1500,2,FALSE))</f>
        <v>Petty Cash IDR - on Bar Cashier</v>
      </c>
      <c r="F3871" s="191" t="s">
        <v>1840</v>
      </c>
      <c r="G3871" s="130"/>
      <c r="H3871" s="10"/>
      <c r="I3871" s="10">
        <v>6916461</v>
      </c>
      <c r="J3871" s="79" t="e">
        <f t="shared" si="254"/>
        <v>#VALUE!</v>
      </c>
      <c r="K3871" s="106"/>
      <c r="L3871" s="141"/>
      <c r="M3871" s="132"/>
      <c r="N3871" s="133"/>
      <c r="O3871" s="4"/>
      <c r="P3871" s="4"/>
      <c r="Q3871" s="4"/>
      <c r="R3871" s="4"/>
      <c r="S3871" s="4"/>
      <c r="T3871" s="4"/>
      <c r="U3871" s="4"/>
      <c r="V3871" s="4"/>
      <c r="W3871" s="4"/>
      <c r="X3871" s="4"/>
    </row>
    <row r="3872" spans="1:24" ht="14.25" customHeight="1">
      <c r="A3872" s="4"/>
      <c r="B3872" s="125">
        <v>46185</v>
      </c>
      <c r="C3872" s="126" t="s">
        <v>1839</v>
      </c>
      <c r="D3872" s="15" t="s">
        <v>1226</v>
      </c>
      <c r="E3872" s="10" t="str">
        <f>TRIM(VLOOKUP(D3872,TB!$B$9:$C$1500,2,FALSE))</f>
        <v>Enggineering Electrical &amp; plumbing Supplies</v>
      </c>
      <c r="F3872" s="191" t="s">
        <v>1756</v>
      </c>
      <c r="G3872" s="130"/>
      <c r="H3872" s="170">
        <v>65000</v>
      </c>
      <c r="I3872" s="10"/>
      <c r="J3872" s="79" t="e">
        <f t="shared" si="254"/>
        <v>#VALUE!</v>
      </c>
      <c r="K3872" s="106"/>
      <c r="L3872" s="141"/>
      <c r="M3872" s="132"/>
      <c r="N3872" s="133"/>
      <c r="O3872" s="4"/>
      <c r="P3872" s="4"/>
      <c r="Q3872" s="4"/>
      <c r="R3872" s="4"/>
      <c r="S3872" s="4"/>
      <c r="T3872" s="4"/>
      <c r="U3872" s="4"/>
      <c r="V3872" s="4"/>
      <c r="W3872" s="4"/>
      <c r="X3872" s="4"/>
    </row>
    <row r="3873" spans="1:24" ht="14.25" customHeight="1">
      <c r="A3873" s="4"/>
      <c r="B3873" s="125">
        <v>46185</v>
      </c>
      <c r="C3873" s="126" t="s">
        <v>1839</v>
      </c>
      <c r="D3873" s="15" t="s">
        <v>1208</v>
      </c>
      <c r="E3873" s="10" t="str">
        <f>TRIM(VLOOKUP(D3873,TB!$B$9:$C$1500,2,FALSE))</f>
        <v>Telephone/Interne/Pulsa/Courier &amp; Postage</v>
      </c>
      <c r="F3873" s="191" t="s">
        <v>1775</v>
      </c>
      <c r="G3873" s="130"/>
      <c r="H3873" s="170">
        <v>27000</v>
      </c>
      <c r="I3873" s="10"/>
      <c r="J3873" s="79" t="e">
        <f t="shared" si="254"/>
        <v>#VALUE!</v>
      </c>
      <c r="K3873" s="106"/>
      <c r="L3873" s="141"/>
      <c r="M3873" s="132"/>
      <c r="N3873" s="133"/>
      <c r="O3873" s="4"/>
      <c r="P3873" s="4"/>
      <c r="Q3873" s="4"/>
      <c r="R3873" s="4"/>
      <c r="S3873" s="4"/>
      <c r="T3873" s="4"/>
      <c r="U3873" s="4"/>
      <c r="V3873" s="4"/>
      <c r="W3873" s="4"/>
      <c r="X3873" s="4"/>
    </row>
    <row r="3874" spans="1:24" ht="14.25" customHeight="1">
      <c r="A3874" s="4"/>
      <c r="B3874" s="125">
        <v>46185</v>
      </c>
      <c r="C3874" s="126" t="s">
        <v>1839</v>
      </c>
      <c r="D3874" s="15" t="s">
        <v>1208</v>
      </c>
      <c r="E3874" s="10" t="str">
        <f>TRIM(VLOOKUP(D3874,TB!$B$9:$C$1500,2,FALSE))</f>
        <v>Telephone/Interne/Pulsa/Courier &amp; Postage</v>
      </c>
      <c r="F3874" s="191" t="s">
        <v>1775</v>
      </c>
      <c r="G3874" s="130"/>
      <c r="H3874" s="10">
        <v>24000</v>
      </c>
      <c r="I3874" s="10"/>
      <c r="J3874" s="79" t="e">
        <f t="shared" si="254"/>
        <v>#VALUE!</v>
      </c>
      <c r="K3874" s="106"/>
      <c r="L3874" s="141"/>
      <c r="M3874" s="132"/>
      <c r="N3874" s="133"/>
      <c r="O3874" s="4"/>
      <c r="P3874" s="4"/>
      <c r="Q3874" s="4"/>
      <c r="R3874" s="4"/>
      <c r="S3874" s="4"/>
      <c r="T3874" s="4"/>
      <c r="U3874" s="4"/>
      <c r="V3874" s="4"/>
      <c r="W3874" s="4"/>
      <c r="X3874" s="4"/>
    </row>
    <row r="3875" spans="1:24" ht="14.25" customHeight="1">
      <c r="A3875" s="4"/>
      <c r="B3875" s="125">
        <v>46185</v>
      </c>
      <c r="C3875" s="126" t="s">
        <v>1839</v>
      </c>
      <c r="D3875" s="15" t="s">
        <v>1754</v>
      </c>
      <c r="E3875" s="10" t="str">
        <f>TRIM(VLOOKUP(D3875,TB!$B$9:$C$1500,2,FALSE))</f>
        <v>Ice Cube</v>
      </c>
      <c r="F3875" s="191" t="s">
        <v>1841</v>
      </c>
      <c r="G3875" s="130">
        <f>25</f>
        <v>25</v>
      </c>
      <c r="H3875" s="170">
        <v>150000</v>
      </c>
      <c r="I3875" s="10"/>
      <c r="J3875" s="79" t="e">
        <f t="shared" si="254"/>
        <v>#VALUE!</v>
      </c>
      <c r="K3875" s="106">
        <f t="shared" ref="K3875:K3876" si="255">H3875/G3875</f>
        <v>6000</v>
      </c>
      <c r="L3875" s="141"/>
      <c r="M3875" s="132"/>
      <c r="N3875" s="133"/>
      <c r="O3875" s="4"/>
      <c r="P3875" s="4"/>
      <c r="Q3875" s="4"/>
      <c r="R3875" s="4"/>
      <c r="S3875" s="4"/>
      <c r="T3875" s="4"/>
      <c r="U3875" s="4"/>
      <c r="V3875" s="4"/>
      <c r="W3875" s="4"/>
      <c r="X3875" s="4"/>
    </row>
    <row r="3876" spans="1:24" ht="14.25" customHeight="1">
      <c r="A3876" s="4"/>
      <c r="B3876" s="125">
        <v>46185</v>
      </c>
      <c r="C3876" s="126" t="s">
        <v>1839</v>
      </c>
      <c r="D3876" s="15" t="s">
        <v>1765</v>
      </c>
      <c r="E3876" s="10" t="str">
        <f>TRIM(VLOOKUP(D3876,TB!$B$9:$C$1500,2,FALSE))</f>
        <v>Great Chilli / Lombok Besar</v>
      </c>
      <c r="F3876" s="191" t="s">
        <v>1842</v>
      </c>
      <c r="G3876" s="130">
        <v>0.25</v>
      </c>
      <c r="H3876" s="10">
        <v>10000</v>
      </c>
      <c r="I3876" s="10"/>
      <c r="J3876" s="79" t="e">
        <f t="shared" si="254"/>
        <v>#VALUE!</v>
      </c>
      <c r="K3876" s="106">
        <f t="shared" si="255"/>
        <v>40000</v>
      </c>
      <c r="L3876" s="141"/>
      <c r="M3876" s="132"/>
      <c r="N3876" s="133"/>
      <c r="O3876" s="4"/>
      <c r="P3876" s="4"/>
      <c r="Q3876" s="4"/>
      <c r="R3876" s="4"/>
      <c r="S3876" s="4"/>
      <c r="T3876" s="4"/>
      <c r="U3876" s="4"/>
      <c r="V3876" s="4"/>
      <c r="W3876" s="4"/>
      <c r="X3876" s="4"/>
    </row>
    <row r="3877" spans="1:24" ht="14.25" customHeight="1">
      <c r="A3877" s="4"/>
      <c r="B3877" s="125">
        <v>46185</v>
      </c>
      <c r="C3877" s="126" t="s">
        <v>1839</v>
      </c>
      <c r="D3877" s="195" t="s">
        <v>1843</v>
      </c>
      <c r="E3877" s="10" t="str">
        <f>TRIM(VLOOKUP(D3877,TB!$B$9:$C$1500,2,FALSE))</f>
        <v>Orange Slice Cheese</v>
      </c>
      <c r="F3877" s="191" t="s">
        <v>1844</v>
      </c>
      <c r="G3877" s="130">
        <v>28</v>
      </c>
      <c r="H3877" s="10">
        <v>50000</v>
      </c>
      <c r="I3877" s="10"/>
      <c r="J3877" s="79" t="e">
        <f t="shared" si="254"/>
        <v>#VALUE!</v>
      </c>
      <c r="K3877" s="106"/>
      <c r="L3877" s="141"/>
      <c r="M3877" s="132"/>
      <c r="N3877" s="133"/>
      <c r="O3877" s="4"/>
      <c r="P3877" s="4"/>
      <c r="Q3877" s="4"/>
      <c r="R3877" s="4"/>
      <c r="S3877" s="4"/>
      <c r="T3877" s="4"/>
      <c r="U3877" s="4"/>
      <c r="V3877" s="4"/>
      <c r="W3877" s="4"/>
      <c r="X3877" s="4"/>
    </row>
    <row r="3878" spans="1:24" ht="14.25" customHeight="1">
      <c r="A3878" s="4"/>
      <c r="B3878" s="125">
        <v>46185</v>
      </c>
      <c r="C3878" s="126" t="s">
        <v>1839</v>
      </c>
      <c r="D3878" s="15" t="s">
        <v>1745</v>
      </c>
      <c r="E3878" s="10" t="str">
        <f>TRIM(VLOOKUP(D3878,TB!$B$9:$C$1500,2,FALSE))</f>
        <v>Petty Cash IDR - on General Cashier</v>
      </c>
      <c r="F3878" s="142" t="s">
        <v>1845</v>
      </c>
      <c r="G3878" s="130"/>
      <c r="H3878" s="10"/>
      <c r="I3878" s="10">
        <v>326000</v>
      </c>
      <c r="J3878" s="79" t="e">
        <f t="shared" si="254"/>
        <v>#VALUE!</v>
      </c>
      <c r="K3878" s="106"/>
      <c r="L3878" s="141"/>
      <c r="M3878" s="132"/>
      <c r="N3878" s="133"/>
      <c r="O3878" s="4"/>
      <c r="P3878" s="4"/>
      <c r="Q3878" s="4"/>
      <c r="R3878" s="4"/>
      <c r="S3878" s="4"/>
      <c r="T3878" s="4"/>
      <c r="U3878" s="4"/>
      <c r="V3878" s="4"/>
      <c r="W3878" s="4"/>
      <c r="X3878" s="4"/>
    </row>
    <row r="3879" spans="1:24" ht="14.25" customHeight="1">
      <c r="A3879" s="4"/>
      <c r="B3879" s="125"/>
      <c r="C3879" s="126"/>
      <c r="D3879" s="159"/>
      <c r="E3879" s="10" t="e">
        <f>TRIM(VLOOKUP(D3879,TB!$B$9:$C$1500,2,FALSE))</f>
        <v>#N/A</v>
      </c>
      <c r="F3879" s="142"/>
      <c r="G3879" s="130"/>
      <c r="H3879" s="10"/>
      <c r="I3879" s="10"/>
      <c r="J3879" s="79" t="e">
        <f t="shared" si="254"/>
        <v>#VALUE!</v>
      </c>
      <c r="K3879" s="106"/>
      <c r="L3879" s="141"/>
      <c r="M3879" s="132"/>
      <c r="N3879" s="133"/>
      <c r="O3879" s="4"/>
      <c r="P3879" s="4"/>
      <c r="Q3879" s="4"/>
      <c r="R3879" s="4"/>
      <c r="S3879" s="4"/>
      <c r="T3879" s="4"/>
      <c r="U3879" s="4"/>
      <c r="V3879" s="4"/>
      <c r="W3879" s="4"/>
      <c r="X3879" s="4"/>
    </row>
    <row r="3880" spans="1:24" ht="14.25" customHeight="1">
      <c r="A3880" s="4"/>
      <c r="B3880" s="125">
        <v>46185</v>
      </c>
      <c r="C3880" s="126" t="s">
        <v>1846</v>
      </c>
      <c r="D3880" s="15" t="s">
        <v>1745</v>
      </c>
      <c r="E3880" s="10" t="str">
        <f>TRIM(VLOOKUP(D3880,TB!$B$9:$C$1500,2,FALSE))</f>
        <v>Petty Cash IDR - on General Cashier</v>
      </c>
      <c r="F3880" s="191" t="s">
        <v>1847</v>
      </c>
      <c r="G3880" s="130"/>
      <c r="H3880" s="10">
        <v>8519803</v>
      </c>
      <c r="I3880" s="10"/>
      <c r="J3880" s="79" t="e">
        <f t="shared" si="254"/>
        <v>#VALUE!</v>
      </c>
      <c r="K3880" s="106"/>
      <c r="L3880" s="141"/>
      <c r="M3880" s="132"/>
      <c r="N3880" s="133"/>
      <c r="O3880" s="4"/>
      <c r="P3880" s="4"/>
      <c r="Q3880" s="4"/>
      <c r="R3880" s="4"/>
      <c r="S3880" s="4"/>
      <c r="T3880" s="4"/>
      <c r="U3880" s="4"/>
      <c r="V3880" s="4"/>
      <c r="W3880" s="4"/>
      <c r="X3880" s="4"/>
    </row>
    <row r="3881" spans="1:24" ht="14.25" customHeight="1">
      <c r="A3881" s="4"/>
      <c r="B3881" s="125">
        <v>46185</v>
      </c>
      <c r="C3881" s="126" t="s">
        <v>1846</v>
      </c>
      <c r="D3881" s="15" t="s">
        <v>39</v>
      </c>
      <c r="E3881" s="10" t="str">
        <f>TRIM(VLOOKUP(D3881,TB!$B$9:$C$1500,2,FALSE))</f>
        <v>Petty Cash IDR - on Bar Cashier</v>
      </c>
      <c r="F3881" s="191" t="s">
        <v>1847</v>
      </c>
      <c r="G3881" s="130"/>
      <c r="H3881" s="10"/>
      <c r="I3881" s="10">
        <v>8519803</v>
      </c>
      <c r="J3881" s="79" t="e">
        <f t="shared" si="254"/>
        <v>#VALUE!</v>
      </c>
      <c r="K3881" s="106"/>
      <c r="L3881" s="141"/>
      <c r="M3881" s="132"/>
      <c r="N3881" s="133"/>
      <c r="O3881" s="4"/>
      <c r="P3881" s="4"/>
      <c r="Q3881" s="4"/>
      <c r="R3881" s="4"/>
      <c r="S3881" s="4"/>
      <c r="T3881" s="4"/>
      <c r="U3881" s="4"/>
      <c r="V3881" s="4"/>
      <c r="W3881" s="4"/>
      <c r="X3881" s="4"/>
    </row>
    <row r="3882" spans="1:24" ht="14.25" customHeight="1">
      <c r="A3882" s="4"/>
      <c r="B3882" s="125">
        <v>46185</v>
      </c>
      <c r="C3882" s="126" t="s">
        <v>1846</v>
      </c>
      <c r="D3882" s="15" t="s">
        <v>1770</v>
      </c>
      <c r="E3882" s="10" t="str">
        <f>TRIM(VLOOKUP(D3882,TB!$B$9:$C$1500,2,FALSE))</f>
        <v>Ceremony Expenses</v>
      </c>
      <c r="F3882" s="191" t="s">
        <v>1771</v>
      </c>
      <c r="G3882" s="130"/>
      <c r="H3882" s="10">
        <v>328000</v>
      </c>
      <c r="I3882" s="10"/>
      <c r="J3882" s="79" t="e">
        <f t="shared" si="254"/>
        <v>#VALUE!</v>
      </c>
      <c r="K3882" s="106"/>
      <c r="L3882" s="141"/>
      <c r="M3882" s="132"/>
      <c r="N3882" s="133"/>
      <c r="O3882" s="4"/>
      <c r="P3882" s="4"/>
      <c r="Q3882" s="4"/>
      <c r="R3882" s="4"/>
      <c r="S3882" s="4"/>
      <c r="T3882" s="4"/>
      <c r="U3882" s="4"/>
      <c r="V3882" s="4"/>
      <c r="W3882" s="4"/>
      <c r="X3882" s="4"/>
    </row>
    <row r="3883" spans="1:24" ht="14.25" customHeight="1">
      <c r="A3883" s="4"/>
      <c r="B3883" s="125">
        <v>46185</v>
      </c>
      <c r="C3883" s="126" t="s">
        <v>1846</v>
      </c>
      <c r="D3883" s="15" t="s">
        <v>1794</v>
      </c>
      <c r="E3883" s="10" t="str">
        <f>TRIM(VLOOKUP(D3883,TB!$B$9:$C$1500,2,FALSE))</f>
        <v>Garlic/Bawang Putih</v>
      </c>
      <c r="F3883" s="191" t="s">
        <v>1848</v>
      </c>
      <c r="G3883" s="130">
        <v>0.183</v>
      </c>
      <c r="H3883" s="10">
        <v>10000</v>
      </c>
      <c r="I3883" s="10"/>
      <c r="J3883" s="79" t="e">
        <f t="shared" si="254"/>
        <v>#VALUE!</v>
      </c>
      <c r="K3883" s="106">
        <f>H3883/G3883</f>
        <v>54644.8087431694</v>
      </c>
      <c r="L3883" s="141"/>
      <c r="M3883" s="132"/>
      <c r="N3883" s="133"/>
      <c r="O3883" s="4"/>
      <c r="P3883" s="4"/>
      <c r="Q3883" s="4"/>
      <c r="R3883" s="4"/>
      <c r="S3883" s="4"/>
      <c r="T3883" s="4"/>
      <c r="U3883" s="4"/>
      <c r="V3883" s="4"/>
      <c r="W3883" s="4"/>
      <c r="X3883" s="4"/>
    </row>
    <row r="3884" spans="1:24" ht="14.25" customHeight="1">
      <c r="A3884" s="4"/>
      <c r="B3884" s="125">
        <v>46185</v>
      </c>
      <c r="C3884" s="126" t="s">
        <v>1846</v>
      </c>
      <c r="D3884" s="15" t="s">
        <v>1155</v>
      </c>
      <c r="E3884" s="10" t="str">
        <f>TRIM(VLOOKUP(D3884,TB!$B$9:$C$1500,2,FALSE))</f>
        <v>Kitchen Supplies</v>
      </c>
      <c r="F3884" s="191" t="s">
        <v>1849</v>
      </c>
      <c r="G3884" s="130">
        <v>2</v>
      </c>
      <c r="H3884" s="10">
        <v>30000</v>
      </c>
      <c r="I3884" s="10"/>
      <c r="J3884" s="79" t="e">
        <f t="shared" si="254"/>
        <v>#VALUE!</v>
      </c>
      <c r="K3884" s="106"/>
      <c r="L3884" s="141"/>
      <c r="M3884" s="132"/>
      <c r="N3884" s="133"/>
      <c r="O3884" s="4"/>
      <c r="P3884" s="4"/>
      <c r="Q3884" s="4"/>
      <c r="R3884" s="4"/>
      <c r="S3884" s="4"/>
      <c r="T3884" s="4"/>
      <c r="U3884" s="4"/>
      <c r="V3884" s="4"/>
      <c r="W3884" s="4"/>
      <c r="X3884" s="4"/>
    </row>
    <row r="3885" spans="1:24" ht="14.25" customHeight="1">
      <c r="A3885" s="4"/>
      <c r="B3885" s="125">
        <v>46185</v>
      </c>
      <c r="C3885" s="126" t="s">
        <v>1846</v>
      </c>
      <c r="D3885" s="15" t="s">
        <v>1208</v>
      </c>
      <c r="E3885" s="10" t="str">
        <f>TRIM(VLOOKUP(D3885,TB!$B$9:$C$1500,2,FALSE))</f>
        <v>Telephone/Interne/Pulsa/Courier &amp; Postage</v>
      </c>
      <c r="F3885" s="191" t="s">
        <v>1775</v>
      </c>
      <c r="G3885" s="130"/>
      <c r="H3885" s="10">
        <v>20000</v>
      </c>
      <c r="I3885" s="10"/>
      <c r="J3885" s="79" t="e">
        <f t="shared" si="254"/>
        <v>#VALUE!</v>
      </c>
      <c r="K3885" s="106"/>
      <c r="L3885" s="141"/>
      <c r="M3885" s="132"/>
      <c r="N3885" s="133"/>
      <c r="O3885" s="4"/>
      <c r="P3885" s="4"/>
      <c r="Q3885" s="4"/>
      <c r="R3885" s="4"/>
      <c r="S3885" s="4"/>
      <c r="T3885" s="4"/>
      <c r="U3885" s="4"/>
      <c r="V3885" s="4"/>
      <c r="W3885" s="4"/>
      <c r="X3885" s="4"/>
    </row>
    <row r="3886" spans="1:24" ht="14.25" customHeight="1">
      <c r="A3886" s="4"/>
      <c r="B3886" s="125">
        <v>46185</v>
      </c>
      <c r="C3886" s="126" t="s">
        <v>1846</v>
      </c>
      <c r="D3886" s="15" t="s">
        <v>1770</v>
      </c>
      <c r="E3886" s="10" t="str">
        <f>TRIM(VLOOKUP(D3886,TB!$B$9:$C$1500,2,FALSE))</f>
        <v>Ceremony Expenses</v>
      </c>
      <c r="F3886" s="191" t="s">
        <v>1771</v>
      </c>
      <c r="G3886" s="130"/>
      <c r="H3886" s="10">
        <v>282000</v>
      </c>
      <c r="I3886" s="10"/>
      <c r="J3886" s="79" t="e">
        <f t="shared" si="254"/>
        <v>#VALUE!</v>
      </c>
      <c r="K3886" s="106"/>
      <c r="L3886" s="141"/>
      <c r="M3886" s="132"/>
      <c r="N3886" s="133"/>
      <c r="O3886" s="4"/>
      <c r="P3886" s="4"/>
      <c r="Q3886" s="4"/>
      <c r="R3886" s="4"/>
      <c r="S3886" s="4"/>
      <c r="T3886" s="4"/>
      <c r="U3886" s="4"/>
      <c r="V3886" s="4"/>
      <c r="W3886" s="4"/>
      <c r="X3886" s="4"/>
    </row>
    <row r="3887" spans="1:24" ht="14.25" customHeight="1">
      <c r="A3887" s="4"/>
      <c r="B3887" s="125">
        <v>46185</v>
      </c>
      <c r="C3887" s="126" t="s">
        <v>1846</v>
      </c>
      <c r="D3887" s="15" t="s">
        <v>659</v>
      </c>
      <c r="E3887" s="10" t="str">
        <f>TRIM(VLOOKUP(D3887,TB!$B$9:$C$1500,2,FALSE))</f>
        <v>COS - Entertainment</v>
      </c>
      <c r="F3887" s="191" t="s">
        <v>1850</v>
      </c>
      <c r="G3887" s="130"/>
      <c r="H3887" s="10">
        <v>3000000</v>
      </c>
      <c r="I3887" s="10"/>
      <c r="J3887" s="79" t="e">
        <f t="shared" si="254"/>
        <v>#VALUE!</v>
      </c>
      <c r="K3887" s="106"/>
      <c r="L3887" s="141"/>
      <c r="M3887" s="132"/>
      <c r="N3887" s="133"/>
      <c r="O3887" s="4"/>
      <c r="P3887" s="4"/>
      <c r="Q3887" s="4"/>
      <c r="R3887" s="4"/>
      <c r="S3887" s="4"/>
      <c r="T3887" s="4"/>
      <c r="U3887" s="4"/>
      <c r="V3887" s="4"/>
      <c r="W3887" s="4"/>
      <c r="X3887" s="4"/>
    </row>
    <row r="3888" spans="1:24" ht="14.25" customHeight="1">
      <c r="A3888" s="4"/>
      <c r="B3888" s="125">
        <v>46185</v>
      </c>
      <c r="C3888" s="126" t="s">
        <v>1846</v>
      </c>
      <c r="D3888" s="15" t="s">
        <v>1754</v>
      </c>
      <c r="E3888" s="10" t="str">
        <f>TRIM(VLOOKUP(D3888,TB!$B$9:$C$1500,2,FALSE))</f>
        <v>Ice Cube</v>
      </c>
      <c r="F3888" s="191" t="s">
        <v>1851</v>
      </c>
      <c r="G3888" s="130">
        <v>25</v>
      </c>
      <c r="H3888" s="10">
        <v>150000</v>
      </c>
      <c r="I3888" s="10"/>
      <c r="J3888" s="79" t="e">
        <f t="shared" si="254"/>
        <v>#VALUE!</v>
      </c>
      <c r="K3888" s="106">
        <f>H3888/G3888</f>
        <v>6000</v>
      </c>
      <c r="L3888" s="141"/>
      <c r="M3888" s="132"/>
      <c r="N3888" s="133"/>
      <c r="O3888" s="4"/>
      <c r="P3888" s="4"/>
      <c r="Q3888" s="4"/>
      <c r="R3888" s="4"/>
      <c r="S3888" s="4"/>
      <c r="T3888" s="4"/>
      <c r="U3888" s="4"/>
      <c r="V3888" s="4"/>
      <c r="W3888" s="4"/>
      <c r="X3888" s="4"/>
    </row>
    <row r="3889" spans="1:24" ht="14.25" customHeight="1">
      <c r="A3889" s="4"/>
      <c r="B3889" s="125">
        <v>46185</v>
      </c>
      <c r="C3889" s="126" t="s">
        <v>1846</v>
      </c>
      <c r="D3889" s="15" t="s">
        <v>1155</v>
      </c>
      <c r="E3889" s="10" t="str">
        <f>TRIM(VLOOKUP(D3889,TB!$B$9:$C$1500,2,FALSE))</f>
        <v>Kitchen Supplies</v>
      </c>
      <c r="F3889" s="191" t="s">
        <v>1782</v>
      </c>
      <c r="G3889" s="130">
        <f>7*0.2</f>
        <v>1.4000000000000001</v>
      </c>
      <c r="H3889" s="10">
        <v>45500</v>
      </c>
      <c r="I3889" s="10"/>
      <c r="J3889" s="79" t="e">
        <f t="shared" si="254"/>
        <v>#VALUE!</v>
      </c>
      <c r="K3889" s="106"/>
      <c r="L3889" s="141"/>
      <c r="M3889" s="132"/>
      <c r="N3889" s="133"/>
      <c r="O3889" s="4"/>
      <c r="P3889" s="4"/>
      <c r="Q3889" s="4"/>
      <c r="R3889" s="4"/>
      <c r="S3889" s="4"/>
      <c r="T3889" s="4"/>
      <c r="U3889" s="4"/>
      <c r="V3889" s="4"/>
      <c r="W3889" s="4"/>
      <c r="X3889" s="4"/>
    </row>
    <row r="3890" spans="1:24" ht="14.25" customHeight="1">
      <c r="A3890" s="4"/>
      <c r="B3890" s="125">
        <v>46185</v>
      </c>
      <c r="C3890" s="126" t="s">
        <v>1846</v>
      </c>
      <c r="D3890" s="15" t="s">
        <v>1754</v>
      </c>
      <c r="E3890" s="10" t="str">
        <f>TRIM(VLOOKUP(D3890,TB!$B$9:$C$1500,2,FALSE))</f>
        <v>Ice Cube</v>
      </c>
      <c r="F3890" s="191" t="s">
        <v>1852</v>
      </c>
      <c r="G3890" s="130">
        <v>7</v>
      </c>
      <c r="H3890" s="10">
        <v>56000</v>
      </c>
      <c r="I3890" s="10"/>
      <c r="J3890" s="79" t="e">
        <f t="shared" si="254"/>
        <v>#VALUE!</v>
      </c>
      <c r="K3890" s="106">
        <f>H3890/G3890</f>
        <v>8000</v>
      </c>
      <c r="L3890" s="141"/>
      <c r="M3890" s="132"/>
      <c r="N3890" s="133"/>
      <c r="O3890" s="4"/>
      <c r="P3890" s="4"/>
      <c r="Q3890" s="4"/>
      <c r="R3890" s="4"/>
      <c r="S3890" s="4"/>
      <c r="T3890" s="4"/>
      <c r="U3890" s="4"/>
      <c r="V3890" s="4"/>
      <c r="W3890" s="4"/>
      <c r="X3890" s="4"/>
    </row>
    <row r="3891" spans="1:24" ht="14.25" customHeight="1">
      <c r="A3891" s="4"/>
      <c r="B3891" s="125">
        <v>46185</v>
      </c>
      <c r="C3891" s="126" t="s">
        <v>1846</v>
      </c>
      <c r="D3891" s="15" t="s">
        <v>1853</v>
      </c>
      <c r="E3891" s="10" t="str">
        <f>TRIM(VLOOKUP(D3891,TB!$B$9:$C$1500,2,FALSE))</f>
        <v>Tomato Ketchup</v>
      </c>
      <c r="F3891" s="191" t="s">
        <v>1854</v>
      </c>
      <c r="G3891" s="130">
        <f>2*5.7</f>
        <v>11.4</v>
      </c>
      <c r="H3891" s="155">
        <v>185397</v>
      </c>
      <c r="I3891" s="10"/>
      <c r="J3891" s="79" t="e">
        <f t="shared" si="254"/>
        <v>#VALUE!</v>
      </c>
      <c r="K3891" s="106">
        <f t="shared" ref="K3891:K3892" si="256">H3891*11%</f>
        <v>20393.670000000002</v>
      </c>
      <c r="L3891" s="141">
        <f t="shared" ref="L3891:L3892" si="257">H3891+K3891</f>
        <v>205790.67</v>
      </c>
      <c r="M3891" s="132"/>
      <c r="N3891" s="133"/>
      <c r="O3891" s="4"/>
      <c r="P3891" s="4"/>
      <c r="Q3891" s="4"/>
      <c r="R3891" s="4"/>
      <c r="S3891" s="4"/>
      <c r="T3891" s="4"/>
      <c r="U3891" s="4"/>
      <c r="V3891" s="4"/>
      <c r="W3891" s="4"/>
      <c r="X3891" s="4"/>
    </row>
    <row r="3892" spans="1:24" ht="14.25" customHeight="1">
      <c r="A3892" s="4"/>
      <c r="B3892" s="125">
        <v>46185</v>
      </c>
      <c r="C3892" s="126" t="s">
        <v>1846</v>
      </c>
      <c r="D3892" s="15" t="s">
        <v>1855</v>
      </c>
      <c r="E3892" s="10" t="str">
        <f>TRIM(VLOOKUP(D3892,TB!$B$9:$C$1500,2,FALSE))</f>
        <v>Sambal Kethcup</v>
      </c>
      <c r="F3892" s="191" t="s">
        <v>1856</v>
      </c>
      <c r="G3892" s="130">
        <f>2*5.5</f>
        <v>11</v>
      </c>
      <c r="H3892" s="155">
        <v>225100</v>
      </c>
      <c r="I3892" s="10"/>
      <c r="J3892" s="79" t="e">
        <f t="shared" si="254"/>
        <v>#VALUE!</v>
      </c>
      <c r="K3892" s="106">
        <f t="shared" si="256"/>
        <v>24761</v>
      </c>
      <c r="L3892" s="141">
        <f t="shared" si="257"/>
        <v>249861</v>
      </c>
      <c r="M3892" s="132"/>
      <c r="N3892" s="133"/>
      <c r="O3892" s="4"/>
      <c r="P3892" s="4"/>
      <c r="Q3892" s="4"/>
      <c r="R3892" s="4"/>
      <c r="S3892" s="4"/>
      <c r="T3892" s="4"/>
      <c r="U3892" s="4"/>
      <c r="V3892" s="4"/>
      <c r="W3892" s="4"/>
      <c r="X3892" s="4"/>
    </row>
    <row r="3893" spans="1:24" ht="14.25" customHeight="1">
      <c r="A3893" s="4"/>
      <c r="B3893" s="125">
        <v>46185</v>
      </c>
      <c r="C3893" s="126" t="s">
        <v>1846</v>
      </c>
      <c r="D3893" s="15" t="s">
        <v>1787</v>
      </c>
      <c r="E3893" s="10" t="str">
        <f>TRIM(VLOOKUP(D3893,TB!$B$9:$C$1500,2,FALSE))</f>
        <v>Milk Fresh</v>
      </c>
      <c r="F3893" s="191" t="s">
        <v>1857</v>
      </c>
      <c r="G3893" s="130">
        <v>1</v>
      </c>
      <c r="H3893" s="10">
        <v>23900</v>
      </c>
      <c r="I3893" s="10"/>
      <c r="J3893" s="79" t="e">
        <f t="shared" si="254"/>
        <v>#VALUE!</v>
      </c>
      <c r="K3893" s="106">
        <f>H3893/G3893</f>
        <v>23900</v>
      </c>
      <c r="L3893" s="141"/>
      <c r="M3893" s="132"/>
      <c r="N3893" s="133"/>
      <c r="O3893" s="4"/>
      <c r="P3893" s="4"/>
      <c r="Q3893" s="4"/>
      <c r="R3893" s="4"/>
      <c r="S3893" s="4"/>
      <c r="T3893" s="4"/>
      <c r="U3893" s="4"/>
      <c r="V3893" s="4"/>
      <c r="W3893" s="4"/>
      <c r="X3893" s="4"/>
    </row>
    <row r="3894" spans="1:24" ht="14.25" customHeight="1">
      <c r="A3894" s="4"/>
      <c r="B3894" s="125">
        <v>46185</v>
      </c>
      <c r="C3894" s="126" t="s">
        <v>1846</v>
      </c>
      <c r="D3894" s="15" t="s">
        <v>1745</v>
      </c>
      <c r="E3894" s="10" t="str">
        <f>TRIM(VLOOKUP(D3894,TB!$B$9:$C$1500,2,FALSE))</f>
        <v>Petty Cash IDR - on General Cashier</v>
      </c>
      <c r="F3894" s="142" t="s">
        <v>1858</v>
      </c>
      <c r="G3894" s="130"/>
      <c r="H3894" s="10"/>
      <c r="I3894" s="10">
        <v>4355897</v>
      </c>
      <c r="J3894" s="79" t="e">
        <f t="shared" si="254"/>
        <v>#VALUE!</v>
      </c>
      <c r="K3894" s="106"/>
      <c r="L3894" s="141"/>
      <c r="M3894" s="132"/>
      <c r="N3894" s="133"/>
      <c r="O3894" s="4"/>
      <c r="P3894" s="4"/>
      <c r="Q3894" s="4"/>
      <c r="R3894" s="4"/>
      <c r="S3894" s="4"/>
      <c r="T3894" s="4"/>
      <c r="U3894" s="4"/>
      <c r="V3894" s="4"/>
      <c r="W3894" s="4"/>
      <c r="X3894" s="4"/>
    </row>
    <row r="3895" spans="1:24" ht="14.25" customHeight="1">
      <c r="A3895" s="4"/>
      <c r="B3895" s="125"/>
      <c r="C3895" s="126"/>
      <c r="D3895" s="159"/>
      <c r="E3895" s="10" t="e">
        <f>TRIM(VLOOKUP(D3895,TB!$B$9:$C$1500,2,FALSE))</f>
        <v>#N/A</v>
      </c>
      <c r="F3895" s="142"/>
      <c r="G3895" s="130"/>
      <c r="H3895" s="10"/>
      <c r="I3895" s="10"/>
      <c r="J3895" s="79" t="e">
        <f t="shared" si="254"/>
        <v>#VALUE!</v>
      </c>
      <c r="K3895" s="106"/>
      <c r="L3895" s="141"/>
      <c r="M3895" s="132"/>
      <c r="N3895" s="133"/>
      <c r="O3895" s="4"/>
      <c r="P3895" s="4"/>
      <c r="Q3895" s="4"/>
      <c r="R3895" s="4"/>
      <c r="S3895" s="4"/>
      <c r="T3895" s="4"/>
      <c r="U3895" s="4"/>
      <c r="V3895" s="4"/>
      <c r="W3895" s="4"/>
      <c r="X3895" s="4"/>
    </row>
    <row r="3896" spans="1:24" ht="14.25" customHeight="1">
      <c r="A3896" s="4"/>
      <c r="B3896" s="125">
        <v>46185</v>
      </c>
      <c r="C3896" s="126" t="s">
        <v>1859</v>
      </c>
      <c r="D3896" s="15" t="s">
        <v>1745</v>
      </c>
      <c r="E3896" s="10" t="str">
        <f>TRIM(VLOOKUP(D3896,TB!$B$9:$C$1500,2,FALSE))</f>
        <v>Petty Cash IDR - on General Cashier</v>
      </c>
      <c r="F3896" s="191" t="s">
        <v>1860</v>
      </c>
      <c r="G3896" s="130"/>
      <c r="H3896" s="10">
        <v>7521790</v>
      </c>
      <c r="I3896" s="10"/>
      <c r="J3896" s="79" t="e">
        <f t="shared" si="254"/>
        <v>#VALUE!</v>
      </c>
      <c r="K3896" s="106"/>
      <c r="L3896" s="141"/>
      <c r="M3896" s="132"/>
      <c r="N3896" s="133"/>
      <c r="O3896" s="4"/>
      <c r="P3896" s="4"/>
      <c r="Q3896" s="4"/>
      <c r="R3896" s="4"/>
      <c r="S3896" s="4"/>
      <c r="T3896" s="4"/>
      <c r="U3896" s="4"/>
      <c r="V3896" s="4"/>
      <c r="W3896" s="4"/>
      <c r="X3896" s="4"/>
    </row>
    <row r="3897" spans="1:24" ht="14.25" customHeight="1">
      <c r="A3897" s="4"/>
      <c r="B3897" s="125">
        <v>46185</v>
      </c>
      <c r="C3897" s="126" t="s">
        <v>1859</v>
      </c>
      <c r="D3897" s="15" t="s">
        <v>39</v>
      </c>
      <c r="E3897" s="10" t="str">
        <f>TRIM(VLOOKUP(D3897,TB!$B$9:$C$1500,2,FALSE))</f>
        <v>Petty Cash IDR - on Bar Cashier</v>
      </c>
      <c r="F3897" s="191" t="s">
        <v>1860</v>
      </c>
      <c r="G3897" s="130"/>
      <c r="H3897" s="10"/>
      <c r="I3897" s="10">
        <v>7521790</v>
      </c>
      <c r="J3897" s="79" t="e">
        <f t="shared" si="254"/>
        <v>#VALUE!</v>
      </c>
      <c r="K3897" s="106"/>
      <c r="L3897" s="141"/>
      <c r="M3897" s="132"/>
      <c r="N3897" s="133"/>
      <c r="O3897" s="4"/>
      <c r="P3897" s="4"/>
      <c r="Q3897" s="4"/>
      <c r="R3897" s="4"/>
      <c r="S3897" s="4"/>
      <c r="T3897" s="4"/>
      <c r="U3897" s="4"/>
      <c r="V3897" s="4"/>
      <c r="W3897" s="4"/>
      <c r="X3897" s="4"/>
    </row>
    <row r="3898" spans="1:24" ht="14.25" customHeight="1">
      <c r="A3898" s="4"/>
      <c r="B3898" s="125">
        <v>46185</v>
      </c>
      <c r="C3898" s="126" t="s">
        <v>1859</v>
      </c>
      <c r="D3898" s="15" t="s">
        <v>1754</v>
      </c>
      <c r="E3898" s="10" t="str">
        <f>TRIM(VLOOKUP(D3898,TB!$B$9:$C$1500,2,FALSE))</f>
        <v>Ice Cube</v>
      </c>
      <c r="F3898" s="191" t="s">
        <v>1861</v>
      </c>
      <c r="G3898" s="130">
        <v>6</v>
      </c>
      <c r="H3898" s="10">
        <v>48000</v>
      </c>
      <c r="I3898" s="10"/>
      <c r="J3898" s="79" t="e">
        <f t="shared" si="254"/>
        <v>#VALUE!</v>
      </c>
      <c r="K3898" s="106">
        <f>H3898/G3898</f>
        <v>8000</v>
      </c>
      <c r="L3898" s="141"/>
      <c r="M3898" s="132"/>
      <c r="N3898" s="133"/>
      <c r="O3898" s="4"/>
      <c r="P3898" s="4"/>
      <c r="Q3898" s="4"/>
      <c r="R3898" s="4"/>
      <c r="S3898" s="4"/>
      <c r="T3898" s="4"/>
      <c r="U3898" s="4"/>
      <c r="V3898" s="4"/>
      <c r="W3898" s="4"/>
      <c r="X3898" s="4"/>
    </row>
    <row r="3899" spans="1:24" ht="14.25" customHeight="1">
      <c r="A3899" s="4"/>
      <c r="B3899" s="125">
        <v>46185</v>
      </c>
      <c r="C3899" s="126" t="s">
        <v>1859</v>
      </c>
      <c r="D3899" s="15" t="s">
        <v>1608</v>
      </c>
      <c r="E3899" s="10" t="str">
        <f>TRIM(VLOOKUP(D3899,TB!$B$9:$C$1500,2,FALSE))</f>
        <v>Property Repair &amp; Maintenance</v>
      </c>
      <c r="F3899" s="191" t="s">
        <v>1862</v>
      </c>
      <c r="G3899" s="130"/>
      <c r="H3899" s="10">
        <v>130000</v>
      </c>
      <c r="I3899" s="10"/>
      <c r="J3899" s="79" t="e">
        <f t="shared" si="254"/>
        <v>#VALUE!</v>
      </c>
      <c r="K3899" s="106"/>
      <c r="L3899" s="141"/>
      <c r="M3899" s="132"/>
      <c r="N3899" s="133"/>
      <c r="O3899" s="4"/>
      <c r="P3899" s="4"/>
      <c r="Q3899" s="4"/>
      <c r="R3899" s="4"/>
      <c r="S3899" s="4"/>
      <c r="T3899" s="4"/>
      <c r="U3899" s="4"/>
      <c r="V3899" s="4"/>
      <c r="W3899" s="4"/>
      <c r="X3899" s="4"/>
    </row>
    <row r="3900" spans="1:24" ht="14.25" customHeight="1">
      <c r="A3900" s="4"/>
      <c r="B3900" s="125">
        <v>46185</v>
      </c>
      <c r="C3900" s="126" t="s">
        <v>1859</v>
      </c>
      <c r="D3900" s="15" t="s">
        <v>1208</v>
      </c>
      <c r="E3900" s="10" t="str">
        <f>TRIM(VLOOKUP(D3900,TB!$B$9:$C$1500,2,FALSE))</f>
        <v>Telephone/Interne/Pulsa/Courier &amp; Postage</v>
      </c>
      <c r="F3900" s="191" t="s">
        <v>1775</v>
      </c>
      <c r="G3900" s="130"/>
      <c r="H3900" s="10">
        <v>25000</v>
      </c>
      <c r="I3900" s="10"/>
      <c r="J3900" s="79" t="e">
        <f t="shared" si="254"/>
        <v>#VALUE!</v>
      </c>
      <c r="K3900" s="106"/>
      <c r="L3900" s="141"/>
      <c r="M3900" s="132"/>
      <c r="N3900" s="133"/>
      <c r="O3900" s="4"/>
      <c r="P3900" s="4"/>
      <c r="Q3900" s="4"/>
      <c r="R3900" s="4"/>
      <c r="S3900" s="4"/>
      <c r="T3900" s="4"/>
      <c r="U3900" s="4"/>
      <c r="V3900" s="4"/>
      <c r="W3900" s="4"/>
      <c r="X3900" s="4"/>
    </row>
    <row r="3901" spans="1:24" ht="14.25" customHeight="1">
      <c r="A3901" s="4"/>
      <c r="B3901" s="125">
        <v>46185</v>
      </c>
      <c r="C3901" s="126" t="s">
        <v>1859</v>
      </c>
      <c r="D3901" s="15" t="s">
        <v>1208</v>
      </c>
      <c r="E3901" s="10" t="str">
        <f>TRIM(VLOOKUP(D3901,TB!$B$9:$C$1500,2,FALSE))</f>
        <v>Telephone/Interne/Pulsa/Courier &amp; Postage</v>
      </c>
      <c r="F3901" s="191" t="s">
        <v>1775</v>
      </c>
      <c r="G3901" s="130"/>
      <c r="H3901" s="10">
        <v>22000</v>
      </c>
      <c r="I3901" s="10"/>
      <c r="J3901" s="79" t="e">
        <f t="shared" si="254"/>
        <v>#VALUE!</v>
      </c>
      <c r="K3901" s="106"/>
      <c r="L3901" s="141"/>
      <c r="M3901" s="132"/>
      <c r="N3901" s="133"/>
      <c r="O3901" s="4"/>
      <c r="P3901" s="4"/>
      <c r="Q3901" s="4"/>
      <c r="R3901" s="4"/>
      <c r="S3901" s="4"/>
      <c r="T3901" s="4"/>
      <c r="U3901" s="4"/>
      <c r="V3901" s="4"/>
      <c r="W3901" s="4"/>
      <c r="X3901" s="4"/>
    </row>
    <row r="3902" spans="1:24" ht="14.25" customHeight="1">
      <c r="A3902" s="4"/>
      <c r="B3902" s="125">
        <v>46185</v>
      </c>
      <c r="C3902" s="126" t="s">
        <v>1859</v>
      </c>
      <c r="D3902" s="15" t="s">
        <v>1863</v>
      </c>
      <c r="E3902" s="10" t="str">
        <f>TRIM(VLOOKUP(D3902,TB!$B$9:$C$1500,2,FALSE))</f>
        <v>Marlboro Ice Blast</v>
      </c>
      <c r="F3902" s="191" t="s">
        <v>1864</v>
      </c>
      <c r="G3902" s="130">
        <v>10</v>
      </c>
      <c r="H3902" s="10">
        <v>518000</v>
      </c>
      <c r="I3902" s="10"/>
      <c r="J3902" s="79" t="e">
        <f t="shared" si="254"/>
        <v>#VALUE!</v>
      </c>
      <c r="K3902" s="106"/>
      <c r="L3902" s="141"/>
      <c r="M3902" s="132"/>
      <c r="N3902" s="133"/>
      <c r="O3902" s="4"/>
      <c r="P3902" s="4"/>
      <c r="Q3902" s="4"/>
      <c r="R3902" s="4"/>
      <c r="S3902" s="4"/>
      <c r="T3902" s="4"/>
      <c r="U3902" s="4"/>
      <c r="V3902" s="4"/>
      <c r="W3902" s="4"/>
      <c r="X3902" s="4"/>
    </row>
    <row r="3903" spans="1:24" ht="14.25" customHeight="1">
      <c r="A3903" s="4"/>
      <c r="B3903" s="125">
        <v>46185</v>
      </c>
      <c r="C3903" s="126" t="s">
        <v>1859</v>
      </c>
      <c r="D3903" s="15" t="s">
        <v>1778</v>
      </c>
      <c r="E3903" s="10" t="str">
        <f>TRIM(VLOOKUP(D3903,TB!$B$9:$C$1500,2,FALSE))</f>
        <v>Marlboro Light / GOLD</v>
      </c>
      <c r="F3903" s="191" t="s">
        <v>1779</v>
      </c>
      <c r="G3903" s="130">
        <v>10</v>
      </c>
      <c r="H3903" s="10">
        <v>518000</v>
      </c>
      <c r="I3903" s="10"/>
      <c r="J3903" s="79" t="e">
        <f t="shared" si="254"/>
        <v>#VALUE!</v>
      </c>
      <c r="K3903" s="106"/>
      <c r="L3903" s="141"/>
      <c r="M3903" s="132"/>
      <c r="N3903" s="133"/>
      <c r="O3903" s="4"/>
      <c r="P3903" s="4"/>
      <c r="Q3903" s="4"/>
      <c r="R3903" s="4"/>
      <c r="S3903" s="4"/>
      <c r="T3903" s="4"/>
      <c r="U3903" s="4"/>
      <c r="V3903" s="4"/>
      <c r="W3903" s="4"/>
      <c r="X3903" s="4"/>
    </row>
    <row r="3904" spans="1:24" ht="14.25" customHeight="1">
      <c r="A3904" s="4"/>
      <c r="B3904" s="125">
        <v>46185</v>
      </c>
      <c r="C3904" s="126" t="s">
        <v>1859</v>
      </c>
      <c r="D3904" s="15" t="s">
        <v>1776</v>
      </c>
      <c r="E3904" s="10" t="str">
        <f>TRIM(VLOOKUP(D3904,TB!$B$9:$C$1500,2,FALSE))</f>
        <v>Marlboro Merah</v>
      </c>
      <c r="F3904" s="191" t="s">
        <v>1777</v>
      </c>
      <c r="G3904" s="130">
        <v>10</v>
      </c>
      <c r="H3904" s="10">
        <v>518000</v>
      </c>
      <c r="I3904" s="10"/>
      <c r="J3904" s="79" t="e">
        <f t="shared" si="254"/>
        <v>#VALUE!</v>
      </c>
      <c r="K3904" s="106"/>
      <c r="L3904" s="141"/>
      <c r="M3904" s="132"/>
      <c r="N3904" s="133"/>
      <c r="O3904" s="4"/>
      <c r="P3904" s="4"/>
      <c r="Q3904" s="4"/>
      <c r="R3904" s="4"/>
      <c r="S3904" s="4"/>
      <c r="T3904" s="4"/>
      <c r="U3904" s="4"/>
      <c r="V3904" s="4"/>
      <c r="W3904" s="4"/>
      <c r="X3904" s="4"/>
    </row>
    <row r="3905" spans="1:24" ht="14.25" customHeight="1">
      <c r="A3905" s="4"/>
      <c r="B3905" s="125">
        <v>46185</v>
      </c>
      <c r="C3905" s="126" t="s">
        <v>1859</v>
      </c>
      <c r="D3905" s="15" t="s">
        <v>1823</v>
      </c>
      <c r="E3905" s="10" t="str">
        <f>TRIM(VLOOKUP(D3905,TB!$B$9:$C$1500,2,FALSE))</f>
        <v>Sampoerna</v>
      </c>
      <c r="F3905" s="191" t="s">
        <v>1865</v>
      </c>
      <c r="G3905" s="130">
        <v>10</v>
      </c>
      <c r="H3905" s="10">
        <v>355000</v>
      </c>
      <c r="I3905" s="10"/>
      <c r="J3905" s="79" t="e">
        <f t="shared" si="254"/>
        <v>#VALUE!</v>
      </c>
      <c r="K3905" s="106"/>
      <c r="L3905" s="141"/>
      <c r="M3905" s="132"/>
      <c r="N3905" s="133"/>
      <c r="O3905" s="4"/>
      <c r="P3905" s="4"/>
      <c r="Q3905" s="4"/>
      <c r="R3905" s="4"/>
      <c r="S3905" s="4"/>
      <c r="T3905" s="4"/>
      <c r="U3905" s="4"/>
      <c r="V3905" s="4"/>
      <c r="W3905" s="4"/>
      <c r="X3905" s="4"/>
    </row>
    <row r="3906" spans="1:24" ht="14.25" customHeight="1">
      <c r="A3906" s="4"/>
      <c r="B3906" s="125">
        <v>46185</v>
      </c>
      <c r="C3906" s="126" t="s">
        <v>1859</v>
      </c>
      <c r="D3906" s="15" t="s">
        <v>1770</v>
      </c>
      <c r="E3906" s="10" t="str">
        <f>TRIM(VLOOKUP(D3906,TB!$B$9:$C$1500,2,FALSE))</f>
        <v>Ceremony Expenses</v>
      </c>
      <c r="F3906" s="191" t="s">
        <v>1866</v>
      </c>
      <c r="G3906" s="130"/>
      <c r="H3906" s="10">
        <v>368500</v>
      </c>
      <c r="I3906" s="10"/>
      <c r="J3906" s="79" t="e">
        <f t="shared" si="254"/>
        <v>#VALUE!</v>
      </c>
      <c r="K3906" s="106"/>
      <c r="L3906" s="141"/>
      <c r="M3906" s="132"/>
      <c r="N3906" s="133"/>
      <c r="O3906" s="4"/>
      <c r="P3906" s="4"/>
      <c r="Q3906" s="4"/>
      <c r="R3906" s="4"/>
      <c r="S3906" s="4"/>
      <c r="T3906" s="4"/>
      <c r="U3906" s="4"/>
      <c r="V3906" s="4"/>
      <c r="W3906" s="4"/>
      <c r="X3906" s="4"/>
    </row>
    <row r="3907" spans="1:24" ht="14.25" customHeight="1">
      <c r="A3907" s="4"/>
      <c r="B3907" s="125">
        <v>46185</v>
      </c>
      <c r="C3907" s="126" t="s">
        <v>1859</v>
      </c>
      <c r="D3907" s="15" t="s">
        <v>1867</v>
      </c>
      <c r="E3907" s="10" t="str">
        <f>TRIM(VLOOKUP(D3907,TB!$B$9:$C$1500,2,FALSE))</f>
        <v>Parsley</v>
      </c>
      <c r="F3907" s="191" t="s">
        <v>1868</v>
      </c>
      <c r="G3907" s="130">
        <v>0.2</v>
      </c>
      <c r="H3907" s="10">
        <v>20000</v>
      </c>
      <c r="I3907" s="10"/>
      <c r="J3907" s="79" t="e">
        <f t="shared" si="254"/>
        <v>#VALUE!</v>
      </c>
      <c r="K3907" s="106">
        <f t="shared" ref="K3907:K3908" si="258">H3907/G3907</f>
        <v>100000</v>
      </c>
      <c r="L3907" s="141"/>
      <c r="M3907" s="132"/>
      <c r="N3907" s="133"/>
      <c r="O3907" s="4"/>
      <c r="P3907" s="4"/>
      <c r="Q3907" s="4"/>
      <c r="R3907" s="4"/>
      <c r="S3907" s="4"/>
      <c r="T3907" s="4"/>
      <c r="U3907" s="4"/>
      <c r="V3907" s="4"/>
      <c r="W3907" s="4"/>
      <c r="X3907" s="4"/>
    </row>
    <row r="3908" spans="1:24" ht="14.25" customHeight="1">
      <c r="A3908" s="4"/>
      <c r="B3908" s="125">
        <v>46185</v>
      </c>
      <c r="C3908" s="126" t="s">
        <v>1859</v>
      </c>
      <c r="D3908" s="15" t="s">
        <v>1869</v>
      </c>
      <c r="E3908" s="10" t="str">
        <f>TRIM(VLOOKUP(D3908,TB!$B$9:$C$1500,2,FALSE))</f>
        <v>Tempe</v>
      </c>
      <c r="F3908" s="191" t="s">
        <v>1870</v>
      </c>
      <c r="G3908" s="130">
        <v>3</v>
      </c>
      <c r="H3908" s="10">
        <v>8000</v>
      </c>
      <c r="I3908" s="10"/>
      <c r="J3908" s="79" t="e">
        <f t="shared" si="254"/>
        <v>#VALUE!</v>
      </c>
      <c r="K3908" s="106">
        <f t="shared" si="258"/>
        <v>2666.6666666666665</v>
      </c>
      <c r="L3908" s="141"/>
      <c r="M3908" s="132"/>
      <c r="N3908" s="133"/>
      <c r="O3908" s="4"/>
      <c r="P3908" s="4"/>
      <c r="Q3908" s="4"/>
      <c r="R3908" s="4"/>
      <c r="S3908" s="4"/>
      <c r="T3908" s="4"/>
      <c r="U3908" s="4"/>
      <c r="V3908" s="4"/>
      <c r="W3908" s="4"/>
      <c r="X3908" s="4"/>
    </row>
    <row r="3909" spans="1:24" ht="14.25" customHeight="1">
      <c r="A3909" s="4"/>
      <c r="B3909" s="125">
        <v>46185</v>
      </c>
      <c r="C3909" s="126" t="s">
        <v>1859</v>
      </c>
      <c r="D3909" s="15" t="s">
        <v>933</v>
      </c>
      <c r="E3909" s="10" t="str">
        <f>TRIM(VLOOKUP(D3909,TB!$B$9:$C$1500,2,FALSE))</f>
        <v>Other</v>
      </c>
      <c r="F3909" s="191" t="s">
        <v>1871</v>
      </c>
      <c r="G3909" s="130"/>
      <c r="H3909" s="10">
        <v>21800</v>
      </c>
      <c r="I3909" s="10"/>
      <c r="J3909" s="79" t="e">
        <f t="shared" si="254"/>
        <v>#VALUE!</v>
      </c>
      <c r="K3909" s="106"/>
      <c r="L3909" s="141"/>
      <c r="M3909" s="132"/>
      <c r="N3909" s="133"/>
      <c r="O3909" s="4"/>
      <c r="P3909" s="4"/>
      <c r="Q3909" s="4"/>
      <c r="R3909" s="4"/>
      <c r="S3909" s="4"/>
      <c r="T3909" s="4"/>
      <c r="U3909" s="4"/>
      <c r="V3909" s="4"/>
      <c r="W3909" s="4"/>
      <c r="X3909" s="4"/>
    </row>
    <row r="3910" spans="1:24" ht="14.25" customHeight="1">
      <c r="A3910" s="4"/>
      <c r="B3910" s="125">
        <v>46185</v>
      </c>
      <c r="C3910" s="126" t="s">
        <v>1859</v>
      </c>
      <c r="D3910" s="15" t="s">
        <v>1155</v>
      </c>
      <c r="E3910" s="10" t="str">
        <f>TRIM(VLOOKUP(D3910,TB!$B$9:$C$1500,2,FALSE))</f>
        <v>Kitchen Supplies</v>
      </c>
      <c r="F3910" s="191" t="s">
        <v>1782</v>
      </c>
      <c r="G3910" s="130">
        <f>4*0.2</f>
        <v>0.8</v>
      </c>
      <c r="H3910" s="10">
        <v>71200</v>
      </c>
      <c r="I3910" s="10"/>
      <c r="J3910" s="79" t="e">
        <f t="shared" si="254"/>
        <v>#VALUE!</v>
      </c>
      <c r="K3910" s="106"/>
      <c r="L3910" s="141"/>
      <c r="M3910" s="132"/>
      <c r="N3910" s="133"/>
      <c r="O3910" s="4"/>
      <c r="P3910" s="4"/>
      <c r="Q3910" s="4"/>
      <c r="R3910" s="4"/>
      <c r="S3910" s="4"/>
      <c r="T3910" s="4"/>
      <c r="U3910" s="4"/>
      <c r="V3910" s="4"/>
      <c r="W3910" s="4"/>
      <c r="X3910" s="4"/>
    </row>
    <row r="3911" spans="1:24" ht="14.25" customHeight="1">
      <c r="A3911" s="4"/>
      <c r="B3911" s="125">
        <v>46185</v>
      </c>
      <c r="C3911" s="126" t="s">
        <v>1859</v>
      </c>
      <c r="D3911" s="15" t="s">
        <v>1745</v>
      </c>
      <c r="E3911" s="10" t="str">
        <f>TRIM(VLOOKUP(D3911,TB!$B$9:$C$1500,2,FALSE))</f>
        <v>Petty Cash IDR - on General Cashier</v>
      </c>
      <c r="F3911" s="142" t="s">
        <v>1872</v>
      </c>
      <c r="G3911" s="130"/>
      <c r="H3911" s="10"/>
      <c r="I3911" s="10">
        <v>2623500</v>
      </c>
      <c r="J3911" s="79" t="e">
        <f t="shared" si="254"/>
        <v>#VALUE!</v>
      </c>
      <c r="K3911" s="106"/>
      <c r="L3911" s="141"/>
      <c r="M3911" s="132"/>
      <c r="N3911" s="133"/>
      <c r="O3911" s="4"/>
      <c r="P3911" s="4"/>
      <c r="Q3911" s="4"/>
      <c r="R3911" s="4"/>
      <c r="S3911" s="4"/>
      <c r="T3911" s="4"/>
      <c r="U3911" s="4"/>
      <c r="V3911" s="4"/>
      <c r="W3911" s="4"/>
      <c r="X3911" s="4"/>
    </row>
    <row r="3912" spans="1:24" ht="14.25" customHeight="1">
      <c r="A3912" s="4"/>
      <c r="B3912" s="125"/>
      <c r="C3912" s="126"/>
      <c r="D3912" s="159"/>
      <c r="E3912" s="10" t="e">
        <f>TRIM(VLOOKUP(D3912,TB!$B$9:$C$1500,2,FALSE))</f>
        <v>#N/A</v>
      </c>
      <c r="F3912" s="142"/>
      <c r="G3912" s="130"/>
      <c r="H3912" s="10"/>
      <c r="I3912" s="10"/>
      <c r="J3912" s="79" t="e">
        <f t="shared" si="254"/>
        <v>#VALUE!</v>
      </c>
      <c r="K3912" s="106"/>
      <c r="L3912" s="141"/>
      <c r="M3912" s="132"/>
      <c r="N3912" s="133"/>
      <c r="O3912" s="4"/>
      <c r="P3912" s="4"/>
      <c r="Q3912" s="4"/>
      <c r="R3912" s="4"/>
      <c r="S3912" s="4"/>
      <c r="T3912" s="4"/>
      <c r="U3912" s="4"/>
      <c r="V3912" s="4"/>
      <c r="W3912" s="4"/>
      <c r="X3912" s="4"/>
    </row>
    <row r="3913" spans="1:24" ht="14.25" customHeight="1">
      <c r="A3913" s="4"/>
      <c r="B3913" s="125">
        <v>46188</v>
      </c>
      <c r="C3913" s="126" t="s">
        <v>1873</v>
      </c>
      <c r="D3913" s="15" t="s">
        <v>1745</v>
      </c>
      <c r="E3913" s="10" t="str">
        <f>TRIM(VLOOKUP(D3913,TB!$B$9:$C$1500,2,FALSE))</f>
        <v>Petty Cash IDR - on General Cashier</v>
      </c>
      <c r="F3913" s="191" t="s">
        <v>1874</v>
      </c>
      <c r="G3913" s="130"/>
      <c r="H3913" s="10">
        <v>8827640</v>
      </c>
      <c r="I3913" s="10"/>
      <c r="J3913" s="79" t="e">
        <f t="shared" si="254"/>
        <v>#VALUE!</v>
      </c>
      <c r="K3913" s="106"/>
      <c r="L3913" s="141"/>
      <c r="M3913" s="132"/>
      <c r="N3913" s="133"/>
      <c r="O3913" s="4"/>
      <c r="P3913" s="4"/>
      <c r="Q3913" s="4"/>
      <c r="R3913" s="4"/>
      <c r="S3913" s="4"/>
      <c r="T3913" s="4"/>
      <c r="U3913" s="4"/>
      <c r="V3913" s="4"/>
      <c r="W3913" s="4"/>
      <c r="X3913" s="4"/>
    </row>
    <row r="3914" spans="1:24" ht="14.25" customHeight="1">
      <c r="A3914" s="4"/>
      <c r="B3914" s="125">
        <v>46188</v>
      </c>
      <c r="C3914" s="126" t="s">
        <v>1873</v>
      </c>
      <c r="D3914" s="15" t="s">
        <v>39</v>
      </c>
      <c r="E3914" s="10" t="str">
        <f>TRIM(VLOOKUP(D3914,TB!$B$9:$C$1500,2,FALSE))</f>
        <v>Petty Cash IDR - on Bar Cashier</v>
      </c>
      <c r="F3914" s="191" t="s">
        <v>1874</v>
      </c>
      <c r="G3914" s="130"/>
      <c r="H3914" s="10"/>
      <c r="I3914" s="10">
        <v>8827640</v>
      </c>
      <c r="J3914" s="79" t="e">
        <f t="shared" si="254"/>
        <v>#VALUE!</v>
      </c>
      <c r="K3914" s="106"/>
      <c r="L3914" s="141"/>
      <c r="M3914" s="132"/>
      <c r="N3914" s="133"/>
      <c r="O3914" s="4"/>
      <c r="P3914" s="4"/>
      <c r="Q3914" s="4"/>
      <c r="R3914" s="4"/>
      <c r="S3914" s="4"/>
      <c r="T3914" s="4"/>
      <c r="U3914" s="4"/>
      <c r="V3914" s="4"/>
      <c r="W3914" s="4"/>
      <c r="X3914" s="4"/>
    </row>
    <row r="3915" spans="1:24" ht="14.25" customHeight="1">
      <c r="A3915" s="4"/>
      <c r="B3915" s="125">
        <v>46188</v>
      </c>
      <c r="C3915" s="126" t="s">
        <v>1873</v>
      </c>
      <c r="D3915" s="15" t="s">
        <v>1875</v>
      </c>
      <c r="E3915" s="10" t="str">
        <f>TRIM(VLOOKUP(D3915,TB!$B$9:$C$1500,2,FALSE))</f>
        <v>Onion/Bombay</v>
      </c>
      <c r="F3915" s="191" t="s">
        <v>1876</v>
      </c>
      <c r="G3915" s="130">
        <v>1.05</v>
      </c>
      <c r="H3915" s="10">
        <v>28000</v>
      </c>
      <c r="I3915" s="10"/>
      <c r="J3915" s="79" t="e">
        <f t="shared" si="254"/>
        <v>#VALUE!</v>
      </c>
      <c r="K3915" s="106">
        <f t="shared" ref="K3915:K3917" si="259">H3915/G3915</f>
        <v>26666.666666666664</v>
      </c>
      <c r="L3915" s="141"/>
      <c r="M3915" s="132"/>
      <c r="N3915" s="133"/>
      <c r="O3915" s="4"/>
      <c r="P3915" s="4"/>
      <c r="Q3915" s="4"/>
      <c r="R3915" s="4"/>
      <c r="S3915" s="4"/>
      <c r="T3915" s="4"/>
      <c r="U3915" s="4"/>
      <c r="V3915" s="4"/>
      <c r="W3915" s="4"/>
      <c r="X3915" s="4"/>
    </row>
    <row r="3916" spans="1:24" ht="14.25" customHeight="1">
      <c r="A3916" s="4"/>
      <c r="B3916" s="125">
        <v>46188</v>
      </c>
      <c r="C3916" s="126" t="s">
        <v>1873</v>
      </c>
      <c r="D3916" s="15" t="s">
        <v>1877</v>
      </c>
      <c r="E3916" s="10" t="str">
        <f>TRIM(VLOOKUP(D3916,TB!$B$9:$C$1500,2,FALSE))</f>
        <v>Pok Coy</v>
      </c>
      <c r="F3916" s="191" t="s">
        <v>1878</v>
      </c>
      <c r="G3916" s="130">
        <v>1</v>
      </c>
      <c r="H3916" s="10">
        <v>15000</v>
      </c>
      <c r="I3916" s="10"/>
      <c r="J3916" s="79" t="e">
        <f t="shared" si="254"/>
        <v>#VALUE!</v>
      </c>
      <c r="K3916" s="106">
        <f t="shared" si="259"/>
        <v>15000</v>
      </c>
      <c r="L3916" s="141"/>
      <c r="M3916" s="132"/>
      <c r="N3916" s="133"/>
      <c r="O3916" s="4"/>
      <c r="P3916" s="4"/>
      <c r="Q3916" s="4"/>
      <c r="R3916" s="4"/>
      <c r="S3916" s="4"/>
      <c r="T3916" s="4"/>
      <c r="U3916" s="4"/>
      <c r="V3916" s="4"/>
      <c r="W3916" s="4"/>
      <c r="X3916" s="4"/>
    </row>
    <row r="3917" spans="1:24" ht="14.25" customHeight="1">
      <c r="A3917" s="4"/>
      <c r="B3917" s="125">
        <v>46188</v>
      </c>
      <c r="C3917" s="126" t="s">
        <v>1873</v>
      </c>
      <c r="D3917" s="15" t="s">
        <v>1754</v>
      </c>
      <c r="E3917" s="10" t="str">
        <f>TRIM(VLOOKUP(D3917,TB!$B$9:$C$1500,2,FALSE))</f>
        <v>Ice Cube</v>
      </c>
      <c r="F3917" s="191" t="s">
        <v>1879</v>
      </c>
      <c r="G3917" s="130">
        <v>6</v>
      </c>
      <c r="H3917" s="10">
        <v>48000</v>
      </c>
      <c r="I3917" s="10"/>
      <c r="J3917" s="79" t="e">
        <f t="shared" si="254"/>
        <v>#VALUE!</v>
      </c>
      <c r="K3917" s="106">
        <f t="shared" si="259"/>
        <v>8000</v>
      </c>
      <c r="L3917" s="141"/>
      <c r="M3917" s="132"/>
      <c r="N3917" s="133"/>
      <c r="O3917" s="4"/>
      <c r="P3917" s="4"/>
      <c r="Q3917" s="4"/>
      <c r="R3917" s="4"/>
      <c r="S3917" s="4"/>
      <c r="T3917" s="4"/>
      <c r="U3917" s="4"/>
      <c r="V3917" s="4"/>
      <c r="W3917" s="4"/>
      <c r="X3917" s="4"/>
    </row>
    <row r="3918" spans="1:24" ht="14.25" customHeight="1">
      <c r="A3918" s="4"/>
      <c r="B3918" s="125">
        <v>46188</v>
      </c>
      <c r="C3918" s="126" t="s">
        <v>1873</v>
      </c>
      <c r="D3918" s="15" t="s">
        <v>1573</v>
      </c>
      <c r="E3918" s="10" t="str">
        <f>TRIM(VLOOKUP(D3918,TB!$B$9:$C$1500,2,FALSE))</f>
        <v>Cash Advance</v>
      </c>
      <c r="F3918" s="191" t="s">
        <v>1880</v>
      </c>
      <c r="G3918" s="130"/>
      <c r="H3918" s="10">
        <v>3000000</v>
      </c>
      <c r="I3918" s="10"/>
      <c r="J3918" s="79" t="e">
        <f t="shared" si="254"/>
        <v>#VALUE!</v>
      </c>
      <c r="K3918" s="106"/>
      <c r="L3918" s="141"/>
      <c r="M3918" s="132"/>
      <c r="N3918" s="133"/>
      <c r="O3918" s="4"/>
      <c r="P3918" s="4"/>
      <c r="Q3918" s="4"/>
      <c r="R3918" s="4"/>
      <c r="S3918" s="4"/>
      <c r="T3918" s="4"/>
      <c r="U3918" s="4"/>
      <c r="V3918" s="4"/>
      <c r="W3918" s="4"/>
      <c r="X3918" s="4"/>
    </row>
    <row r="3919" spans="1:24" ht="14.25" customHeight="1">
      <c r="A3919" s="4"/>
      <c r="B3919" s="125">
        <v>46188</v>
      </c>
      <c r="C3919" s="126" t="s">
        <v>1873</v>
      </c>
      <c r="D3919" s="15" t="s">
        <v>1745</v>
      </c>
      <c r="E3919" s="10" t="str">
        <f>TRIM(VLOOKUP(D3919,TB!$B$9:$C$1500,2,FALSE))</f>
        <v>Petty Cash IDR - on General Cashier</v>
      </c>
      <c r="F3919" s="142" t="s">
        <v>1881</v>
      </c>
      <c r="G3919" s="130"/>
      <c r="H3919" s="10"/>
      <c r="I3919" s="10">
        <v>3091000</v>
      </c>
      <c r="J3919" s="79" t="e">
        <f t="shared" si="254"/>
        <v>#VALUE!</v>
      </c>
      <c r="K3919" s="106"/>
      <c r="L3919" s="141"/>
      <c r="M3919" s="132"/>
      <c r="N3919" s="133"/>
      <c r="O3919" s="4"/>
      <c r="P3919" s="4"/>
      <c r="Q3919" s="4"/>
      <c r="R3919" s="4"/>
      <c r="S3919" s="4"/>
      <c r="T3919" s="4"/>
      <c r="U3919" s="4"/>
      <c r="V3919" s="4"/>
      <c r="W3919" s="4"/>
      <c r="X3919" s="4"/>
    </row>
    <row r="3920" spans="1:24" ht="14.25" customHeight="1">
      <c r="A3920" s="4"/>
      <c r="B3920" s="125"/>
      <c r="C3920" s="126"/>
      <c r="D3920" s="159"/>
      <c r="E3920" s="10" t="e">
        <f>TRIM(VLOOKUP(D3920,TB!$B$9:$C$1500,2,FALSE))</f>
        <v>#N/A</v>
      </c>
      <c r="F3920" s="142"/>
      <c r="G3920" s="130"/>
      <c r="H3920" s="10"/>
      <c r="I3920" s="10"/>
      <c r="J3920" s="79" t="e">
        <f t="shared" si="254"/>
        <v>#VALUE!</v>
      </c>
      <c r="K3920" s="106"/>
      <c r="L3920" s="141"/>
      <c r="M3920" s="132"/>
      <c r="N3920" s="133"/>
      <c r="O3920" s="4"/>
      <c r="P3920" s="4"/>
      <c r="Q3920" s="4"/>
      <c r="R3920" s="4"/>
      <c r="S3920" s="4"/>
      <c r="T3920" s="4"/>
      <c r="U3920" s="4"/>
      <c r="V3920" s="4"/>
      <c r="W3920" s="4"/>
      <c r="X3920" s="4"/>
    </row>
    <row r="3921" spans="1:24" ht="14.25" customHeight="1">
      <c r="A3921" s="4"/>
      <c r="B3921" s="125">
        <v>46188</v>
      </c>
      <c r="C3921" s="126" t="s">
        <v>1882</v>
      </c>
      <c r="D3921" s="15" t="s">
        <v>1745</v>
      </c>
      <c r="E3921" s="10" t="str">
        <f>TRIM(VLOOKUP(D3921,TB!$B$9:$C$1500,2,FALSE))</f>
        <v>Petty Cash IDR - on General Cashier</v>
      </c>
      <c r="F3921" s="191" t="s">
        <v>1883</v>
      </c>
      <c r="G3921" s="130"/>
      <c r="H3921" s="10">
        <v>21047416</v>
      </c>
      <c r="I3921" s="10"/>
      <c r="J3921" s="79" t="e">
        <f t="shared" si="254"/>
        <v>#VALUE!</v>
      </c>
      <c r="K3921" s="106"/>
      <c r="L3921" s="141"/>
      <c r="M3921" s="132"/>
      <c r="N3921" s="133"/>
      <c r="O3921" s="4"/>
      <c r="P3921" s="4"/>
      <c r="Q3921" s="4"/>
      <c r="R3921" s="4"/>
      <c r="S3921" s="4"/>
      <c r="T3921" s="4"/>
      <c r="U3921" s="4"/>
      <c r="V3921" s="4"/>
      <c r="W3921" s="4"/>
      <c r="X3921" s="4"/>
    </row>
    <row r="3922" spans="1:24" ht="14.25" customHeight="1">
      <c r="A3922" s="4"/>
      <c r="B3922" s="125">
        <v>46188</v>
      </c>
      <c r="C3922" s="126" t="s">
        <v>1882</v>
      </c>
      <c r="D3922" s="15" t="s">
        <v>39</v>
      </c>
      <c r="E3922" s="10" t="str">
        <f>TRIM(VLOOKUP(D3922,TB!$B$9:$C$1500,2,FALSE))</f>
        <v>Petty Cash IDR - on Bar Cashier</v>
      </c>
      <c r="F3922" s="191" t="s">
        <v>1883</v>
      </c>
      <c r="G3922" s="130"/>
      <c r="H3922" s="10"/>
      <c r="I3922" s="10">
        <v>21047416</v>
      </c>
      <c r="J3922" s="79" t="e">
        <f t="shared" si="254"/>
        <v>#VALUE!</v>
      </c>
      <c r="K3922" s="106"/>
      <c r="L3922" s="141"/>
      <c r="M3922" s="132"/>
      <c r="N3922" s="133"/>
      <c r="O3922" s="4"/>
      <c r="P3922" s="4"/>
      <c r="Q3922" s="4"/>
      <c r="R3922" s="4"/>
      <c r="S3922" s="4"/>
      <c r="T3922" s="4"/>
      <c r="U3922" s="4"/>
      <c r="V3922" s="4"/>
      <c r="W3922" s="4"/>
      <c r="X3922" s="4"/>
    </row>
    <row r="3923" spans="1:24" ht="14.25" customHeight="1">
      <c r="A3923" s="4"/>
      <c r="B3923" s="125">
        <v>46188</v>
      </c>
      <c r="C3923" s="126" t="s">
        <v>1882</v>
      </c>
      <c r="D3923" s="68" t="s">
        <v>175</v>
      </c>
      <c r="E3923" s="10" t="str">
        <f>TRIM(VLOOKUP(D3923,TB!$B$9:$C$1500,2,FALSE))</f>
        <v>Intercompany Receivable – Treasury StarPOINTS</v>
      </c>
      <c r="F3923" s="191" t="s">
        <v>1884</v>
      </c>
      <c r="G3923" s="130"/>
      <c r="H3923" s="10">
        <v>4000000</v>
      </c>
      <c r="I3923" s="10"/>
      <c r="J3923" s="79" t="e">
        <f t="shared" si="254"/>
        <v>#VALUE!</v>
      </c>
      <c r="K3923" s="106"/>
      <c r="L3923" s="141"/>
      <c r="M3923" s="132"/>
      <c r="N3923" s="133"/>
      <c r="O3923" s="4"/>
      <c r="P3923" s="4"/>
      <c r="Q3923" s="4"/>
      <c r="R3923" s="4"/>
      <c r="S3923" s="4"/>
      <c r="T3923" s="4"/>
      <c r="U3923" s="4"/>
      <c r="V3923" s="4"/>
      <c r="W3923" s="4"/>
      <c r="X3923" s="4"/>
    </row>
    <row r="3924" spans="1:24" ht="14.25" customHeight="1">
      <c r="A3924" s="4"/>
      <c r="B3924" s="125">
        <v>46188</v>
      </c>
      <c r="C3924" s="126" t="s">
        <v>1882</v>
      </c>
      <c r="D3924" s="15" t="s">
        <v>1226</v>
      </c>
      <c r="E3924" s="10" t="str">
        <f>TRIM(VLOOKUP(D3924,TB!$B$9:$C$1500,2,FALSE))</f>
        <v>Enggineering Electrical &amp; plumbing Supplies</v>
      </c>
      <c r="F3924" s="191" t="s">
        <v>1885</v>
      </c>
      <c r="G3924" s="130"/>
      <c r="H3924" s="10">
        <v>25000</v>
      </c>
      <c r="I3924" s="10"/>
      <c r="J3924" s="79" t="e">
        <f t="shared" si="254"/>
        <v>#VALUE!</v>
      </c>
      <c r="K3924" s="106"/>
      <c r="L3924" s="141"/>
      <c r="M3924" s="132"/>
      <c r="N3924" s="133"/>
      <c r="O3924" s="4"/>
      <c r="P3924" s="4"/>
      <c r="Q3924" s="4"/>
      <c r="R3924" s="4"/>
      <c r="S3924" s="4"/>
      <c r="T3924" s="4"/>
      <c r="U3924" s="4"/>
      <c r="V3924" s="4"/>
      <c r="W3924" s="4"/>
      <c r="X3924" s="4"/>
    </row>
    <row r="3925" spans="1:24" ht="14.25" customHeight="1">
      <c r="A3925" s="4"/>
      <c r="B3925" s="125">
        <v>46188</v>
      </c>
      <c r="C3925" s="126" t="s">
        <v>1882</v>
      </c>
      <c r="D3925" s="15" t="s">
        <v>1226</v>
      </c>
      <c r="E3925" s="10" t="str">
        <f>TRIM(VLOOKUP(D3925,TB!$B$9:$C$1500,2,FALSE))</f>
        <v>Enggineering Electrical &amp; plumbing Supplies</v>
      </c>
      <c r="F3925" s="191" t="s">
        <v>1756</v>
      </c>
      <c r="G3925" s="130"/>
      <c r="H3925" s="10">
        <v>193000</v>
      </c>
      <c r="I3925" s="10"/>
      <c r="J3925" s="79" t="e">
        <f t="shared" si="254"/>
        <v>#VALUE!</v>
      </c>
      <c r="K3925" s="106"/>
      <c r="L3925" s="141"/>
      <c r="M3925" s="132"/>
      <c r="N3925" s="133"/>
      <c r="O3925" s="4"/>
      <c r="P3925" s="4"/>
      <c r="Q3925" s="4"/>
      <c r="R3925" s="4"/>
      <c r="S3925" s="4"/>
      <c r="T3925" s="4"/>
      <c r="U3925" s="4"/>
      <c r="V3925" s="4"/>
      <c r="W3925" s="4"/>
      <c r="X3925" s="4"/>
    </row>
    <row r="3926" spans="1:24" ht="14.25" customHeight="1">
      <c r="A3926" s="4"/>
      <c r="B3926" s="125">
        <v>46188</v>
      </c>
      <c r="C3926" s="126" t="s">
        <v>1882</v>
      </c>
      <c r="D3926" s="15" t="s">
        <v>1886</v>
      </c>
      <c r="E3926" s="10" t="str">
        <f>TRIM(VLOOKUP(D3926,TB!$B$9:$C$1500,2,FALSE))</f>
        <v>Ruccola</v>
      </c>
      <c r="F3926" s="191" t="s">
        <v>1887</v>
      </c>
      <c r="G3926" s="130">
        <v>0.31</v>
      </c>
      <c r="H3926" s="10">
        <v>16000</v>
      </c>
      <c r="I3926" s="10"/>
      <c r="J3926" s="79" t="e">
        <f t="shared" si="254"/>
        <v>#VALUE!</v>
      </c>
      <c r="K3926" s="106">
        <f t="shared" ref="K3926:K3929" si="260">H3926/G3926</f>
        <v>51612.903225806454</v>
      </c>
      <c r="L3926" s="141"/>
      <c r="M3926" s="132"/>
      <c r="N3926" s="133"/>
      <c r="O3926" s="4"/>
      <c r="P3926" s="4"/>
      <c r="Q3926" s="4"/>
      <c r="R3926" s="4"/>
      <c r="S3926" s="4"/>
      <c r="T3926" s="4"/>
      <c r="U3926" s="4"/>
      <c r="V3926" s="4"/>
      <c r="W3926" s="4"/>
      <c r="X3926" s="4"/>
    </row>
    <row r="3927" spans="1:24" ht="14.25" customHeight="1">
      <c r="A3927" s="4"/>
      <c r="B3927" s="125">
        <v>46188</v>
      </c>
      <c r="C3927" s="126" t="s">
        <v>1882</v>
      </c>
      <c r="D3927" s="15" t="s">
        <v>1888</v>
      </c>
      <c r="E3927" s="10" t="str">
        <f>TRIM(VLOOKUP(D3927,TB!$B$9:$C$1500,2,FALSE))</f>
        <v>Romaine</v>
      </c>
      <c r="F3927" s="191" t="s">
        <v>1889</v>
      </c>
      <c r="G3927" s="130">
        <v>0.8</v>
      </c>
      <c r="H3927" s="10">
        <v>53000</v>
      </c>
      <c r="I3927" s="10"/>
      <c r="J3927" s="79" t="e">
        <f t="shared" si="254"/>
        <v>#VALUE!</v>
      </c>
      <c r="K3927" s="106">
        <f t="shared" si="260"/>
        <v>66250</v>
      </c>
      <c r="L3927" s="141"/>
      <c r="M3927" s="132"/>
      <c r="N3927" s="133"/>
      <c r="O3927" s="4"/>
      <c r="P3927" s="4"/>
      <c r="Q3927" s="4"/>
      <c r="R3927" s="4"/>
      <c r="S3927" s="4"/>
      <c r="T3927" s="4"/>
      <c r="U3927" s="4"/>
      <c r="V3927" s="4"/>
      <c r="W3927" s="4"/>
      <c r="X3927" s="4"/>
    </row>
    <row r="3928" spans="1:24" ht="14.25" customHeight="1">
      <c r="A3928" s="4"/>
      <c r="B3928" s="125">
        <v>46188</v>
      </c>
      <c r="C3928" s="126" t="s">
        <v>1882</v>
      </c>
      <c r="D3928" s="15" t="s">
        <v>1890</v>
      </c>
      <c r="E3928" s="10" t="str">
        <f>TRIM(VLOOKUP(D3928,TB!$B$9:$C$1500,2,FALSE))</f>
        <v>Avocado</v>
      </c>
      <c r="F3928" s="191" t="s">
        <v>1891</v>
      </c>
      <c r="G3928" s="130">
        <v>0.44</v>
      </c>
      <c r="H3928" s="10">
        <v>16000</v>
      </c>
      <c r="I3928" s="10"/>
      <c r="J3928" s="79" t="e">
        <f t="shared" si="254"/>
        <v>#VALUE!</v>
      </c>
      <c r="K3928" s="106">
        <f t="shared" si="260"/>
        <v>36363.63636363636</v>
      </c>
      <c r="L3928" s="141"/>
      <c r="M3928" s="132"/>
      <c r="N3928" s="133"/>
      <c r="O3928" s="4"/>
      <c r="P3928" s="4"/>
      <c r="Q3928" s="4"/>
      <c r="R3928" s="4"/>
      <c r="S3928" s="4"/>
      <c r="T3928" s="4"/>
      <c r="U3928" s="4"/>
      <c r="V3928" s="4"/>
      <c r="W3928" s="4"/>
      <c r="X3928" s="4"/>
    </row>
    <row r="3929" spans="1:24" ht="14.25" customHeight="1">
      <c r="A3929" s="4"/>
      <c r="B3929" s="125">
        <v>46188</v>
      </c>
      <c r="C3929" s="126" t="s">
        <v>1882</v>
      </c>
      <c r="D3929" s="15" t="s">
        <v>1754</v>
      </c>
      <c r="E3929" s="10" t="str">
        <f>TRIM(VLOOKUP(D3929,TB!$B$9:$C$1500,2,FALSE))</f>
        <v>Ice Cube</v>
      </c>
      <c r="F3929" s="191" t="s">
        <v>1892</v>
      </c>
      <c r="G3929" s="130">
        <v>6</v>
      </c>
      <c r="H3929" s="10">
        <v>48000</v>
      </c>
      <c r="I3929" s="10"/>
      <c r="J3929" s="79" t="e">
        <f t="shared" si="254"/>
        <v>#VALUE!</v>
      </c>
      <c r="K3929" s="106">
        <f t="shared" si="260"/>
        <v>8000</v>
      </c>
      <c r="L3929" s="141"/>
      <c r="M3929" s="132"/>
      <c r="N3929" s="133"/>
      <c r="O3929" s="4"/>
      <c r="P3929" s="4"/>
      <c r="Q3929" s="4"/>
      <c r="R3929" s="4"/>
      <c r="S3929" s="4"/>
      <c r="T3929" s="4"/>
      <c r="U3929" s="4"/>
      <c r="V3929" s="4"/>
      <c r="W3929" s="4"/>
      <c r="X3929" s="4"/>
    </row>
    <row r="3930" spans="1:24" ht="14.25" customHeight="1">
      <c r="A3930" s="4"/>
      <c r="B3930" s="125">
        <v>46188</v>
      </c>
      <c r="C3930" s="126" t="s">
        <v>1882</v>
      </c>
      <c r="D3930" s="15" t="s">
        <v>1208</v>
      </c>
      <c r="E3930" s="10" t="str">
        <f>TRIM(VLOOKUP(D3930,TB!$B$9:$C$1500,2,FALSE))</f>
        <v>Telephone/Interne/Pulsa/Courier &amp; Postage</v>
      </c>
      <c r="F3930" s="191" t="s">
        <v>1893</v>
      </c>
      <c r="G3930" s="130"/>
      <c r="H3930" s="10">
        <v>32000</v>
      </c>
      <c r="I3930" s="10"/>
      <c r="J3930" s="79" t="e">
        <f t="shared" si="254"/>
        <v>#VALUE!</v>
      </c>
      <c r="K3930" s="106"/>
      <c r="L3930" s="141"/>
      <c r="M3930" s="132"/>
      <c r="N3930" s="133"/>
      <c r="O3930" s="4"/>
      <c r="P3930" s="4"/>
      <c r="Q3930" s="4"/>
      <c r="R3930" s="4"/>
      <c r="S3930" s="4"/>
      <c r="T3930" s="4"/>
      <c r="U3930" s="4"/>
      <c r="V3930" s="4"/>
      <c r="W3930" s="4"/>
      <c r="X3930" s="4"/>
    </row>
    <row r="3931" spans="1:24" ht="14.25" customHeight="1">
      <c r="A3931" s="4"/>
      <c r="B3931" s="125">
        <v>46188</v>
      </c>
      <c r="C3931" s="126" t="s">
        <v>1882</v>
      </c>
      <c r="D3931" s="15" t="s">
        <v>1208</v>
      </c>
      <c r="E3931" s="10" t="str">
        <f>TRIM(VLOOKUP(D3931,TB!$B$9:$C$1500,2,FALSE))</f>
        <v>Telephone/Interne/Pulsa/Courier &amp; Postage</v>
      </c>
      <c r="F3931" s="191" t="s">
        <v>1775</v>
      </c>
      <c r="G3931" s="130"/>
      <c r="H3931" s="10">
        <v>22000</v>
      </c>
      <c r="I3931" s="10"/>
      <c r="J3931" s="79" t="e">
        <f t="shared" si="254"/>
        <v>#VALUE!</v>
      </c>
      <c r="K3931" s="106"/>
      <c r="L3931" s="141"/>
      <c r="M3931" s="132"/>
      <c r="N3931" s="133"/>
      <c r="O3931" s="4"/>
      <c r="P3931" s="4"/>
      <c r="Q3931" s="4"/>
      <c r="R3931" s="4"/>
      <c r="S3931" s="4"/>
      <c r="T3931" s="4"/>
      <c r="U3931" s="4"/>
      <c r="V3931" s="4"/>
      <c r="W3931" s="4"/>
      <c r="X3931" s="4"/>
    </row>
    <row r="3932" spans="1:24" ht="14.25" customHeight="1">
      <c r="A3932" s="4"/>
      <c r="B3932" s="125">
        <v>46188</v>
      </c>
      <c r="C3932" s="126" t="s">
        <v>1882</v>
      </c>
      <c r="D3932" s="15" t="s">
        <v>1208</v>
      </c>
      <c r="E3932" s="10" t="str">
        <f>TRIM(VLOOKUP(D3932,TB!$B$9:$C$1500,2,FALSE))</f>
        <v>Telephone/Interne/Pulsa/Courier &amp; Postage</v>
      </c>
      <c r="F3932" s="191" t="s">
        <v>1775</v>
      </c>
      <c r="G3932" s="130"/>
      <c r="H3932" s="10">
        <v>23000</v>
      </c>
      <c r="I3932" s="10"/>
      <c r="J3932" s="79" t="e">
        <f t="shared" si="254"/>
        <v>#VALUE!</v>
      </c>
      <c r="K3932" s="106"/>
      <c r="L3932" s="141"/>
      <c r="M3932" s="132"/>
      <c r="N3932" s="133"/>
      <c r="O3932" s="4"/>
      <c r="P3932" s="4"/>
      <c r="Q3932" s="4"/>
      <c r="R3932" s="4"/>
      <c r="S3932" s="4"/>
      <c r="T3932" s="4"/>
      <c r="U3932" s="4"/>
      <c r="V3932" s="4"/>
      <c r="W3932" s="4"/>
      <c r="X3932" s="4"/>
    </row>
    <row r="3933" spans="1:24" ht="14.25" customHeight="1">
      <c r="A3933" s="4"/>
      <c r="B3933" s="125">
        <v>46188</v>
      </c>
      <c r="C3933" s="126" t="s">
        <v>1882</v>
      </c>
      <c r="D3933" s="15" t="s">
        <v>1894</v>
      </c>
      <c r="E3933" s="10" t="str">
        <f>TRIM(VLOOKUP(D3933,TB!$B$9:$C$1500,2,FALSE))</f>
        <v>Beef Toulouse</v>
      </c>
      <c r="F3933" s="191" t="s">
        <v>1895</v>
      </c>
      <c r="G3933" s="130">
        <v>2.012</v>
      </c>
      <c r="H3933" s="10">
        <v>331980</v>
      </c>
      <c r="I3933" s="10"/>
      <c r="J3933" s="79" t="e">
        <f t="shared" si="254"/>
        <v>#VALUE!</v>
      </c>
      <c r="K3933" s="106"/>
      <c r="L3933" s="141"/>
      <c r="M3933" s="132"/>
      <c r="N3933" s="133"/>
      <c r="O3933" s="4"/>
      <c r="P3933" s="4"/>
      <c r="Q3933" s="4"/>
      <c r="R3933" s="4"/>
      <c r="S3933" s="4"/>
      <c r="T3933" s="4"/>
      <c r="U3933" s="4"/>
      <c r="V3933" s="4"/>
      <c r="W3933" s="4"/>
      <c r="X3933" s="4"/>
    </row>
    <row r="3934" spans="1:24" ht="14.25" customHeight="1">
      <c r="A3934" s="4"/>
      <c r="B3934" s="125">
        <v>46188</v>
      </c>
      <c r="C3934" s="126" t="s">
        <v>1882</v>
      </c>
      <c r="D3934" s="15" t="s">
        <v>1797</v>
      </c>
      <c r="E3934" s="10" t="str">
        <f>TRIM(VLOOKUP(D3934,TB!$B$9:$C$1500,2,FALSE))</f>
        <v>Pork Toulouse</v>
      </c>
      <c r="F3934" s="191" t="s">
        <v>1896</v>
      </c>
      <c r="G3934" s="130">
        <v>1.014</v>
      </c>
      <c r="H3934" s="10">
        <v>151086</v>
      </c>
      <c r="I3934" s="10"/>
      <c r="J3934" s="79" t="e">
        <f t="shared" si="254"/>
        <v>#VALUE!</v>
      </c>
      <c r="K3934" s="106"/>
      <c r="L3934" s="141"/>
      <c r="M3934" s="132"/>
      <c r="N3934" s="133"/>
      <c r="O3934" s="4"/>
      <c r="P3934" s="4"/>
      <c r="Q3934" s="4"/>
      <c r="R3934" s="4"/>
      <c r="S3934" s="4"/>
      <c r="T3934" s="4"/>
      <c r="U3934" s="4"/>
      <c r="V3934" s="4"/>
      <c r="W3934" s="4"/>
      <c r="X3934" s="4"/>
    </row>
    <row r="3935" spans="1:24" ht="14.25" customHeight="1">
      <c r="A3935" s="4"/>
      <c r="B3935" s="125">
        <v>46188</v>
      </c>
      <c r="C3935" s="126" t="s">
        <v>1882</v>
      </c>
      <c r="D3935" s="15" t="s">
        <v>1573</v>
      </c>
      <c r="E3935" s="10" t="str">
        <f>TRIM(VLOOKUP(D3935,TB!$B$9:$C$1500,2,FALSE))</f>
        <v>Cash Advance</v>
      </c>
      <c r="F3935" s="191" t="s">
        <v>1897</v>
      </c>
      <c r="G3935" s="130"/>
      <c r="H3935" s="10">
        <v>5000000</v>
      </c>
      <c r="I3935" s="10"/>
      <c r="J3935" s="79" t="e">
        <f t="shared" si="254"/>
        <v>#VALUE!</v>
      </c>
      <c r="K3935" s="106"/>
      <c r="L3935" s="141"/>
      <c r="M3935" s="132"/>
      <c r="N3935" s="133"/>
      <c r="O3935" s="4"/>
      <c r="P3935" s="4"/>
      <c r="Q3935" s="4"/>
      <c r="R3935" s="4"/>
      <c r="S3935" s="4"/>
      <c r="T3935" s="4"/>
      <c r="U3935" s="4"/>
      <c r="V3935" s="4"/>
      <c r="W3935" s="4"/>
      <c r="X3935" s="4"/>
    </row>
    <row r="3936" spans="1:24" ht="14.25" customHeight="1">
      <c r="A3936" s="4"/>
      <c r="B3936" s="125">
        <v>46188</v>
      </c>
      <c r="C3936" s="126" t="s">
        <v>1882</v>
      </c>
      <c r="D3936" s="15" t="s">
        <v>1776</v>
      </c>
      <c r="E3936" s="10" t="str">
        <f>TRIM(VLOOKUP(D3936,TB!$B$9:$C$1500,2,FALSE))</f>
        <v>Marlboro Merah</v>
      </c>
      <c r="F3936" s="191" t="s">
        <v>1777</v>
      </c>
      <c r="G3936" s="130">
        <v>10</v>
      </c>
      <c r="H3936" s="10">
        <v>518000</v>
      </c>
      <c r="I3936" s="10"/>
      <c r="J3936" s="79" t="e">
        <f t="shared" si="254"/>
        <v>#VALUE!</v>
      </c>
      <c r="K3936" s="106"/>
      <c r="L3936" s="141"/>
      <c r="M3936" s="132"/>
      <c r="N3936" s="133"/>
      <c r="O3936" s="4"/>
      <c r="P3936" s="4"/>
      <c r="Q3936" s="4"/>
      <c r="R3936" s="4"/>
      <c r="S3936" s="4"/>
      <c r="T3936" s="4"/>
      <c r="U3936" s="4"/>
      <c r="V3936" s="4"/>
      <c r="W3936" s="4"/>
      <c r="X3936" s="4"/>
    </row>
    <row r="3937" spans="1:24" ht="14.25" customHeight="1">
      <c r="A3937" s="4"/>
      <c r="B3937" s="125">
        <v>46188</v>
      </c>
      <c r="C3937" s="126" t="s">
        <v>1882</v>
      </c>
      <c r="D3937" s="15" t="s">
        <v>1863</v>
      </c>
      <c r="E3937" s="10" t="str">
        <f>TRIM(VLOOKUP(D3937,TB!$B$9:$C$1500,2,FALSE))</f>
        <v>Marlboro Ice Blast</v>
      </c>
      <c r="F3937" s="191" t="s">
        <v>1898</v>
      </c>
      <c r="G3937" s="130">
        <v>10</v>
      </c>
      <c r="H3937" s="10">
        <v>415000</v>
      </c>
      <c r="I3937" s="10"/>
      <c r="J3937" s="79" t="e">
        <f t="shared" si="254"/>
        <v>#VALUE!</v>
      </c>
      <c r="K3937" s="106"/>
      <c r="L3937" s="141"/>
      <c r="M3937" s="132"/>
      <c r="N3937" s="133"/>
      <c r="O3937" s="4"/>
      <c r="P3937" s="4"/>
      <c r="Q3937" s="4"/>
      <c r="R3937" s="4"/>
      <c r="S3937" s="4"/>
      <c r="T3937" s="4"/>
      <c r="U3937" s="4"/>
      <c r="V3937" s="4"/>
      <c r="W3937" s="4"/>
      <c r="X3937" s="4"/>
    </row>
    <row r="3938" spans="1:24" ht="14.25" customHeight="1">
      <c r="A3938" s="4"/>
      <c r="B3938" s="125">
        <v>46188</v>
      </c>
      <c r="C3938" s="126" t="s">
        <v>1882</v>
      </c>
      <c r="D3938" s="15" t="s">
        <v>1778</v>
      </c>
      <c r="E3938" s="10" t="str">
        <f>TRIM(VLOOKUP(D3938,TB!$B$9:$C$1500,2,FALSE))</f>
        <v>Marlboro Light / GOLD</v>
      </c>
      <c r="F3938" s="191" t="s">
        <v>1817</v>
      </c>
      <c r="G3938" s="130">
        <v>10</v>
      </c>
      <c r="H3938" s="10">
        <v>518000</v>
      </c>
      <c r="I3938" s="10"/>
      <c r="J3938" s="79" t="e">
        <f t="shared" si="254"/>
        <v>#VALUE!</v>
      </c>
      <c r="K3938" s="106"/>
      <c r="L3938" s="141"/>
      <c r="M3938" s="132"/>
      <c r="N3938" s="133"/>
      <c r="O3938" s="4"/>
      <c r="P3938" s="4"/>
      <c r="Q3938" s="4"/>
      <c r="R3938" s="4"/>
      <c r="S3938" s="4"/>
      <c r="T3938" s="4"/>
      <c r="U3938" s="4"/>
      <c r="V3938" s="4"/>
      <c r="W3938" s="4"/>
      <c r="X3938" s="4"/>
    </row>
    <row r="3939" spans="1:24" ht="14.25" customHeight="1">
      <c r="A3939" s="4"/>
      <c r="B3939" s="125">
        <v>46188</v>
      </c>
      <c r="C3939" s="126" t="s">
        <v>1882</v>
      </c>
      <c r="D3939" s="15" t="s">
        <v>1745</v>
      </c>
      <c r="E3939" s="10" t="str">
        <f>TRIM(VLOOKUP(D3939,TB!$B$9:$C$1500,2,FALSE))</f>
        <v>Petty Cash IDR - on General Cashier</v>
      </c>
      <c r="F3939" s="142" t="s">
        <v>1899</v>
      </c>
      <c r="G3939" s="130"/>
      <c r="H3939" s="10"/>
      <c r="I3939" s="10">
        <v>11362066</v>
      </c>
      <c r="J3939" s="79" t="e">
        <f t="shared" si="254"/>
        <v>#VALUE!</v>
      </c>
      <c r="K3939" s="106"/>
      <c r="L3939" s="141"/>
      <c r="M3939" s="132"/>
      <c r="N3939" s="133"/>
      <c r="O3939" s="4"/>
      <c r="P3939" s="4"/>
      <c r="Q3939" s="4"/>
      <c r="R3939" s="4"/>
      <c r="S3939" s="4"/>
      <c r="T3939" s="4"/>
      <c r="U3939" s="4"/>
      <c r="V3939" s="4"/>
      <c r="W3939" s="4"/>
      <c r="X3939" s="4"/>
    </row>
    <row r="3940" spans="1:24" ht="14.25" customHeight="1">
      <c r="A3940" s="4"/>
      <c r="B3940" s="125"/>
      <c r="C3940" s="126"/>
      <c r="D3940" s="159"/>
      <c r="E3940" s="10" t="e">
        <f>TRIM(VLOOKUP(D3940,TB!$B$9:$C$1500,2,FALSE))</f>
        <v>#N/A</v>
      </c>
      <c r="F3940" s="142"/>
      <c r="G3940" s="130"/>
      <c r="H3940" s="10"/>
      <c r="I3940" s="10"/>
      <c r="J3940" s="79" t="e">
        <f t="shared" si="254"/>
        <v>#VALUE!</v>
      </c>
      <c r="K3940" s="106"/>
      <c r="L3940" s="141"/>
      <c r="M3940" s="132"/>
      <c r="N3940" s="133"/>
      <c r="O3940" s="4"/>
      <c r="P3940" s="4"/>
      <c r="Q3940" s="4"/>
      <c r="R3940" s="4"/>
      <c r="S3940" s="4"/>
      <c r="T3940" s="4"/>
      <c r="U3940" s="4"/>
      <c r="V3940" s="4"/>
      <c r="W3940" s="4"/>
      <c r="X3940" s="4"/>
    </row>
    <row r="3941" spans="1:24" ht="14.25" customHeight="1">
      <c r="A3941" s="4"/>
      <c r="B3941" s="125">
        <v>46188</v>
      </c>
      <c r="C3941" s="126" t="s">
        <v>1900</v>
      </c>
      <c r="D3941" s="15" t="s">
        <v>1745</v>
      </c>
      <c r="E3941" s="10" t="str">
        <f>TRIM(VLOOKUP(D3941,TB!$B$9:$C$1500,2,FALSE))</f>
        <v>Petty Cash IDR - on General Cashier</v>
      </c>
      <c r="F3941" s="191" t="s">
        <v>1901</v>
      </c>
      <c r="G3941" s="130"/>
      <c r="H3941" s="10">
        <v>8031568</v>
      </c>
      <c r="I3941" s="10"/>
      <c r="J3941" s="79" t="e">
        <f t="shared" si="254"/>
        <v>#VALUE!</v>
      </c>
      <c r="K3941" s="106"/>
      <c r="L3941" s="141"/>
      <c r="M3941" s="132"/>
      <c r="N3941" s="133"/>
      <c r="O3941" s="4"/>
      <c r="P3941" s="4"/>
      <c r="Q3941" s="4"/>
      <c r="R3941" s="4"/>
      <c r="S3941" s="4"/>
      <c r="T3941" s="4"/>
      <c r="U3941" s="4"/>
      <c r="V3941" s="4"/>
      <c r="W3941" s="4"/>
      <c r="X3941" s="4"/>
    </row>
    <row r="3942" spans="1:24" ht="14.25" customHeight="1">
      <c r="A3942" s="4"/>
      <c r="B3942" s="125">
        <v>46188</v>
      </c>
      <c r="C3942" s="126" t="s">
        <v>1900</v>
      </c>
      <c r="D3942" s="15" t="s">
        <v>39</v>
      </c>
      <c r="E3942" s="10" t="str">
        <f>TRIM(VLOOKUP(D3942,TB!$B$9:$C$1500,2,FALSE))</f>
        <v>Petty Cash IDR - on Bar Cashier</v>
      </c>
      <c r="F3942" s="191" t="s">
        <v>1901</v>
      </c>
      <c r="G3942" s="130"/>
      <c r="H3942" s="10"/>
      <c r="I3942" s="10">
        <v>8031568</v>
      </c>
      <c r="J3942" s="79" t="e">
        <f t="shared" si="254"/>
        <v>#VALUE!</v>
      </c>
      <c r="K3942" s="106"/>
      <c r="L3942" s="141"/>
      <c r="M3942" s="132"/>
      <c r="N3942" s="133"/>
      <c r="O3942" s="4"/>
      <c r="P3942" s="4"/>
      <c r="Q3942" s="4"/>
      <c r="R3942" s="4"/>
      <c r="S3942" s="4"/>
      <c r="T3942" s="4"/>
      <c r="U3942" s="4"/>
      <c r="V3942" s="4"/>
      <c r="W3942" s="4"/>
      <c r="X3942" s="4"/>
    </row>
    <row r="3943" spans="1:24" ht="14.25" customHeight="1">
      <c r="A3943" s="4"/>
      <c r="B3943" s="125">
        <v>46188</v>
      </c>
      <c r="C3943" s="126" t="s">
        <v>1900</v>
      </c>
      <c r="D3943" s="15" t="s">
        <v>1754</v>
      </c>
      <c r="E3943" s="10" t="str">
        <f>TRIM(VLOOKUP(D3943,TB!$B$9:$C$1500,2,FALSE))</f>
        <v>Ice Cube</v>
      </c>
      <c r="F3943" s="191" t="s">
        <v>1902</v>
      </c>
      <c r="G3943" s="130">
        <v>20</v>
      </c>
      <c r="H3943" s="10">
        <v>120000</v>
      </c>
      <c r="I3943" s="10"/>
      <c r="J3943" s="79" t="e">
        <f t="shared" si="254"/>
        <v>#VALUE!</v>
      </c>
      <c r="K3943" s="106">
        <f>H3943/G3943</f>
        <v>6000</v>
      </c>
      <c r="L3943" s="141"/>
      <c r="M3943" s="132"/>
      <c r="N3943" s="133"/>
      <c r="O3943" s="4"/>
      <c r="P3943" s="4"/>
      <c r="Q3943" s="4"/>
      <c r="R3943" s="4"/>
      <c r="S3943" s="4"/>
      <c r="T3943" s="4"/>
      <c r="U3943" s="4"/>
      <c r="V3943" s="4"/>
      <c r="W3943" s="4"/>
      <c r="X3943" s="4"/>
    </row>
    <row r="3944" spans="1:24" ht="14.25" customHeight="1">
      <c r="A3944" s="4"/>
      <c r="B3944" s="125">
        <v>46188</v>
      </c>
      <c r="C3944" s="126" t="s">
        <v>1900</v>
      </c>
      <c r="D3944" s="15" t="s">
        <v>1770</v>
      </c>
      <c r="E3944" s="10" t="str">
        <f>TRIM(VLOOKUP(D3944,TB!$B$9:$C$1500,2,FALSE))</f>
        <v>Ceremony Expenses</v>
      </c>
      <c r="F3944" s="191" t="s">
        <v>1903</v>
      </c>
      <c r="G3944" s="130"/>
      <c r="H3944" s="10">
        <v>18000</v>
      </c>
      <c r="I3944" s="10"/>
      <c r="J3944" s="79" t="e">
        <f t="shared" si="254"/>
        <v>#VALUE!</v>
      </c>
      <c r="K3944" s="106"/>
      <c r="L3944" s="141"/>
      <c r="M3944" s="132"/>
      <c r="N3944" s="133"/>
      <c r="O3944" s="4"/>
      <c r="P3944" s="4"/>
      <c r="Q3944" s="4"/>
      <c r="R3944" s="4"/>
      <c r="S3944" s="4"/>
      <c r="T3944" s="4"/>
      <c r="U3944" s="4"/>
      <c r="V3944" s="4"/>
      <c r="W3944" s="4"/>
      <c r="X3944" s="4"/>
    </row>
    <row r="3945" spans="1:24" ht="14.25" customHeight="1">
      <c r="A3945" s="4"/>
      <c r="B3945" s="125">
        <v>46188</v>
      </c>
      <c r="C3945" s="126" t="s">
        <v>1900</v>
      </c>
      <c r="D3945" s="15" t="s">
        <v>1226</v>
      </c>
      <c r="E3945" s="10" t="str">
        <f>TRIM(VLOOKUP(D3945,TB!$B$9:$C$1500,2,FALSE))</f>
        <v>Enggineering Electrical &amp; plumbing Supplies</v>
      </c>
      <c r="F3945" s="191" t="s">
        <v>1756</v>
      </c>
      <c r="G3945" s="130"/>
      <c r="H3945" s="10">
        <v>24000</v>
      </c>
      <c r="I3945" s="10"/>
      <c r="J3945" s="79" t="e">
        <f t="shared" si="254"/>
        <v>#VALUE!</v>
      </c>
      <c r="K3945" s="106"/>
      <c r="L3945" s="141"/>
      <c r="M3945" s="132"/>
      <c r="N3945" s="133"/>
      <c r="O3945" s="4"/>
      <c r="P3945" s="4"/>
      <c r="Q3945" s="4"/>
      <c r="R3945" s="4"/>
      <c r="S3945" s="4"/>
      <c r="T3945" s="4"/>
      <c r="U3945" s="4"/>
      <c r="V3945" s="4"/>
      <c r="W3945" s="4"/>
      <c r="X3945" s="4"/>
    </row>
    <row r="3946" spans="1:24" ht="14.25" customHeight="1">
      <c r="A3946" s="4"/>
      <c r="B3946" s="125">
        <v>46188</v>
      </c>
      <c r="C3946" s="126" t="s">
        <v>1900</v>
      </c>
      <c r="D3946" s="15" t="s">
        <v>1754</v>
      </c>
      <c r="E3946" s="10" t="str">
        <f>TRIM(VLOOKUP(D3946,TB!$B$9:$C$1500,2,FALSE))</f>
        <v>Ice Cube</v>
      </c>
      <c r="F3946" s="191" t="s">
        <v>1902</v>
      </c>
      <c r="G3946" s="130">
        <f>15</f>
        <v>15</v>
      </c>
      <c r="H3946" s="10">
        <v>180000</v>
      </c>
      <c r="I3946" s="10"/>
      <c r="J3946" s="79" t="e">
        <f t="shared" si="254"/>
        <v>#VALUE!</v>
      </c>
      <c r="K3946" s="106">
        <f>H3946/G3946</f>
        <v>12000</v>
      </c>
      <c r="L3946" s="141"/>
      <c r="M3946" s="132"/>
      <c r="N3946" s="133"/>
      <c r="O3946" s="4"/>
      <c r="P3946" s="4"/>
      <c r="Q3946" s="4"/>
      <c r="R3946" s="4"/>
      <c r="S3946" s="4"/>
      <c r="T3946" s="4"/>
      <c r="U3946" s="4"/>
      <c r="V3946" s="4"/>
      <c r="W3946" s="4"/>
      <c r="X3946" s="4"/>
    </row>
    <row r="3947" spans="1:24" ht="14.25" customHeight="1">
      <c r="A3947" s="4"/>
      <c r="B3947" s="125">
        <v>46188</v>
      </c>
      <c r="C3947" s="126" t="s">
        <v>1900</v>
      </c>
      <c r="D3947" s="15" t="s">
        <v>1208</v>
      </c>
      <c r="E3947" s="10" t="str">
        <f>TRIM(VLOOKUP(D3947,TB!$B$9:$C$1500,2,FALSE))</f>
        <v>Telephone/Interne/Pulsa/Courier &amp; Postage</v>
      </c>
      <c r="F3947" s="191" t="s">
        <v>1775</v>
      </c>
      <c r="G3947" s="130"/>
      <c r="H3947" s="10">
        <v>22000</v>
      </c>
      <c r="I3947" s="10"/>
      <c r="J3947" s="79" t="e">
        <f t="shared" si="254"/>
        <v>#VALUE!</v>
      </c>
      <c r="K3947" s="106"/>
      <c r="L3947" s="141"/>
      <c r="M3947" s="132"/>
      <c r="N3947" s="133"/>
      <c r="O3947" s="4"/>
      <c r="P3947" s="4"/>
      <c r="Q3947" s="4"/>
      <c r="R3947" s="4"/>
      <c r="S3947" s="4"/>
      <c r="T3947" s="4"/>
      <c r="U3947" s="4"/>
      <c r="V3947" s="4"/>
      <c r="W3947" s="4"/>
      <c r="X3947" s="4"/>
    </row>
    <row r="3948" spans="1:24" ht="14.25" customHeight="1">
      <c r="A3948" s="4"/>
      <c r="B3948" s="125">
        <v>46188</v>
      </c>
      <c r="C3948" s="126" t="s">
        <v>1900</v>
      </c>
      <c r="D3948" s="15" t="s">
        <v>1754</v>
      </c>
      <c r="E3948" s="10" t="str">
        <f>TRIM(VLOOKUP(D3948,TB!$B$9:$C$1500,2,FALSE))</f>
        <v>Ice Cube</v>
      </c>
      <c r="F3948" s="191" t="s">
        <v>1902</v>
      </c>
      <c r="G3948" s="130">
        <f>15+25</f>
        <v>40</v>
      </c>
      <c r="H3948" s="10">
        <v>330000</v>
      </c>
      <c r="I3948" s="10"/>
      <c r="J3948" s="79" t="e">
        <f t="shared" si="254"/>
        <v>#VALUE!</v>
      </c>
      <c r="K3948" s="106">
        <f t="shared" ref="K3948:K3951" si="261">H3948/G3948</f>
        <v>8250</v>
      </c>
      <c r="L3948" s="141"/>
      <c r="M3948" s="132"/>
      <c r="N3948" s="133"/>
      <c r="O3948" s="4"/>
      <c r="P3948" s="4"/>
      <c r="Q3948" s="4"/>
      <c r="R3948" s="4"/>
      <c r="S3948" s="4"/>
      <c r="T3948" s="4"/>
      <c r="U3948" s="4"/>
      <c r="V3948" s="4"/>
      <c r="W3948" s="4"/>
      <c r="X3948" s="4"/>
    </row>
    <row r="3949" spans="1:24" ht="14.25" customHeight="1">
      <c r="A3949" s="4"/>
      <c r="B3949" s="125">
        <v>46188</v>
      </c>
      <c r="C3949" s="126" t="s">
        <v>1900</v>
      </c>
      <c r="D3949" s="15" t="s">
        <v>1794</v>
      </c>
      <c r="E3949" s="10" t="str">
        <f>TRIM(VLOOKUP(D3949,TB!$B$9:$C$1500,2,FALSE))</f>
        <v>Garlic/Bawang Putih</v>
      </c>
      <c r="F3949" s="191" t="s">
        <v>1904</v>
      </c>
      <c r="G3949" s="130">
        <v>0.25</v>
      </c>
      <c r="H3949" s="10">
        <v>13000</v>
      </c>
      <c r="I3949" s="10"/>
      <c r="J3949" s="79" t="e">
        <f t="shared" si="254"/>
        <v>#VALUE!</v>
      </c>
      <c r="K3949" s="106">
        <f t="shared" si="261"/>
        <v>52000</v>
      </c>
      <c r="L3949" s="141"/>
      <c r="M3949" s="132"/>
      <c r="N3949" s="133"/>
      <c r="O3949" s="4"/>
      <c r="P3949" s="4"/>
      <c r="Q3949" s="4"/>
      <c r="R3949" s="4"/>
      <c r="S3949" s="4"/>
      <c r="T3949" s="4"/>
      <c r="U3949" s="4"/>
      <c r="V3949" s="4"/>
      <c r="W3949" s="4"/>
      <c r="X3949" s="4"/>
    </row>
    <row r="3950" spans="1:24" ht="14.25" customHeight="1">
      <c r="A3950" s="4"/>
      <c r="B3950" s="125">
        <v>46188</v>
      </c>
      <c r="C3950" s="126" t="s">
        <v>1900</v>
      </c>
      <c r="D3950" s="15" t="s">
        <v>1765</v>
      </c>
      <c r="E3950" s="10" t="str">
        <f>TRIM(VLOOKUP(D3950,TB!$B$9:$C$1500,2,FALSE))</f>
        <v>Great Chilli / Lombok Besar</v>
      </c>
      <c r="F3950" s="191" t="s">
        <v>1905</v>
      </c>
      <c r="G3950" s="130">
        <v>0.25</v>
      </c>
      <c r="H3950" s="10">
        <v>13000</v>
      </c>
      <c r="I3950" s="10"/>
      <c r="J3950" s="79" t="e">
        <f t="shared" si="254"/>
        <v>#VALUE!</v>
      </c>
      <c r="K3950" s="106">
        <f t="shared" si="261"/>
        <v>52000</v>
      </c>
      <c r="L3950" s="141"/>
      <c r="M3950" s="132"/>
      <c r="N3950" s="133"/>
      <c r="O3950" s="4"/>
      <c r="P3950" s="4"/>
      <c r="Q3950" s="4"/>
      <c r="R3950" s="4"/>
      <c r="S3950" s="4"/>
      <c r="T3950" s="4"/>
      <c r="U3950" s="4"/>
      <c r="V3950" s="4"/>
      <c r="W3950" s="4"/>
      <c r="X3950" s="4"/>
    </row>
    <row r="3951" spans="1:24" ht="14.25" customHeight="1">
      <c r="A3951" s="4"/>
      <c r="B3951" s="125">
        <v>46188</v>
      </c>
      <c r="C3951" s="126" t="s">
        <v>1900</v>
      </c>
      <c r="D3951" s="15" t="s">
        <v>1754</v>
      </c>
      <c r="E3951" s="10" t="str">
        <f>TRIM(VLOOKUP(D3951,TB!$B$9:$C$1500,2,FALSE))</f>
        <v>Ice Cube</v>
      </c>
      <c r="F3951" s="191" t="s">
        <v>1906</v>
      </c>
      <c r="G3951" s="130">
        <v>6</v>
      </c>
      <c r="H3951" s="10">
        <v>48000</v>
      </c>
      <c r="I3951" s="10"/>
      <c r="J3951" s="79" t="e">
        <f t="shared" si="254"/>
        <v>#VALUE!</v>
      </c>
      <c r="K3951" s="106">
        <f t="shared" si="261"/>
        <v>8000</v>
      </c>
      <c r="L3951" s="141"/>
      <c r="M3951" s="132"/>
      <c r="N3951" s="133"/>
      <c r="O3951" s="4"/>
      <c r="P3951" s="4"/>
      <c r="Q3951" s="4"/>
      <c r="R3951" s="4"/>
      <c r="S3951" s="4"/>
      <c r="T3951" s="4"/>
      <c r="U3951" s="4"/>
      <c r="V3951" s="4"/>
      <c r="W3951" s="4"/>
      <c r="X3951" s="4"/>
    </row>
    <row r="3952" spans="1:24" ht="14.25" customHeight="1">
      <c r="A3952" s="4"/>
      <c r="B3952" s="125">
        <v>46188</v>
      </c>
      <c r="C3952" s="126" t="s">
        <v>1900</v>
      </c>
      <c r="D3952" s="15" t="s">
        <v>1608</v>
      </c>
      <c r="E3952" s="10" t="str">
        <f>TRIM(VLOOKUP(D3952,TB!$B$9:$C$1500,2,FALSE))</f>
        <v>Property Repair &amp; Maintenance</v>
      </c>
      <c r="F3952" s="191" t="s">
        <v>1862</v>
      </c>
      <c r="G3952" s="130"/>
      <c r="H3952" s="10">
        <v>120000</v>
      </c>
      <c r="I3952" s="10"/>
      <c r="J3952" s="79" t="e">
        <f t="shared" si="254"/>
        <v>#VALUE!</v>
      </c>
      <c r="K3952" s="106"/>
      <c r="L3952" s="141"/>
      <c r="M3952" s="132"/>
      <c r="N3952" s="133"/>
      <c r="O3952" s="4"/>
      <c r="P3952" s="4"/>
      <c r="Q3952" s="4"/>
      <c r="R3952" s="4"/>
      <c r="S3952" s="4"/>
      <c r="T3952" s="4"/>
      <c r="U3952" s="4"/>
      <c r="V3952" s="4"/>
      <c r="W3952" s="4"/>
      <c r="X3952" s="4"/>
    </row>
    <row r="3953" spans="1:24" ht="14.25" customHeight="1">
      <c r="A3953" s="4"/>
      <c r="B3953" s="125">
        <v>46188</v>
      </c>
      <c r="C3953" s="126" t="s">
        <v>1900</v>
      </c>
      <c r="D3953" s="15" t="s">
        <v>1155</v>
      </c>
      <c r="E3953" s="10" t="str">
        <f>TRIM(VLOOKUP(D3953,TB!$B$9:$C$1500,2,FALSE))</f>
        <v>Kitchen Supplies</v>
      </c>
      <c r="F3953" s="191" t="s">
        <v>1782</v>
      </c>
      <c r="G3953" s="130">
        <f>8*0.2</f>
        <v>1.6</v>
      </c>
      <c r="H3953" s="10">
        <v>52000</v>
      </c>
      <c r="I3953" s="10"/>
      <c r="J3953" s="79" t="e">
        <f t="shared" si="254"/>
        <v>#VALUE!</v>
      </c>
      <c r="K3953" s="106"/>
      <c r="L3953" s="141"/>
      <c r="M3953" s="132"/>
      <c r="N3953" s="133"/>
      <c r="O3953" s="4"/>
      <c r="P3953" s="4"/>
      <c r="Q3953" s="4"/>
      <c r="R3953" s="4"/>
      <c r="S3953" s="4"/>
      <c r="T3953" s="4"/>
      <c r="U3953" s="4"/>
      <c r="V3953" s="4"/>
      <c r="W3953" s="4"/>
      <c r="X3953" s="4"/>
    </row>
    <row r="3954" spans="1:24" ht="14.25" customHeight="1">
      <c r="A3954" s="4"/>
      <c r="B3954" s="125">
        <v>46188</v>
      </c>
      <c r="C3954" s="126" t="s">
        <v>1900</v>
      </c>
      <c r="D3954" s="159" t="s">
        <v>158</v>
      </c>
      <c r="E3954" s="10" t="str">
        <f>TRIM(VLOOKUP(D3954,TB!$B$9:$C$1500,2,FALSE))</f>
        <v>Mandiri TBB IDR</v>
      </c>
      <c r="F3954" s="191" t="s">
        <v>1907</v>
      </c>
      <c r="G3954" s="130"/>
      <c r="H3954" s="155">
        <v>32988000</v>
      </c>
      <c r="I3954" s="10"/>
      <c r="J3954" s="79" t="e">
        <f t="shared" si="254"/>
        <v>#VALUE!</v>
      </c>
      <c r="K3954" s="106"/>
      <c r="L3954" s="141"/>
      <c r="M3954" s="132"/>
      <c r="N3954" s="133"/>
      <c r="O3954" s="4"/>
      <c r="P3954" s="4"/>
      <c r="Q3954" s="4"/>
      <c r="R3954" s="4"/>
      <c r="S3954" s="4"/>
      <c r="T3954" s="4"/>
      <c r="U3954" s="4"/>
      <c r="V3954" s="4"/>
      <c r="W3954" s="4"/>
      <c r="X3954" s="4"/>
    </row>
    <row r="3955" spans="1:24" ht="14.25" customHeight="1">
      <c r="A3955" s="4"/>
      <c r="B3955" s="125">
        <v>46188</v>
      </c>
      <c r="C3955" s="126" t="s">
        <v>1900</v>
      </c>
      <c r="D3955" s="159" t="s">
        <v>158</v>
      </c>
      <c r="E3955" s="10" t="str">
        <f>TRIM(VLOOKUP(D3955,TB!$B$9:$C$1500,2,FALSE))</f>
        <v>Mandiri TBB IDR</v>
      </c>
      <c r="F3955" s="142" t="s">
        <v>1908</v>
      </c>
      <c r="G3955" s="130"/>
      <c r="H3955" s="155">
        <v>5000000</v>
      </c>
      <c r="I3955" s="10"/>
      <c r="J3955" s="79" t="e">
        <f t="shared" si="254"/>
        <v>#VALUE!</v>
      </c>
      <c r="K3955" s="106"/>
      <c r="L3955" s="141"/>
      <c r="M3955" s="132"/>
      <c r="N3955" s="133"/>
      <c r="O3955" s="4"/>
      <c r="P3955" s="4"/>
      <c r="Q3955" s="4"/>
      <c r="R3955" s="4"/>
      <c r="S3955" s="4"/>
      <c r="T3955" s="4"/>
      <c r="U3955" s="4"/>
      <c r="V3955" s="4"/>
      <c r="W3955" s="4"/>
      <c r="X3955" s="4"/>
    </row>
    <row r="3956" spans="1:24" ht="14.25" customHeight="1">
      <c r="A3956" s="4"/>
      <c r="B3956" s="125">
        <v>46188</v>
      </c>
      <c r="C3956" s="126" t="s">
        <v>1900</v>
      </c>
      <c r="D3956" s="15" t="s">
        <v>1745</v>
      </c>
      <c r="E3956" s="10" t="str">
        <f>TRIM(VLOOKUP(D3956,TB!$B$9:$C$1500,2,FALSE))</f>
        <v>Petty Cash IDR - on General Cashier</v>
      </c>
      <c r="F3956" s="142" t="s">
        <v>1909</v>
      </c>
      <c r="G3956" s="130"/>
      <c r="H3956" s="10"/>
      <c r="I3956" s="10">
        <v>38928000</v>
      </c>
      <c r="J3956" s="79" t="e">
        <f t="shared" si="254"/>
        <v>#VALUE!</v>
      </c>
      <c r="K3956" s="106"/>
      <c r="L3956" s="141"/>
      <c r="M3956" s="132"/>
      <c r="N3956" s="133"/>
      <c r="O3956" s="4"/>
      <c r="P3956" s="4"/>
      <c r="Q3956" s="4"/>
      <c r="R3956" s="4"/>
      <c r="S3956" s="4"/>
      <c r="T3956" s="4"/>
      <c r="U3956" s="4"/>
      <c r="V3956" s="4"/>
      <c r="W3956" s="4"/>
      <c r="X3956" s="4"/>
    </row>
    <row r="3957" spans="1:24" ht="14.25" customHeight="1">
      <c r="A3957" s="4"/>
      <c r="B3957" s="125"/>
      <c r="C3957" s="126"/>
      <c r="D3957" s="159"/>
      <c r="E3957" s="10" t="e">
        <f>TRIM(VLOOKUP(D3957,TB!$B$9:$C$1500,2,FALSE))</f>
        <v>#N/A</v>
      </c>
      <c r="F3957" s="142"/>
      <c r="G3957" s="130"/>
      <c r="H3957" s="10"/>
      <c r="I3957" s="10"/>
      <c r="J3957" s="79" t="e">
        <f t="shared" si="254"/>
        <v>#VALUE!</v>
      </c>
      <c r="K3957" s="106"/>
      <c r="L3957" s="141"/>
      <c r="M3957" s="132"/>
      <c r="N3957" s="133"/>
      <c r="O3957" s="4"/>
      <c r="P3957" s="4"/>
      <c r="Q3957" s="4"/>
      <c r="R3957" s="4"/>
      <c r="S3957" s="4"/>
      <c r="T3957" s="4"/>
      <c r="U3957" s="4"/>
      <c r="V3957" s="4"/>
      <c r="W3957" s="4"/>
      <c r="X3957" s="4"/>
    </row>
    <row r="3958" spans="1:24" ht="14.25" customHeight="1">
      <c r="A3958" s="4"/>
      <c r="B3958" s="125">
        <v>46192</v>
      </c>
      <c r="C3958" s="126" t="s">
        <v>1910</v>
      </c>
      <c r="D3958" s="15" t="s">
        <v>1745</v>
      </c>
      <c r="E3958" s="10" t="str">
        <f>TRIM(VLOOKUP(D3958,TB!$B$9:$C$1500,2,FALSE))</f>
        <v>Petty Cash IDR - on General Cashier</v>
      </c>
      <c r="F3958" s="191" t="s">
        <v>1911</v>
      </c>
      <c r="G3958" s="130"/>
      <c r="H3958" s="10">
        <v>7496471</v>
      </c>
      <c r="I3958" s="10"/>
      <c r="J3958" s="79" t="e">
        <f t="shared" si="254"/>
        <v>#VALUE!</v>
      </c>
      <c r="K3958" s="106"/>
      <c r="L3958" s="141"/>
      <c r="M3958" s="132"/>
      <c r="N3958" s="133"/>
      <c r="O3958" s="4"/>
      <c r="P3958" s="4"/>
      <c r="Q3958" s="4"/>
      <c r="R3958" s="4"/>
      <c r="S3958" s="4"/>
      <c r="T3958" s="4"/>
      <c r="U3958" s="4"/>
      <c r="V3958" s="4"/>
      <c r="W3958" s="4"/>
      <c r="X3958" s="4"/>
    </row>
    <row r="3959" spans="1:24" ht="14.25" customHeight="1">
      <c r="A3959" s="4"/>
      <c r="B3959" s="125">
        <v>46192</v>
      </c>
      <c r="C3959" s="126" t="s">
        <v>1910</v>
      </c>
      <c r="D3959" s="15" t="s">
        <v>39</v>
      </c>
      <c r="E3959" s="10" t="str">
        <f>TRIM(VLOOKUP(D3959,TB!$B$9:$C$1500,2,FALSE))</f>
        <v>Petty Cash IDR - on Bar Cashier</v>
      </c>
      <c r="F3959" s="191" t="s">
        <v>1911</v>
      </c>
      <c r="G3959" s="130"/>
      <c r="H3959" s="10"/>
      <c r="I3959" s="10">
        <v>7496471</v>
      </c>
      <c r="J3959" s="79" t="e">
        <f t="shared" si="254"/>
        <v>#VALUE!</v>
      </c>
      <c r="K3959" s="106"/>
      <c r="L3959" s="141"/>
      <c r="M3959" s="132"/>
      <c r="N3959" s="133"/>
      <c r="O3959" s="4"/>
      <c r="P3959" s="4"/>
      <c r="Q3959" s="4"/>
      <c r="R3959" s="4"/>
      <c r="S3959" s="4"/>
      <c r="T3959" s="4"/>
      <c r="U3959" s="4"/>
      <c r="V3959" s="4"/>
      <c r="W3959" s="4"/>
      <c r="X3959" s="4"/>
    </row>
    <row r="3960" spans="1:24" ht="14.25" customHeight="1">
      <c r="A3960" s="4"/>
      <c r="B3960" s="125">
        <v>46192</v>
      </c>
      <c r="C3960" s="126" t="s">
        <v>1910</v>
      </c>
      <c r="D3960" s="15" t="s">
        <v>1208</v>
      </c>
      <c r="E3960" s="10" t="str">
        <f>TRIM(VLOOKUP(D3960,TB!$B$9:$C$1500,2,FALSE))</f>
        <v>Telephone/Interne/Pulsa/Courier &amp; Postage</v>
      </c>
      <c r="F3960" s="191" t="s">
        <v>1775</v>
      </c>
      <c r="G3960" s="130"/>
      <c r="H3960" s="10">
        <v>22000</v>
      </c>
      <c r="I3960" s="10"/>
      <c r="J3960" s="79" t="e">
        <f t="shared" si="254"/>
        <v>#VALUE!</v>
      </c>
      <c r="K3960" s="106"/>
      <c r="L3960" s="141"/>
      <c r="M3960" s="132"/>
      <c r="N3960" s="133"/>
      <c r="O3960" s="4"/>
      <c r="P3960" s="4"/>
      <c r="Q3960" s="4"/>
      <c r="R3960" s="4"/>
      <c r="S3960" s="4"/>
      <c r="T3960" s="4"/>
      <c r="U3960" s="4"/>
      <c r="V3960" s="4"/>
      <c r="W3960" s="4"/>
      <c r="X3960" s="4"/>
    </row>
    <row r="3961" spans="1:24" ht="14.25" customHeight="1">
      <c r="A3961" s="4"/>
      <c r="B3961" s="125">
        <v>46192</v>
      </c>
      <c r="C3961" s="126" t="s">
        <v>1910</v>
      </c>
      <c r="D3961" s="15" t="s">
        <v>1863</v>
      </c>
      <c r="E3961" s="10" t="str">
        <f>TRIM(VLOOKUP(D3961,TB!$B$9:$C$1500,2,FALSE))</f>
        <v>Marlboro Ice Blast</v>
      </c>
      <c r="F3961" s="191" t="s">
        <v>1912</v>
      </c>
      <c r="G3961" s="130">
        <v>10</v>
      </c>
      <c r="H3961" s="10">
        <v>518000</v>
      </c>
      <c r="I3961" s="10"/>
      <c r="J3961" s="79" t="e">
        <f t="shared" si="254"/>
        <v>#VALUE!</v>
      </c>
      <c r="K3961" s="106"/>
      <c r="L3961" s="141"/>
      <c r="M3961" s="132"/>
      <c r="N3961" s="133"/>
      <c r="O3961" s="4"/>
      <c r="P3961" s="4"/>
      <c r="Q3961" s="4"/>
      <c r="R3961" s="4"/>
      <c r="S3961" s="4"/>
      <c r="T3961" s="4"/>
      <c r="U3961" s="4"/>
      <c r="V3961" s="4"/>
      <c r="W3961" s="4"/>
      <c r="X3961" s="4"/>
    </row>
    <row r="3962" spans="1:24" ht="14.25" customHeight="1">
      <c r="A3962" s="4"/>
      <c r="B3962" s="125">
        <v>46192</v>
      </c>
      <c r="C3962" s="126" t="s">
        <v>1910</v>
      </c>
      <c r="D3962" s="15" t="s">
        <v>1776</v>
      </c>
      <c r="E3962" s="10" t="str">
        <f>TRIM(VLOOKUP(D3962,TB!$B$9:$C$1500,2,FALSE))</f>
        <v>Marlboro Merah</v>
      </c>
      <c r="F3962" s="191" t="s">
        <v>1913</v>
      </c>
      <c r="G3962" s="130">
        <v>10</v>
      </c>
      <c r="H3962" s="10">
        <v>518000</v>
      </c>
      <c r="I3962" s="10"/>
      <c r="J3962" s="79" t="e">
        <f t="shared" si="254"/>
        <v>#VALUE!</v>
      </c>
      <c r="K3962" s="106"/>
      <c r="L3962" s="141"/>
      <c r="M3962" s="132"/>
      <c r="N3962" s="133"/>
      <c r="O3962" s="4"/>
      <c r="P3962" s="4"/>
      <c r="Q3962" s="4"/>
      <c r="R3962" s="4"/>
      <c r="S3962" s="4"/>
      <c r="T3962" s="4"/>
      <c r="U3962" s="4"/>
      <c r="V3962" s="4"/>
      <c r="W3962" s="4"/>
      <c r="X3962" s="4"/>
    </row>
    <row r="3963" spans="1:24" ht="14.25" customHeight="1">
      <c r="A3963" s="4"/>
      <c r="B3963" s="125">
        <v>46192</v>
      </c>
      <c r="C3963" s="126" t="s">
        <v>1910</v>
      </c>
      <c r="D3963" s="15" t="s">
        <v>1778</v>
      </c>
      <c r="E3963" s="10" t="str">
        <f>TRIM(VLOOKUP(D3963,TB!$B$9:$C$1500,2,FALSE))</f>
        <v>Marlboro Light / GOLD</v>
      </c>
      <c r="F3963" s="191" t="s">
        <v>1914</v>
      </c>
      <c r="G3963" s="130">
        <v>10</v>
      </c>
      <c r="H3963" s="10">
        <v>518000</v>
      </c>
      <c r="I3963" s="10"/>
      <c r="J3963" s="79" t="e">
        <f t="shared" si="254"/>
        <v>#VALUE!</v>
      </c>
      <c r="K3963" s="106"/>
      <c r="L3963" s="141"/>
      <c r="M3963" s="132"/>
      <c r="N3963" s="133"/>
      <c r="O3963" s="4"/>
      <c r="P3963" s="4"/>
      <c r="Q3963" s="4"/>
      <c r="R3963" s="4"/>
      <c r="S3963" s="4"/>
      <c r="T3963" s="4"/>
      <c r="U3963" s="4"/>
      <c r="V3963" s="4"/>
      <c r="W3963" s="4"/>
      <c r="X3963" s="4"/>
    </row>
    <row r="3964" spans="1:24" ht="14.25" customHeight="1">
      <c r="A3964" s="4"/>
      <c r="B3964" s="125">
        <v>46192</v>
      </c>
      <c r="C3964" s="126" t="s">
        <v>1910</v>
      </c>
      <c r="D3964" s="15" t="s">
        <v>1208</v>
      </c>
      <c r="E3964" s="10" t="str">
        <f>TRIM(VLOOKUP(D3964,TB!$B$9:$C$1500,2,FALSE))</f>
        <v>Telephone/Interne/Pulsa/Courier &amp; Postage</v>
      </c>
      <c r="F3964" s="191" t="s">
        <v>1775</v>
      </c>
      <c r="G3964" s="130"/>
      <c r="H3964" s="10">
        <v>15000</v>
      </c>
      <c r="I3964" s="10"/>
      <c r="J3964" s="79" t="e">
        <f t="shared" si="254"/>
        <v>#VALUE!</v>
      </c>
      <c r="K3964" s="106"/>
      <c r="L3964" s="141"/>
      <c r="M3964" s="132"/>
      <c r="N3964" s="133"/>
      <c r="O3964" s="4"/>
      <c r="P3964" s="4"/>
      <c r="Q3964" s="4"/>
      <c r="R3964" s="4"/>
      <c r="S3964" s="4"/>
      <c r="T3964" s="4"/>
      <c r="U3964" s="4"/>
      <c r="V3964" s="4"/>
      <c r="W3964" s="4"/>
      <c r="X3964" s="4"/>
    </row>
    <row r="3965" spans="1:24" ht="14.25" customHeight="1">
      <c r="A3965" s="4"/>
      <c r="B3965" s="125">
        <v>46192</v>
      </c>
      <c r="C3965" s="126" t="s">
        <v>1910</v>
      </c>
      <c r="D3965" s="15" t="s">
        <v>1754</v>
      </c>
      <c r="E3965" s="10" t="str">
        <f>TRIM(VLOOKUP(D3965,TB!$B$9:$C$1500,2,FALSE))</f>
        <v>Ice Cube</v>
      </c>
      <c r="F3965" s="191" t="s">
        <v>1915</v>
      </c>
      <c r="G3965" s="130">
        <v>6</v>
      </c>
      <c r="H3965" s="10">
        <v>48000</v>
      </c>
      <c r="I3965" s="10"/>
      <c r="J3965" s="79" t="e">
        <f t="shared" si="254"/>
        <v>#VALUE!</v>
      </c>
      <c r="K3965" s="106">
        <f t="shared" ref="K3965:K3966" si="262">H3965/G3965</f>
        <v>8000</v>
      </c>
      <c r="L3965" s="141"/>
      <c r="M3965" s="132"/>
      <c r="N3965" s="133"/>
      <c r="O3965" s="4"/>
      <c r="P3965" s="4"/>
      <c r="Q3965" s="4"/>
      <c r="R3965" s="4"/>
      <c r="S3965" s="4"/>
      <c r="T3965" s="4"/>
      <c r="U3965" s="4"/>
      <c r="V3965" s="4"/>
      <c r="W3965" s="4"/>
      <c r="X3965" s="4"/>
    </row>
    <row r="3966" spans="1:24" ht="14.25" customHeight="1">
      <c r="A3966" s="4"/>
      <c r="B3966" s="125">
        <v>46192</v>
      </c>
      <c r="C3966" s="126" t="s">
        <v>1910</v>
      </c>
      <c r="D3966" s="15" t="s">
        <v>1916</v>
      </c>
      <c r="E3966" s="10" t="str">
        <f>TRIM(VLOOKUP(D3966,TB!$B$9:$C$1500,2,FALSE))</f>
        <v>Egg/Telur</v>
      </c>
      <c r="F3966" s="191" t="s">
        <v>1917</v>
      </c>
      <c r="G3966" s="130">
        <v>30</v>
      </c>
      <c r="H3966" s="10">
        <v>54000</v>
      </c>
      <c r="I3966" s="10"/>
      <c r="J3966" s="79" t="e">
        <f t="shared" si="254"/>
        <v>#VALUE!</v>
      </c>
      <c r="K3966" s="106">
        <f t="shared" si="262"/>
        <v>1800</v>
      </c>
      <c r="L3966" s="141"/>
      <c r="M3966" s="132"/>
      <c r="N3966" s="133"/>
      <c r="O3966" s="4"/>
      <c r="P3966" s="4"/>
      <c r="Q3966" s="4"/>
      <c r="R3966" s="4"/>
      <c r="S3966" s="4"/>
      <c r="T3966" s="4"/>
      <c r="U3966" s="4"/>
      <c r="V3966" s="4"/>
      <c r="W3966" s="4"/>
      <c r="X3966" s="4"/>
    </row>
    <row r="3967" spans="1:24" ht="14.25" customHeight="1">
      <c r="A3967" s="4"/>
      <c r="B3967" s="125">
        <v>46192</v>
      </c>
      <c r="C3967" s="126" t="s">
        <v>1910</v>
      </c>
      <c r="D3967" s="15" t="s">
        <v>1745</v>
      </c>
      <c r="E3967" s="10" t="str">
        <f>TRIM(VLOOKUP(D3967,TB!$B$9:$C$1500,2,FALSE))</f>
        <v>Petty Cash IDR - on General Cashier</v>
      </c>
      <c r="F3967" s="142" t="s">
        <v>1918</v>
      </c>
      <c r="G3967" s="130"/>
      <c r="H3967" s="10"/>
      <c r="I3967" s="10">
        <v>1693000</v>
      </c>
      <c r="J3967" s="79" t="e">
        <f t="shared" si="254"/>
        <v>#VALUE!</v>
      </c>
      <c r="K3967" s="106"/>
      <c r="L3967" s="141"/>
      <c r="M3967" s="132"/>
      <c r="N3967" s="133"/>
      <c r="O3967" s="4"/>
      <c r="P3967" s="4"/>
      <c r="Q3967" s="4"/>
      <c r="R3967" s="4"/>
      <c r="S3967" s="4"/>
      <c r="T3967" s="4"/>
      <c r="U3967" s="4"/>
      <c r="V3967" s="4"/>
      <c r="W3967" s="4"/>
      <c r="X3967" s="4"/>
    </row>
    <row r="3968" spans="1:24" ht="14.25" customHeight="1">
      <c r="A3968" s="4"/>
      <c r="B3968" s="125"/>
      <c r="C3968" s="126"/>
      <c r="D3968" s="159"/>
      <c r="E3968" s="10" t="e">
        <f>TRIM(VLOOKUP(D3968,TB!$B$9:$C$1500,2,FALSE))</f>
        <v>#N/A</v>
      </c>
      <c r="F3968" s="142"/>
      <c r="G3968" s="130"/>
      <c r="H3968" s="10"/>
      <c r="I3968" s="10"/>
      <c r="J3968" s="79" t="e">
        <f t="shared" si="254"/>
        <v>#VALUE!</v>
      </c>
      <c r="K3968" s="106"/>
      <c r="L3968" s="141"/>
      <c r="M3968" s="132"/>
      <c r="N3968" s="133"/>
      <c r="O3968" s="4"/>
      <c r="P3968" s="4"/>
      <c r="Q3968" s="4"/>
      <c r="R3968" s="4"/>
      <c r="S3968" s="4"/>
      <c r="T3968" s="4"/>
      <c r="U3968" s="4"/>
      <c r="V3968" s="4"/>
      <c r="W3968" s="4"/>
      <c r="X3968" s="4"/>
    </row>
    <row r="3969" spans="1:24" ht="14.25" customHeight="1">
      <c r="A3969" s="4"/>
      <c r="B3969" s="125">
        <v>46192</v>
      </c>
      <c r="C3969" s="126" t="s">
        <v>1919</v>
      </c>
      <c r="D3969" s="15" t="s">
        <v>1745</v>
      </c>
      <c r="E3969" s="10" t="str">
        <f>TRIM(VLOOKUP(D3969,TB!$B$9:$C$1500,2,FALSE))</f>
        <v>Petty Cash IDR - on General Cashier</v>
      </c>
      <c r="F3969" s="191" t="s">
        <v>1920</v>
      </c>
      <c r="G3969" s="130"/>
      <c r="H3969" s="10">
        <v>10422862</v>
      </c>
      <c r="I3969" s="10"/>
      <c r="J3969" s="79" t="e">
        <f t="shared" si="254"/>
        <v>#VALUE!</v>
      </c>
      <c r="K3969" s="106"/>
      <c r="L3969" s="141"/>
      <c r="M3969" s="132"/>
      <c r="N3969" s="133"/>
      <c r="O3969" s="4"/>
      <c r="P3969" s="4"/>
      <c r="Q3969" s="4"/>
      <c r="R3969" s="4"/>
      <c r="S3969" s="4"/>
      <c r="T3969" s="4"/>
      <c r="U3969" s="4"/>
      <c r="V3969" s="4"/>
      <c r="W3969" s="4"/>
      <c r="X3969" s="4"/>
    </row>
    <row r="3970" spans="1:24" ht="14.25" customHeight="1">
      <c r="A3970" s="4"/>
      <c r="B3970" s="125">
        <v>46192</v>
      </c>
      <c r="C3970" s="126" t="s">
        <v>1919</v>
      </c>
      <c r="D3970" s="15" t="s">
        <v>39</v>
      </c>
      <c r="E3970" s="10" t="str">
        <f>TRIM(VLOOKUP(D3970,TB!$B$9:$C$1500,2,FALSE))</f>
        <v>Petty Cash IDR - on Bar Cashier</v>
      </c>
      <c r="F3970" s="191" t="s">
        <v>1920</v>
      </c>
      <c r="G3970" s="130"/>
      <c r="H3970" s="10"/>
      <c r="I3970" s="10">
        <v>10422862</v>
      </c>
      <c r="J3970" s="79" t="e">
        <f t="shared" si="254"/>
        <v>#VALUE!</v>
      </c>
      <c r="K3970" s="106"/>
      <c r="L3970" s="141"/>
      <c r="M3970" s="132"/>
      <c r="N3970" s="133"/>
      <c r="O3970" s="4"/>
      <c r="P3970" s="4"/>
      <c r="Q3970" s="4"/>
      <c r="R3970" s="4"/>
      <c r="S3970" s="4"/>
      <c r="T3970" s="4"/>
      <c r="U3970" s="4"/>
      <c r="V3970" s="4"/>
      <c r="W3970" s="4"/>
      <c r="X3970" s="4"/>
    </row>
    <row r="3971" spans="1:24" ht="14.25" customHeight="1">
      <c r="A3971" s="4"/>
      <c r="B3971" s="125">
        <v>46192</v>
      </c>
      <c r="C3971" s="126" t="s">
        <v>1919</v>
      </c>
      <c r="D3971" s="15" t="s">
        <v>1208</v>
      </c>
      <c r="E3971" s="10" t="str">
        <f>TRIM(VLOOKUP(D3971,TB!$B$9:$C$1500,2,FALSE))</f>
        <v>Telephone/Interne/Pulsa/Courier &amp; Postage</v>
      </c>
      <c r="F3971" s="191" t="s">
        <v>1775</v>
      </c>
      <c r="G3971" s="130"/>
      <c r="H3971" s="10">
        <v>19000</v>
      </c>
      <c r="I3971" s="10"/>
      <c r="J3971" s="79" t="e">
        <f t="shared" si="254"/>
        <v>#VALUE!</v>
      </c>
      <c r="K3971" s="106"/>
      <c r="L3971" s="141"/>
      <c r="M3971" s="132"/>
      <c r="N3971" s="133"/>
      <c r="O3971" s="4"/>
      <c r="P3971" s="4"/>
      <c r="Q3971" s="4"/>
      <c r="R3971" s="4"/>
      <c r="S3971" s="4"/>
      <c r="T3971" s="4"/>
      <c r="U3971" s="4"/>
      <c r="V3971" s="4"/>
      <c r="W3971" s="4"/>
      <c r="X3971" s="4"/>
    </row>
    <row r="3972" spans="1:24" ht="14.25" customHeight="1">
      <c r="A3972" s="4"/>
      <c r="B3972" s="125">
        <v>46192</v>
      </c>
      <c r="C3972" s="126" t="s">
        <v>1919</v>
      </c>
      <c r="D3972" s="15" t="s">
        <v>1921</v>
      </c>
      <c r="E3972" s="10" t="str">
        <f>TRIM(VLOOKUP(D3972,TB!$B$9:$C$1500,2,FALSE))</f>
        <v>Bar Supplies &amp; Laundry</v>
      </c>
      <c r="F3972" s="191" t="s">
        <v>1922</v>
      </c>
      <c r="G3972" s="130"/>
      <c r="H3972" s="10">
        <v>140000</v>
      </c>
      <c r="I3972" s="10"/>
      <c r="J3972" s="79" t="e">
        <f t="shared" si="254"/>
        <v>#VALUE!</v>
      </c>
      <c r="K3972" s="106"/>
      <c r="L3972" s="141"/>
      <c r="M3972" s="132"/>
      <c r="N3972" s="133"/>
      <c r="O3972" s="4"/>
      <c r="P3972" s="4"/>
      <c r="Q3972" s="4"/>
      <c r="R3972" s="4"/>
      <c r="S3972" s="4"/>
      <c r="T3972" s="4"/>
      <c r="U3972" s="4"/>
      <c r="V3972" s="4"/>
      <c r="W3972" s="4"/>
      <c r="X3972" s="4"/>
    </row>
    <row r="3973" spans="1:24" ht="14.25" customHeight="1">
      <c r="A3973" s="4"/>
      <c r="B3973" s="125">
        <v>46192</v>
      </c>
      <c r="C3973" s="126" t="s">
        <v>1919</v>
      </c>
      <c r="D3973" s="15" t="s">
        <v>1754</v>
      </c>
      <c r="E3973" s="10" t="str">
        <f>TRIM(VLOOKUP(D3973,TB!$B$9:$C$1500,2,FALSE))</f>
        <v>Ice Cube</v>
      </c>
      <c r="F3973" s="191" t="s">
        <v>1923</v>
      </c>
      <c r="G3973" s="130">
        <v>6</v>
      </c>
      <c r="H3973" s="10">
        <v>48000</v>
      </c>
      <c r="I3973" s="10"/>
      <c r="J3973" s="79" t="e">
        <f t="shared" si="254"/>
        <v>#VALUE!</v>
      </c>
      <c r="K3973" s="106">
        <f>H3973/G3973</f>
        <v>8000</v>
      </c>
      <c r="L3973" s="141"/>
      <c r="M3973" s="132"/>
      <c r="N3973" s="133"/>
      <c r="O3973" s="4"/>
      <c r="P3973" s="4"/>
      <c r="Q3973" s="4"/>
      <c r="R3973" s="4"/>
      <c r="S3973" s="4"/>
      <c r="T3973" s="4"/>
      <c r="U3973" s="4"/>
      <c r="V3973" s="4"/>
      <c r="W3973" s="4"/>
      <c r="X3973" s="4"/>
    </row>
    <row r="3974" spans="1:24" ht="14.25" customHeight="1">
      <c r="A3974" s="4"/>
      <c r="B3974" s="125">
        <v>46192</v>
      </c>
      <c r="C3974" s="126" t="s">
        <v>1919</v>
      </c>
      <c r="D3974" s="15" t="s">
        <v>1208</v>
      </c>
      <c r="E3974" s="10" t="str">
        <f>TRIM(VLOOKUP(D3974,TB!$B$9:$C$1500,2,FALSE))</f>
        <v>Telephone/Interne/Pulsa/Courier &amp; Postage</v>
      </c>
      <c r="F3974" s="191" t="s">
        <v>1775</v>
      </c>
      <c r="G3974" s="130"/>
      <c r="H3974" s="10">
        <v>22000</v>
      </c>
      <c r="I3974" s="10"/>
      <c r="J3974" s="79" t="e">
        <f t="shared" si="254"/>
        <v>#VALUE!</v>
      </c>
      <c r="K3974" s="106"/>
      <c r="L3974" s="141"/>
      <c r="M3974" s="132"/>
      <c r="N3974" s="133"/>
      <c r="O3974" s="4"/>
      <c r="P3974" s="4"/>
      <c r="Q3974" s="4"/>
      <c r="R3974" s="4"/>
      <c r="S3974" s="4"/>
      <c r="T3974" s="4"/>
      <c r="U3974" s="4"/>
      <c r="V3974" s="4"/>
      <c r="W3974" s="4"/>
      <c r="X3974" s="4"/>
    </row>
    <row r="3975" spans="1:24" ht="14.25" customHeight="1">
      <c r="A3975" s="4"/>
      <c r="B3975" s="125">
        <v>46192</v>
      </c>
      <c r="C3975" s="126" t="s">
        <v>1919</v>
      </c>
      <c r="D3975" s="15" t="s">
        <v>1924</v>
      </c>
      <c r="E3975" s="10" t="str">
        <f>TRIM(VLOOKUP(D3975,TB!$B$9:$C$1500,2,FALSE))</f>
        <v>Coriander</v>
      </c>
      <c r="F3975" s="191" t="s">
        <v>1925</v>
      </c>
      <c r="G3975" s="130">
        <v>0.11</v>
      </c>
      <c r="H3975" s="10">
        <v>14000</v>
      </c>
      <c r="I3975" s="10"/>
      <c r="J3975" s="79" t="e">
        <f t="shared" si="254"/>
        <v>#VALUE!</v>
      </c>
      <c r="K3975" s="106">
        <f t="shared" ref="K3975:K3978" si="263">H3975/G3975</f>
        <v>127272.72727272728</v>
      </c>
      <c r="L3975" s="141"/>
      <c r="M3975" s="132"/>
      <c r="N3975" s="133"/>
      <c r="O3975" s="4"/>
      <c r="P3975" s="4"/>
      <c r="Q3975" s="4"/>
      <c r="R3975" s="4"/>
      <c r="S3975" s="4"/>
      <c r="T3975" s="4"/>
      <c r="U3975" s="4"/>
      <c r="V3975" s="4"/>
      <c r="W3975" s="4"/>
      <c r="X3975" s="4"/>
    </row>
    <row r="3976" spans="1:24" ht="14.25" customHeight="1">
      <c r="A3976" s="4"/>
      <c r="B3976" s="125">
        <v>46192</v>
      </c>
      <c r="C3976" s="126" t="s">
        <v>1919</v>
      </c>
      <c r="D3976" s="15" t="s">
        <v>1926</v>
      </c>
      <c r="E3976" s="10" t="str">
        <f>TRIM(VLOOKUP(D3976,TB!$B$9:$C$1500,2,FALSE))</f>
        <v>Cherri Tomato</v>
      </c>
      <c r="F3976" s="191" t="s">
        <v>1927</v>
      </c>
      <c r="G3976" s="130">
        <v>0.65500000000000003</v>
      </c>
      <c r="H3976" s="10">
        <v>36000</v>
      </c>
      <c r="I3976" s="10"/>
      <c r="J3976" s="79" t="e">
        <f t="shared" si="254"/>
        <v>#VALUE!</v>
      </c>
      <c r="K3976" s="106">
        <f t="shared" si="263"/>
        <v>54961.832061068701</v>
      </c>
      <c r="L3976" s="141"/>
      <c r="M3976" s="132"/>
      <c r="N3976" s="133"/>
      <c r="O3976" s="4"/>
      <c r="P3976" s="4"/>
      <c r="Q3976" s="4"/>
      <c r="R3976" s="4"/>
      <c r="S3976" s="4"/>
      <c r="T3976" s="4"/>
      <c r="U3976" s="4"/>
      <c r="V3976" s="4"/>
      <c r="W3976" s="4"/>
      <c r="X3976" s="4"/>
    </row>
    <row r="3977" spans="1:24" ht="14.25" customHeight="1">
      <c r="A3977" s="4"/>
      <c r="B3977" s="125">
        <v>46192</v>
      </c>
      <c r="C3977" s="126" t="s">
        <v>1919</v>
      </c>
      <c r="D3977" s="15" t="s">
        <v>1928</v>
      </c>
      <c r="E3977" s="10" t="str">
        <f>TRIM(VLOOKUP(D3977,TB!$B$9:$C$1500,2,FALSE))</f>
        <v>Tomato 1 Kg</v>
      </c>
      <c r="F3977" s="191" t="s">
        <v>1929</v>
      </c>
      <c r="G3977" s="130">
        <v>2</v>
      </c>
      <c r="H3977" s="10">
        <v>37000</v>
      </c>
      <c r="I3977" s="10"/>
      <c r="J3977" s="79" t="e">
        <f t="shared" si="254"/>
        <v>#VALUE!</v>
      </c>
      <c r="K3977" s="106">
        <f t="shared" si="263"/>
        <v>18500</v>
      </c>
      <c r="L3977" s="141"/>
      <c r="M3977" s="132"/>
      <c r="N3977" s="133"/>
      <c r="O3977" s="4"/>
      <c r="P3977" s="4"/>
      <c r="Q3977" s="4"/>
      <c r="R3977" s="4"/>
      <c r="S3977" s="4"/>
      <c r="T3977" s="4"/>
      <c r="U3977" s="4"/>
      <c r="V3977" s="4"/>
      <c r="W3977" s="4"/>
      <c r="X3977" s="4"/>
    </row>
    <row r="3978" spans="1:24" ht="14.25" customHeight="1">
      <c r="A3978" s="4"/>
      <c r="B3978" s="125">
        <v>46192</v>
      </c>
      <c r="C3978" s="126" t="s">
        <v>1919</v>
      </c>
      <c r="D3978" s="15" t="s">
        <v>1754</v>
      </c>
      <c r="E3978" s="10" t="str">
        <f>TRIM(VLOOKUP(D3978,TB!$B$9:$C$1500,2,FALSE))</f>
        <v>Ice Cube</v>
      </c>
      <c r="F3978" s="191" t="s">
        <v>1930</v>
      </c>
      <c r="G3978" s="130">
        <v>15</v>
      </c>
      <c r="H3978" s="10">
        <v>180000</v>
      </c>
      <c r="I3978" s="10"/>
      <c r="J3978" s="79" t="e">
        <f t="shared" si="254"/>
        <v>#VALUE!</v>
      </c>
      <c r="K3978" s="106">
        <f t="shared" si="263"/>
        <v>12000</v>
      </c>
      <c r="L3978" s="141"/>
      <c r="M3978" s="132"/>
      <c r="N3978" s="133"/>
      <c r="O3978" s="4"/>
      <c r="P3978" s="4"/>
      <c r="Q3978" s="4"/>
      <c r="R3978" s="4"/>
      <c r="S3978" s="4"/>
      <c r="T3978" s="4"/>
      <c r="U3978" s="4"/>
      <c r="V3978" s="4"/>
      <c r="W3978" s="4"/>
      <c r="X3978" s="4"/>
    </row>
    <row r="3979" spans="1:24" ht="14.25" customHeight="1">
      <c r="A3979" s="4"/>
      <c r="B3979" s="125">
        <v>46192</v>
      </c>
      <c r="C3979" s="126" t="s">
        <v>1919</v>
      </c>
      <c r="D3979" s="15" t="s">
        <v>1745</v>
      </c>
      <c r="E3979" s="10" t="str">
        <f>TRIM(VLOOKUP(D3979,TB!$B$9:$C$1500,2,FALSE))</f>
        <v>Petty Cash IDR - on General Cashier</v>
      </c>
      <c r="F3979" s="142" t="s">
        <v>1931</v>
      </c>
      <c r="G3979" s="130"/>
      <c r="H3979" s="10"/>
      <c r="I3979" s="10">
        <v>496000</v>
      </c>
      <c r="J3979" s="79" t="e">
        <f t="shared" si="254"/>
        <v>#VALUE!</v>
      </c>
      <c r="K3979" s="106"/>
      <c r="L3979" s="141"/>
      <c r="M3979" s="132"/>
      <c r="N3979" s="133"/>
      <c r="O3979" s="4"/>
      <c r="P3979" s="4"/>
      <c r="Q3979" s="4"/>
      <c r="R3979" s="4"/>
      <c r="S3979" s="4"/>
      <c r="T3979" s="4"/>
      <c r="U3979" s="4"/>
      <c r="V3979" s="4"/>
      <c r="W3979" s="4"/>
      <c r="X3979" s="4"/>
    </row>
    <row r="3980" spans="1:24" ht="14.25" customHeight="1">
      <c r="A3980" s="4"/>
      <c r="B3980" s="125"/>
      <c r="C3980" s="126"/>
      <c r="D3980" s="159"/>
      <c r="E3980" s="10" t="e">
        <f>TRIM(VLOOKUP(D3980,TB!$B$9:$C$1500,2,FALSE))</f>
        <v>#N/A</v>
      </c>
      <c r="F3980" s="142"/>
      <c r="G3980" s="130"/>
      <c r="H3980" s="10"/>
      <c r="I3980" s="10"/>
      <c r="J3980" s="79" t="e">
        <f t="shared" si="254"/>
        <v>#VALUE!</v>
      </c>
      <c r="K3980" s="106"/>
      <c r="L3980" s="141"/>
      <c r="M3980" s="132"/>
      <c r="N3980" s="133"/>
      <c r="O3980" s="4"/>
      <c r="P3980" s="4"/>
      <c r="Q3980" s="4"/>
      <c r="R3980" s="4"/>
      <c r="S3980" s="4"/>
      <c r="T3980" s="4"/>
      <c r="U3980" s="4"/>
      <c r="V3980" s="4"/>
      <c r="W3980" s="4"/>
      <c r="X3980" s="4"/>
    </row>
    <row r="3981" spans="1:24" ht="14.25" customHeight="1">
      <c r="A3981" s="4"/>
      <c r="B3981" s="125">
        <v>46192</v>
      </c>
      <c r="C3981" s="126" t="s">
        <v>1932</v>
      </c>
      <c r="D3981" s="15" t="s">
        <v>1745</v>
      </c>
      <c r="E3981" s="10" t="str">
        <f>TRIM(VLOOKUP(D3981,TB!$B$9:$C$1500,2,FALSE))</f>
        <v>Petty Cash IDR - on General Cashier</v>
      </c>
      <c r="F3981" s="191" t="s">
        <v>1933</v>
      </c>
      <c r="G3981" s="130"/>
      <c r="H3981" s="10">
        <v>9231710</v>
      </c>
      <c r="I3981" s="10"/>
      <c r="J3981" s="79" t="e">
        <f t="shared" si="254"/>
        <v>#VALUE!</v>
      </c>
      <c r="K3981" s="106"/>
      <c r="L3981" s="141"/>
      <c r="M3981" s="132"/>
      <c r="N3981" s="133"/>
      <c r="O3981" s="4"/>
      <c r="P3981" s="4"/>
      <c r="Q3981" s="4"/>
      <c r="R3981" s="4"/>
      <c r="S3981" s="4"/>
      <c r="T3981" s="4"/>
      <c r="U3981" s="4"/>
      <c r="V3981" s="4"/>
      <c r="W3981" s="4"/>
      <c r="X3981" s="4"/>
    </row>
    <row r="3982" spans="1:24" ht="14.25" customHeight="1">
      <c r="A3982" s="4"/>
      <c r="B3982" s="125">
        <v>46192</v>
      </c>
      <c r="C3982" s="126" t="s">
        <v>1932</v>
      </c>
      <c r="D3982" s="15" t="s">
        <v>39</v>
      </c>
      <c r="E3982" s="10" t="str">
        <f>TRIM(VLOOKUP(D3982,TB!$B$9:$C$1500,2,FALSE))</f>
        <v>Petty Cash IDR - on Bar Cashier</v>
      </c>
      <c r="F3982" s="191" t="s">
        <v>1933</v>
      </c>
      <c r="G3982" s="130"/>
      <c r="H3982" s="10"/>
      <c r="I3982" s="10">
        <v>9231710</v>
      </c>
      <c r="J3982" s="79" t="e">
        <f t="shared" si="254"/>
        <v>#VALUE!</v>
      </c>
      <c r="K3982" s="106"/>
      <c r="L3982" s="141"/>
      <c r="M3982" s="132"/>
      <c r="N3982" s="133"/>
      <c r="O3982" s="4"/>
      <c r="P3982" s="4"/>
      <c r="Q3982" s="4"/>
      <c r="R3982" s="4"/>
      <c r="S3982" s="4"/>
      <c r="T3982" s="4"/>
      <c r="U3982" s="4"/>
      <c r="V3982" s="4"/>
      <c r="W3982" s="4"/>
      <c r="X3982" s="4"/>
    </row>
    <row r="3983" spans="1:24" ht="14.25" customHeight="1">
      <c r="A3983" s="4"/>
      <c r="B3983" s="125">
        <v>46192</v>
      </c>
      <c r="C3983" s="126" t="s">
        <v>1932</v>
      </c>
      <c r="D3983" s="15" t="s">
        <v>1208</v>
      </c>
      <c r="E3983" s="10" t="str">
        <f>TRIM(VLOOKUP(D3983,TB!$B$9:$C$1500,2,FALSE))</f>
        <v>Telephone/Interne/Pulsa/Courier &amp; Postage</v>
      </c>
      <c r="F3983" s="191" t="s">
        <v>1775</v>
      </c>
      <c r="G3983" s="130"/>
      <c r="H3983" s="10">
        <v>20000</v>
      </c>
      <c r="I3983" s="10"/>
      <c r="J3983" s="79" t="e">
        <f t="shared" si="254"/>
        <v>#VALUE!</v>
      </c>
      <c r="K3983" s="106"/>
      <c r="L3983" s="141"/>
      <c r="M3983" s="132"/>
      <c r="N3983" s="133"/>
      <c r="O3983" s="4"/>
      <c r="P3983" s="4"/>
      <c r="Q3983" s="4"/>
      <c r="R3983" s="4"/>
      <c r="S3983" s="4"/>
      <c r="T3983" s="4"/>
      <c r="U3983" s="4"/>
      <c r="V3983" s="4"/>
      <c r="W3983" s="4"/>
      <c r="X3983" s="4"/>
    </row>
    <row r="3984" spans="1:24" ht="14.25" customHeight="1">
      <c r="A3984" s="4"/>
      <c r="B3984" s="125">
        <v>46192</v>
      </c>
      <c r="C3984" s="126" t="s">
        <v>1932</v>
      </c>
      <c r="D3984" s="15" t="s">
        <v>1770</v>
      </c>
      <c r="E3984" s="10" t="str">
        <f>TRIM(VLOOKUP(D3984,TB!$B$9:$C$1500,2,FALSE))</f>
        <v>Ceremony Expenses</v>
      </c>
      <c r="F3984" s="191" t="s">
        <v>1771</v>
      </c>
      <c r="G3984" s="130"/>
      <c r="H3984" s="10">
        <v>282000</v>
      </c>
      <c r="I3984" s="10"/>
      <c r="J3984" s="79" t="e">
        <f t="shared" si="254"/>
        <v>#VALUE!</v>
      </c>
      <c r="K3984" s="106"/>
      <c r="L3984" s="141"/>
      <c r="M3984" s="132"/>
      <c r="N3984" s="133"/>
      <c r="O3984" s="4"/>
      <c r="P3984" s="4"/>
      <c r="Q3984" s="4"/>
      <c r="R3984" s="4"/>
      <c r="S3984" s="4"/>
      <c r="T3984" s="4"/>
      <c r="U3984" s="4"/>
      <c r="V3984" s="4"/>
      <c r="W3984" s="4"/>
      <c r="X3984" s="4"/>
    </row>
    <row r="3985" spans="1:24" ht="14.25" customHeight="1">
      <c r="A3985" s="4"/>
      <c r="B3985" s="125">
        <v>46192</v>
      </c>
      <c r="C3985" s="126" t="s">
        <v>1932</v>
      </c>
      <c r="D3985" s="15" t="s">
        <v>1811</v>
      </c>
      <c r="E3985" s="10" t="str">
        <f>TRIM(VLOOKUP(D3985,TB!$B$9:$C$1500,2,FALSE))</f>
        <v>Yoghurt</v>
      </c>
      <c r="F3985" s="191" t="s">
        <v>1934</v>
      </c>
      <c r="G3985" s="130">
        <v>1</v>
      </c>
      <c r="H3985" s="10">
        <v>70000</v>
      </c>
      <c r="I3985" s="10"/>
      <c r="J3985" s="79" t="e">
        <f t="shared" si="254"/>
        <v>#VALUE!</v>
      </c>
      <c r="K3985" s="106"/>
      <c r="L3985" s="141"/>
      <c r="M3985" s="132"/>
      <c r="N3985" s="133"/>
      <c r="O3985" s="4"/>
      <c r="P3985" s="4"/>
      <c r="Q3985" s="4"/>
      <c r="R3985" s="4"/>
      <c r="S3985" s="4"/>
      <c r="T3985" s="4"/>
      <c r="U3985" s="4"/>
      <c r="V3985" s="4"/>
      <c r="W3985" s="4"/>
      <c r="X3985" s="4"/>
    </row>
    <row r="3986" spans="1:24" ht="14.25" customHeight="1">
      <c r="A3986" s="4"/>
      <c r="B3986" s="125">
        <v>46192</v>
      </c>
      <c r="C3986" s="126" t="s">
        <v>1932</v>
      </c>
      <c r="D3986" s="15" t="s">
        <v>1754</v>
      </c>
      <c r="E3986" s="10" t="str">
        <f>TRIM(VLOOKUP(D3986,TB!$B$9:$C$1500,2,FALSE))</f>
        <v>Ice Cube</v>
      </c>
      <c r="F3986" s="191" t="s">
        <v>1935</v>
      </c>
      <c r="G3986" s="130">
        <v>20</v>
      </c>
      <c r="H3986" s="10">
        <v>120000</v>
      </c>
      <c r="I3986" s="10"/>
      <c r="J3986" s="79" t="e">
        <f t="shared" si="254"/>
        <v>#VALUE!</v>
      </c>
      <c r="K3986" s="106">
        <f t="shared" ref="K3986:K3987" si="264">H3986/G3986</f>
        <v>6000</v>
      </c>
      <c r="L3986" s="141"/>
      <c r="M3986" s="132"/>
      <c r="N3986" s="133"/>
      <c r="O3986" s="4"/>
      <c r="P3986" s="4"/>
      <c r="Q3986" s="4"/>
      <c r="R3986" s="4"/>
      <c r="S3986" s="4"/>
      <c r="T3986" s="4"/>
      <c r="U3986" s="4"/>
      <c r="V3986" s="4"/>
      <c r="W3986" s="4"/>
      <c r="X3986" s="4"/>
    </row>
    <row r="3987" spans="1:24" ht="14.25" customHeight="1">
      <c r="A3987" s="4"/>
      <c r="B3987" s="125">
        <v>46192</v>
      </c>
      <c r="C3987" s="126" t="s">
        <v>1932</v>
      </c>
      <c r="D3987" s="15" t="s">
        <v>1754</v>
      </c>
      <c r="E3987" s="10" t="str">
        <f>TRIM(VLOOKUP(D3987,TB!$B$9:$C$1500,2,FALSE))</f>
        <v>Ice Cube</v>
      </c>
      <c r="F3987" s="191" t="s">
        <v>1936</v>
      </c>
      <c r="G3987" s="130">
        <v>8</v>
      </c>
      <c r="H3987" s="10">
        <v>64000</v>
      </c>
      <c r="I3987" s="10"/>
      <c r="J3987" s="79" t="e">
        <f t="shared" si="254"/>
        <v>#VALUE!</v>
      </c>
      <c r="K3987" s="106">
        <f t="shared" si="264"/>
        <v>8000</v>
      </c>
      <c r="L3987" s="141"/>
      <c r="M3987" s="132"/>
      <c r="N3987" s="133"/>
      <c r="O3987" s="4"/>
      <c r="P3987" s="4"/>
      <c r="Q3987" s="4"/>
      <c r="R3987" s="4"/>
      <c r="S3987" s="4"/>
      <c r="T3987" s="4"/>
      <c r="U3987" s="4"/>
      <c r="V3987" s="4"/>
      <c r="W3987" s="4"/>
      <c r="X3987" s="4"/>
    </row>
    <row r="3988" spans="1:24" ht="14.25" customHeight="1">
      <c r="A3988" s="4"/>
      <c r="B3988" s="125">
        <v>46192</v>
      </c>
      <c r="C3988" s="126" t="s">
        <v>1932</v>
      </c>
      <c r="D3988" s="15" t="s">
        <v>1745</v>
      </c>
      <c r="E3988" s="10" t="str">
        <f>TRIM(VLOOKUP(D3988,TB!$B$9:$C$1500,2,FALSE))</f>
        <v>Petty Cash IDR - on General Cashier</v>
      </c>
      <c r="F3988" s="142" t="s">
        <v>1937</v>
      </c>
      <c r="G3988" s="130"/>
      <c r="H3988" s="10"/>
      <c r="I3988" s="10">
        <v>556000</v>
      </c>
      <c r="J3988" s="79" t="e">
        <f t="shared" si="254"/>
        <v>#VALUE!</v>
      </c>
      <c r="K3988" s="106"/>
      <c r="L3988" s="141"/>
      <c r="M3988" s="132"/>
      <c r="N3988" s="133"/>
      <c r="O3988" s="4"/>
      <c r="P3988" s="4"/>
      <c r="Q3988" s="4"/>
      <c r="R3988" s="4"/>
      <c r="S3988" s="4"/>
      <c r="T3988" s="4"/>
      <c r="U3988" s="4"/>
      <c r="V3988" s="4"/>
      <c r="W3988" s="4"/>
      <c r="X3988" s="4"/>
    </row>
    <row r="3989" spans="1:24" ht="14.25" customHeight="1">
      <c r="A3989" s="4"/>
      <c r="B3989" s="125"/>
      <c r="C3989" s="126"/>
      <c r="D3989" s="159"/>
      <c r="E3989" s="10" t="e">
        <f>TRIM(VLOOKUP(D3989,TB!$B$9:$C$1500,2,FALSE))</f>
        <v>#N/A</v>
      </c>
      <c r="F3989" s="142"/>
      <c r="G3989" s="130"/>
      <c r="H3989" s="10"/>
      <c r="I3989" s="10"/>
      <c r="J3989" s="79" t="e">
        <f t="shared" si="254"/>
        <v>#VALUE!</v>
      </c>
      <c r="K3989" s="106"/>
      <c r="L3989" s="141"/>
      <c r="M3989" s="132"/>
      <c r="N3989" s="133"/>
      <c r="O3989" s="4"/>
      <c r="P3989" s="4"/>
      <c r="Q3989" s="4"/>
      <c r="R3989" s="4"/>
      <c r="S3989" s="4"/>
      <c r="T3989" s="4"/>
      <c r="U3989" s="4"/>
      <c r="V3989" s="4"/>
      <c r="W3989" s="4"/>
      <c r="X3989" s="4"/>
    </row>
    <row r="3990" spans="1:24" ht="14.25" customHeight="1">
      <c r="A3990" s="4"/>
      <c r="B3990" s="125">
        <v>46192</v>
      </c>
      <c r="C3990" s="126" t="s">
        <v>1938</v>
      </c>
      <c r="D3990" s="15" t="s">
        <v>1745</v>
      </c>
      <c r="E3990" s="10" t="str">
        <f>TRIM(VLOOKUP(D3990,TB!$B$9:$C$1500,2,FALSE))</f>
        <v>Petty Cash IDR - on General Cashier</v>
      </c>
      <c r="F3990" s="191" t="s">
        <v>1939</v>
      </c>
      <c r="G3990" s="130"/>
      <c r="H3990" s="10">
        <v>12985755</v>
      </c>
      <c r="I3990" s="10"/>
      <c r="J3990" s="79" t="e">
        <f t="shared" si="254"/>
        <v>#VALUE!</v>
      </c>
      <c r="K3990" s="106"/>
      <c r="L3990" s="141"/>
      <c r="M3990" s="132"/>
      <c r="N3990" s="133"/>
      <c r="O3990" s="4"/>
      <c r="P3990" s="4"/>
      <c r="Q3990" s="4"/>
      <c r="R3990" s="4"/>
      <c r="S3990" s="4"/>
      <c r="T3990" s="4"/>
      <c r="U3990" s="4"/>
      <c r="V3990" s="4"/>
      <c r="W3990" s="4"/>
      <c r="X3990" s="4"/>
    </row>
    <row r="3991" spans="1:24" ht="14.25" customHeight="1">
      <c r="A3991" s="4"/>
      <c r="B3991" s="125">
        <v>46192</v>
      </c>
      <c r="C3991" s="126" t="s">
        <v>1938</v>
      </c>
      <c r="D3991" s="15" t="s">
        <v>39</v>
      </c>
      <c r="E3991" s="10" t="str">
        <f>TRIM(VLOOKUP(D3991,TB!$B$9:$C$1500,2,FALSE))</f>
        <v>Petty Cash IDR - on Bar Cashier</v>
      </c>
      <c r="F3991" s="191" t="s">
        <v>1939</v>
      </c>
      <c r="G3991" s="130"/>
      <c r="H3991" s="10"/>
      <c r="I3991" s="10">
        <v>12985755</v>
      </c>
      <c r="J3991" s="79" t="e">
        <f t="shared" si="254"/>
        <v>#VALUE!</v>
      </c>
      <c r="K3991" s="106"/>
      <c r="L3991" s="141"/>
      <c r="M3991" s="132"/>
      <c r="N3991" s="133"/>
      <c r="O3991" s="4"/>
      <c r="P3991" s="4"/>
      <c r="Q3991" s="4"/>
      <c r="R3991" s="4"/>
      <c r="S3991" s="4"/>
      <c r="T3991" s="4"/>
      <c r="U3991" s="4"/>
      <c r="V3991" s="4"/>
      <c r="W3991" s="4"/>
      <c r="X3991" s="4"/>
    </row>
    <row r="3992" spans="1:24" ht="14.25" customHeight="1">
      <c r="A3992" s="4"/>
      <c r="B3992" s="125">
        <v>46192</v>
      </c>
      <c r="C3992" s="126" t="s">
        <v>1938</v>
      </c>
      <c r="D3992" s="15" t="s">
        <v>1754</v>
      </c>
      <c r="E3992" s="10" t="str">
        <f>TRIM(VLOOKUP(D3992,TB!$B$9:$C$1500,2,FALSE))</f>
        <v>Ice Cube</v>
      </c>
      <c r="F3992" s="191" t="s">
        <v>1940</v>
      </c>
      <c r="G3992" s="130">
        <v>6</v>
      </c>
      <c r="H3992" s="10">
        <v>48000</v>
      </c>
      <c r="I3992" s="10"/>
      <c r="J3992" s="79" t="e">
        <f t="shared" si="254"/>
        <v>#VALUE!</v>
      </c>
      <c r="K3992" s="106">
        <f t="shared" ref="K3992:K3997" si="265">H3992/G3992</f>
        <v>8000</v>
      </c>
      <c r="L3992" s="141"/>
      <c r="M3992" s="132"/>
      <c r="N3992" s="133"/>
      <c r="O3992" s="4"/>
      <c r="P3992" s="4"/>
      <c r="Q3992" s="4"/>
      <c r="R3992" s="4"/>
      <c r="S3992" s="4"/>
      <c r="T3992" s="4"/>
      <c r="U3992" s="4"/>
      <c r="V3992" s="4"/>
      <c r="W3992" s="4"/>
      <c r="X3992" s="4"/>
    </row>
    <row r="3993" spans="1:24" ht="14.25" customHeight="1">
      <c r="A3993" s="4"/>
      <c r="B3993" s="125">
        <v>46192</v>
      </c>
      <c r="C3993" s="126" t="s">
        <v>1938</v>
      </c>
      <c r="D3993" s="15" t="s">
        <v>1941</v>
      </c>
      <c r="E3993" s="10" t="str">
        <f>TRIM(VLOOKUP(D3993,TB!$B$9:$C$1500,2,FALSE))</f>
        <v>Kacang Tanah</v>
      </c>
      <c r="F3993" s="191" t="s">
        <v>1942</v>
      </c>
      <c r="G3993" s="130">
        <v>0.51</v>
      </c>
      <c r="H3993" s="10">
        <v>20000</v>
      </c>
      <c r="I3993" s="10"/>
      <c r="J3993" s="79" t="e">
        <f t="shared" si="254"/>
        <v>#VALUE!</v>
      </c>
      <c r="K3993" s="106">
        <f t="shared" si="265"/>
        <v>39215.686274509804</v>
      </c>
      <c r="L3993" s="141"/>
      <c r="M3993" s="132"/>
      <c r="N3993" s="133"/>
      <c r="O3993" s="4"/>
      <c r="P3993" s="4"/>
      <c r="Q3993" s="4"/>
      <c r="R3993" s="4"/>
      <c r="S3993" s="4"/>
      <c r="T3993" s="4"/>
      <c r="U3993" s="4"/>
      <c r="V3993" s="4"/>
      <c r="W3993" s="4"/>
      <c r="X3993" s="4"/>
    </row>
    <row r="3994" spans="1:24" ht="14.25" customHeight="1">
      <c r="A3994" s="4"/>
      <c r="B3994" s="125">
        <v>46192</v>
      </c>
      <c r="C3994" s="126" t="s">
        <v>1938</v>
      </c>
      <c r="D3994" s="15" t="s">
        <v>1867</v>
      </c>
      <c r="E3994" s="10" t="str">
        <f>TRIM(VLOOKUP(D3994,TB!$B$9:$C$1500,2,FALSE))</f>
        <v>Parsley</v>
      </c>
      <c r="F3994" s="191" t="s">
        <v>1943</v>
      </c>
      <c r="G3994" s="130">
        <v>0.09</v>
      </c>
      <c r="H3994" s="10">
        <v>7000</v>
      </c>
      <c r="I3994" s="10"/>
      <c r="J3994" s="79" t="e">
        <f t="shared" si="254"/>
        <v>#VALUE!</v>
      </c>
      <c r="K3994" s="106">
        <f t="shared" si="265"/>
        <v>77777.777777777781</v>
      </c>
      <c r="L3994" s="141"/>
      <c r="M3994" s="132"/>
      <c r="N3994" s="133"/>
      <c r="O3994" s="4"/>
      <c r="P3994" s="4"/>
      <c r="Q3994" s="4"/>
      <c r="R3994" s="4"/>
      <c r="S3994" s="4"/>
      <c r="T3994" s="4"/>
      <c r="U3994" s="4"/>
      <c r="V3994" s="4"/>
      <c r="W3994" s="4"/>
      <c r="X3994" s="4"/>
    </row>
    <row r="3995" spans="1:24" ht="14.25" customHeight="1">
      <c r="A3995" s="4"/>
      <c r="B3995" s="125">
        <v>46192</v>
      </c>
      <c r="C3995" s="126" t="s">
        <v>1938</v>
      </c>
      <c r="D3995" s="15" t="s">
        <v>1944</v>
      </c>
      <c r="E3995" s="10" t="str">
        <f>TRIM(VLOOKUP(D3995,TB!$B$9:$C$1500,2,FALSE))</f>
        <v>Pineapple Fruit</v>
      </c>
      <c r="F3995" s="191" t="s">
        <v>1945</v>
      </c>
      <c r="G3995" s="130">
        <v>2</v>
      </c>
      <c r="H3995" s="10">
        <v>30000</v>
      </c>
      <c r="I3995" s="10"/>
      <c r="J3995" s="79" t="e">
        <f t="shared" si="254"/>
        <v>#VALUE!</v>
      </c>
      <c r="K3995" s="106">
        <f t="shared" si="265"/>
        <v>15000</v>
      </c>
      <c r="L3995" s="141"/>
      <c r="M3995" s="132"/>
      <c r="N3995" s="133"/>
      <c r="O3995" s="4"/>
      <c r="P3995" s="4"/>
      <c r="Q3995" s="4"/>
      <c r="R3995" s="4"/>
      <c r="S3995" s="4"/>
      <c r="T3995" s="4"/>
      <c r="U3995" s="4"/>
      <c r="V3995" s="4"/>
      <c r="W3995" s="4"/>
      <c r="X3995" s="4"/>
    </row>
    <row r="3996" spans="1:24" ht="14.25" customHeight="1">
      <c r="A3996" s="4"/>
      <c r="B3996" s="125">
        <v>46192</v>
      </c>
      <c r="C3996" s="126" t="s">
        <v>1938</v>
      </c>
      <c r="D3996" s="15" t="s">
        <v>1754</v>
      </c>
      <c r="E3996" s="10" t="str">
        <f>TRIM(VLOOKUP(D3996,TB!$B$9:$C$1500,2,FALSE))</f>
        <v>Ice Cube</v>
      </c>
      <c r="F3996" s="191" t="s">
        <v>1946</v>
      </c>
      <c r="G3996" s="130">
        <v>10</v>
      </c>
      <c r="H3996" s="10">
        <v>120000</v>
      </c>
      <c r="I3996" s="10"/>
      <c r="J3996" s="79" t="e">
        <f t="shared" si="254"/>
        <v>#VALUE!</v>
      </c>
      <c r="K3996" s="106">
        <f t="shared" si="265"/>
        <v>12000</v>
      </c>
      <c r="L3996" s="141"/>
      <c r="M3996" s="132"/>
      <c r="N3996" s="133"/>
      <c r="O3996" s="4"/>
      <c r="P3996" s="4"/>
      <c r="Q3996" s="4"/>
      <c r="R3996" s="4"/>
      <c r="S3996" s="4"/>
      <c r="T3996" s="4"/>
      <c r="U3996" s="4"/>
      <c r="V3996" s="4"/>
      <c r="W3996" s="4"/>
      <c r="X3996" s="4"/>
    </row>
    <row r="3997" spans="1:24" ht="14.25" customHeight="1">
      <c r="A3997" s="4"/>
      <c r="B3997" s="125">
        <v>46192</v>
      </c>
      <c r="C3997" s="126" t="s">
        <v>1938</v>
      </c>
      <c r="D3997" s="15" t="s">
        <v>1787</v>
      </c>
      <c r="E3997" s="10" t="str">
        <f>TRIM(VLOOKUP(D3997,TB!$B$9:$C$1500,2,FALSE))</f>
        <v>Milk Fresh</v>
      </c>
      <c r="F3997" s="191" t="s">
        <v>1947</v>
      </c>
      <c r="G3997" s="130">
        <v>1</v>
      </c>
      <c r="H3997" s="10">
        <v>21000</v>
      </c>
      <c r="I3997" s="10"/>
      <c r="J3997" s="79" t="e">
        <f t="shared" si="254"/>
        <v>#VALUE!</v>
      </c>
      <c r="K3997" s="106">
        <f t="shared" si="265"/>
        <v>21000</v>
      </c>
      <c r="L3997" s="141"/>
      <c r="M3997" s="132"/>
      <c r="N3997" s="133"/>
      <c r="O3997" s="4"/>
      <c r="P3997" s="4"/>
      <c r="Q3997" s="4"/>
      <c r="R3997" s="4"/>
      <c r="S3997" s="4"/>
      <c r="T3997" s="4"/>
      <c r="U3997" s="4"/>
      <c r="V3997" s="4"/>
      <c r="W3997" s="4"/>
      <c r="X3997" s="4"/>
    </row>
    <row r="3998" spans="1:24" ht="14.25" customHeight="1">
      <c r="A3998" s="4"/>
      <c r="B3998" s="125">
        <v>46192</v>
      </c>
      <c r="C3998" s="126" t="s">
        <v>1938</v>
      </c>
      <c r="D3998" s="15" t="s">
        <v>1745</v>
      </c>
      <c r="E3998" s="10" t="str">
        <f>TRIM(VLOOKUP(D3998,TB!$B$9:$C$1500,2,FALSE))</f>
        <v>Petty Cash IDR - on General Cashier</v>
      </c>
      <c r="F3998" s="142" t="s">
        <v>1948</v>
      </c>
      <c r="G3998" s="130"/>
      <c r="H3998" s="10"/>
      <c r="I3998" s="10">
        <v>246000</v>
      </c>
      <c r="J3998" s="79" t="e">
        <f t="shared" si="254"/>
        <v>#VALUE!</v>
      </c>
      <c r="K3998" s="106"/>
      <c r="L3998" s="141"/>
      <c r="M3998" s="132"/>
      <c r="N3998" s="133"/>
      <c r="O3998" s="4"/>
      <c r="P3998" s="4"/>
      <c r="Q3998" s="4"/>
      <c r="R3998" s="4"/>
      <c r="S3998" s="4"/>
      <c r="T3998" s="4"/>
      <c r="U3998" s="4"/>
      <c r="V3998" s="4"/>
      <c r="W3998" s="4"/>
      <c r="X3998" s="4"/>
    </row>
    <row r="3999" spans="1:24" ht="14.25" customHeight="1">
      <c r="A3999" s="4"/>
      <c r="B3999" s="125"/>
      <c r="C3999" s="126"/>
      <c r="D3999" s="159"/>
      <c r="E3999" s="10" t="e">
        <f>TRIM(VLOOKUP(D3999,TB!$B$9:$C$1500,2,FALSE))</f>
        <v>#N/A</v>
      </c>
      <c r="F3999" s="142"/>
      <c r="G3999" s="130"/>
      <c r="H3999" s="10"/>
      <c r="I3999" s="10"/>
      <c r="J3999" s="79" t="e">
        <f t="shared" si="254"/>
        <v>#VALUE!</v>
      </c>
      <c r="K3999" s="106"/>
      <c r="L3999" s="141"/>
      <c r="M3999" s="132"/>
      <c r="N3999" s="133"/>
      <c r="O3999" s="4"/>
      <c r="P3999" s="4"/>
      <c r="Q3999" s="4"/>
      <c r="R3999" s="4"/>
      <c r="S3999" s="4"/>
      <c r="T3999" s="4"/>
      <c r="U3999" s="4"/>
      <c r="V3999" s="4"/>
      <c r="W3999" s="4"/>
      <c r="X3999" s="4"/>
    </row>
    <row r="4000" spans="1:24" ht="14.25" customHeight="1">
      <c r="A4000" s="4"/>
      <c r="B4000" s="125">
        <v>46195</v>
      </c>
      <c r="C4000" s="126" t="s">
        <v>1949</v>
      </c>
      <c r="D4000" s="15" t="s">
        <v>1745</v>
      </c>
      <c r="E4000" s="10" t="str">
        <f>TRIM(VLOOKUP(D4000,TB!$B$9:$C$1500,2,FALSE))</f>
        <v>Petty Cash IDR - on General Cashier</v>
      </c>
      <c r="F4000" s="191" t="s">
        <v>1950</v>
      </c>
      <c r="G4000" s="130"/>
      <c r="H4000" s="10">
        <v>11711402</v>
      </c>
      <c r="I4000" s="10"/>
      <c r="J4000" s="79" t="e">
        <f t="shared" si="254"/>
        <v>#VALUE!</v>
      </c>
      <c r="K4000" s="106"/>
      <c r="L4000" s="141"/>
      <c r="M4000" s="132"/>
      <c r="N4000" s="133"/>
      <c r="O4000" s="4"/>
      <c r="P4000" s="4"/>
      <c r="Q4000" s="4"/>
      <c r="R4000" s="4"/>
      <c r="S4000" s="4"/>
      <c r="T4000" s="4"/>
      <c r="U4000" s="4"/>
      <c r="V4000" s="4"/>
      <c r="W4000" s="4"/>
      <c r="X4000" s="4"/>
    </row>
    <row r="4001" spans="1:24" ht="14.25" customHeight="1">
      <c r="A4001" s="4"/>
      <c r="B4001" s="125">
        <v>46195</v>
      </c>
      <c r="C4001" s="126" t="s">
        <v>1949</v>
      </c>
      <c r="D4001" s="15" t="s">
        <v>39</v>
      </c>
      <c r="E4001" s="10" t="str">
        <f>TRIM(VLOOKUP(D4001,TB!$B$9:$C$1500,2,FALSE))</f>
        <v>Petty Cash IDR - on Bar Cashier</v>
      </c>
      <c r="F4001" s="191" t="s">
        <v>1950</v>
      </c>
      <c r="G4001" s="130"/>
      <c r="H4001" s="10"/>
      <c r="I4001" s="10">
        <v>11711402</v>
      </c>
      <c r="J4001" s="79" t="e">
        <f t="shared" si="254"/>
        <v>#VALUE!</v>
      </c>
      <c r="K4001" s="106"/>
      <c r="L4001" s="141"/>
      <c r="M4001" s="132"/>
      <c r="N4001" s="133"/>
      <c r="O4001" s="4"/>
      <c r="P4001" s="4"/>
      <c r="Q4001" s="4"/>
      <c r="R4001" s="4"/>
      <c r="S4001" s="4"/>
      <c r="T4001" s="4"/>
      <c r="U4001" s="4"/>
      <c r="V4001" s="4"/>
      <c r="W4001" s="4"/>
      <c r="X4001" s="4"/>
    </row>
    <row r="4002" spans="1:24" ht="14.25" customHeight="1">
      <c r="A4002" s="4"/>
      <c r="B4002" s="125">
        <v>46195</v>
      </c>
      <c r="C4002" s="126" t="s">
        <v>1949</v>
      </c>
      <c r="D4002" s="15" t="s">
        <v>659</v>
      </c>
      <c r="E4002" s="10" t="str">
        <f>TRIM(VLOOKUP(D4002,TB!$B$9:$C$1500,2,FALSE))</f>
        <v>COS - Entertainment</v>
      </c>
      <c r="F4002" s="191" t="s">
        <v>1951</v>
      </c>
      <c r="G4002" s="130"/>
      <c r="H4002" s="10">
        <v>7000000</v>
      </c>
      <c r="I4002" s="10"/>
      <c r="J4002" s="79" t="e">
        <f t="shared" si="254"/>
        <v>#VALUE!</v>
      </c>
      <c r="K4002" s="106"/>
      <c r="L4002" s="141"/>
      <c r="M4002" s="132"/>
      <c r="N4002" s="133"/>
      <c r="O4002" s="4"/>
      <c r="P4002" s="4"/>
      <c r="Q4002" s="4"/>
      <c r="R4002" s="4"/>
      <c r="S4002" s="4"/>
      <c r="T4002" s="4"/>
      <c r="U4002" s="4"/>
      <c r="V4002" s="4"/>
      <c r="W4002" s="4"/>
      <c r="X4002" s="4"/>
    </row>
    <row r="4003" spans="1:24" ht="14.25" customHeight="1">
      <c r="A4003" s="4"/>
      <c r="B4003" s="125">
        <v>46195</v>
      </c>
      <c r="C4003" s="126" t="s">
        <v>1949</v>
      </c>
      <c r="D4003" s="15" t="s">
        <v>933</v>
      </c>
      <c r="E4003" s="10" t="str">
        <f>TRIM(VLOOKUP(D4003,TB!$B$9:$C$1500,2,FALSE))</f>
        <v>Other</v>
      </c>
      <c r="F4003" s="191" t="s">
        <v>1952</v>
      </c>
      <c r="G4003" s="130">
        <v>10</v>
      </c>
      <c r="H4003" s="10">
        <v>100000</v>
      </c>
      <c r="I4003" s="10"/>
      <c r="J4003" s="79" t="e">
        <f t="shared" si="254"/>
        <v>#VALUE!</v>
      </c>
      <c r="K4003" s="106"/>
      <c r="L4003" s="141"/>
      <c r="M4003" s="132"/>
      <c r="N4003" s="133"/>
      <c r="O4003" s="4"/>
      <c r="P4003" s="4"/>
      <c r="Q4003" s="4"/>
      <c r="R4003" s="4"/>
      <c r="S4003" s="4"/>
      <c r="T4003" s="4"/>
      <c r="U4003" s="4"/>
      <c r="V4003" s="4"/>
      <c r="W4003" s="4"/>
      <c r="X4003" s="4"/>
    </row>
    <row r="4004" spans="1:24" ht="14.25" customHeight="1">
      <c r="A4004" s="4"/>
      <c r="B4004" s="125">
        <v>46195</v>
      </c>
      <c r="C4004" s="126" t="s">
        <v>1949</v>
      </c>
      <c r="D4004" s="15" t="s">
        <v>617</v>
      </c>
      <c r="E4004" s="10" t="str">
        <f>TRIM(VLOOKUP(D4004,TB!$B$9:$C$1500,2,FALSE))</f>
        <v>Cleaning Supplies &amp; Expenses</v>
      </c>
      <c r="F4004" s="191" t="s">
        <v>1953</v>
      </c>
      <c r="G4004" s="130"/>
      <c r="H4004" s="10">
        <v>90000</v>
      </c>
      <c r="I4004" s="10"/>
      <c r="J4004" s="79" t="e">
        <f t="shared" si="254"/>
        <v>#VALUE!</v>
      </c>
      <c r="K4004" s="106"/>
      <c r="L4004" s="141"/>
      <c r="M4004" s="132"/>
      <c r="N4004" s="133"/>
      <c r="O4004" s="4"/>
      <c r="P4004" s="4"/>
      <c r="Q4004" s="4"/>
      <c r="R4004" s="4"/>
      <c r="S4004" s="4"/>
      <c r="T4004" s="4"/>
      <c r="U4004" s="4"/>
      <c r="V4004" s="4"/>
      <c r="W4004" s="4"/>
      <c r="X4004" s="4"/>
    </row>
    <row r="4005" spans="1:24" ht="14.25" customHeight="1">
      <c r="A4005" s="4"/>
      <c r="B4005" s="125">
        <v>46195</v>
      </c>
      <c r="C4005" s="126" t="s">
        <v>1949</v>
      </c>
      <c r="D4005" s="15" t="s">
        <v>1787</v>
      </c>
      <c r="E4005" s="10" t="str">
        <f>TRIM(VLOOKUP(D4005,TB!$B$9:$C$1500,2,FALSE))</f>
        <v>Milk Fresh</v>
      </c>
      <c r="F4005" s="191" t="s">
        <v>1954</v>
      </c>
      <c r="G4005" s="130">
        <v>1</v>
      </c>
      <c r="H4005" s="10">
        <v>22900</v>
      </c>
      <c r="I4005" s="10"/>
      <c r="J4005" s="79" t="e">
        <f t="shared" si="254"/>
        <v>#VALUE!</v>
      </c>
      <c r="K4005" s="106">
        <f>H4005/G4005</f>
        <v>22900</v>
      </c>
      <c r="L4005" s="141"/>
      <c r="M4005" s="132"/>
      <c r="N4005" s="133"/>
      <c r="O4005" s="4"/>
      <c r="P4005" s="4"/>
      <c r="Q4005" s="4"/>
      <c r="R4005" s="4"/>
      <c r="S4005" s="4"/>
      <c r="T4005" s="4"/>
      <c r="U4005" s="4"/>
      <c r="V4005" s="4"/>
      <c r="W4005" s="4"/>
      <c r="X4005" s="4"/>
    </row>
    <row r="4006" spans="1:24" ht="14.25" customHeight="1">
      <c r="A4006" s="4"/>
      <c r="B4006" s="125">
        <v>46195</v>
      </c>
      <c r="C4006" s="126" t="s">
        <v>1949</v>
      </c>
      <c r="D4006" s="15" t="s">
        <v>1155</v>
      </c>
      <c r="E4006" s="10" t="str">
        <f>TRIM(VLOOKUP(D4006,TB!$B$9:$C$1500,2,FALSE))</f>
        <v>Kitchen Supplies</v>
      </c>
      <c r="F4006" s="191" t="s">
        <v>1955</v>
      </c>
      <c r="G4006" s="130">
        <f>6*0.2</f>
        <v>1.2000000000000002</v>
      </c>
      <c r="H4006" s="10">
        <f>46200-7200</f>
        <v>39000</v>
      </c>
      <c r="I4006" s="10"/>
      <c r="J4006" s="79" t="e">
        <f t="shared" si="254"/>
        <v>#VALUE!</v>
      </c>
      <c r="K4006" s="106"/>
      <c r="L4006" s="141"/>
      <c r="M4006" s="132"/>
      <c r="N4006" s="133"/>
      <c r="O4006" s="4"/>
      <c r="P4006" s="4"/>
      <c r="Q4006" s="4"/>
      <c r="R4006" s="4"/>
      <c r="S4006" s="4"/>
      <c r="T4006" s="4"/>
      <c r="U4006" s="4"/>
      <c r="V4006" s="4"/>
      <c r="W4006" s="4"/>
      <c r="X4006" s="4"/>
    </row>
    <row r="4007" spans="1:24" ht="14.25" customHeight="1">
      <c r="A4007" s="4"/>
      <c r="B4007" s="125">
        <v>46195</v>
      </c>
      <c r="C4007" s="126" t="s">
        <v>1949</v>
      </c>
      <c r="D4007" s="15" t="s">
        <v>1754</v>
      </c>
      <c r="E4007" s="10" t="str">
        <f>TRIM(VLOOKUP(D4007,TB!$B$9:$C$1500,2,FALSE))</f>
        <v>Ice Cube</v>
      </c>
      <c r="F4007" s="191" t="s">
        <v>1956</v>
      </c>
      <c r="G4007" s="130">
        <v>6</v>
      </c>
      <c r="H4007" s="10">
        <v>48000</v>
      </c>
      <c r="I4007" s="10"/>
      <c r="J4007" s="79" t="e">
        <f t="shared" si="254"/>
        <v>#VALUE!</v>
      </c>
      <c r="K4007" s="106">
        <f>H4007/G4007</f>
        <v>8000</v>
      </c>
      <c r="L4007" s="141"/>
      <c r="M4007" s="132"/>
      <c r="N4007" s="133"/>
      <c r="O4007" s="4"/>
      <c r="P4007" s="4"/>
      <c r="Q4007" s="4"/>
      <c r="R4007" s="4"/>
      <c r="S4007" s="4"/>
      <c r="T4007" s="4"/>
      <c r="U4007" s="4"/>
      <c r="V4007" s="4"/>
      <c r="W4007" s="4"/>
      <c r="X4007" s="4"/>
    </row>
    <row r="4008" spans="1:24" ht="14.25" customHeight="1">
      <c r="A4008" s="4"/>
      <c r="B4008" s="125">
        <v>46195</v>
      </c>
      <c r="C4008" s="126" t="s">
        <v>1949</v>
      </c>
      <c r="D4008" s="15" t="s">
        <v>1208</v>
      </c>
      <c r="E4008" s="10" t="str">
        <f>TRIM(VLOOKUP(D4008,TB!$B$9:$C$1500,2,FALSE))</f>
        <v>Telephone/Interne/Pulsa/Courier &amp; Postage</v>
      </c>
      <c r="F4008" s="191" t="s">
        <v>1775</v>
      </c>
      <c r="G4008" s="130"/>
      <c r="H4008" s="10">
        <v>22000</v>
      </c>
      <c r="I4008" s="10"/>
      <c r="J4008" s="79" t="e">
        <f t="shared" si="254"/>
        <v>#VALUE!</v>
      </c>
      <c r="K4008" s="106"/>
      <c r="L4008" s="141"/>
      <c r="M4008" s="132"/>
      <c r="N4008" s="133"/>
      <c r="O4008" s="4"/>
      <c r="P4008" s="4"/>
      <c r="Q4008" s="4"/>
      <c r="R4008" s="4"/>
      <c r="S4008" s="4"/>
      <c r="T4008" s="4"/>
      <c r="U4008" s="4"/>
      <c r="V4008" s="4"/>
      <c r="W4008" s="4"/>
      <c r="X4008" s="4"/>
    </row>
    <row r="4009" spans="1:24" ht="14.25" customHeight="1">
      <c r="A4009" s="4"/>
      <c r="B4009" s="125">
        <v>46195</v>
      </c>
      <c r="C4009" s="126" t="s">
        <v>1949</v>
      </c>
      <c r="D4009" s="15" t="s">
        <v>1778</v>
      </c>
      <c r="E4009" s="10" t="str">
        <f>TRIM(VLOOKUP(D4009,TB!$B$9:$C$1500,2,FALSE))</f>
        <v>Marlboro Light / GOLD</v>
      </c>
      <c r="F4009" s="191" t="s">
        <v>1957</v>
      </c>
      <c r="G4009" s="130">
        <v>10</v>
      </c>
      <c r="H4009" s="10">
        <v>518000</v>
      </c>
      <c r="I4009" s="10"/>
      <c r="J4009" s="79" t="e">
        <f t="shared" si="254"/>
        <v>#VALUE!</v>
      </c>
      <c r="K4009" s="106"/>
      <c r="L4009" s="141"/>
      <c r="M4009" s="132"/>
      <c r="N4009" s="133"/>
      <c r="O4009" s="4"/>
      <c r="P4009" s="4"/>
      <c r="Q4009" s="4"/>
      <c r="R4009" s="4"/>
      <c r="S4009" s="4"/>
      <c r="T4009" s="4"/>
      <c r="U4009" s="4"/>
      <c r="V4009" s="4"/>
      <c r="W4009" s="4"/>
      <c r="X4009" s="4"/>
    </row>
    <row r="4010" spans="1:24" ht="14.25" customHeight="1">
      <c r="A4010" s="4"/>
      <c r="B4010" s="125">
        <v>46195</v>
      </c>
      <c r="C4010" s="126" t="s">
        <v>1949</v>
      </c>
      <c r="D4010" s="15" t="s">
        <v>1776</v>
      </c>
      <c r="E4010" s="10" t="str">
        <f>TRIM(VLOOKUP(D4010,TB!$B$9:$C$1500,2,FALSE))</f>
        <v>Marlboro Merah</v>
      </c>
      <c r="F4010" s="191" t="s">
        <v>1958</v>
      </c>
      <c r="G4010" s="130">
        <v>10</v>
      </c>
      <c r="H4010" s="10">
        <v>518000</v>
      </c>
      <c r="I4010" s="10"/>
      <c r="J4010" s="79" t="e">
        <f t="shared" si="254"/>
        <v>#VALUE!</v>
      </c>
      <c r="K4010" s="106"/>
      <c r="L4010" s="141"/>
      <c r="M4010" s="132"/>
      <c r="N4010" s="133"/>
      <c r="O4010" s="4"/>
      <c r="P4010" s="4"/>
      <c r="Q4010" s="4"/>
      <c r="R4010" s="4"/>
      <c r="S4010" s="4"/>
      <c r="T4010" s="4"/>
      <c r="U4010" s="4"/>
      <c r="V4010" s="4"/>
      <c r="W4010" s="4"/>
      <c r="X4010" s="4"/>
    </row>
    <row r="4011" spans="1:24" ht="14.25" customHeight="1">
      <c r="A4011" s="4"/>
      <c r="B4011" s="125">
        <v>46195</v>
      </c>
      <c r="C4011" s="126" t="s">
        <v>1949</v>
      </c>
      <c r="D4011" s="15" t="s">
        <v>1823</v>
      </c>
      <c r="E4011" s="10" t="str">
        <f>TRIM(VLOOKUP(D4011,TB!$B$9:$C$1500,2,FALSE))</f>
        <v>Sampoerna</v>
      </c>
      <c r="F4011" s="191" t="s">
        <v>1959</v>
      </c>
      <c r="G4011" s="130">
        <v>10</v>
      </c>
      <c r="H4011" s="10">
        <v>351000</v>
      </c>
      <c r="I4011" s="10"/>
      <c r="J4011" s="79" t="e">
        <f t="shared" si="254"/>
        <v>#VALUE!</v>
      </c>
      <c r="K4011" s="106"/>
      <c r="L4011" s="141"/>
      <c r="M4011" s="132"/>
      <c r="N4011" s="133"/>
      <c r="O4011" s="4"/>
      <c r="P4011" s="4"/>
      <c r="Q4011" s="4"/>
      <c r="R4011" s="4"/>
      <c r="S4011" s="4"/>
      <c r="T4011" s="4"/>
      <c r="U4011" s="4"/>
      <c r="V4011" s="4"/>
      <c r="W4011" s="4"/>
      <c r="X4011" s="4"/>
    </row>
    <row r="4012" spans="1:24" ht="14.25" customHeight="1">
      <c r="A4012" s="4"/>
      <c r="B4012" s="125">
        <v>46195</v>
      </c>
      <c r="C4012" s="126" t="s">
        <v>1949</v>
      </c>
      <c r="D4012" s="15" t="s">
        <v>1754</v>
      </c>
      <c r="E4012" s="10" t="str">
        <f>TRIM(VLOOKUP(D4012,TB!$B$9:$C$1500,2,FALSE))</f>
        <v>Ice Cube</v>
      </c>
      <c r="F4012" s="191" t="s">
        <v>1960</v>
      </c>
      <c r="G4012" s="130">
        <v>5</v>
      </c>
      <c r="H4012" s="10">
        <v>60000</v>
      </c>
      <c r="I4012" s="10"/>
      <c r="J4012" s="79" t="e">
        <f t="shared" si="254"/>
        <v>#VALUE!</v>
      </c>
      <c r="K4012" s="106">
        <f>H4012/G4012</f>
        <v>12000</v>
      </c>
      <c r="L4012" s="141"/>
      <c r="M4012" s="132"/>
      <c r="N4012" s="133"/>
      <c r="O4012" s="4"/>
      <c r="P4012" s="4"/>
      <c r="Q4012" s="4"/>
      <c r="R4012" s="4"/>
      <c r="S4012" s="4"/>
      <c r="T4012" s="4"/>
      <c r="U4012" s="4"/>
      <c r="V4012" s="4"/>
      <c r="W4012" s="4"/>
      <c r="X4012" s="4"/>
    </row>
    <row r="4013" spans="1:24" ht="14.25" customHeight="1">
      <c r="A4013" s="4"/>
      <c r="B4013" s="125">
        <v>46195</v>
      </c>
      <c r="C4013" s="126" t="s">
        <v>1949</v>
      </c>
      <c r="D4013" s="15" t="s">
        <v>1745</v>
      </c>
      <c r="E4013" s="10" t="str">
        <f>TRIM(VLOOKUP(D4013,TB!$B$9:$C$1500,2,FALSE))</f>
        <v>Petty Cash IDR - on General Cashier</v>
      </c>
      <c r="F4013" s="142" t="s">
        <v>1961</v>
      </c>
      <c r="G4013" s="130"/>
      <c r="H4013" s="10"/>
      <c r="I4013" s="10">
        <v>8768900</v>
      </c>
      <c r="J4013" s="79" t="e">
        <f t="shared" si="254"/>
        <v>#VALUE!</v>
      </c>
      <c r="K4013" s="106"/>
      <c r="L4013" s="141"/>
      <c r="M4013" s="132"/>
      <c r="N4013" s="133"/>
      <c r="O4013" s="4"/>
      <c r="P4013" s="4"/>
      <c r="Q4013" s="4"/>
      <c r="R4013" s="4"/>
      <c r="S4013" s="4"/>
      <c r="T4013" s="4"/>
      <c r="U4013" s="4"/>
      <c r="V4013" s="4"/>
      <c r="W4013" s="4"/>
      <c r="X4013" s="4"/>
    </row>
    <row r="4014" spans="1:24" ht="14.25" customHeight="1">
      <c r="A4014" s="4"/>
      <c r="B4014" s="125"/>
      <c r="C4014" s="126"/>
      <c r="D4014" s="159"/>
      <c r="E4014" s="10" t="e">
        <f>TRIM(VLOOKUP(D4014,TB!$B$9:$C$1500,2,FALSE))</f>
        <v>#N/A</v>
      </c>
      <c r="F4014" s="142"/>
      <c r="G4014" s="130"/>
      <c r="H4014" s="10"/>
      <c r="I4014" s="10"/>
      <c r="J4014" s="79" t="e">
        <f t="shared" si="254"/>
        <v>#VALUE!</v>
      </c>
      <c r="K4014" s="106"/>
      <c r="L4014" s="141"/>
      <c r="M4014" s="132"/>
      <c r="N4014" s="133"/>
      <c r="O4014" s="4"/>
      <c r="P4014" s="4"/>
      <c r="Q4014" s="4"/>
      <c r="R4014" s="4"/>
      <c r="S4014" s="4"/>
      <c r="T4014" s="4"/>
      <c r="U4014" s="4"/>
      <c r="V4014" s="4"/>
      <c r="W4014" s="4"/>
      <c r="X4014" s="4"/>
    </row>
    <row r="4015" spans="1:24" ht="14.25" customHeight="1">
      <c r="A4015" s="4"/>
      <c r="B4015" s="125">
        <v>46195</v>
      </c>
      <c r="C4015" s="126" t="s">
        <v>1962</v>
      </c>
      <c r="D4015" s="15" t="s">
        <v>1745</v>
      </c>
      <c r="E4015" s="10" t="str">
        <f>TRIM(VLOOKUP(D4015,TB!$B$9:$C$1500,2,FALSE))</f>
        <v>Petty Cash IDR - on General Cashier</v>
      </c>
      <c r="F4015" s="191" t="s">
        <v>1963</v>
      </c>
      <c r="G4015" s="130"/>
      <c r="H4015" s="10">
        <v>16220407</v>
      </c>
      <c r="I4015" s="10"/>
      <c r="J4015" s="79" t="e">
        <f t="shared" si="254"/>
        <v>#VALUE!</v>
      </c>
      <c r="K4015" s="106"/>
      <c r="L4015" s="141"/>
      <c r="M4015" s="132"/>
      <c r="N4015" s="133"/>
      <c r="O4015" s="4"/>
      <c r="P4015" s="4"/>
      <c r="Q4015" s="4"/>
      <c r="R4015" s="4"/>
      <c r="S4015" s="4"/>
      <c r="T4015" s="4"/>
      <c r="U4015" s="4"/>
      <c r="V4015" s="4"/>
      <c r="W4015" s="4"/>
      <c r="X4015" s="4"/>
    </row>
    <row r="4016" spans="1:24" ht="14.25" customHeight="1">
      <c r="A4016" s="4"/>
      <c r="B4016" s="125">
        <v>46195</v>
      </c>
      <c r="C4016" s="126" t="s">
        <v>1962</v>
      </c>
      <c r="D4016" s="15" t="s">
        <v>39</v>
      </c>
      <c r="E4016" s="10" t="str">
        <f>TRIM(VLOOKUP(D4016,TB!$B$9:$C$1500,2,FALSE))</f>
        <v>Petty Cash IDR - on Bar Cashier</v>
      </c>
      <c r="F4016" s="191" t="s">
        <v>1963</v>
      </c>
      <c r="G4016" s="130"/>
      <c r="H4016" s="10"/>
      <c r="I4016" s="10">
        <v>16220407</v>
      </c>
      <c r="J4016" s="79" t="e">
        <f t="shared" si="254"/>
        <v>#VALUE!</v>
      </c>
      <c r="K4016" s="106"/>
      <c r="L4016" s="141"/>
      <c r="M4016" s="132"/>
      <c r="N4016" s="133"/>
      <c r="O4016" s="4"/>
      <c r="P4016" s="4"/>
      <c r="Q4016" s="4"/>
      <c r="R4016" s="4"/>
      <c r="S4016" s="4"/>
      <c r="T4016" s="4"/>
      <c r="U4016" s="4"/>
      <c r="V4016" s="4"/>
      <c r="W4016" s="4"/>
      <c r="X4016" s="4"/>
    </row>
    <row r="4017" spans="1:24" ht="14.25" customHeight="1">
      <c r="A4017" s="4"/>
      <c r="B4017" s="125">
        <v>46195</v>
      </c>
      <c r="C4017" s="126" t="s">
        <v>1962</v>
      </c>
      <c r="D4017" s="15" t="s">
        <v>1754</v>
      </c>
      <c r="E4017" s="10" t="str">
        <f>TRIM(VLOOKUP(D4017,TB!$B$9:$C$1500,2,FALSE))</f>
        <v>Ice Cube</v>
      </c>
      <c r="F4017" s="191" t="s">
        <v>1964</v>
      </c>
      <c r="G4017" s="130">
        <v>6</v>
      </c>
      <c r="H4017" s="10">
        <v>48000</v>
      </c>
      <c r="I4017" s="10"/>
      <c r="J4017" s="79" t="e">
        <f t="shared" si="254"/>
        <v>#VALUE!</v>
      </c>
      <c r="K4017" s="106">
        <f t="shared" ref="K4017:K4019" si="266">H4017/G4017</f>
        <v>8000</v>
      </c>
      <c r="L4017" s="141"/>
      <c r="M4017" s="132"/>
      <c r="N4017" s="133"/>
      <c r="O4017" s="4"/>
      <c r="P4017" s="4"/>
      <c r="Q4017" s="4"/>
      <c r="R4017" s="4"/>
      <c r="S4017" s="4"/>
      <c r="T4017" s="4"/>
      <c r="U4017" s="4"/>
      <c r="V4017" s="4"/>
      <c r="W4017" s="4"/>
      <c r="X4017" s="4"/>
    </row>
    <row r="4018" spans="1:24" ht="14.25" customHeight="1">
      <c r="A4018" s="4"/>
      <c r="B4018" s="125">
        <v>46195</v>
      </c>
      <c r="C4018" s="126" t="s">
        <v>1962</v>
      </c>
      <c r="D4018" s="15" t="s">
        <v>1754</v>
      </c>
      <c r="E4018" s="10" t="str">
        <f>TRIM(VLOOKUP(D4018,TB!$B$9:$C$1500,2,FALSE))</f>
        <v>Ice Cube</v>
      </c>
      <c r="F4018" s="191" t="s">
        <v>1965</v>
      </c>
      <c r="G4018" s="130">
        <f>18+8</f>
        <v>26</v>
      </c>
      <c r="H4018" s="10">
        <v>264000</v>
      </c>
      <c r="I4018" s="10"/>
      <c r="J4018" s="79" t="e">
        <f t="shared" si="254"/>
        <v>#VALUE!</v>
      </c>
      <c r="K4018" s="106">
        <f t="shared" si="266"/>
        <v>10153.846153846154</v>
      </c>
      <c r="L4018" s="141"/>
      <c r="M4018" s="132"/>
      <c r="N4018" s="133"/>
      <c r="O4018" s="4"/>
      <c r="P4018" s="4"/>
      <c r="Q4018" s="4"/>
      <c r="R4018" s="4"/>
      <c r="S4018" s="4"/>
      <c r="T4018" s="4"/>
      <c r="U4018" s="4"/>
      <c r="V4018" s="4"/>
      <c r="W4018" s="4"/>
      <c r="X4018" s="4"/>
    </row>
    <row r="4019" spans="1:24" ht="14.25" customHeight="1">
      <c r="A4019" s="4"/>
      <c r="B4019" s="125">
        <v>46195</v>
      </c>
      <c r="C4019" s="126" t="s">
        <v>1962</v>
      </c>
      <c r="D4019" s="15" t="s">
        <v>1966</v>
      </c>
      <c r="E4019" s="10" t="str">
        <f>TRIM(VLOOKUP(D4019,TB!$B$9:$C$1500,2,FALSE))</f>
        <v>Frestive - Berni Artchks</v>
      </c>
      <c r="F4019" s="191" t="s">
        <v>1967</v>
      </c>
      <c r="G4019" s="130">
        <v>1</v>
      </c>
      <c r="H4019" s="10">
        <v>126000</v>
      </c>
      <c r="I4019" s="10"/>
      <c r="J4019" s="79" t="e">
        <f t="shared" si="254"/>
        <v>#VALUE!</v>
      </c>
      <c r="K4019" s="106">
        <f t="shared" si="266"/>
        <v>126000</v>
      </c>
      <c r="L4019" s="141"/>
      <c r="M4019" s="132"/>
      <c r="N4019" s="133"/>
      <c r="O4019" s="4"/>
      <c r="P4019" s="4"/>
      <c r="Q4019" s="4"/>
      <c r="R4019" s="4"/>
      <c r="S4019" s="4"/>
      <c r="T4019" s="4"/>
      <c r="U4019" s="4"/>
      <c r="V4019" s="4"/>
      <c r="W4019" s="4"/>
      <c r="X4019" s="4"/>
    </row>
    <row r="4020" spans="1:24" ht="14.25" customHeight="1">
      <c r="A4020" s="4"/>
      <c r="B4020" s="125">
        <v>46195</v>
      </c>
      <c r="C4020" s="126" t="s">
        <v>1962</v>
      </c>
      <c r="D4020" s="15" t="s">
        <v>1968</v>
      </c>
      <c r="E4020" s="10" t="str">
        <f>TRIM(VLOOKUP(D4020,TB!$B$9:$C$1500,2,FALSE))</f>
        <v>Gherkin/Pickled/Acar</v>
      </c>
      <c r="F4020" s="191" t="s">
        <v>1969</v>
      </c>
      <c r="G4020" s="130">
        <v>0.33</v>
      </c>
      <c r="H4020" s="10">
        <v>50000</v>
      </c>
      <c r="I4020" s="10"/>
      <c r="J4020" s="79" t="e">
        <f t="shared" si="254"/>
        <v>#VALUE!</v>
      </c>
      <c r="K4020" s="106"/>
      <c r="L4020" s="141"/>
      <c r="M4020" s="132"/>
      <c r="N4020" s="133"/>
      <c r="O4020" s="4"/>
      <c r="P4020" s="4"/>
      <c r="Q4020" s="4"/>
      <c r="R4020" s="4"/>
      <c r="S4020" s="4"/>
      <c r="T4020" s="4"/>
      <c r="U4020" s="4"/>
      <c r="V4020" s="4"/>
      <c r="W4020" s="4"/>
      <c r="X4020" s="4"/>
    </row>
    <row r="4021" spans="1:24" ht="14.25" customHeight="1">
      <c r="A4021" s="4"/>
      <c r="B4021" s="125">
        <v>46195</v>
      </c>
      <c r="C4021" s="126" t="s">
        <v>1962</v>
      </c>
      <c r="D4021" s="159" t="s">
        <v>1797</v>
      </c>
      <c r="E4021" s="10" t="str">
        <f>TRIM(VLOOKUP(D4021,TB!$B$9:$C$1500,2,FALSE))</f>
        <v>Pork Toulouse</v>
      </c>
      <c r="F4021" s="191" t="s">
        <v>1970</v>
      </c>
      <c r="G4021" s="130">
        <v>2.0699999999999998</v>
      </c>
      <c r="H4021" s="10">
        <v>308430</v>
      </c>
      <c r="I4021" s="10"/>
      <c r="J4021" s="79" t="e">
        <f t="shared" si="254"/>
        <v>#VALUE!</v>
      </c>
      <c r="K4021" s="106"/>
      <c r="L4021" s="141"/>
      <c r="M4021" s="132"/>
      <c r="N4021" s="133"/>
      <c r="O4021" s="4"/>
      <c r="P4021" s="4"/>
      <c r="Q4021" s="4"/>
      <c r="R4021" s="4"/>
      <c r="S4021" s="4"/>
      <c r="T4021" s="4"/>
      <c r="U4021" s="4"/>
      <c r="V4021" s="4"/>
      <c r="W4021" s="4"/>
      <c r="X4021" s="4"/>
    </row>
    <row r="4022" spans="1:24" ht="14.25" customHeight="1">
      <c r="A4022" s="4"/>
      <c r="B4022" s="125">
        <v>46195</v>
      </c>
      <c r="C4022" s="126" t="s">
        <v>1962</v>
      </c>
      <c r="D4022" s="159" t="s">
        <v>1836</v>
      </c>
      <c r="E4022" s="10" t="str">
        <f>TRIM(VLOOKUP(D4022,TB!$B$9:$C$1500,2,FALSE))</f>
        <v>Chicken Toulouse</v>
      </c>
      <c r="F4022" s="191" t="s">
        <v>1971</v>
      </c>
      <c r="G4022" s="130">
        <v>1.976</v>
      </c>
      <c r="H4022" s="10">
        <v>247000</v>
      </c>
      <c r="I4022" s="10"/>
      <c r="J4022" s="79" t="e">
        <f t="shared" si="254"/>
        <v>#VALUE!</v>
      </c>
      <c r="K4022" s="106">
        <f>H4022/G4022</f>
        <v>125000</v>
      </c>
      <c r="L4022" s="141"/>
      <c r="M4022" s="132"/>
      <c r="N4022" s="133"/>
      <c r="O4022" s="4"/>
      <c r="P4022" s="4"/>
      <c r="Q4022" s="4"/>
      <c r="R4022" s="4"/>
      <c r="S4022" s="4"/>
      <c r="T4022" s="4"/>
      <c r="U4022" s="4"/>
      <c r="V4022" s="4"/>
      <c r="W4022" s="4"/>
      <c r="X4022" s="4"/>
    </row>
    <row r="4023" spans="1:24" ht="14.25" customHeight="1">
      <c r="A4023" s="4"/>
      <c r="B4023" s="125">
        <v>46195</v>
      </c>
      <c r="C4023" s="126" t="s">
        <v>1962</v>
      </c>
      <c r="D4023" s="15" t="s">
        <v>1226</v>
      </c>
      <c r="E4023" s="10" t="str">
        <f>TRIM(VLOOKUP(D4023,TB!$B$9:$C$1500,2,FALSE))</f>
        <v>Enggineering Electrical &amp; plumbing Supplies</v>
      </c>
      <c r="F4023" s="191" t="s">
        <v>1756</v>
      </c>
      <c r="G4023" s="130"/>
      <c r="H4023" s="10">
        <v>305000</v>
      </c>
      <c r="I4023" s="10"/>
      <c r="J4023" s="79" t="e">
        <f t="shared" si="254"/>
        <v>#VALUE!</v>
      </c>
      <c r="K4023" s="106"/>
      <c r="L4023" s="141"/>
      <c r="M4023" s="132"/>
      <c r="N4023" s="133"/>
      <c r="O4023" s="4"/>
      <c r="P4023" s="4"/>
      <c r="Q4023" s="4"/>
      <c r="R4023" s="4"/>
      <c r="S4023" s="4"/>
      <c r="T4023" s="4"/>
      <c r="U4023" s="4"/>
      <c r="V4023" s="4"/>
      <c r="W4023" s="4"/>
      <c r="X4023" s="4"/>
    </row>
    <row r="4024" spans="1:24" ht="14.25" customHeight="1">
      <c r="A4024" s="4"/>
      <c r="B4024" s="125">
        <v>46195</v>
      </c>
      <c r="C4024" s="126" t="s">
        <v>1962</v>
      </c>
      <c r="D4024" s="15" t="s">
        <v>1573</v>
      </c>
      <c r="E4024" s="10" t="str">
        <f>TRIM(VLOOKUP(D4024,TB!$B$9:$C$1500,2,FALSE))</f>
        <v>Cash Advance</v>
      </c>
      <c r="F4024" s="191" t="s">
        <v>1972</v>
      </c>
      <c r="G4024" s="130"/>
      <c r="H4024" s="10">
        <v>10000000</v>
      </c>
      <c r="I4024" s="10"/>
      <c r="J4024" s="79" t="e">
        <f t="shared" si="254"/>
        <v>#VALUE!</v>
      </c>
      <c r="K4024" s="106"/>
      <c r="L4024" s="141"/>
      <c r="M4024" s="132"/>
      <c r="N4024" s="133"/>
      <c r="O4024" s="4"/>
      <c r="P4024" s="4"/>
      <c r="Q4024" s="4"/>
      <c r="R4024" s="4"/>
      <c r="S4024" s="4"/>
      <c r="T4024" s="4"/>
      <c r="U4024" s="4"/>
      <c r="V4024" s="4"/>
      <c r="W4024" s="4"/>
      <c r="X4024" s="4"/>
    </row>
    <row r="4025" spans="1:24" ht="14.25" customHeight="1">
      <c r="A4025" s="4"/>
      <c r="B4025" s="125">
        <v>46195</v>
      </c>
      <c r="C4025" s="126" t="s">
        <v>1962</v>
      </c>
      <c r="D4025" s="15" t="s">
        <v>1745</v>
      </c>
      <c r="E4025" s="10" t="str">
        <f>TRIM(VLOOKUP(D4025,TB!$B$9:$C$1500,2,FALSE))</f>
        <v>Petty Cash IDR - on General Cashier</v>
      </c>
      <c r="F4025" s="142" t="s">
        <v>1973</v>
      </c>
      <c r="G4025" s="130"/>
      <c r="H4025" s="10"/>
      <c r="I4025" s="10">
        <v>11348430</v>
      </c>
      <c r="J4025" s="79" t="e">
        <f t="shared" si="254"/>
        <v>#VALUE!</v>
      </c>
      <c r="K4025" s="106"/>
      <c r="L4025" s="141"/>
      <c r="M4025" s="132"/>
      <c r="N4025" s="133"/>
      <c r="O4025" s="4"/>
      <c r="P4025" s="4"/>
      <c r="Q4025" s="4"/>
      <c r="R4025" s="4"/>
      <c r="S4025" s="4"/>
      <c r="T4025" s="4"/>
      <c r="U4025" s="4"/>
      <c r="V4025" s="4"/>
      <c r="W4025" s="4"/>
      <c r="X4025" s="4"/>
    </row>
    <row r="4026" spans="1:24" ht="14.25" customHeight="1">
      <c r="A4026" s="4"/>
      <c r="B4026" s="125"/>
      <c r="C4026" s="126"/>
      <c r="D4026" s="68"/>
      <c r="E4026" s="10" t="e">
        <f>TRIM(VLOOKUP(D4026,TB!$B$9:$C$1500,2,FALSE))</f>
        <v>#N/A</v>
      </c>
      <c r="F4026" s="142"/>
      <c r="G4026" s="130"/>
      <c r="H4026" s="10"/>
      <c r="I4026" s="10"/>
      <c r="J4026" s="79" t="e">
        <f t="shared" si="254"/>
        <v>#VALUE!</v>
      </c>
      <c r="K4026" s="106"/>
      <c r="L4026" s="141"/>
      <c r="M4026" s="132"/>
      <c r="N4026" s="133"/>
      <c r="O4026" s="4"/>
      <c r="P4026" s="4"/>
      <c r="Q4026" s="4"/>
      <c r="R4026" s="4"/>
      <c r="S4026" s="4"/>
      <c r="T4026" s="4"/>
      <c r="U4026" s="4"/>
      <c r="V4026" s="4"/>
      <c r="W4026" s="4"/>
      <c r="X4026" s="4"/>
    </row>
    <row r="4027" spans="1:24" ht="14.25" customHeight="1">
      <c r="A4027" s="4"/>
      <c r="B4027" s="125">
        <v>46195</v>
      </c>
      <c r="C4027" s="126" t="s">
        <v>1974</v>
      </c>
      <c r="D4027" s="15" t="s">
        <v>1745</v>
      </c>
      <c r="E4027" s="10" t="str">
        <f>TRIM(VLOOKUP(D4027,TB!$B$9:$C$1500,2,FALSE))</f>
        <v>Petty Cash IDR - on General Cashier</v>
      </c>
      <c r="F4027" s="191" t="s">
        <v>1975</v>
      </c>
      <c r="G4027" s="130"/>
      <c r="H4027" s="10">
        <v>5066026</v>
      </c>
      <c r="I4027" s="10"/>
      <c r="J4027" s="79" t="e">
        <f t="shared" si="254"/>
        <v>#VALUE!</v>
      </c>
      <c r="K4027" s="106"/>
      <c r="L4027" s="141"/>
      <c r="M4027" s="132"/>
      <c r="N4027" s="133"/>
      <c r="O4027" s="4"/>
      <c r="P4027" s="4"/>
      <c r="Q4027" s="4"/>
      <c r="R4027" s="4"/>
      <c r="S4027" s="4"/>
      <c r="T4027" s="4"/>
      <c r="U4027" s="4"/>
      <c r="V4027" s="4"/>
      <c r="W4027" s="4"/>
      <c r="X4027" s="4"/>
    </row>
    <row r="4028" spans="1:24" ht="14.25" customHeight="1">
      <c r="A4028" s="4"/>
      <c r="B4028" s="125">
        <v>46195</v>
      </c>
      <c r="C4028" s="126" t="s">
        <v>1974</v>
      </c>
      <c r="D4028" s="15" t="s">
        <v>39</v>
      </c>
      <c r="E4028" s="10" t="str">
        <f>TRIM(VLOOKUP(D4028,TB!$B$9:$C$1500,2,FALSE))</f>
        <v>Petty Cash IDR - on Bar Cashier</v>
      </c>
      <c r="F4028" s="191" t="s">
        <v>1975</v>
      </c>
      <c r="G4028" s="130"/>
      <c r="H4028" s="10"/>
      <c r="I4028" s="10">
        <v>5066026</v>
      </c>
      <c r="J4028" s="79" t="e">
        <f t="shared" si="254"/>
        <v>#VALUE!</v>
      </c>
      <c r="K4028" s="106"/>
      <c r="L4028" s="141"/>
      <c r="M4028" s="132"/>
      <c r="N4028" s="133"/>
      <c r="O4028" s="4"/>
      <c r="P4028" s="4"/>
      <c r="Q4028" s="4"/>
      <c r="R4028" s="4"/>
      <c r="S4028" s="4"/>
      <c r="T4028" s="4"/>
      <c r="U4028" s="4"/>
      <c r="V4028" s="4"/>
      <c r="W4028" s="4"/>
      <c r="X4028" s="4"/>
    </row>
    <row r="4029" spans="1:24" ht="14.25" customHeight="1">
      <c r="A4029" s="4"/>
      <c r="B4029" s="125">
        <v>46195</v>
      </c>
      <c r="C4029" s="126" t="s">
        <v>1974</v>
      </c>
      <c r="D4029" s="15" t="s">
        <v>1754</v>
      </c>
      <c r="E4029" s="10" t="str">
        <f>TRIM(VLOOKUP(D4029,TB!$B$9:$C$1500,2,FALSE))</f>
        <v>Ice Cube</v>
      </c>
      <c r="F4029" s="191" t="s">
        <v>1976</v>
      </c>
      <c r="G4029" s="130">
        <v>6</v>
      </c>
      <c r="H4029" s="10">
        <v>48000</v>
      </c>
      <c r="I4029" s="10"/>
      <c r="J4029" s="79" t="e">
        <f t="shared" si="254"/>
        <v>#VALUE!</v>
      </c>
      <c r="K4029" s="106">
        <f t="shared" ref="K4029:K4030" si="267">H4029/G4029</f>
        <v>8000</v>
      </c>
      <c r="L4029" s="141"/>
      <c r="M4029" s="132"/>
      <c r="N4029" s="133"/>
      <c r="O4029" s="4"/>
      <c r="P4029" s="4"/>
      <c r="Q4029" s="4"/>
      <c r="R4029" s="4"/>
      <c r="S4029" s="4"/>
      <c r="T4029" s="4"/>
      <c r="U4029" s="4"/>
      <c r="V4029" s="4"/>
      <c r="W4029" s="4"/>
      <c r="X4029" s="4"/>
    </row>
    <row r="4030" spans="1:24" ht="14.25" customHeight="1">
      <c r="A4030" s="4"/>
      <c r="B4030" s="125">
        <v>46195</v>
      </c>
      <c r="C4030" s="126" t="s">
        <v>1974</v>
      </c>
      <c r="D4030" s="15" t="s">
        <v>1875</v>
      </c>
      <c r="E4030" s="10" t="str">
        <f>TRIM(VLOOKUP(D4030,TB!$B$9:$C$1500,2,FALSE))</f>
        <v>Onion/Bombay</v>
      </c>
      <c r="F4030" s="191" t="s">
        <v>1977</v>
      </c>
      <c r="G4030" s="130">
        <v>1</v>
      </c>
      <c r="H4030" s="10">
        <v>45000</v>
      </c>
      <c r="I4030" s="10"/>
      <c r="J4030" s="79" t="e">
        <f t="shared" si="254"/>
        <v>#VALUE!</v>
      </c>
      <c r="K4030" s="106">
        <f t="shared" si="267"/>
        <v>45000</v>
      </c>
      <c r="L4030" s="141"/>
      <c r="M4030" s="132"/>
      <c r="N4030" s="133"/>
      <c r="O4030" s="4"/>
      <c r="P4030" s="4"/>
      <c r="Q4030" s="4"/>
      <c r="R4030" s="4"/>
      <c r="S4030" s="4"/>
      <c r="T4030" s="4"/>
      <c r="U4030" s="4"/>
      <c r="V4030" s="4"/>
      <c r="W4030" s="4"/>
      <c r="X4030" s="4"/>
    </row>
    <row r="4031" spans="1:24" ht="14.25" customHeight="1">
      <c r="A4031" s="4"/>
      <c r="B4031" s="125">
        <v>46195</v>
      </c>
      <c r="C4031" s="126" t="s">
        <v>1974</v>
      </c>
      <c r="D4031" s="15" t="s">
        <v>1770</v>
      </c>
      <c r="E4031" s="10" t="str">
        <f>TRIM(VLOOKUP(D4031,TB!$B$9:$C$1500,2,FALSE))</f>
        <v>Ceremony Expenses</v>
      </c>
      <c r="F4031" s="191" t="s">
        <v>1771</v>
      </c>
      <c r="G4031" s="130"/>
      <c r="H4031" s="10">
        <v>242000</v>
      </c>
      <c r="I4031" s="10"/>
      <c r="J4031" s="79" t="e">
        <f t="shared" si="254"/>
        <v>#VALUE!</v>
      </c>
      <c r="K4031" s="106"/>
      <c r="L4031" s="141"/>
      <c r="M4031" s="132"/>
      <c r="N4031" s="133"/>
      <c r="O4031" s="4"/>
      <c r="P4031" s="4"/>
      <c r="Q4031" s="4"/>
      <c r="R4031" s="4"/>
      <c r="S4031" s="4"/>
      <c r="T4031" s="4"/>
      <c r="U4031" s="4"/>
      <c r="V4031" s="4"/>
      <c r="W4031" s="4"/>
      <c r="X4031" s="4"/>
    </row>
    <row r="4032" spans="1:24" ht="14.25" customHeight="1">
      <c r="A4032" s="4"/>
      <c r="B4032" s="125">
        <v>46195</v>
      </c>
      <c r="C4032" s="126" t="s">
        <v>1974</v>
      </c>
      <c r="D4032" s="15" t="s">
        <v>1754</v>
      </c>
      <c r="E4032" s="10" t="str">
        <f>TRIM(VLOOKUP(D4032,TB!$B$9:$C$1500,2,FALSE))</f>
        <v>Ice Cube</v>
      </c>
      <c r="F4032" s="191" t="s">
        <v>1978</v>
      </c>
      <c r="G4032" s="130">
        <v>20</v>
      </c>
      <c r="H4032" s="10">
        <v>120000</v>
      </c>
      <c r="I4032" s="10"/>
      <c r="J4032" s="79" t="e">
        <f t="shared" si="254"/>
        <v>#VALUE!</v>
      </c>
      <c r="K4032" s="106">
        <f>H4032/G4032</f>
        <v>6000</v>
      </c>
      <c r="L4032" s="141"/>
      <c r="M4032" s="132"/>
      <c r="N4032" s="133"/>
      <c r="O4032" s="4"/>
      <c r="P4032" s="4"/>
      <c r="Q4032" s="4"/>
      <c r="R4032" s="4"/>
      <c r="S4032" s="4"/>
      <c r="T4032" s="4"/>
      <c r="U4032" s="4"/>
      <c r="V4032" s="4"/>
      <c r="W4032" s="4"/>
      <c r="X4032" s="4"/>
    </row>
    <row r="4033" spans="1:24" ht="14.25" customHeight="1">
      <c r="A4033" s="4"/>
      <c r="B4033" s="125">
        <v>46195</v>
      </c>
      <c r="C4033" s="126" t="s">
        <v>1974</v>
      </c>
      <c r="D4033" s="68" t="s">
        <v>158</v>
      </c>
      <c r="E4033" s="10" t="str">
        <f>TRIM(VLOOKUP(D4033,TB!$B$9:$C$1500,2,FALSE))</f>
        <v>Mandiri TBB IDR</v>
      </c>
      <c r="F4033" s="142" t="s">
        <v>1908</v>
      </c>
      <c r="G4033" s="130"/>
      <c r="H4033" s="155">
        <v>5000000</v>
      </c>
      <c r="I4033" s="10"/>
      <c r="J4033" s="79" t="e">
        <f t="shared" si="254"/>
        <v>#VALUE!</v>
      </c>
      <c r="K4033" s="106"/>
      <c r="L4033" s="141"/>
      <c r="M4033" s="132"/>
      <c r="N4033" s="133"/>
      <c r="O4033" s="4"/>
      <c r="P4033" s="4"/>
      <c r="Q4033" s="4"/>
      <c r="R4033" s="4"/>
      <c r="S4033" s="4"/>
      <c r="T4033" s="4"/>
      <c r="U4033" s="4"/>
      <c r="V4033" s="4"/>
      <c r="W4033" s="4"/>
      <c r="X4033" s="4"/>
    </row>
    <row r="4034" spans="1:24" ht="14.25" customHeight="1">
      <c r="A4034" s="4"/>
      <c r="B4034" s="125">
        <v>46195</v>
      </c>
      <c r="C4034" s="126" t="s">
        <v>1974</v>
      </c>
      <c r="D4034" s="68" t="s">
        <v>158</v>
      </c>
      <c r="E4034" s="10" t="str">
        <f>TRIM(VLOOKUP(D4034,TB!$B$9:$C$1500,2,FALSE))</f>
        <v>Mandiri TBB IDR</v>
      </c>
      <c r="F4034" s="142" t="s">
        <v>1979</v>
      </c>
      <c r="G4034" s="130"/>
      <c r="H4034" s="10">
        <v>44572000</v>
      </c>
      <c r="I4034" s="10"/>
      <c r="J4034" s="79" t="e">
        <f t="shared" si="254"/>
        <v>#VALUE!</v>
      </c>
      <c r="K4034" s="106"/>
      <c r="L4034" s="141"/>
      <c r="M4034" s="132"/>
      <c r="N4034" s="133"/>
      <c r="O4034" s="4"/>
      <c r="P4034" s="4"/>
      <c r="Q4034" s="4"/>
      <c r="R4034" s="4"/>
      <c r="S4034" s="4"/>
      <c r="T4034" s="4"/>
      <c r="U4034" s="4"/>
      <c r="V4034" s="4"/>
      <c r="W4034" s="4"/>
      <c r="X4034" s="4"/>
    </row>
    <row r="4035" spans="1:24" ht="14.25" customHeight="1">
      <c r="A4035" s="4"/>
      <c r="B4035" s="125">
        <v>46195</v>
      </c>
      <c r="C4035" s="126" t="s">
        <v>1974</v>
      </c>
      <c r="D4035" s="15" t="s">
        <v>1745</v>
      </c>
      <c r="E4035" s="10" t="str">
        <f>TRIM(VLOOKUP(D4035,TB!$B$9:$C$1500,2,FALSE))</f>
        <v>Petty Cash IDR - on General Cashier</v>
      </c>
      <c r="F4035" s="142" t="s">
        <v>1980</v>
      </c>
      <c r="G4035" s="130"/>
      <c r="H4035" s="10"/>
      <c r="I4035" s="10">
        <v>50027000</v>
      </c>
      <c r="J4035" s="79" t="e">
        <f t="shared" si="254"/>
        <v>#VALUE!</v>
      </c>
      <c r="K4035" s="106"/>
      <c r="L4035" s="141"/>
      <c r="M4035" s="132"/>
      <c r="N4035" s="133"/>
      <c r="O4035" s="4"/>
      <c r="P4035" s="4"/>
      <c r="Q4035" s="4"/>
      <c r="R4035" s="4"/>
      <c r="S4035" s="4"/>
      <c r="T4035" s="4"/>
      <c r="U4035" s="4"/>
      <c r="V4035" s="4"/>
      <c r="W4035" s="4"/>
      <c r="X4035" s="4"/>
    </row>
    <row r="4036" spans="1:24" ht="14.25" customHeight="1">
      <c r="A4036" s="4"/>
      <c r="B4036" s="125"/>
      <c r="C4036" s="126"/>
      <c r="D4036" s="68"/>
      <c r="E4036" s="10" t="e">
        <f>TRIM(VLOOKUP(D4036,TB!$B$9:$C$1500,2,FALSE))</f>
        <v>#N/A</v>
      </c>
      <c r="F4036" s="142"/>
      <c r="G4036" s="130"/>
      <c r="H4036" s="10"/>
      <c r="I4036" s="10"/>
      <c r="J4036" s="79" t="e">
        <f t="shared" si="254"/>
        <v>#VALUE!</v>
      </c>
      <c r="K4036" s="106"/>
      <c r="L4036" s="141"/>
      <c r="M4036" s="132"/>
      <c r="N4036" s="133"/>
      <c r="O4036" s="4"/>
      <c r="P4036" s="4"/>
      <c r="Q4036" s="4"/>
      <c r="R4036" s="4"/>
      <c r="S4036" s="4"/>
      <c r="T4036" s="4"/>
      <c r="U4036" s="4"/>
      <c r="V4036" s="4"/>
      <c r="W4036" s="4"/>
      <c r="X4036" s="4"/>
    </row>
    <row r="4037" spans="1:24" ht="14.25" customHeight="1">
      <c r="A4037" s="4"/>
      <c r="B4037" s="125">
        <v>46196</v>
      </c>
      <c r="C4037" s="126" t="s">
        <v>1981</v>
      </c>
      <c r="D4037" s="15" t="s">
        <v>403</v>
      </c>
      <c r="E4037" s="10" t="str">
        <f>TRIM(VLOOKUP(D4037,TB!$B$9:$C$1500,2,FALSE))</f>
        <v>Security/Police/Banjar Costs</v>
      </c>
      <c r="F4037" s="191" t="s">
        <v>1982</v>
      </c>
      <c r="G4037" s="130"/>
      <c r="H4037" s="10">
        <v>6000000</v>
      </c>
      <c r="I4037" s="10"/>
      <c r="J4037" s="79" t="e">
        <f t="shared" si="254"/>
        <v>#VALUE!</v>
      </c>
      <c r="K4037" s="106"/>
      <c r="L4037" s="141"/>
      <c r="M4037" s="132"/>
      <c r="N4037" s="133"/>
      <c r="O4037" s="4"/>
      <c r="P4037" s="4"/>
      <c r="Q4037" s="4"/>
      <c r="R4037" s="4"/>
      <c r="S4037" s="4"/>
      <c r="T4037" s="4"/>
      <c r="U4037" s="4"/>
      <c r="V4037" s="4"/>
      <c r="W4037" s="4"/>
      <c r="X4037" s="4"/>
    </row>
    <row r="4038" spans="1:24" ht="14.25" customHeight="1">
      <c r="A4038" s="4"/>
      <c r="B4038" s="125">
        <v>46196</v>
      </c>
      <c r="C4038" s="126" t="s">
        <v>1981</v>
      </c>
      <c r="D4038" s="15" t="s">
        <v>1745</v>
      </c>
      <c r="E4038" s="10" t="str">
        <f>TRIM(VLOOKUP(D4038,TB!$B$9:$C$1500,2,FALSE))</f>
        <v>Petty Cash IDR - on General Cashier</v>
      </c>
      <c r="F4038" s="191" t="s">
        <v>1982</v>
      </c>
      <c r="G4038" s="130"/>
      <c r="H4038" s="10"/>
      <c r="I4038" s="10">
        <v>6000000</v>
      </c>
      <c r="J4038" s="79" t="e">
        <f t="shared" si="254"/>
        <v>#VALUE!</v>
      </c>
      <c r="K4038" s="106"/>
      <c r="L4038" s="141"/>
      <c r="M4038" s="132"/>
      <c r="N4038" s="133"/>
      <c r="O4038" s="4"/>
      <c r="P4038" s="4"/>
      <c r="Q4038" s="4"/>
      <c r="R4038" s="4"/>
      <c r="S4038" s="4"/>
      <c r="T4038" s="4"/>
      <c r="U4038" s="4"/>
      <c r="V4038" s="4"/>
      <c r="W4038" s="4"/>
      <c r="X4038" s="4"/>
    </row>
    <row r="4039" spans="1:24" ht="14.25" customHeight="1">
      <c r="A4039" s="4"/>
      <c r="B4039" s="125"/>
      <c r="C4039" s="126"/>
      <c r="D4039" s="159"/>
      <c r="E4039" s="10" t="e">
        <f>TRIM(VLOOKUP(D4039,TB!$B$9:$C$1500,2,FALSE))</f>
        <v>#N/A</v>
      </c>
      <c r="F4039" s="142"/>
      <c r="G4039" s="130"/>
      <c r="H4039" s="10"/>
      <c r="I4039" s="10"/>
      <c r="J4039" s="79" t="e">
        <f t="shared" si="254"/>
        <v>#VALUE!</v>
      </c>
      <c r="K4039" s="106"/>
      <c r="L4039" s="141"/>
      <c r="M4039" s="132"/>
      <c r="N4039" s="133"/>
      <c r="O4039" s="4"/>
      <c r="P4039" s="4"/>
      <c r="Q4039" s="4"/>
      <c r="R4039" s="4"/>
      <c r="S4039" s="4"/>
      <c r="T4039" s="4"/>
      <c r="U4039" s="4"/>
      <c r="V4039" s="4"/>
      <c r="W4039" s="4"/>
      <c r="X4039" s="4"/>
    </row>
    <row r="4040" spans="1:24" ht="14.25" customHeight="1">
      <c r="A4040" s="4"/>
      <c r="B4040" s="125">
        <v>46198</v>
      </c>
      <c r="C4040" s="126" t="s">
        <v>1983</v>
      </c>
      <c r="D4040" s="15" t="s">
        <v>1745</v>
      </c>
      <c r="E4040" s="10" t="str">
        <f>TRIM(VLOOKUP(D4040,TB!$B$9:$C$1500,2,FALSE))</f>
        <v>Petty Cash IDR - on General Cashier</v>
      </c>
      <c r="F4040" s="191" t="s">
        <v>1984</v>
      </c>
      <c r="G4040" s="130"/>
      <c r="H4040" s="10">
        <v>8968057</v>
      </c>
      <c r="I4040" s="10"/>
      <c r="J4040" s="79" t="e">
        <f t="shared" si="254"/>
        <v>#VALUE!</v>
      </c>
      <c r="K4040" s="106"/>
      <c r="L4040" s="141"/>
      <c r="M4040" s="132"/>
      <c r="N4040" s="133"/>
      <c r="O4040" s="4"/>
      <c r="P4040" s="4"/>
      <c r="Q4040" s="4"/>
      <c r="R4040" s="4"/>
      <c r="S4040" s="4"/>
      <c r="T4040" s="4"/>
      <c r="U4040" s="4"/>
      <c r="V4040" s="4"/>
      <c r="W4040" s="4"/>
      <c r="X4040" s="4"/>
    </row>
    <row r="4041" spans="1:24" ht="14.25" customHeight="1">
      <c r="A4041" s="4"/>
      <c r="B4041" s="125">
        <v>46198</v>
      </c>
      <c r="C4041" s="126" t="s">
        <v>1983</v>
      </c>
      <c r="D4041" s="15" t="s">
        <v>39</v>
      </c>
      <c r="E4041" s="10" t="str">
        <f>TRIM(VLOOKUP(D4041,TB!$B$9:$C$1500,2,FALSE))</f>
        <v>Petty Cash IDR - on Bar Cashier</v>
      </c>
      <c r="F4041" s="191" t="s">
        <v>1984</v>
      </c>
      <c r="G4041" s="130"/>
      <c r="H4041" s="10"/>
      <c r="I4041" s="10">
        <v>8968057</v>
      </c>
      <c r="J4041" s="79" t="e">
        <f t="shared" si="254"/>
        <v>#VALUE!</v>
      </c>
      <c r="K4041" s="106"/>
      <c r="L4041" s="141"/>
      <c r="M4041" s="132"/>
      <c r="N4041" s="133"/>
      <c r="O4041" s="4"/>
      <c r="P4041" s="4"/>
      <c r="Q4041" s="4"/>
      <c r="R4041" s="4"/>
      <c r="S4041" s="4"/>
      <c r="T4041" s="4"/>
      <c r="U4041" s="4"/>
      <c r="V4041" s="4"/>
      <c r="W4041" s="4"/>
      <c r="X4041" s="4"/>
    </row>
    <row r="4042" spans="1:24" ht="14.25" customHeight="1">
      <c r="A4042" s="4"/>
      <c r="B4042" s="125">
        <v>46198</v>
      </c>
      <c r="C4042" s="126" t="s">
        <v>1983</v>
      </c>
      <c r="D4042" s="15" t="s">
        <v>1754</v>
      </c>
      <c r="E4042" s="10" t="str">
        <f>TRIM(VLOOKUP(D4042,TB!$B$9:$C$1500,2,FALSE))</f>
        <v>Ice Cube</v>
      </c>
      <c r="F4042" s="191" t="s">
        <v>1985</v>
      </c>
      <c r="G4042" s="130">
        <v>6</v>
      </c>
      <c r="H4042" s="10">
        <v>48000</v>
      </c>
      <c r="I4042" s="10"/>
      <c r="J4042" s="79" t="e">
        <f t="shared" si="254"/>
        <v>#VALUE!</v>
      </c>
      <c r="K4042" s="106">
        <f>H4042/G4042</f>
        <v>8000</v>
      </c>
      <c r="L4042" s="141"/>
      <c r="M4042" s="132"/>
      <c r="N4042" s="133"/>
      <c r="O4042" s="4"/>
      <c r="P4042" s="4"/>
      <c r="Q4042" s="4"/>
      <c r="R4042" s="4"/>
      <c r="S4042" s="4"/>
      <c r="T4042" s="4"/>
      <c r="U4042" s="4"/>
      <c r="V4042" s="4"/>
      <c r="W4042" s="4"/>
      <c r="X4042" s="4"/>
    </row>
    <row r="4043" spans="1:24" ht="14.25" customHeight="1">
      <c r="A4043" s="4"/>
      <c r="B4043" s="125">
        <v>46198</v>
      </c>
      <c r="C4043" s="126" t="s">
        <v>1983</v>
      </c>
      <c r="D4043" s="15" t="s">
        <v>1155</v>
      </c>
      <c r="E4043" s="10" t="str">
        <f>TRIM(VLOOKUP(D4043,TB!$B$9:$C$1500,2,FALSE))</f>
        <v>Kitchen Supplies</v>
      </c>
      <c r="F4043" s="191" t="s">
        <v>1986</v>
      </c>
      <c r="G4043" s="130"/>
      <c r="H4043" s="170">
        <v>451720</v>
      </c>
      <c r="I4043" s="10"/>
      <c r="J4043" s="79" t="e">
        <f t="shared" si="254"/>
        <v>#VALUE!</v>
      </c>
      <c r="K4043" s="106"/>
      <c r="L4043" s="141"/>
      <c r="M4043" s="132"/>
      <c r="N4043" s="133"/>
      <c r="O4043" s="4"/>
      <c r="P4043" s="4"/>
      <c r="Q4043" s="4"/>
      <c r="R4043" s="4"/>
      <c r="S4043" s="4"/>
      <c r="T4043" s="4"/>
      <c r="U4043" s="4"/>
      <c r="V4043" s="4"/>
      <c r="W4043" s="4"/>
      <c r="X4043" s="4"/>
    </row>
    <row r="4044" spans="1:24" ht="14.25" customHeight="1">
      <c r="A4044" s="4"/>
      <c r="B4044" s="125">
        <v>46198</v>
      </c>
      <c r="C4044" s="126" t="s">
        <v>1983</v>
      </c>
      <c r="D4044" s="15" t="s">
        <v>1778</v>
      </c>
      <c r="E4044" s="10" t="str">
        <f>TRIM(VLOOKUP(D4044,TB!$B$9:$C$1500,2,FALSE))</f>
        <v>Marlboro Light / GOLD</v>
      </c>
      <c r="F4044" s="191" t="s">
        <v>1987</v>
      </c>
      <c r="G4044" s="130">
        <v>10</v>
      </c>
      <c r="H4044" s="10">
        <v>518000</v>
      </c>
      <c r="I4044" s="10"/>
      <c r="J4044" s="79" t="e">
        <f t="shared" si="254"/>
        <v>#VALUE!</v>
      </c>
      <c r="K4044" s="106"/>
      <c r="L4044" s="141"/>
      <c r="M4044" s="132"/>
      <c r="N4044" s="133"/>
      <c r="O4044" s="4"/>
      <c r="P4044" s="4"/>
      <c r="Q4044" s="4"/>
      <c r="R4044" s="4"/>
      <c r="S4044" s="4"/>
      <c r="T4044" s="4"/>
      <c r="U4044" s="4"/>
      <c r="V4044" s="4"/>
      <c r="W4044" s="4"/>
      <c r="X4044" s="4"/>
    </row>
    <row r="4045" spans="1:24" ht="14.25" customHeight="1">
      <c r="A4045" s="4"/>
      <c r="B4045" s="125">
        <v>46198</v>
      </c>
      <c r="C4045" s="126" t="s">
        <v>1983</v>
      </c>
      <c r="D4045" s="15" t="s">
        <v>1776</v>
      </c>
      <c r="E4045" s="10" t="str">
        <f>TRIM(VLOOKUP(D4045,TB!$B$9:$C$1500,2,FALSE))</f>
        <v>Marlboro Merah</v>
      </c>
      <c r="F4045" s="191" t="s">
        <v>1913</v>
      </c>
      <c r="G4045" s="130">
        <v>10</v>
      </c>
      <c r="H4045" s="10">
        <v>518000</v>
      </c>
      <c r="I4045" s="10"/>
      <c r="J4045" s="79" t="e">
        <f t="shared" si="254"/>
        <v>#VALUE!</v>
      </c>
      <c r="K4045" s="106"/>
      <c r="L4045" s="141"/>
      <c r="M4045" s="132"/>
      <c r="N4045" s="133"/>
      <c r="O4045" s="4"/>
      <c r="P4045" s="4"/>
      <c r="Q4045" s="4"/>
      <c r="R4045" s="4"/>
      <c r="S4045" s="4"/>
      <c r="T4045" s="4"/>
      <c r="U4045" s="4"/>
      <c r="V4045" s="4"/>
      <c r="W4045" s="4"/>
      <c r="X4045" s="4"/>
    </row>
    <row r="4046" spans="1:24" ht="14.25" customHeight="1">
      <c r="A4046" s="4"/>
      <c r="B4046" s="125">
        <v>46198</v>
      </c>
      <c r="C4046" s="126" t="s">
        <v>1983</v>
      </c>
      <c r="D4046" s="15" t="s">
        <v>1863</v>
      </c>
      <c r="E4046" s="10" t="str">
        <f>TRIM(VLOOKUP(D4046,TB!$B$9:$C$1500,2,FALSE))</f>
        <v>Marlboro Ice Blast</v>
      </c>
      <c r="F4046" s="191" t="s">
        <v>1912</v>
      </c>
      <c r="G4046" s="130">
        <v>10</v>
      </c>
      <c r="H4046" s="10">
        <v>518000</v>
      </c>
      <c r="I4046" s="10"/>
      <c r="J4046" s="79" t="e">
        <f t="shared" si="254"/>
        <v>#VALUE!</v>
      </c>
      <c r="K4046" s="106"/>
      <c r="L4046" s="141"/>
      <c r="M4046" s="132"/>
      <c r="N4046" s="133"/>
      <c r="O4046" s="4"/>
      <c r="P4046" s="4"/>
      <c r="Q4046" s="4"/>
      <c r="R4046" s="4"/>
      <c r="S4046" s="4"/>
      <c r="T4046" s="4"/>
      <c r="U4046" s="4"/>
      <c r="V4046" s="4"/>
      <c r="W4046" s="4"/>
      <c r="X4046" s="4"/>
    </row>
    <row r="4047" spans="1:24" ht="14.25" customHeight="1">
      <c r="A4047" s="4"/>
      <c r="B4047" s="125">
        <v>46198</v>
      </c>
      <c r="C4047" s="126" t="s">
        <v>1983</v>
      </c>
      <c r="D4047" s="15" t="s">
        <v>1988</v>
      </c>
      <c r="E4047" s="10" t="str">
        <f>TRIM(VLOOKUP(D4047,TB!$B$9:$C$1500,2,FALSE))</f>
        <v>Salt</v>
      </c>
      <c r="F4047" s="191" t="s">
        <v>1989</v>
      </c>
      <c r="G4047" s="130">
        <v>1</v>
      </c>
      <c r="H4047" s="10">
        <v>11000</v>
      </c>
      <c r="I4047" s="10"/>
      <c r="J4047" s="79" t="e">
        <f t="shared" si="254"/>
        <v>#VALUE!</v>
      </c>
      <c r="K4047" s="106"/>
      <c r="L4047" s="141"/>
      <c r="M4047" s="132"/>
      <c r="N4047" s="133"/>
      <c r="O4047" s="4"/>
      <c r="P4047" s="4"/>
      <c r="Q4047" s="4"/>
      <c r="R4047" s="4"/>
      <c r="S4047" s="4"/>
      <c r="T4047" s="4"/>
      <c r="U4047" s="4"/>
      <c r="V4047" s="4"/>
      <c r="W4047" s="4"/>
      <c r="X4047" s="4"/>
    </row>
    <row r="4048" spans="1:24" ht="14.25" customHeight="1">
      <c r="A4048" s="4"/>
      <c r="B4048" s="125">
        <v>46198</v>
      </c>
      <c r="C4048" s="126" t="s">
        <v>1983</v>
      </c>
      <c r="D4048" s="15" t="s">
        <v>933</v>
      </c>
      <c r="E4048" s="10" t="str">
        <f>TRIM(VLOOKUP(D4048,TB!$B$9:$C$1500,2,FALSE))</f>
        <v>Other</v>
      </c>
      <c r="F4048" s="191" t="s">
        <v>1955</v>
      </c>
      <c r="G4048" s="130">
        <f>5*0.2</f>
        <v>1</v>
      </c>
      <c r="H4048" s="10">
        <f>38500-6000</f>
        <v>32500</v>
      </c>
      <c r="I4048" s="10"/>
      <c r="J4048" s="79" t="e">
        <f t="shared" si="254"/>
        <v>#VALUE!</v>
      </c>
      <c r="K4048" s="106"/>
      <c r="L4048" s="141"/>
      <c r="M4048" s="132"/>
      <c r="N4048" s="133"/>
      <c r="O4048" s="4"/>
      <c r="P4048" s="4"/>
      <c r="Q4048" s="4"/>
      <c r="R4048" s="4"/>
      <c r="S4048" s="4"/>
      <c r="T4048" s="4"/>
      <c r="U4048" s="4"/>
      <c r="V4048" s="4"/>
      <c r="W4048" s="4"/>
      <c r="X4048" s="4"/>
    </row>
    <row r="4049" spans="1:24" ht="14.25" customHeight="1">
      <c r="A4049" s="4"/>
      <c r="B4049" s="125">
        <v>46198</v>
      </c>
      <c r="C4049" s="126" t="s">
        <v>1983</v>
      </c>
      <c r="D4049" s="15" t="s">
        <v>1754</v>
      </c>
      <c r="E4049" s="10" t="str">
        <f>TRIM(VLOOKUP(D4049,TB!$B$9:$C$1500,2,FALSE))</f>
        <v>Ice Cube</v>
      </c>
      <c r="F4049" s="191" t="s">
        <v>1990</v>
      </c>
      <c r="G4049" s="130">
        <v>15</v>
      </c>
      <c r="H4049" s="10">
        <v>180000</v>
      </c>
      <c r="I4049" s="10"/>
      <c r="J4049" s="79" t="e">
        <f t="shared" si="254"/>
        <v>#VALUE!</v>
      </c>
      <c r="K4049" s="106">
        <f>H4049/G4049</f>
        <v>12000</v>
      </c>
      <c r="L4049" s="141"/>
      <c r="M4049" s="132"/>
      <c r="N4049" s="133"/>
      <c r="O4049" s="4"/>
      <c r="P4049" s="4"/>
      <c r="Q4049" s="4"/>
      <c r="R4049" s="4"/>
      <c r="S4049" s="4"/>
      <c r="T4049" s="4"/>
      <c r="U4049" s="4"/>
      <c r="V4049" s="4"/>
      <c r="W4049" s="4"/>
      <c r="X4049" s="4"/>
    </row>
    <row r="4050" spans="1:24" ht="14.25" customHeight="1">
      <c r="A4050" s="4"/>
      <c r="B4050" s="125">
        <v>46198</v>
      </c>
      <c r="C4050" s="126" t="s">
        <v>1983</v>
      </c>
      <c r="D4050" s="15" t="s">
        <v>1745</v>
      </c>
      <c r="E4050" s="10" t="str">
        <f>TRIM(VLOOKUP(D4050,TB!$B$9:$C$1500,2,FALSE))</f>
        <v>Petty Cash IDR - on General Cashier</v>
      </c>
      <c r="F4050" s="142" t="s">
        <v>1991</v>
      </c>
      <c r="G4050" s="130"/>
      <c r="H4050" s="10"/>
      <c r="I4050" s="10">
        <v>2277220</v>
      </c>
      <c r="J4050" s="79" t="e">
        <f t="shared" si="254"/>
        <v>#VALUE!</v>
      </c>
      <c r="K4050" s="106"/>
      <c r="L4050" s="141"/>
      <c r="M4050" s="132"/>
      <c r="N4050" s="133"/>
      <c r="O4050" s="4"/>
      <c r="P4050" s="4"/>
      <c r="Q4050" s="4"/>
      <c r="R4050" s="4"/>
      <c r="S4050" s="4"/>
      <c r="T4050" s="4"/>
      <c r="U4050" s="4"/>
      <c r="V4050" s="4"/>
      <c r="W4050" s="4"/>
      <c r="X4050" s="4"/>
    </row>
    <row r="4051" spans="1:24" ht="14.25" customHeight="1">
      <c r="A4051" s="4"/>
      <c r="B4051" s="125"/>
      <c r="C4051" s="126"/>
      <c r="D4051" s="159"/>
      <c r="E4051" s="10" t="e">
        <f>TRIM(VLOOKUP(D4051,TB!$B$9:$C$1500,2,FALSE))</f>
        <v>#N/A</v>
      </c>
      <c r="F4051" s="142"/>
      <c r="G4051" s="130"/>
      <c r="H4051" s="10"/>
      <c r="I4051" s="10"/>
      <c r="J4051" s="79" t="e">
        <f t="shared" si="254"/>
        <v>#VALUE!</v>
      </c>
      <c r="K4051" s="106"/>
      <c r="L4051" s="141"/>
      <c r="M4051" s="132"/>
      <c r="N4051" s="133"/>
      <c r="O4051" s="4"/>
      <c r="P4051" s="4"/>
      <c r="Q4051" s="4"/>
      <c r="R4051" s="4"/>
      <c r="S4051" s="4"/>
      <c r="T4051" s="4"/>
      <c r="U4051" s="4"/>
      <c r="V4051" s="4"/>
      <c r="W4051" s="4"/>
      <c r="X4051" s="4"/>
    </row>
    <row r="4052" spans="1:24" ht="14.25" customHeight="1">
      <c r="A4052" s="4"/>
      <c r="B4052" s="125">
        <v>46198</v>
      </c>
      <c r="C4052" s="126" t="s">
        <v>1992</v>
      </c>
      <c r="D4052" s="15" t="s">
        <v>1745</v>
      </c>
      <c r="E4052" s="10" t="str">
        <f>TRIM(VLOOKUP(D4052,TB!$B$9:$C$1500,2,FALSE))</f>
        <v>Petty Cash IDR - on General Cashier</v>
      </c>
      <c r="F4052" s="191" t="s">
        <v>1993</v>
      </c>
      <c r="G4052" s="130"/>
      <c r="H4052" s="10">
        <v>8460347</v>
      </c>
      <c r="I4052" s="10"/>
      <c r="J4052" s="79" t="e">
        <f t="shared" si="254"/>
        <v>#VALUE!</v>
      </c>
      <c r="K4052" s="106"/>
      <c r="L4052" s="141"/>
      <c r="M4052" s="132"/>
      <c r="N4052" s="133"/>
      <c r="O4052" s="4"/>
      <c r="P4052" s="4"/>
      <c r="Q4052" s="4"/>
      <c r="R4052" s="4"/>
      <c r="S4052" s="4"/>
      <c r="T4052" s="4"/>
      <c r="U4052" s="4"/>
      <c r="V4052" s="4"/>
      <c r="W4052" s="4"/>
      <c r="X4052" s="4"/>
    </row>
    <row r="4053" spans="1:24" ht="14.25" customHeight="1">
      <c r="A4053" s="4"/>
      <c r="B4053" s="125">
        <v>46198</v>
      </c>
      <c r="C4053" s="126" t="s">
        <v>1992</v>
      </c>
      <c r="D4053" s="15" t="s">
        <v>39</v>
      </c>
      <c r="E4053" s="10" t="str">
        <f>TRIM(VLOOKUP(D4053,TB!$B$9:$C$1500,2,FALSE))</f>
        <v>Petty Cash IDR - on Bar Cashier</v>
      </c>
      <c r="F4053" s="191" t="s">
        <v>1993</v>
      </c>
      <c r="G4053" s="130"/>
      <c r="H4053" s="10"/>
      <c r="I4053" s="10">
        <v>8460347</v>
      </c>
      <c r="J4053" s="79" t="e">
        <f t="shared" si="254"/>
        <v>#VALUE!</v>
      </c>
      <c r="K4053" s="106"/>
      <c r="L4053" s="141"/>
      <c r="M4053" s="132"/>
      <c r="N4053" s="133"/>
      <c r="O4053" s="4"/>
      <c r="P4053" s="4"/>
      <c r="Q4053" s="4"/>
      <c r="R4053" s="4"/>
      <c r="S4053" s="4"/>
      <c r="T4053" s="4"/>
      <c r="U4053" s="4"/>
      <c r="V4053" s="4"/>
      <c r="W4053" s="4"/>
      <c r="X4053" s="4"/>
    </row>
    <row r="4054" spans="1:24" ht="14.25" customHeight="1">
      <c r="A4054" s="4"/>
      <c r="B4054" s="125">
        <v>46198</v>
      </c>
      <c r="C4054" s="126" t="s">
        <v>1992</v>
      </c>
      <c r="D4054" s="15" t="s">
        <v>1754</v>
      </c>
      <c r="E4054" s="10" t="str">
        <f>TRIM(VLOOKUP(D4054,TB!$B$9:$C$1500,2,FALSE))</f>
        <v>Ice Cube</v>
      </c>
      <c r="F4054" s="191" t="s">
        <v>1994</v>
      </c>
      <c r="G4054" s="130">
        <v>6</v>
      </c>
      <c r="H4054" s="10">
        <v>48000</v>
      </c>
      <c r="I4054" s="10"/>
      <c r="J4054" s="79" t="e">
        <f t="shared" si="254"/>
        <v>#VALUE!</v>
      </c>
      <c r="K4054" s="106">
        <f>H4054/G4054</f>
        <v>8000</v>
      </c>
      <c r="L4054" s="141"/>
      <c r="M4054" s="132"/>
      <c r="N4054" s="133"/>
      <c r="O4054" s="4"/>
      <c r="P4054" s="4"/>
      <c r="Q4054" s="4"/>
      <c r="R4054" s="4"/>
      <c r="S4054" s="4"/>
      <c r="T4054" s="4"/>
      <c r="U4054" s="4"/>
      <c r="V4054" s="4"/>
      <c r="W4054" s="4"/>
      <c r="X4054" s="4"/>
    </row>
    <row r="4055" spans="1:24" ht="14.25" customHeight="1">
      <c r="A4055" s="4"/>
      <c r="B4055" s="125">
        <v>46198</v>
      </c>
      <c r="C4055" s="126" t="s">
        <v>1992</v>
      </c>
      <c r="D4055" s="15" t="s">
        <v>1208</v>
      </c>
      <c r="E4055" s="10" t="str">
        <f>TRIM(VLOOKUP(D4055,TB!$B$9:$C$1500,2,FALSE))</f>
        <v>Telephone/Interne/Pulsa/Courier &amp; Postage</v>
      </c>
      <c r="F4055" s="191" t="s">
        <v>1775</v>
      </c>
      <c r="G4055" s="130"/>
      <c r="H4055" s="10">
        <v>22000</v>
      </c>
      <c r="I4055" s="10"/>
      <c r="J4055" s="79" t="e">
        <f t="shared" si="254"/>
        <v>#VALUE!</v>
      </c>
      <c r="K4055" s="106"/>
      <c r="L4055" s="141"/>
      <c r="M4055" s="132"/>
      <c r="N4055" s="133"/>
      <c r="O4055" s="4"/>
      <c r="P4055" s="4"/>
      <c r="Q4055" s="4"/>
      <c r="R4055" s="4"/>
      <c r="S4055" s="4"/>
      <c r="T4055" s="4"/>
      <c r="U4055" s="4"/>
      <c r="V4055" s="4"/>
      <c r="W4055" s="4"/>
      <c r="X4055" s="4"/>
    </row>
    <row r="4056" spans="1:24" ht="14.25" customHeight="1">
      <c r="A4056" s="4"/>
      <c r="B4056" s="125">
        <v>46198</v>
      </c>
      <c r="C4056" s="126" t="s">
        <v>1992</v>
      </c>
      <c r="D4056" s="15" t="s">
        <v>1208</v>
      </c>
      <c r="E4056" s="10" t="str">
        <f>TRIM(VLOOKUP(D4056,TB!$B$9:$C$1500,2,FALSE))</f>
        <v>Telephone/Interne/Pulsa/Courier &amp; Postage</v>
      </c>
      <c r="F4056" s="191" t="s">
        <v>1995</v>
      </c>
      <c r="G4056" s="130"/>
      <c r="H4056" s="10">
        <v>50000</v>
      </c>
      <c r="I4056" s="10"/>
      <c r="J4056" s="79" t="e">
        <f t="shared" si="254"/>
        <v>#VALUE!</v>
      </c>
      <c r="K4056" s="106"/>
      <c r="L4056" s="141"/>
      <c r="M4056" s="132"/>
      <c r="N4056" s="133"/>
      <c r="O4056" s="4"/>
      <c r="P4056" s="4"/>
      <c r="Q4056" s="4"/>
      <c r="R4056" s="4"/>
      <c r="S4056" s="4"/>
      <c r="T4056" s="4"/>
      <c r="U4056" s="4"/>
      <c r="V4056" s="4"/>
      <c r="W4056" s="4"/>
      <c r="X4056" s="4"/>
    </row>
    <row r="4057" spans="1:24" ht="14.25" customHeight="1">
      <c r="A4057" s="4"/>
      <c r="B4057" s="125">
        <v>46198</v>
      </c>
      <c r="C4057" s="126" t="s">
        <v>1992</v>
      </c>
      <c r="D4057" s="15" t="s">
        <v>1208</v>
      </c>
      <c r="E4057" s="10" t="str">
        <f>TRIM(VLOOKUP(D4057,TB!$B$9:$C$1500,2,FALSE))</f>
        <v>Telephone/Interne/Pulsa/Courier &amp; Postage</v>
      </c>
      <c r="F4057" s="191" t="s">
        <v>1775</v>
      </c>
      <c r="G4057" s="130"/>
      <c r="H4057" s="10">
        <v>22000</v>
      </c>
      <c r="I4057" s="10"/>
      <c r="J4057" s="79" t="e">
        <f t="shared" si="254"/>
        <v>#VALUE!</v>
      </c>
      <c r="K4057" s="106"/>
      <c r="L4057" s="141"/>
      <c r="M4057" s="132"/>
      <c r="N4057" s="133"/>
      <c r="O4057" s="4"/>
      <c r="P4057" s="4"/>
      <c r="Q4057" s="4"/>
      <c r="R4057" s="4"/>
      <c r="S4057" s="4"/>
      <c r="T4057" s="4"/>
      <c r="U4057" s="4"/>
      <c r="V4057" s="4"/>
      <c r="W4057" s="4"/>
      <c r="X4057" s="4"/>
    </row>
    <row r="4058" spans="1:24" ht="14.25" customHeight="1">
      <c r="A4058" s="4"/>
      <c r="B4058" s="125">
        <v>46198</v>
      </c>
      <c r="C4058" s="126" t="s">
        <v>1992</v>
      </c>
      <c r="D4058" s="15" t="s">
        <v>1208</v>
      </c>
      <c r="E4058" s="10" t="str">
        <f>TRIM(VLOOKUP(D4058,TB!$B$9:$C$1500,2,FALSE))</f>
        <v>Telephone/Interne/Pulsa/Courier &amp; Postage</v>
      </c>
      <c r="F4058" s="191" t="s">
        <v>1775</v>
      </c>
      <c r="G4058" s="130"/>
      <c r="H4058" s="10">
        <v>37000</v>
      </c>
      <c r="I4058" s="10"/>
      <c r="J4058" s="79" t="e">
        <f t="shared" si="254"/>
        <v>#VALUE!</v>
      </c>
      <c r="K4058" s="106"/>
      <c r="L4058" s="141"/>
      <c r="M4058" s="132"/>
      <c r="N4058" s="133"/>
      <c r="O4058" s="4"/>
      <c r="P4058" s="4"/>
      <c r="Q4058" s="4"/>
      <c r="R4058" s="4"/>
      <c r="S4058" s="4"/>
      <c r="T4058" s="4"/>
      <c r="U4058" s="4"/>
      <c r="V4058" s="4"/>
      <c r="W4058" s="4"/>
      <c r="X4058" s="4"/>
    </row>
    <row r="4059" spans="1:24" ht="14.25" customHeight="1">
      <c r="A4059" s="4"/>
      <c r="B4059" s="125">
        <v>46198</v>
      </c>
      <c r="C4059" s="126" t="s">
        <v>1992</v>
      </c>
      <c r="D4059" s="15" t="s">
        <v>1745</v>
      </c>
      <c r="E4059" s="10" t="str">
        <f>TRIM(VLOOKUP(D4059,TB!$B$9:$C$1500,2,FALSE))</f>
        <v>Petty Cash IDR - on General Cashier</v>
      </c>
      <c r="F4059" s="142" t="s">
        <v>1996</v>
      </c>
      <c r="G4059" s="130"/>
      <c r="H4059" s="10"/>
      <c r="I4059" s="10">
        <v>179000</v>
      </c>
      <c r="J4059" s="79" t="e">
        <f t="shared" si="254"/>
        <v>#VALUE!</v>
      </c>
      <c r="K4059" s="106"/>
      <c r="L4059" s="141"/>
      <c r="M4059" s="132"/>
      <c r="N4059" s="133"/>
      <c r="O4059" s="4"/>
      <c r="P4059" s="4"/>
      <c r="Q4059" s="4"/>
      <c r="R4059" s="4"/>
      <c r="S4059" s="4"/>
      <c r="T4059" s="4"/>
      <c r="U4059" s="4"/>
      <c r="V4059" s="4"/>
      <c r="W4059" s="4"/>
      <c r="X4059" s="4"/>
    </row>
    <row r="4060" spans="1:24" ht="14.25" customHeight="1">
      <c r="A4060" s="4"/>
      <c r="B4060" s="125"/>
      <c r="C4060" s="126"/>
      <c r="D4060" s="159"/>
      <c r="E4060" s="10" t="e">
        <f>TRIM(VLOOKUP(D4060,TB!$B$9:$C$1500,2,FALSE))</f>
        <v>#N/A</v>
      </c>
      <c r="F4060" s="142"/>
      <c r="G4060" s="130"/>
      <c r="H4060" s="10"/>
      <c r="I4060" s="10"/>
      <c r="J4060" s="79" t="e">
        <f t="shared" si="254"/>
        <v>#VALUE!</v>
      </c>
      <c r="K4060" s="106"/>
      <c r="L4060" s="141"/>
      <c r="M4060" s="132"/>
      <c r="N4060" s="133"/>
      <c r="O4060" s="4"/>
      <c r="P4060" s="4"/>
      <c r="Q4060" s="4"/>
      <c r="R4060" s="4"/>
      <c r="S4060" s="4"/>
      <c r="T4060" s="4"/>
      <c r="U4060" s="4"/>
      <c r="V4060" s="4"/>
      <c r="W4060" s="4"/>
      <c r="X4060" s="4"/>
    </row>
    <row r="4061" spans="1:24" ht="14.25" customHeight="1">
      <c r="A4061" s="4"/>
      <c r="B4061" s="125">
        <v>46198</v>
      </c>
      <c r="C4061" s="126" t="s">
        <v>1997</v>
      </c>
      <c r="D4061" s="15" t="s">
        <v>1745</v>
      </c>
      <c r="E4061" s="10" t="str">
        <f>TRIM(VLOOKUP(D4061,TB!$B$9:$C$1500,2,FALSE))</f>
        <v>Petty Cash IDR - on General Cashier</v>
      </c>
      <c r="F4061" s="191" t="s">
        <v>1998</v>
      </c>
      <c r="G4061" s="130"/>
      <c r="H4061" s="10">
        <v>11097430</v>
      </c>
      <c r="I4061" s="10"/>
      <c r="J4061" s="79" t="e">
        <f t="shared" si="254"/>
        <v>#VALUE!</v>
      </c>
      <c r="K4061" s="106"/>
      <c r="L4061" s="141"/>
      <c r="M4061" s="132"/>
      <c r="N4061" s="133"/>
      <c r="O4061" s="4"/>
      <c r="P4061" s="4"/>
      <c r="Q4061" s="4"/>
      <c r="R4061" s="4"/>
      <c r="S4061" s="4"/>
      <c r="T4061" s="4"/>
      <c r="U4061" s="4"/>
      <c r="V4061" s="4"/>
      <c r="W4061" s="4"/>
      <c r="X4061" s="4"/>
    </row>
    <row r="4062" spans="1:24" ht="14.25" customHeight="1">
      <c r="A4062" s="4"/>
      <c r="B4062" s="125">
        <v>46198</v>
      </c>
      <c r="C4062" s="126" t="s">
        <v>1997</v>
      </c>
      <c r="D4062" s="15" t="s">
        <v>39</v>
      </c>
      <c r="E4062" s="10" t="str">
        <f>TRIM(VLOOKUP(D4062,TB!$B$9:$C$1500,2,FALSE))</f>
        <v>Petty Cash IDR - on Bar Cashier</v>
      </c>
      <c r="F4062" s="191" t="s">
        <v>1998</v>
      </c>
      <c r="G4062" s="130"/>
      <c r="H4062" s="10"/>
      <c r="I4062" s="10">
        <v>11097430</v>
      </c>
      <c r="J4062" s="79" t="e">
        <f t="shared" si="254"/>
        <v>#VALUE!</v>
      </c>
      <c r="K4062" s="106"/>
      <c r="L4062" s="141"/>
      <c r="M4062" s="132"/>
      <c r="N4062" s="133"/>
      <c r="O4062" s="4"/>
      <c r="P4062" s="4"/>
      <c r="Q4062" s="4"/>
      <c r="R4062" s="4"/>
      <c r="S4062" s="4"/>
      <c r="T4062" s="4"/>
      <c r="U4062" s="4"/>
      <c r="V4062" s="4"/>
      <c r="W4062" s="4"/>
      <c r="X4062" s="4"/>
    </row>
    <row r="4063" spans="1:24" ht="14.25" customHeight="1">
      <c r="A4063" s="4"/>
      <c r="B4063" s="125">
        <v>46198</v>
      </c>
      <c r="C4063" s="126" t="s">
        <v>1997</v>
      </c>
      <c r="D4063" s="15" t="s">
        <v>1754</v>
      </c>
      <c r="E4063" s="10" t="str">
        <f>TRIM(VLOOKUP(D4063,TB!$B$9:$C$1500,2,FALSE))</f>
        <v>Ice Cube</v>
      </c>
      <c r="F4063" s="191" t="s">
        <v>1999</v>
      </c>
      <c r="G4063" s="130">
        <f>71</f>
        <v>71</v>
      </c>
      <c r="H4063" s="10">
        <v>456000</v>
      </c>
      <c r="I4063" s="10"/>
      <c r="J4063" s="79" t="e">
        <f t="shared" si="254"/>
        <v>#VALUE!</v>
      </c>
      <c r="K4063" s="106">
        <f>H4063/G4063</f>
        <v>6422.5352112676055</v>
      </c>
      <c r="L4063" s="141"/>
      <c r="M4063" s="132"/>
      <c r="N4063" s="133"/>
      <c r="O4063" s="4"/>
      <c r="P4063" s="4"/>
      <c r="Q4063" s="4"/>
      <c r="R4063" s="4"/>
      <c r="S4063" s="4"/>
      <c r="T4063" s="4"/>
      <c r="U4063" s="4"/>
      <c r="V4063" s="4"/>
      <c r="W4063" s="4"/>
      <c r="X4063" s="4"/>
    </row>
    <row r="4064" spans="1:24" ht="14.25" customHeight="1">
      <c r="A4064" s="4"/>
      <c r="B4064" s="125">
        <v>46198</v>
      </c>
      <c r="C4064" s="126" t="s">
        <v>1997</v>
      </c>
      <c r="D4064" s="15" t="s">
        <v>1853</v>
      </c>
      <c r="E4064" s="10" t="str">
        <f>TRIM(VLOOKUP(D4064,TB!$B$9:$C$1500,2,FALSE))</f>
        <v>Tomato Ketchup</v>
      </c>
      <c r="F4064" s="191" t="s">
        <v>2000</v>
      </c>
      <c r="G4064" s="130">
        <f>5.7*3</f>
        <v>17.100000000000001</v>
      </c>
      <c r="H4064" s="10">
        <v>278098</v>
      </c>
      <c r="I4064" s="10"/>
      <c r="J4064" s="79" t="e">
        <f t="shared" si="254"/>
        <v>#VALUE!</v>
      </c>
      <c r="K4064" s="106"/>
      <c r="L4064" s="141"/>
      <c r="M4064" s="132"/>
      <c r="N4064" s="133"/>
      <c r="O4064" s="4"/>
      <c r="P4064" s="4"/>
      <c r="Q4064" s="4"/>
      <c r="R4064" s="4"/>
      <c r="S4064" s="4"/>
      <c r="T4064" s="4"/>
      <c r="U4064" s="4"/>
      <c r="V4064" s="4"/>
      <c r="W4064" s="4"/>
      <c r="X4064" s="4"/>
    </row>
    <row r="4065" spans="1:24" ht="14.25" customHeight="1">
      <c r="A4065" s="4"/>
      <c r="B4065" s="125">
        <v>46198</v>
      </c>
      <c r="C4065" s="126" t="s">
        <v>1997</v>
      </c>
      <c r="D4065" s="15" t="s">
        <v>1754</v>
      </c>
      <c r="E4065" s="10" t="str">
        <f>TRIM(VLOOKUP(D4065,TB!$B$9:$C$1500,2,FALSE))</f>
        <v>Ice Cube</v>
      </c>
      <c r="F4065" s="191" t="s">
        <v>2001</v>
      </c>
      <c r="G4065" s="130">
        <v>6</v>
      </c>
      <c r="H4065" s="10">
        <v>48000</v>
      </c>
      <c r="I4065" s="10"/>
      <c r="J4065" s="79" t="e">
        <f t="shared" si="254"/>
        <v>#VALUE!</v>
      </c>
      <c r="K4065" s="106">
        <f>H4065/G4065</f>
        <v>8000</v>
      </c>
      <c r="L4065" s="141"/>
      <c r="M4065" s="132"/>
      <c r="N4065" s="133"/>
      <c r="O4065" s="4"/>
      <c r="P4065" s="4"/>
      <c r="Q4065" s="4"/>
      <c r="R4065" s="4"/>
      <c r="S4065" s="4"/>
      <c r="T4065" s="4"/>
      <c r="U4065" s="4"/>
      <c r="V4065" s="4"/>
      <c r="W4065" s="4"/>
      <c r="X4065" s="4"/>
    </row>
    <row r="4066" spans="1:24" ht="14.25" customHeight="1">
      <c r="A4066" s="4"/>
      <c r="B4066" s="125">
        <v>46198</v>
      </c>
      <c r="C4066" s="126" t="s">
        <v>1997</v>
      </c>
      <c r="D4066" s="15" t="s">
        <v>1208</v>
      </c>
      <c r="E4066" s="10" t="str">
        <f>TRIM(VLOOKUP(D4066,TB!$B$9:$C$1500,2,FALSE))</f>
        <v>Telephone/Interne/Pulsa/Courier &amp; Postage</v>
      </c>
      <c r="F4066" s="191" t="s">
        <v>1775</v>
      </c>
      <c r="G4066" s="130"/>
      <c r="H4066" s="10">
        <v>33500</v>
      </c>
      <c r="I4066" s="10"/>
      <c r="J4066" s="79" t="e">
        <f t="shared" si="254"/>
        <v>#VALUE!</v>
      </c>
      <c r="K4066" s="106"/>
      <c r="L4066" s="141"/>
      <c r="M4066" s="132"/>
      <c r="N4066" s="133"/>
      <c r="O4066" s="4"/>
      <c r="P4066" s="4"/>
      <c r="Q4066" s="4"/>
      <c r="R4066" s="4"/>
      <c r="S4066" s="4"/>
      <c r="T4066" s="4"/>
      <c r="U4066" s="4"/>
      <c r="V4066" s="4"/>
      <c r="W4066" s="4"/>
      <c r="X4066" s="4"/>
    </row>
    <row r="4067" spans="1:24" ht="14.25" customHeight="1">
      <c r="A4067" s="4"/>
      <c r="B4067" s="125">
        <v>46198</v>
      </c>
      <c r="C4067" s="126" t="s">
        <v>1997</v>
      </c>
      <c r="D4067" s="68" t="s">
        <v>158</v>
      </c>
      <c r="E4067" s="10" t="str">
        <f>TRIM(VLOOKUP(D4067,TB!$B$9:$C$1500,2,FALSE))</f>
        <v>Mandiri TBB IDR</v>
      </c>
      <c r="F4067" s="191" t="s">
        <v>2002</v>
      </c>
      <c r="G4067" s="130"/>
      <c r="H4067" s="155">
        <v>25256000</v>
      </c>
      <c r="I4067" s="10"/>
      <c r="J4067" s="79" t="e">
        <f t="shared" si="254"/>
        <v>#VALUE!</v>
      </c>
      <c r="K4067" s="106"/>
      <c r="L4067" s="141"/>
      <c r="M4067" s="132"/>
      <c r="N4067" s="133"/>
      <c r="O4067" s="4"/>
      <c r="P4067" s="4"/>
      <c r="Q4067" s="4"/>
      <c r="R4067" s="4"/>
      <c r="S4067" s="4"/>
      <c r="T4067" s="4"/>
      <c r="U4067" s="4"/>
      <c r="V4067" s="4"/>
      <c r="W4067" s="4"/>
      <c r="X4067" s="4"/>
    </row>
    <row r="4068" spans="1:24" ht="14.25" customHeight="1">
      <c r="A4068" s="4"/>
      <c r="B4068" s="125">
        <v>46198</v>
      </c>
      <c r="C4068" s="126" t="s">
        <v>1997</v>
      </c>
      <c r="D4068" s="68" t="s">
        <v>158</v>
      </c>
      <c r="E4068" s="10" t="str">
        <f>TRIM(VLOOKUP(D4068,TB!$B$9:$C$1500,2,FALSE))</f>
        <v>Mandiri TBB IDR</v>
      </c>
      <c r="F4068" s="191" t="s">
        <v>2002</v>
      </c>
      <c r="G4068" s="130"/>
      <c r="H4068" s="155">
        <v>13728333</v>
      </c>
      <c r="I4068" s="10"/>
      <c r="J4068" s="79" t="e">
        <f t="shared" si="254"/>
        <v>#VALUE!</v>
      </c>
      <c r="K4068" s="106"/>
      <c r="L4068" s="141"/>
      <c r="M4068" s="132"/>
      <c r="N4068" s="133"/>
      <c r="O4068" s="4"/>
      <c r="P4068" s="4"/>
      <c r="Q4068" s="4"/>
      <c r="R4068" s="4"/>
      <c r="S4068" s="4"/>
      <c r="T4068" s="4"/>
      <c r="U4068" s="4"/>
      <c r="V4068" s="4"/>
      <c r="W4068" s="4"/>
      <c r="X4068" s="4"/>
    </row>
    <row r="4069" spans="1:24" ht="14.25" customHeight="1">
      <c r="A4069" s="4"/>
      <c r="B4069" s="125">
        <v>46198</v>
      </c>
      <c r="C4069" s="126" t="s">
        <v>1997</v>
      </c>
      <c r="D4069" s="15" t="s">
        <v>1745</v>
      </c>
      <c r="E4069" s="10" t="str">
        <f>TRIM(VLOOKUP(D4069,TB!$B$9:$C$1500,2,FALSE))</f>
        <v>Petty Cash IDR - on General Cashier</v>
      </c>
      <c r="F4069" s="142" t="s">
        <v>2003</v>
      </c>
      <c r="G4069" s="130"/>
      <c r="H4069" s="10"/>
      <c r="I4069" s="10">
        <v>39799931</v>
      </c>
      <c r="J4069" s="79" t="e">
        <f t="shared" si="254"/>
        <v>#VALUE!</v>
      </c>
      <c r="K4069" s="106"/>
      <c r="L4069" s="141"/>
      <c r="M4069" s="132"/>
      <c r="N4069" s="133"/>
      <c r="O4069" s="4"/>
      <c r="P4069" s="4"/>
      <c r="Q4069" s="4"/>
      <c r="R4069" s="4"/>
      <c r="S4069" s="4"/>
      <c r="T4069" s="4"/>
      <c r="U4069" s="4"/>
      <c r="V4069" s="4"/>
      <c r="W4069" s="4"/>
      <c r="X4069" s="4"/>
    </row>
    <row r="4070" spans="1:24" ht="14.25" customHeight="1">
      <c r="A4070" s="4"/>
      <c r="B4070" s="125"/>
      <c r="C4070" s="126"/>
      <c r="D4070" s="159"/>
      <c r="E4070" s="10" t="e">
        <f>TRIM(VLOOKUP(D4070,TB!$B$9:$C$1500,2,FALSE))</f>
        <v>#N/A</v>
      </c>
      <c r="F4070" s="142"/>
      <c r="G4070" s="130"/>
      <c r="H4070" s="10"/>
      <c r="I4070" s="10"/>
      <c r="J4070" s="79" t="e">
        <f t="shared" si="254"/>
        <v>#VALUE!</v>
      </c>
      <c r="K4070" s="106"/>
      <c r="L4070" s="141"/>
      <c r="M4070" s="132"/>
      <c r="N4070" s="133"/>
      <c r="O4070" s="4"/>
      <c r="P4070" s="4"/>
      <c r="Q4070" s="4"/>
      <c r="R4070" s="4"/>
      <c r="S4070" s="4"/>
      <c r="T4070" s="4"/>
      <c r="U4070" s="4"/>
      <c r="V4070" s="4"/>
      <c r="W4070" s="4"/>
      <c r="X4070" s="4"/>
    </row>
    <row r="4071" spans="1:24" ht="14.25" customHeight="1">
      <c r="A4071" s="4"/>
      <c r="B4071" s="125">
        <v>46202</v>
      </c>
      <c r="C4071" s="126" t="s">
        <v>2004</v>
      </c>
      <c r="D4071" s="15" t="s">
        <v>1745</v>
      </c>
      <c r="E4071" s="10" t="str">
        <f>TRIM(VLOOKUP(D4071,TB!$B$9:$C$1500,2,FALSE))</f>
        <v>Petty Cash IDR - on General Cashier</v>
      </c>
      <c r="F4071" s="191" t="s">
        <v>2005</v>
      </c>
      <c r="G4071" s="130"/>
      <c r="H4071" s="10">
        <v>14206333</v>
      </c>
      <c r="I4071" s="10"/>
      <c r="J4071" s="79" t="e">
        <f t="shared" si="254"/>
        <v>#VALUE!</v>
      </c>
      <c r="K4071" s="106"/>
      <c r="L4071" s="141"/>
      <c r="M4071" s="132"/>
      <c r="N4071" s="133"/>
      <c r="O4071" s="4"/>
      <c r="P4071" s="4"/>
      <c r="Q4071" s="4"/>
      <c r="R4071" s="4"/>
      <c r="S4071" s="4"/>
      <c r="T4071" s="4"/>
      <c r="U4071" s="4"/>
      <c r="V4071" s="4"/>
      <c r="W4071" s="4"/>
      <c r="X4071" s="4"/>
    </row>
    <row r="4072" spans="1:24" ht="14.25" customHeight="1">
      <c r="A4072" s="4"/>
      <c r="B4072" s="125">
        <v>46202</v>
      </c>
      <c r="C4072" s="126" t="s">
        <v>2004</v>
      </c>
      <c r="D4072" s="15" t="s">
        <v>39</v>
      </c>
      <c r="E4072" s="10" t="str">
        <f>TRIM(VLOOKUP(D4072,TB!$B$9:$C$1500,2,FALSE))</f>
        <v>Petty Cash IDR - on Bar Cashier</v>
      </c>
      <c r="F4072" s="191" t="s">
        <v>2005</v>
      </c>
      <c r="G4072" s="130"/>
      <c r="H4072" s="10"/>
      <c r="I4072" s="10">
        <v>14206333</v>
      </c>
      <c r="J4072" s="79" t="e">
        <f t="shared" si="254"/>
        <v>#VALUE!</v>
      </c>
      <c r="K4072" s="106"/>
      <c r="L4072" s="141"/>
      <c r="M4072" s="132"/>
      <c r="N4072" s="133"/>
      <c r="O4072" s="4"/>
      <c r="P4072" s="4"/>
      <c r="Q4072" s="4"/>
      <c r="R4072" s="4"/>
      <c r="S4072" s="4"/>
      <c r="T4072" s="4"/>
      <c r="U4072" s="4"/>
      <c r="V4072" s="4"/>
      <c r="W4072" s="4"/>
      <c r="X4072" s="4"/>
    </row>
    <row r="4073" spans="1:24" ht="14.25" customHeight="1">
      <c r="A4073" s="4"/>
      <c r="B4073" s="125">
        <v>46202</v>
      </c>
      <c r="C4073" s="126" t="s">
        <v>2004</v>
      </c>
      <c r="D4073" s="15" t="s">
        <v>1754</v>
      </c>
      <c r="E4073" s="10" t="str">
        <f>TRIM(VLOOKUP(D4073,TB!$B$9:$C$1500,2,FALSE))</f>
        <v>Ice Cube</v>
      </c>
      <c r="F4073" s="191" t="s">
        <v>2006</v>
      </c>
      <c r="G4073" s="130">
        <v>6</v>
      </c>
      <c r="H4073" s="10">
        <v>48000</v>
      </c>
      <c r="I4073" s="10"/>
      <c r="J4073" s="79" t="e">
        <f t="shared" si="254"/>
        <v>#VALUE!</v>
      </c>
      <c r="K4073" s="106">
        <f t="shared" ref="K4073:K4074" si="268">H4073/G4073</f>
        <v>8000</v>
      </c>
      <c r="L4073" s="141"/>
      <c r="M4073" s="132"/>
      <c r="N4073" s="133"/>
      <c r="O4073" s="4"/>
      <c r="P4073" s="4"/>
      <c r="Q4073" s="4"/>
      <c r="R4073" s="4"/>
      <c r="S4073" s="4"/>
      <c r="T4073" s="4"/>
      <c r="U4073" s="4"/>
      <c r="V4073" s="4"/>
      <c r="W4073" s="4"/>
      <c r="X4073" s="4"/>
    </row>
    <row r="4074" spans="1:24" ht="14.25" customHeight="1">
      <c r="A4074" s="4"/>
      <c r="B4074" s="125">
        <v>46202</v>
      </c>
      <c r="C4074" s="126" t="s">
        <v>2004</v>
      </c>
      <c r="D4074" s="15" t="s">
        <v>1754</v>
      </c>
      <c r="E4074" s="10" t="str">
        <f>TRIM(VLOOKUP(D4074,TB!$B$9:$C$1500,2,FALSE))</f>
        <v>Ice Cube</v>
      </c>
      <c r="F4074" s="191" t="s">
        <v>2007</v>
      </c>
      <c r="G4074" s="130">
        <v>6</v>
      </c>
      <c r="H4074" s="10">
        <v>120000</v>
      </c>
      <c r="I4074" s="10"/>
      <c r="J4074" s="79" t="e">
        <f t="shared" si="254"/>
        <v>#VALUE!</v>
      </c>
      <c r="K4074" s="106">
        <f t="shared" si="268"/>
        <v>20000</v>
      </c>
      <c r="L4074" s="141"/>
      <c r="M4074" s="132"/>
      <c r="N4074" s="133"/>
      <c r="O4074" s="4"/>
      <c r="P4074" s="4"/>
      <c r="Q4074" s="4"/>
      <c r="R4074" s="4"/>
      <c r="S4074" s="4"/>
      <c r="T4074" s="4"/>
      <c r="U4074" s="4"/>
      <c r="V4074" s="4"/>
      <c r="W4074" s="4"/>
      <c r="X4074" s="4"/>
    </row>
    <row r="4075" spans="1:24" ht="14.25" customHeight="1">
      <c r="A4075" s="4"/>
      <c r="B4075" s="125">
        <v>46202</v>
      </c>
      <c r="C4075" s="126" t="s">
        <v>2004</v>
      </c>
      <c r="D4075" s="15" t="s">
        <v>1226</v>
      </c>
      <c r="E4075" s="10" t="str">
        <f>TRIM(VLOOKUP(D4075,TB!$B$9:$C$1500,2,FALSE))</f>
        <v>Enggineering Electrical &amp; plumbing Supplies</v>
      </c>
      <c r="F4075" s="191" t="s">
        <v>1756</v>
      </c>
      <c r="G4075" s="130"/>
      <c r="H4075" s="10">
        <v>310000</v>
      </c>
      <c r="I4075" s="10"/>
      <c r="J4075" s="79" t="e">
        <f t="shared" si="254"/>
        <v>#VALUE!</v>
      </c>
      <c r="K4075" s="106"/>
      <c r="L4075" s="141"/>
      <c r="M4075" s="132"/>
      <c r="N4075" s="133"/>
      <c r="O4075" s="4"/>
      <c r="P4075" s="4"/>
      <c r="Q4075" s="4"/>
      <c r="R4075" s="4"/>
      <c r="S4075" s="4"/>
      <c r="T4075" s="4"/>
      <c r="U4075" s="4"/>
      <c r="V4075" s="4"/>
      <c r="W4075" s="4"/>
      <c r="X4075" s="4"/>
    </row>
    <row r="4076" spans="1:24" ht="14.25" customHeight="1">
      <c r="A4076" s="4"/>
      <c r="B4076" s="125">
        <v>46202</v>
      </c>
      <c r="C4076" s="126" t="s">
        <v>2004</v>
      </c>
      <c r="D4076" s="15" t="s">
        <v>1745</v>
      </c>
      <c r="E4076" s="10" t="str">
        <f>TRIM(VLOOKUP(D4076,TB!$B$9:$C$1500,2,FALSE))</f>
        <v>Petty Cash IDR - on General Cashier</v>
      </c>
      <c r="F4076" s="142" t="s">
        <v>2008</v>
      </c>
      <c r="G4076" s="130"/>
      <c r="H4076" s="10"/>
      <c r="I4076" s="10">
        <v>478000</v>
      </c>
      <c r="J4076" s="79" t="e">
        <f t="shared" si="254"/>
        <v>#VALUE!</v>
      </c>
      <c r="K4076" s="106"/>
      <c r="L4076" s="141"/>
      <c r="M4076" s="132"/>
      <c r="N4076" s="133"/>
      <c r="O4076" s="4"/>
      <c r="P4076" s="4"/>
      <c r="Q4076" s="4"/>
      <c r="R4076" s="4"/>
      <c r="S4076" s="4"/>
      <c r="T4076" s="4"/>
      <c r="U4076" s="4"/>
      <c r="V4076" s="4"/>
      <c r="W4076" s="4"/>
      <c r="X4076" s="4"/>
    </row>
    <row r="4077" spans="1:24" ht="14.25" customHeight="1">
      <c r="A4077" s="4"/>
      <c r="B4077" s="125"/>
      <c r="C4077" s="126"/>
      <c r="D4077" s="159"/>
      <c r="E4077" s="10" t="e">
        <f>TRIM(VLOOKUP(D4077,TB!$B$9:$C$1500,2,FALSE))</f>
        <v>#N/A</v>
      </c>
      <c r="F4077" s="142"/>
      <c r="G4077" s="130"/>
      <c r="H4077" s="10"/>
      <c r="I4077" s="10"/>
      <c r="J4077" s="79" t="e">
        <f t="shared" si="254"/>
        <v>#VALUE!</v>
      </c>
      <c r="K4077" s="106"/>
      <c r="L4077" s="141"/>
      <c r="M4077" s="132"/>
      <c r="N4077" s="133"/>
      <c r="O4077" s="4"/>
      <c r="P4077" s="4"/>
      <c r="Q4077" s="4"/>
      <c r="R4077" s="4"/>
      <c r="S4077" s="4"/>
      <c r="T4077" s="4"/>
      <c r="U4077" s="4"/>
      <c r="V4077" s="4"/>
      <c r="W4077" s="4"/>
      <c r="X4077" s="4"/>
    </row>
    <row r="4078" spans="1:24" ht="14.25" customHeight="1">
      <c r="A4078" s="4"/>
      <c r="B4078" s="125">
        <v>46202</v>
      </c>
      <c r="C4078" s="126" t="s">
        <v>2009</v>
      </c>
      <c r="D4078" s="15" t="s">
        <v>1745</v>
      </c>
      <c r="E4078" s="10" t="str">
        <f>TRIM(VLOOKUP(D4078,TB!$B$9:$C$1500,2,FALSE))</f>
        <v>Petty Cash IDR - on General Cashier</v>
      </c>
      <c r="F4078" s="191" t="s">
        <v>2010</v>
      </c>
      <c r="G4078" s="130"/>
      <c r="H4078" s="10">
        <v>16391851</v>
      </c>
      <c r="I4078" s="10"/>
      <c r="J4078" s="79" t="e">
        <f t="shared" si="254"/>
        <v>#VALUE!</v>
      </c>
      <c r="K4078" s="106"/>
      <c r="L4078" s="141"/>
      <c r="M4078" s="132"/>
      <c r="N4078" s="133"/>
      <c r="O4078" s="4"/>
      <c r="P4078" s="4"/>
      <c r="Q4078" s="4"/>
      <c r="R4078" s="4"/>
      <c r="S4078" s="4"/>
      <c r="T4078" s="4"/>
      <c r="U4078" s="4"/>
      <c r="V4078" s="4"/>
      <c r="W4078" s="4"/>
      <c r="X4078" s="4"/>
    </row>
    <row r="4079" spans="1:24" ht="14.25" customHeight="1">
      <c r="A4079" s="4"/>
      <c r="B4079" s="125">
        <v>46202</v>
      </c>
      <c r="C4079" s="126" t="s">
        <v>2009</v>
      </c>
      <c r="D4079" s="15" t="s">
        <v>39</v>
      </c>
      <c r="E4079" s="10" t="str">
        <f>TRIM(VLOOKUP(D4079,TB!$B$9:$C$1500,2,FALSE))</f>
        <v>Petty Cash IDR - on Bar Cashier</v>
      </c>
      <c r="F4079" s="191" t="s">
        <v>2010</v>
      </c>
      <c r="G4079" s="130"/>
      <c r="H4079" s="10"/>
      <c r="I4079" s="10">
        <v>16391851</v>
      </c>
      <c r="J4079" s="79" t="e">
        <f t="shared" si="254"/>
        <v>#VALUE!</v>
      </c>
      <c r="K4079" s="106"/>
      <c r="L4079" s="141"/>
      <c r="M4079" s="132"/>
      <c r="N4079" s="133"/>
      <c r="O4079" s="4"/>
      <c r="P4079" s="4"/>
      <c r="Q4079" s="4"/>
      <c r="R4079" s="4"/>
      <c r="S4079" s="4"/>
      <c r="T4079" s="4"/>
      <c r="U4079" s="4"/>
      <c r="V4079" s="4"/>
      <c r="W4079" s="4"/>
      <c r="X4079" s="4"/>
    </row>
    <row r="4080" spans="1:24" ht="14.25" customHeight="1">
      <c r="A4080" s="4"/>
      <c r="B4080" s="125">
        <v>46202</v>
      </c>
      <c r="C4080" s="126" t="s">
        <v>2009</v>
      </c>
      <c r="D4080" s="15" t="s">
        <v>1208</v>
      </c>
      <c r="E4080" s="10" t="str">
        <f>TRIM(VLOOKUP(D4080,TB!$B$9:$C$1500,2,FALSE))</f>
        <v>Telephone/Interne/Pulsa/Courier &amp; Postage</v>
      </c>
      <c r="F4080" s="191" t="s">
        <v>1775</v>
      </c>
      <c r="G4080" s="130"/>
      <c r="H4080" s="10">
        <v>27000</v>
      </c>
      <c r="I4080" s="10"/>
      <c r="J4080" s="79" t="e">
        <f t="shared" si="254"/>
        <v>#VALUE!</v>
      </c>
      <c r="K4080" s="106"/>
      <c r="L4080" s="141"/>
      <c r="M4080" s="132"/>
      <c r="N4080" s="133"/>
      <c r="O4080" s="4"/>
      <c r="P4080" s="4"/>
      <c r="Q4080" s="4"/>
      <c r="R4080" s="4"/>
      <c r="S4080" s="4"/>
      <c r="T4080" s="4"/>
      <c r="U4080" s="4"/>
      <c r="V4080" s="4"/>
      <c r="W4080" s="4"/>
      <c r="X4080" s="4"/>
    </row>
    <row r="4081" spans="1:24" ht="14.25" customHeight="1">
      <c r="A4081" s="4"/>
      <c r="B4081" s="125">
        <v>46202</v>
      </c>
      <c r="C4081" s="126" t="s">
        <v>2009</v>
      </c>
      <c r="D4081" s="15" t="s">
        <v>1404</v>
      </c>
      <c r="E4081" s="10" t="str">
        <f>TRIM(VLOOKUP(D4081,TB!$B$9:$C$1500,2,FALSE))</f>
        <v>Stationary &amp; Office Supplies</v>
      </c>
      <c r="F4081" s="191" t="s">
        <v>2011</v>
      </c>
      <c r="G4081" s="130"/>
      <c r="H4081" s="10">
        <v>35000</v>
      </c>
      <c r="I4081" s="10"/>
      <c r="J4081" s="79" t="e">
        <f t="shared" si="254"/>
        <v>#VALUE!</v>
      </c>
      <c r="K4081" s="106"/>
      <c r="L4081" s="141"/>
      <c r="M4081" s="132"/>
      <c r="N4081" s="133"/>
      <c r="O4081" s="4"/>
      <c r="P4081" s="4"/>
      <c r="Q4081" s="4"/>
      <c r="R4081" s="4"/>
      <c r="S4081" s="4"/>
      <c r="T4081" s="4"/>
      <c r="U4081" s="4"/>
      <c r="V4081" s="4"/>
      <c r="W4081" s="4"/>
      <c r="X4081" s="4"/>
    </row>
    <row r="4082" spans="1:24" ht="14.25" customHeight="1">
      <c r="A4082" s="4"/>
      <c r="B4082" s="125">
        <v>46202</v>
      </c>
      <c r="C4082" s="126" t="s">
        <v>2009</v>
      </c>
      <c r="D4082" s="15" t="s">
        <v>1754</v>
      </c>
      <c r="E4082" s="10" t="str">
        <f>TRIM(VLOOKUP(D4082,TB!$B$9:$C$1500,2,FALSE))</f>
        <v>Ice Cube</v>
      </c>
      <c r="F4082" s="191" t="s">
        <v>2012</v>
      </c>
      <c r="G4082" s="130">
        <v>6</v>
      </c>
      <c r="H4082" s="10">
        <v>48000</v>
      </c>
      <c r="I4082" s="10"/>
      <c r="J4082" s="79" t="e">
        <f t="shared" si="254"/>
        <v>#VALUE!</v>
      </c>
      <c r="K4082" s="106">
        <f>H4082/G4082</f>
        <v>8000</v>
      </c>
      <c r="L4082" s="141"/>
      <c r="M4082" s="132"/>
      <c r="N4082" s="133"/>
      <c r="O4082" s="4"/>
      <c r="P4082" s="4"/>
      <c r="Q4082" s="4"/>
      <c r="R4082" s="4"/>
      <c r="S4082" s="4"/>
      <c r="T4082" s="4"/>
      <c r="U4082" s="4"/>
      <c r="V4082" s="4"/>
      <c r="W4082" s="4"/>
      <c r="X4082" s="4"/>
    </row>
    <row r="4083" spans="1:24" ht="14.25" customHeight="1">
      <c r="A4083" s="4"/>
      <c r="B4083" s="125">
        <v>46202</v>
      </c>
      <c r="C4083" s="126" t="s">
        <v>2009</v>
      </c>
      <c r="D4083" s="15" t="s">
        <v>1226</v>
      </c>
      <c r="E4083" s="10" t="str">
        <f>TRIM(VLOOKUP(D4083,TB!$B$9:$C$1500,2,FALSE))</f>
        <v>Enggineering Electrical &amp; plumbing Supplies</v>
      </c>
      <c r="F4083" s="191" t="s">
        <v>1756</v>
      </c>
      <c r="G4083" s="130"/>
      <c r="H4083" s="10">
        <v>45000</v>
      </c>
      <c r="I4083" s="10"/>
      <c r="J4083" s="79" t="e">
        <f t="shared" si="254"/>
        <v>#VALUE!</v>
      </c>
      <c r="K4083" s="106"/>
      <c r="L4083" s="141"/>
      <c r="M4083" s="132"/>
      <c r="N4083" s="133"/>
      <c r="O4083" s="4"/>
      <c r="P4083" s="4"/>
      <c r="Q4083" s="4"/>
      <c r="R4083" s="4"/>
      <c r="S4083" s="4"/>
      <c r="T4083" s="4"/>
      <c r="U4083" s="4"/>
      <c r="V4083" s="4"/>
      <c r="W4083" s="4"/>
      <c r="X4083" s="4"/>
    </row>
    <row r="4084" spans="1:24" ht="14.25" customHeight="1">
      <c r="A4084" s="4"/>
      <c r="B4084" s="125">
        <v>46202</v>
      </c>
      <c r="C4084" s="126" t="s">
        <v>2009</v>
      </c>
      <c r="D4084" s="15" t="s">
        <v>1863</v>
      </c>
      <c r="E4084" s="10" t="str">
        <f>TRIM(VLOOKUP(D4084,TB!$B$9:$C$1500,2,FALSE))</f>
        <v>Marlboro Ice Blast</v>
      </c>
      <c r="F4084" s="191" t="s">
        <v>2013</v>
      </c>
      <c r="G4084" s="130">
        <v>10</v>
      </c>
      <c r="H4084" s="10">
        <v>518000</v>
      </c>
      <c r="I4084" s="10"/>
      <c r="J4084" s="79" t="e">
        <f t="shared" si="254"/>
        <v>#VALUE!</v>
      </c>
      <c r="K4084" s="106"/>
      <c r="L4084" s="141"/>
      <c r="M4084" s="132"/>
      <c r="N4084" s="133"/>
      <c r="O4084" s="4"/>
      <c r="P4084" s="4"/>
      <c r="Q4084" s="4"/>
      <c r="R4084" s="4"/>
      <c r="S4084" s="4"/>
      <c r="T4084" s="4"/>
      <c r="U4084" s="4"/>
      <c r="V4084" s="4"/>
      <c r="W4084" s="4"/>
      <c r="X4084" s="4"/>
    </row>
    <row r="4085" spans="1:24" ht="14.25" customHeight="1">
      <c r="A4085" s="4"/>
      <c r="B4085" s="125">
        <v>46202</v>
      </c>
      <c r="C4085" s="126" t="s">
        <v>2009</v>
      </c>
      <c r="D4085" s="15" t="s">
        <v>1776</v>
      </c>
      <c r="E4085" s="10" t="str">
        <f>TRIM(VLOOKUP(D4085,TB!$B$9:$C$1500,2,FALSE))</f>
        <v>Marlboro Merah</v>
      </c>
      <c r="F4085" s="191" t="s">
        <v>1913</v>
      </c>
      <c r="G4085" s="130">
        <v>10</v>
      </c>
      <c r="H4085" s="10">
        <v>518000</v>
      </c>
      <c r="I4085" s="10"/>
      <c r="J4085" s="79" t="e">
        <f t="shared" si="254"/>
        <v>#VALUE!</v>
      </c>
      <c r="K4085" s="106"/>
      <c r="L4085" s="141"/>
      <c r="M4085" s="132"/>
      <c r="N4085" s="133"/>
      <c r="O4085" s="4"/>
      <c r="P4085" s="4"/>
      <c r="Q4085" s="4"/>
      <c r="R4085" s="4"/>
      <c r="S4085" s="4"/>
      <c r="T4085" s="4"/>
      <c r="U4085" s="4"/>
      <c r="V4085" s="4"/>
      <c r="W4085" s="4"/>
      <c r="X4085" s="4"/>
    </row>
    <row r="4086" spans="1:24" ht="14.25" customHeight="1">
      <c r="A4086" s="4"/>
      <c r="B4086" s="125">
        <v>46202</v>
      </c>
      <c r="C4086" s="126" t="s">
        <v>2009</v>
      </c>
      <c r="D4086" s="15" t="s">
        <v>1778</v>
      </c>
      <c r="E4086" s="10" t="str">
        <f>TRIM(VLOOKUP(D4086,TB!$B$9:$C$1500,2,FALSE))</f>
        <v>Marlboro Light / GOLD</v>
      </c>
      <c r="F4086" s="191" t="s">
        <v>2014</v>
      </c>
      <c r="G4086" s="130">
        <v>10</v>
      </c>
      <c r="H4086" s="10">
        <v>518000</v>
      </c>
      <c r="I4086" s="10"/>
      <c r="J4086" s="79" t="e">
        <f t="shared" si="254"/>
        <v>#VALUE!</v>
      </c>
      <c r="K4086" s="106"/>
      <c r="L4086" s="141"/>
      <c r="M4086" s="132"/>
      <c r="N4086" s="133"/>
      <c r="O4086" s="4"/>
      <c r="P4086" s="4"/>
      <c r="Q4086" s="4"/>
      <c r="R4086" s="4"/>
      <c r="S4086" s="4"/>
      <c r="T4086" s="4"/>
      <c r="U4086" s="4"/>
      <c r="V4086" s="4"/>
      <c r="W4086" s="4"/>
      <c r="X4086" s="4"/>
    </row>
    <row r="4087" spans="1:24" ht="14.25" customHeight="1">
      <c r="A4087" s="4"/>
      <c r="B4087" s="125">
        <v>46202</v>
      </c>
      <c r="C4087" s="126" t="s">
        <v>2009</v>
      </c>
      <c r="D4087" s="15" t="s">
        <v>1745</v>
      </c>
      <c r="E4087" s="10" t="str">
        <f>TRIM(VLOOKUP(D4087,TB!$B$9:$C$1500,2,FALSE))</f>
        <v>Petty Cash IDR - on General Cashier</v>
      </c>
      <c r="F4087" s="142" t="s">
        <v>2015</v>
      </c>
      <c r="G4087" s="130"/>
      <c r="H4087" s="10"/>
      <c r="I4087" s="10">
        <v>1709000</v>
      </c>
      <c r="J4087" s="79" t="e">
        <f t="shared" si="254"/>
        <v>#VALUE!</v>
      </c>
      <c r="K4087" s="106"/>
      <c r="L4087" s="141"/>
      <c r="M4087" s="132"/>
      <c r="N4087" s="133"/>
      <c r="O4087" s="4"/>
      <c r="P4087" s="4"/>
      <c r="Q4087" s="4"/>
      <c r="R4087" s="4"/>
      <c r="S4087" s="4"/>
      <c r="T4087" s="4"/>
      <c r="U4087" s="4"/>
      <c r="V4087" s="4"/>
      <c r="W4087" s="4"/>
      <c r="X4087" s="4"/>
    </row>
    <row r="4088" spans="1:24" ht="14.25" customHeight="1">
      <c r="A4088" s="4"/>
      <c r="B4088" s="125"/>
      <c r="C4088" s="126"/>
      <c r="D4088" s="159"/>
      <c r="E4088" s="10" t="e">
        <f>TRIM(VLOOKUP(D4088,TB!$B$9:$C$1500,2,FALSE))</f>
        <v>#N/A</v>
      </c>
      <c r="F4088" s="142"/>
      <c r="G4088" s="130"/>
      <c r="H4088" s="10"/>
      <c r="I4088" s="10"/>
      <c r="J4088" s="79" t="e">
        <f t="shared" si="254"/>
        <v>#VALUE!</v>
      </c>
      <c r="K4088" s="106"/>
      <c r="L4088" s="141"/>
      <c r="M4088" s="132"/>
      <c r="N4088" s="133"/>
      <c r="O4088" s="4"/>
      <c r="P4088" s="4"/>
      <c r="Q4088" s="4"/>
      <c r="R4088" s="4"/>
      <c r="S4088" s="4"/>
      <c r="T4088" s="4"/>
      <c r="U4088" s="4"/>
      <c r="V4088" s="4"/>
      <c r="W4088" s="4"/>
      <c r="X4088" s="4"/>
    </row>
    <row r="4089" spans="1:24" ht="14.25" customHeight="1">
      <c r="A4089" s="4"/>
      <c r="B4089" s="125">
        <v>46202</v>
      </c>
      <c r="C4089" s="126" t="s">
        <v>2016</v>
      </c>
      <c r="D4089" s="15" t="s">
        <v>1745</v>
      </c>
      <c r="E4089" s="10" t="str">
        <f>TRIM(VLOOKUP(D4089,TB!$B$9:$C$1500,2,FALSE))</f>
        <v>Petty Cash IDR - on General Cashier</v>
      </c>
      <c r="F4089" s="191" t="s">
        <v>2017</v>
      </c>
      <c r="G4089" s="130"/>
      <c r="H4089" s="10">
        <v>11421614</v>
      </c>
      <c r="I4089" s="10"/>
      <c r="J4089" s="79" t="e">
        <f t="shared" si="254"/>
        <v>#VALUE!</v>
      </c>
      <c r="K4089" s="106"/>
      <c r="L4089" s="141"/>
      <c r="M4089" s="132"/>
      <c r="N4089" s="133"/>
      <c r="O4089" s="4"/>
      <c r="P4089" s="4"/>
      <c r="Q4089" s="4"/>
      <c r="R4089" s="4"/>
      <c r="S4089" s="4"/>
      <c r="T4089" s="4"/>
      <c r="U4089" s="4"/>
      <c r="V4089" s="4"/>
      <c r="W4089" s="4"/>
      <c r="X4089" s="4"/>
    </row>
    <row r="4090" spans="1:24" ht="14.25" customHeight="1">
      <c r="A4090" s="4"/>
      <c r="B4090" s="125">
        <v>46202</v>
      </c>
      <c r="C4090" s="126" t="s">
        <v>2016</v>
      </c>
      <c r="D4090" s="15" t="s">
        <v>39</v>
      </c>
      <c r="E4090" s="10" t="str">
        <f>TRIM(VLOOKUP(D4090,TB!$B$9:$C$1500,2,FALSE))</f>
        <v>Petty Cash IDR - on Bar Cashier</v>
      </c>
      <c r="F4090" s="191" t="s">
        <v>2017</v>
      </c>
      <c r="G4090" s="130"/>
      <c r="H4090" s="10"/>
      <c r="I4090" s="10">
        <v>11421614</v>
      </c>
      <c r="J4090" s="79" t="e">
        <f t="shared" si="254"/>
        <v>#VALUE!</v>
      </c>
      <c r="K4090" s="106"/>
      <c r="L4090" s="141"/>
      <c r="M4090" s="132"/>
      <c r="N4090" s="133"/>
      <c r="O4090" s="4"/>
      <c r="P4090" s="4"/>
      <c r="Q4090" s="4"/>
      <c r="R4090" s="4"/>
      <c r="S4090" s="4"/>
      <c r="T4090" s="4"/>
      <c r="U4090" s="4"/>
      <c r="V4090" s="4"/>
      <c r="W4090" s="4"/>
      <c r="X4090" s="4"/>
    </row>
    <row r="4091" spans="1:24" ht="14.25" customHeight="1">
      <c r="A4091" s="4"/>
      <c r="B4091" s="125">
        <v>46202</v>
      </c>
      <c r="C4091" s="126" t="s">
        <v>2016</v>
      </c>
      <c r="D4091" s="15" t="s">
        <v>1754</v>
      </c>
      <c r="E4091" s="10" t="str">
        <f>TRIM(VLOOKUP(D4091,TB!$B$9:$C$1500,2,FALSE))</f>
        <v>Ice Cube</v>
      </c>
      <c r="F4091" s="191" t="s">
        <v>2018</v>
      </c>
      <c r="G4091" s="130">
        <v>12</v>
      </c>
      <c r="H4091" s="10">
        <v>144000</v>
      </c>
      <c r="I4091" s="10"/>
      <c r="J4091" s="79" t="e">
        <f t="shared" si="254"/>
        <v>#VALUE!</v>
      </c>
      <c r="K4091" s="106">
        <f>H4091/G4091</f>
        <v>12000</v>
      </c>
      <c r="L4091" s="141"/>
      <c r="M4091" s="132"/>
      <c r="N4091" s="133"/>
      <c r="O4091" s="4"/>
      <c r="P4091" s="4"/>
      <c r="Q4091" s="4"/>
      <c r="R4091" s="4"/>
      <c r="S4091" s="4"/>
      <c r="T4091" s="4"/>
      <c r="U4091" s="4"/>
      <c r="V4091" s="4"/>
      <c r="W4091" s="4"/>
      <c r="X4091" s="4"/>
    </row>
    <row r="4092" spans="1:24" ht="14.25" customHeight="1">
      <c r="A4092" s="4"/>
      <c r="B4092" s="125">
        <v>46202</v>
      </c>
      <c r="C4092" s="126" t="s">
        <v>2016</v>
      </c>
      <c r="D4092" s="15" t="s">
        <v>1823</v>
      </c>
      <c r="E4092" s="10" t="str">
        <f>TRIM(VLOOKUP(D4092,TB!$B$9:$C$1500,2,FALSE))</f>
        <v>Sampoerna</v>
      </c>
      <c r="F4092" s="191" t="s">
        <v>2019</v>
      </c>
      <c r="G4092" s="130">
        <v>10</v>
      </c>
      <c r="H4092" s="10">
        <v>351000</v>
      </c>
      <c r="I4092" s="10"/>
      <c r="J4092" s="79" t="e">
        <f t="shared" si="254"/>
        <v>#VALUE!</v>
      </c>
      <c r="K4092" s="106"/>
      <c r="L4092" s="141"/>
      <c r="M4092" s="132"/>
      <c r="N4092" s="133"/>
      <c r="O4092" s="4"/>
      <c r="P4092" s="4"/>
      <c r="Q4092" s="4"/>
      <c r="R4092" s="4"/>
      <c r="S4092" s="4"/>
      <c r="T4092" s="4"/>
      <c r="U4092" s="4"/>
      <c r="V4092" s="4"/>
      <c r="W4092" s="4"/>
      <c r="X4092" s="4"/>
    </row>
    <row r="4093" spans="1:24" ht="14.25" customHeight="1">
      <c r="A4093" s="4"/>
      <c r="B4093" s="125">
        <v>46202</v>
      </c>
      <c r="C4093" s="126" t="s">
        <v>2016</v>
      </c>
      <c r="D4093" s="15" t="s">
        <v>1776</v>
      </c>
      <c r="E4093" s="10" t="str">
        <f>TRIM(VLOOKUP(D4093,TB!$B$9:$C$1500,2,FALSE))</f>
        <v>Marlboro Merah</v>
      </c>
      <c r="F4093" s="191" t="s">
        <v>1913</v>
      </c>
      <c r="G4093" s="130">
        <v>10</v>
      </c>
      <c r="H4093" s="10">
        <v>518000</v>
      </c>
      <c r="I4093" s="10"/>
      <c r="J4093" s="79" t="e">
        <f t="shared" si="254"/>
        <v>#VALUE!</v>
      </c>
      <c r="K4093" s="106"/>
      <c r="L4093" s="141"/>
      <c r="M4093" s="132"/>
      <c r="N4093" s="133"/>
      <c r="O4093" s="4"/>
      <c r="P4093" s="4"/>
      <c r="Q4093" s="4"/>
      <c r="R4093" s="4"/>
      <c r="S4093" s="4"/>
      <c r="T4093" s="4"/>
      <c r="U4093" s="4"/>
      <c r="V4093" s="4"/>
      <c r="W4093" s="4"/>
      <c r="X4093" s="4"/>
    </row>
    <row r="4094" spans="1:24" ht="14.25" customHeight="1">
      <c r="A4094" s="4"/>
      <c r="B4094" s="125">
        <v>46202</v>
      </c>
      <c r="C4094" s="126" t="s">
        <v>2016</v>
      </c>
      <c r="D4094" s="15" t="s">
        <v>1778</v>
      </c>
      <c r="E4094" s="10" t="str">
        <f>TRIM(VLOOKUP(D4094,TB!$B$9:$C$1500,2,FALSE))</f>
        <v>Marlboro Light / GOLD</v>
      </c>
      <c r="F4094" s="191" t="s">
        <v>2020</v>
      </c>
      <c r="G4094" s="130">
        <v>20</v>
      </c>
      <c r="H4094" s="10">
        <v>1036000</v>
      </c>
      <c r="I4094" s="10"/>
      <c r="J4094" s="79" t="e">
        <f t="shared" si="254"/>
        <v>#VALUE!</v>
      </c>
      <c r="K4094" s="106"/>
      <c r="L4094" s="141"/>
      <c r="M4094" s="132"/>
      <c r="N4094" s="133"/>
      <c r="O4094" s="4"/>
      <c r="P4094" s="4"/>
      <c r="Q4094" s="4"/>
      <c r="R4094" s="4"/>
      <c r="S4094" s="4"/>
      <c r="T4094" s="4"/>
      <c r="U4094" s="4"/>
      <c r="V4094" s="4"/>
      <c r="W4094" s="4"/>
      <c r="X4094" s="4"/>
    </row>
    <row r="4095" spans="1:24" ht="14.25" customHeight="1">
      <c r="A4095" s="4"/>
      <c r="B4095" s="125">
        <v>46202</v>
      </c>
      <c r="C4095" s="126" t="s">
        <v>2016</v>
      </c>
      <c r="D4095" s="15" t="s">
        <v>1921</v>
      </c>
      <c r="E4095" s="10" t="str">
        <f>TRIM(VLOOKUP(D4095,TB!$B$9:$C$1500,2,FALSE))</f>
        <v>Bar Supplies &amp; Laundry</v>
      </c>
      <c r="F4095" s="191" t="s">
        <v>2021</v>
      </c>
      <c r="G4095" s="130"/>
      <c r="H4095" s="10">
        <v>129000</v>
      </c>
      <c r="I4095" s="10"/>
      <c r="J4095" s="79" t="e">
        <f t="shared" si="254"/>
        <v>#VALUE!</v>
      </c>
      <c r="K4095" s="106"/>
      <c r="L4095" s="141"/>
      <c r="M4095" s="132"/>
      <c r="N4095" s="133"/>
      <c r="O4095" s="4"/>
      <c r="P4095" s="4"/>
      <c r="Q4095" s="4"/>
      <c r="R4095" s="4"/>
      <c r="S4095" s="4"/>
      <c r="T4095" s="4"/>
      <c r="U4095" s="4"/>
      <c r="V4095" s="4"/>
      <c r="W4095" s="4"/>
      <c r="X4095" s="4"/>
    </row>
    <row r="4096" spans="1:24" ht="14.25" customHeight="1">
      <c r="A4096" s="4"/>
      <c r="B4096" s="125">
        <v>46202</v>
      </c>
      <c r="C4096" s="126" t="s">
        <v>2016</v>
      </c>
      <c r="D4096" s="15" t="s">
        <v>1754</v>
      </c>
      <c r="E4096" s="10" t="str">
        <f>TRIM(VLOOKUP(D4096,TB!$B$9:$C$1500,2,FALSE))</f>
        <v>Ice Cube</v>
      </c>
      <c r="F4096" s="191" t="s">
        <v>2022</v>
      </c>
      <c r="G4096" s="130">
        <v>6</v>
      </c>
      <c r="H4096" s="10">
        <v>48000</v>
      </c>
      <c r="I4096" s="10"/>
      <c r="J4096" s="79" t="e">
        <f t="shared" si="254"/>
        <v>#VALUE!</v>
      </c>
      <c r="K4096" s="106">
        <f>H4096/G4096</f>
        <v>8000</v>
      </c>
      <c r="L4096" s="141"/>
      <c r="M4096" s="132"/>
      <c r="N4096" s="133"/>
      <c r="O4096" s="4"/>
      <c r="P4096" s="4"/>
      <c r="Q4096" s="4"/>
      <c r="R4096" s="4"/>
      <c r="S4096" s="4"/>
      <c r="T4096" s="4"/>
      <c r="U4096" s="4"/>
      <c r="V4096" s="4"/>
      <c r="W4096" s="4"/>
      <c r="X4096" s="4"/>
    </row>
    <row r="4097" spans="1:24" ht="14.25" customHeight="1">
      <c r="A4097" s="4"/>
      <c r="B4097" s="125">
        <v>46202</v>
      </c>
      <c r="C4097" s="126" t="s">
        <v>2016</v>
      </c>
      <c r="D4097" s="15" t="s">
        <v>1208</v>
      </c>
      <c r="E4097" s="10" t="str">
        <f>TRIM(VLOOKUP(D4097,TB!$B$9:$C$1500,2,FALSE))</f>
        <v>Telephone/Interne/Pulsa/Courier &amp; Postage</v>
      </c>
      <c r="F4097" s="191" t="s">
        <v>1775</v>
      </c>
      <c r="G4097" s="130"/>
      <c r="H4097" s="10">
        <v>27000</v>
      </c>
      <c r="I4097" s="10"/>
      <c r="J4097" s="79" t="e">
        <f t="shared" si="254"/>
        <v>#VALUE!</v>
      </c>
      <c r="K4097" s="106"/>
      <c r="L4097" s="141"/>
      <c r="M4097" s="132"/>
      <c r="N4097" s="133"/>
      <c r="O4097" s="4"/>
      <c r="P4097" s="4"/>
      <c r="Q4097" s="4"/>
      <c r="R4097" s="4"/>
      <c r="S4097" s="4"/>
      <c r="T4097" s="4"/>
      <c r="U4097" s="4"/>
      <c r="V4097" s="4"/>
      <c r="W4097" s="4"/>
      <c r="X4097" s="4"/>
    </row>
    <row r="4098" spans="1:24" ht="14.25" customHeight="1">
      <c r="A4098" s="4"/>
      <c r="B4098" s="125">
        <v>46202</v>
      </c>
      <c r="C4098" s="126" t="s">
        <v>2016</v>
      </c>
      <c r="D4098" s="15" t="s">
        <v>1765</v>
      </c>
      <c r="E4098" s="10" t="str">
        <f>TRIM(VLOOKUP(D4098,TB!$B$9:$C$1500,2,FALSE))</f>
        <v>Great Chilli / Lombok Besar</v>
      </c>
      <c r="F4098" s="191" t="s">
        <v>2023</v>
      </c>
      <c r="G4098" s="130">
        <v>0.2</v>
      </c>
      <c r="H4098" s="10">
        <v>10000</v>
      </c>
      <c r="I4098" s="10"/>
      <c r="J4098" s="79" t="e">
        <f t="shared" si="254"/>
        <v>#VALUE!</v>
      </c>
      <c r="K4098" s="106"/>
      <c r="L4098" s="141"/>
      <c r="M4098" s="132"/>
      <c r="N4098" s="133"/>
      <c r="O4098" s="4"/>
      <c r="P4098" s="4"/>
      <c r="Q4098" s="4"/>
      <c r="R4098" s="4"/>
      <c r="S4098" s="4"/>
      <c r="T4098" s="4"/>
      <c r="U4098" s="4"/>
      <c r="V4098" s="4"/>
      <c r="W4098" s="4"/>
      <c r="X4098" s="4"/>
    </row>
    <row r="4099" spans="1:24" ht="14.25" customHeight="1">
      <c r="A4099" s="4"/>
      <c r="B4099" s="125">
        <v>46202</v>
      </c>
      <c r="C4099" s="126" t="s">
        <v>2016</v>
      </c>
      <c r="D4099" s="15" t="s">
        <v>1811</v>
      </c>
      <c r="E4099" s="10" t="str">
        <f>TRIM(VLOOKUP(D4099,TB!$B$9:$C$1500,2,FALSE))</f>
        <v>Yoghurt</v>
      </c>
      <c r="F4099" s="191" t="s">
        <v>2024</v>
      </c>
      <c r="G4099" s="130">
        <v>0.5</v>
      </c>
      <c r="H4099" s="10">
        <v>45000</v>
      </c>
      <c r="I4099" s="10"/>
      <c r="J4099" s="79" t="e">
        <f t="shared" si="254"/>
        <v>#VALUE!</v>
      </c>
      <c r="K4099" s="106"/>
      <c r="L4099" s="141"/>
      <c r="M4099" s="132"/>
      <c r="N4099" s="133"/>
      <c r="O4099" s="4"/>
      <c r="P4099" s="4"/>
      <c r="Q4099" s="4"/>
      <c r="R4099" s="4"/>
      <c r="S4099" s="4"/>
      <c r="T4099" s="4"/>
      <c r="U4099" s="4"/>
      <c r="V4099" s="4"/>
      <c r="W4099" s="4"/>
      <c r="X4099" s="4"/>
    </row>
    <row r="4100" spans="1:24" ht="14.25" customHeight="1">
      <c r="A4100" s="4"/>
      <c r="B4100" s="125">
        <v>46202</v>
      </c>
      <c r="C4100" s="126" t="s">
        <v>2016</v>
      </c>
      <c r="D4100" s="15" t="s">
        <v>1797</v>
      </c>
      <c r="E4100" s="10" t="str">
        <f>TRIM(VLOOKUP(D4100,TB!$B$9:$C$1500,2,FALSE))</f>
        <v>Pork Toulouse</v>
      </c>
      <c r="F4100" s="191" t="s">
        <v>1970</v>
      </c>
      <c r="G4100" s="130">
        <v>1.992</v>
      </c>
      <c r="H4100" s="10">
        <v>249000</v>
      </c>
      <c r="I4100" s="10"/>
      <c r="J4100" s="79" t="e">
        <f t="shared" si="254"/>
        <v>#VALUE!</v>
      </c>
      <c r="K4100" s="106"/>
      <c r="L4100" s="141"/>
      <c r="M4100" s="132"/>
      <c r="N4100" s="133"/>
      <c r="O4100" s="4"/>
      <c r="P4100" s="4"/>
      <c r="Q4100" s="4"/>
      <c r="R4100" s="4"/>
      <c r="S4100" s="4"/>
      <c r="T4100" s="4"/>
      <c r="U4100" s="4"/>
      <c r="V4100" s="4"/>
      <c r="W4100" s="4"/>
      <c r="X4100" s="4"/>
    </row>
    <row r="4101" spans="1:24" ht="14.25" customHeight="1">
      <c r="A4101" s="4"/>
      <c r="B4101" s="125">
        <v>46202</v>
      </c>
      <c r="C4101" s="126" t="s">
        <v>2016</v>
      </c>
      <c r="D4101" s="15" t="s">
        <v>1836</v>
      </c>
      <c r="E4101" s="10" t="str">
        <f>TRIM(VLOOKUP(D4101,TB!$B$9:$C$1500,2,FALSE))</f>
        <v>Chicken Toulouse</v>
      </c>
      <c r="F4101" s="191" t="s">
        <v>1971</v>
      </c>
      <c r="G4101" s="130">
        <v>3.0779999999999998</v>
      </c>
      <c r="H4101" s="10">
        <v>458622</v>
      </c>
      <c r="I4101" s="10"/>
      <c r="J4101" s="79" t="e">
        <f t="shared" si="254"/>
        <v>#VALUE!</v>
      </c>
      <c r="K4101" s="106">
        <f>H4101/G4101</f>
        <v>149000</v>
      </c>
      <c r="L4101" s="141"/>
      <c r="M4101" s="132"/>
      <c r="N4101" s="133"/>
      <c r="O4101" s="4"/>
      <c r="P4101" s="4"/>
      <c r="Q4101" s="4"/>
      <c r="R4101" s="4"/>
      <c r="S4101" s="4"/>
      <c r="T4101" s="4"/>
      <c r="U4101" s="4"/>
      <c r="V4101" s="4"/>
      <c r="W4101" s="4"/>
      <c r="X4101" s="4"/>
    </row>
    <row r="4102" spans="1:24" ht="14.25" customHeight="1">
      <c r="A4102" s="4"/>
      <c r="B4102" s="125">
        <v>46202</v>
      </c>
      <c r="C4102" s="126" t="s">
        <v>2016</v>
      </c>
      <c r="D4102" s="15" t="s">
        <v>1745</v>
      </c>
      <c r="E4102" s="10" t="str">
        <f>TRIM(VLOOKUP(D4102,TB!$B$9:$C$1500,2,FALSE))</f>
        <v>Petty Cash IDR - on General Cashier</v>
      </c>
      <c r="F4102" s="142" t="s">
        <v>2025</v>
      </c>
      <c r="G4102" s="130"/>
      <c r="H4102" s="10"/>
      <c r="I4102" s="10">
        <v>3015622</v>
      </c>
      <c r="J4102" s="79" t="e">
        <f t="shared" si="254"/>
        <v>#VALUE!</v>
      </c>
      <c r="K4102" s="106"/>
      <c r="L4102" s="141"/>
      <c r="M4102" s="132"/>
      <c r="N4102" s="133"/>
      <c r="O4102" s="4"/>
      <c r="P4102" s="4"/>
      <c r="Q4102" s="4"/>
      <c r="R4102" s="4"/>
      <c r="S4102" s="4"/>
      <c r="T4102" s="4"/>
      <c r="U4102" s="4"/>
      <c r="V4102" s="4"/>
      <c r="W4102" s="4"/>
      <c r="X4102" s="4"/>
    </row>
    <row r="4103" spans="1:24" ht="14.25" customHeight="1">
      <c r="A4103" s="4"/>
      <c r="B4103" s="125"/>
      <c r="C4103" s="126"/>
      <c r="D4103" s="159"/>
      <c r="E4103" s="10" t="e">
        <f>TRIM(VLOOKUP(D4103,TB!$B$9:$C$1500,2,FALSE))</f>
        <v>#N/A</v>
      </c>
      <c r="F4103" s="142"/>
      <c r="G4103" s="130"/>
      <c r="H4103" s="10"/>
      <c r="I4103" s="10"/>
      <c r="J4103" s="79" t="e">
        <f t="shared" si="254"/>
        <v>#VALUE!</v>
      </c>
      <c r="K4103" s="106"/>
      <c r="L4103" s="141"/>
      <c r="M4103" s="132"/>
      <c r="N4103" s="133"/>
      <c r="O4103" s="4"/>
      <c r="P4103" s="4"/>
      <c r="Q4103" s="4"/>
      <c r="R4103" s="4"/>
      <c r="S4103" s="4"/>
      <c r="T4103" s="4"/>
      <c r="U4103" s="4"/>
      <c r="V4103" s="4"/>
      <c r="W4103" s="4"/>
      <c r="X4103" s="4"/>
    </row>
    <row r="4104" spans="1:24" ht="14.25" customHeight="1">
      <c r="A4104" s="4"/>
      <c r="B4104" s="125">
        <v>46202</v>
      </c>
      <c r="C4104" s="126" t="s">
        <v>2026</v>
      </c>
      <c r="D4104" s="15" t="s">
        <v>1745</v>
      </c>
      <c r="E4104" s="10" t="str">
        <f>TRIM(VLOOKUP(D4104,TB!$B$9:$C$1500,2,FALSE))</f>
        <v>Petty Cash IDR - on General Cashier</v>
      </c>
      <c r="F4104" s="191" t="s">
        <v>2027</v>
      </c>
      <c r="G4104" s="130"/>
      <c r="H4104" s="10">
        <v>5224289</v>
      </c>
      <c r="I4104" s="10"/>
      <c r="J4104" s="79" t="e">
        <f t="shared" si="254"/>
        <v>#VALUE!</v>
      </c>
      <c r="K4104" s="106"/>
      <c r="L4104" s="141"/>
      <c r="M4104" s="132"/>
      <c r="N4104" s="133"/>
      <c r="O4104" s="4"/>
      <c r="P4104" s="4"/>
      <c r="Q4104" s="4"/>
      <c r="R4104" s="4"/>
      <c r="S4104" s="4"/>
      <c r="T4104" s="4"/>
      <c r="U4104" s="4"/>
      <c r="V4104" s="4"/>
      <c r="W4104" s="4"/>
      <c r="X4104" s="4"/>
    </row>
    <row r="4105" spans="1:24" ht="14.25" customHeight="1">
      <c r="A4105" s="4"/>
      <c r="B4105" s="125">
        <v>46202</v>
      </c>
      <c r="C4105" s="126" t="s">
        <v>2026</v>
      </c>
      <c r="D4105" s="15" t="s">
        <v>39</v>
      </c>
      <c r="E4105" s="10" t="str">
        <f>TRIM(VLOOKUP(D4105,TB!$B$9:$C$1500,2,FALSE))</f>
        <v>Petty Cash IDR - on Bar Cashier</v>
      </c>
      <c r="F4105" s="191" t="s">
        <v>2027</v>
      </c>
      <c r="G4105" s="130"/>
      <c r="H4105" s="10"/>
      <c r="I4105" s="10">
        <v>5224289</v>
      </c>
      <c r="J4105" s="79" t="e">
        <f t="shared" si="254"/>
        <v>#VALUE!</v>
      </c>
      <c r="K4105" s="106"/>
      <c r="L4105" s="141"/>
      <c r="M4105" s="132"/>
      <c r="N4105" s="133"/>
      <c r="O4105" s="4"/>
      <c r="P4105" s="4"/>
      <c r="Q4105" s="4"/>
      <c r="R4105" s="4"/>
      <c r="S4105" s="4"/>
      <c r="T4105" s="4"/>
      <c r="U4105" s="4"/>
      <c r="V4105" s="4"/>
      <c r="W4105" s="4"/>
      <c r="X4105" s="4"/>
    </row>
    <row r="4106" spans="1:24" ht="14.25" customHeight="1">
      <c r="A4106" s="4"/>
      <c r="B4106" s="125">
        <v>46202</v>
      </c>
      <c r="C4106" s="126" t="s">
        <v>2026</v>
      </c>
      <c r="D4106" s="15" t="s">
        <v>1754</v>
      </c>
      <c r="E4106" s="10" t="str">
        <f>TRIM(VLOOKUP(D4106,TB!$B$9:$C$1500,2,FALSE))</f>
        <v>Ice Cube</v>
      </c>
      <c r="F4106" s="191" t="s">
        <v>2028</v>
      </c>
      <c r="G4106" s="130">
        <v>6</v>
      </c>
      <c r="H4106" s="10">
        <v>48000</v>
      </c>
      <c r="I4106" s="10"/>
      <c r="J4106" s="79" t="e">
        <f t="shared" ref="J4106:J4360" si="269">J4105+H4106-I4106</f>
        <v>#VALUE!</v>
      </c>
      <c r="K4106" s="106">
        <f>H4106/G4106</f>
        <v>8000</v>
      </c>
      <c r="L4106" s="141"/>
      <c r="M4106" s="132"/>
      <c r="N4106" s="133"/>
      <c r="O4106" s="4"/>
      <c r="P4106" s="4"/>
      <c r="Q4106" s="4"/>
      <c r="R4106" s="4"/>
      <c r="S4106" s="4"/>
      <c r="T4106" s="4"/>
      <c r="U4106" s="4"/>
      <c r="V4106" s="4"/>
      <c r="W4106" s="4"/>
      <c r="X4106" s="4"/>
    </row>
    <row r="4107" spans="1:24" ht="14.25" customHeight="1">
      <c r="A4107" s="4"/>
      <c r="B4107" s="125">
        <v>46202</v>
      </c>
      <c r="C4107" s="126" t="s">
        <v>2026</v>
      </c>
      <c r="D4107" s="15" t="s">
        <v>1208</v>
      </c>
      <c r="E4107" s="10" t="str">
        <f>TRIM(VLOOKUP(D4107,TB!$B$9:$C$1500,2,FALSE))</f>
        <v>Telephone/Interne/Pulsa/Courier &amp; Postage</v>
      </c>
      <c r="F4107" s="191" t="s">
        <v>1775</v>
      </c>
      <c r="G4107" s="130"/>
      <c r="H4107" s="10">
        <v>22000</v>
      </c>
      <c r="I4107" s="10"/>
      <c r="J4107" s="79" t="e">
        <f t="shared" si="269"/>
        <v>#VALUE!</v>
      </c>
      <c r="K4107" s="106"/>
      <c r="L4107" s="141"/>
      <c r="M4107" s="132"/>
      <c r="N4107" s="133"/>
      <c r="O4107" s="4"/>
      <c r="P4107" s="4"/>
      <c r="Q4107" s="4"/>
      <c r="R4107" s="4"/>
      <c r="S4107" s="4"/>
      <c r="T4107" s="4"/>
      <c r="U4107" s="4"/>
      <c r="V4107" s="4"/>
      <c r="W4107" s="4"/>
      <c r="X4107" s="4"/>
    </row>
    <row r="4108" spans="1:24" ht="14.25" customHeight="1">
      <c r="A4108" s="4"/>
      <c r="B4108" s="125">
        <v>46202</v>
      </c>
      <c r="C4108" s="126" t="s">
        <v>2026</v>
      </c>
      <c r="D4108" s="15" t="s">
        <v>1754</v>
      </c>
      <c r="E4108" s="10" t="str">
        <f>TRIM(VLOOKUP(D4108,TB!$B$9:$C$1500,2,FALSE))</f>
        <v>Ice Cube</v>
      </c>
      <c r="F4108" s="191" t="s">
        <v>2029</v>
      </c>
      <c r="G4108" s="130">
        <v>14</v>
      </c>
      <c r="H4108" s="10">
        <v>168000</v>
      </c>
      <c r="I4108" s="10"/>
      <c r="J4108" s="79" t="e">
        <f t="shared" si="269"/>
        <v>#VALUE!</v>
      </c>
      <c r="K4108" s="106">
        <f t="shared" ref="K4108:K4109" si="270">H4108/G4108</f>
        <v>12000</v>
      </c>
      <c r="L4108" s="141"/>
      <c r="M4108" s="132"/>
      <c r="N4108" s="133"/>
      <c r="O4108" s="4"/>
      <c r="P4108" s="4"/>
      <c r="Q4108" s="4"/>
      <c r="R4108" s="4"/>
      <c r="S4108" s="4"/>
      <c r="T4108" s="4"/>
      <c r="U4108" s="4"/>
      <c r="V4108" s="4"/>
      <c r="W4108" s="4"/>
      <c r="X4108" s="4"/>
    </row>
    <row r="4109" spans="1:24" ht="14.25" customHeight="1">
      <c r="A4109" s="4"/>
      <c r="B4109" s="125">
        <v>46202</v>
      </c>
      <c r="C4109" s="126" t="s">
        <v>2026</v>
      </c>
      <c r="D4109" s="15" t="s">
        <v>2030</v>
      </c>
      <c r="E4109" s="10" t="str">
        <f>TRIM(VLOOKUP(D4109,TB!$B$9:$C$1500,2,FALSE))</f>
        <v>Hot Chilli / Lombok Kecil</v>
      </c>
      <c r="F4109" s="191" t="s">
        <v>2031</v>
      </c>
      <c r="G4109" s="130">
        <v>0.25</v>
      </c>
      <c r="H4109" s="10">
        <v>13000</v>
      </c>
      <c r="I4109" s="10"/>
      <c r="J4109" s="79" t="e">
        <f t="shared" si="269"/>
        <v>#VALUE!</v>
      </c>
      <c r="K4109" s="106">
        <f t="shared" si="270"/>
        <v>52000</v>
      </c>
      <c r="L4109" s="141"/>
      <c r="M4109" s="132"/>
      <c r="N4109" s="133"/>
      <c r="O4109" s="4"/>
      <c r="P4109" s="4"/>
      <c r="Q4109" s="4"/>
      <c r="R4109" s="4"/>
      <c r="S4109" s="4"/>
      <c r="T4109" s="4"/>
      <c r="U4109" s="4"/>
      <c r="V4109" s="4"/>
      <c r="W4109" s="4"/>
      <c r="X4109" s="4"/>
    </row>
    <row r="4110" spans="1:24" ht="14.25" customHeight="1">
      <c r="A4110" s="4"/>
      <c r="B4110" s="125">
        <v>46202</v>
      </c>
      <c r="C4110" s="126" t="s">
        <v>2026</v>
      </c>
      <c r="D4110" s="15" t="s">
        <v>1787</v>
      </c>
      <c r="E4110" s="10" t="str">
        <f>TRIM(VLOOKUP(D4110,TB!$B$9:$C$1500,2,FALSE))</f>
        <v>Milk Fresh</v>
      </c>
      <c r="F4110" s="191" t="s">
        <v>2032</v>
      </c>
      <c r="G4110" s="130">
        <v>2</v>
      </c>
      <c r="H4110" s="10">
        <v>48000</v>
      </c>
      <c r="I4110" s="10"/>
      <c r="J4110" s="79" t="e">
        <f t="shared" si="269"/>
        <v>#VALUE!</v>
      </c>
      <c r="K4110" s="106"/>
      <c r="L4110" s="141"/>
      <c r="M4110" s="132"/>
      <c r="N4110" s="133"/>
      <c r="O4110" s="4"/>
      <c r="P4110" s="4"/>
      <c r="Q4110" s="4"/>
      <c r="R4110" s="4"/>
      <c r="S4110" s="4"/>
      <c r="T4110" s="4"/>
      <c r="U4110" s="4"/>
      <c r="V4110" s="4"/>
      <c r="W4110" s="4"/>
      <c r="X4110" s="4"/>
    </row>
    <row r="4111" spans="1:24" ht="14.25" customHeight="1">
      <c r="A4111" s="4"/>
      <c r="B4111" s="125">
        <v>46202</v>
      </c>
      <c r="C4111" s="126" t="s">
        <v>2026</v>
      </c>
      <c r="D4111" s="15" t="s">
        <v>2033</v>
      </c>
      <c r="E4111" s="10" t="str">
        <f>TRIM(VLOOKUP(D4111,TB!$B$9:$C$1500,2,FALSE))</f>
        <v>Potato</v>
      </c>
      <c r="F4111" s="191" t="s">
        <v>2034</v>
      </c>
      <c r="G4111" s="130">
        <v>2</v>
      </c>
      <c r="H4111" s="10">
        <v>60000</v>
      </c>
      <c r="I4111" s="10"/>
      <c r="J4111" s="79" t="e">
        <f t="shared" si="269"/>
        <v>#VALUE!</v>
      </c>
      <c r="K4111" s="106">
        <f>H4111/G4111</f>
        <v>30000</v>
      </c>
      <c r="L4111" s="141"/>
      <c r="M4111" s="132"/>
      <c r="N4111" s="133"/>
      <c r="O4111" s="4"/>
      <c r="P4111" s="4"/>
      <c r="Q4111" s="4"/>
      <c r="R4111" s="4"/>
      <c r="S4111" s="4"/>
      <c r="T4111" s="4"/>
      <c r="U4111" s="4"/>
      <c r="V4111" s="4"/>
      <c r="W4111" s="4"/>
      <c r="X4111" s="4"/>
    </row>
    <row r="4112" spans="1:24" ht="14.25" customHeight="1">
      <c r="A4112" s="4"/>
      <c r="B4112" s="125">
        <v>46202</v>
      </c>
      <c r="C4112" s="126" t="s">
        <v>2026</v>
      </c>
      <c r="D4112" s="15" t="s">
        <v>1226</v>
      </c>
      <c r="E4112" s="10" t="str">
        <f>TRIM(VLOOKUP(D4112,TB!$B$9:$C$1500,2,FALSE))</f>
        <v>Enggineering Electrical &amp; plumbing Supplies</v>
      </c>
      <c r="F4112" s="191" t="s">
        <v>1756</v>
      </c>
      <c r="G4112" s="130"/>
      <c r="H4112" s="10">
        <v>37000</v>
      </c>
      <c r="I4112" s="10"/>
      <c r="J4112" s="79" t="e">
        <f t="shared" si="269"/>
        <v>#VALUE!</v>
      </c>
      <c r="K4112" s="106"/>
      <c r="L4112" s="141"/>
      <c r="M4112" s="132"/>
      <c r="N4112" s="133"/>
      <c r="O4112" s="4"/>
      <c r="P4112" s="4"/>
      <c r="Q4112" s="4"/>
      <c r="R4112" s="4"/>
      <c r="S4112" s="4"/>
      <c r="T4112" s="4"/>
      <c r="U4112" s="4"/>
      <c r="V4112" s="4"/>
      <c r="W4112" s="4"/>
      <c r="X4112" s="4"/>
    </row>
    <row r="4113" spans="1:24" ht="14.25" customHeight="1">
      <c r="A4113" s="4"/>
      <c r="B4113" s="125">
        <v>46202</v>
      </c>
      <c r="C4113" s="126" t="s">
        <v>2026</v>
      </c>
      <c r="D4113" s="15" t="s">
        <v>1745</v>
      </c>
      <c r="E4113" s="10" t="str">
        <f>TRIM(VLOOKUP(D4113,TB!$B$9:$C$1500,2,FALSE))</f>
        <v>Petty Cash IDR - on General Cashier</v>
      </c>
      <c r="F4113" s="142" t="s">
        <v>2035</v>
      </c>
      <c r="G4113" s="130"/>
      <c r="H4113" s="10"/>
      <c r="I4113" s="10">
        <v>396000</v>
      </c>
      <c r="J4113" s="79" t="e">
        <f t="shared" si="269"/>
        <v>#VALUE!</v>
      </c>
      <c r="K4113" s="106"/>
      <c r="L4113" s="141"/>
      <c r="M4113" s="132"/>
      <c r="N4113" s="133"/>
      <c r="O4113" s="4"/>
      <c r="P4113" s="4"/>
      <c r="Q4113" s="4"/>
      <c r="R4113" s="4"/>
      <c r="S4113" s="4"/>
      <c r="T4113" s="4"/>
      <c r="U4113" s="4"/>
      <c r="V4113" s="4"/>
      <c r="W4113" s="4"/>
      <c r="X4113" s="4"/>
    </row>
    <row r="4114" spans="1:24" ht="14.25" customHeight="1">
      <c r="A4114" s="4"/>
      <c r="B4114" s="125"/>
      <c r="C4114" s="126"/>
      <c r="D4114" s="68"/>
      <c r="E4114" s="10" t="e">
        <f>TRIM(VLOOKUP(D4114,TB!$B$9:$C$1500,2,FALSE))</f>
        <v>#N/A</v>
      </c>
      <c r="F4114" s="142"/>
      <c r="G4114" s="130"/>
      <c r="H4114" s="10"/>
      <c r="I4114" s="10"/>
      <c r="J4114" s="79" t="e">
        <f t="shared" si="269"/>
        <v>#VALUE!</v>
      </c>
      <c r="K4114" s="106"/>
      <c r="L4114" s="141"/>
      <c r="M4114" s="132"/>
      <c r="N4114" s="133"/>
      <c r="O4114" s="4"/>
      <c r="P4114" s="4"/>
      <c r="Q4114" s="4"/>
      <c r="R4114" s="4"/>
      <c r="S4114" s="4"/>
      <c r="T4114" s="4"/>
      <c r="U4114" s="4"/>
      <c r="V4114" s="4"/>
      <c r="W4114" s="4"/>
      <c r="X4114" s="4"/>
    </row>
    <row r="4115" spans="1:24" ht="14.25" customHeight="1">
      <c r="A4115" s="4"/>
      <c r="B4115" s="125">
        <v>46202</v>
      </c>
      <c r="C4115" s="126" t="s">
        <v>2036</v>
      </c>
      <c r="D4115" s="68" t="s">
        <v>158</v>
      </c>
      <c r="E4115" s="10" t="str">
        <f>TRIM(VLOOKUP(D4115,TB!$B$9:$C$1500,2,FALSE))</f>
        <v>Mandiri TBB IDR</v>
      </c>
      <c r="F4115" s="191" t="s">
        <v>2002</v>
      </c>
      <c r="G4115" s="130"/>
      <c r="H4115" s="155">
        <v>27920000</v>
      </c>
      <c r="I4115" s="10"/>
      <c r="J4115" s="79" t="e">
        <f t="shared" si="269"/>
        <v>#VALUE!</v>
      </c>
      <c r="K4115" s="106"/>
      <c r="L4115" s="141"/>
      <c r="M4115" s="132"/>
      <c r="N4115" s="133"/>
      <c r="O4115" s="4"/>
      <c r="P4115" s="4"/>
      <c r="Q4115" s="4"/>
      <c r="R4115" s="4"/>
      <c r="S4115" s="4"/>
      <c r="T4115" s="4"/>
      <c r="U4115" s="4"/>
      <c r="V4115" s="4"/>
      <c r="W4115" s="4"/>
      <c r="X4115" s="4"/>
    </row>
    <row r="4116" spans="1:24" ht="14.25" customHeight="1">
      <c r="A4116" s="4"/>
      <c r="B4116" s="125">
        <v>46202</v>
      </c>
      <c r="C4116" s="126" t="s">
        <v>2036</v>
      </c>
      <c r="D4116" s="15" t="s">
        <v>1745</v>
      </c>
      <c r="E4116" s="10" t="str">
        <f>TRIM(VLOOKUP(D4116,TB!$B$9:$C$1500,2,FALSE))</f>
        <v>Petty Cash IDR - on General Cashier</v>
      </c>
      <c r="F4116" s="191" t="s">
        <v>2002</v>
      </c>
      <c r="G4116" s="130"/>
      <c r="H4116" s="10"/>
      <c r="I4116" s="155">
        <v>27920000</v>
      </c>
      <c r="J4116" s="79" t="e">
        <f t="shared" si="269"/>
        <v>#VALUE!</v>
      </c>
      <c r="K4116" s="106"/>
      <c r="L4116" s="141"/>
      <c r="M4116" s="132"/>
      <c r="N4116" s="133"/>
      <c r="O4116" s="4"/>
      <c r="P4116" s="4"/>
      <c r="Q4116" s="4"/>
      <c r="R4116" s="4"/>
      <c r="S4116" s="4"/>
      <c r="T4116" s="4"/>
      <c r="U4116" s="4"/>
      <c r="V4116" s="4"/>
      <c r="W4116" s="4"/>
      <c r="X4116" s="4"/>
    </row>
    <row r="4117" spans="1:24" ht="14.25" customHeight="1">
      <c r="A4117" s="4"/>
      <c r="B4117" s="125"/>
      <c r="C4117" s="126"/>
      <c r="D4117" s="68"/>
      <c r="E4117" s="10" t="e">
        <f>TRIM(VLOOKUP(D4117,TB!$B$9:$C$1500,2,FALSE))</f>
        <v>#N/A</v>
      </c>
      <c r="F4117" s="142"/>
      <c r="G4117" s="130"/>
      <c r="H4117" s="10"/>
      <c r="I4117" s="10"/>
      <c r="J4117" s="79" t="e">
        <f t="shared" si="269"/>
        <v>#VALUE!</v>
      </c>
      <c r="K4117" s="106"/>
      <c r="L4117" s="141"/>
      <c r="M4117" s="132"/>
      <c r="N4117" s="133"/>
      <c r="O4117" s="4"/>
      <c r="P4117" s="4"/>
      <c r="Q4117" s="4"/>
      <c r="R4117" s="4"/>
      <c r="S4117" s="4"/>
      <c r="T4117" s="4"/>
      <c r="U4117" s="4"/>
      <c r="V4117" s="4"/>
      <c r="W4117" s="4"/>
      <c r="X4117" s="4"/>
    </row>
    <row r="4118" spans="1:24" ht="14.25" customHeight="1">
      <c r="A4118" s="4"/>
      <c r="B4118" s="125">
        <v>46203</v>
      </c>
      <c r="C4118" s="126" t="s">
        <v>2037</v>
      </c>
      <c r="D4118" s="15" t="s">
        <v>403</v>
      </c>
      <c r="E4118" s="10" t="str">
        <f>TRIM(VLOOKUP(D4118,TB!$B$9:$C$1500,2,FALSE))</f>
        <v>Security/Police/Banjar Costs</v>
      </c>
      <c r="F4118" s="191" t="s">
        <v>2038</v>
      </c>
      <c r="G4118" s="130"/>
      <c r="H4118" s="177">
        <v>2500000</v>
      </c>
      <c r="I4118" s="10"/>
      <c r="J4118" s="79" t="e">
        <f t="shared" si="269"/>
        <v>#VALUE!</v>
      </c>
      <c r="K4118" s="106"/>
      <c r="L4118" s="141"/>
      <c r="M4118" s="132"/>
      <c r="N4118" s="133"/>
      <c r="O4118" s="4"/>
      <c r="P4118" s="4"/>
      <c r="Q4118" s="4"/>
      <c r="R4118" s="4"/>
      <c r="S4118" s="4"/>
      <c r="T4118" s="4"/>
      <c r="U4118" s="4"/>
      <c r="V4118" s="4"/>
      <c r="W4118" s="4"/>
      <c r="X4118" s="4"/>
    </row>
    <row r="4119" spans="1:24" ht="14.25" customHeight="1">
      <c r="A4119" s="4"/>
      <c r="B4119" s="125">
        <v>46203</v>
      </c>
      <c r="C4119" s="126" t="s">
        <v>2037</v>
      </c>
      <c r="D4119" s="15" t="s">
        <v>403</v>
      </c>
      <c r="E4119" s="10" t="str">
        <f>TRIM(VLOOKUP(D4119,TB!$B$9:$C$1500,2,FALSE))</f>
        <v>Security/Police/Banjar Costs</v>
      </c>
      <c r="F4119" s="191" t="s">
        <v>2039</v>
      </c>
      <c r="G4119" s="130"/>
      <c r="H4119" s="177">
        <v>2000000</v>
      </c>
      <c r="I4119" s="10"/>
      <c r="J4119" s="79" t="e">
        <f t="shared" si="269"/>
        <v>#VALUE!</v>
      </c>
      <c r="K4119" s="106"/>
      <c r="L4119" s="141"/>
      <c r="M4119" s="132"/>
      <c r="N4119" s="133"/>
      <c r="O4119" s="4"/>
      <c r="P4119" s="4"/>
      <c r="Q4119" s="4"/>
      <c r="R4119" s="4"/>
      <c r="S4119" s="4"/>
      <c r="T4119" s="4"/>
      <c r="U4119" s="4"/>
      <c r="V4119" s="4"/>
      <c r="W4119" s="4"/>
      <c r="X4119" s="4"/>
    </row>
    <row r="4120" spans="1:24" ht="14.25" customHeight="1">
      <c r="A4120" s="4"/>
      <c r="B4120" s="125">
        <v>46203</v>
      </c>
      <c r="C4120" s="126" t="s">
        <v>2037</v>
      </c>
      <c r="D4120" s="15" t="s">
        <v>1745</v>
      </c>
      <c r="E4120" s="10" t="str">
        <f>TRIM(VLOOKUP(D4120,TB!$B$9:$C$1500,2,FALSE))</f>
        <v>Petty Cash IDR - on General Cashier</v>
      </c>
      <c r="F4120" s="191" t="s">
        <v>2038</v>
      </c>
      <c r="G4120" s="130"/>
      <c r="H4120" s="10"/>
      <c r="I4120" s="177">
        <v>2500000</v>
      </c>
      <c r="J4120" s="79" t="e">
        <f t="shared" si="269"/>
        <v>#VALUE!</v>
      </c>
      <c r="K4120" s="106"/>
      <c r="L4120" s="141"/>
      <c r="M4120" s="132"/>
      <c r="N4120" s="133"/>
      <c r="O4120" s="4"/>
      <c r="P4120" s="4"/>
      <c r="Q4120" s="4"/>
      <c r="R4120" s="4"/>
      <c r="S4120" s="4"/>
      <c r="T4120" s="4"/>
      <c r="U4120" s="4"/>
      <c r="V4120" s="4"/>
      <c r="W4120" s="4"/>
      <c r="X4120" s="4"/>
    </row>
    <row r="4121" spans="1:24" ht="14.25" customHeight="1">
      <c r="A4121" s="4"/>
      <c r="B4121" s="125">
        <v>46203</v>
      </c>
      <c r="C4121" s="126" t="s">
        <v>2037</v>
      </c>
      <c r="D4121" s="15" t="s">
        <v>1745</v>
      </c>
      <c r="E4121" s="10" t="str">
        <f>TRIM(VLOOKUP(D4121,TB!$B$9:$C$1500,2,FALSE))</f>
        <v>Petty Cash IDR - on General Cashier</v>
      </c>
      <c r="F4121" s="191" t="s">
        <v>2039</v>
      </c>
      <c r="G4121" s="130"/>
      <c r="H4121" s="10"/>
      <c r="I4121" s="177">
        <v>2000000</v>
      </c>
      <c r="J4121" s="79" t="e">
        <f t="shared" si="269"/>
        <v>#VALUE!</v>
      </c>
      <c r="K4121" s="106"/>
      <c r="L4121" s="141"/>
      <c r="M4121" s="132"/>
      <c r="N4121" s="133"/>
      <c r="O4121" s="4"/>
      <c r="P4121" s="4"/>
      <c r="Q4121" s="4"/>
      <c r="R4121" s="4"/>
      <c r="S4121" s="4"/>
      <c r="T4121" s="4"/>
      <c r="U4121" s="4"/>
      <c r="V4121" s="4"/>
      <c r="W4121" s="4"/>
      <c r="X4121" s="4"/>
    </row>
    <row r="4122" spans="1:24" ht="14.25" customHeight="1">
      <c r="A4122" s="4"/>
      <c r="B4122" s="125"/>
      <c r="C4122" s="126"/>
      <c r="D4122" s="159"/>
      <c r="E4122" s="10" t="e">
        <f>TRIM(VLOOKUP(D4122,TB!$B$9:$C$1500,2,FALSE))</f>
        <v>#N/A</v>
      </c>
      <c r="F4122" s="142"/>
      <c r="G4122" s="130"/>
      <c r="H4122" s="10"/>
      <c r="I4122" s="10"/>
      <c r="J4122" s="79" t="e">
        <f t="shared" si="269"/>
        <v>#VALUE!</v>
      </c>
      <c r="K4122" s="106"/>
      <c r="L4122" s="141"/>
      <c r="M4122" s="132"/>
      <c r="N4122" s="133"/>
      <c r="O4122" s="4"/>
      <c r="P4122" s="4"/>
      <c r="Q4122" s="4"/>
      <c r="R4122" s="4"/>
      <c r="S4122" s="4"/>
      <c r="T4122" s="4"/>
      <c r="U4122" s="4"/>
      <c r="V4122" s="4"/>
      <c r="W4122" s="4"/>
      <c r="X4122" s="4"/>
    </row>
    <row r="4123" spans="1:24" ht="14.25" customHeight="1">
      <c r="A4123" s="4"/>
      <c r="B4123" s="125">
        <v>46203</v>
      </c>
      <c r="C4123" s="126" t="s">
        <v>2040</v>
      </c>
      <c r="D4123" s="15" t="s">
        <v>1745</v>
      </c>
      <c r="E4123" s="10" t="str">
        <f>TRIM(VLOOKUP(D4123,TB!$B$9:$C$1500,2,FALSE))</f>
        <v>Petty Cash IDR - on General Cashier</v>
      </c>
      <c r="F4123" s="191" t="s">
        <v>2041</v>
      </c>
      <c r="G4123" s="130"/>
      <c r="H4123" s="10">
        <v>9579282</v>
      </c>
      <c r="I4123" s="10"/>
      <c r="J4123" s="79" t="e">
        <f t="shared" si="269"/>
        <v>#VALUE!</v>
      </c>
      <c r="K4123" s="106"/>
      <c r="L4123" s="141"/>
      <c r="M4123" s="132"/>
      <c r="N4123" s="133"/>
      <c r="O4123" s="4"/>
      <c r="P4123" s="4"/>
      <c r="Q4123" s="4"/>
      <c r="R4123" s="4"/>
      <c r="S4123" s="4"/>
      <c r="T4123" s="4"/>
      <c r="U4123" s="4"/>
      <c r="V4123" s="4"/>
      <c r="W4123" s="4"/>
      <c r="X4123" s="4"/>
    </row>
    <row r="4124" spans="1:24" ht="14.25" customHeight="1">
      <c r="A4124" s="4"/>
      <c r="B4124" s="125">
        <v>46203</v>
      </c>
      <c r="C4124" s="126" t="s">
        <v>2040</v>
      </c>
      <c r="D4124" s="15" t="s">
        <v>39</v>
      </c>
      <c r="E4124" s="10" t="str">
        <f>TRIM(VLOOKUP(D4124,TB!$B$9:$C$1500,2,FALSE))</f>
        <v>Petty Cash IDR - on Bar Cashier</v>
      </c>
      <c r="F4124" s="191" t="s">
        <v>2041</v>
      </c>
      <c r="G4124" s="130"/>
      <c r="H4124" s="10"/>
      <c r="I4124" s="10">
        <v>9579282</v>
      </c>
      <c r="J4124" s="79" t="e">
        <f t="shared" si="269"/>
        <v>#VALUE!</v>
      </c>
      <c r="K4124" s="106"/>
      <c r="L4124" s="141"/>
      <c r="M4124" s="132"/>
      <c r="N4124" s="133"/>
      <c r="O4124" s="4"/>
      <c r="P4124" s="4"/>
      <c r="Q4124" s="4"/>
      <c r="R4124" s="4"/>
      <c r="S4124" s="4"/>
      <c r="T4124" s="4"/>
      <c r="U4124" s="4"/>
      <c r="V4124" s="4"/>
      <c r="W4124" s="4"/>
      <c r="X4124" s="4"/>
    </row>
    <row r="4125" spans="1:24" ht="14.25" customHeight="1">
      <c r="A4125" s="4"/>
      <c r="B4125" s="125">
        <v>46203</v>
      </c>
      <c r="C4125" s="126" t="s">
        <v>2040</v>
      </c>
      <c r="D4125" s="15" t="s">
        <v>1754</v>
      </c>
      <c r="E4125" s="10" t="str">
        <f>TRIM(VLOOKUP(D4125,TB!$B$9:$C$1500,2,FALSE))</f>
        <v>Ice Cube</v>
      </c>
      <c r="F4125" s="142" t="s">
        <v>2042</v>
      </c>
      <c r="G4125" s="130">
        <v>6</v>
      </c>
      <c r="H4125" s="10">
        <v>48000</v>
      </c>
      <c r="I4125" s="10"/>
      <c r="J4125" s="79" t="e">
        <f t="shared" si="269"/>
        <v>#VALUE!</v>
      </c>
      <c r="K4125" s="106">
        <f>H4125/G4125</f>
        <v>8000</v>
      </c>
      <c r="L4125" s="141"/>
      <c r="M4125" s="132"/>
      <c r="N4125" s="133"/>
      <c r="O4125" s="4"/>
      <c r="P4125" s="4"/>
      <c r="Q4125" s="4"/>
      <c r="R4125" s="4"/>
      <c r="S4125" s="4"/>
      <c r="T4125" s="4"/>
      <c r="U4125" s="4"/>
      <c r="V4125" s="4"/>
      <c r="W4125" s="4"/>
      <c r="X4125" s="4"/>
    </row>
    <row r="4126" spans="1:24" ht="14.25" customHeight="1">
      <c r="A4126" s="4"/>
      <c r="B4126" s="125">
        <v>46203</v>
      </c>
      <c r="C4126" s="126" t="s">
        <v>2040</v>
      </c>
      <c r="D4126" s="15" t="s">
        <v>1894</v>
      </c>
      <c r="E4126" s="10" t="str">
        <f>TRIM(VLOOKUP(D4126,TB!$B$9:$C$1500,2,FALSE))</f>
        <v>Beef Toulouse</v>
      </c>
      <c r="F4126" s="142" t="s">
        <v>2043</v>
      </c>
      <c r="G4126" s="130">
        <v>3.0179999999999998</v>
      </c>
      <c r="H4126" s="10">
        <v>497970</v>
      </c>
      <c r="I4126" s="10"/>
      <c r="J4126" s="79" t="e">
        <f t="shared" si="269"/>
        <v>#VALUE!</v>
      </c>
      <c r="K4126" s="106"/>
      <c r="L4126" s="141"/>
      <c r="M4126" s="132"/>
      <c r="N4126" s="133"/>
      <c r="O4126" s="4"/>
      <c r="P4126" s="4"/>
      <c r="Q4126" s="4"/>
      <c r="R4126" s="4"/>
      <c r="S4126" s="4"/>
      <c r="T4126" s="4"/>
      <c r="U4126" s="4"/>
      <c r="V4126" s="4"/>
      <c r="W4126" s="4"/>
      <c r="X4126" s="4"/>
    </row>
    <row r="4127" spans="1:24" ht="14.25" customHeight="1">
      <c r="A4127" s="4"/>
      <c r="B4127" s="125">
        <v>46203</v>
      </c>
      <c r="C4127" s="126" t="s">
        <v>2040</v>
      </c>
      <c r="D4127" s="15" t="s">
        <v>1765</v>
      </c>
      <c r="E4127" s="10" t="str">
        <f>TRIM(VLOOKUP(D4127,TB!$B$9:$C$1500,2,FALSE))</f>
        <v>Great Chilli / Lombok Besar</v>
      </c>
      <c r="F4127" s="142" t="s">
        <v>2044</v>
      </c>
      <c r="G4127" s="130">
        <v>0.25</v>
      </c>
      <c r="H4127" s="10">
        <v>7000</v>
      </c>
      <c r="I4127" s="10"/>
      <c r="J4127" s="79" t="e">
        <f t="shared" si="269"/>
        <v>#VALUE!</v>
      </c>
      <c r="K4127" s="106"/>
      <c r="L4127" s="141"/>
      <c r="M4127" s="132"/>
      <c r="N4127" s="133"/>
      <c r="O4127" s="4"/>
      <c r="P4127" s="4"/>
      <c r="Q4127" s="4"/>
      <c r="R4127" s="4"/>
      <c r="S4127" s="4"/>
      <c r="T4127" s="4"/>
      <c r="U4127" s="4"/>
      <c r="V4127" s="4"/>
      <c r="W4127" s="4"/>
      <c r="X4127" s="4"/>
    </row>
    <row r="4128" spans="1:24" ht="14.25" customHeight="1">
      <c r="A4128" s="4"/>
      <c r="B4128" s="125">
        <v>46203</v>
      </c>
      <c r="C4128" s="126" t="s">
        <v>2040</v>
      </c>
      <c r="D4128" s="15" t="s">
        <v>1765</v>
      </c>
      <c r="E4128" s="10" t="str">
        <f>TRIM(VLOOKUP(D4128,TB!$B$9:$C$1500,2,FALSE))</f>
        <v>Great Chilli / Lombok Besar</v>
      </c>
      <c r="F4128" s="142" t="s">
        <v>2045</v>
      </c>
      <c r="G4128" s="130">
        <v>0.27</v>
      </c>
      <c r="H4128" s="10">
        <v>15000</v>
      </c>
      <c r="I4128" s="10"/>
      <c r="J4128" s="79" t="e">
        <f t="shared" si="269"/>
        <v>#VALUE!</v>
      </c>
      <c r="K4128" s="106"/>
      <c r="L4128" s="141"/>
      <c r="M4128" s="132"/>
      <c r="N4128" s="133"/>
      <c r="O4128" s="4"/>
      <c r="P4128" s="4"/>
      <c r="Q4128" s="4"/>
      <c r="R4128" s="4"/>
      <c r="S4128" s="4"/>
      <c r="T4128" s="4"/>
      <c r="U4128" s="4"/>
      <c r="V4128" s="4"/>
      <c r="W4128" s="4"/>
      <c r="X4128" s="4"/>
    </row>
    <row r="4129" spans="1:24" ht="14.25" customHeight="1">
      <c r="A4129" s="4"/>
      <c r="B4129" s="125">
        <v>46203</v>
      </c>
      <c r="C4129" s="126" t="s">
        <v>2040</v>
      </c>
      <c r="D4129" s="15" t="s">
        <v>1770</v>
      </c>
      <c r="E4129" s="10" t="str">
        <f>TRIM(VLOOKUP(D4129,TB!$B$9:$C$1500,2,FALSE))</f>
        <v>Ceremony Expenses</v>
      </c>
      <c r="F4129" s="142" t="s">
        <v>1771</v>
      </c>
      <c r="G4129" s="130"/>
      <c r="H4129" s="10">
        <v>327000</v>
      </c>
      <c r="I4129" s="10"/>
      <c r="J4129" s="79" t="e">
        <f t="shared" si="269"/>
        <v>#VALUE!</v>
      </c>
      <c r="K4129" s="106"/>
      <c r="L4129" s="141"/>
      <c r="M4129" s="132"/>
      <c r="N4129" s="133"/>
      <c r="O4129" s="4"/>
      <c r="P4129" s="4"/>
      <c r="Q4129" s="4"/>
      <c r="R4129" s="4"/>
      <c r="S4129" s="4"/>
      <c r="T4129" s="4"/>
      <c r="U4129" s="4"/>
      <c r="V4129" s="4"/>
      <c r="W4129" s="4"/>
      <c r="X4129" s="4"/>
    </row>
    <row r="4130" spans="1:24" ht="14.25" customHeight="1">
      <c r="A4130" s="4"/>
      <c r="B4130" s="125">
        <v>46203</v>
      </c>
      <c r="C4130" s="126" t="s">
        <v>2040</v>
      </c>
      <c r="D4130" s="15" t="s">
        <v>1754</v>
      </c>
      <c r="E4130" s="10" t="str">
        <f>TRIM(VLOOKUP(D4130,TB!$B$9:$C$1500,2,FALSE))</f>
        <v>Ice Cube</v>
      </c>
      <c r="F4130" s="142" t="s">
        <v>2046</v>
      </c>
      <c r="G4130" s="130">
        <v>5</v>
      </c>
      <c r="H4130" s="10">
        <v>60000</v>
      </c>
      <c r="I4130" s="10"/>
      <c r="J4130" s="79" t="e">
        <f t="shared" si="269"/>
        <v>#VALUE!</v>
      </c>
      <c r="K4130" s="106">
        <f>H4130/G4130</f>
        <v>12000</v>
      </c>
      <c r="L4130" s="141"/>
      <c r="M4130" s="132"/>
      <c r="N4130" s="133"/>
      <c r="O4130" s="4"/>
      <c r="P4130" s="4"/>
      <c r="Q4130" s="4"/>
      <c r="R4130" s="4"/>
      <c r="S4130" s="4"/>
      <c r="T4130" s="4"/>
      <c r="U4130" s="4"/>
      <c r="V4130" s="4"/>
      <c r="W4130" s="4"/>
      <c r="X4130" s="4"/>
    </row>
    <row r="4131" spans="1:24" ht="14.25" customHeight="1">
      <c r="A4131" s="4"/>
      <c r="B4131" s="125">
        <v>46203</v>
      </c>
      <c r="C4131" s="126" t="s">
        <v>2040</v>
      </c>
      <c r="D4131" s="15" t="s">
        <v>1745</v>
      </c>
      <c r="E4131" s="10" t="str">
        <f>TRIM(VLOOKUP(D4131,TB!$B$9:$C$1500,2,FALSE))</f>
        <v>Petty Cash IDR - on General Cashier</v>
      </c>
      <c r="F4131" s="142" t="s">
        <v>2047</v>
      </c>
      <c r="G4131" s="130"/>
      <c r="H4131" s="10"/>
      <c r="I4131" s="10">
        <v>954970</v>
      </c>
      <c r="J4131" s="79" t="e">
        <f t="shared" si="269"/>
        <v>#VALUE!</v>
      </c>
      <c r="K4131" s="106"/>
      <c r="L4131" s="141"/>
      <c r="M4131" s="132"/>
      <c r="N4131" s="133"/>
      <c r="O4131" s="4"/>
      <c r="P4131" s="4"/>
      <c r="Q4131" s="4"/>
      <c r="R4131" s="4"/>
      <c r="S4131" s="4"/>
      <c r="T4131" s="4"/>
      <c r="U4131" s="4"/>
      <c r="V4131" s="4"/>
      <c r="W4131" s="4"/>
      <c r="X4131" s="4"/>
    </row>
    <row r="4132" spans="1:24" ht="14.25" customHeight="1">
      <c r="A4132" s="4"/>
      <c r="B4132" s="125"/>
      <c r="C4132" s="126"/>
      <c r="D4132" s="159"/>
      <c r="E4132" s="10" t="e">
        <f>TRIM(VLOOKUP(D4132,TB!$B$9:$C$1500,2,FALSE))</f>
        <v>#N/A</v>
      </c>
      <c r="F4132" s="142"/>
      <c r="G4132" s="130"/>
      <c r="H4132" s="10"/>
      <c r="I4132" s="10"/>
      <c r="J4132" s="79" t="e">
        <f t="shared" si="269"/>
        <v>#VALUE!</v>
      </c>
      <c r="K4132" s="106"/>
      <c r="L4132" s="141"/>
      <c r="M4132" s="132"/>
      <c r="N4132" s="133"/>
      <c r="O4132" s="4"/>
      <c r="P4132" s="4"/>
      <c r="Q4132" s="4"/>
      <c r="R4132" s="4"/>
      <c r="S4132" s="4"/>
      <c r="T4132" s="4"/>
      <c r="U4132" s="4"/>
      <c r="V4132" s="4"/>
      <c r="W4132" s="4"/>
      <c r="X4132" s="4"/>
    </row>
    <row r="4133" spans="1:24" ht="14.25" customHeight="1">
      <c r="A4133" s="4"/>
      <c r="B4133" s="125">
        <v>46203</v>
      </c>
      <c r="C4133" s="126" t="s">
        <v>2048</v>
      </c>
      <c r="D4133" s="15" t="s">
        <v>1745</v>
      </c>
      <c r="E4133" s="10" t="str">
        <f>TRIM(VLOOKUP(D4133,TB!$B$9:$C$1500,2,FALSE))</f>
        <v>Petty Cash IDR - on General Cashier</v>
      </c>
      <c r="F4133" s="191" t="s">
        <v>2049</v>
      </c>
      <c r="G4133" s="130"/>
      <c r="H4133" s="10">
        <v>11226905</v>
      </c>
      <c r="I4133" s="10"/>
      <c r="J4133" s="79" t="e">
        <f t="shared" si="269"/>
        <v>#VALUE!</v>
      </c>
      <c r="K4133" s="106"/>
      <c r="L4133" s="141"/>
      <c r="M4133" s="132"/>
      <c r="N4133" s="133"/>
      <c r="O4133" s="4"/>
      <c r="P4133" s="4"/>
      <c r="Q4133" s="4"/>
      <c r="R4133" s="4"/>
      <c r="S4133" s="4"/>
      <c r="T4133" s="4"/>
      <c r="U4133" s="4"/>
      <c r="V4133" s="4"/>
      <c r="W4133" s="4"/>
      <c r="X4133" s="4"/>
    </row>
    <row r="4134" spans="1:24" ht="14.25" customHeight="1">
      <c r="A4134" s="4"/>
      <c r="B4134" s="125">
        <v>46203</v>
      </c>
      <c r="C4134" s="126" t="s">
        <v>2048</v>
      </c>
      <c r="D4134" s="15" t="s">
        <v>39</v>
      </c>
      <c r="E4134" s="10" t="str">
        <f>TRIM(VLOOKUP(D4134,TB!$B$9:$C$1500,2,FALSE))</f>
        <v>Petty Cash IDR - on Bar Cashier</v>
      </c>
      <c r="F4134" s="191" t="s">
        <v>2049</v>
      </c>
      <c r="G4134" s="130"/>
      <c r="H4134" s="10"/>
      <c r="I4134" s="10">
        <v>11226905</v>
      </c>
      <c r="J4134" s="79" t="e">
        <f t="shared" si="269"/>
        <v>#VALUE!</v>
      </c>
      <c r="K4134" s="106"/>
      <c r="L4134" s="141"/>
      <c r="M4134" s="132"/>
      <c r="N4134" s="133"/>
      <c r="O4134" s="4"/>
      <c r="P4134" s="4"/>
      <c r="Q4134" s="4"/>
      <c r="R4134" s="4"/>
      <c r="S4134" s="4"/>
      <c r="T4134" s="4"/>
      <c r="U4134" s="4"/>
      <c r="V4134" s="4"/>
      <c r="W4134" s="4"/>
      <c r="X4134" s="4"/>
    </row>
    <row r="4135" spans="1:24" ht="14.25" customHeight="1">
      <c r="A4135" s="4"/>
      <c r="B4135" s="125">
        <v>46203</v>
      </c>
      <c r="C4135" s="126" t="s">
        <v>2048</v>
      </c>
      <c r="D4135" s="159" t="s">
        <v>1776</v>
      </c>
      <c r="E4135" s="10" t="str">
        <f>TRIM(VLOOKUP(D4135,TB!$B$9:$C$1500,2,FALSE))</f>
        <v>Marlboro Merah</v>
      </c>
      <c r="F4135" s="142" t="s">
        <v>1913</v>
      </c>
      <c r="G4135" s="130">
        <v>10</v>
      </c>
      <c r="H4135" s="10">
        <v>518000</v>
      </c>
      <c r="I4135" s="10"/>
      <c r="J4135" s="79" t="e">
        <f t="shared" si="269"/>
        <v>#VALUE!</v>
      </c>
      <c r="K4135" s="106"/>
      <c r="L4135" s="141"/>
      <c r="M4135" s="132"/>
      <c r="N4135" s="133"/>
      <c r="O4135" s="4"/>
      <c r="P4135" s="4"/>
      <c r="Q4135" s="4"/>
      <c r="R4135" s="4"/>
      <c r="S4135" s="4"/>
      <c r="T4135" s="4"/>
      <c r="U4135" s="4"/>
      <c r="V4135" s="4"/>
      <c r="W4135" s="4"/>
      <c r="X4135" s="4"/>
    </row>
    <row r="4136" spans="1:24" ht="14.25" customHeight="1">
      <c r="A4136" s="4"/>
      <c r="B4136" s="125">
        <v>46203</v>
      </c>
      <c r="C4136" s="126" t="s">
        <v>2048</v>
      </c>
      <c r="D4136" s="159" t="s">
        <v>1778</v>
      </c>
      <c r="E4136" s="10" t="str">
        <f>TRIM(VLOOKUP(D4136,TB!$B$9:$C$1500,2,FALSE))</f>
        <v>Marlboro Light / GOLD</v>
      </c>
      <c r="F4136" s="142" t="s">
        <v>2014</v>
      </c>
      <c r="G4136" s="130">
        <v>10</v>
      </c>
      <c r="H4136" s="10">
        <v>518000</v>
      </c>
      <c r="I4136" s="10"/>
      <c r="J4136" s="79" t="e">
        <f t="shared" si="269"/>
        <v>#VALUE!</v>
      </c>
      <c r="K4136" s="106"/>
      <c r="L4136" s="141"/>
      <c r="M4136" s="132"/>
      <c r="N4136" s="133"/>
      <c r="O4136" s="4"/>
      <c r="P4136" s="4"/>
      <c r="Q4136" s="4"/>
      <c r="R4136" s="4"/>
      <c r="S4136" s="4"/>
      <c r="T4136" s="4"/>
      <c r="U4136" s="4"/>
      <c r="V4136" s="4"/>
      <c r="W4136" s="4"/>
      <c r="X4136" s="4"/>
    </row>
    <row r="4137" spans="1:24" ht="14.25" customHeight="1">
      <c r="A4137" s="4"/>
      <c r="B4137" s="125">
        <v>46203</v>
      </c>
      <c r="C4137" s="126" t="s">
        <v>2048</v>
      </c>
      <c r="D4137" s="159" t="s">
        <v>1823</v>
      </c>
      <c r="E4137" s="10" t="str">
        <f>TRIM(VLOOKUP(D4137,TB!$B$9:$C$1500,2,FALSE))</f>
        <v>Sampoerna</v>
      </c>
      <c r="F4137" s="142" t="s">
        <v>2050</v>
      </c>
      <c r="G4137" s="130">
        <v>10</v>
      </c>
      <c r="H4137" s="10">
        <v>351000</v>
      </c>
      <c r="I4137" s="10"/>
      <c r="J4137" s="79" t="e">
        <f t="shared" si="269"/>
        <v>#VALUE!</v>
      </c>
      <c r="K4137" s="106"/>
      <c r="L4137" s="141"/>
      <c r="M4137" s="132"/>
      <c r="N4137" s="133"/>
      <c r="O4137" s="4"/>
      <c r="P4137" s="4"/>
      <c r="Q4137" s="4"/>
      <c r="R4137" s="4"/>
      <c r="S4137" s="4"/>
      <c r="T4137" s="4"/>
      <c r="U4137" s="4"/>
      <c r="V4137" s="4"/>
      <c r="W4137" s="4"/>
      <c r="X4137" s="4"/>
    </row>
    <row r="4138" spans="1:24" ht="14.25" customHeight="1">
      <c r="A4138" s="4"/>
      <c r="B4138" s="125">
        <v>46203</v>
      </c>
      <c r="C4138" s="126" t="s">
        <v>2048</v>
      </c>
      <c r="D4138" s="15" t="s">
        <v>933</v>
      </c>
      <c r="E4138" s="10" t="str">
        <f>TRIM(VLOOKUP(D4138,TB!$B$9:$C$1500,2,FALSE))</f>
        <v>Other</v>
      </c>
      <c r="F4138" s="142" t="s">
        <v>2051</v>
      </c>
      <c r="G4138" s="130"/>
      <c r="H4138" s="10">
        <v>61800</v>
      </c>
      <c r="I4138" s="10"/>
      <c r="J4138" s="79" t="e">
        <f t="shared" si="269"/>
        <v>#VALUE!</v>
      </c>
      <c r="K4138" s="106"/>
      <c r="L4138" s="141"/>
      <c r="M4138" s="132"/>
      <c r="N4138" s="133"/>
      <c r="O4138" s="4"/>
      <c r="P4138" s="4"/>
      <c r="Q4138" s="4"/>
      <c r="R4138" s="4"/>
      <c r="S4138" s="4"/>
      <c r="T4138" s="4"/>
      <c r="U4138" s="4"/>
      <c r="V4138" s="4"/>
      <c r="W4138" s="4"/>
      <c r="X4138" s="4"/>
    </row>
    <row r="4139" spans="1:24" ht="14.25" customHeight="1">
      <c r="A4139" s="4"/>
      <c r="B4139" s="125">
        <v>46203</v>
      </c>
      <c r="C4139" s="126" t="s">
        <v>2048</v>
      </c>
      <c r="D4139" s="15" t="s">
        <v>1208</v>
      </c>
      <c r="E4139" s="10" t="str">
        <f>TRIM(VLOOKUP(D4139,TB!$B$9:$C$1500,2,FALSE))</f>
        <v>Telephone/Interne/Pulsa/Courier &amp; Postage</v>
      </c>
      <c r="F4139" s="142" t="s">
        <v>2052</v>
      </c>
      <c r="G4139" s="130"/>
      <c r="H4139" s="10">
        <v>12000</v>
      </c>
      <c r="I4139" s="10"/>
      <c r="J4139" s="79" t="e">
        <f t="shared" si="269"/>
        <v>#VALUE!</v>
      </c>
      <c r="K4139" s="106"/>
      <c r="L4139" s="141"/>
      <c r="M4139" s="132"/>
      <c r="N4139" s="133"/>
      <c r="O4139" s="4"/>
      <c r="P4139" s="4"/>
      <c r="Q4139" s="4"/>
      <c r="R4139" s="4"/>
      <c r="S4139" s="4"/>
      <c r="T4139" s="4"/>
      <c r="U4139" s="4"/>
      <c r="V4139" s="4"/>
      <c r="W4139" s="4"/>
      <c r="X4139" s="4"/>
    </row>
    <row r="4140" spans="1:24" ht="14.25" customHeight="1">
      <c r="A4140" s="4"/>
      <c r="B4140" s="125">
        <v>46203</v>
      </c>
      <c r="C4140" s="126" t="s">
        <v>2048</v>
      </c>
      <c r="D4140" s="15" t="s">
        <v>1208</v>
      </c>
      <c r="E4140" s="10" t="str">
        <f>TRIM(VLOOKUP(D4140,TB!$B$9:$C$1500,2,FALSE))</f>
        <v>Telephone/Interne/Pulsa/Courier &amp; Postage</v>
      </c>
      <c r="F4140" s="142" t="s">
        <v>2052</v>
      </c>
      <c r="G4140" s="130"/>
      <c r="H4140" s="10">
        <v>5000</v>
      </c>
      <c r="I4140" s="10"/>
      <c r="J4140" s="79" t="e">
        <f t="shared" si="269"/>
        <v>#VALUE!</v>
      </c>
      <c r="K4140" s="106"/>
      <c r="L4140" s="141"/>
      <c r="M4140" s="132"/>
      <c r="N4140" s="133"/>
      <c r="O4140" s="4"/>
      <c r="P4140" s="4"/>
      <c r="Q4140" s="4"/>
      <c r="R4140" s="4"/>
      <c r="S4140" s="4"/>
      <c r="T4140" s="4"/>
      <c r="U4140" s="4"/>
      <c r="V4140" s="4"/>
      <c r="W4140" s="4"/>
      <c r="X4140" s="4"/>
    </row>
    <row r="4141" spans="1:24" ht="14.25" customHeight="1">
      <c r="A4141" s="4"/>
      <c r="B4141" s="125">
        <v>46203</v>
      </c>
      <c r="C4141" s="126" t="s">
        <v>2048</v>
      </c>
      <c r="D4141" s="15" t="s">
        <v>1754</v>
      </c>
      <c r="E4141" s="10" t="str">
        <f>TRIM(VLOOKUP(D4141,TB!$B$9:$C$1500,2,FALSE))</f>
        <v>Ice Cube</v>
      </c>
      <c r="F4141" s="142" t="s">
        <v>2053</v>
      </c>
      <c r="G4141" s="130">
        <v>10</v>
      </c>
      <c r="H4141" s="10">
        <v>120000</v>
      </c>
      <c r="I4141" s="10"/>
      <c r="J4141" s="79" t="e">
        <f t="shared" si="269"/>
        <v>#VALUE!</v>
      </c>
      <c r="K4141" s="106">
        <f t="shared" ref="K4141:K4142" si="271">H4141/G4141</f>
        <v>12000</v>
      </c>
      <c r="L4141" s="141"/>
      <c r="M4141" s="132"/>
      <c r="N4141" s="133"/>
      <c r="O4141" s="4"/>
      <c r="P4141" s="4"/>
      <c r="Q4141" s="4"/>
      <c r="R4141" s="4"/>
      <c r="S4141" s="4"/>
      <c r="T4141" s="4"/>
      <c r="U4141" s="4"/>
      <c r="V4141" s="4"/>
      <c r="W4141" s="4"/>
      <c r="X4141" s="4"/>
    </row>
    <row r="4142" spans="1:24" ht="14.25" customHeight="1">
      <c r="A4142" s="4"/>
      <c r="B4142" s="125">
        <v>46203</v>
      </c>
      <c r="C4142" s="126" t="s">
        <v>2048</v>
      </c>
      <c r="D4142" s="15" t="s">
        <v>1754</v>
      </c>
      <c r="E4142" s="10" t="str">
        <f>TRIM(VLOOKUP(D4142,TB!$B$9:$C$1500,2,FALSE))</f>
        <v>Ice Cube</v>
      </c>
      <c r="F4142" s="142" t="s">
        <v>2054</v>
      </c>
      <c r="G4142" s="130">
        <v>6</v>
      </c>
      <c r="H4142" s="10">
        <v>48000</v>
      </c>
      <c r="I4142" s="10"/>
      <c r="J4142" s="79" t="e">
        <f t="shared" si="269"/>
        <v>#VALUE!</v>
      </c>
      <c r="K4142" s="106">
        <f t="shared" si="271"/>
        <v>8000</v>
      </c>
      <c r="L4142" s="141"/>
      <c r="M4142" s="132"/>
      <c r="N4142" s="133"/>
      <c r="O4142" s="4"/>
      <c r="P4142" s="4"/>
      <c r="Q4142" s="4"/>
      <c r="R4142" s="4"/>
      <c r="S4142" s="4"/>
      <c r="T4142" s="4"/>
      <c r="U4142" s="4"/>
      <c r="V4142" s="4"/>
      <c r="W4142" s="4"/>
      <c r="X4142" s="4"/>
    </row>
    <row r="4143" spans="1:24" ht="14.25" customHeight="1">
      <c r="A4143" s="4"/>
      <c r="B4143" s="125">
        <v>46203</v>
      </c>
      <c r="C4143" s="126" t="s">
        <v>2048</v>
      </c>
      <c r="D4143" s="15" t="s">
        <v>1745</v>
      </c>
      <c r="E4143" s="10" t="str">
        <f>TRIM(VLOOKUP(D4143,TB!$B$9:$C$1500,2,FALSE))</f>
        <v>Petty Cash IDR - on General Cashier</v>
      </c>
      <c r="F4143" s="142" t="s">
        <v>2055</v>
      </c>
      <c r="G4143" s="130"/>
      <c r="H4143" s="10"/>
      <c r="I4143" s="10">
        <v>1633800</v>
      </c>
      <c r="J4143" s="79" t="e">
        <f t="shared" si="269"/>
        <v>#VALUE!</v>
      </c>
      <c r="K4143" s="106"/>
      <c r="L4143" s="141"/>
      <c r="M4143" s="132"/>
      <c r="N4143" s="133"/>
      <c r="O4143" s="4"/>
      <c r="P4143" s="4"/>
      <c r="Q4143" s="4"/>
      <c r="R4143" s="4"/>
      <c r="S4143" s="4"/>
      <c r="T4143" s="4"/>
      <c r="U4143" s="4"/>
      <c r="V4143" s="4"/>
      <c r="W4143" s="4"/>
      <c r="X4143" s="4"/>
    </row>
    <row r="4144" spans="1:24" ht="14.25" customHeight="1">
      <c r="A4144" s="4"/>
      <c r="B4144" s="125"/>
      <c r="C4144" s="126"/>
      <c r="D4144" s="159"/>
      <c r="E4144" s="10" t="e">
        <f>TRIM(VLOOKUP(D4144,TB!$B$9:$C$1500,2,FALSE))</f>
        <v>#N/A</v>
      </c>
      <c r="F4144" s="142"/>
      <c r="G4144" s="130"/>
      <c r="H4144" s="10"/>
      <c r="I4144" s="10"/>
      <c r="J4144" s="79" t="e">
        <f t="shared" si="269"/>
        <v>#VALUE!</v>
      </c>
      <c r="K4144" s="106"/>
      <c r="L4144" s="141"/>
      <c r="M4144" s="132"/>
      <c r="N4144" s="133"/>
      <c r="O4144" s="4"/>
      <c r="P4144" s="4"/>
      <c r="Q4144" s="4"/>
      <c r="R4144" s="4"/>
      <c r="S4144" s="4"/>
      <c r="T4144" s="4"/>
      <c r="U4144" s="4"/>
      <c r="V4144" s="4"/>
      <c r="W4144" s="4"/>
      <c r="X4144" s="4"/>
    </row>
    <row r="4145" spans="1:24" ht="14.25" customHeight="1">
      <c r="A4145" s="4"/>
      <c r="B4145" s="125"/>
      <c r="C4145" s="126"/>
      <c r="D4145" s="159"/>
      <c r="E4145" s="10" t="e">
        <f>TRIM(VLOOKUP(D4145,TB!$B$9:$C$1500,2,FALSE))</f>
        <v>#N/A</v>
      </c>
      <c r="F4145" s="142"/>
      <c r="G4145" s="130"/>
      <c r="H4145" s="10"/>
      <c r="I4145" s="10"/>
      <c r="J4145" s="79" t="e">
        <f t="shared" si="269"/>
        <v>#VALUE!</v>
      </c>
      <c r="K4145" s="106"/>
      <c r="L4145" s="141"/>
      <c r="M4145" s="132"/>
      <c r="N4145" s="133"/>
      <c r="O4145" s="4"/>
      <c r="P4145" s="4"/>
      <c r="Q4145" s="4"/>
      <c r="R4145" s="4"/>
      <c r="S4145" s="4"/>
      <c r="T4145" s="4"/>
      <c r="U4145" s="4"/>
      <c r="V4145" s="4"/>
      <c r="W4145" s="4"/>
      <c r="X4145" s="4"/>
    </row>
    <row r="4146" spans="1:24" ht="14.25" customHeight="1">
      <c r="A4146" s="4"/>
      <c r="B4146" s="144"/>
      <c r="C4146" s="145"/>
      <c r="D4146" s="189"/>
      <c r="E4146" s="147" t="e">
        <f>TRIM(VLOOKUP(D4146,TB!$B$9:$C$1500,2,FALSE))</f>
        <v>#N/A</v>
      </c>
      <c r="F4146" s="4"/>
      <c r="G4146" s="148"/>
      <c r="H4146" s="147"/>
      <c r="I4146" s="147"/>
      <c r="J4146" s="79" t="e">
        <f t="shared" si="269"/>
        <v>#VALUE!</v>
      </c>
      <c r="K4146" s="106"/>
      <c r="L4146" s="141"/>
      <c r="M4146" s="132"/>
      <c r="N4146" s="133"/>
      <c r="O4146" s="4"/>
      <c r="P4146" s="4"/>
      <c r="Q4146" s="4"/>
      <c r="R4146" s="4"/>
      <c r="S4146" s="4"/>
      <c r="T4146" s="4"/>
      <c r="U4146" s="4"/>
      <c r="V4146" s="4"/>
      <c r="W4146" s="4"/>
      <c r="X4146" s="4"/>
    </row>
    <row r="4147" spans="1:24" ht="14.25" customHeight="1">
      <c r="A4147" s="4"/>
      <c r="B4147" s="149"/>
      <c r="C4147" s="150"/>
      <c r="D4147" s="190"/>
      <c r="E4147" s="152" t="e">
        <f>TRIM(VLOOKUP(D4147,TB!$B$9:$C$1500,2,FALSE))</f>
        <v>#N/A</v>
      </c>
      <c r="F4147" s="153"/>
      <c r="G4147" s="154"/>
      <c r="H4147" s="152"/>
      <c r="I4147" s="152"/>
      <c r="J4147" s="79" t="e">
        <f t="shared" si="269"/>
        <v>#VALUE!</v>
      </c>
      <c r="K4147" s="106"/>
      <c r="L4147" s="141"/>
      <c r="M4147" s="132"/>
      <c r="N4147" s="133"/>
      <c r="O4147" s="4"/>
      <c r="P4147" s="4"/>
      <c r="Q4147" s="4"/>
      <c r="R4147" s="4"/>
      <c r="S4147" s="4"/>
      <c r="T4147" s="4"/>
      <c r="U4147" s="4"/>
      <c r="V4147" s="4"/>
      <c r="W4147" s="4"/>
      <c r="X4147" s="4"/>
    </row>
    <row r="4148" spans="1:24" ht="14.25" customHeight="1">
      <c r="A4148" s="4"/>
      <c r="B4148" s="125">
        <v>46174</v>
      </c>
      <c r="C4148" s="126" t="s">
        <v>2056</v>
      </c>
      <c r="D4148" s="15" t="s">
        <v>2057</v>
      </c>
      <c r="E4148" s="10" t="str">
        <f>TRIM(VLOOKUP(D4148,TB!$B$9:$C$1500,2,FALSE))</f>
        <v>Capsicum/Paprika</v>
      </c>
      <c r="F4148" s="142" t="s">
        <v>2058</v>
      </c>
      <c r="G4148" s="130">
        <v>0.55000000000000004</v>
      </c>
      <c r="H4148" s="10">
        <f>70000*0.55</f>
        <v>38500</v>
      </c>
      <c r="I4148" s="10"/>
      <c r="J4148" s="79" t="e">
        <f t="shared" si="269"/>
        <v>#VALUE!</v>
      </c>
      <c r="K4148" s="106">
        <f t="shared" ref="K4148:K4164" si="272">H4148/G4148</f>
        <v>70000</v>
      </c>
      <c r="L4148" s="141"/>
      <c r="M4148" s="132"/>
      <c r="N4148" s="133"/>
      <c r="O4148" s="4"/>
      <c r="P4148" s="4"/>
      <c r="Q4148" s="4"/>
      <c r="R4148" s="4"/>
      <c r="S4148" s="4"/>
      <c r="T4148" s="4"/>
      <c r="U4148" s="4"/>
      <c r="V4148" s="4"/>
      <c r="W4148" s="4"/>
      <c r="X4148" s="4"/>
    </row>
    <row r="4149" spans="1:24" ht="14.25" customHeight="1">
      <c r="A4149" s="4"/>
      <c r="B4149" s="125">
        <v>46174</v>
      </c>
      <c r="C4149" s="126" t="s">
        <v>2056</v>
      </c>
      <c r="D4149" s="15" t="s">
        <v>2057</v>
      </c>
      <c r="E4149" s="10" t="str">
        <f>TRIM(VLOOKUP(D4149,TB!$B$9:$C$1500,2,FALSE))</f>
        <v>Capsicum/Paprika</v>
      </c>
      <c r="F4149" s="142" t="s">
        <v>2059</v>
      </c>
      <c r="G4149" s="130">
        <v>0.57999999999999996</v>
      </c>
      <c r="H4149" s="10">
        <f>100000*0.58</f>
        <v>57999.999999999993</v>
      </c>
      <c r="I4149" s="10"/>
      <c r="J4149" s="79" t="e">
        <f t="shared" si="269"/>
        <v>#VALUE!</v>
      </c>
      <c r="K4149" s="106">
        <f t="shared" si="272"/>
        <v>100000</v>
      </c>
      <c r="L4149" s="141"/>
      <c r="M4149" s="132"/>
      <c r="N4149" s="133"/>
      <c r="O4149" s="4"/>
      <c r="P4149" s="4"/>
      <c r="Q4149" s="4"/>
      <c r="R4149" s="4"/>
      <c r="S4149" s="4"/>
      <c r="T4149" s="4"/>
      <c r="U4149" s="4"/>
      <c r="V4149" s="4"/>
      <c r="W4149" s="4"/>
      <c r="X4149" s="4"/>
    </row>
    <row r="4150" spans="1:24" ht="14.25" customHeight="1">
      <c r="A4150" s="4"/>
      <c r="B4150" s="125">
        <v>46174</v>
      </c>
      <c r="C4150" s="126" t="s">
        <v>2056</v>
      </c>
      <c r="D4150" s="15" t="s">
        <v>2057</v>
      </c>
      <c r="E4150" s="10" t="str">
        <f>TRIM(VLOOKUP(D4150,TB!$B$9:$C$1500,2,FALSE))</f>
        <v>Capsicum/Paprika</v>
      </c>
      <c r="F4150" s="142" t="s">
        <v>2060</v>
      </c>
      <c r="G4150" s="130">
        <v>0.55000000000000004</v>
      </c>
      <c r="H4150" s="10">
        <f>65000*0.55</f>
        <v>35750</v>
      </c>
      <c r="I4150" s="10"/>
      <c r="J4150" s="79" t="e">
        <f t="shared" si="269"/>
        <v>#VALUE!</v>
      </c>
      <c r="K4150" s="106">
        <f t="shared" si="272"/>
        <v>64999.999999999993</v>
      </c>
      <c r="L4150" s="141"/>
      <c r="M4150" s="132"/>
      <c r="N4150" s="133"/>
      <c r="O4150" s="4"/>
      <c r="P4150" s="4"/>
      <c r="Q4150" s="4"/>
      <c r="R4150" s="4"/>
      <c r="S4150" s="4"/>
      <c r="T4150" s="4"/>
      <c r="U4150" s="4"/>
      <c r="V4150" s="4"/>
      <c r="W4150" s="4"/>
      <c r="X4150" s="4"/>
    </row>
    <row r="4151" spans="1:24" ht="14.25" customHeight="1">
      <c r="A4151" s="4"/>
      <c r="B4151" s="125">
        <v>46174</v>
      </c>
      <c r="C4151" s="126" t="s">
        <v>2056</v>
      </c>
      <c r="D4151" s="15" t="s">
        <v>1886</v>
      </c>
      <c r="E4151" s="10" t="str">
        <f>TRIM(VLOOKUP(D4151,TB!$B$9:$C$1500,2,FALSE))</f>
        <v>Ruccola</v>
      </c>
      <c r="F4151" s="142" t="s">
        <v>2061</v>
      </c>
      <c r="G4151" s="168">
        <v>0.5</v>
      </c>
      <c r="H4151" s="10">
        <f>80000*0.5</f>
        <v>40000</v>
      </c>
      <c r="I4151" s="10"/>
      <c r="J4151" s="79" t="e">
        <f t="shared" si="269"/>
        <v>#VALUE!</v>
      </c>
      <c r="K4151" s="106">
        <f t="shared" si="272"/>
        <v>80000</v>
      </c>
      <c r="L4151" s="141"/>
      <c r="M4151" s="132"/>
      <c r="N4151" s="133"/>
      <c r="O4151" s="4"/>
      <c r="P4151" s="4"/>
      <c r="Q4151" s="4"/>
      <c r="R4151" s="4"/>
      <c r="S4151" s="4"/>
      <c r="T4151" s="4"/>
      <c r="U4151" s="4"/>
      <c r="V4151" s="4"/>
      <c r="W4151" s="4"/>
      <c r="X4151" s="4"/>
    </row>
    <row r="4152" spans="1:24" ht="14.25" customHeight="1">
      <c r="A4152" s="4"/>
      <c r="B4152" s="125">
        <v>46174</v>
      </c>
      <c r="C4152" s="126" t="s">
        <v>2056</v>
      </c>
      <c r="D4152" s="15" t="s">
        <v>2062</v>
      </c>
      <c r="E4152" s="10" t="str">
        <f>TRIM(VLOOKUP(D4152,TB!$B$9:$C$1500,2,FALSE))</f>
        <v>Mushrooms Button</v>
      </c>
      <c r="F4152" s="142" t="s">
        <v>2063</v>
      </c>
      <c r="G4152" s="168">
        <v>0.5</v>
      </c>
      <c r="H4152" s="10">
        <f>45000*0.5</f>
        <v>22500</v>
      </c>
      <c r="I4152" s="10"/>
      <c r="J4152" s="79" t="e">
        <f t="shared" si="269"/>
        <v>#VALUE!</v>
      </c>
      <c r="K4152" s="106">
        <f t="shared" si="272"/>
        <v>45000</v>
      </c>
      <c r="L4152" s="141"/>
      <c r="M4152" s="132"/>
      <c r="N4152" s="133"/>
      <c r="O4152" s="4"/>
      <c r="P4152" s="4"/>
      <c r="Q4152" s="4"/>
      <c r="R4152" s="4"/>
      <c r="S4152" s="4"/>
      <c r="T4152" s="4"/>
      <c r="U4152" s="4"/>
      <c r="V4152" s="4"/>
      <c r="W4152" s="4"/>
      <c r="X4152" s="4"/>
    </row>
    <row r="4153" spans="1:24" ht="14.25" customHeight="1">
      <c r="A4153" s="4"/>
      <c r="B4153" s="125">
        <v>46174</v>
      </c>
      <c r="C4153" s="126" t="s">
        <v>2056</v>
      </c>
      <c r="D4153" s="15" t="s">
        <v>2064</v>
      </c>
      <c r="E4153" s="10" t="str">
        <f>TRIM(VLOOKUP(D4153,TB!$B$9:$C$1500,2,FALSE))</f>
        <v>Baby Spinach</v>
      </c>
      <c r="F4153" s="142" t="s">
        <v>2065</v>
      </c>
      <c r="G4153" s="168">
        <v>0.25</v>
      </c>
      <c r="H4153" s="10">
        <f>160000*0.25</f>
        <v>40000</v>
      </c>
      <c r="I4153" s="10"/>
      <c r="J4153" s="79" t="e">
        <f t="shared" si="269"/>
        <v>#VALUE!</v>
      </c>
      <c r="K4153" s="106">
        <f t="shared" si="272"/>
        <v>160000</v>
      </c>
      <c r="L4153" s="141"/>
      <c r="M4153" s="132"/>
      <c r="N4153" s="133"/>
      <c r="O4153" s="4"/>
      <c r="P4153" s="4"/>
      <c r="Q4153" s="4"/>
      <c r="R4153" s="4"/>
      <c r="S4153" s="4"/>
      <c r="T4153" s="4"/>
      <c r="U4153" s="4"/>
      <c r="V4153" s="4"/>
      <c r="W4153" s="4"/>
      <c r="X4153" s="4"/>
    </row>
    <row r="4154" spans="1:24" ht="14.25" customHeight="1">
      <c r="A4154" s="4"/>
      <c r="B4154" s="125">
        <v>46174</v>
      </c>
      <c r="C4154" s="126" t="s">
        <v>2056</v>
      </c>
      <c r="D4154" s="15" t="s">
        <v>2066</v>
      </c>
      <c r="E4154" s="10" t="str">
        <f>TRIM(VLOOKUP(D4154,TB!$B$9:$C$1500,2,FALSE))</f>
        <v>Knor Chicken</v>
      </c>
      <c r="F4154" s="142" t="s">
        <v>2067</v>
      </c>
      <c r="G4154" s="130">
        <v>1</v>
      </c>
      <c r="H4154" s="10">
        <v>110000</v>
      </c>
      <c r="I4154" s="10"/>
      <c r="J4154" s="79" t="e">
        <f t="shared" si="269"/>
        <v>#VALUE!</v>
      </c>
      <c r="K4154" s="106">
        <f t="shared" si="272"/>
        <v>110000</v>
      </c>
      <c r="L4154" s="141"/>
      <c r="M4154" s="132"/>
      <c r="N4154" s="133"/>
      <c r="O4154" s="4"/>
      <c r="P4154" s="4"/>
      <c r="Q4154" s="4"/>
      <c r="R4154" s="4"/>
      <c r="S4154" s="4"/>
      <c r="T4154" s="4"/>
      <c r="U4154" s="4"/>
      <c r="V4154" s="4"/>
      <c r="W4154" s="4"/>
      <c r="X4154" s="4"/>
    </row>
    <row r="4155" spans="1:24" ht="14.25" customHeight="1">
      <c r="A4155" s="4"/>
      <c r="B4155" s="125">
        <v>46174</v>
      </c>
      <c r="C4155" s="126" t="s">
        <v>2056</v>
      </c>
      <c r="D4155" s="15" t="s">
        <v>2033</v>
      </c>
      <c r="E4155" s="10" t="str">
        <f>TRIM(VLOOKUP(D4155,TB!$B$9:$C$1500,2,FALSE))</f>
        <v>Potato</v>
      </c>
      <c r="F4155" s="142" t="s">
        <v>2068</v>
      </c>
      <c r="G4155" s="130">
        <v>5</v>
      </c>
      <c r="H4155" s="10">
        <f>19000*5</f>
        <v>95000</v>
      </c>
      <c r="I4155" s="10"/>
      <c r="J4155" s="79" t="e">
        <f t="shared" si="269"/>
        <v>#VALUE!</v>
      </c>
      <c r="K4155" s="106">
        <f t="shared" si="272"/>
        <v>19000</v>
      </c>
      <c r="L4155" s="141"/>
      <c r="M4155" s="132"/>
      <c r="N4155" s="133"/>
      <c r="O4155" s="4"/>
      <c r="P4155" s="4"/>
      <c r="Q4155" s="4"/>
      <c r="R4155" s="4"/>
      <c r="S4155" s="4"/>
      <c r="T4155" s="4"/>
      <c r="U4155" s="4"/>
      <c r="V4155" s="4"/>
      <c r="W4155" s="4"/>
      <c r="X4155" s="4"/>
    </row>
    <row r="4156" spans="1:24" ht="14.25" customHeight="1">
      <c r="A4156" s="4"/>
      <c r="B4156" s="125">
        <v>46174</v>
      </c>
      <c r="C4156" s="126" t="s">
        <v>2056</v>
      </c>
      <c r="D4156" s="15" t="s">
        <v>2069</v>
      </c>
      <c r="E4156" s="10" t="str">
        <f>TRIM(VLOOKUP(D4156,TB!$B$9:$C$1500,2,FALSE))</f>
        <v>Apple Fruit</v>
      </c>
      <c r="F4156" s="142" t="s">
        <v>2070</v>
      </c>
      <c r="G4156" s="130">
        <v>0.35</v>
      </c>
      <c r="H4156" s="10">
        <f>43000*0.35</f>
        <v>15049.999999999998</v>
      </c>
      <c r="I4156" s="10"/>
      <c r="J4156" s="79" t="e">
        <f t="shared" si="269"/>
        <v>#VALUE!</v>
      </c>
      <c r="K4156" s="106">
        <f t="shared" si="272"/>
        <v>43000</v>
      </c>
      <c r="L4156" s="141"/>
      <c r="M4156" s="132"/>
      <c r="N4156" s="133"/>
      <c r="O4156" s="4"/>
      <c r="P4156" s="4"/>
      <c r="Q4156" s="4"/>
      <c r="R4156" s="4"/>
      <c r="S4156" s="4"/>
      <c r="T4156" s="4"/>
      <c r="U4156" s="4"/>
      <c r="V4156" s="4"/>
      <c r="W4156" s="4"/>
      <c r="X4156" s="4"/>
    </row>
    <row r="4157" spans="1:24" ht="14.25" customHeight="1">
      <c r="A4157" s="4"/>
      <c r="B4157" s="125">
        <v>46174</v>
      </c>
      <c r="C4157" s="126" t="s">
        <v>2056</v>
      </c>
      <c r="D4157" s="15" t="s">
        <v>1765</v>
      </c>
      <c r="E4157" s="10" t="str">
        <f>TRIM(VLOOKUP(D4157,TB!$B$9:$C$1500,2,FALSE))</f>
        <v>Great Chilli / Lombok Besar</v>
      </c>
      <c r="F4157" s="142" t="s">
        <v>2071</v>
      </c>
      <c r="G4157" s="168">
        <v>0.3</v>
      </c>
      <c r="H4157" s="10">
        <f>50000*0.3</f>
        <v>15000</v>
      </c>
      <c r="I4157" s="10"/>
      <c r="J4157" s="79" t="e">
        <f t="shared" si="269"/>
        <v>#VALUE!</v>
      </c>
      <c r="K4157" s="106">
        <f t="shared" si="272"/>
        <v>50000</v>
      </c>
      <c r="L4157" s="141"/>
      <c r="M4157" s="132"/>
      <c r="N4157" s="133"/>
      <c r="O4157" s="4"/>
      <c r="P4157" s="4"/>
      <c r="Q4157" s="4"/>
      <c r="R4157" s="4"/>
      <c r="S4157" s="4"/>
      <c r="T4157" s="4"/>
      <c r="U4157" s="4"/>
      <c r="V4157" s="4"/>
      <c r="W4157" s="4"/>
      <c r="X4157" s="4"/>
    </row>
    <row r="4158" spans="1:24" ht="14.25" customHeight="1">
      <c r="A4158" s="4"/>
      <c r="B4158" s="125">
        <v>46174</v>
      </c>
      <c r="C4158" s="126" t="s">
        <v>2056</v>
      </c>
      <c r="D4158" s="15" t="s">
        <v>1928</v>
      </c>
      <c r="E4158" s="10" t="str">
        <f>TRIM(VLOOKUP(D4158,TB!$B$9:$C$1500,2,FALSE))</f>
        <v>Tomato 1 Kg</v>
      </c>
      <c r="F4158" s="142" t="s">
        <v>2072</v>
      </c>
      <c r="G4158" s="130">
        <v>1</v>
      </c>
      <c r="H4158" s="10">
        <v>20000</v>
      </c>
      <c r="I4158" s="10"/>
      <c r="J4158" s="79" t="e">
        <f t="shared" si="269"/>
        <v>#VALUE!</v>
      </c>
      <c r="K4158" s="106">
        <f t="shared" si="272"/>
        <v>20000</v>
      </c>
      <c r="L4158" s="141"/>
      <c r="M4158" s="132"/>
      <c r="N4158" s="133"/>
      <c r="O4158" s="4"/>
      <c r="P4158" s="4"/>
      <c r="Q4158" s="4"/>
      <c r="R4158" s="4"/>
      <c r="S4158" s="4"/>
      <c r="T4158" s="4"/>
      <c r="U4158" s="4"/>
      <c r="V4158" s="4"/>
      <c r="W4158" s="4"/>
      <c r="X4158" s="4"/>
    </row>
    <row r="4159" spans="1:24" ht="14.25" customHeight="1">
      <c r="A4159" s="4"/>
      <c r="B4159" s="125">
        <v>46174</v>
      </c>
      <c r="C4159" s="126" t="s">
        <v>2056</v>
      </c>
      <c r="D4159" s="15" t="s">
        <v>1877</v>
      </c>
      <c r="E4159" s="10" t="str">
        <f>TRIM(VLOOKUP(D4159,TB!$B$9:$C$1500,2,FALSE))</f>
        <v>Pok Coy</v>
      </c>
      <c r="F4159" s="142" t="s">
        <v>2073</v>
      </c>
      <c r="G4159" s="130">
        <v>1</v>
      </c>
      <c r="H4159" s="10">
        <v>15000</v>
      </c>
      <c r="I4159" s="10"/>
      <c r="J4159" s="79" t="e">
        <f t="shared" si="269"/>
        <v>#VALUE!</v>
      </c>
      <c r="K4159" s="106">
        <f t="shared" si="272"/>
        <v>15000</v>
      </c>
      <c r="L4159" s="141"/>
      <c r="M4159" s="132"/>
      <c r="N4159" s="133"/>
      <c r="O4159" s="4"/>
      <c r="P4159" s="4"/>
      <c r="Q4159" s="4"/>
      <c r="R4159" s="4"/>
      <c r="S4159" s="4"/>
      <c r="T4159" s="4"/>
      <c r="U4159" s="4"/>
      <c r="V4159" s="4"/>
      <c r="W4159" s="4"/>
      <c r="X4159" s="4"/>
    </row>
    <row r="4160" spans="1:24" ht="14.25" customHeight="1">
      <c r="A4160" s="4"/>
      <c r="B4160" s="125">
        <v>46174</v>
      </c>
      <c r="C4160" s="126" t="s">
        <v>2056</v>
      </c>
      <c r="D4160" s="15" t="s">
        <v>1888</v>
      </c>
      <c r="E4160" s="10" t="str">
        <f>TRIM(VLOOKUP(D4160,TB!$B$9:$C$1500,2,FALSE))</f>
        <v>Romaine</v>
      </c>
      <c r="F4160" s="142" t="s">
        <v>2074</v>
      </c>
      <c r="G4160" s="168">
        <v>0.5</v>
      </c>
      <c r="H4160" s="10">
        <f>50000*0.5</f>
        <v>25000</v>
      </c>
      <c r="I4160" s="10"/>
      <c r="J4160" s="79" t="e">
        <f t="shared" si="269"/>
        <v>#VALUE!</v>
      </c>
      <c r="K4160" s="106">
        <f t="shared" si="272"/>
        <v>50000</v>
      </c>
      <c r="L4160" s="141"/>
      <c r="M4160" s="132"/>
      <c r="N4160" s="133"/>
      <c r="O4160" s="4"/>
      <c r="P4160" s="4"/>
      <c r="Q4160" s="4"/>
      <c r="R4160" s="4"/>
      <c r="S4160" s="4"/>
      <c r="T4160" s="4"/>
      <c r="U4160" s="4"/>
      <c r="V4160" s="4"/>
      <c r="W4160" s="4"/>
      <c r="X4160" s="4"/>
    </row>
    <row r="4161" spans="1:24" ht="14.25" customHeight="1">
      <c r="A4161" s="4"/>
      <c r="B4161" s="125">
        <v>46174</v>
      </c>
      <c r="C4161" s="126" t="s">
        <v>2056</v>
      </c>
      <c r="D4161" s="15" t="s">
        <v>1926</v>
      </c>
      <c r="E4161" s="10" t="str">
        <f>TRIM(VLOOKUP(D4161,TB!$B$9:$C$1500,2,FALSE))</f>
        <v>Cherri Tomato</v>
      </c>
      <c r="F4161" s="142" t="s">
        <v>2075</v>
      </c>
      <c r="G4161" s="168">
        <v>0.25</v>
      </c>
      <c r="H4161" s="10">
        <f>35000*0.25</f>
        <v>8750</v>
      </c>
      <c r="I4161" s="10"/>
      <c r="J4161" s="79" t="e">
        <f t="shared" si="269"/>
        <v>#VALUE!</v>
      </c>
      <c r="K4161" s="106">
        <f t="shared" si="272"/>
        <v>35000</v>
      </c>
      <c r="L4161" s="141"/>
      <c r="M4161" s="132"/>
      <c r="N4161" s="133"/>
      <c r="O4161" s="4"/>
      <c r="P4161" s="4"/>
      <c r="Q4161" s="4"/>
      <c r="R4161" s="4"/>
      <c r="S4161" s="4"/>
      <c r="T4161" s="4"/>
      <c r="U4161" s="4"/>
      <c r="V4161" s="4"/>
      <c r="W4161" s="4"/>
      <c r="X4161" s="4"/>
    </row>
    <row r="4162" spans="1:24" ht="14.25" customHeight="1">
      <c r="A4162" s="4"/>
      <c r="B4162" s="125">
        <v>46174</v>
      </c>
      <c r="C4162" s="126" t="s">
        <v>2056</v>
      </c>
      <c r="D4162" s="15" t="s">
        <v>2076</v>
      </c>
      <c r="E4162" s="10" t="str">
        <f>TRIM(VLOOKUP(D4162,TB!$B$9:$C$1500,2,FALSE))</f>
        <v>Buncis</v>
      </c>
      <c r="F4162" s="142" t="s">
        <v>2077</v>
      </c>
      <c r="G4162" s="168">
        <v>0.5</v>
      </c>
      <c r="H4162" s="10">
        <f>14000*0.5</f>
        <v>7000</v>
      </c>
      <c r="I4162" s="10"/>
      <c r="J4162" s="79" t="e">
        <f t="shared" si="269"/>
        <v>#VALUE!</v>
      </c>
      <c r="K4162" s="106">
        <f t="shared" si="272"/>
        <v>14000</v>
      </c>
      <c r="L4162" s="141"/>
      <c r="M4162" s="132"/>
      <c r="N4162" s="133"/>
      <c r="O4162" s="4"/>
      <c r="P4162" s="4"/>
      <c r="Q4162" s="4"/>
      <c r="R4162" s="4"/>
      <c r="S4162" s="4"/>
      <c r="T4162" s="4"/>
      <c r="U4162" s="4"/>
      <c r="V4162" s="4"/>
      <c r="W4162" s="4"/>
      <c r="X4162" s="4"/>
    </row>
    <row r="4163" spans="1:24" ht="14.25" customHeight="1">
      <c r="A4163" s="4"/>
      <c r="B4163" s="125">
        <v>46174</v>
      </c>
      <c r="C4163" s="126" t="s">
        <v>2056</v>
      </c>
      <c r="D4163" s="15" t="s">
        <v>1924</v>
      </c>
      <c r="E4163" s="10" t="str">
        <f>TRIM(VLOOKUP(D4163,TB!$B$9:$C$1500,2,FALSE))</f>
        <v>Coriander</v>
      </c>
      <c r="F4163" s="142" t="s">
        <v>2078</v>
      </c>
      <c r="G4163" s="130">
        <v>0.1</v>
      </c>
      <c r="H4163" s="10">
        <f>150000*0.1</f>
        <v>15000</v>
      </c>
      <c r="I4163" s="10"/>
      <c r="J4163" s="79" t="e">
        <f t="shared" si="269"/>
        <v>#VALUE!</v>
      </c>
      <c r="K4163" s="106">
        <f t="shared" si="272"/>
        <v>150000</v>
      </c>
      <c r="L4163" s="141"/>
      <c r="M4163" s="132"/>
      <c r="N4163" s="133"/>
      <c r="O4163" s="4"/>
      <c r="P4163" s="4"/>
      <c r="Q4163" s="4"/>
      <c r="R4163" s="4"/>
      <c r="S4163" s="4"/>
      <c r="T4163" s="4"/>
      <c r="U4163" s="4"/>
      <c r="V4163" s="4"/>
      <c r="W4163" s="4"/>
      <c r="X4163" s="4"/>
    </row>
    <row r="4164" spans="1:24" ht="14.25" customHeight="1">
      <c r="A4164" s="4"/>
      <c r="B4164" s="125">
        <v>46174</v>
      </c>
      <c r="C4164" s="126" t="s">
        <v>2056</v>
      </c>
      <c r="D4164" s="15" t="s">
        <v>1155</v>
      </c>
      <c r="E4164" s="10" t="str">
        <f>TRIM(VLOOKUP(D4164,TB!$B$9:$C$1500,2,FALSE))</f>
        <v>Kitchen Supplies</v>
      </c>
      <c r="F4164" s="142" t="s">
        <v>2079</v>
      </c>
      <c r="G4164" s="130">
        <v>0.5</v>
      </c>
      <c r="H4164" s="10">
        <f>110000*0.5</f>
        <v>55000</v>
      </c>
      <c r="I4164" s="10"/>
      <c r="J4164" s="79" t="e">
        <f t="shared" si="269"/>
        <v>#VALUE!</v>
      </c>
      <c r="K4164" s="106">
        <f t="shared" si="272"/>
        <v>110000</v>
      </c>
      <c r="L4164" s="141"/>
      <c r="M4164" s="132"/>
      <c r="N4164" s="133"/>
      <c r="O4164" s="4"/>
      <c r="P4164" s="4"/>
      <c r="Q4164" s="4"/>
      <c r="R4164" s="4"/>
      <c r="S4164" s="4"/>
      <c r="T4164" s="4"/>
      <c r="U4164" s="4"/>
      <c r="V4164" s="4"/>
      <c r="W4164" s="4"/>
      <c r="X4164" s="4"/>
    </row>
    <row r="4165" spans="1:24" ht="14.25" customHeight="1">
      <c r="A4165" s="4"/>
      <c r="B4165" s="125">
        <v>46174</v>
      </c>
      <c r="C4165" s="126" t="s">
        <v>2056</v>
      </c>
      <c r="D4165" s="15" t="s">
        <v>285</v>
      </c>
      <c r="E4165" s="10" t="str">
        <f>TRIM(VLOOKUP(D4165,TB!$B$9:$C$1500,2,FALSE))</f>
        <v>Misc Cash Purchase</v>
      </c>
      <c r="F4165" s="142" t="s">
        <v>2080</v>
      </c>
      <c r="G4165" s="130"/>
      <c r="H4165" s="10"/>
      <c r="I4165" s="10">
        <v>615550</v>
      </c>
      <c r="J4165" s="79" t="e">
        <f t="shared" si="269"/>
        <v>#VALUE!</v>
      </c>
      <c r="K4165" s="106"/>
      <c r="L4165" s="141"/>
      <c r="M4165" s="132"/>
      <c r="N4165" s="133"/>
      <c r="O4165" s="4"/>
      <c r="P4165" s="4"/>
      <c r="Q4165" s="4"/>
      <c r="R4165" s="4"/>
      <c r="S4165" s="4"/>
      <c r="T4165" s="4"/>
      <c r="U4165" s="4"/>
      <c r="V4165" s="4"/>
      <c r="W4165" s="4"/>
      <c r="X4165" s="4"/>
    </row>
    <row r="4166" spans="1:24" ht="14.25" customHeight="1">
      <c r="A4166" s="4"/>
      <c r="B4166" s="125"/>
      <c r="C4166" s="126"/>
      <c r="D4166" s="68"/>
      <c r="E4166" s="10" t="e">
        <f>TRIM(VLOOKUP(D4166,TB!$B$9:$C$1500,2,FALSE))</f>
        <v>#N/A</v>
      </c>
      <c r="F4166" s="142"/>
      <c r="G4166" s="130"/>
      <c r="H4166" s="10"/>
      <c r="I4166" s="10"/>
      <c r="J4166" s="79" t="e">
        <f t="shared" si="269"/>
        <v>#VALUE!</v>
      </c>
      <c r="K4166" s="106"/>
      <c r="L4166" s="141"/>
      <c r="M4166" s="132"/>
      <c r="N4166" s="133"/>
      <c r="O4166" s="4"/>
      <c r="P4166" s="4"/>
      <c r="Q4166" s="4"/>
      <c r="R4166" s="4"/>
      <c r="S4166" s="4"/>
      <c r="T4166" s="4"/>
      <c r="U4166" s="4"/>
      <c r="V4166" s="4"/>
      <c r="W4166" s="4"/>
      <c r="X4166" s="4"/>
    </row>
    <row r="4167" spans="1:24" ht="14.25" customHeight="1">
      <c r="A4167" s="4"/>
      <c r="B4167" s="125">
        <v>46175</v>
      </c>
      <c r="C4167" s="126" t="s">
        <v>2056</v>
      </c>
      <c r="D4167" s="15" t="s">
        <v>2081</v>
      </c>
      <c r="E4167" s="10" t="str">
        <f>TRIM(VLOOKUP(D4167,TB!$B$9:$C$1500,2,FALSE))</f>
        <v>Baby Potato</v>
      </c>
      <c r="F4167" s="142" t="s">
        <v>2082</v>
      </c>
      <c r="G4167" s="130">
        <v>0.5</v>
      </c>
      <c r="H4167" s="10">
        <f>16000*0.5</f>
        <v>8000</v>
      </c>
      <c r="I4167" s="10"/>
      <c r="J4167" s="79" t="e">
        <f t="shared" si="269"/>
        <v>#VALUE!</v>
      </c>
      <c r="K4167" s="106">
        <f t="shared" ref="K4167:K4184" si="273">H4167/G4167</f>
        <v>16000</v>
      </c>
      <c r="L4167" s="141"/>
      <c r="M4167" s="132"/>
      <c r="N4167" s="133"/>
      <c r="O4167" s="4"/>
      <c r="P4167" s="4"/>
      <c r="Q4167" s="4"/>
      <c r="R4167" s="4"/>
      <c r="S4167" s="4"/>
      <c r="T4167" s="4"/>
      <c r="U4167" s="4"/>
      <c r="V4167" s="4"/>
      <c r="W4167" s="4"/>
      <c r="X4167" s="4"/>
    </row>
    <row r="4168" spans="1:24" ht="14.25" customHeight="1">
      <c r="A4168" s="4"/>
      <c r="B4168" s="125">
        <v>46175</v>
      </c>
      <c r="C4168" s="126" t="s">
        <v>2056</v>
      </c>
      <c r="D4168" s="15" t="s">
        <v>2083</v>
      </c>
      <c r="E4168" s="10" t="str">
        <f>TRIM(VLOOKUP(D4168,TB!$B$9:$C$1500,2,FALSE))</f>
        <v>Baby Buncis</v>
      </c>
      <c r="F4168" s="142" t="s">
        <v>2084</v>
      </c>
      <c r="G4168" s="130">
        <v>0.5</v>
      </c>
      <c r="H4168" s="10">
        <f>60000*0.5</f>
        <v>30000</v>
      </c>
      <c r="I4168" s="10"/>
      <c r="J4168" s="79" t="e">
        <f t="shared" si="269"/>
        <v>#VALUE!</v>
      </c>
      <c r="K4168" s="106">
        <f t="shared" si="273"/>
        <v>60000</v>
      </c>
      <c r="L4168" s="141"/>
      <c r="M4168" s="132"/>
      <c r="N4168" s="133"/>
      <c r="O4168" s="4"/>
      <c r="P4168" s="4"/>
      <c r="Q4168" s="4"/>
      <c r="R4168" s="4"/>
      <c r="S4168" s="4"/>
      <c r="T4168" s="4"/>
      <c r="U4168" s="4"/>
      <c r="V4168" s="4"/>
      <c r="W4168" s="4"/>
      <c r="X4168" s="4"/>
    </row>
    <row r="4169" spans="1:24" ht="14.25" customHeight="1">
      <c r="A4169" s="4"/>
      <c r="B4169" s="125">
        <v>46175</v>
      </c>
      <c r="C4169" s="126" t="s">
        <v>2056</v>
      </c>
      <c r="D4169" s="15" t="s">
        <v>2085</v>
      </c>
      <c r="E4169" s="10" t="str">
        <f>TRIM(VLOOKUP(D4169,TB!$B$9:$C$1500,2,FALSE))</f>
        <v>Carrot/Wortel</v>
      </c>
      <c r="F4169" s="142" t="s">
        <v>2086</v>
      </c>
      <c r="G4169" s="130">
        <v>1</v>
      </c>
      <c r="H4169" s="10">
        <f>18000</f>
        <v>18000</v>
      </c>
      <c r="I4169" s="10"/>
      <c r="J4169" s="79" t="e">
        <f t="shared" si="269"/>
        <v>#VALUE!</v>
      </c>
      <c r="K4169" s="106">
        <f t="shared" si="273"/>
        <v>18000</v>
      </c>
      <c r="L4169" s="141"/>
      <c r="M4169" s="132"/>
      <c r="N4169" s="133"/>
      <c r="O4169" s="4"/>
      <c r="P4169" s="4"/>
      <c r="Q4169" s="4"/>
      <c r="R4169" s="4"/>
      <c r="S4169" s="4"/>
      <c r="T4169" s="4"/>
      <c r="U4169" s="4"/>
      <c r="V4169" s="4"/>
      <c r="W4169" s="4"/>
      <c r="X4169" s="4"/>
    </row>
    <row r="4170" spans="1:24" ht="14.25" customHeight="1">
      <c r="A4170" s="4"/>
      <c r="B4170" s="125">
        <v>46175</v>
      </c>
      <c r="C4170" s="126" t="s">
        <v>2056</v>
      </c>
      <c r="D4170" s="15" t="s">
        <v>2087</v>
      </c>
      <c r="E4170" s="10" t="str">
        <f>TRIM(VLOOKUP(D4170,TB!$B$9:$C$1500,2,FALSE))</f>
        <v>Mushroom Shimeji / Bunapi</v>
      </c>
      <c r="F4170" s="142" t="s">
        <v>2088</v>
      </c>
      <c r="G4170" s="130">
        <v>5</v>
      </c>
      <c r="H4170" s="10">
        <f>17000*5</f>
        <v>85000</v>
      </c>
      <c r="I4170" s="10"/>
      <c r="J4170" s="79" t="e">
        <f t="shared" si="269"/>
        <v>#VALUE!</v>
      </c>
      <c r="K4170" s="106">
        <f t="shared" si="273"/>
        <v>17000</v>
      </c>
      <c r="L4170" s="141"/>
      <c r="M4170" s="132"/>
      <c r="N4170" s="133"/>
      <c r="O4170" s="4"/>
      <c r="P4170" s="4"/>
      <c r="Q4170" s="4"/>
      <c r="R4170" s="4"/>
      <c r="S4170" s="4"/>
      <c r="T4170" s="4"/>
      <c r="U4170" s="4"/>
      <c r="V4170" s="4"/>
      <c r="W4170" s="4"/>
      <c r="X4170" s="4"/>
    </row>
    <row r="4171" spans="1:24" ht="14.25" customHeight="1">
      <c r="A4171" s="4"/>
      <c r="B4171" s="125">
        <v>46175</v>
      </c>
      <c r="C4171" s="126" t="s">
        <v>2056</v>
      </c>
      <c r="D4171" s="15" t="s">
        <v>2062</v>
      </c>
      <c r="E4171" s="10" t="str">
        <f>TRIM(VLOOKUP(D4171,TB!$B$9:$C$1500,2,FALSE))</f>
        <v>Mushrooms Button</v>
      </c>
      <c r="F4171" s="142" t="s">
        <v>2089</v>
      </c>
      <c r="G4171" s="130">
        <v>0.5</v>
      </c>
      <c r="H4171" s="10">
        <f>45000*0.5</f>
        <v>22500</v>
      </c>
      <c r="I4171" s="10"/>
      <c r="J4171" s="79" t="e">
        <f t="shared" si="269"/>
        <v>#VALUE!</v>
      </c>
      <c r="K4171" s="106">
        <f t="shared" si="273"/>
        <v>45000</v>
      </c>
      <c r="L4171" s="141"/>
      <c r="M4171" s="132"/>
      <c r="N4171" s="133"/>
      <c r="O4171" s="4"/>
      <c r="P4171" s="4"/>
      <c r="Q4171" s="4"/>
      <c r="R4171" s="4"/>
      <c r="S4171" s="4"/>
      <c r="T4171" s="4"/>
      <c r="U4171" s="4"/>
      <c r="V4171" s="4"/>
      <c r="W4171" s="4"/>
      <c r="X4171" s="4"/>
    </row>
    <row r="4172" spans="1:24" ht="14.25" customHeight="1">
      <c r="A4172" s="4"/>
      <c r="B4172" s="125">
        <v>46175</v>
      </c>
      <c r="C4172" s="126" t="s">
        <v>2056</v>
      </c>
      <c r="D4172" s="15" t="s">
        <v>2090</v>
      </c>
      <c r="E4172" s="10" t="str">
        <f>TRIM(VLOOKUP(D4172,TB!$B$9:$C$1500,2,FALSE))</f>
        <v>Japanese Cucumber/Timun</v>
      </c>
      <c r="F4172" s="142" t="s">
        <v>2091</v>
      </c>
      <c r="G4172" s="130">
        <v>1</v>
      </c>
      <c r="H4172" s="10">
        <v>10000</v>
      </c>
      <c r="I4172" s="10"/>
      <c r="J4172" s="79" t="e">
        <f t="shared" si="269"/>
        <v>#VALUE!</v>
      </c>
      <c r="K4172" s="106">
        <f t="shared" si="273"/>
        <v>10000</v>
      </c>
      <c r="L4172" s="141"/>
      <c r="M4172" s="132"/>
      <c r="N4172" s="133"/>
      <c r="O4172" s="4"/>
      <c r="P4172" s="4"/>
      <c r="Q4172" s="4"/>
      <c r="R4172" s="4"/>
      <c r="S4172" s="4"/>
      <c r="T4172" s="4"/>
      <c r="U4172" s="4"/>
      <c r="V4172" s="4"/>
      <c r="W4172" s="4"/>
      <c r="X4172" s="4"/>
    </row>
    <row r="4173" spans="1:24" ht="14.25" customHeight="1">
      <c r="A4173" s="4"/>
      <c r="B4173" s="125">
        <v>46175</v>
      </c>
      <c r="C4173" s="126" t="s">
        <v>2056</v>
      </c>
      <c r="D4173" s="15" t="s">
        <v>1794</v>
      </c>
      <c r="E4173" s="10" t="str">
        <f>TRIM(VLOOKUP(D4173,TB!$B$9:$C$1500,2,FALSE))</f>
        <v>Garlic/Bawang Putih</v>
      </c>
      <c r="F4173" s="142" t="s">
        <v>2092</v>
      </c>
      <c r="G4173" s="130">
        <v>0.5</v>
      </c>
      <c r="H4173" s="10">
        <f>40000*0.5</f>
        <v>20000</v>
      </c>
      <c r="I4173" s="10"/>
      <c r="J4173" s="79" t="e">
        <f t="shared" si="269"/>
        <v>#VALUE!</v>
      </c>
      <c r="K4173" s="106">
        <f t="shared" si="273"/>
        <v>40000</v>
      </c>
      <c r="L4173" s="141"/>
      <c r="M4173" s="132"/>
      <c r="N4173" s="133"/>
      <c r="O4173" s="4"/>
      <c r="P4173" s="4"/>
      <c r="Q4173" s="4"/>
      <c r="R4173" s="4"/>
      <c r="S4173" s="4"/>
      <c r="T4173" s="4"/>
      <c r="U4173" s="4"/>
      <c r="V4173" s="4"/>
      <c r="W4173" s="4"/>
      <c r="X4173" s="4"/>
    </row>
    <row r="4174" spans="1:24" ht="14.25" customHeight="1">
      <c r="A4174" s="4"/>
      <c r="B4174" s="125">
        <v>46175</v>
      </c>
      <c r="C4174" s="126" t="s">
        <v>2056</v>
      </c>
      <c r="D4174" s="15" t="s">
        <v>2030</v>
      </c>
      <c r="E4174" s="10" t="str">
        <f>TRIM(VLOOKUP(D4174,TB!$B$9:$C$1500,2,FALSE))</f>
        <v>Hot Chilli / Lombok Kecil</v>
      </c>
      <c r="F4174" s="142" t="s">
        <v>2093</v>
      </c>
      <c r="G4174" s="130">
        <v>0.5</v>
      </c>
      <c r="H4174" s="10">
        <f>65000*0.5</f>
        <v>32500</v>
      </c>
      <c r="I4174" s="10"/>
      <c r="J4174" s="79" t="e">
        <f t="shared" si="269"/>
        <v>#VALUE!</v>
      </c>
      <c r="K4174" s="106">
        <f t="shared" si="273"/>
        <v>65000</v>
      </c>
      <c r="L4174" s="141"/>
      <c r="M4174" s="132"/>
      <c r="N4174" s="133"/>
      <c r="O4174" s="4"/>
      <c r="P4174" s="4"/>
      <c r="Q4174" s="4"/>
      <c r="R4174" s="4"/>
      <c r="S4174" s="4"/>
      <c r="T4174" s="4"/>
      <c r="U4174" s="4"/>
      <c r="V4174" s="4"/>
      <c r="W4174" s="4"/>
      <c r="X4174" s="4"/>
    </row>
    <row r="4175" spans="1:24" ht="14.25" customHeight="1">
      <c r="A4175" s="4"/>
      <c r="B4175" s="125">
        <v>46175</v>
      </c>
      <c r="C4175" s="126" t="s">
        <v>2056</v>
      </c>
      <c r="D4175" s="15" t="s">
        <v>2094</v>
      </c>
      <c r="E4175" s="10" t="str">
        <f>TRIM(VLOOKUP(D4175,TB!$B$9:$C$1500,2,FALSE))</f>
        <v>Ginger/Jahe</v>
      </c>
      <c r="F4175" s="142" t="s">
        <v>2095</v>
      </c>
      <c r="G4175" s="130">
        <v>0.25</v>
      </c>
      <c r="H4175" s="10">
        <f>25000*0.25</f>
        <v>6250</v>
      </c>
      <c r="I4175" s="10"/>
      <c r="J4175" s="79" t="e">
        <f t="shared" si="269"/>
        <v>#VALUE!</v>
      </c>
      <c r="K4175" s="106">
        <f t="shared" si="273"/>
        <v>25000</v>
      </c>
      <c r="L4175" s="141"/>
      <c r="M4175" s="132"/>
      <c r="N4175" s="133"/>
      <c r="O4175" s="4"/>
      <c r="P4175" s="4"/>
      <c r="Q4175" s="4"/>
      <c r="R4175" s="4"/>
      <c r="S4175" s="4"/>
      <c r="T4175" s="4"/>
      <c r="U4175" s="4"/>
      <c r="V4175" s="4"/>
      <c r="W4175" s="4"/>
      <c r="X4175" s="4"/>
    </row>
    <row r="4176" spans="1:24" ht="14.25" customHeight="1">
      <c r="A4176" s="4"/>
      <c r="B4176" s="125">
        <v>46175</v>
      </c>
      <c r="C4176" s="126" t="s">
        <v>2056</v>
      </c>
      <c r="D4176" s="15" t="s">
        <v>1888</v>
      </c>
      <c r="E4176" s="10" t="str">
        <f>TRIM(VLOOKUP(D4176,TB!$B$9:$C$1500,2,FALSE))</f>
        <v>Romaine</v>
      </c>
      <c r="F4176" s="142" t="s">
        <v>2096</v>
      </c>
      <c r="G4176" s="130">
        <v>1</v>
      </c>
      <c r="H4176" s="10">
        <v>50000</v>
      </c>
      <c r="I4176" s="10"/>
      <c r="J4176" s="79" t="e">
        <f t="shared" si="269"/>
        <v>#VALUE!</v>
      </c>
      <c r="K4176" s="106">
        <f t="shared" si="273"/>
        <v>50000</v>
      </c>
      <c r="L4176" s="141"/>
      <c r="M4176" s="132"/>
      <c r="N4176" s="133"/>
      <c r="O4176" s="4"/>
      <c r="P4176" s="4"/>
      <c r="Q4176" s="4"/>
      <c r="R4176" s="4"/>
      <c r="S4176" s="4"/>
      <c r="T4176" s="4"/>
      <c r="U4176" s="4"/>
      <c r="V4176" s="4"/>
      <c r="W4176" s="4"/>
      <c r="X4176" s="4"/>
    </row>
    <row r="4177" spans="1:24" ht="14.25" customHeight="1">
      <c r="A4177" s="4"/>
      <c r="B4177" s="125">
        <v>46175</v>
      </c>
      <c r="C4177" s="126" t="s">
        <v>2056</v>
      </c>
      <c r="D4177" s="15" t="s">
        <v>1807</v>
      </c>
      <c r="E4177" s="10" t="str">
        <f>TRIM(VLOOKUP(D4177,TB!$B$9:$C$1500,2,FALSE))</f>
        <v>Shallot/Bawang Merah</v>
      </c>
      <c r="F4177" s="142" t="s">
        <v>2097</v>
      </c>
      <c r="G4177" s="130">
        <v>0.25</v>
      </c>
      <c r="H4177" s="10">
        <f>45000*0.25</f>
        <v>11250</v>
      </c>
      <c r="I4177" s="10"/>
      <c r="J4177" s="79" t="e">
        <f t="shared" si="269"/>
        <v>#VALUE!</v>
      </c>
      <c r="K4177" s="106">
        <f t="shared" si="273"/>
        <v>45000</v>
      </c>
      <c r="L4177" s="141"/>
      <c r="M4177" s="132"/>
      <c r="N4177" s="133"/>
      <c r="O4177" s="4"/>
      <c r="P4177" s="4"/>
      <c r="Q4177" s="4"/>
      <c r="R4177" s="4"/>
      <c r="S4177" s="4"/>
      <c r="T4177" s="4"/>
      <c r="U4177" s="4"/>
      <c r="V4177" s="4"/>
      <c r="W4177" s="4"/>
      <c r="X4177" s="4"/>
    </row>
    <row r="4178" spans="1:24" ht="14.25" customHeight="1">
      <c r="A4178" s="4"/>
      <c r="B4178" s="125">
        <v>46175</v>
      </c>
      <c r="C4178" s="126" t="s">
        <v>2056</v>
      </c>
      <c r="D4178" s="15" t="s">
        <v>2098</v>
      </c>
      <c r="E4178" s="10" t="str">
        <f>TRIM(VLOOKUP(D4178,TB!$B$9:$C$1500,2,FALSE))</f>
        <v>Thyme</v>
      </c>
      <c r="F4178" s="142" t="s">
        <v>2099</v>
      </c>
      <c r="G4178" s="130">
        <v>0.1</v>
      </c>
      <c r="H4178" s="10">
        <f>170000*0.1</f>
        <v>17000</v>
      </c>
      <c r="I4178" s="10"/>
      <c r="J4178" s="79" t="e">
        <f t="shared" si="269"/>
        <v>#VALUE!</v>
      </c>
      <c r="K4178" s="106">
        <f t="shared" si="273"/>
        <v>170000</v>
      </c>
      <c r="L4178" s="141"/>
      <c r="M4178" s="132"/>
      <c r="N4178" s="133"/>
      <c r="O4178" s="4"/>
      <c r="P4178" s="4"/>
      <c r="Q4178" s="4"/>
      <c r="R4178" s="4"/>
      <c r="S4178" s="4"/>
      <c r="T4178" s="4"/>
      <c r="U4178" s="4"/>
      <c r="V4178" s="4"/>
      <c r="W4178" s="4"/>
      <c r="X4178" s="4"/>
    </row>
    <row r="4179" spans="1:24" ht="14.25" customHeight="1">
      <c r="A4179" s="4"/>
      <c r="B4179" s="125">
        <v>46175</v>
      </c>
      <c r="C4179" s="126" t="s">
        <v>2056</v>
      </c>
      <c r="D4179" s="15" t="s">
        <v>2100</v>
      </c>
      <c r="E4179" s="10" t="str">
        <f>TRIM(VLOOKUP(D4179,TB!$B$9:$C$1500,2,FALSE))</f>
        <v>Basil</v>
      </c>
      <c r="F4179" s="142" t="s">
        <v>2101</v>
      </c>
      <c r="G4179" s="130">
        <v>0.25</v>
      </c>
      <c r="H4179" s="10">
        <f>75000*0.25</f>
        <v>18750</v>
      </c>
      <c r="I4179" s="10"/>
      <c r="J4179" s="79" t="e">
        <f t="shared" si="269"/>
        <v>#VALUE!</v>
      </c>
      <c r="K4179" s="106">
        <f t="shared" si="273"/>
        <v>75000</v>
      </c>
      <c r="L4179" s="141"/>
      <c r="M4179" s="132"/>
      <c r="N4179" s="133"/>
      <c r="O4179" s="4"/>
      <c r="P4179" s="4"/>
      <c r="Q4179" s="4"/>
      <c r="R4179" s="4"/>
      <c r="S4179" s="4"/>
      <c r="T4179" s="4"/>
      <c r="U4179" s="4"/>
      <c r="V4179" s="4"/>
      <c r="W4179" s="4"/>
      <c r="X4179" s="4"/>
    </row>
    <row r="4180" spans="1:24" ht="14.25" customHeight="1">
      <c r="A4180" s="4"/>
      <c r="B4180" s="125">
        <v>46175</v>
      </c>
      <c r="C4180" s="126" t="s">
        <v>2056</v>
      </c>
      <c r="D4180" s="15" t="s">
        <v>2102</v>
      </c>
      <c r="E4180" s="10" t="str">
        <f>TRIM(VLOOKUP(D4180,TB!$B$9:$C$1500,2,FALSE))</f>
        <v>Mix Salad</v>
      </c>
      <c r="F4180" s="142" t="s">
        <v>2103</v>
      </c>
      <c r="G4180" s="130">
        <v>0.25</v>
      </c>
      <c r="H4180" s="10">
        <f>50000*0.25</f>
        <v>12500</v>
      </c>
      <c r="I4180" s="10"/>
      <c r="J4180" s="79" t="e">
        <f t="shared" si="269"/>
        <v>#VALUE!</v>
      </c>
      <c r="K4180" s="106">
        <f t="shared" si="273"/>
        <v>50000</v>
      </c>
      <c r="L4180" s="141"/>
      <c r="M4180" s="132"/>
      <c r="N4180" s="133"/>
      <c r="O4180" s="4"/>
      <c r="P4180" s="4"/>
      <c r="Q4180" s="4"/>
      <c r="R4180" s="4"/>
      <c r="S4180" s="4"/>
      <c r="T4180" s="4"/>
      <c r="U4180" s="4"/>
      <c r="V4180" s="4"/>
      <c r="W4180" s="4"/>
      <c r="X4180" s="4"/>
    </row>
    <row r="4181" spans="1:24" ht="14.25" customHeight="1">
      <c r="A4181" s="4"/>
      <c r="B4181" s="125">
        <v>46175</v>
      </c>
      <c r="C4181" s="126" t="s">
        <v>2056</v>
      </c>
      <c r="D4181" s="15" t="s">
        <v>2104</v>
      </c>
      <c r="E4181" s="10" t="str">
        <f>TRIM(VLOOKUP(D4181,TB!$B$9:$C$1500,2,FALSE))</f>
        <v>Pear</v>
      </c>
      <c r="F4181" s="142" t="s">
        <v>2105</v>
      </c>
      <c r="G4181" s="130">
        <v>0.5</v>
      </c>
      <c r="H4181" s="10">
        <f>30000*0.5</f>
        <v>15000</v>
      </c>
      <c r="I4181" s="10"/>
      <c r="J4181" s="79" t="e">
        <f t="shared" si="269"/>
        <v>#VALUE!</v>
      </c>
      <c r="K4181" s="106">
        <f t="shared" si="273"/>
        <v>30000</v>
      </c>
      <c r="L4181" s="141"/>
      <c r="M4181" s="132"/>
      <c r="N4181" s="133"/>
      <c r="O4181" s="4"/>
      <c r="P4181" s="4"/>
      <c r="Q4181" s="4"/>
      <c r="R4181" s="4"/>
      <c r="S4181" s="4"/>
      <c r="T4181" s="4"/>
      <c r="U4181" s="4"/>
      <c r="V4181" s="4"/>
      <c r="W4181" s="4"/>
      <c r="X4181" s="4"/>
    </row>
    <row r="4182" spans="1:24" ht="14.25" customHeight="1">
      <c r="A4182" s="4"/>
      <c r="B4182" s="125">
        <v>46175</v>
      </c>
      <c r="C4182" s="126" t="s">
        <v>2056</v>
      </c>
      <c r="D4182" s="15" t="s">
        <v>2106</v>
      </c>
      <c r="E4182" s="10" t="str">
        <f>TRIM(VLOOKUP(D4182,TB!$B$9:$C$1500,2,FALSE))</f>
        <v>Dragon Fruit / Buah Naga</v>
      </c>
      <c r="F4182" s="142" t="s">
        <v>2107</v>
      </c>
      <c r="G4182" s="130">
        <v>0.6</v>
      </c>
      <c r="H4182" s="10">
        <f>26000*0.6</f>
        <v>15600</v>
      </c>
      <c r="I4182" s="10"/>
      <c r="J4182" s="79" t="e">
        <f t="shared" si="269"/>
        <v>#VALUE!</v>
      </c>
      <c r="K4182" s="106">
        <f t="shared" si="273"/>
        <v>26000</v>
      </c>
      <c r="L4182" s="141"/>
      <c r="M4182" s="132"/>
      <c r="N4182" s="133"/>
      <c r="O4182" s="4"/>
      <c r="P4182" s="4"/>
      <c r="Q4182" s="4"/>
      <c r="R4182" s="4"/>
      <c r="S4182" s="4"/>
      <c r="T4182" s="4"/>
      <c r="U4182" s="4"/>
      <c r="V4182" s="4"/>
      <c r="W4182" s="4"/>
      <c r="X4182" s="4"/>
    </row>
    <row r="4183" spans="1:24" ht="14.25" customHeight="1">
      <c r="A4183" s="4"/>
      <c r="B4183" s="125">
        <v>46175</v>
      </c>
      <c r="C4183" s="126" t="s">
        <v>2056</v>
      </c>
      <c r="D4183" s="15" t="s">
        <v>2108</v>
      </c>
      <c r="E4183" s="10" t="str">
        <f>TRIM(VLOOKUP(D4183,TB!$B$9:$C$1500,2,FALSE))</f>
        <v>Papaya Fruit</v>
      </c>
      <c r="F4183" s="142" t="s">
        <v>2109</v>
      </c>
      <c r="G4183" s="130">
        <v>1.8</v>
      </c>
      <c r="H4183" s="10">
        <f>15000*1.8</f>
        <v>27000</v>
      </c>
      <c r="I4183" s="10"/>
      <c r="J4183" s="79" t="e">
        <f t="shared" si="269"/>
        <v>#VALUE!</v>
      </c>
      <c r="K4183" s="106">
        <f t="shared" si="273"/>
        <v>15000</v>
      </c>
      <c r="L4183" s="141"/>
      <c r="M4183" s="132"/>
      <c r="N4183" s="133"/>
      <c r="O4183" s="4"/>
      <c r="P4183" s="4"/>
      <c r="Q4183" s="4"/>
      <c r="R4183" s="4"/>
      <c r="S4183" s="4"/>
      <c r="T4183" s="4"/>
      <c r="U4183" s="4"/>
      <c r="V4183" s="4"/>
      <c r="W4183" s="4"/>
      <c r="X4183" s="4"/>
    </row>
    <row r="4184" spans="1:24" ht="14.25" customHeight="1">
      <c r="A4184" s="4"/>
      <c r="B4184" s="125">
        <v>46175</v>
      </c>
      <c r="C4184" s="126" t="s">
        <v>2056</v>
      </c>
      <c r="D4184" s="15" t="s">
        <v>2110</v>
      </c>
      <c r="E4184" s="10" t="str">
        <f>TRIM(VLOOKUP(D4184,TB!$B$9:$C$1500,2,FALSE))</f>
        <v>Watermelon/SEMANGKA</v>
      </c>
      <c r="F4184" s="142" t="s">
        <v>2111</v>
      </c>
      <c r="G4184" s="130">
        <v>6.3</v>
      </c>
      <c r="H4184" s="10">
        <f>16000*6.3</f>
        <v>100800</v>
      </c>
      <c r="I4184" s="10"/>
      <c r="J4184" s="79" t="e">
        <f t="shared" si="269"/>
        <v>#VALUE!</v>
      </c>
      <c r="K4184" s="106">
        <f t="shared" si="273"/>
        <v>16000</v>
      </c>
      <c r="L4184" s="141"/>
      <c r="M4184" s="132"/>
      <c r="N4184" s="133"/>
      <c r="O4184" s="4"/>
      <c r="P4184" s="4"/>
      <c r="Q4184" s="4"/>
      <c r="R4184" s="4"/>
      <c r="S4184" s="4"/>
      <c r="T4184" s="4"/>
      <c r="U4184" s="4"/>
      <c r="V4184" s="4"/>
      <c r="W4184" s="4"/>
      <c r="X4184" s="4"/>
    </row>
    <row r="4185" spans="1:24" ht="14.25" customHeight="1">
      <c r="A4185" s="4"/>
      <c r="B4185" s="125">
        <v>46175</v>
      </c>
      <c r="C4185" s="126" t="s">
        <v>2056</v>
      </c>
      <c r="D4185" s="15" t="s">
        <v>285</v>
      </c>
      <c r="E4185" s="10" t="str">
        <f>TRIM(VLOOKUP(D4185,TB!$B$9:$C$1500,2,FALSE))</f>
        <v>Misc Cash Purchase</v>
      </c>
      <c r="F4185" s="142" t="s">
        <v>2112</v>
      </c>
      <c r="G4185" s="130"/>
      <c r="H4185" s="10"/>
      <c r="I4185" s="10">
        <v>500150</v>
      </c>
      <c r="J4185" s="79" t="e">
        <f t="shared" si="269"/>
        <v>#VALUE!</v>
      </c>
      <c r="K4185" s="106"/>
      <c r="L4185" s="141"/>
      <c r="M4185" s="132"/>
      <c r="N4185" s="133"/>
      <c r="O4185" s="4"/>
      <c r="P4185" s="4"/>
      <c r="Q4185" s="4"/>
      <c r="R4185" s="4"/>
      <c r="S4185" s="4"/>
      <c r="T4185" s="4"/>
      <c r="U4185" s="4"/>
      <c r="V4185" s="4"/>
      <c r="W4185" s="4"/>
      <c r="X4185" s="4"/>
    </row>
    <row r="4186" spans="1:24" ht="14.25" customHeight="1">
      <c r="A4186" s="4"/>
      <c r="B4186" s="125"/>
      <c r="C4186" s="126"/>
      <c r="D4186" s="68"/>
      <c r="E4186" s="10" t="e">
        <f>TRIM(VLOOKUP(D4186,TB!$B$9:$C$1500,2,FALSE))</f>
        <v>#N/A</v>
      </c>
      <c r="F4186" s="142"/>
      <c r="G4186" s="130"/>
      <c r="H4186" s="10"/>
      <c r="I4186" s="10"/>
      <c r="J4186" s="79" t="e">
        <f t="shared" si="269"/>
        <v>#VALUE!</v>
      </c>
      <c r="K4186" s="106"/>
      <c r="L4186" s="141"/>
      <c r="M4186" s="132"/>
      <c r="N4186" s="133"/>
      <c r="O4186" s="4"/>
      <c r="P4186" s="4"/>
      <c r="Q4186" s="4"/>
      <c r="R4186" s="4"/>
      <c r="S4186" s="4"/>
      <c r="T4186" s="4"/>
      <c r="U4186" s="4"/>
      <c r="V4186" s="4"/>
      <c r="W4186" s="4"/>
      <c r="X4186" s="4"/>
    </row>
    <row r="4187" spans="1:24" ht="14.25" customHeight="1">
      <c r="A4187" s="4"/>
      <c r="B4187" s="125">
        <v>46175</v>
      </c>
      <c r="C4187" s="126" t="s">
        <v>2056</v>
      </c>
      <c r="D4187" s="15" t="s">
        <v>2113</v>
      </c>
      <c r="E4187" s="10" t="str">
        <f>TRIM(VLOOKUP(D4187,TB!$B$9:$C$1500,2,FALSE))</f>
        <v>Grape Fruit/BUAH ANGGUR</v>
      </c>
      <c r="F4187" s="142" t="s">
        <v>2114</v>
      </c>
      <c r="G4187" s="130">
        <v>0.25</v>
      </c>
      <c r="H4187" s="10">
        <f>100000*0.25</f>
        <v>25000</v>
      </c>
      <c r="I4187" s="10"/>
      <c r="J4187" s="79" t="e">
        <f t="shared" si="269"/>
        <v>#VALUE!</v>
      </c>
      <c r="K4187" s="106">
        <f>H4187/G4187</f>
        <v>100000</v>
      </c>
      <c r="L4187" s="141"/>
      <c r="M4187" s="132"/>
      <c r="N4187" s="133"/>
      <c r="O4187" s="4"/>
      <c r="P4187" s="4"/>
      <c r="Q4187" s="4"/>
      <c r="R4187" s="4"/>
      <c r="S4187" s="4"/>
      <c r="T4187" s="4"/>
      <c r="U4187" s="4"/>
      <c r="V4187" s="4"/>
      <c r="W4187" s="4"/>
      <c r="X4187" s="4"/>
    </row>
    <row r="4188" spans="1:24" ht="14.25" customHeight="1">
      <c r="A4188" s="4"/>
      <c r="B4188" s="125">
        <v>46175</v>
      </c>
      <c r="C4188" s="126" t="s">
        <v>2056</v>
      </c>
      <c r="D4188" s="15" t="s">
        <v>285</v>
      </c>
      <c r="E4188" s="10" t="str">
        <f>TRIM(VLOOKUP(D4188,TB!$B$9:$C$1500,2,FALSE))</f>
        <v>Misc Cash Purchase</v>
      </c>
      <c r="F4188" s="142" t="s">
        <v>2115</v>
      </c>
      <c r="G4188" s="130"/>
      <c r="H4188" s="10"/>
      <c r="I4188" s="10">
        <v>25000</v>
      </c>
      <c r="J4188" s="79" t="e">
        <f t="shared" si="269"/>
        <v>#VALUE!</v>
      </c>
      <c r="K4188" s="106"/>
      <c r="L4188" s="141"/>
      <c r="M4188" s="132"/>
      <c r="N4188" s="133"/>
      <c r="O4188" s="4"/>
      <c r="P4188" s="4"/>
      <c r="Q4188" s="4"/>
      <c r="R4188" s="4"/>
      <c r="S4188" s="4"/>
      <c r="T4188" s="4"/>
      <c r="U4188" s="4"/>
      <c r="V4188" s="4"/>
      <c r="W4188" s="4"/>
      <c r="X4188" s="4"/>
    </row>
    <row r="4189" spans="1:24" ht="14.25" customHeight="1">
      <c r="A4189" s="4"/>
      <c r="B4189" s="125"/>
      <c r="C4189" s="126"/>
      <c r="D4189" s="68"/>
      <c r="E4189" s="10" t="e">
        <f>TRIM(VLOOKUP(D4189,TB!$B$9:$C$1500,2,FALSE))</f>
        <v>#N/A</v>
      </c>
      <c r="F4189" s="142"/>
      <c r="G4189" s="130"/>
      <c r="H4189" s="10"/>
      <c r="I4189" s="10"/>
      <c r="J4189" s="79" t="e">
        <f t="shared" si="269"/>
        <v>#VALUE!</v>
      </c>
      <c r="K4189" s="106"/>
      <c r="L4189" s="141"/>
      <c r="M4189" s="132"/>
      <c r="N4189" s="133"/>
      <c r="O4189" s="4"/>
      <c r="P4189" s="4"/>
      <c r="Q4189" s="4"/>
      <c r="R4189" s="4"/>
      <c r="S4189" s="4"/>
      <c r="T4189" s="4"/>
      <c r="U4189" s="4"/>
      <c r="V4189" s="4"/>
      <c r="W4189" s="4"/>
      <c r="X4189" s="4"/>
    </row>
    <row r="4190" spans="1:24" ht="14.25" customHeight="1">
      <c r="A4190" s="4"/>
      <c r="B4190" s="125">
        <v>46176</v>
      </c>
      <c r="C4190" s="126" t="s">
        <v>2056</v>
      </c>
      <c r="D4190" s="15" t="s">
        <v>1768</v>
      </c>
      <c r="E4190" s="10" t="str">
        <f>TRIM(VLOOKUP(D4190,TB!$B$9:$C$1500,2,FALSE))</f>
        <v>Lime Green</v>
      </c>
      <c r="F4190" s="142" t="s">
        <v>2116</v>
      </c>
      <c r="G4190" s="130">
        <v>30</v>
      </c>
      <c r="H4190" s="10">
        <f>20000*30</f>
        <v>600000</v>
      </c>
      <c r="I4190" s="10"/>
      <c r="J4190" s="79" t="e">
        <f t="shared" si="269"/>
        <v>#VALUE!</v>
      </c>
      <c r="K4190" s="106">
        <f t="shared" ref="K4190:K4192" si="274">H4190/G4190</f>
        <v>20000</v>
      </c>
      <c r="L4190" s="141"/>
      <c r="M4190" s="132"/>
      <c r="N4190" s="133"/>
      <c r="O4190" s="4"/>
      <c r="P4190" s="4"/>
      <c r="Q4190" s="4"/>
      <c r="R4190" s="4"/>
      <c r="S4190" s="4"/>
      <c r="T4190" s="4"/>
      <c r="U4190" s="4"/>
      <c r="V4190" s="4"/>
      <c r="W4190" s="4"/>
      <c r="X4190" s="4"/>
    </row>
    <row r="4191" spans="1:24" ht="14.25" customHeight="1">
      <c r="A4191" s="4"/>
      <c r="B4191" s="125">
        <v>46176</v>
      </c>
      <c r="C4191" s="126" t="s">
        <v>2056</v>
      </c>
      <c r="D4191" s="15" t="s">
        <v>2090</v>
      </c>
      <c r="E4191" s="10" t="str">
        <f>TRIM(VLOOKUP(D4191,TB!$B$9:$C$1500,2,FALSE))</f>
        <v>Japanese Cucumber/Timun</v>
      </c>
      <c r="F4191" s="142" t="s">
        <v>2117</v>
      </c>
      <c r="G4191" s="130">
        <v>4</v>
      </c>
      <c r="H4191" s="10">
        <f>10000*4</f>
        <v>40000</v>
      </c>
      <c r="I4191" s="10"/>
      <c r="J4191" s="79" t="e">
        <f t="shared" si="269"/>
        <v>#VALUE!</v>
      </c>
      <c r="K4191" s="106">
        <f t="shared" si="274"/>
        <v>10000</v>
      </c>
      <c r="L4191" s="141"/>
      <c r="M4191" s="132"/>
      <c r="N4191" s="133"/>
      <c r="O4191" s="4"/>
      <c r="P4191" s="4"/>
      <c r="Q4191" s="4"/>
      <c r="R4191" s="4"/>
      <c r="S4191" s="4"/>
      <c r="T4191" s="4"/>
      <c r="U4191" s="4"/>
      <c r="V4191" s="4"/>
      <c r="W4191" s="4"/>
      <c r="X4191" s="4"/>
    </row>
    <row r="4192" spans="1:24" ht="14.25" customHeight="1">
      <c r="A4192" s="4"/>
      <c r="B4192" s="125">
        <v>46176</v>
      </c>
      <c r="C4192" s="126" t="s">
        <v>2056</v>
      </c>
      <c r="D4192" s="15" t="s">
        <v>2118</v>
      </c>
      <c r="E4192" s="10" t="str">
        <f>TRIM(VLOOKUP(D4192,TB!$B$9:$C$1500,2,FALSE))</f>
        <v>Sunkist</v>
      </c>
      <c r="F4192" s="142" t="s">
        <v>2119</v>
      </c>
      <c r="G4192" s="130">
        <v>4</v>
      </c>
      <c r="H4192" s="10">
        <f>35000*4</f>
        <v>140000</v>
      </c>
      <c r="I4192" s="10"/>
      <c r="J4192" s="79" t="e">
        <f t="shared" si="269"/>
        <v>#VALUE!</v>
      </c>
      <c r="K4192" s="106">
        <f t="shared" si="274"/>
        <v>35000</v>
      </c>
      <c r="L4192" s="141"/>
      <c r="M4192" s="132"/>
      <c r="N4192" s="133"/>
      <c r="O4192" s="4"/>
      <c r="P4192" s="4"/>
      <c r="Q4192" s="4"/>
      <c r="R4192" s="4"/>
      <c r="S4192" s="4"/>
      <c r="T4192" s="4"/>
      <c r="U4192" s="4"/>
      <c r="V4192" s="4"/>
      <c r="W4192" s="4"/>
      <c r="X4192" s="4"/>
    </row>
    <row r="4193" spans="1:24" ht="14.25" customHeight="1">
      <c r="A4193" s="4"/>
      <c r="B4193" s="125">
        <v>46176</v>
      </c>
      <c r="C4193" s="126" t="s">
        <v>2056</v>
      </c>
      <c r="D4193" s="15" t="s">
        <v>285</v>
      </c>
      <c r="E4193" s="10" t="str">
        <f>TRIM(VLOOKUP(D4193,TB!$B$9:$C$1500,2,FALSE))</f>
        <v>Misc Cash Purchase</v>
      </c>
      <c r="F4193" s="142" t="s">
        <v>2120</v>
      </c>
      <c r="G4193" s="130"/>
      <c r="H4193" s="10"/>
      <c r="I4193" s="10">
        <v>780000</v>
      </c>
      <c r="J4193" s="79" t="e">
        <f t="shared" si="269"/>
        <v>#VALUE!</v>
      </c>
      <c r="K4193" s="106"/>
      <c r="L4193" s="141"/>
      <c r="M4193" s="132"/>
      <c r="N4193" s="133"/>
      <c r="O4193" s="4"/>
      <c r="P4193" s="4"/>
      <c r="Q4193" s="4"/>
      <c r="R4193" s="4"/>
      <c r="S4193" s="4"/>
      <c r="T4193" s="4"/>
      <c r="U4193" s="4"/>
      <c r="V4193" s="4"/>
      <c r="W4193" s="4"/>
      <c r="X4193" s="4"/>
    </row>
    <row r="4194" spans="1:24" ht="14.25" customHeight="1">
      <c r="A4194" s="4"/>
      <c r="B4194" s="125"/>
      <c r="C4194" s="126"/>
      <c r="D4194" s="68"/>
      <c r="E4194" s="10" t="e">
        <f>TRIM(VLOOKUP(D4194,TB!$B$9:$C$1500,2,FALSE))</f>
        <v>#N/A</v>
      </c>
      <c r="F4194" s="142"/>
      <c r="G4194" s="130"/>
      <c r="H4194" s="10"/>
      <c r="I4194" s="10"/>
      <c r="J4194" s="79" t="e">
        <f t="shared" si="269"/>
        <v>#VALUE!</v>
      </c>
      <c r="K4194" s="106"/>
      <c r="L4194" s="141"/>
      <c r="M4194" s="132"/>
      <c r="N4194" s="133"/>
      <c r="O4194" s="4"/>
      <c r="P4194" s="4"/>
      <c r="Q4194" s="4"/>
      <c r="R4194" s="4"/>
      <c r="S4194" s="4"/>
      <c r="T4194" s="4"/>
      <c r="U4194" s="4"/>
      <c r="V4194" s="4"/>
      <c r="W4194" s="4"/>
      <c r="X4194" s="4"/>
    </row>
    <row r="4195" spans="1:24" ht="14.25" customHeight="1">
      <c r="A4195" s="4"/>
      <c r="B4195" s="125">
        <v>46176</v>
      </c>
      <c r="C4195" s="126" t="s">
        <v>2056</v>
      </c>
      <c r="D4195" s="15" t="s">
        <v>2121</v>
      </c>
      <c r="E4195" s="10" t="str">
        <f>TRIM(VLOOKUP(D4195,TB!$B$9:$C$1500,2,FALSE))</f>
        <v>Mango Fruit</v>
      </c>
      <c r="F4195" s="142" t="s">
        <v>2122</v>
      </c>
      <c r="G4195" s="130">
        <v>1</v>
      </c>
      <c r="H4195" s="10">
        <v>48000</v>
      </c>
      <c r="I4195" s="10"/>
      <c r="J4195" s="79" t="e">
        <f t="shared" si="269"/>
        <v>#VALUE!</v>
      </c>
      <c r="K4195" s="106">
        <f t="shared" ref="K4195:K4204" si="275">H4195/G4195</f>
        <v>48000</v>
      </c>
      <c r="L4195" s="141"/>
      <c r="M4195" s="132"/>
      <c r="N4195" s="133"/>
      <c r="O4195" s="4"/>
      <c r="P4195" s="4"/>
      <c r="Q4195" s="4"/>
      <c r="R4195" s="4"/>
      <c r="S4195" s="4"/>
      <c r="T4195" s="4"/>
      <c r="U4195" s="4"/>
      <c r="V4195" s="4"/>
      <c r="W4195" s="4"/>
      <c r="X4195" s="4"/>
    </row>
    <row r="4196" spans="1:24" ht="14.25" customHeight="1">
      <c r="A4196" s="4"/>
      <c r="B4196" s="125">
        <v>46176</v>
      </c>
      <c r="C4196" s="126" t="s">
        <v>2056</v>
      </c>
      <c r="D4196" s="15" t="s">
        <v>2113</v>
      </c>
      <c r="E4196" s="10" t="str">
        <f>TRIM(VLOOKUP(D4196,TB!$B$9:$C$1500,2,FALSE))</f>
        <v>Grape Fruit/BUAH ANGGUR</v>
      </c>
      <c r="F4196" s="142" t="s">
        <v>2114</v>
      </c>
      <c r="G4196" s="130">
        <v>0.25</v>
      </c>
      <c r="H4196" s="10">
        <f>100000*0.25</f>
        <v>25000</v>
      </c>
      <c r="I4196" s="10"/>
      <c r="J4196" s="79" t="e">
        <f t="shared" si="269"/>
        <v>#VALUE!</v>
      </c>
      <c r="K4196" s="106">
        <f t="shared" si="275"/>
        <v>100000</v>
      </c>
      <c r="L4196" s="141"/>
      <c r="M4196" s="132"/>
      <c r="N4196" s="133"/>
      <c r="O4196" s="4"/>
      <c r="P4196" s="4"/>
      <c r="Q4196" s="4"/>
      <c r="R4196" s="4"/>
      <c r="S4196" s="4"/>
      <c r="T4196" s="4"/>
      <c r="U4196" s="4"/>
      <c r="V4196" s="4"/>
      <c r="W4196" s="4"/>
      <c r="X4196" s="4"/>
    </row>
    <row r="4197" spans="1:24" ht="14.25" customHeight="1">
      <c r="A4197" s="4"/>
      <c r="B4197" s="125">
        <v>46176</v>
      </c>
      <c r="C4197" s="126" t="s">
        <v>2056</v>
      </c>
      <c r="D4197" s="15" t="s">
        <v>2057</v>
      </c>
      <c r="E4197" s="10" t="str">
        <f>TRIM(VLOOKUP(D4197,TB!$B$9:$C$1500,2,FALSE))</f>
        <v>Capsicum/Paprika</v>
      </c>
      <c r="F4197" s="142" t="s">
        <v>2123</v>
      </c>
      <c r="G4197" s="130">
        <v>1</v>
      </c>
      <c r="H4197" s="10">
        <f>70000</f>
        <v>70000</v>
      </c>
      <c r="I4197" s="10"/>
      <c r="J4197" s="79" t="e">
        <f t="shared" si="269"/>
        <v>#VALUE!</v>
      </c>
      <c r="K4197" s="106">
        <f t="shared" si="275"/>
        <v>70000</v>
      </c>
      <c r="L4197" s="141"/>
      <c r="M4197" s="132"/>
      <c r="N4197" s="133"/>
      <c r="O4197" s="4"/>
      <c r="P4197" s="4"/>
      <c r="Q4197" s="4"/>
      <c r="R4197" s="4"/>
      <c r="S4197" s="4"/>
      <c r="T4197" s="4"/>
      <c r="U4197" s="4"/>
      <c r="V4197" s="4"/>
      <c r="W4197" s="4"/>
      <c r="X4197" s="4"/>
    </row>
    <row r="4198" spans="1:24" ht="14.25" customHeight="1">
      <c r="A4198" s="4"/>
      <c r="B4198" s="125">
        <v>46176</v>
      </c>
      <c r="C4198" s="126" t="s">
        <v>2056</v>
      </c>
      <c r="D4198" s="15" t="s">
        <v>2057</v>
      </c>
      <c r="E4198" s="10" t="str">
        <f>TRIM(VLOOKUP(D4198,TB!$B$9:$C$1500,2,FALSE))</f>
        <v>Capsicum/Paprika</v>
      </c>
      <c r="F4198" s="142" t="s">
        <v>2124</v>
      </c>
      <c r="G4198" s="130">
        <v>0.5</v>
      </c>
      <c r="H4198" s="10">
        <f>65000*0.5</f>
        <v>32500</v>
      </c>
      <c r="I4198" s="10"/>
      <c r="J4198" s="79" t="e">
        <f t="shared" si="269"/>
        <v>#VALUE!</v>
      </c>
      <c r="K4198" s="106">
        <f t="shared" si="275"/>
        <v>65000</v>
      </c>
      <c r="L4198" s="141"/>
      <c r="M4198" s="132"/>
      <c r="N4198" s="133"/>
      <c r="O4198" s="4"/>
      <c r="P4198" s="4"/>
      <c r="Q4198" s="4"/>
      <c r="R4198" s="4"/>
      <c r="S4198" s="4"/>
      <c r="T4198" s="4"/>
      <c r="U4198" s="4"/>
      <c r="V4198" s="4"/>
      <c r="W4198" s="4"/>
      <c r="X4198" s="4"/>
    </row>
    <row r="4199" spans="1:24" ht="14.25" customHeight="1">
      <c r="A4199" s="4"/>
      <c r="B4199" s="125">
        <v>46176</v>
      </c>
      <c r="C4199" s="126" t="s">
        <v>2056</v>
      </c>
      <c r="D4199" s="15" t="s">
        <v>1888</v>
      </c>
      <c r="E4199" s="10" t="str">
        <f>TRIM(VLOOKUP(D4199,TB!$B$9:$C$1500,2,FALSE))</f>
        <v>Romaine</v>
      </c>
      <c r="F4199" s="142" t="s">
        <v>2096</v>
      </c>
      <c r="G4199" s="130">
        <v>0.5</v>
      </c>
      <c r="H4199" s="10">
        <f>50000*0.5</f>
        <v>25000</v>
      </c>
      <c r="I4199" s="10"/>
      <c r="J4199" s="79" t="e">
        <f t="shared" si="269"/>
        <v>#VALUE!</v>
      </c>
      <c r="K4199" s="106">
        <f t="shared" si="275"/>
        <v>50000</v>
      </c>
      <c r="L4199" s="141"/>
      <c r="M4199" s="132"/>
      <c r="N4199" s="133"/>
      <c r="O4199" s="4"/>
      <c r="P4199" s="4"/>
      <c r="Q4199" s="4"/>
      <c r="R4199" s="4"/>
      <c r="S4199" s="4"/>
      <c r="T4199" s="4"/>
      <c r="U4199" s="4"/>
      <c r="V4199" s="4"/>
      <c r="W4199" s="4"/>
      <c r="X4199" s="4"/>
    </row>
    <row r="4200" spans="1:24" ht="14.25" customHeight="1">
      <c r="A4200" s="4"/>
      <c r="B4200" s="125">
        <v>46176</v>
      </c>
      <c r="C4200" s="126" t="s">
        <v>2056</v>
      </c>
      <c r="D4200" s="15" t="s">
        <v>1877</v>
      </c>
      <c r="E4200" s="10" t="str">
        <f>TRIM(VLOOKUP(D4200,TB!$B$9:$C$1500,2,FALSE))</f>
        <v>Pok Coy</v>
      </c>
      <c r="F4200" s="142" t="s">
        <v>2125</v>
      </c>
      <c r="G4200" s="130">
        <v>0.5</v>
      </c>
      <c r="H4200" s="10">
        <f>15000*0.5</f>
        <v>7500</v>
      </c>
      <c r="I4200" s="10"/>
      <c r="J4200" s="79" t="e">
        <f t="shared" si="269"/>
        <v>#VALUE!</v>
      </c>
      <c r="K4200" s="106">
        <f t="shared" si="275"/>
        <v>15000</v>
      </c>
      <c r="L4200" s="141"/>
      <c r="M4200" s="132"/>
      <c r="N4200" s="133"/>
      <c r="O4200" s="4"/>
      <c r="P4200" s="4"/>
      <c r="Q4200" s="4"/>
      <c r="R4200" s="4"/>
      <c r="S4200" s="4"/>
      <c r="T4200" s="4"/>
      <c r="U4200" s="4"/>
      <c r="V4200" s="4"/>
      <c r="W4200" s="4"/>
      <c r="X4200" s="4"/>
    </row>
    <row r="4201" spans="1:24" ht="14.25" customHeight="1">
      <c r="A4201" s="4"/>
      <c r="B4201" s="125">
        <v>46176</v>
      </c>
      <c r="C4201" s="126" t="s">
        <v>2056</v>
      </c>
      <c r="D4201" s="15" t="s">
        <v>2126</v>
      </c>
      <c r="E4201" s="10" t="str">
        <f>TRIM(VLOOKUP(D4201,TB!$B$9:$C$1500,2,FALSE))</f>
        <v>Rice/Beras</v>
      </c>
      <c r="F4201" s="142" t="s">
        <v>2127</v>
      </c>
      <c r="G4201" s="130">
        <v>5</v>
      </c>
      <c r="H4201" s="10">
        <v>85000</v>
      </c>
      <c r="I4201" s="10"/>
      <c r="J4201" s="79" t="e">
        <f t="shared" si="269"/>
        <v>#VALUE!</v>
      </c>
      <c r="K4201" s="106">
        <f t="shared" si="275"/>
        <v>17000</v>
      </c>
      <c r="L4201" s="141"/>
      <c r="M4201" s="132"/>
      <c r="N4201" s="133"/>
      <c r="O4201" s="4"/>
      <c r="P4201" s="4"/>
      <c r="Q4201" s="4"/>
      <c r="R4201" s="4"/>
      <c r="S4201" s="4"/>
      <c r="T4201" s="4"/>
      <c r="U4201" s="4"/>
      <c r="V4201" s="4"/>
      <c r="W4201" s="4"/>
      <c r="X4201" s="4"/>
    </row>
    <row r="4202" spans="1:24" ht="14.25" customHeight="1">
      <c r="A4202" s="4"/>
      <c r="B4202" s="125">
        <v>46176</v>
      </c>
      <c r="C4202" s="126" t="s">
        <v>2056</v>
      </c>
      <c r="D4202" s="15" t="s">
        <v>2128</v>
      </c>
      <c r="E4202" s="10" t="str">
        <f>TRIM(VLOOKUP(D4202,TB!$B$9:$C$1500,2,FALSE))</f>
        <v>Black Pepper</v>
      </c>
      <c r="F4202" s="142" t="s">
        <v>2129</v>
      </c>
      <c r="G4202" s="130">
        <v>0.5</v>
      </c>
      <c r="H4202" s="10">
        <f>150000*0.5</f>
        <v>75000</v>
      </c>
      <c r="I4202" s="10"/>
      <c r="J4202" s="79" t="e">
        <f t="shared" si="269"/>
        <v>#VALUE!</v>
      </c>
      <c r="K4202" s="106">
        <f t="shared" si="275"/>
        <v>150000</v>
      </c>
      <c r="L4202" s="141"/>
      <c r="M4202" s="132"/>
      <c r="N4202" s="133"/>
      <c r="O4202" s="4"/>
      <c r="P4202" s="4"/>
      <c r="Q4202" s="4"/>
      <c r="R4202" s="4"/>
      <c r="S4202" s="4"/>
      <c r="T4202" s="4"/>
      <c r="U4202" s="4"/>
      <c r="V4202" s="4"/>
      <c r="W4202" s="4"/>
      <c r="X4202" s="4"/>
    </row>
    <row r="4203" spans="1:24" ht="14.25" customHeight="1">
      <c r="A4203" s="4"/>
      <c r="B4203" s="125">
        <v>46176</v>
      </c>
      <c r="C4203" s="126" t="s">
        <v>2056</v>
      </c>
      <c r="D4203" s="15" t="s">
        <v>1988</v>
      </c>
      <c r="E4203" s="10" t="str">
        <f>TRIM(VLOOKUP(D4203,TB!$B$9:$C$1500,2,FALSE))</f>
        <v>Salt</v>
      </c>
      <c r="F4203" s="142" t="s">
        <v>2130</v>
      </c>
      <c r="G4203" s="130">
        <v>1</v>
      </c>
      <c r="H4203" s="10">
        <v>22000</v>
      </c>
      <c r="I4203" s="10"/>
      <c r="J4203" s="79" t="e">
        <f t="shared" si="269"/>
        <v>#VALUE!</v>
      </c>
      <c r="K4203" s="106">
        <f t="shared" si="275"/>
        <v>22000</v>
      </c>
      <c r="L4203" s="141"/>
      <c r="M4203" s="132"/>
      <c r="N4203" s="133"/>
      <c r="O4203" s="4"/>
      <c r="P4203" s="4"/>
      <c r="Q4203" s="4"/>
      <c r="R4203" s="4"/>
      <c r="S4203" s="4"/>
      <c r="T4203" s="4"/>
      <c r="U4203" s="4"/>
      <c r="V4203" s="4"/>
      <c r="W4203" s="4"/>
      <c r="X4203" s="4"/>
    </row>
    <row r="4204" spans="1:24" ht="14.25" customHeight="1">
      <c r="A4204" s="4"/>
      <c r="B4204" s="125">
        <v>46176</v>
      </c>
      <c r="C4204" s="126" t="s">
        <v>2056</v>
      </c>
      <c r="D4204" s="15" t="s">
        <v>1875</v>
      </c>
      <c r="E4204" s="10" t="str">
        <f>TRIM(VLOOKUP(D4204,TB!$B$9:$C$1500,2,FALSE))</f>
        <v>Onion/Bombay</v>
      </c>
      <c r="F4204" s="142" t="s">
        <v>2131</v>
      </c>
      <c r="G4204" s="130">
        <v>1</v>
      </c>
      <c r="H4204" s="10">
        <v>22000</v>
      </c>
      <c r="I4204" s="10"/>
      <c r="J4204" s="79" t="e">
        <f t="shared" si="269"/>
        <v>#VALUE!</v>
      </c>
      <c r="K4204" s="106">
        <f t="shared" si="275"/>
        <v>22000</v>
      </c>
      <c r="L4204" s="141"/>
      <c r="M4204" s="132"/>
      <c r="N4204" s="133"/>
      <c r="O4204" s="4"/>
      <c r="P4204" s="4"/>
      <c r="Q4204" s="4"/>
      <c r="R4204" s="4"/>
      <c r="S4204" s="4"/>
      <c r="T4204" s="4"/>
      <c r="U4204" s="4"/>
      <c r="V4204" s="4"/>
      <c r="W4204" s="4"/>
      <c r="X4204" s="4"/>
    </row>
    <row r="4205" spans="1:24" ht="14.25" customHeight="1">
      <c r="A4205" s="4"/>
      <c r="B4205" s="125">
        <v>46176</v>
      </c>
      <c r="C4205" s="126" t="s">
        <v>2056</v>
      </c>
      <c r="D4205" s="15" t="s">
        <v>285</v>
      </c>
      <c r="E4205" s="10" t="str">
        <f>TRIM(VLOOKUP(D4205,TB!$B$9:$C$1500,2,FALSE))</f>
        <v>Misc Cash Purchase</v>
      </c>
      <c r="F4205" s="142" t="s">
        <v>2132</v>
      </c>
      <c r="G4205" s="130"/>
      <c r="H4205" s="10"/>
      <c r="I4205" s="10">
        <v>412000</v>
      </c>
      <c r="J4205" s="79" t="e">
        <f t="shared" si="269"/>
        <v>#VALUE!</v>
      </c>
      <c r="K4205" s="106"/>
      <c r="L4205" s="141"/>
      <c r="M4205" s="132"/>
      <c r="N4205" s="133"/>
      <c r="O4205" s="4"/>
      <c r="P4205" s="4"/>
      <c r="Q4205" s="4"/>
      <c r="R4205" s="4"/>
      <c r="S4205" s="4"/>
      <c r="T4205" s="4"/>
      <c r="U4205" s="4"/>
      <c r="V4205" s="4"/>
      <c r="W4205" s="4"/>
      <c r="X4205" s="4"/>
    </row>
    <row r="4206" spans="1:24" ht="14.25" customHeight="1">
      <c r="A4206" s="4"/>
      <c r="B4206" s="125"/>
      <c r="C4206" s="126"/>
      <c r="D4206" s="68"/>
      <c r="E4206" s="10" t="e">
        <f>TRIM(VLOOKUP(D4206,TB!$B$9:$C$1500,2,FALSE))</f>
        <v>#N/A</v>
      </c>
      <c r="F4206" s="142"/>
      <c r="G4206" s="130"/>
      <c r="H4206" s="10"/>
      <c r="I4206" s="10"/>
      <c r="J4206" s="79" t="e">
        <f t="shared" si="269"/>
        <v>#VALUE!</v>
      </c>
      <c r="K4206" s="106"/>
      <c r="L4206" s="141"/>
      <c r="M4206" s="132"/>
      <c r="N4206" s="133"/>
      <c r="O4206" s="4"/>
      <c r="P4206" s="4"/>
      <c r="Q4206" s="4"/>
      <c r="R4206" s="4"/>
      <c r="S4206" s="4"/>
      <c r="T4206" s="4"/>
      <c r="U4206" s="4"/>
      <c r="V4206" s="4"/>
      <c r="W4206" s="4"/>
      <c r="X4206" s="4"/>
    </row>
    <row r="4207" spans="1:24" ht="14.25" customHeight="1">
      <c r="A4207" s="4"/>
      <c r="B4207" s="125">
        <v>46176</v>
      </c>
      <c r="C4207" s="126" t="s">
        <v>2056</v>
      </c>
      <c r="D4207" s="15" t="s">
        <v>1916</v>
      </c>
      <c r="E4207" s="10" t="str">
        <f>TRIM(VLOOKUP(D4207,TB!$B$9:$C$1500,2,FALSE))</f>
        <v>Egg/Telur</v>
      </c>
      <c r="F4207" s="142" t="s">
        <v>2133</v>
      </c>
      <c r="G4207" s="130">
        <f>5*30</f>
        <v>150</v>
      </c>
      <c r="H4207" s="10">
        <f>55000*5</f>
        <v>275000</v>
      </c>
      <c r="I4207" s="10"/>
      <c r="J4207" s="79" t="e">
        <f t="shared" si="269"/>
        <v>#VALUE!</v>
      </c>
      <c r="K4207" s="106">
        <f t="shared" ref="K4207:K4208" si="276">H4207/G4207</f>
        <v>1833.3333333333333</v>
      </c>
      <c r="L4207" s="141"/>
      <c r="M4207" s="132"/>
      <c r="N4207" s="133"/>
      <c r="O4207" s="4"/>
      <c r="P4207" s="4"/>
      <c r="Q4207" s="4"/>
      <c r="R4207" s="4"/>
      <c r="S4207" s="4"/>
      <c r="T4207" s="4"/>
      <c r="U4207" s="4"/>
      <c r="V4207" s="4"/>
      <c r="W4207" s="4"/>
      <c r="X4207" s="4"/>
    </row>
    <row r="4208" spans="1:24" ht="14.25" customHeight="1">
      <c r="A4208" s="4"/>
      <c r="B4208" s="125">
        <v>46176</v>
      </c>
      <c r="C4208" s="126" t="s">
        <v>2056</v>
      </c>
      <c r="D4208" s="15" t="s">
        <v>2134</v>
      </c>
      <c r="E4208" s="10" t="str">
        <f>TRIM(VLOOKUP(D4208,TB!$B$9:$C$1500,2,FALSE))</f>
        <v>Chicken Leg Fillet/Ayam Penjantan</v>
      </c>
      <c r="F4208" s="142" t="s">
        <v>2135</v>
      </c>
      <c r="G4208" s="130">
        <v>3</v>
      </c>
      <c r="H4208" s="10">
        <f>3*70000</f>
        <v>210000</v>
      </c>
      <c r="I4208" s="10"/>
      <c r="J4208" s="79" t="e">
        <f t="shared" si="269"/>
        <v>#VALUE!</v>
      </c>
      <c r="K4208" s="106">
        <f t="shared" si="276"/>
        <v>70000</v>
      </c>
      <c r="L4208" s="141"/>
      <c r="M4208" s="132"/>
      <c r="N4208" s="133"/>
      <c r="O4208" s="4"/>
      <c r="P4208" s="4"/>
      <c r="Q4208" s="4"/>
      <c r="R4208" s="4"/>
      <c r="S4208" s="4"/>
      <c r="T4208" s="4"/>
      <c r="U4208" s="4"/>
      <c r="V4208" s="4"/>
      <c r="W4208" s="4"/>
      <c r="X4208" s="4"/>
    </row>
    <row r="4209" spans="1:24" ht="14.25" customHeight="1">
      <c r="A4209" s="4"/>
      <c r="B4209" s="125">
        <v>46176</v>
      </c>
      <c r="C4209" s="126" t="s">
        <v>2056</v>
      </c>
      <c r="D4209" s="15" t="s">
        <v>285</v>
      </c>
      <c r="E4209" s="10" t="str">
        <f>TRIM(VLOOKUP(D4209,TB!$B$9:$C$1500,2,FALSE))</f>
        <v>Misc Cash Purchase</v>
      </c>
      <c r="F4209" s="142" t="s">
        <v>2136</v>
      </c>
      <c r="G4209" s="130"/>
      <c r="H4209" s="10"/>
      <c r="I4209" s="10">
        <v>485000</v>
      </c>
      <c r="J4209" s="79" t="e">
        <f t="shared" si="269"/>
        <v>#VALUE!</v>
      </c>
      <c r="K4209" s="106"/>
      <c r="L4209" s="141"/>
      <c r="M4209" s="132"/>
      <c r="N4209" s="133"/>
      <c r="O4209" s="4"/>
      <c r="P4209" s="4"/>
      <c r="Q4209" s="4"/>
      <c r="R4209" s="4"/>
      <c r="S4209" s="4"/>
      <c r="T4209" s="4"/>
      <c r="U4209" s="4"/>
      <c r="V4209" s="4"/>
      <c r="W4209" s="4"/>
      <c r="X4209" s="4"/>
    </row>
    <row r="4210" spans="1:24" ht="14.25" customHeight="1">
      <c r="A4210" s="4"/>
      <c r="B4210" s="125"/>
      <c r="C4210" s="126"/>
      <c r="D4210" s="68"/>
      <c r="E4210" s="10" t="e">
        <f>TRIM(VLOOKUP(D4210,TB!$B$9:$C$1500,2,FALSE))</f>
        <v>#N/A</v>
      </c>
      <c r="F4210" s="142"/>
      <c r="G4210" s="130"/>
      <c r="H4210" s="10"/>
      <c r="I4210" s="10"/>
      <c r="J4210" s="79" t="e">
        <f t="shared" si="269"/>
        <v>#VALUE!</v>
      </c>
      <c r="K4210" s="106"/>
      <c r="L4210" s="141"/>
      <c r="M4210" s="132"/>
      <c r="N4210" s="133"/>
      <c r="O4210" s="4"/>
      <c r="P4210" s="4"/>
      <c r="Q4210" s="4"/>
      <c r="R4210" s="4"/>
      <c r="S4210" s="4"/>
      <c r="T4210" s="4"/>
      <c r="U4210" s="4"/>
      <c r="V4210" s="4"/>
      <c r="W4210" s="4"/>
      <c r="X4210" s="4"/>
    </row>
    <row r="4211" spans="1:24" ht="14.25" customHeight="1">
      <c r="A4211" s="4"/>
      <c r="B4211" s="125">
        <v>46177</v>
      </c>
      <c r="C4211" s="126" t="s">
        <v>2056</v>
      </c>
      <c r="D4211" s="15" t="s">
        <v>2087</v>
      </c>
      <c r="E4211" s="10" t="str">
        <f>TRIM(VLOOKUP(D4211,TB!$B$9:$C$1500,2,FALSE))</f>
        <v>Mushroom Shimeji / Bunapi</v>
      </c>
      <c r="F4211" s="142" t="s">
        <v>2137</v>
      </c>
      <c r="G4211" s="130">
        <v>4</v>
      </c>
      <c r="H4211" s="10">
        <f>17000*4</f>
        <v>68000</v>
      </c>
      <c r="I4211" s="10"/>
      <c r="J4211" s="79" t="e">
        <f t="shared" si="269"/>
        <v>#VALUE!</v>
      </c>
      <c r="K4211" s="106">
        <f t="shared" ref="K4211:K4222" si="277">H4211/G4211</f>
        <v>17000</v>
      </c>
      <c r="L4211" s="141"/>
      <c r="M4211" s="132"/>
      <c r="N4211" s="133"/>
      <c r="O4211" s="4"/>
      <c r="P4211" s="4"/>
      <c r="Q4211" s="4"/>
      <c r="R4211" s="4"/>
      <c r="S4211" s="4"/>
      <c r="T4211" s="4"/>
      <c r="U4211" s="4"/>
      <c r="V4211" s="4"/>
      <c r="W4211" s="4"/>
      <c r="X4211" s="4"/>
    </row>
    <row r="4212" spans="1:24" ht="14.25" customHeight="1">
      <c r="A4212" s="4"/>
      <c r="B4212" s="125">
        <v>46177</v>
      </c>
      <c r="C4212" s="126" t="s">
        <v>2056</v>
      </c>
      <c r="D4212" s="15" t="s">
        <v>2085</v>
      </c>
      <c r="E4212" s="10" t="str">
        <f>TRIM(VLOOKUP(D4212,TB!$B$9:$C$1500,2,FALSE))</f>
        <v>Carrot/Wortel</v>
      </c>
      <c r="F4212" s="142" t="s">
        <v>2086</v>
      </c>
      <c r="G4212" s="130">
        <v>1</v>
      </c>
      <c r="H4212" s="10">
        <v>18000</v>
      </c>
      <c r="I4212" s="10"/>
      <c r="J4212" s="79" t="e">
        <f t="shared" si="269"/>
        <v>#VALUE!</v>
      </c>
      <c r="K4212" s="106">
        <f t="shared" si="277"/>
        <v>18000</v>
      </c>
      <c r="L4212" s="141"/>
      <c r="M4212" s="132"/>
      <c r="N4212" s="133"/>
      <c r="O4212" s="4"/>
      <c r="P4212" s="4"/>
      <c r="Q4212" s="4"/>
      <c r="R4212" s="4"/>
      <c r="S4212" s="4"/>
      <c r="T4212" s="4"/>
      <c r="U4212" s="4"/>
      <c r="V4212" s="4"/>
      <c r="W4212" s="4"/>
      <c r="X4212" s="4"/>
    </row>
    <row r="4213" spans="1:24" ht="14.25" customHeight="1">
      <c r="A4213" s="4"/>
      <c r="B4213" s="125">
        <v>46177</v>
      </c>
      <c r="C4213" s="126" t="s">
        <v>2056</v>
      </c>
      <c r="D4213" s="15" t="s">
        <v>2138</v>
      </c>
      <c r="E4213" s="10" t="str">
        <f>TRIM(VLOOKUP(D4213,TB!$B$9:$C$1500,2,FALSE))</f>
        <v>Baby Carrot/Wortel</v>
      </c>
      <c r="F4213" s="142" t="s">
        <v>2139</v>
      </c>
      <c r="G4213" s="130">
        <v>1</v>
      </c>
      <c r="H4213" s="10">
        <v>35000</v>
      </c>
      <c r="I4213" s="10"/>
      <c r="J4213" s="79" t="e">
        <f t="shared" si="269"/>
        <v>#VALUE!</v>
      </c>
      <c r="K4213" s="106">
        <f t="shared" si="277"/>
        <v>35000</v>
      </c>
      <c r="L4213" s="141"/>
      <c r="M4213" s="132"/>
      <c r="N4213" s="133"/>
      <c r="O4213" s="4"/>
      <c r="P4213" s="4"/>
      <c r="Q4213" s="4"/>
      <c r="R4213" s="4"/>
      <c r="S4213" s="4"/>
      <c r="T4213" s="4"/>
      <c r="U4213" s="4"/>
      <c r="V4213" s="4"/>
      <c r="W4213" s="4"/>
      <c r="X4213" s="4"/>
    </row>
    <row r="4214" spans="1:24" ht="14.25" customHeight="1">
      <c r="A4214" s="4"/>
      <c r="B4214" s="125">
        <v>46177</v>
      </c>
      <c r="C4214" s="126" t="s">
        <v>2056</v>
      </c>
      <c r="D4214" s="15" t="s">
        <v>1890</v>
      </c>
      <c r="E4214" s="10" t="str">
        <f>TRIM(VLOOKUP(D4214,TB!$B$9:$C$1500,2,FALSE))</f>
        <v>Avocado</v>
      </c>
      <c r="F4214" s="142" t="s">
        <v>2140</v>
      </c>
      <c r="G4214" s="130">
        <v>0.6</v>
      </c>
      <c r="H4214" s="10">
        <f>36000*0.6</f>
        <v>21600</v>
      </c>
      <c r="I4214" s="10"/>
      <c r="J4214" s="79" t="e">
        <f t="shared" si="269"/>
        <v>#VALUE!</v>
      </c>
      <c r="K4214" s="106">
        <f t="shared" si="277"/>
        <v>36000</v>
      </c>
      <c r="L4214" s="141"/>
      <c r="M4214" s="132"/>
      <c r="N4214" s="133"/>
      <c r="O4214" s="4"/>
      <c r="P4214" s="4"/>
      <c r="Q4214" s="4"/>
      <c r="R4214" s="4"/>
      <c r="S4214" s="4"/>
      <c r="T4214" s="4"/>
      <c r="U4214" s="4"/>
      <c r="V4214" s="4"/>
      <c r="W4214" s="4"/>
      <c r="X4214" s="4"/>
    </row>
    <row r="4215" spans="1:24" ht="14.25" customHeight="1">
      <c r="A4215" s="4"/>
      <c r="B4215" s="125">
        <v>46177</v>
      </c>
      <c r="C4215" s="126" t="s">
        <v>2056</v>
      </c>
      <c r="D4215" s="15" t="s">
        <v>1877</v>
      </c>
      <c r="E4215" s="10" t="str">
        <f>TRIM(VLOOKUP(D4215,TB!$B$9:$C$1500,2,FALSE))</f>
        <v>Pok Coy</v>
      </c>
      <c r="F4215" s="142" t="s">
        <v>2125</v>
      </c>
      <c r="G4215" s="130">
        <v>0.5</v>
      </c>
      <c r="H4215" s="10">
        <f>15000*0.5</f>
        <v>7500</v>
      </c>
      <c r="I4215" s="10"/>
      <c r="J4215" s="79" t="e">
        <f t="shared" si="269"/>
        <v>#VALUE!</v>
      </c>
      <c r="K4215" s="106">
        <f t="shared" si="277"/>
        <v>15000</v>
      </c>
      <c r="L4215" s="141"/>
      <c r="M4215" s="132"/>
      <c r="N4215" s="133"/>
      <c r="O4215" s="4"/>
      <c r="P4215" s="4"/>
      <c r="Q4215" s="4"/>
      <c r="R4215" s="4"/>
      <c r="S4215" s="4"/>
      <c r="T4215" s="4"/>
      <c r="U4215" s="4"/>
      <c r="V4215" s="4"/>
      <c r="W4215" s="4"/>
      <c r="X4215" s="4"/>
    </row>
    <row r="4216" spans="1:24" ht="14.25" customHeight="1">
      <c r="A4216" s="4"/>
      <c r="B4216" s="125">
        <v>46177</v>
      </c>
      <c r="C4216" s="126" t="s">
        <v>2056</v>
      </c>
      <c r="D4216" s="15" t="s">
        <v>2141</v>
      </c>
      <c r="E4216" s="10" t="str">
        <f>TRIM(VLOOKUP(D4216,TB!$B$9:$C$1500,2,FALSE))</f>
        <v>Dill Daun</v>
      </c>
      <c r="F4216" s="142" t="s">
        <v>2142</v>
      </c>
      <c r="G4216" s="130">
        <v>0.1</v>
      </c>
      <c r="H4216" s="10">
        <f>130000*0.1</f>
        <v>13000</v>
      </c>
      <c r="I4216" s="10"/>
      <c r="J4216" s="79" t="e">
        <f t="shared" si="269"/>
        <v>#VALUE!</v>
      </c>
      <c r="K4216" s="106">
        <f t="shared" si="277"/>
        <v>130000</v>
      </c>
      <c r="L4216" s="141"/>
      <c r="M4216" s="132"/>
      <c r="N4216" s="133"/>
      <c r="O4216" s="4"/>
      <c r="P4216" s="4"/>
      <c r="Q4216" s="4"/>
      <c r="R4216" s="4"/>
      <c r="S4216" s="4"/>
      <c r="T4216" s="4"/>
      <c r="U4216" s="4"/>
      <c r="V4216" s="4"/>
      <c r="W4216" s="4"/>
      <c r="X4216" s="4"/>
    </row>
    <row r="4217" spans="1:24" ht="14.25" customHeight="1">
      <c r="A4217" s="4"/>
      <c r="B4217" s="125">
        <v>46177</v>
      </c>
      <c r="C4217" s="126" t="s">
        <v>2056</v>
      </c>
      <c r="D4217" s="15" t="s">
        <v>1886</v>
      </c>
      <c r="E4217" s="10" t="str">
        <f>TRIM(VLOOKUP(D4217,TB!$B$9:$C$1500,2,FALSE))</f>
        <v>Ruccola</v>
      </c>
      <c r="F4217" s="142" t="s">
        <v>2143</v>
      </c>
      <c r="G4217" s="130">
        <v>0.5</v>
      </c>
      <c r="H4217" s="10">
        <f>80000*0.5</f>
        <v>40000</v>
      </c>
      <c r="I4217" s="10"/>
      <c r="J4217" s="79" t="e">
        <f t="shared" si="269"/>
        <v>#VALUE!</v>
      </c>
      <c r="K4217" s="106">
        <f t="shared" si="277"/>
        <v>80000</v>
      </c>
      <c r="L4217" s="141"/>
      <c r="M4217" s="132"/>
      <c r="N4217" s="133"/>
      <c r="O4217" s="4"/>
      <c r="P4217" s="4"/>
      <c r="Q4217" s="4"/>
      <c r="R4217" s="4"/>
      <c r="S4217" s="4"/>
      <c r="T4217" s="4"/>
      <c r="U4217" s="4"/>
      <c r="V4217" s="4"/>
      <c r="W4217" s="4"/>
      <c r="X4217" s="4"/>
    </row>
    <row r="4218" spans="1:24" ht="14.25" customHeight="1">
      <c r="A4218" s="4"/>
      <c r="B4218" s="125">
        <v>46177</v>
      </c>
      <c r="C4218" s="126" t="s">
        <v>2056</v>
      </c>
      <c r="D4218" s="15" t="s">
        <v>2121</v>
      </c>
      <c r="E4218" s="10" t="str">
        <f>TRIM(VLOOKUP(D4218,TB!$B$9:$C$1500,2,FALSE))</f>
        <v>Mango Fruit</v>
      </c>
      <c r="F4218" s="142" t="s">
        <v>2144</v>
      </c>
      <c r="G4218" s="130">
        <v>0.8</v>
      </c>
      <c r="H4218" s="10">
        <f>48000*0.8</f>
        <v>38400</v>
      </c>
      <c r="I4218" s="10"/>
      <c r="J4218" s="79" t="e">
        <f t="shared" si="269"/>
        <v>#VALUE!</v>
      </c>
      <c r="K4218" s="106">
        <f t="shared" si="277"/>
        <v>48000</v>
      </c>
      <c r="L4218" s="141"/>
      <c r="M4218" s="132"/>
      <c r="N4218" s="133"/>
      <c r="O4218" s="4"/>
      <c r="P4218" s="4"/>
      <c r="Q4218" s="4"/>
      <c r="R4218" s="4"/>
      <c r="S4218" s="4"/>
      <c r="T4218" s="4"/>
      <c r="U4218" s="4"/>
      <c r="V4218" s="4"/>
      <c r="W4218" s="4"/>
      <c r="X4218" s="4"/>
    </row>
    <row r="4219" spans="1:24" ht="14.25" customHeight="1">
      <c r="A4219" s="4"/>
      <c r="B4219" s="125">
        <v>46177</v>
      </c>
      <c r="C4219" s="126" t="s">
        <v>2056</v>
      </c>
      <c r="D4219" s="15" t="s">
        <v>1928</v>
      </c>
      <c r="E4219" s="10" t="str">
        <f>TRIM(VLOOKUP(D4219,TB!$B$9:$C$1500,2,FALSE))</f>
        <v>Tomato 1 Kg</v>
      </c>
      <c r="F4219" s="142" t="s">
        <v>2145</v>
      </c>
      <c r="G4219" s="130">
        <v>1</v>
      </c>
      <c r="H4219" s="10">
        <v>20000</v>
      </c>
      <c r="I4219" s="10"/>
      <c r="J4219" s="79" t="e">
        <f t="shared" si="269"/>
        <v>#VALUE!</v>
      </c>
      <c r="K4219" s="106">
        <f t="shared" si="277"/>
        <v>20000</v>
      </c>
      <c r="L4219" s="141"/>
      <c r="M4219" s="132"/>
      <c r="N4219" s="133"/>
      <c r="O4219" s="4"/>
      <c r="P4219" s="4"/>
      <c r="Q4219" s="4"/>
      <c r="R4219" s="4"/>
      <c r="S4219" s="4"/>
      <c r="T4219" s="4"/>
      <c r="U4219" s="4"/>
      <c r="V4219" s="4"/>
      <c r="W4219" s="4"/>
      <c r="X4219" s="4"/>
    </row>
    <row r="4220" spans="1:24" ht="14.25" customHeight="1">
      <c r="A4220" s="4"/>
      <c r="B4220" s="125">
        <v>46177</v>
      </c>
      <c r="C4220" s="126" t="s">
        <v>2056</v>
      </c>
      <c r="D4220" s="15" t="s">
        <v>2146</v>
      </c>
      <c r="E4220" s="10" t="str">
        <f>TRIM(VLOOKUP(D4220,TB!$B$9:$C$1500,2,FALSE))</f>
        <v>Raising Flour @400 Gr</v>
      </c>
      <c r="F4220" s="142" t="s">
        <v>2147</v>
      </c>
      <c r="G4220" s="130">
        <v>3</v>
      </c>
      <c r="H4220" s="10">
        <f>23000*3</f>
        <v>69000</v>
      </c>
      <c r="I4220" s="10"/>
      <c r="J4220" s="79" t="e">
        <f t="shared" si="269"/>
        <v>#VALUE!</v>
      </c>
      <c r="K4220" s="106">
        <f t="shared" si="277"/>
        <v>23000</v>
      </c>
      <c r="L4220" s="141"/>
      <c r="M4220" s="132"/>
      <c r="N4220" s="133"/>
      <c r="O4220" s="4"/>
      <c r="P4220" s="4"/>
      <c r="Q4220" s="4"/>
      <c r="R4220" s="4"/>
      <c r="S4220" s="4"/>
      <c r="T4220" s="4"/>
      <c r="U4220" s="4"/>
      <c r="V4220" s="4"/>
      <c r="W4220" s="4"/>
      <c r="X4220" s="4"/>
    </row>
    <row r="4221" spans="1:24" ht="14.25" customHeight="1">
      <c r="A4221" s="4"/>
      <c r="B4221" s="125">
        <v>46177</v>
      </c>
      <c r="C4221" s="126" t="s">
        <v>2056</v>
      </c>
      <c r="D4221" s="15" t="s">
        <v>2106</v>
      </c>
      <c r="E4221" s="10" t="str">
        <f>TRIM(VLOOKUP(D4221,TB!$B$9:$C$1500,2,FALSE))</f>
        <v>Dragon Fruit / Buah Naga</v>
      </c>
      <c r="F4221" s="142" t="s">
        <v>2148</v>
      </c>
      <c r="G4221" s="130">
        <v>0.7</v>
      </c>
      <c r="H4221" s="10">
        <f>26000*0.7</f>
        <v>18200</v>
      </c>
      <c r="I4221" s="10"/>
      <c r="J4221" s="79" t="e">
        <f t="shared" si="269"/>
        <v>#VALUE!</v>
      </c>
      <c r="K4221" s="106">
        <f t="shared" si="277"/>
        <v>26000</v>
      </c>
      <c r="L4221" s="141"/>
      <c r="M4221" s="132"/>
      <c r="N4221" s="133"/>
      <c r="O4221" s="4"/>
      <c r="P4221" s="4"/>
      <c r="Q4221" s="4"/>
      <c r="R4221" s="4"/>
      <c r="S4221" s="4"/>
      <c r="T4221" s="4"/>
      <c r="U4221" s="4"/>
      <c r="V4221" s="4"/>
      <c r="W4221" s="4"/>
      <c r="X4221" s="4"/>
    </row>
    <row r="4222" spans="1:24" ht="14.25" customHeight="1">
      <c r="A4222" s="4"/>
      <c r="B4222" s="125">
        <v>46177</v>
      </c>
      <c r="C4222" s="126" t="s">
        <v>2056</v>
      </c>
      <c r="D4222" s="15" t="s">
        <v>1888</v>
      </c>
      <c r="E4222" s="10" t="str">
        <f>TRIM(VLOOKUP(D4222,TB!$B$9:$C$1500,2,FALSE))</f>
        <v>Romaine</v>
      </c>
      <c r="F4222" s="142" t="s">
        <v>2149</v>
      </c>
      <c r="G4222" s="130">
        <v>0.5</v>
      </c>
      <c r="H4222" s="10">
        <f>50000*0.5</f>
        <v>25000</v>
      </c>
      <c r="I4222" s="10"/>
      <c r="J4222" s="79" t="e">
        <f t="shared" si="269"/>
        <v>#VALUE!</v>
      </c>
      <c r="K4222" s="106">
        <f t="shared" si="277"/>
        <v>50000</v>
      </c>
      <c r="L4222" s="141"/>
      <c r="M4222" s="132"/>
      <c r="N4222" s="133"/>
      <c r="O4222" s="4"/>
      <c r="P4222" s="4"/>
      <c r="Q4222" s="4"/>
      <c r="R4222" s="4"/>
      <c r="S4222" s="4"/>
      <c r="T4222" s="4"/>
      <c r="U4222" s="4"/>
      <c r="V4222" s="4"/>
      <c r="W4222" s="4"/>
      <c r="X4222" s="4"/>
    </row>
    <row r="4223" spans="1:24" ht="14.25" customHeight="1">
      <c r="A4223" s="4"/>
      <c r="B4223" s="125">
        <v>46177</v>
      </c>
      <c r="C4223" s="126" t="s">
        <v>2056</v>
      </c>
      <c r="D4223" s="15" t="s">
        <v>285</v>
      </c>
      <c r="E4223" s="10" t="str">
        <f>TRIM(VLOOKUP(D4223,TB!$B$9:$C$1500,2,FALSE))</f>
        <v>Misc Cash Purchase</v>
      </c>
      <c r="F4223" s="142" t="s">
        <v>2150</v>
      </c>
      <c r="G4223" s="130"/>
      <c r="H4223" s="10"/>
      <c r="I4223" s="10">
        <v>373700</v>
      </c>
      <c r="J4223" s="79" t="e">
        <f t="shared" si="269"/>
        <v>#VALUE!</v>
      </c>
      <c r="K4223" s="106"/>
      <c r="L4223" s="141"/>
      <c r="M4223" s="132"/>
      <c r="N4223" s="133"/>
      <c r="O4223" s="4"/>
      <c r="P4223" s="4"/>
      <c r="Q4223" s="4"/>
      <c r="R4223" s="4"/>
      <c r="S4223" s="4"/>
      <c r="T4223" s="4"/>
      <c r="U4223" s="4"/>
      <c r="V4223" s="4"/>
      <c r="W4223" s="4"/>
      <c r="X4223" s="4"/>
    </row>
    <row r="4224" spans="1:24" ht="14.25" customHeight="1">
      <c r="A4224" s="4"/>
      <c r="B4224" s="125"/>
      <c r="C4224" s="126"/>
      <c r="D4224" s="68"/>
      <c r="E4224" s="10" t="e">
        <f>TRIM(VLOOKUP(D4224,TB!$B$9:$C$1500,2,FALSE))</f>
        <v>#N/A</v>
      </c>
      <c r="F4224" s="142"/>
      <c r="G4224" s="130"/>
      <c r="H4224" s="10"/>
      <c r="I4224" s="10"/>
      <c r="J4224" s="79" t="e">
        <f t="shared" si="269"/>
        <v>#VALUE!</v>
      </c>
      <c r="K4224" s="106"/>
      <c r="L4224" s="141"/>
      <c r="M4224" s="132"/>
      <c r="N4224" s="133"/>
      <c r="O4224" s="4"/>
      <c r="P4224" s="4"/>
      <c r="Q4224" s="4"/>
      <c r="R4224" s="4"/>
      <c r="S4224" s="4"/>
      <c r="T4224" s="4"/>
      <c r="U4224" s="4"/>
      <c r="V4224" s="4"/>
      <c r="W4224" s="4"/>
      <c r="X4224" s="4"/>
    </row>
    <row r="4225" spans="1:24" ht="14.25" customHeight="1">
      <c r="A4225" s="4"/>
      <c r="B4225" s="125">
        <v>46178</v>
      </c>
      <c r="C4225" s="126" t="s">
        <v>2056</v>
      </c>
      <c r="D4225" s="15" t="s">
        <v>1155</v>
      </c>
      <c r="E4225" s="10" t="str">
        <f>TRIM(VLOOKUP(D4225,TB!$B$9:$C$1500,2,FALSE))</f>
        <v>Kitchen Supplies</v>
      </c>
      <c r="F4225" s="142" t="s">
        <v>2151</v>
      </c>
      <c r="G4225" s="130">
        <v>0.5</v>
      </c>
      <c r="H4225" s="10">
        <f>110000*0.5</f>
        <v>55000</v>
      </c>
      <c r="I4225" s="10"/>
      <c r="J4225" s="79" t="e">
        <f t="shared" si="269"/>
        <v>#VALUE!</v>
      </c>
      <c r="K4225" s="106">
        <f t="shared" ref="K4225:K4235" si="278">H4225/G4225</f>
        <v>110000</v>
      </c>
      <c r="L4225" s="141"/>
      <c r="M4225" s="132"/>
      <c r="N4225" s="133"/>
      <c r="O4225" s="4"/>
      <c r="P4225" s="4"/>
      <c r="Q4225" s="4"/>
      <c r="R4225" s="4"/>
      <c r="S4225" s="4"/>
      <c r="T4225" s="4"/>
      <c r="U4225" s="4"/>
      <c r="V4225" s="4"/>
      <c r="W4225" s="4"/>
      <c r="X4225" s="4"/>
    </row>
    <row r="4226" spans="1:24" ht="14.25" customHeight="1">
      <c r="A4226" s="4"/>
      <c r="B4226" s="125">
        <v>46178</v>
      </c>
      <c r="C4226" s="126" t="s">
        <v>2056</v>
      </c>
      <c r="D4226" s="15" t="s">
        <v>1807</v>
      </c>
      <c r="E4226" s="10" t="str">
        <f>TRIM(VLOOKUP(D4226,TB!$B$9:$C$1500,2,FALSE))</f>
        <v>Shallot/Bawang Merah</v>
      </c>
      <c r="F4226" s="142" t="s">
        <v>2097</v>
      </c>
      <c r="G4226" s="130">
        <v>0.25</v>
      </c>
      <c r="H4226" s="10">
        <f>45000*0.25</f>
        <v>11250</v>
      </c>
      <c r="I4226" s="10"/>
      <c r="J4226" s="79" t="e">
        <f t="shared" si="269"/>
        <v>#VALUE!</v>
      </c>
      <c r="K4226" s="106">
        <f t="shared" si="278"/>
        <v>45000</v>
      </c>
      <c r="L4226" s="141"/>
      <c r="M4226" s="132"/>
      <c r="N4226" s="133"/>
      <c r="O4226" s="4"/>
      <c r="P4226" s="4"/>
      <c r="Q4226" s="4"/>
      <c r="R4226" s="4"/>
      <c r="S4226" s="4"/>
      <c r="T4226" s="4"/>
      <c r="U4226" s="4"/>
      <c r="V4226" s="4"/>
      <c r="W4226" s="4"/>
      <c r="X4226" s="4"/>
    </row>
    <row r="4227" spans="1:24" ht="14.25" customHeight="1">
      <c r="A4227" s="4"/>
      <c r="B4227" s="125">
        <v>46178</v>
      </c>
      <c r="C4227" s="126" t="s">
        <v>2056</v>
      </c>
      <c r="D4227" s="15" t="s">
        <v>1877</v>
      </c>
      <c r="E4227" s="10" t="str">
        <f>TRIM(VLOOKUP(D4227,TB!$B$9:$C$1500,2,FALSE))</f>
        <v>Pok Coy</v>
      </c>
      <c r="F4227" s="142" t="s">
        <v>2152</v>
      </c>
      <c r="G4227" s="130">
        <v>0.5</v>
      </c>
      <c r="H4227" s="10">
        <f>15000*0.5</f>
        <v>7500</v>
      </c>
      <c r="I4227" s="10"/>
      <c r="J4227" s="79" t="e">
        <f t="shared" si="269"/>
        <v>#VALUE!</v>
      </c>
      <c r="K4227" s="106">
        <f t="shared" si="278"/>
        <v>15000</v>
      </c>
      <c r="L4227" s="141"/>
      <c r="M4227" s="132"/>
      <c r="N4227" s="133"/>
      <c r="O4227" s="4"/>
      <c r="P4227" s="4"/>
      <c r="Q4227" s="4"/>
      <c r="R4227" s="4"/>
      <c r="S4227" s="4"/>
      <c r="T4227" s="4"/>
      <c r="U4227" s="4"/>
      <c r="V4227" s="4"/>
      <c r="W4227" s="4"/>
      <c r="X4227" s="4"/>
    </row>
    <row r="4228" spans="1:24" ht="14.25" customHeight="1">
      <c r="A4228" s="4"/>
      <c r="B4228" s="125">
        <v>46178</v>
      </c>
      <c r="C4228" s="126" t="s">
        <v>2056</v>
      </c>
      <c r="D4228" s="15" t="s">
        <v>2153</v>
      </c>
      <c r="E4228" s="10" t="str">
        <f>TRIM(VLOOKUP(D4228,TB!$B$9:$C$1500,2,FALSE))</f>
        <v>Lemon Fruit</v>
      </c>
      <c r="F4228" s="142" t="s">
        <v>2154</v>
      </c>
      <c r="G4228" s="130">
        <v>0.5</v>
      </c>
      <c r="H4228" s="10">
        <f>50000*0.5</f>
        <v>25000</v>
      </c>
      <c r="I4228" s="10"/>
      <c r="J4228" s="79" t="e">
        <f t="shared" si="269"/>
        <v>#VALUE!</v>
      </c>
      <c r="K4228" s="106">
        <f t="shared" si="278"/>
        <v>50000</v>
      </c>
      <c r="L4228" s="141"/>
      <c r="M4228" s="132"/>
      <c r="N4228" s="133"/>
      <c r="O4228" s="4"/>
      <c r="P4228" s="4"/>
      <c r="Q4228" s="4"/>
      <c r="R4228" s="4"/>
      <c r="S4228" s="4"/>
      <c r="T4228" s="4"/>
      <c r="U4228" s="4"/>
      <c r="V4228" s="4"/>
      <c r="W4228" s="4"/>
      <c r="X4228" s="4"/>
    </row>
    <row r="4229" spans="1:24" ht="14.25" customHeight="1">
      <c r="A4229" s="4"/>
      <c r="B4229" s="125">
        <v>46178</v>
      </c>
      <c r="C4229" s="126" t="s">
        <v>2056</v>
      </c>
      <c r="D4229" s="15" t="s">
        <v>2113</v>
      </c>
      <c r="E4229" s="10" t="str">
        <f>TRIM(VLOOKUP(D4229,TB!$B$9:$C$1500,2,FALSE))</f>
        <v>Grape Fruit/BUAH ANGGUR</v>
      </c>
      <c r="F4229" s="142" t="s">
        <v>2114</v>
      </c>
      <c r="G4229" s="130">
        <v>0.25</v>
      </c>
      <c r="H4229" s="10">
        <f>100000*0.25</f>
        <v>25000</v>
      </c>
      <c r="I4229" s="10"/>
      <c r="J4229" s="79" t="e">
        <f t="shared" si="269"/>
        <v>#VALUE!</v>
      </c>
      <c r="K4229" s="106">
        <f t="shared" si="278"/>
        <v>100000</v>
      </c>
      <c r="L4229" s="141"/>
      <c r="M4229" s="132"/>
      <c r="N4229" s="133"/>
      <c r="O4229" s="4"/>
      <c r="P4229" s="4"/>
      <c r="Q4229" s="4"/>
      <c r="R4229" s="4"/>
      <c r="S4229" s="4"/>
      <c r="T4229" s="4"/>
      <c r="U4229" s="4"/>
      <c r="V4229" s="4"/>
      <c r="W4229" s="4"/>
      <c r="X4229" s="4"/>
    </row>
    <row r="4230" spans="1:24" ht="14.25" customHeight="1">
      <c r="A4230" s="4"/>
      <c r="B4230" s="125">
        <v>46178</v>
      </c>
      <c r="C4230" s="126" t="s">
        <v>2056</v>
      </c>
      <c r="D4230" s="15" t="s">
        <v>1765</v>
      </c>
      <c r="E4230" s="10" t="str">
        <f>TRIM(VLOOKUP(D4230,TB!$B$9:$C$1500,2,FALSE))</f>
        <v>Great Chilli / Lombok Besar</v>
      </c>
      <c r="F4230" s="142" t="s">
        <v>2155</v>
      </c>
      <c r="G4230" s="130">
        <v>0.25</v>
      </c>
      <c r="H4230" s="10">
        <f>50000*0.25</f>
        <v>12500</v>
      </c>
      <c r="I4230" s="10"/>
      <c r="J4230" s="79" t="e">
        <f t="shared" si="269"/>
        <v>#VALUE!</v>
      </c>
      <c r="K4230" s="106">
        <f t="shared" si="278"/>
        <v>50000</v>
      </c>
      <c r="L4230" s="141"/>
      <c r="M4230" s="132"/>
      <c r="N4230" s="133"/>
      <c r="O4230" s="4"/>
      <c r="P4230" s="4"/>
      <c r="Q4230" s="4"/>
      <c r="R4230" s="4"/>
      <c r="S4230" s="4"/>
      <c r="T4230" s="4"/>
      <c r="U4230" s="4"/>
      <c r="V4230" s="4"/>
      <c r="W4230" s="4"/>
      <c r="X4230" s="4"/>
    </row>
    <row r="4231" spans="1:24" ht="14.25" customHeight="1">
      <c r="A4231" s="4"/>
      <c r="B4231" s="125">
        <v>46178</v>
      </c>
      <c r="C4231" s="126" t="s">
        <v>2056</v>
      </c>
      <c r="D4231" s="15" t="s">
        <v>2156</v>
      </c>
      <c r="E4231" s="10" t="str">
        <f>TRIM(VLOOKUP(D4231,TB!$B$9:$C$1500,2,FALSE))</f>
        <v>Red Bean</v>
      </c>
      <c r="F4231" s="142" t="s">
        <v>2157</v>
      </c>
      <c r="G4231" s="130">
        <v>1</v>
      </c>
      <c r="H4231" s="10">
        <v>35000</v>
      </c>
      <c r="I4231" s="10"/>
      <c r="J4231" s="79" t="e">
        <f t="shared" si="269"/>
        <v>#VALUE!</v>
      </c>
      <c r="K4231" s="106">
        <f t="shared" si="278"/>
        <v>35000</v>
      </c>
      <c r="L4231" s="141"/>
      <c r="M4231" s="132"/>
      <c r="N4231" s="133"/>
      <c r="O4231" s="4"/>
      <c r="P4231" s="4"/>
      <c r="Q4231" s="4"/>
      <c r="R4231" s="4"/>
      <c r="S4231" s="4"/>
      <c r="T4231" s="4"/>
      <c r="U4231" s="4"/>
      <c r="V4231" s="4"/>
      <c r="W4231" s="4"/>
      <c r="X4231" s="4"/>
    </row>
    <row r="4232" spans="1:24" ht="14.25" customHeight="1">
      <c r="A4232" s="4"/>
      <c r="B4232" s="125">
        <v>46178</v>
      </c>
      <c r="C4232" s="126" t="s">
        <v>2056</v>
      </c>
      <c r="D4232" s="15" t="s">
        <v>2033</v>
      </c>
      <c r="E4232" s="10" t="str">
        <f>TRIM(VLOOKUP(D4232,TB!$B$9:$C$1500,2,FALSE))</f>
        <v>Potato</v>
      </c>
      <c r="F4232" s="142" t="s">
        <v>2158</v>
      </c>
      <c r="G4232" s="130">
        <v>3</v>
      </c>
      <c r="H4232" s="10">
        <f>19000*3</f>
        <v>57000</v>
      </c>
      <c r="I4232" s="10"/>
      <c r="J4232" s="79" t="e">
        <f t="shared" si="269"/>
        <v>#VALUE!</v>
      </c>
      <c r="K4232" s="106">
        <f t="shared" si="278"/>
        <v>19000</v>
      </c>
      <c r="L4232" s="141"/>
      <c r="M4232" s="132"/>
      <c r="N4232" s="133"/>
      <c r="O4232" s="4"/>
      <c r="P4232" s="4"/>
      <c r="Q4232" s="4"/>
      <c r="R4232" s="4"/>
      <c r="S4232" s="4"/>
      <c r="T4232" s="4"/>
      <c r="U4232" s="4"/>
      <c r="V4232" s="4"/>
      <c r="W4232" s="4"/>
      <c r="X4232" s="4"/>
    </row>
    <row r="4233" spans="1:24" ht="14.25" customHeight="1">
      <c r="A4233" s="4"/>
      <c r="B4233" s="125">
        <v>46178</v>
      </c>
      <c r="C4233" s="126" t="s">
        <v>2056</v>
      </c>
      <c r="D4233" s="15" t="s">
        <v>2081</v>
      </c>
      <c r="E4233" s="10" t="str">
        <f>TRIM(VLOOKUP(D4233,TB!$B$9:$C$1500,2,FALSE))</f>
        <v>Baby Potato</v>
      </c>
      <c r="F4233" s="142" t="s">
        <v>2159</v>
      </c>
      <c r="G4233" s="130">
        <v>0.25</v>
      </c>
      <c r="H4233" s="10">
        <f>16000*0.25</f>
        <v>4000</v>
      </c>
      <c r="I4233" s="10"/>
      <c r="J4233" s="79" t="e">
        <f t="shared" si="269"/>
        <v>#VALUE!</v>
      </c>
      <c r="K4233" s="106">
        <f t="shared" si="278"/>
        <v>16000</v>
      </c>
      <c r="L4233" s="141"/>
      <c r="M4233" s="132"/>
      <c r="N4233" s="133"/>
      <c r="O4233" s="4"/>
      <c r="P4233" s="4"/>
      <c r="Q4233" s="4"/>
      <c r="R4233" s="4"/>
      <c r="S4233" s="4"/>
      <c r="T4233" s="4"/>
      <c r="U4233" s="4"/>
      <c r="V4233" s="4"/>
      <c r="W4233" s="4"/>
      <c r="X4233" s="4"/>
    </row>
    <row r="4234" spans="1:24" ht="14.25" customHeight="1">
      <c r="A4234" s="4"/>
      <c r="B4234" s="125">
        <v>46178</v>
      </c>
      <c r="C4234" s="126" t="s">
        <v>2056</v>
      </c>
      <c r="D4234" s="15" t="s">
        <v>2100</v>
      </c>
      <c r="E4234" s="10" t="str">
        <f>TRIM(VLOOKUP(D4234,TB!$B$9:$C$1500,2,FALSE))</f>
        <v>Basil</v>
      </c>
      <c r="F4234" s="142" t="s">
        <v>2160</v>
      </c>
      <c r="G4234" s="130">
        <v>0.25</v>
      </c>
      <c r="H4234" s="10">
        <f>75000*0.25</f>
        <v>18750</v>
      </c>
      <c r="I4234" s="10"/>
      <c r="J4234" s="79" t="e">
        <f t="shared" si="269"/>
        <v>#VALUE!</v>
      </c>
      <c r="K4234" s="106">
        <f t="shared" si="278"/>
        <v>75000</v>
      </c>
      <c r="L4234" s="141"/>
      <c r="M4234" s="132"/>
      <c r="N4234" s="133"/>
      <c r="O4234" s="4"/>
      <c r="P4234" s="4"/>
      <c r="Q4234" s="4"/>
      <c r="R4234" s="4"/>
      <c r="S4234" s="4"/>
      <c r="T4234" s="4"/>
      <c r="U4234" s="4"/>
      <c r="V4234" s="4"/>
      <c r="W4234" s="4"/>
      <c r="X4234" s="4"/>
    </row>
    <row r="4235" spans="1:24" ht="14.25" customHeight="1">
      <c r="A4235" s="4"/>
      <c r="B4235" s="125">
        <v>46178</v>
      </c>
      <c r="C4235" s="126" t="s">
        <v>2056</v>
      </c>
      <c r="D4235" s="15" t="s">
        <v>2062</v>
      </c>
      <c r="E4235" s="10" t="str">
        <f>TRIM(VLOOKUP(D4235,TB!$B$9:$C$1500,2,FALSE))</f>
        <v>Mushrooms Button</v>
      </c>
      <c r="F4235" s="142" t="s">
        <v>2161</v>
      </c>
      <c r="G4235" s="130">
        <v>0.5</v>
      </c>
      <c r="H4235" s="10">
        <f>45000*0.5</f>
        <v>22500</v>
      </c>
      <c r="I4235" s="10"/>
      <c r="J4235" s="79" t="e">
        <f t="shared" si="269"/>
        <v>#VALUE!</v>
      </c>
      <c r="K4235" s="106">
        <f t="shared" si="278"/>
        <v>45000</v>
      </c>
      <c r="L4235" s="141"/>
      <c r="M4235" s="132"/>
      <c r="N4235" s="133"/>
      <c r="O4235" s="4"/>
      <c r="P4235" s="4"/>
      <c r="Q4235" s="4"/>
      <c r="R4235" s="4"/>
      <c r="S4235" s="4"/>
      <c r="T4235" s="4"/>
      <c r="U4235" s="4"/>
      <c r="V4235" s="4"/>
      <c r="W4235" s="4"/>
      <c r="X4235" s="4"/>
    </row>
    <row r="4236" spans="1:24" ht="14.25" customHeight="1">
      <c r="A4236" s="4"/>
      <c r="B4236" s="125">
        <v>46178</v>
      </c>
      <c r="C4236" s="126" t="s">
        <v>2056</v>
      </c>
      <c r="D4236" s="15" t="s">
        <v>285</v>
      </c>
      <c r="E4236" s="10" t="str">
        <f>TRIM(VLOOKUP(D4236,TB!$B$9:$C$1500,2,FALSE))</f>
        <v>Misc Cash Purchase</v>
      </c>
      <c r="F4236" s="142" t="s">
        <v>2162</v>
      </c>
      <c r="G4236" s="130"/>
      <c r="H4236" s="10"/>
      <c r="I4236" s="10">
        <v>273500</v>
      </c>
      <c r="J4236" s="79" t="e">
        <f t="shared" si="269"/>
        <v>#VALUE!</v>
      </c>
      <c r="K4236" s="106"/>
      <c r="L4236" s="141"/>
      <c r="M4236" s="132"/>
      <c r="N4236" s="133"/>
      <c r="O4236" s="4"/>
      <c r="P4236" s="4"/>
      <c r="Q4236" s="4"/>
      <c r="R4236" s="4"/>
      <c r="S4236" s="4"/>
      <c r="T4236" s="4"/>
      <c r="U4236" s="4"/>
      <c r="V4236" s="4"/>
      <c r="W4236" s="4"/>
      <c r="X4236" s="4"/>
    </row>
    <row r="4237" spans="1:24" ht="14.25" customHeight="1">
      <c r="A4237" s="4"/>
      <c r="B4237" s="125"/>
      <c r="C4237" s="126"/>
      <c r="D4237" s="68"/>
      <c r="E4237" s="10" t="e">
        <f>TRIM(VLOOKUP(D4237,TB!$B$9:$C$1500,2,FALSE))</f>
        <v>#N/A</v>
      </c>
      <c r="F4237" s="142"/>
      <c r="G4237" s="130"/>
      <c r="H4237" s="10"/>
      <c r="I4237" s="10"/>
      <c r="J4237" s="79" t="e">
        <f t="shared" si="269"/>
        <v>#VALUE!</v>
      </c>
      <c r="K4237" s="106"/>
      <c r="L4237" s="141"/>
      <c r="M4237" s="132"/>
      <c r="N4237" s="133"/>
      <c r="O4237" s="4"/>
      <c r="P4237" s="4"/>
      <c r="Q4237" s="4"/>
      <c r="R4237" s="4"/>
      <c r="S4237" s="4"/>
      <c r="T4237" s="4"/>
      <c r="U4237" s="4"/>
      <c r="V4237" s="4"/>
      <c r="W4237" s="4"/>
      <c r="X4237" s="4"/>
    </row>
    <row r="4238" spans="1:24" ht="14.25" customHeight="1">
      <c r="A4238" s="4"/>
      <c r="B4238" s="125">
        <v>46179</v>
      </c>
      <c r="C4238" s="126" t="s">
        <v>2056</v>
      </c>
      <c r="D4238" s="15" t="s">
        <v>1867</v>
      </c>
      <c r="E4238" s="10" t="str">
        <f>TRIM(VLOOKUP(D4238,TB!$B$9:$C$1500,2,FALSE))</f>
        <v>Parsley</v>
      </c>
      <c r="F4238" s="142" t="s">
        <v>2163</v>
      </c>
      <c r="G4238" s="130">
        <v>0.1</v>
      </c>
      <c r="H4238" s="10">
        <f>85000*0.1</f>
        <v>8500</v>
      </c>
      <c r="I4238" s="10"/>
      <c r="J4238" s="79" t="e">
        <f t="shared" si="269"/>
        <v>#VALUE!</v>
      </c>
      <c r="K4238" s="106">
        <f t="shared" ref="K4238:K4253" si="279">H4238/G4238</f>
        <v>85000</v>
      </c>
      <c r="L4238" s="141"/>
      <c r="M4238" s="132"/>
      <c r="N4238" s="133"/>
      <c r="O4238" s="4"/>
      <c r="P4238" s="4"/>
      <c r="Q4238" s="4"/>
      <c r="R4238" s="4"/>
      <c r="S4238" s="4"/>
      <c r="T4238" s="4"/>
      <c r="U4238" s="4"/>
      <c r="V4238" s="4"/>
      <c r="W4238" s="4"/>
      <c r="X4238" s="4"/>
    </row>
    <row r="4239" spans="1:24" ht="14.25" customHeight="1">
      <c r="A4239" s="4"/>
      <c r="B4239" s="125">
        <v>46179</v>
      </c>
      <c r="C4239" s="126" t="s">
        <v>2056</v>
      </c>
      <c r="D4239" s="15" t="s">
        <v>1890</v>
      </c>
      <c r="E4239" s="10" t="str">
        <f>TRIM(VLOOKUP(D4239,TB!$B$9:$C$1500,2,FALSE))</f>
        <v>Avocado</v>
      </c>
      <c r="F4239" s="142" t="s">
        <v>2164</v>
      </c>
      <c r="G4239" s="130">
        <v>0.6</v>
      </c>
      <c r="H4239" s="10">
        <f>36000*0.6</f>
        <v>21600</v>
      </c>
      <c r="I4239" s="10"/>
      <c r="J4239" s="79" t="e">
        <f t="shared" si="269"/>
        <v>#VALUE!</v>
      </c>
      <c r="K4239" s="106">
        <f t="shared" si="279"/>
        <v>36000</v>
      </c>
      <c r="L4239" s="141"/>
      <c r="M4239" s="132"/>
      <c r="N4239" s="133"/>
      <c r="O4239" s="4"/>
      <c r="P4239" s="4"/>
      <c r="Q4239" s="4"/>
      <c r="R4239" s="4"/>
      <c r="S4239" s="4"/>
      <c r="T4239" s="4"/>
      <c r="U4239" s="4"/>
      <c r="V4239" s="4"/>
      <c r="W4239" s="4"/>
      <c r="X4239" s="4"/>
    </row>
    <row r="4240" spans="1:24" ht="14.25" customHeight="1">
      <c r="A4240" s="4"/>
      <c r="B4240" s="125">
        <v>46179</v>
      </c>
      <c r="C4240" s="126" t="s">
        <v>2056</v>
      </c>
      <c r="D4240" s="15" t="s">
        <v>1869</v>
      </c>
      <c r="E4240" s="10" t="str">
        <f>TRIM(VLOOKUP(D4240,TB!$B$9:$C$1500,2,FALSE))</f>
        <v>Tempe</v>
      </c>
      <c r="F4240" s="142" t="s">
        <v>2165</v>
      </c>
      <c r="G4240" s="130">
        <v>3</v>
      </c>
      <c r="H4240" s="10">
        <f>2500*3</f>
        <v>7500</v>
      </c>
      <c r="I4240" s="10"/>
      <c r="J4240" s="79" t="e">
        <f t="shared" si="269"/>
        <v>#VALUE!</v>
      </c>
      <c r="K4240" s="106">
        <f t="shared" si="279"/>
        <v>2500</v>
      </c>
      <c r="L4240" s="141"/>
      <c r="M4240" s="132"/>
      <c r="N4240" s="133"/>
      <c r="O4240" s="4"/>
      <c r="P4240" s="4"/>
      <c r="Q4240" s="4"/>
      <c r="R4240" s="4"/>
      <c r="S4240" s="4"/>
      <c r="T4240" s="4"/>
      <c r="U4240" s="4"/>
      <c r="V4240" s="4"/>
      <c r="W4240" s="4"/>
      <c r="X4240" s="4"/>
    </row>
    <row r="4241" spans="1:24" ht="14.25" customHeight="1">
      <c r="A4241" s="4"/>
      <c r="B4241" s="125">
        <v>46179</v>
      </c>
      <c r="C4241" s="126" t="s">
        <v>2056</v>
      </c>
      <c r="D4241" s="15" t="s">
        <v>1926</v>
      </c>
      <c r="E4241" s="10" t="str">
        <f>TRIM(VLOOKUP(D4241,TB!$B$9:$C$1500,2,FALSE))</f>
        <v>Cherri Tomato</v>
      </c>
      <c r="F4241" s="142" t="s">
        <v>2166</v>
      </c>
      <c r="G4241" s="130">
        <v>0.25</v>
      </c>
      <c r="H4241" s="10">
        <f>35000*0.25</f>
        <v>8750</v>
      </c>
      <c r="I4241" s="10"/>
      <c r="J4241" s="79" t="e">
        <f t="shared" si="269"/>
        <v>#VALUE!</v>
      </c>
      <c r="K4241" s="106">
        <f t="shared" si="279"/>
        <v>35000</v>
      </c>
      <c r="L4241" s="141"/>
      <c r="M4241" s="132"/>
      <c r="N4241" s="133"/>
      <c r="O4241" s="4"/>
      <c r="P4241" s="4"/>
      <c r="Q4241" s="4"/>
      <c r="R4241" s="4"/>
      <c r="S4241" s="4"/>
      <c r="T4241" s="4"/>
      <c r="U4241" s="4"/>
      <c r="V4241" s="4"/>
      <c r="W4241" s="4"/>
      <c r="X4241" s="4"/>
    </row>
    <row r="4242" spans="1:24" ht="14.25" customHeight="1">
      <c r="A4242" s="4"/>
      <c r="B4242" s="125">
        <v>46179</v>
      </c>
      <c r="C4242" s="126" t="s">
        <v>2056</v>
      </c>
      <c r="D4242" s="15" t="s">
        <v>1877</v>
      </c>
      <c r="E4242" s="10" t="str">
        <f>TRIM(VLOOKUP(D4242,TB!$B$9:$C$1500,2,FALSE))</f>
        <v>Pok Coy</v>
      </c>
      <c r="F4242" s="142" t="s">
        <v>2167</v>
      </c>
      <c r="G4242" s="130">
        <v>1</v>
      </c>
      <c r="H4242" s="10">
        <v>15000</v>
      </c>
      <c r="I4242" s="10"/>
      <c r="J4242" s="79" t="e">
        <f t="shared" si="269"/>
        <v>#VALUE!</v>
      </c>
      <c r="K4242" s="106">
        <f t="shared" si="279"/>
        <v>15000</v>
      </c>
      <c r="L4242" s="141"/>
      <c r="M4242" s="132"/>
      <c r="N4242" s="133"/>
      <c r="O4242" s="4"/>
      <c r="P4242" s="4"/>
      <c r="Q4242" s="4"/>
      <c r="R4242" s="4"/>
      <c r="S4242" s="4"/>
      <c r="T4242" s="4"/>
      <c r="U4242" s="4"/>
      <c r="V4242" s="4"/>
      <c r="W4242" s="4"/>
      <c r="X4242" s="4"/>
    </row>
    <row r="4243" spans="1:24" ht="14.25" customHeight="1">
      <c r="A4243" s="4"/>
      <c r="B4243" s="125">
        <v>46179</v>
      </c>
      <c r="C4243" s="126" t="s">
        <v>2056</v>
      </c>
      <c r="D4243" s="15" t="s">
        <v>1888</v>
      </c>
      <c r="E4243" s="10" t="str">
        <f>TRIM(VLOOKUP(D4243,TB!$B$9:$C$1500,2,FALSE))</f>
        <v>Romaine</v>
      </c>
      <c r="F4243" s="142" t="s">
        <v>2168</v>
      </c>
      <c r="G4243" s="130">
        <v>0.3</v>
      </c>
      <c r="H4243" s="10">
        <f>50000*0.3</f>
        <v>15000</v>
      </c>
      <c r="I4243" s="10"/>
      <c r="J4243" s="79" t="e">
        <f t="shared" si="269"/>
        <v>#VALUE!</v>
      </c>
      <c r="K4243" s="106">
        <f t="shared" si="279"/>
        <v>50000</v>
      </c>
      <c r="L4243" s="141"/>
      <c r="M4243" s="132"/>
      <c r="N4243" s="133"/>
      <c r="O4243" s="4"/>
      <c r="P4243" s="4"/>
      <c r="Q4243" s="4"/>
      <c r="R4243" s="4"/>
      <c r="S4243" s="4"/>
      <c r="T4243" s="4"/>
      <c r="U4243" s="4"/>
      <c r="V4243" s="4"/>
      <c r="W4243" s="4"/>
      <c r="X4243" s="4"/>
    </row>
    <row r="4244" spans="1:24" ht="14.25" customHeight="1">
      <c r="A4244" s="4"/>
      <c r="B4244" s="125">
        <v>46179</v>
      </c>
      <c r="C4244" s="126" t="s">
        <v>2056</v>
      </c>
      <c r="D4244" s="15" t="s">
        <v>2169</v>
      </c>
      <c r="E4244" s="10" t="str">
        <f>TRIM(VLOOKUP(D4244,TB!$B$9:$C$1500,2,FALSE))</f>
        <v>Pumkin/Labu</v>
      </c>
      <c r="F4244" s="142" t="s">
        <v>2170</v>
      </c>
      <c r="G4244" s="130">
        <v>1.1000000000000001</v>
      </c>
      <c r="H4244" s="10">
        <f>12000*1.1</f>
        <v>13200.000000000002</v>
      </c>
      <c r="I4244" s="10"/>
      <c r="J4244" s="79" t="e">
        <f t="shared" si="269"/>
        <v>#VALUE!</v>
      </c>
      <c r="K4244" s="106">
        <f t="shared" si="279"/>
        <v>12000</v>
      </c>
      <c r="L4244" s="141"/>
      <c r="M4244" s="132"/>
      <c r="N4244" s="133"/>
      <c r="O4244" s="4"/>
      <c r="P4244" s="4"/>
      <c r="Q4244" s="4"/>
      <c r="R4244" s="4"/>
      <c r="S4244" s="4"/>
      <c r="T4244" s="4"/>
      <c r="U4244" s="4"/>
      <c r="V4244" s="4"/>
      <c r="W4244" s="4"/>
      <c r="X4244" s="4"/>
    </row>
    <row r="4245" spans="1:24" ht="14.25" customHeight="1">
      <c r="A4245" s="4"/>
      <c r="B4245" s="125">
        <v>46179</v>
      </c>
      <c r="C4245" s="126" t="s">
        <v>2056</v>
      </c>
      <c r="D4245" s="15" t="s">
        <v>2076</v>
      </c>
      <c r="E4245" s="10" t="str">
        <f>TRIM(VLOOKUP(D4245,TB!$B$9:$C$1500,2,FALSE))</f>
        <v>Buncis</v>
      </c>
      <c r="F4245" s="142" t="s">
        <v>2171</v>
      </c>
      <c r="G4245" s="130">
        <v>0.25</v>
      </c>
      <c r="H4245" s="10">
        <f>14000*0.25</f>
        <v>3500</v>
      </c>
      <c r="I4245" s="10"/>
      <c r="J4245" s="79" t="e">
        <f t="shared" si="269"/>
        <v>#VALUE!</v>
      </c>
      <c r="K4245" s="106">
        <f t="shared" si="279"/>
        <v>14000</v>
      </c>
      <c r="L4245" s="141"/>
      <c r="M4245" s="132"/>
      <c r="N4245" s="133"/>
      <c r="O4245" s="4"/>
      <c r="P4245" s="4"/>
      <c r="Q4245" s="4"/>
      <c r="R4245" s="4"/>
      <c r="S4245" s="4"/>
      <c r="T4245" s="4"/>
      <c r="U4245" s="4"/>
      <c r="V4245" s="4"/>
      <c r="W4245" s="4"/>
      <c r="X4245" s="4"/>
    </row>
    <row r="4246" spans="1:24" ht="14.25" customHeight="1">
      <c r="A4246" s="4"/>
      <c r="B4246" s="125">
        <v>46179</v>
      </c>
      <c r="C4246" s="126" t="s">
        <v>2056</v>
      </c>
      <c r="D4246" s="15" t="s">
        <v>1928</v>
      </c>
      <c r="E4246" s="10" t="str">
        <f>TRIM(VLOOKUP(D4246,TB!$B$9:$C$1500,2,FALSE))</f>
        <v>Tomato 1 Kg</v>
      </c>
      <c r="F4246" s="142" t="s">
        <v>2145</v>
      </c>
      <c r="G4246" s="130">
        <v>2</v>
      </c>
      <c r="H4246" s="10">
        <f>20000*2</f>
        <v>40000</v>
      </c>
      <c r="I4246" s="10"/>
      <c r="J4246" s="79" t="e">
        <f t="shared" si="269"/>
        <v>#VALUE!</v>
      </c>
      <c r="K4246" s="106">
        <f t="shared" si="279"/>
        <v>20000</v>
      </c>
      <c r="L4246" s="141"/>
      <c r="M4246" s="132"/>
      <c r="N4246" s="133"/>
      <c r="O4246" s="4"/>
      <c r="P4246" s="4"/>
      <c r="Q4246" s="4"/>
      <c r="R4246" s="4"/>
      <c r="S4246" s="4"/>
      <c r="T4246" s="4"/>
      <c r="U4246" s="4"/>
      <c r="V4246" s="4"/>
      <c r="W4246" s="4"/>
      <c r="X4246" s="4"/>
    </row>
    <row r="4247" spans="1:24" ht="14.25" customHeight="1">
      <c r="A4247" s="4"/>
      <c r="B4247" s="125">
        <v>46179</v>
      </c>
      <c r="C4247" s="126" t="s">
        <v>2056</v>
      </c>
      <c r="D4247" s="15" t="s">
        <v>2057</v>
      </c>
      <c r="E4247" s="10" t="str">
        <f>TRIM(VLOOKUP(D4247,TB!$B$9:$C$1500,2,FALSE))</f>
        <v>Capsicum/Paprika</v>
      </c>
      <c r="F4247" s="142" t="s">
        <v>2123</v>
      </c>
      <c r="G4247" s="130">
        <f>0.7+0.4</f>
        <v>1.1000000000000001</v>
      </c>
      <c r="H4247" s="10">
        <f>70000*1.1</f>
        <v>77000</v>
      </c>
      <c r="I4247" s="10"/>
      <c r="J4247" s="79" t="e">
        <f t="shared" si="269"/>
        <v>#VALUE!</v>
      </c>
      <c r="K4247" s="106">
        <f t="shared" si="279"/>
        <v>70000</v>
      </c>
      <c r="L4247" s="141"/>
      <c r="M4247" s="132"/>
      <c r="N4247" s="133"/>
      <c r="O4247" s="4"/>
      <c r="P4247" s="4"/>
      <c r="Q4247" s="4"/>
      <c r="R4247" s="4"/>
      <c r="S4247" s="4"/>
      <c r="T4247" s="4"/>
      <c r="U4247" s="4"/>
      <c r="V4247" s="4"/>
      <c r="W4247" s="4"/>
      <c r="X4247" s="4"/>
    </row>
    <row r="4248" spans="1:24" ht="14.25" customHeight="1">
      <c r="A4248" s="4"/>
      <c r="B4248" s="125">
        <v>46179</v>
      </c>
      <c r="C4248" s="126" t="s">
        <v>2056</v>
      </c>
      <c r="D4248" s="15" t="s">
        <v>2030</v>
      </c>
      <c r="E4248" s="10" t="str">
        <f>TRIM(VLOOKUP(D4248,TB!$B$9:$C$1500,2,FALSE))</f>
        <v>Hot Chilli / Lombok Kecil</v>
      </c>
      <c r="F4248" s="142" t="s">
        <v>2172</v>
      </c>
      <c r="G4248" s="130">
        <v>0.25</v>
      </c>
      <c r="H4248" s="10">
        <f>65000*0.25</f>
        <v>16250</v>
      </c>
      <c r="I4248" s="10"/>
      <c r="J4248" s="79" t="e">
        <f t="shared" si="269"/>
        <v>#VALUE!</v>
      </c>
      <c r="K4248" s="106">
        <f t="shared" si="279"/>
        <v>65000</v>
      </c>
      <c r="L4248" s="141"/>
      <c r="M4248" s="132"/>
      <c r="N4248" s="133"/>
      <c r="O4248" s="4"/>
      <c r="P4248" s="4"/>
      <c r="Q4248" s="4"/>
      <c r="R4248" s="4"/>
      <c r="S4248" s="4"/>
      <c r="T4248" s="4"/>
      <c r="U4248" s="4"/>
      <c r="V4248" s="4"/>
      <c r="W4248" s="4"/>
      <c r="X4248" s="4"/>
    </row>
    <row r="4249" spans="1:24" ht="14.25" customHeight="1">
      <c r="A4249" s="4"/>
      <c r="B4249" s="125">
        <v>46179</v>
      </c>
      <c r="C4249" s="126" t="s">
        <v>2056</v>
      </c>
      <c r="D4249" s="15" t="s">
        <v>2173</v>
      </c>
      <c r="E4249" s="10" t="str">
        <f>TRIM(VLOOKUP(D4249,TB!$B$9:$C$1500,2,FALSE))</f>
        <v>Edamame</v>
      </c>
      <c r="F4249" s="142" t="s">
        <v>2174</v>
      </c>
      <c r="G4249" s="130">
        <v>1</v>
      </c>
      <c r="H4249" s="10">
        <v>30000</v>
      </c>
      <c r="I4249" s="10"/>
      <c r="J4249" s="79" t="e">
        <f t="shared" si="269"/>
        <v>#VALUE!</v>
      </c>
      <c r="K4249" s="106">
        <f t="shared" si="279"/>
        <v>30000</v>
      </c>
      <c r="L4249" s="141"/>
      <c r="M4249" s="132"/>
      <c r="N4249" s="133"/>
      <c r="O4249" s="4"/>
      <c r="P4249" s="4"/>
      <c r="Q4249" s="4"/>
      <c r="R4249" s="4"/>
      <c r="S4249" s="4"/>
      <c r="T4249" s="4"/>
      <c r="U4249" s="4"/>
      <c r="V4249" s="4"/>
      <c r="W4249" s="4"/>
      <c r="X4249" s="4"/>
    </row>
    <row r="4250" spans="1:24" ht="14.25" customHeight="1">
      <c r="A4250" s="4"/>
      <c r="B4250" s="125">
        <v>46179</v>
      </c>
      <c r="C4250" s="126" t="s">
        <v>2056</v>
      </c>
      <c r="D4250" s="15" t="s">
        <v>2057</v>
      </c>
      <c r="E4250" s="10" t="str">
        <f>TRIM(VLOOKUP(D4250,TB!$B$9:$C$1500,2,FALSE))</f>
        <v>Capsicum/Paprika</v>
      </c>
      <c r="F4250" s="142" t="s">
        <v>2175</v>
      </c>
      <c r="G4250" s="130">
        <v>0.4</v>
      </c>
      <c r="H4250" s="10">
        <f>100000*0.4</f>
        <v>40000</v>
      </c>
      <c r="I4250" s="10"/>
      <c r="J4250" s="79" t="e">
        <f t="shared" si="269"/>
        <v>#VALUE!</v>
      </c>
      <c r="K4250" s="106">
        <f t="shared" si="279"/>
        <v>100000</v>
      </c>
      <c r="L4250" s="141"/>
      <c r="M4250" s="132"/>
      <c r="N4250" s="133"/>
      <c r="O4250" s="4"/>
      <c r="P4250" s="4"/>
      <c r="Q4250" s="4"/>
      <c r="R4250" s="4"/>
      <c r="S4250" s="4"/>
      <c r="T4250" s="4"/>
      <c r="U4250" s="4"/>
      <c r="V4250" s="4"/>
      <c r="W4250" s="4"/>
      <c r="X4250" s="4"/>
    </row>
    <row r="4251" spans="1:24" ht="14.25" customHeight="1">
      <c r="A4251" s="4"/>
      <c r="B4251" s="125">
        <v>46179</v>
      </c>
      <c r="C4251" s="126" t="s">
        <v>2056</v>
      </c>
      <c r="D4251" s="15" t="s">
        <v>2057</v>
      </c>
      <c r="E4251" s="10" t="str">
        <f>TRIM(VLOOKUP(D4251,TB!$B$9:$C$1500,2,FALSE))</f>
        <v>Capsicum/Paprika</v>
      </c>
      <c r="F4251" s="142" t="s">
        <v>2176</v>
      </c>
      <c r="G4251" s="130">
        <v>0.35</v>
      </c>
      <c r="H4251" s="10">
        <f>65000*0.35</f>
        <v>22750</v>
      </c>
      <c r="I4251" s="10"/>
      <c r="J4251" s="79" t="e">
        <f t="shared" si="269"/>
        <v>#VALUE!</v>
      </c>
      <c r="K4251" s="106">
        <f t="shared" si="279"/>
        <v>65000.000000000007</v>
      </c>
      <c r="L4251" s="141"/>
      <c r="M4251" s="132"/>
      <c r="N4251" s="133"/>
      <c r="O4251" s="4"/>
      <c r="P4251" s="4"/>
      <c r="Q4251" s="4"/>
      <c r="R4251" s="4"/>
      <c r="S4251" s="4"/>
      <c r="T4251" s="4"/>
      <c r="U4251" s="4"/>
      <c r="V4251" s="4"/>
      <c r="W4251" s="4"/>
      <c r="X4251" s="4"/>
    </row>
    <row r="4252" spans="1:24" ht="14.25" customHeight="1">
      <c r="A4252" s="4"/>
      <c r="B4252" s="125">
        <v>46179</v>
      </c>
      <c r="C4252" s="126" t="s">
        <v>2056</v>
      </c>
      <c r="D4252" s="15" t="s">
        <v>2087</v>
      </c>
      <c r="E4252" s="10" t="str">
        <f>TRIM(VLOOKUP(D4252,TB!$B$9:$C$1500,2,FALSE))</f>
        <v>Mushroom Shimeji / Bunapi</v>
      </c>
      <c r="F4252" s="142" t="s">
        <v>2177</v>
      </c>
      <c r="G4252" s="130">
        <v>2</v>
      </c>
      <c r="H4252" s="10">
        <f>17000*2</f>
        <v>34000</v>
      </c>
      <c r="I4252" s="10"/>
      <c r="J4252" s="79" t="e">
        <f t="shared" si="269"/>
        <v>#VALUE!</v>
      </c>
      <c r="K4252" s="106">
        <f t="shared" si="279"/>
        <v>17000</v>
      </c>
      <c r="L4252" s="141"/>
      <c r="M4252" s="132"/>
      <c r="N4252" s="133"/>
      <c r="O4252" s="4"/>
      <c r="P4252" s="4"/>
      <c r="Q4252" s="4"/>
      <c r="R4252" s="4"/>
      <c r="S4252" s="4"/>
      <c r="T4252" s="4"/>
      <c r="U4252" s="4"/>
      <c r="V4252" s="4"/>
      <c r="W4252" s="4"/>
      <c r="X4252" s="4"/>
    </row>
    <row r="4253" spans="1:24" ht="14.25" customHeight="1">
      <c r="A4253" s="4"/>
      <c r="B4253" s="125">
        <v>46179</v>
      </c>
      <c r="C4253" s="126" t="s">
        <v>2056</v>
      </c>
      <c r="D4253" s="15" t="s">
        <v>1877</v>
      </c>
      <c r="E4253" s="10" t="str">
        <f>TRIM(VLOOKUP(D4253,TB!$B$9:$C$1500,2,FALSE))</f>
        <v>Pok Coy</v>
      </c>
      <c r="F4253" s="142" t="s">
        <v>2178</v>
      </c>
      <c r="G4253" s="130">
        <v>0.25</v>
      </c>
      <c r="H4253" s="10">
        <f>15000*0.25</f>
        <v>3750</v>
      </c>
      <c r="I4253" s="10"/>
      <c r="J4253" s="79" t="e">
        <f t="shared" si="269"/>
        <v>#VALUE!</v>
      </c>
      <c r="K4253" s="106">
        <f t="shared" si="279"/>
        <v>15000</v>
      </c>
      <c r="L4253" s="141"/>
      <c r="M4253" s="132"/>
      <c r="N4253" s="133"/>
      <c r="O4253" s="4"/>
      <c r="P4253" s="4"/>
      <c r="Q4253" s="4"/>
      <c r="R4253" s="4"/>
      <c r="S4253" s="4"/>
      <c r="T4253" s="4"/>
      <c r="U4253" s="4"/>
      <c r="V4253" s="4"/>
      <c r="W4253" s="4"/>
      <c r="X4253" s="4"/>
    </row>
    <row r="4254" spans="1:24" ht="14.25" customHeight="1">
      <c r="A4254" s="4"/>
      <c r="B4254" s="125">
        <v>46179</v>
      </c>
      <c r="C4254" s="126" t="s">
        <v>2056</v>
      </c>
      <c r="D4254" s="15" t="s">
        <v>285</v>
      </c>
      <c r="E4254" s="10" t="str">
        <f>TRIM(VLOOKUP(D4254,TB!$B$9:$C$1500,2,FALSE))</f>
        <v>Misc Cash Purchase</v>
      </c>
      <c r="F4254" s="142" t="s">
        <v>2179</v>
      </c>
      <c r="G4254" s="130"/>
      <c r="H4254" s="10"/>
      <c r="I4254" s="10">
        <v>356800</v>
      </c>
      <c r="J4254" s="79" t="e">
        <f t="shared" si="269"/>
        <v>#VALUE!</v>
      </c>
      <c r="K4254" s="106"/>
      <c r="L4254" s="141"/>
      <c r="M4254" s="132"/>
      <c r="N4254" s="133"/>
      <c r="O4254" s="4"/>
      <c r="P4254" s="4"/>
      <c r="Q4254" s="4"/>
      <c r="R4254" s="4"/>
      <c r="S4254" s="4"/>
      <c r="T4254" s="4"/>
      <c r="U4254" s="4"/>
      <c r="V4254" s="4"/>
      <c r="W4254" s="4"/>
      <c r="X4254" s="4"/>
    </row>
    <row r="4255" spans="1:24" ht="14.25" customHeight="1">
      <c r="A4255" s="4"/>
      <c r="B4255" s="125"/>
      <c r="C4255" s="126"/>
      <c r="D4255" s="68"/>
      <c r="E4255" s="10" t="e">
        <f>TRIM(VLOOKUP(D4255,TB!$B$9:$C$1500,2,FALSE))</f>
        <v>#N/A</v>
      </c>
      <c r="F4255" s="142"/>
      <c r="G4255" s="130"/>
      <c r="H4255" s="10"/>
      <c r="I4255" s="10"/>
      <c r="J4255" s="79" t="e">
        <f t="shared" si="269"/>
        <v>#VALUE!</v>
      </c>
      <c r="K4255" s="106"/>
      <c r="L4255" s="141"/>
      <c r="M4255" s="132"/>
      <c r="N4255" s="133"/>
      <c r="O4255" s="4"/>
      <c r="P4255" s="4"/>
      <c r="Q4255" s="4"/>
      <c r="R4255" s="4"/>
      <c r="S4255" s="4"/>
      <c r="T4255" s="4"/>
      <c r="U4255" s="4"/>
      <c r="V4255" s="4"/>
      <c r="W4255" s="4"/>
      <c r="X4255" s="4"/>
    </row>
    <row r="4256" spans="1:24" ht="14.25" customHeight="1">
      <c r="A4256" s="4"/>
      <c r="B4256" s="125">
        <v>46180</v>
      </c>
      <c r="C4256" s="126" t="s">
        <v>2056</v>
      </c>
      <c r="D4256" s="15" t="s">
        <v>1944</v>
      </c>
      <c r="E4256" s="10" t="str">
        <f>TRIM(VLOOKUP(D4256,TB!$B$9:$C$1500,2,FALSE))</f>
        <v>Pineapple Fruit</v>
      </c>
      <c r="F4256" s="142" t="s">
        <v>2180</v>
      </c>
      <c r="G4256" s="130">
        <v>2</v>
      </c>
      <c r="H4256" s="10">
        <f>8000*2</f>
        <v>16000</v>
      </c>
      <c r="I4256" s="10"/>
      <c r="J4256" s="79" t="e">
        <f t="shared" si="269"/>
        <v>#VALUE!</v>
      </c>
      <c r="K4256" s="106">
        <f t="shared" ref="K4256:K4273" si="280">H4256/G4256</f>
        <v>8000</v>
      </c>
      <c r="L4256" s="141"/>
      <c r="M4256" s="132"/>
      <c r="N4256" s="133"/>
      <c r="O4256" s="4"/>
      <c r="P4256" s="4"/>
      <c r="Q4256" s="4"/>
      <c r="R4256" s="4"/>
      <c r="S4256" s="4"/>
      <c r="T4256" s="4"/>
      <c r="U4256" s="4"/>
      <c r="V4256" s="4"/>
      <c r="W4256" s="4"/>
      <c r="X4256" s="4"/>
    </row>
    <row r="4257" spans="1:24" ht="14.25" customHeight="1">
      <c r="A4257" s="4"/>
      <c r="B4257" s="125">
        <v>46180</v>
      </c>
      <c r="C4257" s="126" t="s">
        <v>2056</v>
      </c>
      <c r="D4257" s="15" t="s">
        <v>2062</v>
      </c>
      <c r="E4257" s="10" t="str">
        <f>TRIM(VLOOKUP(D4257,TB!$B$9:$C$1500,2,FALSE))</f>
        <v>Mushrooms Button</v>
      </c>
      <c r="F4257" s="142" t="s">
        <v>2089</v>
      </c>
      <c r="G4257" s="130">
        <v>0.5</v>
      </c>
      <c r="H4257" s="10">
        <f>45000*0.5</f>
        <v>22500</v>
      </c>
      <c r="I4257" s="10"/>
      <c r="J4257" s="79" t="e">
        <f t="shared" si="269"/>
        <v>#VALUE!</v>
      </c>
      <c r="K4257" s="106">
        <f t="shared" si="280"/>
        <v>45000</v>
      </c>
      <c r="L4257" s="141"/>
      <c r="M4257" s="132"/>
      <c r="N4257" s="133"/>
      <c r="O4257" s="4"/>
      <c r="P4257" s="4"/>
      <c r="Q4257" s="4"/>
      <c r="R4257" s="4"/>
      <c r="S4257" s="4"/>
      <c r="T4257" s="4"/>
      <c r="U4257" s="4"/>
      <c r="V4257" s="4"/>
      <c r="W4257" s="4"/>
      <c r="X4257" s="4"/>
    </row>
    <row r="4258" spans="1:24" ht="14.25" customHeight="1">
      <c r="A4258" s="4"/>
      <c r="B4258" s="125">
        <v>46180</v>
      </c>
      <c r="C4258" s="126" t="s">
        <v>2056</v>
      </c>
      <c r="D4258" s="15" t="s">
        <v>1807</v>
      </c>
      <c r="E4258" s="10" t="str">
        <f>TRIM(VLOOKUP(D4258,TB!$B$9:$C$1500,2,FALSE))</f>
        <v>Shallot/Bawang Merah</v>
      </c>
      <c r="F4258" s="142" t="s">
        <v>2097</v>
      </c>
      <c r="G4258" s="130">
        <v>0.25</v>
      </c>
      <c r="H4258" s="10">
        <f>45000*0.25</f>
        <v>11250</v>
      </c>
      <c r="I4258" s="10"/>
      <c r="J4258" s="79" t="e">
        <f t="shared" si="269"/>
        <v>#VALUE!</v>
      </c>
      <c r="K4258" s="106">
        <f t="shared" si="280"/>
        <v>45000</v>
      </c>
      <c r="L4258" s="141"/>
      <c r="M4258" s="132"/>
      <c r="N4258" s="133"/>
      <c r="O4258" s="4"/>
      <c r="P4258" s="4"/>
      <c r="Q4258" s="4"/>
      <c r="R4258" s="4"/>
      <c r="S4258" s="4"/>
      <c r="T4258" s="4"/>
      <c r="U4258" s="4"/>
      <c r="V4258" s="4"/>
      <c r="W4258" s="4"/>
      <c r="X4258" s="4"/>
    </row>
    <row r="4259" spans="1:24" ht="14.25" customHeight="1">
      <c r="A4259" s="4"/>
      <c r="B4259" s="125">
        <v>46180</v>
      </c>
      <c r="C4259" s="126" t="s">
        <v>2056</v>
      </c>
      <c r="D4259" s="15" t="s">
        <v>1794</v>
      </c>
      <c r="E4259" s="10" t="str">
        <f>TRIM(VLOOKUP(D4259,TB!$B$9:$C$1500,2,FALSE))</f>
        <v>Garlic/Bawang Putih</v>
      </c>
      <c r="F4259" s="142" t="s">
        <v>2092</v>
      </c>
      <c r="G4259" s="130">
        <v>0.25</v>
      </c>
      <c r="H4259" s="10">
        <f>40000*0.25</f>
        <v>10000</v>
      </c>
      <c r="I4259" s="10"/>
      <c r="J4259" s="79" t="e">
        <f t="shared" si="269"/>
        <v>#VALUE!</v>
      </c>
      <c r="K4259" s="106">
        <f t="shared" si="280"/>
        <v>40000</v>
      </c>
      <c r="L4259" s="141"/>
      <c r="M4259" s="132"/>
      <c r="N4259" s="133"/>
      <c r="O4259" s="4"/>
      <c r="P4259" s="4"/>
      <c r="Q4259" s="4"/>
      <c r="R4259" s="4"/>
      <c r="S4259" s="4"/>
      <c r="T4259" s="4"/>
      <c r="U4259" s="4"/>
      <c r="V4259" s="4"/>
      <c r="W4259" s="4"/>
      <c r="X4259" s="4"/>
    </row>
    <row r="4260" spans="1:24" ht="14.25" customHeight="1">
      <c r="A4260" s="4"/>
      <c r="B4260" s="125">
        <v>46180</v>
      </c>
      <c r="C4260" s="126" t="s">
        <v>2056</v>
      </c>
      <c r="D4260" s="15" t="s">
        <v>2169</v>
      </c>
      <c r="E4260" s="10" t="str">
        <f>TRIM(VLOOKUP(D4260,TB!$B$9:$C$1500,2,FALSE))</f>
        <v>Pumkin/Labu</v>
      </c>
      <c r="F4260" s="142" t="s">
        <v>2170</v>
      </c>
      <c r="G4260" s="130">
        <v>2.4</v>
      </c>
      <c r="H4260" s="10">
        <f>12000*2.4</f>
        <v>28800</v>
      </c>
      <c r="I4260" s="10"/>
      <c r="J4260" s="79" t="e">
        <f t="shared" si="269"/>
        <v>#VALUE!</v>
      </c>
      <c r="K4260" s="106">
        <f t="shared" si="280"/>
        <v>12000</v>
      </c>
      <c r="L4260" s="141"/>
      <c r="M4260" s="132"/>
      <c r="N4260" s="133"/>
      <c r="O4260" s="4"/>
      <c r="P4260" s="4"/>
      <c r="Q4260" s="4"/>
      <c r="R4260" s="4"/>
      <c r="S4260" s="4"/>
      <c r="T4260" s="4"/>
      <c r="U4260" s="4"/>
      <c r="V4260" s="4"/>
      <c r="W4260" s="4"/>
      <c r="X4260" s="4"/>
    </row>
    <row r="4261" spans="1:24" ht="14.25" customHeight="1">
      <c r="A4261" s="4"/>
      <c r="B4261" s="125">
        <v>46180</v>
      </c>
      <c r="C4261" s="126" t="s">
        <v>2056</v>
      </c>
      <c r="D4261" s="15" t="s">
        <v>1888</v>
      </c>
      <c r="E4261" s="10" t="str">
        <f>TRIM(VLOOKUP(D4261,TB!$B$9:$C$1500,2,FALSE))</f>
        <v>Romaine</v>
      </c>
      <c r="F4261" s="142" t="s">
        <v>2168</v>
      </c>
      <c r="G4261" s="130">
        <v>0.5</v>
      </c>
      <c r="H4261" s="10">
        <f>50000*0.5</f>
        <v>25000</v>
      </c>
      <c r="I4261" s="10"/>
      <c r="J4261" s="79" t="e">
        <f t="shared" si="269"/>
        <v>#VALUE!</v>
      </c>
      <c r="K4261" s="106">
        <f t="shared" si="280"/>
        <v>50000</v>
      </c>
      <c r="L4261" s="141"/>
      <c r="M4261" s="132"/>
      <c r="N4261" s="133"/>
      <c r="O4261" s="4"/>
      <c r="P4261" s="4"/>
      <c r="Q4261" s="4"/>
      <c r="R4261" s="4"/>
      <c r="S4261" s="4"/>
      <c r="T4261" s="4"/>
      <c r="U4261" s="4"/>
      <c r="V4261" s="4"/>
      <c r="W4261" s="4"/>
      <c r="X4261" s="4"/>
    </row>
    <row r="4262" spans="1:24" ht="14.25" customHeight="1">
      <c r="A4262" s="4"/>
      <c r="B4262" s="125">
        <v>46180</v>
      </c>
      <c r="C4262" s="126" t="s">
        <v>2056</v>
      </c>
      <c r="D4262" s="15" t="s">
        <v>1877</v>
      </c>
      <c r="E4262" s="10" t="str">
        <f>TRIM(VLOOKUP(D4262,TB!$B$9:$C$1500,2,FALSE))</f>
        <v>Pok Coy</v>
      </c>
      <c r="F4262" s="142" t="s">
        <v>2167</v>
      </c>
      <c r="G4262" s="130">
        <v>1</v>
      </c>
      <c r="H4262" s="10">
        <v>15000</v>
      </c>
      <c r="I4262" s="10"/>
      <c r="J4262" s="79" t="e">
        <f t="shared" si="269"/>
        <v>#VALUE!</v>
      </c>
      <c r="K4262" s="106">
        <f t="shared" si="280"/>
        <v>15000</v>
      </c>
      <c r="L4262" s="141"/>
      <c r="M4262" s="132"/>
      <c r="N4262" s="133"/>
      <c r="O4262" s="4"/>
      <c r="P4262" s="4"/>
      <c r="Q4262" s="4"/>
      <c r="R4262" s="4"/>
      <c r="S4262" s="4"/>
      <c r="T4262" s="4"/>
      <c r="U4262" s="4"/>
      <c r="V4262" s="4"/>
      <c r="W4262" s="4"/>
      <c r="X4262" s="4"/>
    </row>
    <row r="4263" spans="1:24" ht="14.25" customHeight="1">
      <c r="A4263" s="4"/>
      <c r="B4263" s="125">
        <v>46180</v>
      </c>
      <c r="C4263" s="126" t="s">
        <v>2056</v>
      </c>
      <c r="D4263" s="15" t="s">
        <v>2087</v>
      </c>
      <c r="E4263" s="10" t="str">
        <f>TRIM(VLOOKUP(D4263,TB!$B$9:$C$1500,2,FALSE))</f>
        <v>Mushroom Shimeji / Bunapi</v>
      </c>
      <c r="F4263" s="142" t="s">
        <v>2181</v>
      </c>
      <c r="G4263" s="130">
        <v>3</v>
      </c>
      <c r="H4263" s="10">
        <f>17000*3</f>
        <v>51000</v>
      </c>
      <c r="I4263" s="10"/>
      <c r="J4263" s="79" t="e">
        <f t="shared" si="269"/>
        <v>#VALUE!</v>
      </c>
      <c r="K4263" s="106">
        <f t="shared" si="280"/>
        <v>17000</v>
      </c>
      <c r="L4263" s="141"/>
      <c r="M4263" s="132"/>
      <c r="N4263" s="133"/>
      <c r="O4263" s="4"/>
      <c r="P4263" s="4"/>
      <c r="Q4263" s="4"/>
      <c r="R4263" s="4"/>
      <c r="S4263" s="4"/>
      <c r="T4263" s="4"/>
      <c r="U4263" s="4"/>
      <c r="V4263" s="4"/>
      <c r="W4263" s="4"/>
      <c r="X4263" s="4"/>
    </row>
    <row r="4264" spans="1:24" ht="14.25" customHeight="1">
      <c r="A4264" s="4"/>
      <c r="B4264" s="125">
        <v>46180</v>
      </c>
      <c r="C4264" s="126" t="s">
        <v>2056</v>
      </c>
      <c r="D4264" s="15" t="s">
        <v>1875</v>
      </c>
      <c r="E4264" s="10" t="str">
        <f>TRIM(VLOOKUP(D4264,TB!$B$9:$C$1500,2,FALSE))</f>
        <v>Onion/Bombay</v>
      </c>
      <c r="F4264" s="142" t="s">
        <v>2131</v>
      </c>
      <c r="G4264" s="130">
        <v>1</v>
      </c>
      <c r="H4264" s="10">
        <v>22000</v>
      </c>
      <c r="I4264" s="10"/>
      <c r="J4264" s="79" t="e">
        <f t="shared" si="269"/>
        <v>#VALUE!</v>
      </c>
      <c r="K4264" s="106">
        <f t="shared" si="280"/>
        <v>22000</v>
      </c>
      <c r="L4264" s="141"/>
      <c r="M4264" s="132"/>
      <c r="N4264" s="133"/>
      <c r="O4264" s="4"/>
      <c r="P4264" s="4"/>
      <c r="Q4264" s="4"/>
      <c r="R4264" s="4"/>
      <c r="S4264" s="4"/>
      <c r="T4264" s="4"/>
      <c r="U4264" s="4"/>
      <c r="V4264" s="4"/>
      <c r="W4264" s="4"/>
      <c r="X4264" s="4"/>
    </row>
    <row r="4265" spans="1:24" ht="14.25" customHeight="1">
      <c r="A4265" s="4"/>
      <c r="B4265" s="125">
        <v>46180</v>
      </c>
      <c r="C4265" s="126" t="s">
        <v>2056</v>
      </c>
      <c r="D4265" s="15" t="s">
        <v>1928</v>
      </c>
      <c r="E4265" s="10" t="str">
        <f>TRIM(VLOOKUP(D4265,TB!$B$9:$C$1500,2,FALSE))</f>
        <v>Tomato 1 Kg</v>
      </c>
      <c r="F4265" s="142" t="s">
        <v>2145</v>
      </c>
      <c r="G4265" s="130">
        <v>1</v>
      </c>
      <c r="H4265" s="10">
        <v>20000</v>
      </c>
      <c r="I4265" s="10"/>
      <c r="J4265" s="79" t="e">
        <f t="shared" si="269"/>
        <v>#VALUE!</v>
      </c>
      <c r="K4265" s="106">
        <f t="shared" si="280"/>
        <v>20000</v>
      </c>
      <c r="L4265" s="141"/>
      <c r="M4265" s="132"/>
      <c r="N4265" s="133"/>
      <c r="O4265" s="4"/>
      <c r="P4265" s="4"/>
      <c r="Q4265" s="4"/>
      <c r="R4265" s="4"/>
      <c r="S4265" s="4"/>
      <c r="T4265" s="4"/>
      <c r="U4265" s="4"/>
      <c r="V4265" s="4"/>
      <c r="W4265" s="4"/>
      <c r="X4265" s="4"/>
    </row>
    <row r="4266" spans="1:24" ht="14.25" customHeight="1">
      <c r="A4266" s="4"/>
      <c r="B4266" s="125">
        <v>46180</v>
      </c>
      <c r="C4266" s="126" t="s">
        <v>2056</v>
      </c>
      <c r="D4266" s="15" t="s">
        <v>2057</v>
      </c>
      <c r="E4266" s="10" t="str">
        <f>TRIM(VLOOKUP(D4266,TB!$B$9:$C$1500,2,FALSE))</f>
        <v>Capsicum/Paprika</v>
      </c>
      <c r="F4266" s="142" t="s">
        <v>2123</v>
      </c>
      <c r="G4266" s="130">
        <v>0.5</v>
      </c>
      <c r="H4266" s="10">
        <f>70000*0.5</f>
        <v>35000</v>
      </c>
      <c r="I4266" s="10"/>
      <c r="J4266" s="79" t="e">
        <f t="shared" si="269"/>
        <v>#VALUE!</v>
      </c>
      <c r="K4266" s="106">
        <f t="shared" si="280"/>
        <v>70000</v>
      </c>
      <c r="L4266" s="141"/>
      <c r="M4266" s="132"/>
      <c r="N4266" s="133"/>
      <c r="O4266" s="4"/>
      <c r="P4266" s="4"/>
      <c r="Q4266" s="4"/>
      <c r="R4266" s="4"/>
      <c r="S4266" s="4"/>
      <c r="T4266" s="4"/>
      <c r="U4266" s="4"/>
      <c r="V4266" s="4"/>
      <c r="W4266" s="4"/>
      <c r="X4266" s="4"/>
    </row>
    <row r="4267" spans="1:24" ht="14.25" customHeight="1">
      <c r="A4267" s="4"/>
      <c r="B4267" s="125">
        <v>46180</v>
      </c>
      <c r="C4267" s="126" t="s">
        <v>2056</v>
      </c>
      <c r="D4267" s="15" t="s">
        <v>2057</v>
      </c>
      <c r="E4267" s="10" t="str">
        <f>TRIM(VLOOKUP(D4267,TB!$B$9:$C$1500,2,FALSE))</f>
        <v>Capsicum/Paprika</v>
      </c>
      <c r="F4267" s="142" t="s">
        <v>2182</v>
      </c>
      <c r="G4267" s="130">
        <v>0.4</v>
      </c>
      <c r="H4267" s="10">
        <f>100000*0.4</f>
        <v>40000</v>
      </c>
      <c r="I4267" s="10"/>
      <c r="J4267" s="79" t="e">
        <f t="shared" si="269"/>
        <v>#VALUE!</v>
      </c>
      <c r="K4267" s="106">
        <f t="shared" si="280"/>
        <v>100000</v>
      </c>
      <c r="L4267" s="141"/>
      <c r="M4267" s="132"/>
      <c r="N4267" s="133"/>
      <c r="O4267" s="4"/>
      <c r="P4267" s="4"/>
      <c r="Q4267" s="4"/>
      <c r="R4267" s="4"/>
      <c r="S4267" s="4"/>
      <c r="T4267" s="4"/>
      <c r="U4267" s="4"/>
      <c r="V4267" s="4"/>
      <c r="W4267" s="4"/>
      <c r="X4267" s="4"/>
    </row>
    <row r="4268" spans="1:24" ht="14.25" customHeight="1">
      <c r="A4268" s="4"/>
      <c r="B4268" s="125">
        <v>46180</v>
      </c>
      <c r="C4268" s="126" t="s">
        <v>2056</v>
      </c>
      <c r="D4268" s="15" t="s">
        <v>2057</v>
      </c>
      <c r="E4268" s="10" t="str">
        <f>TRIM(VLOOKUP(D4268,TB!$B$9:$C$1500,2,FALSE))</f>
        <v>Capsicum/Paprika</v>
      </c>
      <c r="F4268" s="142" t="s">
        <v>2124</v>
      </c>
      <c r="G4268" s="130">
        <v>0.4</v>
      </c>
      <c r="H4268" s="10">
        <f>65000*0.4</f>
        <v>26000</v>
      </c>
      <c r="I4268" s="10"/>
      <c r="J4268" s="79" t="e">
        <f t="shared" si="269"/>
        <v>#VALUE!</v>
      </c>
      <c r="K4268" s="106">
        <f t="shared" si="280"/>
        <v>65000</v>
      </c>
      <c r="L4268" s="141"/>
      <c r="M4268" s="132"/>
      <c r="N4268" s="133"/>
      <c r="O4268" s="4"/>
      <c r="P4268" s="4"/>
      <c r="Q4268" s="4"/>
      <c r="R4268" s="4"/>
      <c r="S4268" s="4"/>
      <c r="T4268" s="4"/>
      <c r="U4268" s="4"/>
      <c r="V4268" s="4"/>
      <c r="W4268" s="4"/>
      <c r="X4268" s="4"/>
    </row>
    <row r="4269" spans="1:24" ht="14.25" customHeight="1">
      <c r="A4269" s="4"/>
      <c r="B4269" s="125">
        <v>46180</v>
      </c>
      <c r="C4269" s="126" t="s">
        <v>2056</v>
      </c>
      <c r="D4269" s="15" t="s">
        <v>1155</v>
      </c>
      <c r="E4269" s="10" t="str">
        <f>TRIM(VLOOKUP(D4269,TB!$B$9:$C$1500,2,FALSE))</f>
        <v>Kitchen Supplies</v>
      </c>
      <c r="F4269" s="142" t="s">
        <v>2183</v>
      </c>
      <c r="G4269" s="130">
        <v>1</v>
      </c>
      <c r="H4269" s="10">
        <v>36000</v>
      </c>
      <c r="I4269" s="10"/>
      <c r="J4269" s="79" t="e">
        <f t="shared" si="269"/>
        <v>#VALUE!</v>
      </c>
      <c r="K4269" s="106">
        <f t="shared" si="280"/>
        <v>36000</v>
      </c>
      <c r="L4269" s="141"/>
      <c r="M4269" s="132"/>
      <c r="N4269" s="133"/>
      <c r="O4269" s="4"/>
      <c r="P4269" s="4"/>
      <c r="Q4269" s="4"/>
      <c r="R4269" s="4"/>
      <c r="S4269" s="4"/>
      <c r="T4269" s="4"/>
      <c r="U4269" s="4"/>
      <c r="V4269" s="4"/>
      <c r="W4269" s="4"/>
      <c r="X4269" s="4"/>
    </row>
    <row r="4270" spans="1:24" ht="14.25" customHeight="1">
      <c r="A4270" s="4"/>
      <c r="B4270" s="125">
        <v>46180</v>
      </c>
      <c r="C4270" s="126" t="s">
        <v>2056</v>
      </c>
      <c r="D4270" s="15" t="s">
        <v>2113</v>
      </c>
      <c r="E4270" s="10" t="str">
        <f>TRIM(VLOOKUP(D4270,TB!$B$9:$C$1500,2,FALSE))</f>
        <v>Grape Fruit/BUAH ANGGUR</v>
      </c>
      <c r="F4270" s="142" t="s">
        <v>2184</v>
      </c>
      <c r="G4270" s="130">
        <v>0.25</v>
      </c>
      <c r="H4270" s="10">
        <f>100000*0.25</f>
        <v>25000</v>
      </c>
      <c r="I4270" s="10"/>
      <c r="J4270" s="79" t="e">
        <f t="shared" si="269"/>
        <v>#VALUE!</v>
      </c>
      <c r="K4270" s="106">
        <f t="shared" si="280"/>
        <v>100000</v>
      </c>
      <c r="L4270" s="141"/>
      <c r="M4270" s="132"/>
      <c r="N4270" s="133"/>
      <c r="O4270" s="4"/>
      <c r="P4270" s="4"/>
      <c r="Q4270" s="4"/>
      <c r="R4270" s="4"/>
      <c r="S4270" s="4"/>
      <c r="T4270" s="4"/>
      <c r="U4270" s="4"/>
      <c r="V4270" s="4"/>
      <c r="W4270" s="4"/>
      <c r="X4270" s="4"/>
    </row>
    <row r="4271" spans="1:24" ht="14.25" customHeight="1">
      <c r="A4271" s="4"/>
      <c r="B4271" s="125">
        <v>46180</v>
      </c>
      <c r="C4271" s="126" t="s">
        <v>2056</v>
      </c>
      <c r="D4271" s="15" t="s">
        <v>1924</v>
      </c>
      <c r="E4271" s="10" t="str">
        <f>TRIM(VLOOKUP(D4271,TB!$B$9:$C$1500,2,FALSE))</f>
        <v>Coriander</v>
      </c>
      <c r="F4271" s="142" t="s">
        <v>2185</v>
      </c>
      <c r="G4271" s="130">
        <v>0.1</v>
      </c>
      <c r="H4271" s="10">
        <f>150000*0.1</f>
        <v>15000</v>
      </c>
      <c r="I4271" s="10"/>
      <c r="J4271" s="79" t="e">
        <f t="shared" si="269"/>
        <v>#VALUE!</v>
      </c>
      <c r="K4271" s="106">
        <f t="shared" si="280"/>
        <v>150000</v>
      </c>
      <c r="L4271" s="141"/>
      <c r="M4271" s="132"/>
      <c r="N4271" s="133"/>
      <c r="O4271" s="4"/>
      <c r="P4271" s="4"/>
      <c r="Q4271" s="4"/>
      <c r="R4271" s="4"/>
      <c r="S4271" s="4"/>
      <c r="T4271" s="4"/>
      <c r="U4271" s="4"/>
      <c r="V4271" s="4"/>
      <c r="W4271" s="4"/>
      <c r="X4271" s="4"/>
    </row>
    <row r="4272" spans="1:24" ht="14.25" customHeight="1">
      <c r="A4272" s="4"/>
      <c r="B4272" s="125">
        <v>46180</v>
      </c>
      <c r="C4272" s="126" t="s">
        <v>2056</v>
      </c>
      <c r="D4272" s="15" t="s">
        <v>2186</v>
      </c>
      <c r="E4272" s="10" t="str">
        <f>TRIM(VLOOKUP(D4272,TB!$B$9:$C$1500,2,FALSE))</f>
        <v>Melon fruit</v>
      </c>
      <c r="F4272" s="142" t="s">
        <v>2187</v>
      </c>
      <c r="G4272" s="130">
        <v>3.1</v>
      </c>
      <c r="H4272" s="10">
        <f>20000*3.1</f>
        <v>62000</v>
      </c>
      <c r="I4272" s="10"/>
      <c r="J4272" s="79" t="e">
        <f t="shared" si="269"/>
        <v>#VALUE!</v>
      </c>
      <c r="K4272" s="106">
        <f t="shared" si="280"/>
        <v>20000</v>
      </c>
      <c r="L4272" s="141"/>
      <c r="M4272" s="132"/>
      <c r="N4272" s="133"/>
      <c r="O4272" s="4"/>
      <c r="P4272" s="4"/>
      <c r="Q4272" s="4"/>
      <c r="R4272" s="4"/>
      <c r="S4272" s="4"/>
      <c r="T4272" s="4"/>
      <c r="U4272" s="4"/>
      <c r="V4272" s="4"/>
      <c r="W4272" s="4"/>
      <c r="X4272" s="4"/>
    </row>
    <row r="4273" spans="1:24" ht="14.25" customHeight="1">
      <c r="A4273" s="4"/>
      <c r="B4273" s="125">
        <v>46180</v>
      </c>
      <c r="C4273" s="126" t="s">
        <v>2056</v>
      </c>
      <c r="D4273" s="15" t="s">
        <v>2153</v>
      </c>
      <c r="E4273" s="10" t="str">
        <f>TRIM(VLOOKUP(D4273,TB!$B$9:$C$1500,2,FALSE))</f>
        <v>Lemon Fruit</v>
      </c>
      <c r="F4273" s="142" t="s">
        <v>2188</v>
      </c>
      <c r="G4273" s="130">
        <v>0.5</v>
      </c>
      <c r="H4273" s="10">
        <f>50000*0.5</f>
        <v>25000</v>
      </c>
      <c r="I4273" s="10"/>
      <c r="J4273" s="79" t="e">
        <f t="shared" si="269"/>
        <v>#VALUE!</v>
      </c>
      <c r="K4273" s="106">
        <f t="shared" si="280"/>
        <v>50000</v>
      </c>
      <c r="L4273" s="141"/>
      <c r="M4273" s="132"/>
      <c r="N4273" s="133"/>
      <c r="O4273" s="4"/>
      <c r="P4273" s="4"/>
      <c r="Q4273" s="4"/>
      <c r="R4273" s="4"/>
      <c r="S4273" s="4"/>
      <c r="T4273" s="4"/>
      <c r="U4273" s="4"/>
      <c r="V4273" s="4"/>
      <c r="W4273" s="4"/>
      <c r="X4273" s="4"/>
    </row>
    <row r="4274" spans="1:24" ht="14.25" customHeight="1">
      <c r="A4274" s="4"/>
      <c r="B4274" s="125">
        <v>46180</v>
      </c>
      <c r="C4274" s="126" t="s">
        <v>2056</v>
      </c>
      <c r="D4274" s="15" t="s">
        <v>285</v>
      </c>
      <c r="E4274" s="10" t="str">
        <f>TRIM(VLOOKUP(D4274,TB!$B$9:$C$1500,2,FALSE))</f>
        <v>Misc Cash Purchase</v>
      </c>
      <c r="F4274" s="142" t="s">
        <v>2189</v>
      </c>
      <c r="G4274" s="130"/>
      <c r="H4274" s="10"/>
      <c r="I4274" s="10">
        <v>485550</v>
      </c>
      <c r="J4274" s="79" t="e">
        <f t="shared" si="269"/>
        <v>#VALUE!</v>
      </c>
      <c r="K4274" s="106"/>
      <c r="L4274" s="141"/>
      <c r="M4274" s="132"/>
      <c r="N4274" s="133"/>
      <c r="O4274" s="4"/>
      <c r="P4274" s="4"/>
      <c r="Q4274" s="4"/>
      <c r="R4274" s="4"/>
      <c r="S4274" s="4"/>
      <c r="T4274" s="4"/>
      <c r="U4274" s="4"/>
      <c r="V4274" s="4"/>
      <c r="W4274" s="4"/>
      <c r="X4274" s="4"/>
    </row>
    <row r="4275" spans="1:24" ht="14.25" customHeight="1">
      <c r="A4275" s="4"/>
      <c r="B4275" s="125"/>
      <c r="C4275" s="126"/>
      <c r="D4275" s="68"/>
      <c r="E4275" s="10" t="e">
        <f>TRIM(VLOOKUP(D4275,TB!$B$9:$C$1500,2,FALSE))</f>
        <v>#N/A</v>
      </c>
      <c r="F4275" s="142"/>
      <c r="G4275" s="130"/>
      <c r="H4275" s="10"/>
      <c r="I4275" s="10"/>
      <c r="J4275" s="79" t="e">
        <f t="shared" si="269"/>
        <v>#VALUE!</v>
      </c>
      <c r="K4275" s="106"/>
      <c r="L4275" s="141"/>
      <c r="M4275" s="132"/>
      <c r="N4275" s="133"/>
      <c r="O4275" s="4"/>
      <c r="P4275" s="4"/>
      <c r="Q4275" s="4"/>
      <c r="R4275" s="4"/>
      <c r="S4275" s="4"/>
      <c r="T4275" s="4"/>
      <c r="U4275" s="4"/>
      <c r="V4275" s="4"/>
      <c r="W4275" s="4"/>
      <c r="X4275" s="4"/>
    </row>
    <row r="4276" spans="1:24" ht="14.25" customHeight="1">
      <c r="A4276" s="4"/>
      <c r="B4276" s="125">
        <v>46180</v>
      </c>
      <c r="C4276" s="126" t="s">
        <v>2056</v>
      </c>
      <c r="D4276" s="15" t="s">
        <v>1886</v>
      </c>
      <c r="E4276" s="10" t="str">
        <f>TRIM(VLOOKUP(D4276,TB!$B$9:$C$1500,2,FALSE))</f>
        <v>Ruccola</v>
      </c>
      <c r="F4276" s="142" t="s">
        <v>2190</v>
      </c>
      <c r="G4276" s="130">
        <v>0.25</v>
      </c>
      <c r="H4276" s="10">
        <f>80000*0.25</f>
        <v>20000</v>
      </c>
      <c r="I4276" s="10"/>
      <c r="J4276" s="79" t="e">
        <f t="shared" si="269"/>
        <v>#VALUE!</v>
      </c>
      <c r="K4276" s="106">
        <f t="shared" ref="K4276:K4278" si="281">H4276/G4276</f>
        <v>80000</v>
      </c>
      <c r="L4276" s="141"/>
      <c r="M4276" s="132"/>
      <c r="N4276" s="133"/>
      <c r="O4276" s="4"/>
      <c r="P4276" s="4"/>
      <c r="Q4276" s="4"/>
      <c r="R4276" s="4"/>
      <c r="S4276" s="4"/>
      <c r="T4276" s="4"/>
      <c r="U4276" s="4"/>
      <c r="V4276" s="4"/>
      <c r="W4276" s="4"/>
      <c r="X4276" s="4"/>
    </row>
    <row r="4277" spans="1:24" ht="14.25" customHeight="1">
      <c r="A4277" s="4"/>
      <c r="B4277" s="125">
        <v>46180</v>
      </c>
      <c r="C4277" s="126" t="s">
        <v>2056</v>
      </c>
      <c r="D4277" s="15" t="s">
        <v>2173</v>
      </c>
      <c r="E4277" s="10" t="str">
        <f>TRIM(VLOOKUP(D4277,TB!$B$9:$C$1500,2,FALSE))</f>
        <v>Edamame</v>
      </c>
      <c r="F4277" s="142" t="s">
        <v>2174</v>
      </c>
      <c r="G4277" s="130">
        <v>1.5</v>
      </c>
      <c r="H4277" s="10">
        <f>30000*1.5</f>
        <v>45000</v>
      </c>
      <c r="I4277" s="10"/>
      <c r="J4277" s="79" t="e">
        <f t="shared" si="269"/>
        <v>#VALUE!</v>
      </c>
      <c r="K4277" s="106">
        <f t="shared" si="281"/>
        <v>30000</v>
      </c>
      <c r="L4277" s="141"/>
      <c r="M4277" s="132"/>
      <c r="N4277" s="133"/>
      <c r="O4277" s="4"/>
      <c r="P4277" s="4"/>
      <c r="Q4277" s="4"/>
      <c r="R4277" s="4"/>
      <c r="S4277" s="4"/>
      <c r="T4277" s="4"/>
      <c r="U4277" s="4"/>
      <c r="V4277" s="4"/>
      <c r="W4277" s="4"/>
      <c r="X4277" s="4"/>
    </row>
    <row r="4278" spans="1:24" ht="14.25" customHeight="1">
      <c r="A4278" s="4"/>
      <c r="B4278" s="125">
        <v>46180</v>
      </c>
      <c r="C4278" s="126" t="s">
        <v>2056</v>
      </c>
      <c r="D4278" s="15" t="s">
        <v>2191</v>
      </c>
      <c r="E4278" s="10" t="str">
        <f>TRIM(VLOOKUP(D4278,TB!$B$9:$C$1500,2,FALSE))</f>
        <v>Honey/Madu</v>
      </c>
      <c r="F4278" s="142" t="s">
        <v>2192</v>
      </c>
      <c r="G4278" s="130">
        <v>0.625</v>
      </c>
      <c r="H4278" s="10">
        <v>35000</v>
      </c>
      <c r="I4278" s="10"/>
      <c r="J4278" s="79" t="e">
        <f t="shared" si="269"/>
        <v>#VALUE!</v>
      </c>
      <c r="K4278" s="106">
        <f t="shared" si="281"/>
        <v>56000</v>
      </c>
      <c r="L4278" s="141"/>
      <c r="M4278" s="132"/>
      <c r="N4278" s="133"/>
      <c r="O4278" s="4"/>
      <c r="P4278" s="4"/>
      <c r="Q4278" s="4"/>
      <c r="R4278" s="4"/>
      <c r="S4278" s="4"/>
      <c r="T4278" s="4"/>
      <c r="U4278" s="4"/>
      <c r="V4278" s="4"/>
      <c r="W4278" s="4"/>
      <c r="X4278" s="4"/>
    </row>
    <row r="4279" spans="1:24" ht="14.25" customHeight="1">
      <c r="A4279" s="4"/>
      <c r="B4279" s="125">
        <v>46180</v>
      </c>
      <c r="C4279" s="126" t="s">
        <v>2056</v>
      </c>
      <c r="D4279" s="15" t="s">
        <v>285</v>
      </c>
      <c r="E4279" s="10" t="str">
        <f>TRIM(VLOOKUP(D4279,TB!$B$9:$C$1500,2,FALSE))</f>
        <v>Misc Cash Purchase</v>
      </c>
      <c r="F4279" s="142" t="s">
        <v>2193</v>
      </c>
      <c r="G4279" s="130"/>
      <c r="H4279" s="10"/>
      <c r="I4279" s="10">
        <v>100000</v>
      </c>
      <c r="J4279" s="79" t="e">
        <f t="shared" si="269"/>
        <v>#VALUE!</v>
      </c>
      <c r="K4279" s="106"/>
      <c r="L4279" s="141"/>
      <c r="M4279" s="132"/>
      <c r="N4279" s="133"/>
      <c r="O4279" s="4"/>
      <c r="P4279" s="4"/>
      <c r="Q4279" s="4"/>
      <c r="R4279" s="4"/>
      <c r="S4279" s="4"/>
      <c r="T4279" s="4"/>
      <c r="U4279" s="4"/>
      <c r="V4279" s="4"/>
      <c r="W4279" s="4"/>
      <c r="X4279" s="4"/>
    </row>
    <row r="4280" spans="1:24" ht="14.25" customHeight="1">
      <c r="A4280" s="4"/>
      <c r="B4280" s="125"/>
      <c r="C4280" s="126"/>
      <c r="D4280" s="68"/>
      <c r="E4280" s="10" t="e">
        <f>TRIM(VLOOKUP(D4280,TB!$B$9:$C$1500,2,FALSE))</f>
        <v>#N/A</v>
      </c>
      <c r="F4280" s="142"/>
      <c r="G4280" s="130"/>
      <c r="H4280" s="10"/>
      <c r="I4280" s="10"/>
      <c r="J4280" s="79" t="e">
        <f t="shared" si="269"/>
        <v>#VALUE!</v>
      </c>
      <c r="K4280" s="106"/>
      <c r="L4280" s="141"/>
      <c r="M4280" s="132"/>
      <c r="N4280" s="133"/>
      <c r="O4280" s="4"/>
      <c r="P4280" s="4"/>
      <c r="Q4280" s="4"/>
      <c r="R4280" s="4"/>
      <c r="S4280" s="4"/>
      <c r="T4280" s="4"/>
      <c r="U4280" s="4"/>
      <c r="V4280" s="4"/>
      <c r="W4280" s="4"/>
      <c r="X4280" s="4"/>
    </row>
    <row r="4281" spans="1:24" ht="14.25" customHeight="1">
      <c r="A4281" s="4"/>
      <c r="B4281" s="125">
        <v>46181</v>
      </c>
      <c r="C4281" s="126" t="s">
        <v>2056</v>
      </c>
      <c r="D4281" s="15" t="s">
        <v>2085</v>
      </c>
      <c r="E4281" s="10" t="str">
        <f>TRIM(VLOOKUP(D4281,TB!$B$9:$C$1500,2,FALSE))</f>
        <v>Carrot/Wortel</v>
      </c>
      <c r="F4281" s="142" t="s">
        <v>2194</v>
      </c>
      <c r="G4281" s="130">
        <v>1</v>
      </c>
      <c r="H4281" s="10">
        <v>18000</v>
      </c>
      <c r="I4281" s="10"/>
      <c r="J4281" s="79" t="e">
        <f t="shared" si="269"/>
        <v>#VALUE!</v>
      </c>
      <c r="K4281" s="106">
        <f t="shared" ref="K4281:K4298" si="282">H4281/G4281</f>
        <v>18000</v>
      </c>
      <c r="L4281" s="141"/>
      <c r="M4281" s="132"/>
      <c r="N4281" s="133"/>
      <c r="O4281" s="4"/>
      <c r="P4281" s="4"/>
      <c r="Q4281" s="4"/>
      <c r="R4281" s="4"/>
      <c r="S4281" s="4"/>
      <c r="T4281" s="4"/>
      <c r="U4281" s="4"/>
      <c r="V4281" s="4"/>
      <c r="W4281" s="4"/>
      <c r="X4281" s="4"/>
    </row>
    <row r="4282" spans="1:24" ht="14.25" customHeight="1">
      <c r="A4282" s="4"/>
      <c r="B4282" s="125">
        <v>46181</v>
      </c>
      <c r="C4282" s="126" t="s">
        <v>2056</v>
      </c>
      <c r="D4282" s="15" t="s">
        <v>2138</v>
      </c>
      <c r="E4282" s="10" t="str">
        <f>TRIM(VLOOKUP(D4282,TB!$B$9:$C$1500,2,FALSE))</f>
        <v>Baby Carrot/Wortel</v>
      </c>
      <c r="F4282" s="142" t="s">
        <v>2195</v>
      </c>
      <c r="G4282" s="130">
        <v>0.5</v>
      </c>
      <c r="H4282" s="10">
        <f>35000*0.5</f>
        <v>17500</v>
      </c>
      <c r="I4282" s="10"/>
      <c r="J4282" s="79" t="e">
        <f t="shared" si="269"/>
        <v>#VALUE!</v>
      </c>
      <c r="K4282" s="106">
        <f t="shared" si="282"/>
        <v>35000</v>
      </c>
      <c r="L4282" s="141"/>
      <c r="M4282" s="132"/>
      <c r="N4282" s="133"/>
      <c r="O4282" s="4"/>
      <c r="P4282" s="4"/>
      <c r="Q4282" s="4"/>
      <c r="R4282" s="4"/>
      <c r="S4282" s="4"/>
      <c r="T4282" s="4"/>
      <c r="U4282" s="4"/>
      <c r="V4282" s="4"/>
      <c r="W4282" s="4"/>
      <c r="X4282" s="4"/>
    </row>
    <row r="4283" spans="1:24" ht="14.25" customHeight="1">
      <c r="A4283" s="4"/>
      <c r="B4283" s="125">
        <v>46181</v>
      </c>
      <c r="C4283" s="126" t="s">
        <v>2056</v>
      </c>
      <c r="D4283" s="15" t="s">
        <v>2083</v>
      </c>
      <c r="E4283" s="10" t="str">
        <f>TRIM(VLOOKUP(D4283,TB!$B$9:$C$1500,2,FALSE))</f>
        <v>Baby Buncis</v>
      </c>
      <c r="F4283" s="142" t="s">
        <v>2196</v>
      </c>
      <c r="G4283" s="130">
        <v>0.25</v>
      </c>
      <c r="H4283" s="10">
        <f>60000*0.25</f>
        <v>15000</v>
      </c>
      <c r="I4283" s="10"/>
      <c r="J4283" s="79" t="e">
        <f t="shared" si="269"/>
        <v>#VALUE!</v>
      </c>
      <c r="K4283" s="106">
        <f t="shared" si="282"/>
        <v>60000</v>
      </c>
      <c r="L4283" s="141"/>
      <c r="M4283" s="132"/>
      <c r="N4283" s="133"/>
      <c r="O4283" s="4"/>
      <c r="P4283" s="4"/>
      <c r="Q4283" s="4"/>
      <c r="R4283" s="4"/>
      <c r="S4283" s="4"/>
      <c r="T4283" s="4"/>
      <c r="U4283" s="4"/>
      <c r="V4283" s="4"/>
      <c r="W4283" s="4"/>
      <c r="X4283" s="4"/>
    </row>
    <row r="4284" spans="1:24" ht="14.25" customHeight="1">
      <c r="A4284" s="4"/>
      <c r="B4284" s="125">
        <v>46181</v>
      </c>
      <c r="C4284" s="126" t="s">
        <v>2056</v>
      </c>
      <c r="D4284" s="68" t="s">
        <v>2076</v>
      </c>
      <c r="E4284" s="10" t="str">
        <f>TRIM(VLOOKUP(D4284,TB!$B$9:$C$1500,2,FALSE))</f>
        <v>Buncis</v>
      </c>
      <c r="F4284" s="142" t="s">
        <v>2197</v>
      </c>
      <c r="G4284" s="130">
        <v>0.5</v>
      </c>
      <c r="H4284" s="10">
        <f>14000*0.5</f>
        <v>7000</v>
      </c>
      <c r="I4284" s="10"/>
      <c r="J4284" s="79" t="e">
        <f t="shared" si="269"/>
        <v>#VALUE!</v>
      </c>
      <c r="K4284" s="106">
        <f t="shared" si="282"/>
        <v>14000</v>
      </c>
      <c r="L4284" s="141"/>
      <c r="M4284" s="132"/>
      <c r="N4284" s="133"/>
      <c r="O4284" s="4"/>
      <c r="P4284" s="4"/>
      <c r="Q4284" s="4"/>
      <c r="R4284" s="4"/>
      <c r="S4284" s="4"/>
      <c r="T4284" s="4"/>
      <c r="U4284" s="4"/>
      <c r="V4284" s="4"/>
      <c r="W4284" s="4"/>
      <c r="X4284" s="4"/>
    </row>
    <row r="4285" spans="1:24" ht="14.25" customHeight="1">
      <c r="A4285" s="4"/>
      <c r="B4285" s="125">
        <v>46181</v>
      </c>
      <c r="C4285" s="126" t="s">
        <v>2056</v>
      </c>
      <c r="D4285" s="15" t="s">
        <v>1877</v>
      </c>
      <c r="E4285" s="10" t="str">
        <f>TRIM(VLOOKUP(D4285,TB!$B$9:$C$1500,2,FALSE))</f>
        <v>Pok Coy</v>
      </c>
      <c r="F4285" s="142" t="s">
        <v>2152</v>
      </c>
      <c r="G4285" s="130">
        <v>0.5</v>
      </c>
      <c r="H4285" s="10">
        <f>15000*0.5</f>
        <v>7500</v>
      </c>
      <c r="I4285" s="10"/>
      <c r="J4285" s="79" t="e">
        <f t="shared" si="269"/>
        <v>#VALUE!</v>
      </c>
      <c r="K4285" s="106">
        <f t="shared" si="282"/>
        <v>15000</v>
      </c>
      <c r="L4285" s="141"/>
      <c r="M4285" s="132"/>
      <c r="N4285" s="133"/>
      <c r="O4285" s="4"/>
      <c r="P4285" s="4"/>
      <c r="Q4285" s="4"/>
      <c r="R4285" s="4"/>
      <c r="S4285" s="4"/>
      <c r="T4285" s="4"/>
      <c r="U4285" s="4"/>
      <c r="V4285" s="4"/>
      <c r="W4285" s="4"/>
      <c r="X4285" s="4"/>
    </row>
    <row r="4286" spans="1:24" ht="14.25" customHeight="1">
      <c r="A4286" s="4"/>
      <c r="B4286" s="125">
        <v>46181</v>
      </c>
      <c r="C4286" s="126" t="s">
        <v>2056</v>
      </c>
      <c r="D4286" s="15" t="s">
        <v>1888</v>
      </c>
      <c r="E4286" s="10" t="str">
        <f>TRIM(VLOOKUP(D4286,TB!$B$9:$C$1500,2,FALSE))</f>
        <v>Romaine</v>
      </c>
      <c r="F4286" s="142" t="s">
        <v>2198</v>
      </c>
      <c r="G4286" s="130">
        <v>0.5</v>
      </c>
      <c r="H4286" s="10">
        <f>50000*0.5</f>
        <v>25000</v>
      </c>
      <c r="I4286" s="10"/>
      <c r="J4286" s="79" t="e">
        <f t="shared" si="269"/>
        <v>#VALUE!</v>
      </c>
      <c r="K4286" s="106">
        <f t="shared" si="282"/>
        <v>50000</v>
      </c>
      <c r="L4286" s="141"/>
      <c r="M4286" s="132"/>
      <c r="N4286" s="133"/>
      <c r="O4286" s="4"/>
      <c r="P4286" s="4"/>
      <c r="Q4286" s="4"/>
      <c r="R4286" s="4"/>
      <c r="S4286" s="4"/>
      <c r="T4286" s="4"/>
      <c r="U4286" s="4"/>
      <c r="V4286" s="4"/>
      <c r="W4286" s="4"/>
      <c r="X4286" s="4"/>
    </row>
    <row r="4287" spans="1:24" ht="14.25" customHeight="1">
      <c r="A4287" s="4"/>
      <c r="B4287" s="125">
        <v>46181</v>
      </c>
      <c r="C4287" s="126" t="s">
        <v>2056</v>
      </c>
      <c r="D4287" s="15" t="s">
        <v>2057</v>
      </c>
      <c r="E4287" s="10" t="str">
        <f>TRIM(VLOOKUP(D4287,TB!$B$9:$C$1500,2,FALSE))</f>
        <v>Capsicum/Paprika</v>
      </c>
      <c r="F4287" s="142" t="s">
        <v>2199</v>
      </c>
      <c r="G4287" s="130">
        <v>0.5</v>
      </c>
      <c r="H4287" s="10">
        <f>65000*0.5</f>
        <v>32500</v>
      </c>
      <c r="I4287" s="10"/>
      <c r="J4287" s="79" t="e">
        <f t="shared" si="269"/>
        <v>#VALUE!</v>
      </c>
      <c r="K4287" s="106">
        <f t="shared" si="282"/>
        <v>65000</v>
      </c>
      <c r="L4287" s="141"/>
      <c r="M4287" s="132"/>
      <c r="N4287" s="133"/>
      <c r="O4287" s="4"/>
      <c r="P4287" s="4"/>
      <c r="Q4287" s="4"/>
      <c r="R4287" s="4"/>
      <c r="S4287" s="4"/>
      <c r="T4287" s="4"/>
      <c r="U4287" s="4"/>
      <c r="V4287" s="4"/>
      <c r="W4287" s="4"/>
      <c r="X4287" s="4"/>
    </row>
    <row r="4288" spans="1:24" ht="14.25" customHeight="1">
      <c r="A4288" s="4"/>
      <c r="B4288" s="125">
        <v>46181</v>
      </c>
      <c r="C4288" s="126" t="s">
        <v>2056</v>
      </c>
      <c r="D4288" s="15" t="s">
        <v>2062</v>
      </c>
      <c r="E4288" s="10" t="str">
        <f>TRIM(VLOOKUP(D4288,TB!$B$9:$C$1500,2,FALSE))</f>
        <v>Mushrooms Button</v>
      </c>
      <c r="F4288" s="142" t="s">
        <v>2200</v>
      </c>
      <c r="G4288" s="130">
        <v>1</v>
      </c>
      <c r="H4288" s="10">
        <v>45000</v>
      </c>
      <c r="I4288" s="10"/>
      <c r="J4288" s="79" t="e">
        <f t="shared" si="269"/>
        <v>#VALUE!</v>
      </c>
      <c r="K4288" s="106">
        <f t="shared" si="282"/>
        <v>45000</v>
      </c>
      <c r="L4288" s="141"/>
      <c r="M4288" s="132"/>
      <c r="N4288" s="133"/>
      <c r="O4288" s="4"/>
      <c r="P4288" s="4"/>
      <c r="Q4288" s="4"/>
      <c r="R4288" s="4"/>
      <c r="S4288" s="4"/>
      <c r="T4288" s="4"/>
      <c r="U4288" s="4"/>
      <c r="V4288" s="4"/>
      <c r="W4288" s="4"/>
      <c r="X4288" s="4"/>
    </row>
    <row r="4289" spans="1:24" ht="14.25" customHeight="1">
      <c r="A4289" s="4"/>
      <c r="B4289" s="125">
        <v>46181</v>
      </c>
      <c r="C4289" s="126" t="s">
        <v>2056</v>
      </c>
      <c r="D4289" s="15" t="s">
        <v>2069</v>
      </c>
      <c r="E4289" s="10" t="str">
        <f>TRIM(VLOOKUP(D4289,TB!$B$9:$C$1500,2,FALSE))</f>
        <v>Apple Fruit</v>
      </c>
      <c r="F4289" s="142" t="s">
        <v>2201</v>
      </c>
      <c r="G4289" s="130">
        <v>0.2</v>
      </c>
      <c r="H4289" s="10">
        <f>43000*0.2</f>
        <v>8600</v>
      </c>
      <c r="I4289" s="10"/>
      <c r="J4289" s="79" t="e">
        <f t="shared" si="269"/>
        <v>#VALUE!</v>
      </c>
      <c r="K4289" s="106">
        <f t="shared" si="282"/>
        <v>43000</v>
      </c>
      <c r="L4289" s="141"/>
      <c r="M4289" s="132"/>
      <c r="N4289" s="133"/>
      <c r="O4289" s="4"/>
      <c r="P4289" s="4"/>
      <c r="Q4289" s="4"/>
      <c r="R4289" s="4"/>
      <c r="S4289" s="4"/>
      <c r="T4289" s="4"/>
      <c r="U4289" s="4"/>
      <c r="V4289" s="4"/>
      <c r="W4289" s="4"/>
      <c r="X4289" s="4"/>
    </row>
    <row r="4290" spans="1:24" ht="14.25" customHeight="1">
      <c r="A4290" s="4"/>
      <c r="B4290" s="125">
        <v>46181</v>
      </c>
      <c r="C4290" s="126" t="s">
        <v>2056</v>
      </c>
      <c r="D4290" s="15" t="s">
        <v>2104</v>
      </c>
      <c r="E4290" s="10" t="str">
        <f>TRIM(VLOOKUP(D4290,TB!$B$9:$C$1500,2,FALSE))</f>
        <v>Pear</v>
      </c>
      <c r="F4290" s="142" t="s">
        <v>2202</v>
      </c>
      <c r="G4290" s="130">
        <v>0.3</v>
      </c>
      <c r="H4290" s="10">
        <f>30000*0.3</f>
        <v>9000</v>
      </c>
      <c r="I4290" s="10"/>
      <c r="J4290" s="79" t="e">
        <f t="shared" si="269"/>
        <v>#VALUE!</v>
      </c>
      <c r="K4290" s="106">
        <f t="shared" si="282"/>
        <v>30000</v>
      </c>
      <c r="L4290" s="141"/>
      <c r="M4290" s="132"/>
      <c r="N4290" s="133"/>
      <c r="O4290" s="4"/>
      <c r="P4290" s="4"/>
      <c r="Q4290" s="4"/>
      <c r="R4290" s="4"/>
      <c r="S4290" s="4"/>
      <c r="T4290" s="4"/>
      <c r="U4290" s="4"/>
      <c r="V4290" s="4"/>
      <c r="W4290" s="4"/>
      <c r="X4290" s="4"/>
    </row>
    <row r="4291" spans="1:24" ht="14.25" customHeight="1">
      <c r="A4291" s="4"/>
      <c r="B4291" s="125">
        <v>46181</v>
      </c>
      <c r="C4291" s="126" t="s">
        <v>2056</v>
      </c>
      <c r="D4291" s="15" t="s">
        <v>1155</v>
      </c>
      <c r="E4291" s="10" t="str">
        <f>TRIM(VLOOKUP(D4291,TB!$B$9:$C$1500,2,FALSE))</f>
        <v>Kitchen Supplies</v>
      </c>
      <c r="F4291" s="142" t="s">
        <v>2203</v>
      </c>
      <c r="G4291" s="130">
        <v>0.25</v>
      </c>
      <c r="H4291" s="10">
        <f>13000*0.25</f>
        <v>3250</v>
      </c>
      <c r="I4291" s="10"/>
      <c r="J4291" s="79" t="e">
        <f t="shared" si="269"/>
        <v>#VALUE!</v>
      </c>
      <c r="K4291" s="106">
        <f t="shared" si="282"/>
        <v>13000</v>
      </c>
      <c r="L4291" s="141"/>
      <c r="M4291" s="132"/>
      <c r="N4291" s="133"/>
      <c r="O4291" s="4"/>
      <c r="P4291" s="4"/>
      <c r="Q4291" s="4"/>
      <c r="R4291" s="4"/>
      <c r="S4291" s="4"/>
      <c r="T4291" s="4"/>
      <c r="U4291" s="4"/>
      <c r="V4291" s="4"/>
      <c r="W4291" s="4"/>
      <c r="X4291" s="4"/>
    </row>
    <row r="4292" spans="1:24" ht="14.25" customHeight="1">
      <c r="A4292" s="4"/>
      <c r="B4292" s="125">
        <v>46181</v>
      </c>
      <c r="C4292" s="126" t="s">
        <v>2056</v>
      </c>
      <c r="D4292" s="15" t="s">
        <v>2094</v>
      </c>
      <c r="E4292" s="10" t="str">
        <f>TRIM(VLOOKUP(D4292,TB!$B$9:$C$1500,2,FALSE))</f>
        <v>Ginger/Jahe</v>
      </c>
      <c r="F4292" s="142" t="s">
        <v>2095</v>
      </c>
      <c r="G4292" s="130">
        <v>0.25</v>
      </c>
      <c r="H4292" s="10">
        <f>25000*0.25</f>
        <v>6250</v>
      </c>
      <c r="I4292" s="10"/>
      <c r="J4292" s="79" t="e">
        <f t="shared" si="269"/>
        <v>#VALUE!</v>
      </c>
      <c r="K4292" s="106">
        <f t="shared" si="282"/>
        <v>25000</v>
      </c>
      <c r="L4292" s="141"/>
      <c r="M4292" s="132"/>
      <c r="N4292" s="133"/>
      <c r="O4292" s="4"/>
      <c r="P4292" s="4"/>
      <c r="Q4292" s="4"/>
      <c r="R4292" s="4"/>
      <c r="S4292" s="4"/>
      <c r="T4292" s="4"/>
      <c r="U4292" s="4"/>
      <c r="V4292" s="4"/>
      <c r="W4292" s="4"/>
      <c r="X4292" s="4"/>
    </row>
    <row r="4293" spans="1:24" ht="14.25" customHeight="1">
      <c r="A4293" s="4"/>
      <c r="B4293" s="125">
        <v>46181</v>
      </c>
      <c r="C4293" s="126" t="s">
        <v>2056</v>
      </c>
      <c r="D4293" s="15" t="s">
        <v>1765</v>
      </c>
      <c r="E4293" s="10" t="str">
        <f>TRIM(VLOOKUP(D4293,TB!$B$9:$C$1500,2,FALSE))</f>
        <v>Great Chilli / Lombok Besar</v>
      </c>
      <c r="F4293" s="142" t="s">
        <v>2204</v>
      </c>
      <c r="G4293" s="130">
        <v>0.25</v>
      </c>
      <c r="H4293" s="10">
        <f>50000*0.25</f>
        <v>12500</v>
      </c>
      <c r="I4293" s="10"/>
      <c r="J4293" s="79" t="e">
        <f t="shared" si="269"/>
        <v>#VALUE!</v>
      </c>
      <c r="K4293" s="106">
        <f t="shared" si="282"/>
        <v>50000</v>
      </c>
      <c r="L4293" s="141"/>
      <c r="M4293" s="132"/>
      <c r="N4293" s="133"/>
      <c r="O4293" s="4"/>
      <c r="P4293" s="4"/>
      <c r="Q4293" s="4"/>
      <c r="R4293" s="4"/>
      <c r="S4293" s="4"/>
      <c r="T4293" s="4"/>
      <c r="U4293" s="4"/>
      <c r="V4293" s="4"/>
      <c r="W4293" s="4"/>
      <c r="X4293" s="4"/>
    </row>
    <row r="4294" spans="1:24" ht="14.25" customHeight="1">
      <c r="A4294" s="4"/>
      <c r="B4294" s="125">
        <v>46181</v>
      </c>
      <c r="C4294" s="126" t="s">
        <v>2056</v>
      </c>
      <c r="D4294" s="15" t="s">
        <v>2205</v>
      </c>
      <c r="E4294" s="10" t="str">
        <f>TRIM(VLOOKUP(D4294,TB!$B$9:$C$1500,2,FALSE))</f>
        <v>Radish / Lobak</v>
      </c>
      <c r="F4294" s="142" t="s">
        <v>2206</v>
      </c>
      <c r="G4294" s="130">
        <v>0.5</v>
      </c>
      <c r="H4294" s="10">
        <f>13000*0.5</f>
        <v>6500</v>
      </c>
      <c r="I4294" s="10"/>
      <c r="J4294" s="79" t="e">
        <f t="shared" si="269"/>
        <v>#VALUE!</v>
      </c>
      <c r="K4294" s="106">
        <f t="shared" si="282"/>
        <v>13000</v>
      </c>
      <c r="L4294" s="141"/>
      <c r="M4294" s="132"/>
      <c r="N4294" s="133"/>
      <c r="O4294" s="4"/>
      <c r="P4294" s="4"/>
      <c r="Q4294" s="4"/>
      <c r="R4294" s="4"/>
      <c r="S4294" s="4"/>
      <c r="T4294" s="4"/>
      <c r="U4294" s="4"/>
      <c r="V4294" s="4"/>
      <c r="W4294" s="4"/>
      <c r="X4294" s="4"/>
    </row>
    <row r="4295" spans="1:24" ht="14.25" customHeight="1">
      <c r="A4295" s="4"/>
      <c r="B4295" s="125">
        <v>46181</v>
      </c>
      <c r="C4295" s="126" t="s">
        <v>2056</v>
      </c>
      <c r="D4295" s="15" t="s">
        <v>2102</v>
      </c>
      <c r="E4295" s="10" t="str">
        <f>TRIM(VLOOKUP(D4295,TB!$B$9:$C$1500,2,FALSE))</f>
        <v>Mix Salad</v>
      </c>
      <c r="F4295" s="142" t="s">
        <v>2207</v>
      </c>
      <c r="G4295" s="130">
        <v>0.35</v>
      </c>
      <c r="H4295" s="10">
        <f>50000*0.35</f>
        <v>17500</v>
      </c>
      <c r="I4295" s="10"/>
      <c r="J4295" s="79" t="e">
        <f t="shared" si="269"/>
        <v>#VALUE!</v>
      </c>
      <c r="K4295" s="106">
        <f t="shared" si="282"/>
        <v>50000</v>
      </c>
      <c r="L4295" s="141"/>
      <c r="M4295" s="132"/>
      <c r="N4295" s="133"/>
      <c r="O4295" s="4"/>
      <c r="P4295" s="4"/>
      <c r="Q4295" s="4"/>
      <c r="R4295" s="4"/>
      <c r="S4295" s="4"/>
      <c r="T4295" s="4"/>
      <c r="U4295" s="4"/>
      <c r="V4295" s="4"/>
      <c r="W4295" s="4"/>
      <c r="X4295" s="4"/>
    </row>
    <row r="4296" spans="1:24" ht="14.25" customHeight="1">
      <c r="A4296" s="4"/>
      <c r="B4296" s="125">
        <v>46181</v>
      </c>
      <c r="C4296" s="126" t="s">
        <v>2056</v>
      </c>
      <c r="D4296" s="15" t="s">
        <v>2208</v>
      </c>
      <c r="E4296" s="10" t="str">
        <f>TRIM(VLOOKUP(D4296,TB!$B$9:$C$1500,2,FALSE))</f>
        <v>Kemiri</v>
      </c>
      <c r="F4296" s="142" t="s">
        <v>2209</v>
      </c>
      <c r="G4296" s="130">
        <v>0.25</v>
      </c>
      <c r="H4296" s="10">
        <f>55000*0.25</f>
        <v>13750</v>
      </c>
      <c r="I4296" s="10"/>
      <c r="J4296" s="79" t="e">
        <f t="shared" si="269"/>
        <v>#VALUE!</v>
      </c>
      <c r="K4296" s="106">
        <f t="shared" si="282"/>
        <v>55000</v>
      </c>
      <c r="L4296" s="141"/>
      <c r="M4296" s="132"/>
      <c r="N4296" s="133"/>
      <c r="O4296" s="4"/>
      <c r="P4296" s="4"/>
      <c r="Q4296" s="4"/>
      <c r="R4296" s="4"/>
      <c r="S4296" s="4"/>
      <c r="T4296" s="4"/>
      <c r="U4296" s="4"/>
      <c r="V4296" s="4"/>
      <c r="W4296" s="4"/>
      <c r="X4296" s="4"/>
    </row>
    <row r="4297" spans="1:24" ht="14.25" customHeight="1">
      <c r="A4297" s="4"/>
      <c r="B4297" s="125">
        <v>46181</v>
      </c>
      <c r="C4297" s="126" t="s">
        <v>2056</v>
      </c>
      <c r="D4297" s="15" t="s">
        <v>2210</v>
      </c>
      <c r="E4297" s="10" t="str">
        <f>TRIM(VLOOKUP(D4297,TB!$B$9:$C$1500,2,FALSE))</f>
        <v>Rosemary</v>
      </c>
      <c r="F4297" s="142" t="s">
        <v>2211</v>
      </c>
      <c r="G4297" s="130">
        <v>0.1</v>
      </c>
      <c r="H4297" s="10">
        <f>140000*0.1</f>
        <v>14000</v>
      </c>
      <c r="I4297" s="10"/>
      <c r="J4297" s="79" t="e">
        <f t="shared" si="269"/>
        <v>#VALUE!</v>
      </c>
      <c r="K4297" s="106">
        <f t="shared" si="282"/>
        <v>140000</v>
      </c>
      <c r="L4297" s="141"/>
      <c r="M4297" s="132"/>
      <c r="N4297" s="133"/>
      <c r="O4297" s="4"/>
      <c r="P4297" s="4"/>
      <c r="Q4297" s="4"/>
      <c r="R4297" s="4"/>
      <c r="S4297" s="4"/>
      <c r="T4297" s="4"/>
      <c r="U4297" s="4"/>
      <c r="V4297" s="4"/>
      <c r="W4297" s="4"/>
      <c r="X4297" s="4"/>
    </row>
    <row r="4298" spans="1:24" ht="14.25" customHeight="1">
      <c r="A4298" s="4"/>
      <c r="B4298" s="125">
        <v>46181</v>
      </c>
      <c r="C4298" s="126" t="s">
        <v>2056</v>
      </c>
      <c r="D4298" s="15" t="s">
        <v>2212</v>
      </c>
      <c r="E4298" s="10" t="str">
        <f>TRIM(VLOOKUP(D4298,TB!$B$9:$C$1500,2,FALSE))</f>
        <v>Almond</v>
      </c>
      <c r="F4298" s="142" t="s">
        <v>2213</v>
      </c>
      <c r="G4298" s="130">
        <v>0.25</v>
      </c>
      <c r="H4298" s="10">
        <f>250000*0.25</f>
        <v>62500</v>
      </c>
      <c r="I4298" s="10"/>
      <c r="J4298" s="79" t="e">
        <f t="shared" si="269"/>
        <v>#VALUE!</v>
      </c>
      <c r="K4298" s="106">
        <f t="shared" si="282"/>
        <v>250000</v>
      </c>
      <c r="L4298" s="141"/>
      <c r="M4298" s="132"/>
      <c r="N4298" s="133"/>
      <c r="O4298" s="4"/>
      <c r="P4298" s="4"/>
      <c r="Q4298" s="4"/>
      <c r="R4298" s="4"/>
      <c r="S4298" s="4"/>
      <c r="T4298" s="4"/>
      <c r="U4298" s="4"/>
      <c r="V4298" s="4"/>
      <c r="W4298" s="4"/>
      <c r="X4298" s="4"/>
    </row>
    <row r="4299" spans="1:24" ht="14.25" customHeight="1">
      <c r="A4299" s="4"/>
      <c r="B4299" s="125">
        <v>46181</v>
      </c>
      <c r="C4299" s="126" t="s">
        <v>2056</v>
      </c>
      <c r="D4299" s="15" t="s">
        <v>285</v>
      </c>
      <c r="E4299" s="10" t="str">
        <f>TRIM(VLOOKUP(D4299,TB!$B$9:$C$1500,2,FALSE))</f>
        <v>Misc Cash Purchase</v>
      </c>
      <c r="F4299" s="142" t="s">
        <v>2214</v>
      </c>
      <c r="G4299" s="130"/>
      <c r="H4299" s="10"/>
      <c r="I4299" s="10">
        <v>321350</v>
      </c>
      <c r="J4299" s="79" t="e">
        <f t="shared" si="269"/>
        <v>#VALUE!</v>
      </c>
      <c r="K4299" s="106"/>
      <c r="L4299" s="141"/>
      <c r="M4299" s="132"/>
      <c r="N4299" s="133"/>
      <c r="O4299" s="4"/>
      <c r="P4299" s="4"/>
      <c r="Q4299" s="4"/>
      <c r="R4299" s="4"/>
      <c r="S4299" s="4"/>
      <c r="T4299" s="4"/>
      <c r="U4299" s="4"/>
      <c r="V4299" s="4"/>
      <c r="W4299" s="4"/>
      <c r="X4299" s="4"/>
    </row>
    <row r="4300" spans="1:24" ht="14.25" customHeight="1">
      <c r="A4300" s="4"/>
      <c r="B4300" s="125"/>
      <c r="C4300" s="126"/>
      <c r="D4300" s="68"/>
      <c r="E4300" s="10" t="e">
        <f>TRIM(VLOOKUP(D4300,TB!$B$9:$C$1500,2,FALSE))</f>
        <v>#N/A</v>
      </c>
      <c r="F4300" s="142"/>
      <c r="G4300" s="130"/>
      <c r="H4300" s="10"/>
      <c r="I4300" s="10"/>
      <c r="J4300" s="79" t="e">
        <f t="shared" si="269"/>
        <v>#VALUE!</v>
      </c>
      <c r="K4300" s="106"/>
      <c r="L4300" s="141"/>
      <c r="M4300" s="132"/>
      <c r="N4300" s="133"/>
      <c r="O4300" s="4"/>
      <c r="P4300" s="4"/>
      <c r="Q4300" s="4"/>
      <c r="R4300" s="4"/>
      <c r="S4300" s="4"/>
      <c r="T4300" s="4"/>
      <c r="U4300" s="4"/>
      <c r="V4300" s="4"/>
      <c r="W4300" s="4"/>
      <c r="X4300" s="4"/>
    </row>
    <row r="4301" spans="1:24" ht="14.25" customHeight="1">
      <c r="A4301" s="4"/>
      <c r="B4301" s="125">
        <v>46181</v>
      </c>
      <c r="C4301" s="126" t="s">
        <v>2056</v>
      </c>
      <c r="D4301" s="15" t="s">
        <v>1886</v>
      </c>
      <c r="E4301" s="10" t="str">
        <f>TRIM(VLOOKUP(D4301,TB!$B$9:$C$1500,2,FALSE))</f>
        <v>Ruccola</v>
      </c>
      <c r="F4301" s="142" t="s">
        <v>2215</v>
      </c>
      <c r="G4301" s="130">
        <v>0.2</v>
      </c>
      <c r="H4301" s="10">
        <f>80000*0.2</f>
        <v>16000</v>
      </c>
      <c r="I4301" s="10"/>
      <c r="J4301" s="79" t="e">
        <f t="shared" si="269"/>
        <v>#VALUE!</v>
      </c>
      <c r="K4301" s="106">
        <f t="shared" ref="K4301:K4302" si="283">H4301/G4301</f>
        <v>80000</v>
      </c>
      <c r="L4301" s="141"/>
      <c r="M4301" s="132"/>
      <c r="N4301" s="133"/>
      <c r="O4301" s="4"/>
      <c r="P4301" s="4"/>
      <c r="Q4301" s="4"/>
      <c r="R4301" s="4"/>
      <c r="S4301" s="4"/>
      <c r="T4301" s="4"/>
      <c r="U4301" s="4"/>
      <c r="V4301" s="4"/>
      <c r="W4301" s="4"/>
      <c r="X4301" s="4"/>
    </row>
    <row r="4302" spans="1:24" ht="14.25" customHeight="1">
      <c r="A4302" s="4"/>
      <c r="B4302" s="125">
        <v>46181</v>
      </c>
      <c r="C4302" s="126" t="s">
        <v>2056</v>
      </c>
      <c r="D4302" s="15" t="s">
        <v>2216</v>
      </c>
      <c r="E4302" s="10" t="str">
        <f>TRIM(VLOOKUP(D4302,TB!$B$9:$C$1500,2,FALSE))</f>
        <v>Green Peas/Kacang Polong</v>
      </c>
      <c r="F4302" s="142" t="s">
        <v>2217</v>
      </c>
      <c r="G4302" s="130">
        <v>1</v>
      </c>
      <c r="H4302" s="10">
        <v>80000</v>
      </c>
      <c r="I4302" s="10"/>
      <c r="J4302" s="79" t="e">
        <f t="shared" si="269"/>
        <v>#VALUE!</v>
      </c>
      <c r="K4302" s="106">
        <f t="shared" si="283"/>
        <v>80000</v>
      </c>
      <c r="L4302" s="141"/>
      <c r="M4302" s="132"/>
      <c r="N4302" s="133"/>
      <c r="O4302" s="4"/>
      <c r="P4302" s="4"/>
      <c r="Q4302" s="4"/>
      <c r="R4302" s="4"/>
      <c r="S4302" s="4"/>
      <c r="T4302" s="4"/>
      <c r="U4302" s="4"/>
      <c r="V4302" s="4"/>
      <c r="W4302" s="4"/>
      <c r="X4302" s="4"/>
    </row>
    <row r="4303" spans="1:24" ht="14.25" customHeight="1">
      <c r="A4303" s="4"/>
      <c r="B4303" s="125">
        <v>46181</v>
      </c>
      <c r="C4303" s="126" t="s">
        <v>2056</v>
      </c>
      <c r="D4303" s="15" t="s">
        <v>285</v>
      </c>
      <c r="E4303" s="10" t="str">
        <f>TRIM(VLOOKUP(D4303,TB!$B$9:$C$1500,2,FALSE))</f>
        <v>Misc Cash Purchase</v>
      </c>
      <c r="F4303" s="142" t="s">
        <v>2218</v>
      </c>
      <c r="G4303" s="130"/>
      <c r="H4303" s="10"/>
      <c r="I4303" s="10">
        <v>96000</v>
      </c>
      <c r="J4303" s="79" t="e">
        <f t="shared" si="269"/>
        <v>#VALUE!</v>
      </c>
      <c r="K4303" s="106"/>
      <c r="L4303" s="141"/>
      <c r="M4303" s="132"/>
      <c r="N4303" s="133"/>
      <c r="O4303" s="4"/>
      <c r="P4303" s="4"/>
      <c r="Q4303" s="4"/>
      <c r="R4303" s="4"/>
      <c r="S4303" s="4"/>
      <c r="T4303" s="4"/>
      <c r="U4303" s="4"/>
      <c r="V4303" s="4"/>
      <c r="W4303" s="4"/>
      <c r="X4303" s="4"/>
    </row>
    <row r="4304" spans="1:24" ht="14.25" customHeight="1">
      <c r="A4304" s="4"/>
      <c r="B4304" s="125"/>
      <c r="C4304" s="126"/>
      <c r="D4304" s="68"/>
      <c r="E4304" s="10" t="e">
        <f>TRIM(VLOOKUP(D4304,TB!$B$9:$C$1500,2,FALSE))</f>
        <v>#N/A</v>
      </c>
      <c r="F4304" s="142"/>
      <c r="G4304" s="130"/>
      <c r="H4304" s="10"/>
      <c r="I4304" s="10"/>
      <c r="J4304" s="79" t="e">
        <f t="shared" si="269"/>
        <v>#VALUE!</v>
      </c>
      <c r="K4304" s="106"/>
      <c r="L4304" s="141"/>
      <c r="M4304" s="132"/>
      <c r="N4304" s="133"/>
      <c r="O4304" s="4"/>
      <c r="P4304" s="4"/>
      <c r="Q4304" s="4"/>
      <c r="R4304" s="4"/>
      <c r="S4304" s="4"/>
      <c r="T4304" s="4"/>
      <c r="U4304" s="4"/>
      <c r="V4304" s="4"/>
      <c r="W4304" s="4"/>
      <c r="X4304" s="4"/>
    </row>
    <row r="4305" spans="1:24" ht="14.25" customHeight="1">
      <c r="A4305" s="4"/>
      <c r="B4305" s="125">
        <v>46182</v>
      </c>
      <c r="C4305" s="126" t="s">
        <v>2056</v>
      </c>
      <c r="D4305" s="15" t="s">
        <v>1890</v>
      </c>
      <c r="E4305" s="10" t="str">
        <f>TRIM(VLOOKUP(D4305,TB!$B$9:$C$1500,2,FALSE))</f>
        <v>Avocado</v>
      </c>
      <c r="F4305" s="142" t="s">
        <v>2164</v>
      </c>
      <c r="G4305" s="130">
        <v>0.7</v>
      </c>
      <c r="H4305" s="10">
        <f>40000*0.7</f>
        <v>28000</v>
      </c>
      <c r="I4305" s="10"/>
      <c r="J4305" s="79" t="e">
        <f t="shared" si="269"/>
        <v>#VALUE!</v>
      </c>
      <c r="K4305" s="106">
        <f t="shared" ref="K4305:K4320" si="284">H4305/G4305</f>
        <v>40000</v>
      </c>
      <c r="L4305" s="141"/>
      <c r="M4305" s="132"/>
      <c r="N4305" s="133"/>
      <c r="O4305" s="4"/>
      <c r="P4305" s="4"/>
      <c r="Q4305" s="4"/>
      <c r="R4305" s="4"/>
      <c r="S4305" s="4"/>
      <c r="T4305" s="4"/>
      <c r="U4305" s="4"/>
      <c r="V4305" s="4"/>
      <c r="W4305" s="4"/>
      <c r="X4305" s="4"/>
    </row>
    <row r="4306" spans="1:24" ht="14.25" customHeight="1">
      <c r="A4306" s="4"/>
      <c r="B4306" s="125">
        <v>46182</v>
      </c>
      <c r="C4306" s="126" t="s">
        <v>2056</v>
      </c>
      <c r="D4306" s="15" t="s">
        <v>2219</v>
      </c>
      <c r="E4306" s="10" t="str">
        <f>TRIM(VLOOKUP(D4306,TB!$B$9:$C$1500,2,FALSE))</f>
        <v>Sereh</v>
      </c>
      <c r="F4306" s="142" t="s">
        <v>2220</v>
      </c>
      <c r="G4306" s="130">
        <v>0.1</v>
      </c>
      <c r="H4306" s="10">
        <f>20000*0.1</f>
        <v>2000</v>
      </c>
      <c r="I4306" s="10"/>
      <c r="J4306" s="79" t="e">
        <f t="shared" si="269"/>
        <v>#VALUE!</v>
      </c>
      <c r="K4306" s="106">
        <f t="shared" si="284"/>
        <v>20000</v>
      </c>
      <c r="L4306" s="141"/>
      <c r="M4306" s="132"/>
      <c r="N4306" s="133"/>
      <c r="O4306" s="4"/>
      <c r="P4306" s="4"/>
      <c r="Q4306" s="4"/>
      <c r="R4306" s="4"/>
      <c r="S4306" s="4"/>
      <c r="T4306" s="4"/>
      <c r="U4306" s="4"/>
      <c r="V4306" s="4"/>
      <c r="W4306" s="4"/>
      <c r="X4306" s="4"/>
    </row>
    <row r="4307" spans="1:24" ht="14.25" customHeight="1">
      <c r="A4307" s="4"/>
      <c r="B4307" s="125">
        <v>46182</v>
      </c>
      <c r="C4307" s="126" t="s">
        <v>2056</v>
      </c>
      <c r="D4307" s="15" t="s">
        <v>2087</v>
      </c>
      <c r="E4307" s="10" t="str">
        <f>TRIM(VLOOKUP(D4307,TB!$B$9:$C$1500,2,FALSE))</f>
        <v>Mushroom Shimeji / Bunapi</v>
      </c>
      <c r="F4307" s="142" t="s">
        <v>2221</v>
      </c>
      <c r="G4307" s="130">
        <v>3</v>
      </c>
      <c r="H4307" s="10">
        <f>17000*3</f>
        <v>51000</v>
      </c>
      <c r="I4307" s="10"/>
      <c r="J4307" s="79" t="e">
        <f t="shared" si="269"/>
        <v>#VALUE!</v>
      </c>
      <c r="K4307" s="106">
        <f t="shared" si="284"/>
        <v>17000</v>
      </c>
      <c r="L4307" s="141"/>
      <c r="M4307" s="132"/>
      <c r="N4307" s="133"/>
      <c r="O4307" s="4"/>
      <c r="P4307" s="4"/>
      <c r="Q4307" s="4"/>
      <c r="R4307" s="4"/>
      <c r="S4307" s="4"/>
      <c r="T4307" s="4"/>
      <c r="U4307" s="4"/>
      <c r="V4307" s="4"/>
      <c r="W4307" s="4"/>
      <c r="X4307" s="4"/>
    </row>
    <row r="4308" spans="1:24" ht="14.25" customHeight="1">
      <c r="A4308" s="4"/>
      <c r="B4308" s="125">
        <v>46182</v>
      </c>
      <c r="C4308" s="126" t="s">
        <v>2056</v>
      </c>
      <c r="D4308" s="15" t="s">
        <v>2222</v>
      </c>
      <c r="E4308" s="10" t="str">
        <f>TRIM(VLOOKUP(D4308,TB!$B$9:$C$1500,2,FALSE))</f>
        <v>Banana Fruit</v>
      </c>
      <c r="F4308" s="142" t="s">
        <v>2223</v>
      </c>
      <c r="G4308" s="130">
        <v>1.8</v>
      </c>
      <c r="H4308" s="10">
        <f>16000*1.8</f>
        <v>28800</v>
      </c>
      <c r="I4308" s="10"/>
      <c r="J4308" s="79" t="e">
        <f t="shared" si="269"/>
        <v>#VALUE!</v>
      </c>
      <c r="K4308" s="106">
        <f t="shared" si="284"/>
        <v>16000</v>
      </c>
      <c r="L4308" s="141"/>
      <c r="M4308" s="132"/>
      <c r="N4308" s="133"/>
      <c r="O4308" s="4"/>
      <c r="P4308" s="4"/>
      <c r="Q4308" s="4"/>
      <c r="R4308" s="4"/>
      <c r="S4308" s="4"/>
      <c r="T4308" s="4"/>
      <c r="U4308" s="4"/>
      <c r="V4308" s="4"/>
      <c r="W4308" s="4"/>
      <c r="X4308" s="4"/>
    </row>
    <row r="4309" spans="1:24" ht="14.25" customHeight="1">
      <c r="A4309" s="4"/>
      <c r="B4309" s="125">
        <v>46182</v>
      </c>
      <c r="C4309" s="126" t="s">
        <v>2056</v>
      </c>
      <c r="D4309" s="15" t="s">
        <v>2030</v>
      </c>
      <c r="E4309" s="10" t="str">
        <f>TRIM(VLOOKUP(D4309,TB!$B$9:$C$1500,2,FALSE))</f>
        <v>Hot Chilli / Lombok Kecil</v>
      </c>
      <c r="F4309" s="142" t="s">
        <v>2224</v>
      </c>
      <c r="G4309" s="130">
        <v>0.25</v>
      </c>
      <c r="H4309" s="10">
        <f>75000*0.25</f>
        <v>18750</v>
      </c>
      <c r="I4309" s="10"/>
      <c r="J4309" s="79" t="e">
        <f t="shared" si="269"/>
        <v>#VALUE!</v>
      </c>
      <c r="K4309" s="106">
        <f t="shared" si="284"/>
        <v>75000</v>
      </c>
      <c r="L4309" s="141"/>
      <c r="M4309" s="132"/>
      <c r="N4309" s="133"/>
      <c r="O4309" s="4"/>
      <c r="P4309" s="4"/>
      <c r="Q4309" s="4"/>
      <c r="R4309" s="4"/>
      <c r="S4309" s="4"/>
      <c r="T4309" s="4"/>
      <c r="U4309" s="4"/>
      <c r="V4309" s="4"/>
      <c r="W4309" s="4"/>
      <c r="X4309" s="4"/>
    </row>
    <row r="4310" spans="1:24" ht="14.25" customHeight="1">
      <c r="A4310" s="4"/>
      <c r="B4310" s="125">
        <v>46182</v>
      </c>
      <c r="C4310" s="126" t="s">
        <v>2056</v>
      </c>
      <c r="D4310" s="15" t="s">
        <v>1888</v>
      </c>
      <c r="E4310" s="10" t="str">
        <f>TRIM(VLOOKUP(D4310,TB!$B$9:$C$1500,2,FALSE))</f>
        <v>Romaine</v>
      </c>
      <c r="F4310" s="142" t="s">
        <v>2168</v>
      </c>
      <c r="G4310" s="130">
        <v>0.5</v>
      </c>
      <c r="H4310" s="10">
        <f>80000*0.5</f>
        <v>40000</v>
      </c>
      <c r="I4310" s="10"/>
      <c r="J4310" s="79" t="e">
        <f t="shared" si="269"/>
        <v>#VALUE!</v>
      </c>
      <c r="K4310" s="106">
        <f t="shared" si="284"/>
        <v>80000</v>
      </c>
      <c r="L4310" s="141"/>
      <c r="M4310" s="132"/>
      <c r="N4310" s="133"/>
      <c r="O4310" s="4"/>
      <c r="P4310" s="4"/>
      <c r="Q4310" s="4"/>
      <c r="R4310" s="4"/>
      <c r="S4310" s="4"/>
      <c r="T4310" s="4"/>
      <c r="U4310" s="4"/>
      <c r="V4310" s="4"/>
      <c r="W4310" s="4"/>
      <c r="X4310" s="4"/>
    </row>
    <row r="4311" spans="1:24" ht="14.25" customHeight="1">
      <c r="A4311" s="4"/>
      <c r="B4311" s="125">
        <v>46182</v>
      </c>
      <c r="C4311" s="126" t="s">
        <v>2056</v>
      </c>
      <c r="D4311" s="15" t="s">
        <v>1877</v>
      </c>
      <c r="E4311" s="10" t="str">
        <f>TRIM(VLOOKUP(D4311,TB!$B$9:$C$1500,2,FALSE))</f>
        <v>Pok Coy</v>
      </c>
      <c r="F4311" s="142" t="s">
        <v>2167</v>
      </c>
      <c r="G4311" s="130">
        <v>1</v>
      </c>
      <c r="H4311" s="10">
        <v>15000</v>
      </c>
      <c r="I4311" s="10"/>
      <c r="J4311" s="79" t="e">
        <f t="shared" si="269"/>
        <v>#VALUE!</v>
      </c>
      <c r="K4311" s="106">
        <f t="shared" si="284"/>
        <v>15000</v>
      </c>
      <c r="L4311" s="141"/>
      <c r="M4311" s="132"/>
      <c r="N4311" s="133"/>
      <c r="O4311" s="4"/>
      <c r="P4311" s="4"/>
      <c r="Q4311" s="4"/>
      <c r="R4311" s="4"/>
      <c r="S4311" s="4"/>
      <c r="T4311" s="4"/>
      <c r="U4311" s="4"/>
      <c r="V4311" s="4"/>
      <c r="W4311" s="4"/>
      <c r="X4311" s="4"/>
    </row>
    <row r="4312" spans="1:24" ht="14.25" customHeight="1">
      <c r="A4312" s="4"/>
      <c r="B4312" s="125">
        <v>46182</v>
      </c>
      <c r="C4312" s="126" t="s">
        <v>2056</v>
      </c>
      <c r="D4312" s="15" t="s">
        <v>2100</v>
      </c>
      <c r="E4312" s="10" t="str">
        <f>TRIM(VLOOKUP(D4312,TB!$B$9:$C$1500,2,FALSE))</f>
        <v>Basil</v>
      </c>
      <c r="F4312" s="142" t="s">
        <v>2101</v>
      </c>
      <c r="G4312" s="130">
        <v>0.25</v>
      </c>
      <c r="H4312" s="10">
        <f>75000*0.25</f>
        <v>18750</v>
      </c>
      <c r="I4312" s="10"/>
      <c r="J4312" s="79" t="e">
        <f t="shared" si="269"/>
        <v>#VALUE!</v>
      </c>
      <c r="K4312" s="106">
        <f t="shared" si="284"/>
        <v>75000</v>
      </c>
      <c r="L4312" s="141"/>
      <c r="M4312" s="132"/>
      <c r="N4312" s="133"/>
      <c r="O4312" s="4"/>
      <c r="P4312" s="4"/>
      <c r="Q4312" s="4"/>
      <c r="R4312" s="4"/>
      <c r="S4312" s="4"/>
      <c r="T4312" s="4"/>
      <c r="U4312" s="4"/>
      <c r="V4312" s="4"/>
      <c r="W4312" s="4"/>
      <c r="X4312" s="4"/>
    </row>
    <row r="4313" spans="1:24" ht="14.25" customHeight="1">
      <c r="A4313" s="4"/>
      <c r="B4313" s="125">
        <v>46182</v>
      </c>
      <c r="C4313" s="126" t="s">
        <v>2056</v>
      </c>
      <c r="D4313" s="15" t="s">
        <v>2033</v>
      </c>
      <c r="E4313" s="10" t="str">
        <f>TRIM(VLOOKUP(D4313,TB!$B$9:$C$1500,2,FALSE))</f>
        <v>Potato</v>
      </c>
      <c r="F4313" s="142" t="s">
        <v>2225</v>
      </c>
      <c r="G4313" s="130">
        <v>3</v>
      </c>
      <c r="H4313" s="10">
        <f>19000*3</f>
        <v>57000</v>
      </c>
      <c r="I4313" s="10"/>
      <c r="J4313" s="79" t="e">
        <f t="shared" si="269"/>
        <v>#VALUE!</v>
      </c>
      <c r="K4313" s="106">
        <f t="shared" si="284"/>
        <v>19000</v>
      </c>
      <c r="L4313" s="141"/>
      <c r="M4313" s="132"/>
      <c r="N4313" s="133"/>
      <c r="O4313" s="4"/>
      <c r="P4313" s="4"/>
      <c r="Q4313" s="4"/>
      <c r="R4313" s="4"/>
      <c r="S4313" s="4"/>
      <c r="T4313" s="4"/>
      <c r="U4313" s="4"/>
      <c r="V4313" s="4"/>
      <c r="W4313" s="4"/>
      <c r="X4313" s="4"/>
    </row>
    <row r="4314" spans="1:24" ht="14.25" customHeight="1">
      <c r="A4314" s="4"/>
      <c r="B4314" s="125">
        <v>46182</v>
      </c>
      <c r="C4314" s="126" t="s">
        <v>2056</v>
      </c>
      <c r="D4314" s="15" t="s">
        <v>2057</v>
      </c>
      <c r="E4314" s="10" t="str">
        <f>TRIM(VLOOKUP(D4314,TB!$B$9:$C$1500,2,FALSE))</f>
        <v>Capsicum/Paprika</v>
      </c>
      <c r="F4314" s="142" t="s">
        <v>2182</v>
      </c>
      <c r="G4314" s="130">
        <v>0.4</v>
      </c>
      <c r="H4314" s="10">
        <f>130000*0.4</f>
        <v>52000</v>
      </c>
      <c r="I4314" s="10"/>
      <c r="J4314" s="79" t="e">
        <f t="shared" si="269"/>
        <v>#VALUE!</v>
      </c>
      <c r="K4314" s="106">
        <f t="shared" si="284"/>
        <v>130000</v>
      </c>
      <c r="L4314" s="141" t="s">
        <v>2226</v>
      </c>
      <c r="M4314" s="132"/>
      <c r="N4314" s="133"/>
      <c r="O4314" s="4"/>
      <c r="P4314" s="4"/>
      <c r="Q4314" s="4"/>
      <c r="R4314" s="4"/>
      <c r="S4314" s="4"/>
      <c r="T4314" s="4"/>
      <c r="U4314" s="4"/>
      <c r="V4314" s="4"/>
      <c r="W4314" s="4"/>
      <c r="X4314" s="4"/>
    </row>
    <row r="4315" spans="1:24" ht="14.25" customHeight="1">
      <c r="A4315" s="4"/>
      <c r="B4315" s="125">
        <v>46182</v>
      </c>
      <c r="C4315" s="126" t="s">
        <v>2056</v>
      </c>
      <c r="D4315" s="15" t="s">
        <v>2057</v>
      </c>
      <c r="E4315" s="10" t="str">
        <f>TRIM(VLOOKUP(D4315,TB!$B$9:$C$1500,2,FALSE))</f>
        <v>Capsicum/Paprika</v>
      </c>
      <c r="F4315" s="142" t="s">
        <v>2124</v>
      </c>
      <c r="G4315" s="130">
        <v>0.35</v>
      </c>
      <c r="H4315" s="10">
        <f>90000*0.35</f>
        <v>31499.999999999996</v>
      </c>
      <c r="I4315" s="10"/>
      <c r="J4315" s="79" t="e">
        <f t="shared" si="269"/>
        <v>#VALUE!</v>
      </c>
      <c r="K4315" s="106">
        <f t="shared" si="284"/>
        <v>90000</v>
      </c>
      <c r="L4315" s="141" t="s">
        <v>2226</v>
      </c>
      <c r="M4315" s="132"/>
      <c r="N4315" s="133"/>
      <c r="O4315" s="4"/>
      <c r="P4315" s="4"/>
      <c r="Q4315" s="4"/>
      <c r="R4315" s="4"/>
      <c r="S4315" s="4"/>
      <c r="T4315" s="4"/>
      <c r="U4315" s="4"/>
      <c r="V4315" s="4"/>
      <c r="W4315" s="4"/>
      <c r="X4315" s="4"/>
    </row>
    <row r="4316" spans="1:24" ht="14.25" customHeight="1">
      <c r="A4316" s="4"/>
      <c r="B4316" s="125">
        <v>46182</v>
      </c>
      <c r="C4316" s="126" t="s">
        <v>2056</v>
      </c>
      <c r="D4316" s="15" t="s">
        <v>1875</v>
      </c>
      <c r="E4316" s="10" t="str">
        <f>TRIM(VLOOKUP(D4316,TB!$B$9:$C$1500,2,FALSE))</f>
        <v>Onion/Bombay</v>
      </c>
      <c r="F4316" s="142" t="s">
        <v>2131</v>
      </c>
      <c r="G4316" s="130">
        <v>1</v>
      </c>
      <c r="H4316" s="10">
        <v>22000</v>
      </c>
      <c r="I4316" s="10"/>
      <c r="J4316" s="79" t="e">
        <f t="shared" si="269"/>
        <v>#VALUE!</v>
      </c>
      <c r="K4316" s="106">
        <f t="shared" si="284"/>
        <v>22000</v>
      </c>
      <c r="L4316" s="141"/>
      <c r="M4316" s="132"/>
      <c r="N4316" s="133"/>
      <c r="O4316" s="4"/>
      <c r="P4316" s="4"/>
      <c r="Q4316" s="4"/>
      <c r="R4316" s="4"/>
      <c r="S4316" s="4"/>
      <c r="T4316" s="4"/>
      <c r="U4316" s="4"/>
      <c r="V4316" s="4"/>
      <c r="W4316" s="4"/>
      <c r="X4316" s="4"/>
    </row>
    <row r="4317" spans="1:24" ht="14.25" customHeight="1">
      <c r="A4317" s="4"/>
      <c r="B4317" s="125">
        <v>46182</v>
      </c>
      <c r="C4317" s="126" t="s">
        <v>2056</v>
      </c>
      <c r="D4317" s="15" t="s">
        <v>2126</v>
      </c>
      <c r="E4317" s="10" t="str">
        <f>TRIM(VLOOKUP(D4317,TB!$B$9:$C$1500,2,FALSE))</f>
        <v>Rice/Beras</v>
      </c>
      <c r="F4317" s="142" t="s">
        <v>2127</v>
      </c>
      <c r="G4317" s="130">
        <v>5</v>
      </c>
      <c r="H4317" s="10">
        <v>85000</v>
      </c>
      <c r="I4317" s="10"/>
      <c r="J4317" s="79" t="e">
        <f t="shared" si="269"/>
        <v>#VALUE!</v>
      </c>
      <c r="K4317" s="106">
        <f t="shared" si="284"/>
        <v>17000</v>
      </c>
      <c r="L4317" s="141"/>
      <c r="M4317" s="132"/>
      <c r="N4317" s="133"/>
      <c r="O4317" s="4"/>
      <c r="P4317" s="4"/>
      <c r="Q4317" s="4"/>
      <c r="R4317" s="4"/>
      <c r="S4317" s="4"/>
      <c r="T4317" s="4"/>
      <c r="U4317" s="4"/>
      <c r="V4317" s="4"/>
      <c r="W4317" s="4"/>
      <c r="X4317" s="4"/>
    </row>
    <row r="4318" spans="1:24" ht="14.25" customHeight="1">
      <c r="A4318" s="4"/>
      <c r="B4318" s="125">
        <v>46182</v>
      </c>
      <c r="C4318" s="126" t="s">
        <v>2056</v>
      </c>
      <c r="D4318" s="15" t="s">
        <v>1155</v>
      </c>
      <c r="E4318" s="10" t="str">
        <f>TRIM(VLOOKUP(D4318,TB!$B$9:$C$1500,2,FALSE))</f>
        <v>Kitchen Supplies</v>
      </c>
      <c r="F4318" s="142" t="s">
        <v>2227</v>
      </c>
      <c r="G4318" s="130">
        <v>1</v>
      </c>
      <c r="H4318" s="10">
        <v>18000</v>
      </c>
      <c r="I4318" s="10"/>
      <c r="J4318" s="79" t="e">
        <f t="shared" si="269"/>
        <v>#VALUE!</v>
      </c>
      <c r="K4318" s="106">
        <f t="shared" si="284"/>
        <v>18000</v>
      </c>
      <c r="L4318" s="141"/>
      <c r="M4318" s="132"/>
      <c r="N4318" s="133"/>
      <c r="O4318" s="4"/>
      <c r="P4318" s="4"/>
      <c r="Q4318" s="4"/>
      <c r="R4318" s="4"/>
      <c r="S4318" s="4"/>
      <c r="T4318" s="4"/>
      <c r="U4318" s="4"/>
      <c r="V4318" s="4"/>
      <c r="W4318" s="4"/>
      <c r="X4318" s="4"/>
    </row>
    <row r="4319" spans="1:24" ht="14.25" customHeight="1">
      <c r="A4319" s="4"/>
      <c r="B4319" s="125">
        <v>46182</v>
      </c>
      <c r="C4319" s="126" t="s">
        <v>2056</v>
      </c>
      <c r="D4319" s="15" t="s">
        <v>1155</v>
      </c>
      <c r="E4319" s="10" t="str">
        <f>TRIM(VLOOKUP(D4319,TB!$B$9:$C$1500,2,FALSE))</f>
        <v>Kitchen Supplies</v>
      </c>
      <c r="F4319" s="142" t="s">
        <v>2228</v>
      </c>
      <c r="G4319" s="130">
        <v>1</v>
      </c>
      <c r="H4319" s="10">
        <v>6000</v>
      </c>
      <c r="I4319" s="10"/>
      <c r="J4319" s="79" t="e">
        <f t="shared" si="269"/>
        <v>#VALUE!</v>
      </c>
      <c r="K4319" s="106">
        <f t="shared" si="284"/>
        <v>6000</v>
      </c>
      <c r="L4319" s="141"/>
      <c r="M4319" s="132"/>
      <c r="N4319" s="133"/>
      <c r="O4319" s="4"/>
      <c r="P4319" s="4"/>
      <c r="Q4319" s="4"/>
      <c r="R4319" s="4"/>
      <c r="S4319" s="4"/>
      <c r="T4319" s="4"/>
      <c r="U4319" s="4"/>
      <c r="V4319" s="4"/>
      <c r="W4319" s="4"/>
      <c r="X4319" s="4"/>
    </row>
    <row r="4320" spans="1:24" ht="14.25" customHeight="1">
      <c r="A4320" s="4"/>
      <c r="B4320" s="125">
        <v>46182</v>
      </c>
      <c r="C4320" s="126" t="s">
        <v>2056</v>
      </c>
      <c r="D4320" s="15" t="s">
        <v>2062</v>
      </c>
      <c r="E4320" s="10" t="str">
        <f>TRIM(VLOOKUP(D4320,TB!$B$9:$C$1500,2,FALSE))</f>
        <v>Mushrooms Button</v>
      </c>
      <c r="F4320" s="142" t="s">
        <v>2089</v>
      </c>
      <c r="G4320" s="130">
        <v>0.5</v>
      </c>
      <c r="H4320" s="10">
        <f>45000*0.5</f>
        <v>22500</v>
      </c>
      <c r="I4320" s="10"/>
      <c r="J4320" s="79" t="e">
        <f t="shared" si="269"/>
        <v>#VALUE!</v>
      </c>
      <c r="K4320" s="106">
        <f t="shared" si="284"/>
        <v>45000</v>
      </c>
      <c r="L4320" s="141"/>
      <c r="M4320" s="132"/>
      <c r="N4320" s="133"/>
      <c r="O4320" s="4"/>
      <c r="P4320" s="4"/>
      <c r="Q4320" s="4"/>
      <c r="R4320" s="4"/>
      <c r="S4320" s="4"/>
      <c r="T4320" s="4"/>
      <c r="U4320" s="4"/>
      <c r="V4320" s="4"/>
      <c r="W4320" s="4"/>
      <c r="X4320" s="4"/>
    </row>
    <row r="4321" spans="1:24" ht="14.25" customHeight="1">
      <c r="A4321" s="4"/>
      <c r="B4321" s="125">
        <v>46182</v>
      </c>
      <c r="C4321" s="126" t="s">
        <v>2056</v>
      </c>
      <c r="D4321" s="15" t="s">
        <v>285</v>
      </c>
      <c r="E4321" s="10" t="str">
        <f>TRIM(VLOOKUP(D4321,TB!$B$9:$C$1500,2,FALSE))</f>
        <v>Misc Cash Purchase</v>
      </c>
      <c r="F4321" s="142" t="s">
        <v>2229</v>
      </c>
      <c r="G4321" s="130"/>
      <c r="H4321" s="10"/>
      <c r="I4321" s="10">
        <v>496300</v>
      </c>
      <c r="J4321" s="79" t="e">
        <f t="shared" si="269"/>
        <v>#VALUE!</v>
      </c>
      <c r="K4321" s="106"/>
      <c r="L4321" s="141"/>
      <c r="M4321" s="132"/>
      <c r="N4321" s="133"/>
      <c r="O4321" s="4"/>
      <c r="P4321" s="4"/>
      <c r="Q4321" s="4"/>
      <c r="R4321" s="4"/>
      <c r="S4321" s="4"/>
      <c r="T4321" s="4"/>
      <c r="U4321" s="4"/>
      <c r="V4321" s="4"/>
      <c r="W4321" s="4"/>
      <c r="X4321" s="4"/>
    </row>
    <row r="4322" spans="1:24" ht="14.25" customHeight="1">
      <c r="A4322" s="4"/>
      <c r="B4322" s="125"/>
      <c r="C4322" s="126"/>
      <c r="D4322" s="68"/>
      <c r="E4322" s="10" t="e">
        <f>TRIM(VLOOKUP(D4322,TB!$B$9:$C$1500,2,FALSE))</f>
        <v>#N/A</v>
      </c>
      <c r="F4322" s="142"/>
      <c r="G4322" s="130"/>
      <c r="H4322" s="10"/>
      <c r="I4322" s="10"/>
      <c r="J4322" s="79" t="e">
        <f t="shared" si="269"/>
        <v>#VALUE!</v>
      </c>
      <c r="K4322" s="106"/>
      <c r="L4322" s="141"/>
      <c r="M4322" s="132"/>
      <c r="N4322" s="133"/>
      <c r="O4322" s="4"/>
      <c r="P4322" s="4"/>
      <c r="Q4322" s="4"/>
      <c r="R4322" s="4"/>
      <c r="S4322" s="4"/>
      <c r="T4322" s="4"/>
      <c r="U4322" s="4"/>
      <c r="V4322" s="4"/>
      <c r="W4322" s="4"/>
      <c r="X4322" s="4"/>
    </row>
    <row r="4323" spans="1:24" ht="14.25" customHeight="1">
      <c r="A4323" s="4"/>
      <c r="B4323" s="125">
        <v>46182</v>
      </c>
      <c r="C4323" s="126" t="s">
        <v>2056</v>
      </c>
      <c r="D4323" s="15" t="s">
        <v>2230</v>
      </c>
      <c r="E4323" s="10" t="str">
        <f>TRIM(VLOOKUP(D4323,TB!$B$9:$C$1500,2,FALSE))</f>
        <v>Chilly Dry Flakes 500Gr</v>
      </c>
      <c r="F4323" s="142" t="s">
        <v>2231</v>
      </c>
      <c r="G4323" s="130">
        <v>1</v>
      </c>
      <c r="H4323" s="10">
        <v>65000</v>
      </c>
      <c r="I4323" s="10"/>
      <c r="J4323" s="79" t="e">
        <f t="shared" si="269"/>
        <v>#VALUE!</v>
      </c>
      <c r="K4323" s="106">
        <f t="shared" ref="K4323:K4325" si="285">H4323/G4323</f>
        <v>65000</v>
      </c>
      <c r="L4323" s="141"/>
      <c r="M4323" s="132"/>
      <c r="N4323" s="133"/>
      <c r="O4323" s="4"/>
      <c r="P4323" s="4"/>
      <c r="Q4323" s="4"/>
      <c r="R4323" s="4"/>
      <c r="S4323" s="4"/>
      <c r="T4323" s="4"/>
      <c r="U4323" s="4"/>
      <c r="V4323" s="4"/>
      <c r="W4323" s="4"/>
      <c r="X4323" s="4"/>
    </row>
    <row r="4324" spans="1:24" ht="14.25" customHeight="1">
      <c r="A4324" s="4"/>
      <c r="B4324" s="125">
        <v>46182</v>
      </c>
      <c r="C4324" s="126" t="s">
        <v>2056</v>
      </c>
      <c r="D4324" s="15" t="s">
        <v>1926</v>
      </c>
      <c r="E4324" s="10" t="str">
        <f>TRIM(VLOOKUP(D4324,TB!$B$9:$C$1500,2,FALSE))</f>
        <v>Cherri Tomato</v>
      </c>
      <c r="F4324" s="142" t="s">
        <v>2232</v>
      </c>
      <c r="G4324" s="130">
        <v>0.25</v>
      </c>
      <c r="H4324" s="10">
        <f>55000*0.25</f>
        <v>13750</v>
      </c>
      <c r="I4324" s="10"/>
      <c r="J4324" s="79" t="e">
        <f t="shared" si="269"/>
        <v>#VALUE!</v>
      </c>
      <c r="K4324" s="106">
        <f t="shared" si="285"/>
        <v>55000</v>
      </c>
      <c r="L4324" s="141"/>
      <c r="M4324" s="132"/>
      <c r="N4324" s="133"/>
      <c r="O4324" s="4"/>
      <c r="P4324" s="4"/>
      <c r="Q4324" s="4"/>
      <c r="R4324" s="4"/>
      <c r="S4324" s="4"/>
      <c r="T4324" s="4"/>
      <c r="U4324" s="4"/>
      <c r="V4324" s="4"/>
      <c r="W4324" s="4"/>
      <c r="X4324" s="4"/>
    </row>
    <row r="4325" spans="1:24" ht="14.25" customHeight="1">
      <c r="A4325" s="4"/>
      <c r="B4325" s="125">
        <v>46182</v>
      </c>
      <c r="C4325" s="126" t="s">
        <v>2056</v>
      </c>
      <c r="D4325" s="15" t="s">
        <v>1869</v>
      </c>
      <c r="E4325" s="10" t="str">
        <f>TRIM(VLOOKUP(D4325,TB!$B$9:$C$1500,2,FALSE))</f>
        <v>Tempe</v>
      </c>
      <c r="F4325" s="142" t="s">
        <v>2233</v>
      </c>
      <c r="G4325" s="130">
        <v>4</v>
      </c>
      <c r="H4325" s="10">
        <f>2500*4</f>
        <v>10000</v>
      </c>
      <c r="I4325" s="10"/>
      <c r="J4325" s="79" t="e">
        <f t="shared" si="269"/>
        <v>#VALUE!</v>
      </c>
      <c r="K4325" s="106">
        <f t="shared" si="285"/>
        <v>2500</v>
      </c>
      <c r="L4325" s="141"/>
      <c r="M4325" s="132"/>
      <c r="N4325" s="133"/>
      <c r="O4325" s="4"/>
      <c r="P4325" s="4"/>
      <c r="Q4325" s="4"/>
      <c r="R4325" s="4"/>
      <c r="S4325" s="4"/>
      <c r="T4325" s="4"/>
      <c r="U4325" s="4"/>
      <c r="V4325" s="4"/>
      <c r="W4325" s="4"/>
      <c r="X4325" s="4"/>
    </row>
    <row r="4326" spans="1:24" ht="14.25" customHeight="1">
      <c r="A4326" s="4"/>
      <c r="B4326" s="125">
        <v>46182</v>
      </c>
      <c r="C4326" s="126" t="s">
        <v>2056</v>
      </c>
      <c r="D4326" s="15" t="s">
        <v>285</v>
      </c>
      <c r="E4326" s="10" t="str">
        <f>TRIM(VLOOKUP(D4326,TB!$B$9:$C$1500,2,FALSE))</f>
        <v>Misc Cash Purchase</v>
      </c>
      <c r="F4326" s="142" t="s">
        <v>2234</v>
      </c>
      <c r="G4326" s="130"/>
      <c r="H4326" s="10"/>
      <c r="I4326" s="10">
        <v>88750</v>
      </c>
      <c r="J4326" s="79" t="e">
        <f t="shared" si="269"/>
        <v>#VALUE!</v>
      </c>
      <c r="K4326" s="106"/>
      <c r="L4326" s="141"/>
      <c r="M4326" s="132"/>
      <c r="N4326" s="133"/>
      <c r="O4326" s="4"/>
      <c r="P4326" s="4"/>
      <c r="Q4326" s="4"/>
      <c r="R4326" s="4"/>
      <c r="S4326" s="4"/>
      <c r="T4326" s="4"/>
      <c r="U4326" s="4"/>
      <c r="V4326" s="4"/>
      <c r="W4326" s="4"/>
      <c r="X4326" s="4"/>
    </row>
    <row r="4327" spans="1:24" ht="14.25" customHeight="1">
      <c r="A4327" s="4"/>
      <c r="B4327" s="125"/>
      <c r="C4327" s="126"/>
      <c r="D4327" s="68"/>
      <c r="E4327" s="10" t="e">
        <f>TRIM(VLOOKUP(D4327,TB!$B$9:$C$1500,2,FALSE))</f>
        <v>#N/A</v>
      </c>
      <c r="F4327" s="142"/>
      <c r="G4327" s="130"/>
      <c r="H4327" s="10"/>
      <c r="I4327" s="10"/>
      <c r="J4327" s="79" t="e">
        <f t="shared" si="269"/>
        <v>#VALUE!</v>
      </c>
      <c r="K4327" s="106"/>
      <c r="L4327" s="141"/>
      <c r="M4327" s="132"/>
      <c r="N4327" s="133"/>
      <c r="O4327" s="4"/>
      <c r="P4327" s="4"/>
      <c r="Q4327" s="4"/>
      <c r="R4327" s="4"/>
      <c r="S4327" s="4"/>
      <c r="T4327" s="4"/>
      <c r="U4327" s="4"/>
      <c r="V4327" s="4"/>
      <c r="W4327" s="4"/>
      <c r="X4327" s="4"/>
    </row>
    <row r="4328" spans="1:24" ht="14.25" customHeight="1">
      <c r="A4328" s="4"/>
      <c r="B4328" s="125">
        <v>46182</v>
      </c>
      <c r="C4328" s="126" t="s">
        <v>2056</v>
      </c>
      <c r="D4328" s="15" t="s">
        <v>2235</v>
      </c>
      <c r="E4328" s="10" t="str">
        <f>TRIM(VLOOKUP(D4328,TB!$B$9:$C$1500,2,FALSE))</f>
        <v>Tulang Sapi</v>
      </c>
      <c r="F4328" s="142" t="s">
        <v>2236</v>
      </c>
      <c r="G4328" s="130">
        <v>3</v>
      </c>
      <c r="H4328" s="10">
        <f>25000*3</f>
        <v>75000</v>
      </c>
      <c r="I4328" s="10"/>
      <c r="J4328" s="79" t="e">
        <f t="shared" si="269"/>
        <v>#VALUE!</v>
      </c>
      <c r="K4328" s="106">
        <f t="shared" ref="K4328:K4329" si="286">H4328/G4328</f>
        <v>25000</v>
      </c>
      <c r="L4328" s="141"/>
      <c r="M4328" s="132"/>
      <c r="N4328" s="133"/>
      <c r="O4328" s="4"/>
      <c r="P4328" s="4"/>
      <c r="Q4328" s="4"/>
      <c r="R4328" s="4"/>
      <c r="S4328" s="4"/>
      <c r="T4328" s="4"/>
      <c r="U4328" s="4"/>
      <c r="V4328" s="4"/>
      <c r="W4328" s="4"/>
      <c r="X4328" s="4"/>
    </row>
    <row r="4329" spans="1:24" ht="14.25" customHeight="1">
      <c r="A4329" s="4"/>
      <c r="B4329" s="125">
        <v>46182</v>
      </c>
      <c r="C4329" s="126" t="s">
        <v>2056</v>
      </c>
      <c r="D4329" s="15" t="s">
        <v>1916</v>
      </c>
      <c r="E4329" s="10" t="str">
        <f>TRIM(VLOOKUP(D4329,TB!$B$9:$C$1500,2,FALSE))</f>
        <v>Egg/Telur</v>
      </c>
      <c r="F4329" s="142" t="s">
        <v>2237</v>
      </c>
      <c r="G4329" s="130">
        <f>5*30</f>
        <v>150</v>
      </c>
      <c r="H4329" s="10">
        <f>55000*5</f>
        <v>275000</v>
      </c>
      <c r="I4329" s="10"/>
      <c r="J4329" s="79" t="e">
        <f t="shared" si="269"/>
        <v>#VALUE!</v>
      </c>
      <c r="K4329" s="106">
        <f t="shared" si="286"/>
        <v>1833.3333333333333</v>
      </c>
      <c r="L4329" s="141"/>
      <c r="M4329" s="132"/>
      <c r="N4329" s="133"/>
      <c r="O4329" s="4"/>
      <c r="P4329" s="4"/>
      <c r="Q4329" s="4"/>
      <c r="R4329" s="4"/>
      <c r="S4329" s="4"/>
      <c r="T4329" s="4"/>
      <c r="U4329" s="4"/>
      <c r="V4329" s="4"/>
      <c r="W4329" s="4"/>
      <c r="X4329" s="4"/>
    </row>
    <row r="4330" spans="1:24" ht="14.25" customHeight="1">
      <c r="A4330" s="4"/>
      <c r="B4330" s="125">
        <v>46182</v>
      </c>
      <c r="C4330" s="126" t="s">
        <v>2056</v>
      </c>
      <c r="D4330" s="15" t="s">
        <v>285</v>
      </c>
      <c r="E4330" s="10" t="str">
        <f>TRIM(VLOOKUP(D4330,TB!$B$9:$C$1500,2,FALSE))</f>
        <v>Misc Cash Purchase</v>
      </c>
      <c r="F4330" s="142" t="s">
        <v>2238</v>
      </c>
      <c r="G4330" s="130"/>
      <c r="H4330" s="10"/>
      <c r="I4330" s="10">
        <v>350000</v>
      </c>
      <c r="J4330" s="79" t="e">
        <f t="shared" si="269"/>
        <v>#VALUE!</v>
      </c>
      <c r="K4330" s="106"/>
      <c r="L4330" s="141"/>
      <c r="M4330" s="132"/>
      <c r="N4330" s="133"/>
      <c r="O4330" s="4"/>
      <c r="P4330" s="4"/>
      <c r="Q4330" s="4"/>
      <c r="R4330" s="4"/>
      <c r="S4330" s="4"/>
      <c r="T4330" s="4"/>
      <c r="U4330" s="4"/>
      <c r="V4330" s="4"/>
      <c r="W4330" s="4"/>
      <c r="X4330" s="4"/>
    </row>
    <row r="4331" spans="1:24" ht="14.25" customHeight="1">
      <c r="A4331" s="4"/>
      <c r="B4331" s="125"/>
      <c r="C4331" s="126"/>
      <c r="D4331" s="68"/>
      <c r="E4331" s="10" t="e">
        <f>TRIM(VLOOKUP(D4331,TB!$B$9:$C$1500,2,FALSE))</f>
        <v>#N/A</v>
      </c>
      <c r="F4331" s="142"/>
      <c r="G4331" s="130"/>
      <c r="H4331" s="10"/>
      <c r="I4331" s="10"/>
      <c r="J4331" s="79" t="e">
        <f t="shared" si="269"/>
        <v>#VALUE!</v>
      </c>
      <c r="K4331" s="106"/>
      <c r="L4331" s="141"/>
      <c r="M4331" s="132"/>
      <c r="N4331" s="133"/>
      <c r="O4331" s="4"/>
      <c r="P4331" s="4"/>
      <c r="Q4331" s="4"/>
      <c r="R4331" s="4"/>
      <c r="S4331" s="4"/>
      <c r="T4331" s="4"/>
      <c r="U4331" s="4"/>
      <c r="V4331" s="4"/>
      <c r="W4331" s="4"/>
      <c r="X4331" s="4"/>
    </row>
    <row r="4332" spans="1:24" ht="14.25" customHeight="1">
      <c r="A4332" s="4"/>
      <c r="B4332" s="125">
        <v>46183</v>
      </c>
      <c r="C4332" s="126" t="s">
        <v>2056</v>
      </c>
      <c r="D4332" s="15" t="s">
        <v>1928</v>
      </c>
      <c r="E4332" s="10" t="str">
        <f>TRIM(VLOOKUP(D4332,TB!$B$9:$C$1500,2,FALSE))</f>
        <v>Tomato 1 Kg</v>
      </c>
      <c r="F4332" s="142" t="s">
        <v>2239</v>
      </c>
      <c r="G4332" s="130">
        <v>1</v>
      </c>
      <c r="H4332" s="10">
        <v>20000</v>
      </c>
      <c r="I4332" s="10"/>
      <c r="J4332" s="79" t="e">
        <f t="shared" si="269"/>
        <v>#VALUE!</v>
      </c>
      <c r="K4332" s="106">
        <f t="shared" ref="K4332:K4346" si="287">H4332/G4332</f>
        <v>20000</v>
      </c>
      <c r="L4332" s="141"/>
      <c r="M4332" s="132"/>
      <c r="N4332" s="133"/>
      <c r="O4332" s="4"/>
      <c r="P4332" s="4"/>
      <c r="Q4332" s="4"/>
      <c r="R4332" s="4"/>
      <c r="S4332" s="4"/>
      <c r="T4332" s="4"/>
      <c r="U4332" s="4"/>
      <c r="V4332" s="4"/>
      <c r="W4332" s="4"/>
      <c r="X4332" s="4"/>
    </row>
    <row r="4333" spans="1:24" ht="14.25" customHeight="1">
      <c r="A4333" s="4"/>
      <c r="B4333" s="125">
        <v>46183</v>
      </c>
      <c r="C4333" s="126" t="s">
        <v>2056</v>
      </c>
      <c r="D4333" s="15" t="s">
        <v>2057</v>
      </c>
      <c r="E4333" s="10" t="str">
        <f>TRIM(VLOOKUP(D4333,TB!$B$9:$C$1500,2,FALSE))</f>
        <v>Capsicum/Paprika</v>
      </c>
      <c r="F4333" s="142" t="s">
        <v>2240</v>
      </c>
      <c r="G4333" s="130">
        <v>0.7</v>
      </c>
      <c r="H4333" s="10">
        <f>130000*0.7</f>
        <v>91000</v>
      </c>
      <c r="I4333" s="10"/>
      <c r="J4333" s="79" t="e">
        <f t="shared" si="269"/>
        <v>#VALUE!</v>
      </c>
      <c r="K4333" s="106">
        <f t="shared" si="287"/>
        <v>130000.00000000001</v>
      </c>
      <c r="L4333" s="141"/>
      <c r="M4333" s="132"/>
      <c r="N4333" s="133"/>
      <c r="O4333" s="4"/>
      <c r="P4333" s="4"/>
      <c r="Q4333" s="4"/>
      <c r="R4333" s="4"/>
      <c r="S4333" s="4"/>
      <c r="T4333" s="4"/>
      <c r="U4333" s="4"/>
      <c r="V4333" s="4"/>
      <c r="W4333" s="4"/>
      <c r="X4333" s="4"/>
    </row>
    <row r="4334" spans="1:24" ht="14.25" customHeight="1">
      <c r="A4334" s="4"/>
      <c r="B4334" s="125">
        <v>46183</v>
      </c>
      <c r="C4334" s="126" t="s">
        <v>2056</v>
      </c>
      <c r="D4334" s="15" t="s">
        <v>2085</v>
      </c>
      <c r="E4334" s="10" t="str">
        <f>TRIM(VLOOKUP(D4334,TB!$B$9:$C$1500,2,FALSE))</f>
        <v>Carrot/Wortel</v>
      </c>
      <c r="F4334" s="142" t="s">
        <v>2194</v>
      </c>
      <c r="G4334" s="130">
        <v>0.5</v>
      </c>
      <c r="H4334" s="10">
        <f>25000*0.5</f>
        <v>12500</v>
      </c>
      <c r="I4334" s="10"/>
      <c r="J4334" s="79" t="e">
        <f t="shared" si="269"/>
        <v>#VALUE!</v>
      </c>
      <c r="K4334" s="106">
        <f t="shared" si="287"/>
        <v>25000</v>
      </c>
      <c r="L4334" s="141"/>
      <c r="M4334" s="132"/>
      <c r="N4334" s="133"/>
      <c r="O4334" s="4"/>
      <c r="P4334" s="4"/>
      <c r="Q4334" s="4"/>
      <c r="R4334" s="4"/>
      <c r="S4334" s="4"/>
      <c r="T4334" s="4"/>
      <c r="U4334" s="4"/>
      <c r="V4334" s="4"/>
      <c r="W4334" s="4"/>
      <c r="X4334" s="4"/>
    </row>
    <row r="4335" spans="1:24" ht="14.25" customHeight="1">
      <c r="A4335" s="4"/>
      <c r="B4335" s="125">
        <v>46183</v>
      </c>
      <c r="C4335" s="126" t="s">
        <v>2056</v>
      </c>
      <c r="D4335" s="15" t="s">
        <v>2076</v>
      </c>
      <c r="E4335" s="10" t="str">
        <f>TRIM(VLOOKUP(D4335,TB!$B$9:$C$1500,2,FALSE))</f>
        <v>Buncis</v>
      </c>
      <c r="F4335" s="142" t="s">
        <v>2197</v>
      </c>
      <c r="G4335" s="130">
        <v>0.25</v>
      </c>
      <c r="H4335" s="10">
        <f>25000*0.25</f>
        <v>6250</v>
      </c>
      <c r="I4335" s="10"/>
      <c r="J4335" s="79" t="e">
        <f t="shared" si="269"/>
        <v>#VALUE!</v>
      </c>
      <c r="K4335" s="106">
        <f t="shared" si="287"/>
        <v>25000</v>
      </c>
      <c r="L4335" s="141"/>
      <c r="M4335" s="132"/>
      <c r="N4335" s="133"/>
      <c r="O4335" s="4"/>
      <c r="P4335" s="4"/>
      <c r="Q4335" s="4"/>
      <c r="R4335" s="4"/>
      <c r="S4335" s="4"/>
      <c r="T4335" s="4"/>
      <c r="U4335" s="4"/>
      <c r="V4335" s="4"/>
      <c r="W4335" s="4"/>
      <c r="X4335" s="4"/>
    </row>
    <row r="4336" spans="1:24" ht="14.25" customHeight="1">
      <c r="A4336" s="4"/>
      <c r="B4336" s="125">
        <v>46183</v>
      </c>
      <c r="C4336" s="126" t="s">
        <v>2056</v>
      </c>
      <c r="D4336" s="15" t="s">
        <v>1877</v>
      </c>
      <c r="E4336" s="10" t="str">
        <f>TRIM(VLOOKUP(D4336,TB!$B$9:$C$1500,2,FALSE))</f>
        <v>Pok Coy</v>
      </c>
      <c r="F4336" s="142" t="s">
        <v>2152</v>
      </c>
      <c r="G4336" s="130">
        <v>0.5</v>
      </c>
      <c r="H4336" s="10">
        <f>15000*0.5</f>
        <v>7500</v>
      </c>
      <c r="I4336" s="10"/>
      <c r="J4336" s="79" t="e">
        <f t="shared" si="269"/>
        <v>#VALUE!</v>
      </c>
      <c r="K4336" s="106">
        <f t="shared" si="287"/>
        <v>15000</v>
      </c>
      <c r="L4336" s="141"/>
      <c r="M4336" s="132"/>
      <c r="N4336" s="133"/>
      <c r="O4336" s="4"/>
      <c r="P4336" s="4"/>
      <c r="Q4336" s="4"/>
      <c r="R4336" s="4"/>
      <c r="S4336" s="4"/>
      <c r="T4336" s="4"/>
      <c r="U4336" s="4"/>
      <c r="V4336" s="4"/>
      <c r="W4336" s="4"/>
      <c r="X4336" s="4"/>
    </row>
    <row r="4337" spans="1:24" ht="14.25" customHeight="1">
      <c r="A4337" s="4"/>
      <c r="B4337" s="125">
        <v>46183</v>
      </c>
      <c r="C4337" s="126" t="s">
        <v>2056</v>
      </c>
      <c r="D4337" s="15" t="s">
        <v>1888</v>
      </c>
      <c r="E4337" s="10" t="str">
        <f>TRIM(VLOOKUP(D4337,TB!$B$9:$C$1500,2,FALSE))</f>
        <v>Romaine</v>
      </c>
      <c r="F4337" s="142" t="s">
        <v>2198</v>
      </c>
      <c r="G4337" s="130">
        <v>0.5</v>
      </c>
      <c r="H4337" s="10">
        <f>80000*0.5</f>
        <v>40000</v>
      </c>
      <c r="I4337" s="10"/>
      <c r="J4337" s="79" t="e">
        <f t="shared" si="269"/>
        <v>#VALUE!</v>
      </c>
      <c r="K4337" s="106">
        <f t="shared" si="287"/>
        <v>80000</v>
      </c>
      <c r="L4337" s="141"/>
      <c r="M4337" s="132"/>
      <c r="N4337" s="133"/>
      <c r="O4337" s="4"/>
      <c r="P4337" s="4"/>
      <c r="Q4337" s="4"/>
      <c r="R4337" s="4"/>
      <c r="S4337" s="4"/>
      <c r="T4337" s="4"/>
      <c r="U4337" s="4"/>
      <c r="V4337" s="4"/>
      <c r="W4337" s="4"/>
      <c r="X4337" s="4"/>
    </row>
    <row r="4338" spans="1:24" ht="14.25" customHeight="1">
      <c r="A4338" s="4"/>
      <c r="B4338" s="125">
        <v>46183</v>
      </c>
      <c r="C4338" s="126" t="s">
        <v>2056</v>
      </c>
      <c r="D4338" s="15" t="s">
        <v>2113</v>
      </c>
      <c r="E4338" s="10" t="str">
        <f>TRIM(VLOOKUP(D4338,TB!$B$9:$C$1500,2,FALSE))</f>
        <v>Grape Fruit/BUAH ANGGUR</v>
      </c>
      <c r="F4338" s="142" t="s">
        <v>2241</v>
      </c>
      <c r="G4338" s="130">
        <v>0.25</v>
      </c>
      <c r="H4338" s="10">
        <f>90000*0.25</f>
        <v>22500</v>
      </c>
      <c r="I4338" s="10"/>
      <c r="J4338" s="79" t="e">
        <f t="shared" si="269"/>
        <v>#VALUE!</v>
      </c>
      <c r="K4338" s="106">
        <f t="shared" si="287"/>
        <v>90000</v>
      </c>
      <c r="L4338" s="141"/>
      <c r="M4338" s="132"/>
      <c r="N4338" s="133"/>
      <c r="O4338" s="4"/>
      <c r="P4338" s="4"/>
      <c r="Q4338" s="4"/>
      <c r="R4338" s="4"/>
      <c r="S4338" s="4"/>
      <c r="T4338" s="4"/>
      <c r="U4338" s="4"/>
      <c r="V4338" s="4"/>
      <c r="W4338" s="4"/>
      <c r="X4338" s="4"/>
    </row>
    <row r="4339" spans="1:24" ht="14.25" customHeight="1">
      <c r="A4339" s="4"/>
      <c r="B4339" s="125">
        <v>46183</v>
      </c>
      <c r="C4339" s="126" t="s">
        <v>2056</v>
      </c>
      <c r="D4339" s="15" t="s">
        <v>2069</v>
      </c>
      <c r="E4339" s="10" t="str">
        <f>TRIM(VLOOKUP(D4339,TB!$B$9:$C$1500,2,FALSE))</f>
        <v>Apple Fruit</v>
      </c>
      <c r="F4339" s="142" t="s">
        <v>2242</v>
      </c>
      <c r="G4339" s="130">
        <v>0.2</v>
      </c>
      <c r="H4339" s="10">
        <f>43000*0.2</f>
        <v>8600</v>
      </c>
      <c r="I4339" s="10"/>
      <c r="J4339" s="79" t="e">
        <f t="shared" si="269"/>
        <v>#VALUE!</v>
      </c>
      <c r="K4339" s="106">
        <f t="shared" si="287"/>
        <v>43000</v>
      </c>
      <c r="L4339" s="141"/>
      <c r="M4339" s="132"/>
      <c r="N4339" s="133"/>
      <c r="O4339" s="4"/>
      <c r="P4339" s="4"/>
      <c r="Q4339" s="4"/>
      <c r="R4339" s="4"/>
      <c r="S4339" s="4"/>
      <c r="T4339" s="4"/>
      <c r="U4339" s="4"/>
      <c r="V4339" s="4"/>
      <c r="W4339" s="4"/>
      <c r="X4339" s="4"/>
    </row>
    <row r="4340" spans="1:24" ht="14.25" customHeight="1">
      <c r="A4340" s="4"/>
      <c r="B4340" s="125">
        <v>46183</v>
      </c>
      <c r="C4340" s="126" t="s">
        <v>2056</v>
      </c>
      <c r="D4340" s="15" t="s">
        <v>2121</v>
      </c>
      <c r="E4340" s="10" t="str">
        <f>TRIM(VLOOKUP(D4340,TB!$B$9:$C$1500,2,FALSE))</f>
        <v>Mango Fruit</v>
      </c>
      <c r="F4340" s="142" t="s">
        <v>2243</v>
      </c>
      <c r="G4340" s="130">
        <v>1</v>
      </c>
      <c r="H4340" s="10">
        <f>40000</f>
        <v>40000</v>
      </c>
      <c r="I4340" s="10"/>
      <c r="J4340" s="79" t="e">
        <f t="shared" si="269"/>
        <v>#VALUE!</v>
      </c>
      <c r="K4340" s="106">
        <f t="shared" si="287"/>
        <v>40000</v>
      </c>
      <c r="L4340" s="141"/>
      <c r="M4340" s="132"/>
      <c r="N4340" s="133"/>
      <c r="O4340" s="4"/>
      <c r="P4340" s="4"/>
      <c r="Q4340" s="4"/>
      <c r="R4340" s="4"/>
      <c r="S4340" s="4"/>
      <c r="T4340" s="4"/>
      <c r="U4340" s="4"/>
      <c r="V4340" s="4"/>
      <c r="W4340" s="4"/>
      <c r="X4340" s="4"/>
    </row>
    <row r="4341" spans="1:24" ht="14.25" customHeight="1">
      <c r="A4341" s="4"/>
      <c r="B4341" s="125">
        <v>46183</v>
      </c>
      <c r="C4341" s="126" t="s">
        <v>2056</v>
      </c>
      <c r="D4341" s="15" t="s">
        <v>2104</v>
      </c>
      <c r="E4341" s="10" t="str">
        <f>TRIM(VLOOKUP(D4341,TB!$B$9:$C$1500,2,FALSE))</f>
        <v>Pear</v>
      </c>
      <c r="F4341" s="142" t="s">
        <v>2202</v>
      </c>
      <c r="G4341" s="130">
        <v>0.3</v>
      </c>
      <c r="H4341" s="10">
        <f>28000*0.3</f>
        <v>8400</v>
      </c>
      <c r="I4341" s="10"/>
      <c r="J4341" s="79" t="e">
        <f t="shared" si="269"/>
        <v>#VALUE!</v>
      </c>
      <c r="K4341" s="106">
        <f t="shared" si="287"/>
        <v>28000</v>
      </c>
      <c r="L4341" s="141"/>
      <c r="M4341" s="132"/>
      <c r="N4341" s="133"/>
      <c r="O4341" s="4"/>
      <c r="P4341" s="4"/>
      <c r="Q4341" s="4"/>
      <c r="R4341" s="4"/>
      <c r="S4341" s="4"/>
      <c r="T4341" s="4"/>
      <c r="U4341" s="4"/>
      <c r="V4341" s="4"/>
      <c r="W4341" s="4"/>
      <c r="X4341" s="4"/>
    </row>
    <row r="4342" spans="1:24" ht="14.25" customHeight="1">
      <c r="A4342" s="4"/>
      <c r="B4342" s="125">
        <v>46183</v>
      </c>
      <c r="C4342" s="126" t="s">
        <v>2056</v>
      </c>
      <c r="D4342" s="15" t="s">
        <v>2126</v>
      </c>
      <c r="E4342" s="10" t="str">
        <f>TRIM(VLOOKUP(D4342,TB!$B$9:$C$1500,2,FALSE))</f>
        <v>Rice/Beras</v>
      </c>
      <c r="F4342" s="142" t="s">
        <v>2244</v>
      </c>
      <c r="G4342" s="130">
        <v>5</v>
      </c>
      <c r="H4342" s="10">
        <v>85000</v>
      </c>
      <c r="I4342" s="10"/>
      <c r="J4342" s="79" t="e">
        <f t="shared" si="269"/>
        <v>#VALUE!</v>
      </c>
      <c r="K4342" s="106">
        <f t="shared" si="287"/>
        <v>17000</v>
      </c>
      <c r="L4342" s="141"/>
      <c r="M4342" s="132"/>
      <c r="N4342" s="133"/>
      <c r="O4342" s="4"/>
      <c r="P4342" s="4"/>
      <c r="Q4342" s="4"/>
      <c r="R4342" s="4"/>
      <c r="S4342" s="4"/>
      <c r="T4342" s="4"/>
      <c r="U4342" s="4"/>
      <c r="V4342" s="4"/>
      <c r="W4342" s="4"/>
      <c r="X4342" s="4"/>
    </row>
    <row r="4343" spans="1:24" ht="14.25" customHeight="1">
      <c r="A4343" s="4"/>
      <c r="B4343" s="125">
        <v>46183</v>
      </c>
      <c r="C4343" s="126" t="s">
        <v>2056</v>
      </c>
      <c r="D4343" s="15" t="s">
        <v>2081</v>
      </c>
      <c r="E4343" s="10" t="str">
        <f>TRIM(VLOOKUP(D4343,TB!$B$9:$C$1500,2,FALSE))</f>
        <v>Baby Potato</v>
      </c>
      <c r="F4343" s="142" t="s">
        <v>2245</v>
      </c>
      <c r="G4343" s="130">
        <v>0.25</v>
      </c>
      <c r="H4343" s="10">
        <f>16000*0.25</f>
        <v>4000</v>
      </c>
      <c r="I4343" s="10"/>
      <c r="J4343" s="79" t="e">
        <f t="shared" si="269"/>
        <v>#VALUE!</v>
      </c>
      <c r="K4343" s="106">
        <f t="shared" si="287"/>
        <v>16000</v>
      </c>
      <c r="L4343" s="141"/>
      <c r="M4343" s="132"/>
      <c r="N4343" s="133"/>
      <c r="O4343" s="4"/>
      <c r="P4343" s="4"/>
      <c r="Q4343" s="4"/>
      <c r="R4343" s="4"/>
      <c r="S4343" s="4"/>
      <c r="T4343" s="4"/>
      <c r="U4343" s="4"/>
      <c r="V4343" s="4"/>
      <c r="W4343" s="4"/>
      <c r="X4343" s="4"/>
    </row>
    <row r="4344" spans="1:24" ht="14.25" customHeight="1">
      <c r="A4344" s="4"/>
      <c r="B4344" s="125">
        <v>46183</v>
      </c>
      <c r="C4344" s="126" t="s">
        <v>2056</v>
      </c>
      <c r="D4344" s="15" t="s">
        <v>2246</v>
      </c>
      <c r="E4344" s="10" t="str">
        <f>TRIM(VLOOKUP(D4344,TB!$B$9:$C$1500,2,FALSE))</f>
        <v>Kacang Panjang</v>
      </c>
      <c r="F4344" s="142" t="s">
        <v>2247</v>
      </c>
      <c r="G4344" s="130">
        <v>0.3</v>
      </c>
      <c r="H4344" s="10">
        <f>20000*0.3</f>
        <v>6000</v>
      </c>
      <c r="I4344" s="10"/>
      <c r="J4344" s="79" t="e">
        <f t="shared" si="269"/>
        <v>#VALUE!</v>
      </c>
      <c r="K4344" s="106">
        <f t="shared" si="287"/>
        <v>20000</v>
      </c>
      <c r="L4344" s="141"/>
      <c r="M4344" s="132"/>
      <c r="N4344" s="133"/>
      <c r="O4344" s="4"/>
      <c r="P4344" s="4"/>
      <c r="Q4344" s="4"/>
      <c r="R4344" s="4"/>
      <c r="S4344" s="4"/>
      <c r="T4344" s="4"/>
      <c r="U4344" s="4"/>
      <c r="V4344" s="4"/>
      <c r="W4344" s="4"/>
      <c r="X4344" s="4"/>
    </row>
    <row r="4345" spans="1:24" ht="14.25" customHeight="1">
      <c r="A4345" s="4"/>
      <c r="B4345" s="125">
        <v>46183</v>
      </c>
      <c r="C4345" s="126" t="s">
        <v>2056</v>
      </c>
      <c r="D4345" s="15" t="s">
        <v>1765</v>
      </c>
      <c r="E4345" s="10" t="str">
        <f>TRIM(VLOOKUP(D4345,TB!$B$9:$C$1500,2,FALSE))</f>
        <v>Great Chilli / Lombok Besar</v>
      </c>
      <c r="F4345" s="142" t="s">
        <v>2155</v>
      </c>
      <c r="G4345" s="130">
        <v>0.25</v>
      </c>
      <c r="H4345" s="10">
        <f>50000*0.25</f>
        <v>12500</v>
      </c>
      <c r="I4345" s="10"/>
      <c r="J4345" s="79" t="e">
        <f t="shared" si="269"/>
        <v>#VALUE!</v>
      </c>
      <c r="K4345" s="106">
        <f t="shared" si="287"/>
        <v>50000</v>
      </c>
      <c r="L4345" s="141"/>
      <c r="M4345" s="132"/>
      <c r="N4345" s="133"/>
      <c r="O4345" s="4"/>
      <c r="P4345" s="4"/>
      <c r="Q4345" s="4"/>
      <c r="R4345" s="4"/>
      <c r="S4345" s="4"/>
      <c r="T4345" s="4"/>
      <c r="U4345" s="4"/>
      <c r="V4345" s="4"/>
      <c r="W4345" s="4"/>
      <c r="X4345" s="4"/>
    </row>
    <row r="4346" spans="1:24" ht="14.25" customHeight="1">
      <c r="A4346" s="4"/>
      <c r="B4346" s="125">
        <v>46183</v>
      </c>
      <c r="C4346" s="126" t="s">
        <v>2056</v>
      </c>
      <c r="D4346" s="15" t="s">
        <v>2030</v>
      </c>
      <c r="E4346" s="10" t="str">
        <f>TRIM(VLOOKUP(D4346,TB!$B$9:$C$1500,2,FALSE))</f>
        <v>Hot Chilli / Lombok Kecil</v>
      </c>
      <c r="F4346" s="142" t="s">
        <v>2248</v>
      </c>
      <c r="G4346" s="130">
        <v>0.25</v>
      </c>
      <c r="H4346" s="10">
        <f>75000*0.25</f>
        <v>18750</v>
      </c>
      <c r="I4346" s="10"/>
      <c r="J4346" s="79" t="e">
        <f t="shared" si="269"/>
        <v>#VALUE!</v>
      </c>
      <c r="K4346" s="106">
        <f t="shared" si="287"/>
        <v>75000</v>
      </c>
      <c r="L4346" s="141"/>
      <c r="M4346" s="132"/>
      <c r="N4346" s="133"/>
      <c r="O4346" s="4"/>
      <c r="P4346" s="4"/>
      <c r="Q4346" s="4"/>
      <c r="R4346" s="4"/>
      <c r="S4346" s="4"/>
      <c r="T4346" s="4"/>
      <c r="U4346" s="4"/>
      <c r="V4346" s="4"/>
      <c r="W4346" s="4"/>
      <c r="X4346" s="4"/>
    </row>
    <row r="4347" spans="1:24" ht="14.25" customHeight="1">
      <c r="A4347" s="4"/>
      <c r="B4347" s="125">
        <v>46183</v>
      </c>
      <c r="C4347" s="126" t="s">
        <v>2056</v>
      </c>
      <c r="D4347" s="15" t="s">
        <v>285</v>
      </c>
      <c r="E4347" s="10" t="str">
        <f>TRIM(VLOOKUP(D4347,TB!$B$9:$C$1500,2,FALSE))</f>
        <v>Misc Cash Purchase</v>
      </c>
      <c r="F4347" s="142" t="s">
        <v>2249</v>
      </c>
      <c r="G4347" s="130"/>
      <c r="H4347" s="10"/>
      <c r="I4347" s="10">
        <v>383000</v>
      </c>
      <c r="J4347" s="79" t="e">
        <f t="shared" si="269"/>
        <v>#VALUE!</v>
      </c>
      <c r="K4347" s="106"/>
      <c r="L4347" s="141"/>
      <c r="M4347" s="132"/>
      <c r="N4347" s="133"/>
      <c r="O4347" s="4"/>
      <c r="P4347" s="4"/>
      <c r="Q4347" s="4"/>
      <c r="R4347" s="4"/>
      <c r="S4347" s="4"/>
      <c r="T4347" s="4"/>
      <c r="U4347" s="4"/>
      <c r="V4347" s="4"/>
      <c r="W4347" s="4"/>
      <c r="X4347" s="4"/>
    </row>
    <row r="4348" spans="1:24" ht="14.25" customHeight="1">
      <c r="A4348" s="4"/>
      <c r="B4348" s="125"/>
      <c r="C4348" s="126"/>
      <c r="D4348" s="68"/>
      <c r="E4348" s="10" t="e">
        <f>TRIM(VLOOKUP(D4348,TB!$B$9:$C$1500,2,FALSE))</f>
        <v>#N/A</v>
      </c>
      <c r="F4348" s="142"/>
      <c r="G4348" s="130"/>
      <c r="H4348" s="10"/>
      <c r="I4348" s="10"/>
      <c r="J4348" s="79" t="e">
        <f t="shared" si="269"/>
        <v>#VALUE!</v>
      </c>
      <c r="K4348" s="106"/>
      <c r="L4348" s="141"/>
      <c r="M4348" s="132"/>
      <c r="N4348" s="133"/>
      <c r="O4348" s="4"/>
      <c r="P4348" s="4"/>
      <c r="Q4348" s="4"/>
      <c r="R4348" s="4"/>
      <c r="S4348" s="4"/>
      <c r="T4348" s="4"/>
      <c r="U4348" s="4"/>
      <c r="V4348" s="4"/>
      <c r="W4348" s="4"/>
      <c r="X4348" s="4"/>
    </row>
    <row r="4349" spans="1:24" ht="14.25" customHeight="1">
      <c r="A4349" s="4"/>
      <c r="B4349" s="125">
        <v>46184</v>
      </c>
      <c r="C4349" s="126" t="s">
        <v>2056</v>
      </c>
      <c r="D4349" s="15" t="s">
        <v>1768</v>
      </c>
      <c r="E4349" s="10" t="str">
        <f>TRIM(VLOOKUP(D4349,TB!$B$9:$C$1500,2,FALSE))</f>
        <v>Lime Green</v>
      </c>
      <c r="F4349" s="142" t="s">
        <v>2250</v>
      </c>
      <c r="G4349" s="130">
        <v>20</v>
      </c>
      <c r="H4349" s="10">
        <f>24000*20</f>
        <v>480000</v>
      </c>
      <c r="I4349" s="10"/>
      <c r="J4349" s="79" t="e">
        <f t="shared" si="269"/>
        <v>#VALUE!</v>
      </c>
      <c r="K4349" s="106">
        <f t="shared" ref="K4349:K4353" si="288">H4349/G4349</f>
        <v>24000</v>
      </c>
      <c r="L4349" s="141"/>
      <c r="M4349" s="132"/>
      <c r="N4349" s="133"/>
      <c r="O4349" s="4"/>
      <c r="P4349" s="4"/>
      <c r="Q4349" s="4"/>
      <c r="R4349" s="4"/>
      <c r="S4349" s="4"/>
      <c r="T4349" s="4"/>
      <c r="U4349" s="4"/>
      <c r="V4349" s="4"/>
      <c r="W4349" s="4"/>
      <c r="X4349" s="4"/>
    </row>
    <row r="4350" spans="1:24" ht="14.25" customHeight="1">
      <c r="A4350" s="4"/>
      <c r="B4350" s="125">
        <v>46184</v>
      </c>
      <c r="C4350" s="126" t="s">
        <v>2056</v>
      </c>
      <c r="D4350" s="15" t="s">
        <v>2118</v>
      </c>
      <c r="E4350" s="10" t="str">
        <f>TRIM(VLOOKUP(D4350,TB!$B$9:$C$1500,2,FALSE))</f>
        <v>Sunkist</v>
      </c>
      <c r="F4350" s="142" t="s">
        <v>2119</v>
      </c>
      <c r="G4350" s="130">
        <v>5</v>
      </c>
      <c r="H4350" s="10">
        <f>38000*5</f>
        <v>190000</v>
      </c>
      <c r="I4350" s="10"/>
      <c r="J4350" s="79" t="e">
        <f t="shared" si="269"/>
        <v>#VALUE!</v>
      </c>
      <c r="K4350" s="106">
        <f t="shared" si="288"/>
        <v>38000</v>
      </c>
      <c r="L4350" s="141"/>
      <c r="M4350" s="132"/>
      <c r="N4350" s="133"/>
      <c r="O4350" s="4"/>
      <c r="P4350" s="4"/>
      <c r="Q4350" s="4"/>
      <c r="R4350" s="4"/>
      <c r="S4350" s="4"/>
      <c r="T4350" s="4"/>
      <c r="U4350" s="4"/>
      <c r="V4350" s="4"/>
      <c r="W4350" s="4"/>
      <c r="X4350" s="4"/>
    </row>
    <row r="4351" spans="1:24" ht="14.25" customHeight="1">
      <c r="A4351" s="4"/>
      <c r="B4351" s="125">
        <v>46184</v>
      </c>
      <c r="C4351" s="126" t="s">
        <v>2056</v>
      </c>
      <c r="D4351" s="15" t="s">
        <v>2090</v>
      </c>
      <c r="E4351" s="10" t="str">
        <f>TRIM(VLOOKUP(D4351,TB!$B$9:$C$1500,2,FALSE))</f>
        <v>Japanese Cucumber/Timun</v>
      </c>
      <c r="F4351" s="142" t="s">
        <v>2251</v>
      </c>
      <c r="G4351" s="130">
        <v>4</v>
      </c>
      <c r="H4351" s="10">
        <f>14000*4</f>
        <v>56000</v>
      </c>
      <c r="I4351" s="10"/>
      <c r="J4351" s="79" t="e">
        <f t="shared" si="269"/>
        <v>#VALUE!</v>
      </c>
      <c r="K4351" s="106">
        <f t="shared" si="288"/>
        <v>14000</v>
      </c>
      <c r="L4351" s="141"/>
      <c r="M4351" s="132"/>
      <c r="N4351" s="133"/>
      <c r="O4351" s="4"/>
      <c r="P4351" s="4"/>
      <c r="Q4351" s="4"/>
      <c r="R4351" s="4"/>
      <c r="S4351" s="4"/>
      <c r="T4351" s="4"/>
      <c r="U4351" s="4"/>
      <c r="V4351" s="4"/>
      <c r="W4351" s="4"/>
      <c r="X4351" s="4"/>
    </row>
    <row r="4352" spans="1:24" ht="14.25" customHeight="1">
      <c r="A4352" s="4"/>
      <c r="B4352" s="125">
        <v>46184</v>
      </c>
      <c r="C4352" s="126" t="s">
        <v>2056</v>
      </c>
      <c r="D4352" s="15" t="s">
        <v>2252</v>
      </c>
      <c r="E4352" s="10" t="str">
        <f>TRIM(VLOOKUP(D4352,TB!$B$9:$C$1500,2,FALSE))</f>
        <v>Mint Leave</v>
      </c>
      <c r="F4352" s="142" t="s">
        <v>2253</v>
      </c>
      <c r="G4352" s="130">
        <v>0.25</v>
      </c>
      <c r="H4352" s="10">
        <f>55000*0.25</f>
        <v>13750</v>
      </c>
      <c r="I4352" s="10"/>
      <c r="J4352" s="79" t="e">
        <f t="shared" si="269"/>
        <v>#VALUE!</v>
      </c>
      <c r="K4352" s="106">
        <f t="shared" si="288"/>
        <v>55000</v>
      </c>
      <c r="L4352" s="141"/>
      <c r="M4352" s="132"/>
      <c r="N4352" s="133"/>
      <c r="O4352" s="4"/>
      <c r="P4352" s="4"/>
      <c r="Q4352" s="4"/>
      <c r="R4352" s="4"/>
      <c r="S4352" s="4"/>
      <c r="T4352" s="4"/>
      <c r="U4352" s="4"/>
      <c r="V4352" s="4"/>
      <c r="W4352" s="4"/>
      <c r="X4352" s="4"/>
    </row>
    <row r="4353" spans="1:24" ht="14.25" customHeight="1">
      <c r="A4353" s="4"/>
      <c r="B4353" s="125">
        <v>46184</v>
      </c>
      <c r="C4353" s="126" t="s">
        <v>2056</v>
      </c>
      <c r="D4353" s="15" t="s">
        <v>2100</v>
      </c>
      <c r="E4353" s="10" t="str">
        <f>TRIM(VLOOKUP(D4353,TB!$B$9:$C$1500,2,FALSE))</f>
        <v>Basil</v>
      </c>
      <c r="F4353" s="142" t="s">
        <v>2254</v>
      </c>
      <c r="G4353" s="130">
        <v>0.25</v>
      </c>
      <c r="H4353" s="10">
        <f>75000*0.25</f>
        <v>18750</v>
      </c>
      <c r="I4353" s="10"/>
      <c r="J4353" s="79" t="e">
        <f t="shared" si="269"/>
        <v>#VALUE!</v>
      </c>
      <c r="K4353" s="106">
        <f t="shared" si="288"/>
        <v>75000</v>
      </c>
      <c r="L4353" s="141"/>
      <c r="M4353" s="132"/>
      <c r="N4353" s="133"/>
      <c r="O4353" s="4"/>
      <c r="P4353" s="4"/>
      <c r="Q4353" s="4"/>
      <c r="R4353" s="4"/>
      <c r="S4353" s="4"/>
      <c r="T4353" s="4"/>
      <c r="U4353" s="4"/>
      <c r="V4353" s="4"/>
      <c r="W4353" s="4"/>
      <c r="X4353" s="4"/>
    </row>
    <row r="4354" spans="1:24" ht="14.25" customHeight="1">
      <c r="A4354" s="4"/>
      <c r="B4354" s="125">
        <v>46184</v>
      </c>
      <c r="C4354" s="126" t="s">
        <v>2056</v>
      </c>
      <c r="D4354" s="15" t="s">
        <v>285</v>
      </c>
      <c r="E4354" s="10" t="str">
        <f>TRIM(VLOOKUP(D4354,TB!$B$9:$C$1500,2,FALSE))</f>
        <v>Misc Cash Purchase</v>
      </c>
      <c r="F4354" s="142" t="s">
        <v>2255</v>
      </c>
      <c r="G4354" s="130"/>
      <c r="H4354" s="10"/>
      <c r="I4354" s="10">
        <v>758500</v>
      </c>
      <c r="J4354" s="79" t="e">
        <f t="shared" si="269"/>
        <v>#VALUE!</v>
      </c>
      <c r="K4354" s="106"/>
      <c r="L4354" s="141"/>
      <c r="M4354" s="132"/>
      <c r="N4354" s="133"/>
      <c r="O4354" s="4"/>
      <c r="P4354" s="4"/>
      <c r="Q4354" s="4"/>
      <c r="R4354" s="4"/>
      <c r="S4354" s="4"/>
      <c r="T4354" s="4"/>
      <c r="U4354" s="4"/>
      <c r="V4354" s="4"/>
      <c r="W4354" s="4"/>
      <c r="X4354" s="4"/>
    </row>
    <row r="4355" spans="1:24" ht="14.25" customHeight="1">
      <c r="A4355" s="4"/>
      <c r="B4355" s="125"/>
      <c r="C4355" s="126"/>
      <c r="D4355" s="68"/>
      <c r="E4355" s="10" t="e">
        <f>TRIM(VLOOKUP(D4355,TB!$B$9:$C$1500,2,FALSE))</f>
        <v>#N/A</v>
      </c>
      <c r="F4355" s="142"/>
      <c r="G4355" s="130"/>
      <c r="H4355" s="10"/>
      <c r="I4355" s="10"/>
      <c r="J4355" s="79" t="e">
        <f t="shared" si="269"/>
        <v>#VALUE!</v>
      </c>
      <c r="K4355" s="106"/>
      <c r="L4355" s="141"/>
      <c r="M4355" s="132"/>
      <c r="N4355" s="133"/>
      <c r="O4355" s="4"/>
      <c r="P4355" s="4"/>
      <c r="Q4355" s="4"/>
      <c r="R4355" s="4"/>
      <c r="S4355" s="4"/>
      <c r="T4355" s="4"/>
      <c r="U4355" s="4"/>
      <c r="V4355" s="4"/>
      <c r="W4355" s="4"/>
      <c r="X4355" s="4"/>
    </row>
    <row r="4356" spans="1:24" ht="14.25" customHeight="1">
      <c r="A4356" s="4"/>
      <c r="B4356" s="125">
        <v>46184</v>
      </c>
      <c r="C4356" s="126" t="s">
        <v>2056</v>
      </c>
      <c r="D4356" s="15" t="s">
        <v>2153</v>
      </c>
      <c r="E4356" s="10" t="str">
        <f>TRIM(VLOOKUP(D4356,TB!$B$9:$C$1500,2,FALSE))</f>
        <v>Lemon Fruit</v>
      </c>
      <c r="F4356" s="142" t="s">
        <v>2256</v>
      </c>
      <c r="G4356" s="130">
        <v>0.4</v>
      </c>
      <c r="H4356" s="10">
        <f>55000*0.4</f>
        <v>22000</v>
      </c>
      <c r="I4356" s="10"/>
      <c r="J4356" s="79" t="e">
        <f t="shared" si="269"/>
        <v>#VALUE!</v>
      </c>
      <c r="K4356" s="106">
        <f t="shared" ref="K4356:K4364" si="289">H4356/G4356</f>
        <v>55000</v>
      </c>
      <c r="L4356" s="141"/>
      <c r="M4356" s="132"/>
      <c r="N4356" s="133"/>
      <c r="O4356" s="4"/>
      <c r="P4356" s="4"/>
      <c r="Q4356" s="4"/>
      <c r="R4356" s="4"/>
      <c r="S4356" s="4"/>
      <c r="T4356" s="4"/>
      <c r="U4356" s="4"/>
      <c r="V4356" s="4"/>
      <c r="W4356" s="4"/>
      <c r="X4356" s="4"/>
    </row>
    <row r="4357" spans="1:24" ht="14.25" customHeight="1">
      <c r="A4357" s="4"/>
      <c r="B4357" s="125">
        <v>46184</v>
      </c>
      <c r="C4357" s="126" t="s">
        <v>2056</v>
      </c>
      <c r="D4357" s="15" t="s">
        <v>2090</v>
      </c>
      <c r="E4357" s="10" t="str">
        <f>TRIM(VLOOKUP(D4357,TB!$B$9:$C$1500,2,FALSE))</f>
        <v>Japanese Cucumber/Timun</v>
      </c>
      <c r="F4357" s="142" t="s">
        <v>2091</v>
      </c>
      <c r="G4357" s="130">
        <v>1.1000000000000001</v>
      </c>
      <c r="H4357" s="10">
        <f>14000*1.1</f>
        <v>15400.000000000002</v>
      </c>
      <c r="I4357" s="10"/>
      <c r="J4357" s="79" t="e">
        <f t="shared" si="269"/>
        <v>#VALUE!</v>
      </c>
      <c r="K4357" s="106">
        <f t="shared" si="289"/>
        <v>14000</v>
      </c>
      <c r="L4357" s="141"/>
      <c r="M4357" s="132"/>
      <c r="N4357" s="133"/>
      <c r="O4357" s="4"/>
      <c r="P4357" s="4"/>
      <c r="Q4357" s="4"/>
      <c r="R4357" s="4"/>
      <c r="S4357" s="4"/>
      <c r="T4357" s="4"/>
      <c r="U4357" s="4"/>
      <c r="V4357" s="4"/>
      <c r="W4357" s="4"/>
      <c r="X4357" s="4"/>
    </row>
    <row r="4358" spans="1:24" ht="14.25" customHeight="1">
      <c r="A4358" s="4"/>
      <c r="B4358" s="125">
        <v>46184</v>
      </c>
      <c r="C4358" s="126" t="s">
        <v>2056</v>
      </c>
      <c r="D4358" s="15" t="s">
        <v>1877</v>
      </c>
      <c r="E4358" s="10" t="str">
        <f>TRIM(VLOOKUP(D4358,TB!$B$9:$C$1500,2,FALSE))</f>
        <v>Pok Coy</v>
      </c>
      <c r="F4358" s="142" t="s">
        <v>2152</v>
      </c>
      <c r="G4358" s="130">
        <v>1</v>
      </c>
      <c r="H4358" s="10">
        <v>15000</v>
      </c>
      <c r="I4358" s="10"/>
      <c r="J4358" s="79" t="e">
        <f t="shared" si="269"/>
        <v>#VALUE!</v>
      </c>
      <c r="K4358" s="106">
        <f t="shared" si="289"/>
        <v>15000</v>
      </c>
      <c r="L4358" s="141"/>
      <c r="M4358" s="132"/>
      <c r="N4358" s="133"/>
      <c r="O4358" s="4"/>
      <c r="P4358" s="4"/>
      <c r="Q4358" s="4"/>
      <c r="R4358" s="4"/>
      <c r="S4358" s="4"/>
      <c r="T4358" s="4"/>
      <c r="U4358" s="4"/>
      <c r="V4358" s="4"/>
      <c r="W4358" s="4"/>
      <c r="X4358" s="4"/>
    </row>
    <row r="4359" spans="1:24" ht="14.25" customHeight="1">
      <c r="A4359" s="4"/>
      <c r="B4359" s="125">
        <v>46184</v>
      </c>
      <c r="C4359" s="126" t="s">
        <v>2056</v>
      </c>
      <c r="D4359" s="15" t="s">
        <v>2076</v>
      </c>
      <c r="E4359" s="10" t="str">
        <f>TRIM(VLOOKUP(D4359,TB!$B$9:$C$1500,2,FALSE))</f>
        <v>Buncis</v>
      </c>
      <c r="F4359" s="142" t="s">
        <v>2197</v>
      </c>
      <c r="G4359" s="130">
        <v>0.5</v>
      </c>
      <c r="H4359" s="10">
        <f>25000*0.5</f>
        <v>12500</v>
      </c>
      <c r="I4359" s="10"/>
      <c r="J4359" s="79" t="e">
        <f t="shared" si="269"/>
        <v>#VALUE!</v>
      </c>
      <c r="K4359" s="106">
        <f t="shared" si="289"/>
        <v>25000</v>
      </c>
      <c r="L4359" s="141"/>
      <c r="M4359" s="132"/>
      <c r="N4359" s="133"/>
      <c r="O4359" s="4"/>
      <c r="P4359" s="4"/>
      <c r="Q4359" s="4"/>
      <c r="R4359" s="4"/>
      <c r="S4359" s="4"/>
      <c r="T4359" s="4"/>
      <c r="U4359" s="4"/>
      <c r="V4359" s="4"/>
      <c r="W4359" s="4"/>
      <c r="X4359" s="4"/>
    </row>
    <row r="4360" spans="1:24" ht="14.25" customHeight="1">
      <c r="A4360" s="4"/>
      <c r="B4360" s="125">
        <v>46184</v>
      </c>
      <c r="C4360" s="126" t="s">
        <v>2056</v>
      </c>
      <c r="D4360" s="15" t="s">
        <v>2087</v>
      </c>
      <c r="E4360" s="10" t="str">
        <f>TRIM(VLOOKUP(D4360,TB!$B$9:$C$1500,2,FALSE))</f>
        <v>Mushroom Shimeji / Bunapi</v>
      </c>
      <c r="F4360" s="142" t="s">
        <v>2257</v>
      </c>
      <c r="G4360" s="130">
        <v>3</v>
      </c>
      <c r="H4360" s="10">
        <f>17000*3</f>
        <v>51000</v>
      </c>
      <c r="I4360" s="10"/>
      <c r="J4360" s="79" t="e">
        <f t="shared" si="269"/>
        <v>#VALUE!</v>
      </c>
      <c r="K4360" s="106">
        <f t="shared" si="289"/>
        <v>17000</v>
      </c>
      <c r="L4360" s="141"/>
      <c r="M4360" s="132"/>
      <c r="N4360" s="133"/>
      <c r="O4360" s="4"/>
      <c r="P4360" s="4"/>
      <c r="Q4360" s="4"/>
      <c r="R4360" s="4"/>
      <c r="S4360" s="4"/>
      <c r="T4360" s="4"/>
      <c r="U4360" s="4"/>
      <c r="V4360" s="4"/>
      <c r="W4360" s="4"/>
      <c r="X4360" s="4"/>
    </row>
    <row r="4361" spans="1:24" ht="14.25" customHeight="1">
      <c r="A4361" s="4"/>
      <c r="B4361" s="125">
        <v>46184</v>
      </c>
      <c r="C4361" s="126" t="s">
        <v>2056</v>
      </c>
      <c r="D4361" s="15" t="s">
        <v>1155</v>
      </c>
      <c r="E4361" s="10" t="str">
        <f>TRIM(VLOOKUP(D4361,TB!$B$9:$C$1500,2,FALSE))</f>
        <v>Kitchen Supplies</v>
      </c>
      <c r="F4361" s="142" t="s">
        <v>2258</v>
      </c>
      <c r="G4361" s="130">
        <v>0.2</v>
      </c>
      <c r="H4361" s="10">
        <f>65000*0.2</f>
        <v>13000</v>
      </c>
      <c r="I4361" s="10"/>
      <c r="J4361" s="79" t="e">
        <f t="shared" ref="J4361:J4615" si="290">J4360+H4361-I4361</f>
        <v>#VALUE!</v>
      </c>
      <c r="K4361" s="106">
        <f t="shared" si="289"/>
        <v>65000</v>
      </c>
      <c r="L4361" s="141"/>
      <c r="M4361" s="132"/>
      <c r="N4361" s="133"/>
      <c r="O4361" s="4"/>
      <c r="P4361" s="4"/>
      <c r="Q4361" s="4"/>
      <c r="R4361" s="4"/>
      <c r="S4361" s="4"/>
      <c r="T4361" s="4"/>
      <c r="U4361" s="4"/>
      <c r="V4361" s="4"/>
      <c r="W4361" s="4"/>
      <c r="X4361" s="4"/>
    </row>
    <row r="4362" spans="1:24" ht="14.25" customHeight="1">
      <c r="A4362" s="4"/>
      <c r="B4362" s="125">
        <v>46184</v>
      </c>
      <c r="C4362" s="126" t="s">
        <v>2056</v>
      </c>
      <c r="D4362" s="15" t="s">
        <v>2259</v>
      </c>
      <c r="E4362" s="10" t="str">
        <f>TRIM(VLOOKUP(D4362,TB!$B$9:$C$1500,2,FALSE))</f>
        <v>Tumeric/Kunyit</v>
      </c>
      <c r="F4362" s="142" t="s">
        <v>2260</v>
      </c>
      <c r="G4362" s="130">
        <v>0.2</v>
      </c>
      <c r="H4362" s="10">
        <f>13000*0.2</f>
        <v>2600</v>
      </c>
      <c r="I4362" s="10"/>
      <c r="J4362" s="79" t="e">
        <f t="shared" si="290"/>
        <v>#VALUE!</v>
      </c>
      <c r="K4362" s="106">
        <f t="shared" si="289"/>
        <v>13000</v>
      </c>
      <c r="L4362" s="141"/>
      <c r="M4362" s="132"/>
      <c r="N4362" s="133"/>
      <c r="O4362" s="4"/>
      <c r="P4362" s="4"/>
      <c r="Q4362" s="4"/>
      <c r="R4362" s="4"/>
      <c r="S4362" s="4"/>
      <c r="T4362" s="4"/>
      <c r="U4362" s="4"/>
      <c r="V4362" s="4"/>
      <c r="W4362" s="4"/>
      <c r="X4362" s="4"/>
    </row>
    <row r="4363" spans="1:24" ht="14.25" customHeight="1">
      <c r="A4363" s="4"/>
      <c r="B4363" s="125">
        <v>46184</v>
      </c>
      <c r="C4363" s="126" t="s">
        <v>2056</v>
      </c>
      <c r="D4363" s="15" t="s">
        <v>2102</v>
      </c>
      <c r="E4363" s="10" t="str">
        <f>TRIM(VLOOKUP(D4363,TB!$B$9:$C$1500,2,FALSE))</f>
        <v>Mix Salad</v>
      </c>
      <c r="F4363" s="142" t="s">
        <v>2207</v>
      </c>
      <c r="G4363" s="130">
        <v>0.35</v>
      </c>
      <c r="H4363" s="10">
        <f>50000*0.35</f>
        <v>17500</v>
      </c>
      <c r="I4363" s="10"/>
      <c r="J4363" s="79" t="e">
        <f t="shared" si="290"/>
        <v>#VALUE!</v>
      </c>
      <c r="K4363" s="106">
        <f t="shared" si="289"/>
        <v>50000</v>
      </c>
      <c r="L4363" s="141"/>
      <c r="M4363" s="132"/>
      <c r="N4363" s="133"/>
      <c r="O4363" s="4"/>
      <c r="P4363" s="4"/>
      <c r="Q4363" s="4"/>
      <c r="R4363" s="4"/>
      <c r="S4363" s="4"/>
      <c r="T4363" s="4"/>
      <c r="U4363" s="4"/>
      <c r="V4363" s="4"/>
      <c r="W4363" s="4"/>
      <c r="X4363" s="4"/>
    </row>
    <row r="4364" spans="1:24" ht="14.25" customHeight="1">
      <c r="A4364" s="4"/>
      <c r="B4364" s="125">
        <v>46184</v>
      </c>
      <c r="C4364" s="126" t="s">
        <v>2056</v>
      </c>
      <c r="D4364" s="15" t="s">
        <v>1886</v>
      </c>
      <c r="E4364" s="10" t="str">
        <f>TRIM(VLOOKUP(D4364,TB!$B$9:$C$1500,2,FALSE))</f>
        <v>Ruccola</v>
      </c>
      <c r="F4364" s="142" t="s">
        <v>2261</v>
      </c>
      <c r="G4364" s="130">
        <v>0.25</v>
      </c>
      <c r="H4364" s="10">
        <f>70000*0.25</f>
        <v>17500</v>
      </c>
      <c r="I4364" s="10"/>
      <c r="J4364" s="79" t="e">
        <f t="shared" si="290"/>
        <v>#VALUE!</v>
      </c>
      <c r="K4364" s="106">
        <f t="shared" si="289"/>
        <v>70000</v>
      </c>
      <c r="L4364" s="141"/>
      <c r="M4364" s="132"/>
      <c r="N4364" s="133"/>
      <c r="O4364" s="4"/>
      <c r="P4364" s="4"/>
      <c r="Q4364" s="4"/>
      <c r="R4364" s="4"/>
      <c r="S4364" s="4"/>
      <c r="T4364" s="4"/>
      <c r="U4364" s="4"/>
      <c r="V4364" s="4"/>
      <c r="W4364" s="4"/>
      <c r="X4364" s="4"/>
    </row>
    <row r="4365" spans="1:24" ht="14.25" customHeight="1">
      <c r="A4365" s="4"/>
      <c r="B4365" s="125">
        <v>46184</v>
      </c>
      <c r="C4365" s="126" t="s">
        <v>2056</v>
      </c>
      <c r="D4365" s="15" t="s">
        <v>285</v>
      </c>
      <c r="E4365" s="10" t="str">
        <f>TRIM(VLOOKUP(D4365,TB!$B$9:$C$1500,2,FALSE))</f>
        <v>Misc Cash Purchase</v>
      </c>
      <c r="F4365" s="142" t="s">
        <v>2262</v>
      </c>
      <c r="G4365" s="130"/>
      <c r="H4365" s="10"/>
      <c r="I4365" s="10">
        <v>166500</v>
      </c>
      <c r="J4365" s="79" t="e">
        <f t="shared" si="290"/>
        <v>#VALUE!</v>
      </c>
      <c r="K4365" s="106"/>
      <c r="L4365" s="141"/>
      <c r="M4365" s="132"/>
      <c r="N4365" s="133"/>
      <c r="O4365" s="4"/>
      <c r="P4365" s="4"/>
      <c r="Q4365" s="4"/>
      <c r="R4365" s="4"/>
      <c r="S4365" s="4"/>
      <c r="T4365" s="4"/>
      <c r="U4365" s="4"/>
      <c r="V4365" s="4"/>
      <c r="W4365" s="4"/>
      <c r="X4365" s="4"/>
    </row>
    <row r="4366" spans="1:24" ht="14.25" customHeight="1">
      <c r="A4366" s="4"/>
      <c r="B4366" s="125"/>
      <c r="C4366" s="126"/>
      <c r="D4366" s="68"/>
      <c r="E4366" s="10" t="e">
        <f>TRIM(VLOOKUP(D4366,TB!$B$9:$C$1500,2,FALSE))</f>
        <v>#N/A</v>
      </c>
      <c r="F4366" s="142"/>
      <c r="G4366" s="130"/>
      <c r="H4366" s="10"/>
      <c r="I4366" s="10"/>
      <c r="J4366" s="79" t="e">
        <f t="shared" si="290"/>
        <v>#VALUE!</v>
      </c>
      <c r="K4366" s="106"/>
      <c r="L4366" s="141"/>
      <c r="M4366" s="132"/>
      <c r="N4366" s="133"/>
      <c r="O4366" s="4"/>
      <c r="P4366" s="4"/>
      <c r="Q4366" s="4"/>
      <c r="R4366" s="4"/>
      <c r="S4366" s="4"/>
      <c r="T4366" s="4"/>
      <c r="U4366" s="4"/>
      <c r="V4366" s="4"/>
      <c r="W4366" s="4"/>
      <c r="X4366" s="4"/>
    </row>
    <row r="4367" spans="1:24" ht="14.25" customHeight="1">
      <c r="A4367" s="4"/>
      <c r="B4367" s="125">
        <v>46185</v>
      </c>
      <c r="C4367" s="126" t="s">
        <v>2056</v>
      </c>
      <c r="D4367" s="15" t="s">
        <v>2062</v>
      </c>
      <c r="E4367" s="10" t="str">
        <f>TRIM(VLOOKUP(D4367,TB!$B$9:$C$1500,2,FALSE))</f>
        <v>Mushrooms Button</v>
      </c>
      <c r="F4367" s="142" t="s">
        <v>2200</v>
      </c>
      <c r="G4367" s="130">
        <v>1</v>
      </c>
      <c r="H4367" s="10">
        <v>45000</v>
      </c>
      <c r="I4367" s="10"/>
      <c r="J4367" s="79" t="e">
        <f t="shared" si="290"/>
        <v>#VALUE!</v>
      </c>
      <c r="K4367" s="106">
        <f t="shared" ref="K4367:K4379" si="291">H4367/G4367</f>
        <v>45000</v>
      </c>
      <c r="L4367" s="141"/>
      <c r="M4367" s="132"/>
      <c r="N4367" s="133"/>
      <c r="O4367" s="4"/>
      <c r="P4367" s="4"/>
      <c r="Q4367" s="4"/>
      <c r="R4367" s="4"/>
      <c r="S4367" s="4"/>
      <c r="T4367" s="4"/>
      <c r="U4367" s="4"/>
      <c r="V4367" s="4"/>
      <c r="W4367" s="4"/>
      <c r="X4367" s="4"/>
    </row>
    <row r="4368" spans="1:24" ht="14.25" customHeight="1">
      <c r="A4368" s="4"/>
      <c r="B4368" s="125">
        <v>46185</v>
      </c>
      <c r="C4368" s="126" t="s">
        <v>2056</v>
      </c>
      <c r="D4368" s="15" t="s">
        <v>2083</v>
      </c>
      <c r="E4368" s="10" t="str">
        <f>TRIM(VLOOKUP(D4368,TB!$B$9:$C$1500,2,FALSE))</f>
        <v>Baby Buncis</v>
      </c>
      <c r="F4368" s="142" t="s">
        <v>2196</v>
      </c>
      <c r="G4368" s="130">
        <v>0.25</v>
      </c>
      <c r="H4368" s="10">
        <f>70000*0.25</f>
        <v>17500</v>
      </c>
      <c r="I4368" s="10"/>
      <c r="J4368" s="79" t="e">
        <f t="shared" si="290"/>
        <v>#VALUE!</v>
      </c>
      <c r="K4368" s="106">
        <f t="shared" si="291"/>
        <v>70000</v>
      </c>
      <c r="L4368" s="141"/>
      <c r="M4368" s="132"/>
      <c r="N4368" s="133"/>
      <c r="O4368" s="4"/>
      <c r="P4368" s="4"/>
      <c r="Q4368" s="4"/>
      <c r="R4368" s="4"/>
      <c r="S4368" s="4"/>
      <c r="T4368" s="4"/>
      <c r="U4368" s="4"/>
      <c r="V4368" s="4"/>
      <c r="W4368" s="4"/>
      <c r="X4368" s="4"/>
    </row>
    <row r="4369" spans="1:24" ht="14.25" customHeight="1">
      <c r="A4369" s="4"/>
      <c r="B4369" s="125">
        <v>46185</v>
      </c>
      <c r="C4369" s="126" t="s">
        <v>2056</v>
      </c>
      <c r="D4369" s="15" t="s">
        <v>2085</v>
      </c>
      <c r="E4369" s="10" t="str">
        <f>TRIM(VLOOKUP(D4369,TB!$B$9:$C$1500,2,FALSE))</f>
        <v>Carrot/Wortel</v>
      </c>
      <c r="F4369" s="142" t="s">
        <v>2194</v>
      </c>
      <c r="G4369" s="130">
        <v>1</v>
      </c>
      <c r="H4369" s="10">
        <v>25000</v>
      </c>
      <c r="I4369" s="10"/>
      <c r="J4369" s="79" t="e">
        <f t="shared" si="290"/>
        <v>#VALUE!</v>
      </c>
      <c r="K4369" s="106">
        <f t="shared" si="291"/>
        <v>25000</v>
      </c>
      <c r="L4369" s="141"/>
      <c r="M4369" s="132"/>
      <c r="N4369" s="133"/>
      <c r="O4369" s="4"/>
      <c r="P4369" s="4"/>
      <c r="Q4369" s="4"/>
      <c r="R4369" s="4"/>
      <c r="S4369" s="4"/>
      <c r="T4369" s="4"/>
      <c r="U4369" s="4"/>
      <c r="V4369" s="4"/>
      <c r="W4369" s="4"/>
      <c r="X4369" s="4"/>
    </row>
    <row r="4370" spans="1:24" ht="14.25" customHeight="1">
      <c r="A4370" s="4"/>
      <c r="B4370" s="125">
        <v>46185</v>
      </c>
      <c r="C4370" s="126" t="s">
        <v>2056</v>
      </c>
      <c r="D4370" s="68" t="s">
        <v>2138</v>
      </c>
      <c r="E4370" s="10" t="str">
        <f>TRIM(VLOOKUP(D4370,TB!$B$9:$C$1500,2,FALSE))</f>
        <v>Baby Carrot/Wortel</v>
      </c>
      <c r="F4370" s="142" t="s">
        <v>2195</v>
      </c>
      <c r="G4370" s="130">
        <v>0.25</v>
      </c>
      <c r="H4370" s="10">
        <f>35000*0.25</f>
        <v>8750</v>
      </c>
      <c r="I4370" s="10"/>
      <c r="J4370" s="79" t="e">
        <f t="shared" si="290"/>
        <v>#VALUE!</v>
      </c>
      <c r="K4370" s="106">
        <f t="shared" si="291"/>
        <v>35000</v>
      </c>
      <c r="L4370" s="141"/>
      <c r="M4370" s="132"/>
      <c r="N4370" s="133"/>
      <c r="O4370" s="4"/>
      <c r="P4370" s="4"/>
      <c r="Q4370" s="4"/>
      <c r="R4370" s="4"/>
      <c r="S4370" s="4"/>
      <c r="T4370" s="4"/>
      <c r="U4370" s="4"/>
      <c r="V4370" s="4"/>
      <c r="W4370" s="4"/>
      <c r="X4370" s="4"/>
    </row>
    <row r="4371" spans="1:24" ht="14.25" customHeight="1">
      <c r="A4371" s="4"/>
      <c r="B4371" s="125">
        <v>46185</v>
      </c>
      <c r="C4371" s="126" t="s">
        <v>2056</v>
      </c>
      <c r="D4371" s="15" t="s">
        <v>2081</v>
      </c>
      <c r="E4371" s="10" t="str">
        <f>TRIM(VLOOKUP(D4371,TB!$B$9:$C$1500,2,FALSE))</f>
        <v>Baby Potato</v>
      </c>
      <c r="F4371" s="142" t="s">
        <v>2245</v>
      </c>
      <c r="G4371" s="130">
        <v>0.25</v>
      </c>
      <c r="H4371" s="10">
        <f>16000*0.25</f>
        <v>4000</v>
      </c>
      <c r="I4371" s="10"/>
      <c r="J4371" s="79" t="e">
        <f t="shared" si="290"/>
        <v>#VALUE!</v>
      </c>
      <c r="K4371" s="106">
        <f t="shared" si="291"/>
        <v>16000</v>
      </c>
      <c r="L4371" s="141"/>
      <c r="M4371" s="132"/>
      <c r="N4371" s="133"/>
      <c r="O4371" s="4"/>
      <c r="P4371" s="4"/>
      <c r="Q4371" s="4"/>
      <c r="R4371" s="4"/>
      <c r="S4371" s="4"/>
      <c r="T4371" s="4"/>
      <c r="U4371" s="4"/>
      <c r="V4371" s="4"/>
      <c r="W4371" s="4"/>
      <c r="X4371" s="4"/>
    </row>
    <row r="4372" spans="1:24" ht="14.25" customHeight="1">
      <c r="A4372" s="4"/>
      <c r="B4372" s="125">
        <v>46185</v>
      </c>
      <c r="C4372" s="126" t="s">
        <v>2056</v>
      </c>
      <c r="D4372" s="15" t="s">
        <v>1926</v>
      </c>
      <c r="E4372" s="10" t="str">
        <f>TRIM(VLOOKUP(D4372,TB!$B$9:$C$1500,2,FALSE))</f>
        <v>Cherri Tomato</v>
      </c>
      <c r="F4372" s="142" t="s">
        <v>2263</v>
      </c>
      <c r="G4372" s="130">
        <v>0.25</v>
      </c>
      <c r="H4372" s="10">
        <f>55000*0.25</f>
        <v>13750</v>
      </c>
      <c r="I4372" s="10"/>
      <c r="J4372" s="79" t="e">
        <f t="shared" si="290"/>
        <v>#VALUE!</v>
      </c>
      <c r="K4372" s="106">
        <f t="shared" si="291"/>
        <v>55000</v>
      </c>
      <c r="L4372" s="141"/>
      <c r="M4372" s="132"/>
      <c r="N4372" s="133"/>
      <c r="O4372" s="4"/>
      <c r="P4372" s="4"/>
      <c r="Q4372" s="4"/>
      <c r="R4372" s="4"/>
      <c r="S4372" s="4"/>
      <c r="T4372" s="4"/>
      <c r="U4372" s="4"/>
      <c r="V4372" s="4"/>
      <c r="W4372" s="4"/>
      <c r="X4372" s="4"/>
    </row>
    <row r="4373" spans="1:24" ht="14.25" customHeight="1">
      <c r="A4373" s="4"/>
      <c r="B4373" s="125">
        <v>46185</v>
      </c>
      <c r="C4373" s="126" t="s">
        <v>2056</v>
      </c>
      <c r="D4373" s="15" t="s">
        <v>1877</v>
      </c>
      <c r="E4373" s="10" t="str">
        <f>TRIM(VLOOKUP(D4373,TB!$B$9:$C$1500,2,FALSE))</f>
        <v>Pok Coy</v>
      </c>
      <c r="F4373" s="142" t="s">
        <v>2152</v>
      </c>
      <c r="G4373" s="130">
        <v>0.5</v>
      </c>
      <c r="H4373" s="10">
        <f>15000*0.5</f>
        <v>7500</v>
      </c>
      <c r="I4373" s="10"/>
      <c r="J4373" s="79" t="e">
        <f t="shared" si="290"/>
        <v>#VALUE!</v>
      </c>
      <c r="K4373" s="106">
        <f t="shared" si="291"/>
        <v>15000</v>
      </c>
      <c r="L4373" s="141"/>
      <c r="M4373" s="132"/>
      <c r="N4373" s="133"/>
      <c r="O4373" s="4"/>
      <c r="P4373" s="4"/>
      <c r="Q4373" s="4"/>
      <c r="R4373" s="4"/>
      <c r="S4373" s="4"/>
      <c r="T4373" s="4"/>
      <c r="U4373" s="4"/>
      <c r="V4373" s="4"/>
      <c r="W4373" s="4"/>
      <c r="X4373" s="4"/>
    </row>
    <row r="4374" spans="1:24" ht="14.25" customHeight="1">
      <c r="A4374" s="4"/>
      <c r="B4374" s="125">
        <v>46185</v>
      </c>
      <c r="C4374" s="126" t="s">
        <v>2056</v>
      </c>
      <c r="D4374" s="15" t="s">
        <v>2033</v>
      </c>
      <c r="E4374" s="10" t="str">
        <f>TRIM(VLOOKUP(D4374,TB!$B$9:$C$1500,2,FALSE))</f>
        <v>Potato</v>
      </c>
      <c r="F4374" s="142" t="s">
        <v>2264</v>
      </c>
      <c r="G4374" s="130">
        <v>3</v>
      </c>
      <c r="H4374" s="10">
        <f>19000*3</f>
        <v>57000</v>
      </c>
      <c r="I4374" s="10"/>
      <c r="J4374" s="79" t="e">
        <f t="shared" si="290"/>
        <v>#VALUE!</v>
      </c>
      <c r="K4374" s="106">
        <f t="shared" si="291"/>
        <v>19000</v>
      </c>
      <c r="L4374" s="141"/>
      <c r="M4374" s="132"/>
      <c r="N4374" s="133"/>
      <c r="O4374" s="4"/>
      <c r="P4374" s="4"/>
      <c r="Q4374" s="4"/>
      <c r="R4374" s="4"/>
      <c r="S4374" s="4"/>
      <c r="T4374" s="4"/>
      <c r="U4374" s="4"/>
      <c r="V4374" s="4"/>
      <c r="W4374" s="4"/>
      <c r="X4374" s="4"/>
    </row>
    <row r="4375" spans="1:24" ht="14.25" customHeight="1">
      <c r="A4375" s="4"/>
      <c r="B4375" s="125">
        <v>46185</v>
      </c>
      <c r="C4375" s="126" t="s">
        <v>2056</v>
      </c>
      <c r="D4375" s="15" t="s">
        <v>2057</v>
      </c>
      <c r="E4375" s="10" t="str">
        <f>TRIM(VLOOKUP(D4375,TB!$B$9:$C$1500,2,FALSE))</f>
        <v>Capsicum/Paprika</v>
      </c>
      <c r="F4375" s="142" t="s">
        <v>2199</v>
      </c>
      <c r="G4375" s="130">
        <v>0.5</v>
      </c>
      <c r="H4375" s="10">
        <f>90000*0.5</f>
        <v>45000</v>
      </c>
      <c r="I4375" s="10"/>
      <c r="J4375" s="79" t="e">
        <f t="shared" si="290"/>
        <v>#VALUE!</v>
      </c>
      <c r="K4375" s="106">
        <f t="shared" si="291"/>
        <v>90000</v>
      </c>
      <c r="L4375" s="141"/>
      <c r="M4375" s="132"/>
      <c r="N4375" s="133"/>
      <c r="O4375" s="4"/>
      <c r="P4375" s="4"/>
      <c r="Q4375" s="4"/>
      <c r="R4375" s="4"/>
      <c r="S4375" s="4"/>
      <c r="T4375" s="4"/>
      <c r="U4375" s="4"/>
      <c r="V4375" s="4"/>
      <c r="W4375" s="4"/>
      <c r="X4375" s="4"/>
    </row>
    <row r="4376" spans="1:24" ht="14.25" customHeight="1">
      <c r="A4376" s="4"/>
      <c r="B4376" s="125">
        <v>46185</v>
      </c>
      <c r="C4376" s="126" t="s">
        <v>2056</v>
      </c>
      <c r="D4376" s="15" t="s">
        <v>2057</v>
      </c>
      <c r="E4376" s="10" t="str">
        <f>TRIM(VLOOKUP(D4376,TB!$B$9:$C$1500,2,FALSE))</f>
        <v>Capsicum/Paprika</v>
      </c>
      <c r="F4376" s="142" t="s">
        <v>2240</v>
      </c>
      <c r="G4376" s="130">
        <v>0.6</v>
      </c>
      <c r="H4376" s="10">
        <f>130000*0.6</f>
        <v>78000</v>
      </c>
      <c r="I4376" s="10"/>
      <c r="J4376" s="79" t="e">
        <f t="shared" si="290"/>
        <v>#VALUE!</v>
      </c>
      <c r="K4376" s="106">
        <f t="shared" si="291"/>
        <v>130000</v>
      </c>
      <c r="L4376" s="141"/>
      <c r="M4376" s="132"/>
      <c r="N4376" s="133"/>
      <c r="O4376" s="4"/>
      <c r="P4376" s="4"/>
      <c r="Q4376" s="4"/>
      <c r="R4376" s="4"/>
      <c r="S4376" s="4"/>
      <c r="T4376" s="4"/>
      <c r="U4376" s="4"/>
      <c r="V4376" s="4"/>
      <c r="W4376" s="4"/>
      <c r="X4376" s="4"/>
    </row>
    <row r="4377" spans="1:24" ht="14.25" customHeight="1">
      <c r="A4377" s="4"/>
      <c r="B4377" s="125">
        <v>46185</v>
      </c>
      <c r="C4377" s="126" t="s">
        <v>2056</v>
      </c>
      <c r="D4377" s="15" t="s">
        <v>2057</v>
      </c>
      <c r="E4377" s="10" t="str">
        <f>TRIM(VLOOKUP(D4377,TB!$B$9:$C$1500,2,FALSE))</f>
        <v>Capsicum/Paprika</v>
      </c>
      <c r="F4377" s="142" t="s">
        <v>2265</v>
      </c>
      <c r="G4377" s="130">
        <v>0.7</v>
      </c>
      <c r="H4377" s="10">
        <f>120000*0.7</f>
        <v>84000</v>
      </c>
      <c r="I4377" s="10"/>
      <c r="J4377" s="79" t="e">
        <f t="shared" si="290"/>
        <v>#VALUE!</v>
      </c>
      <c r="K4377" s="106">
        <f t="shared" si="291"/>
        <v>120000.00000000001</v>
      </c>
      <c r="L4377" s="141" t="s">
        <v>2266</v>
      </c>
      <c r="M4377" s="132"/>
      <c r="N4377" s="133"/>
      <c r="O4377" s="4"/>
      <c r="P4377" s="4"/>
      <c r="Q4377" s="4"/>
      <c r="R4377" s="4"/>
      <c r="S4377" s="4"/>
      <c r="T4377" s="4"/>
      <c r="U4377" s="4"/>
      <c r="V4377" s="4"/>
      <c r="W4377" s="4"/>
      <c r="X4377" s="4"/>
    </row>
    <row r="4378" spans="1:24" ht="14.25" customHeight="1">
      <c r="A4378" s="4"/>
      <c r="B4378" s="125">
        <v>46185</v>
      </c>
      <c r="C4378" s="126" t="s">
        <v>2056</v>
      </c>
      <c r="D4378" s="15" t="s">
        <v>2113</v>
      </c>
      <c r="E4378" s="10" t="str">
        <f>TRIM(VLOOKUP(D4378,TB!$B$9:$C$1500,2,FALSE))</f>
        <v>Grape Fruit/BUAH ANGGUR</v>
      </c>
      <c r="F4378" s="142" t="s">
        <v>2241</v>
      </c>
      <c r="G4378" s="130">
        <v>0.25</v>
      </c>
      <c r="H4378" s="10">
        <f>90000*0.25</f>
        <v>22500</v>
      </c>
      <c r="I4378" s="10"/>
      <c r="J4378" s="79" t="e">
        <f t="shared" si="290"/>
        <v>#VALUE!</v>
      </c>
      <c r="K4378" s="106">
        <f t="shared" si="291"/>
        <v>90000</v>
      </c>
      <c r="L4378" s="141"/>
      <c r="M4378" s="132"/>
      <c r="N4378" s="133"/>
      <c r="O4378" s="4"/>
      <c r="P4378" s="4"/>
      <c r="Q4378" s="4"/>
      <c r="R4378" s="4"/>
      <c r="S4378" s="4"/>
      <c r="T4378" s="4"/>
      <c r="U4378" s="4"/>
      <c r="V4378" s="4"/>
      <c r="W4378" s="4"/>
      <c r="X4378" s="4"/>
    </row>
    <row r="4379" spans="1:24" ht="14.25" customHeight="1">
      <c r="A4379" s="4"/>
      <c r="B4379" s="125">
        <v>46185</v>
      </c>
      <c r="C4379" s="126" t="s">
        <v>2056</v>
      </c>
      <c r="D4379" s="15" t="s">
        <v>2110</v>
      </c>
      <c r="E4379" s="10" t="str">
        <f>TRIM(VLOOKUP(D4379,TB!$B$9:$C$1500,2,FALSE))</f>
        <v>Watermelon/SEMANGKA</v>
      </c>
      <c r="F4379" s="142" t="s">
        <v>2267</v>
      </c>
      <c r="G4379" s="130">
        <v>5.0999999999999996</v>
      </c>
      <c r="H4379" s="10">
        <f>14000*5.1</f>
        <v>71400</v>
      </c>
      <c r="I4379" s="10"/>
      <c r="J4379" s="79" t="e">
        <f t="shared" si="290"/>
        <v>#VALUE!</v>
      </c>
      <c r="K4379" s="106">
        <f t="shared" si="291"/>
        <v>14000.000000000002</v>
      </c>
      <c r="L4379" s="141"/>
      <c r="M4379" s="132"/>
      <c r="N4379" s="133"/>
      <c r="O4379" s="4"/>
      <c r="P4379" s="4"/>
      <c r="Q4379" s="4"/>
      <c r="R4379" s="4"/>
      <c r="S4379" s="4"/>
      <c r="T4379" s="4"/>
      <c r="U4379" s="4"/>
      <c r="V4379" s="4"/>
      <c r="W4379" s="4"/>
      <c r="X4379" s="4"/>
    </row>
    <row r="4380" spans="1:24" ht="14.25" customHeight="1">
      <c r="A4380" s="4"/>
      <c r="B4380" s="125">
        <v>46185</v>
      </c>
      <c r="C4380" s="126" t="s">
        <v>2056</v>
      </c>
      <c r="D4380" s="15" t="s">
        <v>617</v>
      </c>
      <c r="E4380" s="10" t="str">
        <f>TRIM(VLOOKUP(D4380,TB!$B$9:$C$1500,2,FALSE))</f>
        <v>Cleaning Supplies &amp; Expenses</v>
      </c>
      <c r="F4380" s="142" t="s">
        <v>2268</v>
      </c>
      <c r="G4380" s="130">
        <v>1</v>
      </c>
      <c r="H4380" s="10">
        <v>95000</v>
      </c>
      <c r="I4380" s="10"/>
      <c r="J4380" s="79" t="e">
        <f t="shared" si="290"/>
        <v>#VALUE!</v>
      </c>
      <c r="K4380" s="106"/>
      <c r="L4380" s="141"/>
      <c r="M4380" s="132"/>
      <c r="N4380" s="133"/>
      <c r="O4380" s="4"/>
      <c r="P4380" s="4"/>
      <c r="Q4380" s="4"/>
      <c r="R4380" s="4"/>
      <c r="S4380" s="4"/>
      <c r="T4380" s="4"/>
      <c r="U4380" s="4"/>
      <c r="V4380" s="4"/>
      <c r="W4380" s="4"/>
      <c r="X4380" s="4"/>
    </row>
    <row r="4381" spans="1:24" ht="14.25" customHeight="1">
      <c r="A4381" s="4"/>
      <c r="B4381" s="125">
        <v>46185</v>
      </c>
      <c r="C4381" s="126" t="s">
        <v>2056</v>
      </c>
      <c r="D4381" s="15" t="s">
        <v>1890</v>
      </c>
      <c r="E4381" s="10" t="str">
        <f>TRIM(VLOOKUP(D4381,TB!$B$9:$C$1500,2,FALSE))</f>
        <v>Avocado</v>
      </c>
      <c r="F4381" s="142" t="s">
        <v>2269</v>
      </c>
      <c r="G4381" s="130">
        <v>1.2</v>
      </c>
      <c r="H4381" s="10">
        <f>40000*1.2</f>
        <v>48000</v>
      </c>
      <c r="I4381" s="10"/>
      <c r="J4381" s="79" t="e">
        <f t="shared" si="290"/>
        <v>#VALUE!</v>
      </c>
      <c r="K4381" s="106">
        <f>H4381/G4381</f>
        <v>40000</v>
      </c>
      <c r="L4381" s="141"/>
      <c r="M4381" s="132"/>
      <c r="N4381" s="133"/>
      <c r="O4381" s="4"/>
      <c r="P4381" s="4"/>
      <c r="Q4381" s="4"/>
      <c r="R4381" s="4"/>
      <c r="S4381" s="4"/>
      <c r="T4381" s="4"/>
      <c r="U4381" s="4"/>
      <c r="V4381" s="4"/>
      <c r="W4381" s="4"/>
      <c r="X4381" s="4"/>
    </row>
    <row r="4382" spans="1:24" ht="14.25" customHeight="1">
      <c r="A4382" s="4"/>
      <c r="B4382" s="125">
        <v>46185</v>
      </c>
      <c r="C4382" s="126" t="s">
        <v>2056</v>
      </c>
      <c r="D4382" s="15" t="s">
        <v>285</v>
      </c>
      <c r="E4382" s="10" t="str">
        <f>TRIM(VLOOKUP(D4382,TB!$B$9:$C$1500,2,FALSE))</f>
        <v>Misc Cash Purchase</v>
      </c>
      <c r="F4382" s="142" t="s">
        <v>2270</v>
      </c>
      <c r="G4382" s="130"/>
      <c r="H4382" s="10"/>
      <c r="I4382" s="10">
        <v>622400</v>
      </c>
      <c r="J4382" s="79" t="e">
        <f t="shared" si="290"/>
        <v>#VALUE!</v>
      </c>
      <c r="K4382" s="106"/>
      <c r="L4382" s="141"/>
      <c r="M4382" s="132"/>
      <c r="N4382" s="133"/>
      <c r="O4382" s="4"/>
      <c r="P4382" s="4"/>
      <c r="Q4382" s="4"/>
      <c r="R4382" s="4"/>
      <c r="S4382" s="4"/>
      <c r="T4382" s="4"/>
      <c r="U4382" s="4"/>
      <c r="V4382" s="4"/>
      <c r="W4382" s="4"/>
      <c r="X4382" s="4"/>
    </row>
    <row r="4383" spans="1:24" ht="14.25" customHeight="1">
      <c r="A4383" s="4"/>
      <c r="B4383" s="125"/>
      <c r="C4383" s="126"/>
      <c r="D4383" s="68"/>
      <c r="E4383" s="10" t="e">
        <f>TRIM(VLOOKUP(D4383,TB!$B$9:$C$1500,2,FALSE))</f>
        <v>#N/A</v>
      </c>
      <c r="F4383" s="142"/>
      <c r="G4383" s="130"/>
      <c r="H4383" s="10"/>
      <c r="I4383" s="10"/>
      <c r="J4383" s="79" t="e">
        <f t="shared" si="290"/>
        <v>#VALUE!</v>
      </c>
      <c r="K4383" s="106"/>
      <c r="L4383" s="141"/>
      <c r="M4383" s="132"/>
      <c r="N4383" s="133"/>
      <c r="O4383" s="4"/>
      <c r="P4383" s="4"/>
      <c r="Q4383" s="4"/>
      <c r="R4383" s="4"/>
      <c r="S4383" s="4"/>
      <c r="T4383" s="4"/>
      <c r="U4383" s="4"/>
      <c r="V4383" s="4"/>
      <c r="W4383" s="4"/>
      <c r="X4383" s="4"/>
    </row>
    <row r="4384" spans="1:24" ht="14.25" customHeight="1">
      <c r="A4384" s="4"/>
      <c r="B4384" s="125">
        <v>46186</v>
      </c>
      <c r="C4384" s="126" t="s">
        <v>2056</v>
      </c>
      <c r="D4384" s="15" t="s">
        <v>2138</v>
      </c>
      <c r="E4384" s="10" t="str">
        <f>TRIM(VLOOKUP(D4384,TB!$B$9:$C$1500,2,FALSE))</f>
        <v>Baby Carrot/Wortel</v>
      </c>
      <c r="F4384" s="142" t="s">
        <v>2271</v>
      </c>
      <c r="G4384" s="168">
        <v>0.25</v>
      </c>
      <c r="H4384" s="10">
        <f>35000*0.25</f>
        <v>8750</v>
      </c>
      <c r="I4384" s="10"/>
      <c r="J4384" s="79" t="e">
        <f t="shared" si="290"/>
        <v>#VALUE!</v>
      </c>
      <c r="K4384" s="106">
        <f t="shared" ref="K4384:K4401" si="292">H4384/G4384</f>
        <v>35000</v>
      </c>
      <c r="L4384" s="141"/>
      <c r="M4384" s="132"/>
      <c r="N4384" s="133"/>
      <c r="O4384" s="4"/>
      <c r="P4384" s="4"/>
      <c r="Q4384" s="4"/>
      <c r="R4384" s="4"/>
      <c r="S4384" s="4"/>
      <c r="T4384" s="4"/>
      <c r="U4384" s="4"/>
      <c r="V4384" s="4"/>
      <c r="W4384" s="4"/>
      <c r="X4384" s="4"/>
    </row>
    <row r="4385" spans="1:24" ht="14.25" customHeight="1">
      <c r="A4385" s="4"/>
      <c r="B4385" s="125">
        <v>46186</v>
      </c>
      <c r="C4385" s="126" t="s">
        <v>2056</v>
      </c>
      <c r="D4385" s="15" t="s">
        <v>2076</v>
      </c>
      <c r="E4385" s="10" t="str">
        <f>TRIM(VLOOKUP(D4385,TB!$B$9:$C$1500,2,FALSE))</f>
        <v>Buncis</v>
      </c>
      <c r="F4385" s="142" t="s">
        <v>2272</v>
      </c>
      <c r="G4385" s="168">
        <v>0.5</v>
      </c>
      <c r="H4385" s="10">
        <f>25000*0.5</f>
        <v>12500</v>
      </c>
      <c r="I4385" s="10"/>
      <c r="J4385" s="79" t="e">
        <f t="shared" si="290"/>
        <v>#VALUE!</v>
      </c>
      <c r="K4385" s="106">
        <f t="shared" si="292"/>
        <v>25000</v>
      </c>
      <c r="L4385" s="141"/>
      <c r="M4385" s="132"/>
      <c r="N4385" s="133"/>
      <c r="O4385" s="4"/>
      <c r="P4385" s="4"/>
      <c r="Q4385" s="4"/>
      <c r="R4385" s="4"/>
      <c r="S4385" s="4"/>
      <c r="T4385" s="4"/>
      <c r="U4385" s="4"/>
      <c r="V4385" s="4"/>
      <c r="W4385" s="4"/>
      <c r="X4385" s="4"/>
    </row>
    <row r="4386" spans="1:24" ht="14.25" customHeight="1">
      <c r="A4386" s="4"/>
      <c r="B4386" s="125">
        <v>46186</v>
      </c>
      <c r="C4386" s="126" t="s">
        <v>2056</v>
      </c>
      <c r="D4386" s="15" t="s">
        <v>2083</v>
      </c>
      <c r="E4386" s="10" t="str">
        <f>TRIM(VLOOKUP(D4386,TB!$B$9:$C$1500,2,FALSE))</f>
        <v>Baby Buncis</v>
      </c>
      <c r="F4386" s="142" t="s">
        <v>2273</v>
      </c>
      <c r="G4386" s="168">
        <v>0.25</v>
      </c>
      <c r="H4386" s="10">
        <f>70000*0.25</f>
        <v>17500</v>
      </c>
      <c r="I4386" s="10"/>
      <c r="J4386" s="79" t="e">
        <f t="shared" si="290"/>
        <v>#VALUE!</v>
      </c>
      <c r="K4386" s="106">
        <f t="shared" si="292"/>
        <v>70000</v>
      </c>
      <c r="L4386" s="141"/>
      <c r="M4386" s="132"/>
      <c r="N4386" s="133"/>
      <c r="O4386" s="4"/>
      <c r="P4386" s="4"/>
      <c r="Q4386" s="4"/>
      <c r="R4386" s="4"/>
      <c r="S4386" s="4"/>
      <c r="T4386" s="4"/>
      <c r="U4386" s="4"/>
      <c r="V4386" s="4"/>
      <c r="W4386" s="4"/>
      <c r="X4386" s="4"/>
    </row>
    <row r="4387" spans="1:24" ht="14.25" customHeight="1">
      <c r="A4387" s="4"/>
      <c r="B4387" s="125">
        <v>46186</v>
      </c>
      <c r="C4387" s="126" t="s">
        <v>2056</v>
      </c>
      <c r="D4387" s="15" t="s">
        <v>2087</v>
      </c>
      <c r="E4387" s="10" t="str">
        <f>TRIM(VLOOKUP(D4387,TB!$B$9:$C$1500,2,FALSE))</f>
        <v>Mushroom Shimeji / Bunapi</v>
      </c>
      <c r="F4387" s="142" t="s">
        <v>2274</v>
      </c>
      <c r="G4387" s="130">
        <v>2</v>
      </c>
      <c r="H4387" s="10">
        <f>17000*2</f>
        <v>34000</v>
      </c>
      <c r="I4387" s="10"/>
      <c r="J4387" s="79" t="e">
        <f t="shared" si="290"/>
        <v>#VALUE!</v>
      </c>
      <c r="K4387" s="106">
        <f t="shared" si="292"/>
        <v>17000</v>
      </c>
      <c r="L4387" s="141"/>
      <c r="M4387" s="132"/>
      <c r="N4387" s="133"/>
      <c r="O4387" s="4"/>
      <c r="P4387" s="4"/>
      <c r="Q4387" s="4"/>
      <c r="R4387" s="4"/>
      <c r="S4387" s="4"/>
      <c r="T4387" s="4"/>
      <c r="U4387" s="4"/>
      <c r="V4387" s="4"/>
      <c r="W4387" s="4"/>
      <c r="X4387" s="4"/>
    </row>
    <row r="4388" spans="1:24" ht="14.25" customHeight="1">
      <c r="A4388" s="4"/>
      <c r="B4388" s="125">
        <v>46186</v>
      </c>
      <c r="C4388" s="126" t="s">
        <v>2056</v>
      </c>
      <c r="D4388" s="15" t="s">
        <v>2275</v>
      </c>
      <c r="E4388" s="10" t="str">
        <f>TRIM(VLOOKUP(D4388,TB!$B$9:$C$1500,2,FALSE))</f>
        <v>Kol Ungu</v>
      </c>
      <c r="F4388" s="142" t="s">
        <v>2276</v>
      </c>
      <c r="G4388" s="168">
        <v>0.6</v>
      </c>
      <c r="H4388" s="10">
        <f>35000*0.6</f>
        <v>21000</v>
      </c>
      <c r="I4388" s="10"/>
      <c r="J4388" s="79" t="e">
        <f t="shared" si="290"/>
        <v>#VALUE!</v>
      </c>
      <c r="K4388" s="106">
        <f t="shared" si="292"/>
        <v>35000</v>
      </c>
      <c r="L4388" s="141"/>
      <c r="M4388" s="132"/>
      <c r="N4388" s="133"/>
      <c r="O4388" s="4"/>
      <c r="P4388" s="4"/>
      <c r="Q4388" s="4"/>
      <c r="R4388" s="4"/>
      <c r="S4388" s="4"/>
      <c r="T4388" s="4"/>
      <c r="U4388" s="4"/>
      <c r="V4388" s="4"/>
      <c r="W4388" s="4"/>
      <c r="X4388" s="4"/>
    </row>
    <row r="4389" spans="1:24" ht="14.25" customHeight="1">
      <c r="A4389" s="4"/>
      <c r="B4389" s="125">
        <v>46186</v>
      </c>
      <c r="C4389" s="126" t="s">
        <v>2056</v>
      </c>
      <c r="D4389" s="15" t="s">
        <v>2030</v>
      </c>
      <c r="E4389" s="10" t="str">
        <f>TRIM(VLOOKUP(D4389,TB!$B$9:$C$1500,2,FALSE))</f>
        <v>Hot Chilli / Lombok Kecil</v>
      </c>
      <c r="F4389" s="142" t="s">
        <v>2277</v>
      </c>
      <c r="G4389" s="168">
        <v>0.25</v>
      </c>
      <c r="H4389" s="10">
        <f>75000*0.25</f>
        <v>18750</v>
      </c>
      <c r="I4389" s="10"/>
      <c r="J4389" s="79" t="e">
        <f t="shared" si="290"/>
        <v>#VALUE!</v>
      </c>
      <c r="K4389" s="106">
        <f t="shared" si="292"/>
        <v>75000</v>
      </c>
      <c r="L4389" s="141"/>
      <c r="M4389" s="132"/>
      <c r="N4389" s="133"/>
      <c r="O4389" s="4"/>
      <c r="P4389" s="4"/>
      <c r="Q4389" s="4"/>
      <c r="R4389" s="4"/>
      <c r="S4389" s="4"/>
      <c r="T4389" s="4"/>
      <c r="U4389" s="4"/>
      <c r="V4389" s="4"/>
      <c r="W4389" s="4"/>
      <c r="X4389" s="4"/>
    </row>
    <row r="4390" spans="1:24" ht="14.25" customHeight="1">
      <c r="A4390" s="4"/>
      <c r="B4390" s="125">
        <v>46186</v>
      </c>
      <c r="C4390" s="126" t="s">
        <v>2056</v>
      </c>
      <c r="D4390" s="15" t="s">
        <v>1765</v>
      </c>
      <c r="E4390" s="10" t="str">
        <f>TRIM(VLOOKUP(D4390,TB!$B$9:$C$1500,2,FALSE))</f>
        <v>Great Chilli / Lombok Besar</v>
      </c>
      <c r="F4390" s="142" t="s">
        <v>2071</v>
      </c>
      <c r="G4390" s="168">
        <v>0.25</v>
      </c>
      <c r="H4390" s="10">
        <f>50000*0.25</f>
        <v>12500</v>
      </c>
      <c r="I4390" s="10"/>
      <c r="J4390" s="79" t="e">
        <f t="shared" si="290"/>
        <v>#VALUE!</v>
      </c>
      <c r="K4390" s="106">
        <f t="shared" si="292"/>
        <v>50000</v>
      </c>
      <c r="L4390" s="141"/>
      <c r="M4390" s="132"/>
      <c r="N4390" s="133"/>
      <c r="O4390" s="4"/>
      <c r="P4390" s="4"/>
      <c r="Q4390" s="4"/>
      <c r="R4390" s="4"/>
      <c r="S4390" s="4"/>
      <c r="T4390" s="4"/>
      <c r="U4390" s="4"/>
      <c r="V4390" s="4"/>
      <c r="W4390" s="4"/>
      <c r="X4390" s="4"/>
    </row>
    <row r="4391" spans="1:24" ht="14.25" customHeight="1">
      <c r="A4391" s="4"/>
      <c r="B4391" s="125">
        <v>46186</v>
      </c>
      <c r="C4391" s="126" t="s">
        <v>2056</v>
      </c>
      <c r="D4391" s="15" t="s">
        <v>2278</v>
      </c>
      <c r="E4391" s="10" t="str">
        <f>TRIM(VLOOKUP(D4391,TB!$B$9:$C$1500,2,FALSE))</f>
        <v>Cabe Hijau/Cabe Keriting</v>
      </c>
      <c r="F4391" s="142" t="s">
        <v>2279</v>
      </c>
      <c r="G4391" s="168">
        <v>0.25</v>
      </c>
      <c r="H4391" s="10">
        <f>65000*0.25</f>
        <v>16250</v>
      </c>
      <c r="I4391" s="10"/>
      <c r="J4391" s="79" t="e">
        <f t="shared" si="290"/>
        <v>#VALUE!</v>
      </c>
      <c r="K4391" s="106">
        <f t="shared" si="292"/>
        <v>65000</v>
      </c>
      <c r="L4391" s="141"/>
      <c r="M4391" s="132"/>
      <c r="N4391" s="133"/>
      <c r="O4391" s="4"/>
      <c r="P4391" s="4"/>
      <c r="Q4391" s="4"/>
      <c r="R4391" s="4"/>
      <c r="S4391" s="4"/>
      <c r="T4391" s="4"/>
      <c r="U4391" s="4"/>
      <c r="V4391" s="4"/>
      <c r="W4391" s="4"/>
      <c r="X4391" s="4"/>
    </row>
    <row r="4392" spans="1:24" ht="14.25" customHeight="1">
      <c r="A4392" s="4"/>
      <c r="B4392" s="125">
        <v>46186</v>
      </c>
      <c r="C4392" s="126" t="s">
        <v>2056</v>
      </c>
      <c r="D4392" s="15" t="s">
        <v>1807</v>
      </c>
      <c r="E4392" s="10" t="str">
        <f>TRIM(VLOOKUP(D4392,TB!$B$9:$C$1500,2,FALSE))</f>
        <v>Shallot/Bawang Merah</v>
      </c>
      <c r="F4392" s="142" t="s">
        <v>2280</v>
      </c>
      <c r="G4392" s="168">
        <v>0.25</v>
      </c>
      <c r="H4392" s="10">
        <f>52000*0.25</f>
        <v>13000</v>
      </c>
      <c r="I4392" s="10"/>
      <c r="J4392" s="79" t="e">
        <f t="shared" si="290"/>
        <v>#VALUE!</v>
      </c>
      <c r="K4392" s="106">
        <f t="shared" si="292"/>
        <v>52000</v>
      </c>
      <c r="L4392" s="141"/>
      <c r="M4392" s="132"/>
      <c r="N4392" s="133"/>
      <c r="O4392" s="4"/>
      <c r="P4392" s="4"/>
      <c r="Q4392" s="4"/>
      <c r="R4392" s="4"/>
      <c r="S4392" s="4"/>
      <c r="T4392" s="4"/>
      <c r="U4392" s="4"/>
      <c r="V4392" s="4"/>
      <c r="W4392" s="4"/>
      <c r="X4392" s="4"/>
    </row>
    <row r="4393" spans="1:24" ht="14.25" customHeight="1">
      <c r="A4393" s="4"/>
      <c r="B4393" s="125">
        <v>46186</v>
      </c>
      <c r="C4393" s="126" t="s">
        <v>2056</v>
      </c>
      <c r="D4393" s="15" t="s">
        <v>1794</v>
      </c>
      <c r="E4393" s="10" t="str">
        <f>TRIM(VLOOKUP(D4393,TB!$B$9:$C$1500,2,FALSE))</f>
        <v>Garlic/Bawang Putih</v>
      </c>
      <c r="F4393" s="142" t="s">
        <v>2281</v>
      </c>
      <c r="G4393" s="168">
        <v>0.25</v>
      </c>
      <c r="H4393" s="10">
        <f>38000*0.25</f>
        <v>9500</v>
      </c>
      <c r="I4393" s="10"/>
      <c r="J4393" s="79" t="e">
        <f t="shared" si="290"/>
        <v>#VALUE!</v>
      </c>
      <c r="K4393" s="106">
        <f t="shared" si="292"/>
        <v>38000</v>
      </c>
      <c r="L4393" s="141"/>
      <c r="M4393" s="132"/>
      <c r="N4393" s="133"/>
      <c r="O4393" s="4"/>
      <c r="P4393" s="4"/>
      <c r="Q4393" s="4"/>
      <c r="R4393" s="4"/>
      <c r="S4393" s="4"/>
      <c r="T4393" s="4"/>
      <c r="U4393" s="4"/>
      <c r="V4393" s="4"/>
      <c r="W4393" s="4"/>
      <c r="X4393" s="4"/>
    </row>
    <row r="4394" spans="1:24" ht="14.25" customHeight="1">
      <c r="A4394" s="4"/>
      <c r="B4394" s="125">
        <v>46186</v>
      </c>
      <c r="C4394" s="126" t="s">
        <v>2056</v>
      </c>
      <c r="D4394" s="15" t="s">
        <v>1877</v>
      </c>
      <c r="E4394" s="10" t="str">
        <f>TRIM(VLOOKUP(D4394,TB!$B$9:$C$1500,2,FALSE))</f>
        <v>Pok Coy</v>
      </c>
      <c r="F4394" s="142" t="s">
        <v>2073</v>
      </c>
      <c r="G4394" s="168">
        <v>0.5</v>
      </c>
      <c r="H4394" s="10">
        <f>15000*0.5</f>
        <v>7500</v>
      </c>
      <c r="I4394" s="10"/>
      <c r="J4394" s="79" t="e">
        <f t="shared" si="290"/>
        <v>#VALUE!</v>
      </c>
      <c r="K4394" s="106">
        <f t="shared" si="292"/>
        <v>15000</v>
      </c>
      <c r="L4394" s="141"/>
      <c r="M4394" s="132"/>
      <c r="N4394" s="133"/>
      <c r="O4394" s="4"/>
      <c r="P4394" s="4"/>
      <c r="Q4394" s="4"/>
      <c r="R4394" s="4"/>
      <c r="S4394" s="4"/>
      <c r="T4394" s="4"/>
      <c r="U4394" s="4"/>
      <c r="V4394" s="4"/>
      <c r="W4394" s="4"/>
      <c r="X4394" s="4"/>
    </row>
    <row r="4395" spans="1:24" ht="14.25" customHeight="1">
      <c r="A4395" s="4"/>
      <c r="B4395" s="125">
        <v>46186</v>
      </c>
      <c r="C4395" s="126" t="s">
        <v>2056</v>
      </c>
      <c r="D4395" s="15" t="s">
        <v>1888</v>
      </c>
      <c r="E4395" s="10" t="str">
        <f>TRIM(VLOOKUP(D4395,TB!$B$9:$C$1500,2,FALSE))</f>
        <v>Romaine</v>
      </c>
      <c r="F4395" s="142" t="s">
        <v>2074</v>
      </c>
      <c r="G4395" s="130" t="s">
        <v>2282</v>
      </c>
      <c r="H4395" s="10">
        <f>80000*1.5</f>
        <v>120000</v>
      </c>
      <c r="I4395" s="10"/>
      <c r="J4395" s="79" t="e">
        <f t="shared" si="290"/>
        <v>#VALUE!</v>
      </c>
      <c r="K4395" s="106" t="e">
        <f t="shared" si="292"/>
        <v>#VALUE!</v>
      </c>
      <c r="L4395" s="141"/>
      <c r="M4395" s="132"/>
      <c r="N4395" s="133"/>
      <c r="O4395" s="4"/>
      <c r="P4395" s="4"/>
      <c r="Q4395" s="4"/>
      <c r="R4395" s="4"/>
      <c r="S4395" s="4"/>
      <c r="T4395" s="4"/>
      <c r="U4395" s="4"/>
      <c r="V4395" s="4"/>
      <c r="W4395" s="4"/>
      <c r="X4395" s="4"/>
    </row>
    <row r="4396" spans="1:24" ht="14.25" customHeight="1">
      <c r="A4396" s="4"/>
      <c r="B4396" s="125">
        <v>46186</v>
      </c>
      <c r="C4396" s="126" t="s">
        <v>2056</v>
      </c>
      <c r="D4396" s="15" t="s">
        <v>2100</v>
      </c>
      <c r="E4396" s="10" t="str">
        <f>TRIM(VLOOKUP(D4396,TB!$B$9:$C$1500,2,FALSE))</f>
        <v>Basil</v>
      </c>
      <c r="F4396" s="142" t="s">
        <v>2283</v>
      </c>
      <c r="G4396" s="168">
        <v>0.25</v>
      </c>
      <c r="H4396" s="10">
        <f>75000*0.25</f>
        <v>18750</v>
      </c>
      <c r="I4396" s="10"/>
      <c r="J4396" s="79" t="e">
        <f t="shared" si="290"/>
        <v>#VALUE!</v>
      </c>
      <c r="K4396" s="106">
        <f t="shared" si="292"/>
        <v>75000</v>
      </c>
      <c r="L4396" s="141"/>
      <c r="M4396" s="132"/>
      <c r="N4396" s="133"/>
      <c r="O4396" s="4"/>
      <c r="P4396" s="4"/>
      <c r="Q4396" s="4"/>
      <c r="R4396" s="4"/>
      <c r="S4396" s="4"/>
      <c r="T4396" s="4"/>
      <c r="U4396" s="4"/>
      <c r="V4396" s="4"/>
      <c r="W4396" s="4"/>
      <c r="X4396" s="4"/>
    </row>
    <row r="4397" spans="1:24" ht="14.25" customHeight="1">
      <c r="A4397" s="4"/>
      <c r="B4397" s="125">
        <v>46186</v>
      </c>
      <c r="C4397" s="126" t="s">
        <v>2056</v>
      </c>
      <c r="D4397" s="15" t="s">
        <v>2210</v>
      </c>
      <c r="E4397" s="10" t="str">
        <f>TRIM(VLOOKUP(D4397,TB!$B$9:$C$1500,2,FALSE))</f>
        <v>Rosemary</v>
      </c>
      <c r="F4397" s="142" t="s">
        <v>2284</v>
      </c>
      <c r="G4397" s="130">
        <v>0.2</v>
      </c>
      <c r="H4397" s="10">
        <f>130000*0.2</f>
        <v>26000</v>
      </c>
      <c r="I4397" s="10"/>
      <c r="J4397" s="79" t="e">
        <f t="shared" si="290"/>
        <v>#VALUE!</v>
      </c>
      <c r="K4397" s="106">
        <f t="shared" si="292"/>
        <v>130000</v>
      </c>
      <c r="L4397" s="141"/>
      <c r="M4397" s="132"/>
      <c r="N4397" s="133"/>
      <c r="O4397" s="4"/>
      <c r="P4397" s="4"/>
      <c r="Q4397" s="4"/>
      <c r="R4397" s="4"/>
      <c r="S4397" s="4"/>
      <c r="T4397" s="4"/>
      <c r="U4397" s="4"/>
      <c r="V4397" s="4"/>
      <c r="W4397" s="4"/>
      <c r="X4397" s="4"/>
    </row>
    <row r="4398" spans="1:24" ht="14.25" customHeight="1">
      <c r="A4398" s="4"/>
      <c r="B4398" s="125">
        <v>46186</v>
      </c>
      <c r="C4398" s="126" t="s">
        <v>2056</v>
      </c>
      <c r="D4398" s="15" t="s">
        <v>2057</v>
      </c>
      <c r="E4398" s="10" t="str">
        <f>TRIM(VLOOKUP(D4398,TB!$B$9:$C$1500,2,FALSE))</f>
        <v>Capsicum/Paprika</v>
      </c>
      <c r="F4398" s="142" t="s">
        <v>2058</v>
      </c>
      <c r="G4398" s="130">
        <v>0.6</v>
      </c>
      <c r="H4398" s="10">
        <f>120000*0.6</f>
        <v>72000</v>
      </c>
      <c r="I4398" s="10"/>
      <c r="J4398" s="79" t="e">
        <f t="shared" si="290"/>
        <v>#VALUE!</v>
      </c>
      <c r="K4398" s="106">
        <f t="shared" si="292"/>
        <v>120000</v>
      </c>
      <c r="L4398" s="141"/>
      <c r="M4398" s="132"/>
      <c r="N4398" s="133"/>
      <c r="O4398" s="4"/>
      <c r="P4398" s="4"/>
      <c r="Q4398" s="4"/>
      <c r="R4398" s="4"/>
      <c r="S4398" s="4"/>
      <c r="T4398" s="4"/>
      <c r="U4398" s="4"/>
      <c r="V4398" s="4"/>
      <c r="W4398" s="4"/>
      <c r="X4398" s="4"/>
    </row>
    <row r="4399" spans="1:24" ht="14.25" customHeight="1">
      <c r="A4399" s="4"/>
      <c r="B4399" s="125">
        <v>46186</v>
      </c>
      <c r="C4399" s="126" t="s">
        <v>2056</v>
      </c>
      <c r="D4399" s="15" t="s">
        <v>2057</v>
      </c>
      <c r="E4399" s="10" t="str">
        <f>TRIM(VLOOKUP(D4399,TB!$B$9:$C$1500,2,FALSE))</f>
        <v>Capsicum/Paprika</v>
      </c>
      <c r="F4399" s="142" t="s">
        <v>2059</v>
      </c>
      <c r="G4399" s="130">
        <v>0.6</v>
      </c>
      <c r="H4399" s="10">
        <f>130000*0.6</f>
        <v>78000</v>
      </c>
      <c r="I4399" s="10"/>
      <c r="J4399" s="79" t="e">
        <f t="shared" si="290"/>
        <v>#VALUE!</v>
      </c>
      <c r="K4399" s="106">
        <f t="shared" si="292"/>
        <v>130000</v>
      </c>
      <c r="L4399" s="141"/>
      <c r="M4399" s="132"/>
      <c r="N4399" s="133"/>
      <c r="O4399" s="4"/>
      <c r="P4399" s="4"/>
      <c r="Q4399" s="4"/>
      <c r="R4399" s="4"/>
      <c r="S4399" s="4"/>
      <c r="T4399" s="4"/>
      <c r="U4399" s="4"/>
      <c r="V4399" s="4"/>
      <c r="W4399" s="4"/>
      <c r="X4399" s="4"/>
    </row>
    <row r="4400" spans="1:24" ht="14.25" customHeight="1">
      <c r="A4400" s="4"/>
      <c r="B4400" s="125">
        <v>46186</v>
      </c>
      <c r="C4400" s="126" t="s">
        <v>2056</v>
      </c>
      <c r="D4400" s="15" t="s">
        <v>2057</v>
      </c>
      <c r="E4400" s="10" t="str">
        <f>TRIM(VLOOKUP(D4400,TB!$B$9:$C$1500,2,FALSE))</f>
        <v>Capsicum/Paprika</v>
      </c>
      <c r="F4400" s="142" t="s">
        <v>2060</v>
      </c>
      <c r="G4400" s="130">
        <v>0.4</v>
      </c>
      <c r="H4400" s="10">
        <f>90000*0.4</f>
        <v>36000</v>
      </c>
      <c r="I4400" s="10"/>
      <c r="J4400" s="79" t="e">
        <f t="shared" si="290"/>
        <v>#VALUE!</v>
      </c>
      <c r="K4400" s="106">
        <f t="shared" si="292"/>
        <v>90000</v>
      </c>
      <c r="L4400" s="141"/>
      <c r="M4400" s="132"/>
      <c r="N4400" s="133"/>
      <c r="O4400" s="4"/>
      <c r="P4400" s="4"/>
      <c r="Q4400" s="4"/>
      <c r="R4400" s="4"/>
      <c r="S4400" s="4"/>
      <c r="T4400" s="4"/>
      <c r="U4400" s="4"/>
      <c r="V4400" s="4"/>
      <c r="W4400" s="4"/>
      <c r="X4400" s="4"/>
    </row>
    <row r="4401" spans="1:24" ht="14.25" customHeight="1">
      <c r="A4401" s="4"/>
      <c r="B4401" s="125">
        <v>46186</v>
      </c>
      <c r="C4401" s="126" t="s">
        <v>2056</v>
      </c>
      <c r="D4401" s="15" t="s">
        <v>1928</v>
      </c>
      <c r="E4401" s="10" t="str">
        <f>TRIM(VLOOKUP(D4401,TB!$B$9:$C$1500,2,FALSE))</f>
        <v>Tomato 1 Kg</v>
      </c>
      <c r="F4401" s="142" t="s">
        <v>2072</v>
      </c>
      <c r="G4401" s="130">
        <v>1</v>
      </c>
      <c r="H4401" s="10">
        <v>20000</v>
      </c>
      <c r="I4401" s="10"/>
      <c r="J4401" s="79" t="e">
        <f t="shared" si="290"/>
        <v>#VALUE!</v>
      </c>
      <c r="K4401" s="106">
        <f t="shared" si="292"/>
        <v>20000</v>
      </c>
      <c r="L4401" s="141"/>
      <c r="M4401" s="132"/>
      <c r="N4401" s="133"/>
      <c r="O4401" s="4"/>
      <c r="P4401" s="4"/>
      <c r="Q4401" s="4"/>
      <c r="R4401" s="4"/>
      <c r="S4401" s="4"/>
      <c r="T4401" s="4"/>
      <c r="U4401" s="4"/>
      <c r="V4401" s="4"/>
      <c r="W4401" s="4"/>
      <c r="X4401" s="4"/>
    </row>
    <row r="4402" spans="1:24" ht="14.25" customHeight="1">
      <c r="A4402" s="4"/>
      <c r="B4402" s="125">
        <v>46186</v>
      </c>
      <c r="C4402" s="126" t="s">
        <v>2056</v>
      </c>
      <c r="D4402" s="15" t="s">
        <v>285</v>
      </c>
      <c r="E4402" s="10" t="str">
        <f>TRIM(VLOOKUP(D4402,TB!$B$9:$C$1500,2,FALSE))</f>
        <v>Misc Cash Purchase</v>
      </c>
      <c r="F4402" s="142" t="s">
        <v>2285</v>
      </c>
      <c r="G4402" s="130"/>
      <c r="H4402" s="10"/>
      <c r="I4402" s="10">
        <v>542000</v>
      </c>
      <c r="J4402" s="79" t="e">
        <f t="shared" si="290"/>
        <v>#VALUE!</v>
      </c>
      <c r="K4402" s="106"/>
      <c r="L4402" s="141"/>
      <c r="M4402" s="132"/>
      <c r="N4402" s="133"/>
      <c r="O4402" s="4"/>
      <c r="P4402" s="4"/>
      <c r="Q4402" s="4"/>
      <c r="R4402" s="4"/>
      <c r="S4402" s="4"/>
      <c r="T4402" s="4"/>
      <c r="U4402" s="4"/>
      <c r="V4402" s="4"/>
      <c r="W4402" s="4"/>
      <c r="X4402" s="4"/>
    </row>
    <row r="4403" spans="1:24" ht="14.25" customHeight="1">
      <c r="A4403" s="4"/>
      <c r="B4403" s="125"/>
      <c r="C4403" s="126"/>
      <c r="D4403" s="68"/>
      <c r="E4403" s="10" t="e">
        <f>TRIM(VLOOKUP(D4403,TB!$B$9:$C$1500,2,FALSE))</f>
        <v>#N/A</v>
      </c>
      <c r="F4403" s="142"/>
      <c r="G4403" s="130"/>
      <c r="H4403" s="10"/>
      <c r="I4403" s="10"/>
      <c r="J4403" s="79" t="e">
        <f t="shared" si="290"/>
        <v>#VALUE!</v>
      </c>
      <c r="K4403" s="106"/>
      <c r="L4403" s="141"/>
      <c r="M4403" s="132"/>
      <c r="N4403" s="133"/>
      <c r="O4403" s="4"/>
      <c r="P4403" s="4"/>
      <c r="Q4403" s="4"/>
      <c r="R4403" s="4"/>
      <c r="S4403" s="4"/>
      <c r="T4403" s="4"/>
      <c r="U4403" s="4"/>
      <c r="V4403" s="4"/>
      <c r="W4403" s="4"/>
      <c r="X4403" s="4"/>
    </row>
    <row r="4404" spans="1:24" ht="14.25" customHeight="1">
      <c r="A4404" s="4"/>
      <c r="B4404" s="125">
        <v>46186</v>
      </c>
      <c r="C4404" s="126" t="s">
        <v>2056</v>
      </c>
      <c r="D4404" s="15" t="s">
        <v>2108</v>
      </c>
      <c r="E4404" s="10" t="str">
        <f>TRIM(VLOOKUP(D4404,TB!$B$9:$C$1500,2,FALSE))</f>
        <v>Papaya Fruit</v>
      </c>
      <c r="F4404" s="142" t="s">
        <v>2286</v>
      </c>
      <c r="G4404" s="130">
        <v>1.9</v>
      </c>
      <c r="H4404" s="10">
        <f>14000*1.9</f>
        <v>26600</v>
      </c>
      <c r="I4404" s="10"/>
      <c r="J4404" s="79" t="e">
        <f t="shared" si="290"/>
        <v>#VALUE!</v>
      </c>
      <c r="K4404" s="106">
        <f t="shared" ref="K4404:K4406" si="293">H4404/G4404</f>
        <v>14000</v>
      </c>
      <c r="L4404" s="141"/>
      <c r="M4404" s="132"/>
      <c r="N4404" s="133"/>
      <c r="O4404" s="4"/>
      <c r="P4404" s="4"/>
      <c r="Q4404" s="4"/>
      <c r="R4404" s="4"/>
      <c r="S4404" s="4"/>
      <c r="T4404" s="4"/>
      <c r="U4404" s="4"/>
      <c r="V4404" s="4"/>
      <c r="W4404" s="4"/>
      <c r="X4404" s="4"/>
    </row>
    <row r="4405" spans="1:24" ht="14.25" customHeight="1">
      <c r="A4405" s="4"/>
      <c r="B4405" s="125">
        <v>46186</v>
      </c>
      <c r="C4405" s="126" t="s">
        <v>2056</v>
      </c>
      <c r="D4405" s="15" t="s">
        <v>2106</v>
      </c>
      <c r="E4405" s="10" t="str">
        <f>TRIM(VLOOKUP(D4405,TB!$B$9:$C$1500,2,FALSE))</f>
        <v>Dragon Fruit / Buah Naga</v>
      </c>
      <c r="F4405" s="142" t="s">
        <v>2287</v>
      </c>
      <c r="G4405" s="130">
        <v>0.6</v>
      </c>
      <c r="H4405" s="10">
        <f>26000*0.6</f>
        <v>15600</v>
      </c>
      <c r="I4405" s="10"/>
      <c r="J4405" s="79" t="e">
        <f t="shared" si="290"/>
        <v>#VALUE!</v>
      </c>
      <c r="K4405" s="106">
        <f t="shared" si="293"/>
        <v>26000</v>
      </c>
      <c r="L4405" s="141"/>
      <c r="M4405" s="132"/>
      <c r="N4405" s="133"/>
      <c r="O4405" s="4"/>
      <c r="P4405" s="4"/>
      <c r="Q4405" s="4"/>
      <c r="R4405" s="4"/>
      <c r="S4405" s="4"/>
      <c r="T4405" s="4"/>
      <c r="U4405" s="4"/>
      <c r="V4405" s="4"/>
      <c r="W4405" s="4"/>
      <c r="X4405" s="4"/>
    </row>
    <row r="4406" spans="1:24" ht="14.25" customHeight="1">
      <c r="A4406" s="4"/>
      <c r="B4406" s="125">
        <v>46186</v>
      </c>
      <c r="C4406" s="126" t="s">
        <v>2056</v>
      </c>
      <c r="D4406" s="15" t="s">
        <v>1155</v>
      </c>
      <c r="E4406" s="10" t="str">
        <f>TRIM(VLOOKUP(D4406,TB!$B$9:$C$1500,2,FALSE))</f>
        <v>Kitchen Supplies</v>
      </c>
      <c r="F4406" s="142" t="s">
        <v>2079</v>
      </c>
      <c r="G4406" s="130">
        <v>0.5</v>
      </c>
      <c r="H4406" s="10">
        <f>110000*0.5</f>
        <v>55000</v>
      </c>
      <c r="I4406" s="10"/>
      <c r="J4406" s="79" t="e">
        <f t="shared" si="290"/>
        <v>#VALUE!</v>
      </c>
      <c r="K4406" s="106">
        <f t="shared" si="293"/>
        <v>110000</v>
      </c>
      <c r="L4406" s="141"/>
      <c r="M4406" s="132"/>
      <c r="N4406" s="133"/>
      <c r="O4406" s="4"/>
      <c r="P4406" s="4"/>
      <c r="Q4406" s="4"/>
      <c r="R4406" s="4"/>
      <c r="S4406" s="4"/>
      <c r="T4406" s="4"/>
      <c r="U4406" s="4"/>
      <c r="V4406" s="4"/>
      <c r="W4406" s="4"/>
      <c r="X4406" s="4"/>
    </row>
    <row r="4407" spans="1:24" ht="14.25" customHeight="1">
      <c r="A4407" s="4"/>
      <c r="B4407" s="125">
        <v>46186</v>
      </c>
      <c r="C4407" s="126" t="s">
        <v>2056</v>
      </c>
      <c r="D4407" s="15" t="s">
        <v>285</v>
      </c>
      <c r="E4407" s="10" t="str">
        <f>TRIM(VLOOKUP(D4407,TB!$B$9:$C$1500,2,FALSE))</f>
        <v>Misc Cash Purchase</v>
      </c>
      <c r="F4407" s="142" t="s">
        <v>2288</v>
      </c>
      <c r="G4407" s="130"/>
      <c r="H4407" s="10"/>
      <c r="I4407" s="10">
        <v>97200</v>
      </c>
      <c r="J4407" s="79" t="e">
        <f t="shared" si="290"/>
        <v>#VALUE!</v>
      </c>
      <c r="K4407" s="106"/>
      <c r="L4407" s="141"/>
      <c r="M4407" s="132"/>
      <c r="N4407" s="133"/>
      <c r="O4407" s="4"/>
      <c r="P4407" s="4"/>
      <c r="Q4407" s="4"/>
      <c r="R4407" s="4"/>
      <c r="S4407" s="4"/>
      <c r="T4407" s="4"/>
      <c r="U4407" s="4"/>
      <c r="V4407" s="4"/>
      <c r="W4407" s="4"/>
      <c r="X4407" s="4"/>
    </row>
    <row r="4408" spans="1:24" ht="14.25" customHeight="1">
      <c r="A4408" s="4"/>
      <c r="B4408" s="125"/>
      <c r="C4408" s="126"/>
      <c r="D4408" s="68"/>
      <c r="E4408" s="10" t="e">
        <f>TRIM(VLOOKUP(D4408,TB!$B$9:$C$1500,2,FALSE))</f>
        <v>#N/A</v>
      </c>
      <c r="F4408" s="142"/>
      <c r="G4408" s="130"/>
      <c r="H4408" s="10"/>
      <c r="I4408" s="10"/>
      <c r="J4408" s="79" t="e">
        <f t="shared" si="290"/>
        <v>#VALUE!</v>
      </c>
      <c r="K4408" s="106"/>
      <c r="L4408" s="141"/>
      <c r="M4408" s="132"/>
      <c r="N4408" s="133"/>
      <c r="O4408" s="4"/>
      <c r="P4408" s="4"/>
      <c r="Q4408" s="4"/>
      <c r="R4408" s="4"/>
      <c r="S4408" s="4"/>
      <c r="T4408" s="4"/>
      <c r="U4408" s="4"/>
      <c r="V4408" s="4"/>
      <c r="W4408" s="4"/>
      <c r="X4408" s="4"/>
    </row>
    <row r="4409" spans="1:24" ht="14.25" customHeight="1">
      <c r="A4409" s="4"/>
      <c r="B4409" s="125">
        <v>46187</v>
      </c>
      <c r="C4409" s="126" t="s">
        <v>2056</v>
      </c>
      <c r="D4409" s="15" t="s">
        <v>2289</v>
      </c>
      <c r="E4409" s="10" t="str">
        <f>TRIM(VLOOKUP(D4409,TB!$B$9:$C$1500,2,FALSE))</f>
        <v>Demi Glass</v>
      </c>
      <c r="F4409" s="142" t="s">
        <v>2290</v>
      </c>
      <c r="G4409" s="130">
        <v>1</v>
      </c>
      <c r="H4409" s="10">
        <v>175000</v>
      </c>
      <c r="I4409" s="10"/>
      <c r="J4409" s="79" t="e">
        <f t="shared" si="290"/>
        <v>#VALUE!</v>
      </c>
      <c r="K4409" s="106">
        <f t="shared" ref="K4409:K4420" si="294">H4409/G4409</f>
        <v>175000</v>
      </c>
      <c r="L4409" s="141"/>
      <c r="M4409" s="132"/>
      <c r="N4409" s="133"/>
      <c r="O4409" s="4"/>
      <c r="P4409" s="4"/>
      <c r="Q4409" s="4"/>
      <c r="R4409" s="4"/>
      <c r="S4409" s="4"/>
      <c r="T4409" s="4"/>
      <c r="U4409" s="4"/>
      <c r="V4409" s="4"/>
      <c r="W4409" s="4"/>
      <c r="X4409" s="4"/>
    </row>
    <row r="4410" spans="1:24" ht="14.25" customHeight="1">
      <c r="A4410" s="4"/>
      <c r="B4410" s="125">
        <v>46187</v>
      </c>
      <c r="C4410" s="126" t="s">
        <v>2056</v>
      </c>
      <c r="D4410" s="15" t="s">
        <v>1155</v>
      </c>
      <c r="E4410" s="10" t="str">
        <f>TRIM(VLOOKUP(D4410,TB!$B$9:$C$1500,2,FALSE))</f>
        <v>Kitchen Supplies</v>
      </c>
      <c r="F4410" s="142" t="s">
        <v>2291</v>
      </c>
      <c r="G4410" s="130">
        <v>0.25</v>
      </c>
      <c r="H4410" s="10">
        <f>30000*0.25</f>
        <v>7500</v>
      </c>
      <c r="I4410" s="10"/>
      <c r="J4410" s="79" t="e">
        <f t="shared" si="290"/>
        <v>#VALUE!</v>
      </c>
      <c r="K4410" s="106">
        <f t="shared" si="294"/>
        <v>30000</v>
      </c>
      <c r="L4410" s="141"/>
      <c r="M4410" s="132"/>
      <c r="N4410" s="133"/>
      <c r="O4410" s="4"/>
      <c r="P4410" s="4"/>
      <c r="Q4410" s="4"/>
      <c r="R4410" s="4"/>
      <c r="S4410" s="4"/>
      <c r="T4410" s="4"/>
      <c r="U4410" s="4"/>
      <c r="V4410" s="4"/>
      <c r="W4410" s="4"/>
      <c r="X4410" s="4"/>
    </row>
    <row r="4411" spans="1:24" ht="14.25" customHeight="1">
      <c r="A4411" s="4"/>
      <c r="B4411" s="125">
        <v>46187</v>
      </c>
      <c r="C4411" s="126" t="s">
        <v>2056</v>
      </c>
      <c r="D4411" s="15" t="s">
        <v>2292</v>
      </c>
      <c r="E4411" s="10" t="str">
        <f>TRIM(VLOOKUP(D4411,TB!$B$9:$C$1500,2,FALSE))</f>
        <v>Tepung Maizena</v>
      </c>
      <c r="F4411" s="142" t="s">
        <v>2293</v>
      </c>
      <c r="G4411" s="130">
        <v>1</v>
      </c>
      <c r="H4411" s="10">
        <v>25000</v>
      </c>
      <c r="I4411" s="10"/>
      <c r="J4411" s="79" t="e">
        <f t="shared" si="290"/>
        <v>#VALUE!</v>
      </c>
      <c r="K4411" s="106">
        <f t="shared" si="294"/>
        <v>25000</v>
      </c>
      <c r="L4411" s="141"/>
      <c r="M4411" s="132"/>
      <c r="N4411" s="133"/>
      <c r="O4411" s="4"/>
      <c r="P4411" s="4"/>
      <c r="Q4411" s="4"/>
      <c r="R4411" s="4"/>
      <c r="S4411" s="4"/>
      <c r="T4411" s="4"/>
      <c r="U4411" s="4"/>
      <c r="V4411" s="4"/>
      <c r="W4411" s="4"/>
      <c r="X4411" s="4"/>
    </row>
    <row r="4412" spans="1:24" ht="14.25" customHeight="1">
      <c r="A4412" s="4"/>
      <c r="B4412" s="125">
        <v>46187</v>
      </c>
      <c r="C4412" s="126" t="s">
        <v>2056</v>
      </c>
      <c r="D4412" s="15" t="s">
        <v>2294</v>
      </c>
      <c r="E4412" s="10" t="str">
        <f>TRIM(VLOOKUP(D4412,TB!$B$9:$C$1500,2,FALSE))</f>
        <v>Bumbu Sate / Kacang</v>
      </c>
      <c r="F4412" s="142" t="s">
        <v>2295</v>
      </c>
      <c r="G4412" s="130">
        <v>4</v>
      </c>
      <c r="H4412" s="10">
        <f>22000*4</f>
        <v>88000</v>
      </c>
      <c r="I4412" s="10"/>
      <c r="J4412" s="79" t="e">
        <f t="shared" si="290"/>
        <v>#VALUE!</v>
      </c>
      <c r="K4412" s="106">
        <f t="shared" si="294"/>
        <v>22000</v>
      </c>
      <c r="L4412" s="141"/>
      <c r="M4412" s="132"/>
      <c r="N4412" s="133"/>
      <c r="O4412" s="4"/>
      <c r="P4412" s="4"/>
      <c r="Q4412" s="4"/>
      <c r="R4412" s="4"/>
      <c r="S4412" s="4"/>
      <c r="T4412" s="4"/>
      <c r="U4412" s="4"/>
      <c r="V4412" s="4"/>
      <c r="W4412" s="4"/>
      <c r="X4412" s="4"/>
    </row>
    <row r="4413" spans="1:24" ht="14.25" customHeight="1">
      <c r="A4413" s="4"/>
      <c r="B4413" s="125">
        <v>46187</v>
      </c>
      <c r="C4413" s="126" t="s">
        <v>2056</v>
      </c>
      <c r="D4413" s="15" t="s">
        <v>1155</v>
      </c>
      <c r="E4413" s="10" t="str">
        <f>TRIM(VLOOKUP(D4413,TB!$B$9:$C$1500,2,FALSE))</f>
        <v>Kitchen Supplies</v>
      </c>
      <c r="F4413" s="142" t="s">
        <v>2296</v>
      </c>
      <c r="G4413" s="130">
        <v>3</v>
      </c>
      <c r="H4413" s="10">
        <f>36000*3</f>
        <v>108000</v>
      </c>
      <c r="I4413" s="10"/>
      <c r="J4413" s="79" t="e">
        <f t="shared" si="290"/>
        <v>#VALUE!</v>
      </c>
      <c r="K4413" s="106">
        <f t="shared" si="294"/>
        <v>36000</v>
      </c>
      <c r="L4413" s="141"/>
      <c r="M4413" s="132"/>
      <c r="N4413" s="133"/>
      <c r="O4413" s="4"/>
      <c r="P4413" s="4"/>
      <c r="Q4413" s="4"/>
      <c r="R4413" s="4"/>
      <c r="S4413" s="4"/>
      <c r="T4413" s="4"/>
      <c r="U4413" s="4"/>
      <c r="V4413" s="4"/>
      <c r="W4413" s="4"/>
      <c r="X4413" s="4"/>
    </row>
    <row r="4414" spans="1:24" ht="14.25" customHeight="1">
      <c r="A4414" s="4"/>
      <c r="B4414" s="125">
        <v>46187</v>
      </c>
      <c r="C4414" s="126" t="s">
        <v>2056</v>
      </c>
      <c r="D4414" s="15" t="s">
        <v>1875</v>
      </c>
      <c r="E4414" s="10" t="str">
        <f>TRIM(VLOOKUP(D4414,TB!$B$9:$C$1500,2,FALSE))</f>
        <v>Onion/Bombay</v>
      </c>
      <c r="F4414" s="142" t="s">
        <v>2297</v>
      </c>
      <c r="G4414" s="130">
        <v>1</v>
      </c>
      <c r="H4414" s="10">
        <v>22000</v>
      </c>
      <c r="I4414" s="10"/>
      <c r="J4414" s="79" t="e">
        <f t="shared" si="290"/>
        <v>#VALUE!</v>
      </c>
      <c r="K4414" s="106">
        <f t="shared" si="294"/>
        <v>22000</v>
      </c>
      <c r="L4414" s="141"/>
      <c r="M4414" s="132"/>
      <c r="N4414" s="133"/>
      <c r="O4414" s="4"/>
      <c r="P4414" s="4"/>
      <c r="Q4414" s="4"/>
      <c r="R4414" s="4"/>
      <c r="S4414" s="4"/>
      <c r="T4414" s="4"/>
      <c r="U4414" s="4"/>
      <c r="V4414" s="4"/>
      <c r="W4414" s="4"/>
      <c r="X4414" s="4"/>
    </row>
    <row r="4415" spans="1:24" ht="14.25" customHeight="1">
      <c r="A4415" s="4"/>
      <c r="B4415" s="125">
        <v>46187</v>
      </c>
      <c r="C4415" s="126" t="s">
        <v>2056</v>
      </c>
      <c r="D4415" s="15" t="s">
        <v>1928</v>
      </c>
      <c r="E4415" s="10" t="str">
        <f>TRIM(VLOOKUP(D4415,TB!$B$9:$C$1500,2,FALSE))</f>
        <v>Tomato 1 Kg</v>
      </c>
      <c r="F4415" s="142" t="s">
        <v>2298</v>
      </c>
      <c r="G4415" s="130">
        <v>1</v>
      </c>
      <c r="H4415" s="10">
        <v>20000</v>
      </c>
      <c r="I4415" s="10"/>
      <c r="J4415" s="79" t="e">
        <f t="shared" si="290"/>
        <v>#VALUE!</v>
      </c>
      <c r="K4415" s="106">
        <f t="shared" si="294"/>
        <v>20000</v>
      </c>
      <c r="L4415" s="141"/>
      <c r="M4415" s="132"/>
      <c r="N4415" s="133"/>
      <c r="O4415" s="4"/>
      <c r="P4415" s="4"/>
      <c r="Q4415" s="4"/>
      <c r="R4415" s="4"/>
      <c r="S4415" s="4"/>
      <c r="T4415" s="4"/>
      <c r="U4415" s="4"/>
      <c r="V4415" s="4"/>
      <c r="W4415" s="4"/>
      <c r="X4415" s="4"/>
    </row>
    <row r="4416" spans="1:24" ht="14.25" customHeight="1">
      <c r="A4416" s="4"/>
      <c r="B4416" s="125">
        <v>46187</v>
      </c>
      <c r="C4416" s="126" t="s">
        <v>2056</v>
      </c>
      <c r="D4416" s="15" t="s">
        <v>2153</v>
      </c>
      <c r="E4416" s="10" t="str">
        <f>TRIM(VLOOKUP(D4416,TB!$B$9:$C$1500,2,FALSE))</f>
        <v>Lemon Fruit</v>
      </c>
      <c r="F4416" s="142" t="s">
        <v>2299</v>
      </c>
      <c r="G4416" s="130">
        <v>0.4</v>
      </c>
      <c r="H4416" s="10">
        <f>55000*0.4</f>
        <v>22000</v>
      </c>
      <c r="I4416" s="10"/>
      <c r="J4416" s="79" t="e">
        <f t="shared" si="290"/>
        <v>#VALUE!</v>
      </c>
      <c r="K4416" s="106">
        <f t="shared" si="294"/>
        <v>55000</v>
      </c>
      <c r="L4416" s="141"/>
      <c r="M4416" s="132"/>
      <c r="N4416" s="133"/>
      <c r="O4416" s="4"/>
      <c r="P4416" s="4"/>
      <c r="Q4416" s="4"/>
      <c r="R4416" s="4"/>
      <c r="S4416" s="4"/>
      <c r="T4416" s="4"/>
      <c r="U4416" s="4"/>
      <c r="V4416" s="4"/>
      <c r="W4416" s="4"/>
      <c r="X4416" s="4"/>
    </row>
    <row r="4417" spans="1:24" ht="14.25" customHeight="1">
      <c r="A4417" s="4"/>
      <c r="B4417" s="125">
        <v>46187</v>
      </c>
      <c r="C4417" s="126" t="s">
        <v>2056</v>
      </c>
      <c r="D4417" s="15" t="s">
        <v>1890</v>
      </c>
      <c r="E4417" s="10" t="str">
        <f>TRIM(VLOOKUP(D4417,TB!$B$9:$C$1500,2,FALSE))</f>
        <v>Avocado</v>
      </c>
      <c r="F4417" s="142" t="s">
        <v>2300</v>
      </c>
      <c r="G4417" s="130">
        <v>1</v>
      </c>
      <c r="H4417" s="10">
        <f>40000</f>
        <v>40000</v>
      </c>
      <c r="I4417" s="10"/>
      <c r="J4417" s="79" t="e">
        <f t="shared" si="290"/>
        <v>#VALUE!</v>
      </c>
      <c r="K4417" s="106">
        <f t="shared" si="294"/>
        <v>40000</v>
      </c>
      <c r="L4417" s="141"/>
      <c r="M4417" s="132"/>
      <c r="N4417" s="133"/>
      <c r="O4417" s="4"/>
      <c r="P4417" s="4"/>
      <c r="Q4417" s="4"/>
      <c r="R4417" s="4"/>
      <c r="S4417" s="4"/>
      <c r="T4417" s="4"/>
      <c r="U4417" s="4"/>
      <c r="V4417" s="4"/>
      <c r="W4417" s="4"/>
      <c r="X4417" s="4"/>
    </row>
    <row r="4418" spans="1:24" ht="14.25" customHeight="1">
      <c r="A4418" s="4"/>
      <c r="B4418" s="125">
        <v>46187</v>
      </c>
      <c r="C4418" s="126" t="s">
        <v>2056</v>
      </c>
      <c r="D4418" s="15" t="s">
        <v>2090</v>
      </c>
      <c r="E4418" s="10" t="str">
        <f>TRIM(VLOOKUP(D4418,TB!$B$9:$C$1500,2,FALSE))</f>
        <v>Japanese Cucumber/Timun</v>
      </c>
      <c r="F4418" s="142" t="s">
        <v>2301</v>
      </c>
      <c r="G4418" s="130">
        <v>0.8</v>
      </c>
      <c r="H4418" s="10">
        <f>14000*0.8</f>
        <v>11200</v>
      </c>
      <c r="I4418" s="10"/>
      <c r="J4418" s="79" t="e">
        <f t="shared" si="290"/>
        <v>#VALUE!</v>
      </c>
      <c r="K4418" s="106">
        <f t="shared" si="294"/>
        <v>14000</v>
      </c>
      <c r="L4418" s="196"/>
      <c r="M4418" s="196"/>
      <c r="N4418" s="133"/>
      <c r="O4418" s="4"/>
      <c r="P4418" s="4"/>
      <c r="Q4418" s="4"/>
      <c r="R4418" s="4"/>
      <c r="S4418" s="4"/>
      <c r="T4418" s="4"/>
      <c r="U4418" s="4"/>
      <c r="V4418" s="4"/>
      <c r="W4418" s="4"/>
      <c r="X4418" s="4"/>
    </row>
    <row r="4419" spans="1:24" ht="14.25" customHeight="1">
      <c r="A4419" s="4"/>
      <c r="B4419" s="125">
        <v>46187</v>
      </c>
      <c r="C4419" s="126" t="s">
        <v>2056</v>
      </c>
      <c r="D4419" s="15" t="s">
        <v>1877</v>
      </c>
      <c r="E4419" s="10" t="str">
        <f>TRIM(VLOOKUP(D4419,TB!$B$9:$C$1500,2,FALSE))</f>
        <v>Pok Coy</v>
      </c>
      <c r="F4419" s="142" t="s">
        <v>2073</v>
      </c>
      <c r="G4419" s="168">
        <v>1</v>
      </c>
      <c r="H4419" s="10">
        <v>15000</v>
      </c>
      <c r="I4419" s="10"/>
      <c r="J4419" s="79" t="e">
        <f t="shared" si="290"/>
        <v>#VALUE!</v>
      </c>
      <c r="K4419" s="106">
        <f t="shared" si="294"/>
        <v>15000</v>
      </c>
      <c r="L4419" s="141"/>
      <c r="M4419" s="132"/>
      <c r="N4419" s="133"/>
      <c r="O4419" s="4"/>
      <c r="P4419" s="4"/>
      <c r="Q4419" s="4"/>
      <c r="R4419" s="4"/>
      <c r="S4419" s="4"/>
      <c r="T4419" s="4"/>
      <c r="U4419" s="4"/>
      <c r="V4419" s="4"/>
      <c r="W4419" s="4"/>
      <c r="X4419" s="4"/>
    </row>
    <row r="4420" spans="1:24" ht="14.25" customHeight="1">
      <c r="A4420" s="4"/>
      <c r="B4420" s="125">
        <v>46187</v>
      </c>
      <c r="C4420" s="126" t="s">
        <v>2056</v>
      </c>
      <c r="D4420" s="15" t="s">
        <v>2033</v>
      </c>
      <c r="E4420" s="10" t="str">
        <f>TRIM(VLOOKUP(D4420,TB!$B$9:$C$1500,2,FALSE))</f>
        <v>Potato</v>
      </c>
      <c r="F4420" s="142" t="s">
        <v>2068</v>
      </c>
      <c r="G4420" s="130">
        <v>4.0999999999999996</v>
      </c>
      <c r="H4420" s="10">
        <f>19000*4.1</f>
        <v>77900</v>
      </c>
      <c r="I4420" s="10"/>
      <c r="J4420" s="79" t="e">
        <f t="shared" si="290"/>
        <v>#VALUE!</v>
      </c>
      <c r="K4420" s="106">
        <f t="shared" si="294"/>
        <v>19000</v>
      </c>
      <c r="L4420" s="141"/>
      <c r="M4420" s="132"/>
      <c r="N4420" s="133"/>
      <c r="O4420" s="4"/>
      <c r="P4420" s="4"/>
      <c r="Q4420" s="4"/>
      <c r="R4420" s="4"/>
      <c r="S4420" s="4"/>
      <c r="T4420" s="4"/>
      <c r="U4420" s="4"/>
      <c r="V4420" s="4"/>
      <c r="W4420" s="4"/>
      <c r="X4420" s="4"/>
    </row>
    <row r="4421" spans="1:24" ht="14.25" customHeight="1">
      <c r="A4421" s="4"/>
      <c r="B4421" s="125">
        <v>46187</v>
      </c>
      <c r="C4421" s="126" t="s">
        <v>2056</v>
      </c>
      <c r="D4421" s="15" t="s">
        <v>285</v>
      </c>
      <c r="E4421" s="10" t="str">
        <f>TRIM(VLOOKUP(D4421,TB!$B$9:$C$1500,2,FALSE))</f>
        <v>Misc Cash Purchase</v>
      </c>
      <c r="F4421" s="142" t="s">
        <v>2302</v>
      </c>
      <c r="G4421" s="130"/>
      <c r="H4421" s="10"/>
      <c r="I4421" s="10">
        <v>611600</v>
      </c>
      <c r="J4421" s="79" t="e">
        <f t="shared" si="290"/>
        <v>#VALUE!</v>
      </c>
      <c r="K4421" s="106"/>
      <c r="L4421" s="141"/>
      <c r="M4421" s="132"/>
      <c r="N4421" s="133"/>
      <c r="O4421" s="4"/>
      <c r="P4421" s="4"/>
      <c r="Q4421" s="4"/>
      <c r="R4421" s="4"/>
      <c r="S4421" s="4"/>
      <c r="T4421" s="4"/>
      <c r="U4421" s="4"/>
      <c r="V4421" s="4"/>
      <c r="W4421" s="4"/>
      <c r="X4421" s="4"/>
    </row>
    <row r="4422" spans="1:24" ht="14.25" customHeight="1">
      <c r="A4422" s="4"/>
      <c r="B4422" s="125"/>
      <c r="C4422" s="126"/>
      <c r="D4422" s="68"/>
      <c r="E4422" s="10" t="e">
        <f>TRIM(VLOOKUP(D4422,TB!$B$9:$C$1500,2,FALSE))</f>
        <v>#N/A</v>
      </c>
      <c r="F4422" s="142"/>
      <c r="G4422" s="130"/>
      <c r="H4422" s="10"/>
      <c r="I4422" s="10"/>
      <c r="J4422" s="79" t="e">
        <f t="shared" si="290"/>
        <v>#VALUE!</v>
      </c>
      <c r="K4422" s="106"/>
      <c r="L4422" s="141"/>
      <c r="M4422" s="132"/>
      <c r="N4422" s="133"/>
      <c r="O4422" s="4"/>
      <c r="P4422" s="4"/>
      <c r="Q4422" s="4"/>
      <c r="R4422" s="4"/>
      <c r="S4422" s="4"/>
      <c r="T4422" s="4"/>
      <c r="U4422" s="4"/>
      <c r="V4422" s="4"/>
      <c r="W4422" s="4"/>
      <c r="X4422" s="4"/>
    </row>
    <row r="4423" spans="1:24" ht="14.25" customHeight="1">
      <c r="A4423" s="4"/>
      <c r="B4423" s="125">
        <v>46188</v>
      </c>
      <c r="C4423" s="126" t="s">
        <v>2056</v>
      </c>
      <c r="D4423" s="15" t="s">
        <v>2113</v>
      </c>
      <c r="E4423" s="10" t="str">
        <f>TRIM(VLOOKUP(D4423,TB!$B$9:$C$1500,2,FALSE))</f>
        <v>Grape Fruit/BUAH ANGGUR</v>
      </c>
      <c r="F4423" s="142" t="s">
        <v>2303</v>
      </c>
      <c r="G4423" s="168">
        <v>0.25</v>
      </c>
      <c r="H4423" s="10">
        <f>90000*0.25</f>
        <v>22500</v>
      </c>
      <c r="I4423" s="10"/>
      <c r="J4423" s="79" t="e">
        <f t="shared" si="290"/>
        <v>#VALUE!</v>
      </c>
      <c r="K4423" s="106">
        <f t="shared" ref="K4423:K4439" si="295">H4423/G4423</f>
        <v>90000</v>
      </c>
      <c r="L4423" s="141"/>
      <c r="M4423" s="132"/>
      <c r="N4423" s="133"/>
      <c r="O4423" s="4"/>
      <c r="P4423" s="4"/>
      <c r="Q4423" s="4"/>
      <c r="R4423" s="4"/>
      <c r="S4423" s="4"/>
      <c r="T4423" s="4"/>
      <c r="U4423" s="4"/>
      <c r="V4423" s="4"/>
      <c r="W4423" s="4"/>
      <c r="X4423" s="4"/>
    </row>
    <row r="4424" spans="1:24" ht="14.25" customHeight="1">
      <c r="A4424" s="4"/>
      <c r="B4424" s="125">
        <v>46188</v>
      </c>
      <c r="C4424" s="126" t="s">
        <v>2056</v>
      </c>
      <c r="D4424" s="15" t="s">
        <v>2057</v>
      </c>
      <c r="E4424" s="10" t="str">
        <f>TRIM(VLOOKUP(D4424,TB!$B$9:$C$1500,2,FALSE))</f>
        <v>Capsicum/Paprika</v>
      </c>
      <c r="F4424" s="142" t="s">
        <v>2058</v>
      </c>
      <c r="G4424" s="130">
        <v>0.9</v>
      </c>
      <c r="H4424" s="10">
        <f>120000*0.9</f>
        <v>108000</v>
      </c>
      <c r="I4424" s="10"/>
      <c r="J4424" s="79" t="e">
        <f t="shared" si="290"/>
        <v>#VALUE!</v>
      </c>
      <c r="K4424" s="106">
        <f t="shared" si="295"/>
        <v>120000</v>
      </c>
      <c r="L4424" s="141"/>
      <c r="M4424" s="132"/>
      <c r="N4424" s="133"/>
      <c r="O4424" s="4"/>
      <c r="P4424" s="4"/>
      <c r="Q4424" s="4"/>
      <c r="R4424" s="4"/>
      <c r="S4424" s="4"/>
      <c r="T4424" s="4"/>
      <c r="U4424" s="4"/>
      <c r="V4424" s="4"/>
      <c r="W4424" s="4"/>
      <c r="X4424" s="4"/>
    </row>
    <row r="4425" spans="1:24" ht="14.25" customHeight="1">
      <c r="A4425" s="4"/>
      <c r="B4425" s="125">
        <v>46188</v>
      </c>
      <c r="C4425" s="126" t="s">
        <v>2056</v>
      </c>
      <c r="D4425" s="15" t="s">
        <v>2057</v>
      </c>
      <c r="E4425" s="10" t="str">
        <f>TRIM(VLOOKUP(D4425,TB!$B$9:$C$1500,2,FALSE))</f>
        <v>Capsicum/Paprika</v>
      </c>
      <c r="F4425" s="142" t="s">
        <v>2060</v>
      </c>
      <c r="G4425" s="130">
        <v>0.7</v>
      </c>
      <c r="H4425" s="10">
        <f>90000*0.7</f>
        <v>62999.999999999993</v>
      </c>
      <c r="I4425" s="10"/>
      <c r="J4425" s="79" t="e">
        <f t="shared" si="290"/>
        <v>#VALUE!</v>
      </c>
      <c r="K4425" s="106">
        <f t="shared" si="295"/>
        <v>90000</v>
      </c>
      <c r="L4425" s="141"/>
      <c r="M4425" s="132"/>
      <c r="N4425" s="133"/>
      <c r="O4425" s="4"/>
      <c r="P4425" s="4"/>
      <c r="Q4425" s="4"/>
      <c r="R4425" s="4"/>
      <c r="S4425" s="4"/>
      <c r="T4425" s="4"/>
      <c r="U4425" s="4"/>
      <c r="V4425" s="4"/>
      <c r="W4425" s="4"/>
      <c r="X4425" s="4"/>
    </row>
    <row r="4426" spans="1:24" ht="14.25" customHeight="1">
      <c r="A4426" s="4"/>
      <c r="B4426" s="125">
        <v>46188</v>
      </c>
      <c r="C4426" s="126" t="s">
        <v>2056</v>
      </c>
      <c r="D4426" s="15" t="s">
        <v>2057</v>
      </c>
      <c r="E4426" s="10" t="str">
        <f>TRIM(VLOOKUP(D4426,TB!$B$9:$C$1500,2,FALSE))</f>
        <v>Capsicum/Paprika</v>
      </c>
      <c r="F4426" s="142" t="s">
        <v>2304</v>
      </c>
      <c r="G4426" s="130">
        <v>0.9</v>
      </c>
      <c r="H4426" s="10">
        <f>130000*0.9</f>
        <v>117000</v>
      </c>
      <c r="I4426" s="10"/>
      <c r="J4426" s="79" t="e">
        <f t="shared" si="290"/>
        <v>#VALUE!</v>
      </c>
      <c r="K4426" s="106">
        <f t="shared" si="295"/>
        <v>130000</v>
      </c>
      <c r="L4426" s="141"/>
      <c r="M4426" s="132"/>
      <c r="N4426" s="133"/>
      <c r="O4426" s="4"/>
      <c r="P4426" s="4"/>
      <c r="Q4426" s="4"/>
      <c r="R4426" s="4"/>
      <c r="S4426" s="4"/>
      <c r="T4426" s="4"/>
      <c r="U4426" s="4"/>
      <c r="V4426" s="4"/>
      <c r="W4426" s="4"/>
      <c r="X4426" s="4"/>
    </row>
    <row r="4427" spans="1:24" ht="14.25" customHeight="1">
      <c r="A4427" s="4"/>
      <c r="B4427" s="125">
        <v>46188</v>
      </c>
      <c r="C4427" s="126" t="s">
        <v>2056</v>
      </c>
      <c r="D4427" s="15" t="s">
        <v>1875</v>
      </c>
      <c r="E4427" s="10" t="str">
        <f>TRIM(VLOOKUP(D4427,TB!$B$9:$C$1500,2,FALSE))</f>
        <v>Onion/Bombay</v>
      </c>
      <c r="F4427" s="142" t="s">
        <v>2297</v>
      </c>
      <c r="G4427" s="168">
        <v>0.6</v>
      </c>
      <c r="H4427" s="10">
        <f>22000*0.6</f>
        <v>13200</v>
      </c>
      <c r="I4427" s="10"/>
      <c r="J4427" s="79" t="e">
        <f t="shared" si="290"/>
        <v>#VALUE!</v>
      </c>
      <c r="K4427" s="106">
        <f t="shared" si="295"/>
        <v>22000</v>
      </c>
      <c r="L4427" s="141"/>
      <c r="M4427" s="132"/>
      <c r="N4427" s="133"/>
      <c r="O4427" s="4"/>
      <c r="P4427" s="4"/>
      <c r="Q4427" s="4"/>
      <c r="R4427" s="4"/>
      <c r="S4427" s="4"/>
      <c r="T4427" s="4"/>
      <c r="U4427" s="4"/>
      <c r="V4427" s="4"/>
      <c r="W4427" s="4"/>
      <c r="X4427" s="4"/>
    </row>
    <row r="4428" spans="1:24" ht="14.25" customHeight="1">
      <c r="A4428" s="4"/>
      <c r="B4428" s="125">
        <v>46188</v>
      </c>
      <c r="C4428" s="126" t="s">
        <v>2056</v>
      </c>
      <c r="D4428" s="15" t="s">
        <v>2062</v>
      </c>
      <c r="E4428" s="10" t="str">
        <f>TRIM(VLOOKUP(D4428,TB!$B$9:$C$1500,2,FALSE))</f>
        <v>Mushrooms Button</v>
      </c>
      <c r="F4428" s="142" t="s">
        <v>2063</v>
      </c>
      <c r="G4428" s="130">
        <v>0.5</v>
      </c>
      <c r="H4428" s="10">
        <f>45000*0.5</f>
        <v>22500</v>
      </c>
      <c r="I4428" s="10"/>
      <c r="J4428" s="79" t="e">
        <f t="shared" si="290"/>
        <v>#VALUE!</v>
      </c>
      <c r="K4428" s="106">
        <f t="shared" si="295"/>
        <v>45000</v>
      </c>
      <c r="L4428" s="141"/>
      <c r="M4428" s="132"/>
      <c r="N4428" s="133"/>
      <c r="O4428" s="4"/>
      <c r="P4428" s="4"/>
      <c r="Q4428" s="4"/>
      <c r="R4428" s="4"/>
      <c r="S4428" s="4"/>
      <c r="T4428" s="4"/>
      <c r="U4428" s="4"/>
      <c r="V4428" s="4"/>
      <c r="W4428" s="4"/>
      <c r="X4428" s="4"/>
    </row>
    <row r="4429" spans="1:24" ht="14.25" customHeight="1">
      <c r="A4429" s="4"/>
      <c r="B4429" s="125">
        <v>46188</v>
      </c>
      <c r="C4429" s="126" t="s">
        <v>2056</v>
      </c>
      <c r="D4429" s="15" t="s">
        <v>2087</v>
      </c>
      <c r="E4429" s="10" t="str">
        <f>TRIM(VLOOKUP(D4429,TB!$B$9:$C$1500,2,FALSE))</f>
        <v>Mushroom Shimeji / Bunapi</v>
      </c>
      <c r="F4429" s="142" t="s">
        <v>2274</v>
      </c>
      <c r="G4429" s="130">
        <v>5</v>
      </c>
      <c r="H4429" s="10">
        <f>17000*5</f>
        <v>85000</v>
      </c>
      <c r="I4429" s="10"/>
      <c r="J4429" s="79" t="e">
        <f t="shared" si="290"/>
        <v>#VALUE!</v>
      </c>
      <c r="K4429" s="106">
        <f t="shared" si="295"/>
        <v>17000</v>
      </c>
      <c r="L4429" s="141"/>
      <c r="M4429" s="132"/>
      <c r="N4429" s="133"/>
      <c r="O4429" s="4"/>
      <c r="P4429" s="4"/>
      <c r="Q4429" s="4"/>
      <c r="R4429" s="4"/>
      <c r="S4429" s="4"/>
      <c r="T4429" s="4"/>
      <c r="U4429" s="4"/>
      <c r="V4429" s="4"/>
      <c r="W4429" s="4"/>
      <c r="X4429" s="4"/>
    </row>
    <row r="4430" spans="1:24" ht="14.25" customHeight="1">
      <c r="A4430" s="4"/>
      <c r="B4430" s="125">
        <v>46188</v>
      </c>
      <c r="C4430" s="126" t="s">
        <v>2056</v>
      </c>
      <c r="D4430" s="15" t="s">
        <v>2081</v>
      </c>
      <c r="E4430" s="10" t="str">
        <f>TRIM(VLOOKUP(D4430,TB!$B$9:$C$1500,2,FALSE))</f>
        <v>Baby Potato</v>
      </c>
      <c r="F4430" s="142" t="s">
        <v>2305</v>
      </c>
      <c r="G4430" s="168">
        <v>0.5</v>
      </c>
      <c r="H4430" s="10">
        <f>16000*0.5</f>
        <v>8000</v>
      </c>
      <c r="I4430" s="10"/>
      <c r="J4430" s="79" t="e">
        <f t="shared" si="290"/>
        <v>#VALUE!</v>
      </c>
      <c r="K4430" s="106">
        <f t="shared" si="295"/>
        <v>16000</v>
      </c>
      <c r="L4430" s="141"/>
      <c r="M4430" s="132"/>
      <c r="N4430" s="133"/>
      <c r="O4430" s="4"/>
      <c r="P4430" s="4"/>
      <c r="Q4430" s="4"/>
      <c r="R4430" s="4"/>
      <c r="S4430" s="4"/>
      <c r="T4430" s="4"/>
      <c r="U4430" s="4"/>
      <c r="V4430" s="4"/>
      <c r="W4430" s="4"/>
      <c r="X4430" s="4"/>
    </row>
    <row r="4431" spans="1:24" ht="14.25" customHeight="1">
      <c r="A4431" s="4"/>
      <c r="B4431" s="125">
        <v>46188</v>
      </c>
      <c r="C4431" s="126" t="s">
        <v>2056</v>
      </c>
      <c r="D4431" s="68" t="s">
        <v>2138</v>
      </c>
      <c r="E4431" s="10" t="str">
        <f>TRIM(VLOOKUP(D4431,TB!$B$9:$C$1500,2,FALSE))</f>
        <v>Baby Carrot/Wortel</v>
      </c>
      <c r="F4431" s="142" t="s">
        <v>2306</v>
      </c>
      <c r="G4431" s="168">
        <v>0.5</v>
      </c>
      <c r="H4431" s="10">
        <f>35000*0.5</f>
        <v>17500</v>
      </c>
      <c r="I4431" s="10"/>
      <c r="J4431" s="79" t="e">
        <f t="shared" si="290"/>
        <v>#VALUE!</v>
      </c>
      <c r="K4431" s="106">
        <f t="shared" si="295"/>
        <v>35000</v>
      </c>
      <c r="L4431" s="141"/>
      <c r="M4431" s="132"/>
      <c r="N4431" s="133"/>
      <c r="O4431" s="4"/>
      <c r="P4431" s="4"/>
      <c r="Q4431" s="4"/>
      <c r="R4431" s="4"/>
      <c r="S4431" s="4"/>
      <c r="T4431" s="4"/>
      <c r="U4431" s="4"/>
      <c r="V4431" s="4"/>
      <c r="W4431" s="4"/>
      <c r="X4431" s="4"/>
    </row>
    <row r="4432" spans="1:24" ht="14.25" customHeight="1">
      <c r="A4432" s="4"/>
      <c r="B4432" s="125">
        <v>46188</v>
      </c>
      <c r="C4432" s="126" t="s">
        <v>2056</v>
      </c>
      <c r="D4432" s="15" t="s">
        <v>1877</v>
      </c>
      <c r="E4432" s="10" t="str">
        <f>TRIM(VLOOKUP(D4432,TB!$B$9:$C$1500,2,FALSE))</f>
        <v>Pok Coy</v>
      </c>
      <c r="F4432" s="142" t="s">
        <v>2073</v>
      </c>
      <c r="G4432" s="130">
        <v>1</v>
      </c>
      <c r="H4432" s="10">
        <v>15000</v>
      </c>
      <c r="I4432" s="10"/>
      <c r="J4432" s="79" t="e">
        <f t="shared" si="290"/>
        <v>#VALUE!</v>
      </c>
      <c r="K4432" s="106">
        <f t="shared" si="295"/>
        <v>15000</v>
      </c>
      <c r="L4432" s="141"/>
      <c r="M4432" s="132"/>
      <c r="N4432" s="133"/>
      <c r="O4432" s="4"/>
      <c r="P4432" s="4"/>
      <c r="Q4432" s="4"/>
      <c r="R4432" s="4"/>
      <c r="S4432" s="4"/>
      <c r="T4432" s="4"/>
      <c r="U4432" s="4"/>
      <c r="V4432" s="4"/>
      <c r="W4432" s="4"/>
      <c r="X4432" s="4"/>
    </row>
    <row r="4433" spans="1:24" ht="14.25" customHeight="1">
      <c r="A4433" s="4"/>
      <c r="B4433" s="125">
        <v>46188</v>
      </c>
      <c r="C4433" s="126" t="s">
        <v>2056</v>
      </c>
      <c r="D4433" s="15" t="s">
        <v>2126</v>
      </c>
      <c r="E4433" s="10" t="str">
        <f>TRIM(VLOOKUP(D4433,TB!$B$9:$C$1500,2,FALSE))</f>
        <v>Rice/Beras</v>
      </c>
      <c r="F4433" s="142" t="s">
        <v>2307</v>
      </c>
      <c r="G4433" s="130">
        <v>5</v>
      </c>
      <c r="H4433" s="10">
        <v>85000</v>
      </c>
      <c r="I4433" s="10"/>
      <c r="J4433" s="79" t="e">
        <f t="shared" si="290"/>
        <v>#VALUE!</v>
      </c>
      <c r="K4433" s="106">
        <f t="shared" si="295"/>
        <v>17000</v>
      </c>
      <c r="L4433" s="141"/>
      <c r="M4433" s="132"/>
      <c r="N4433" s="133"/>
      <c r="O4433" s="4"/>
      <c r="P4433" s="4"/>
      <c r="Q4433" s="4"/>
      <c r="R4433" s="4"/>
      <c r="S4433" s="4"/>
      <c r="T4433" s="4"/>
      <c r="U4433" s="4"/>
      <c r="V4433" s="4"/>
      <c r="W4433" s="4"/>
      <c r="X4433" s="4"/>
    </row>
    <row r="4434" spans="1:24" ht="14.25" customHeight="1">
      <c r="A4434" s="4"/>
      <c r="B4434" s="125">
        <v>46188</v>
      </c>
      <c r="C4434" s="126" t="s">
        <v>2056</v>
      </c>
      <c r="D4434" s="15" t="s">
        <v>1888</v>
      </c>
      <c r="E4434" s="10" t="str">
        <f>TRIM(VLOOKUP(D4434,TB!$B$9:$C$1500,2,FALSE))</f>
        <v>Romaine</v>
      </c>
      <c r="F4434" s="142" t="s">
        <v>2074</v>
      </c>
      <c r="G4434" s="168">
        <v>0.5</v>
      </c>
      <c r="H4434" s="10">
        <f>80000*0.5</f>
        <v>40000</v>
      </c>
      <c r="I4434" s="10"/>
      <c r="J4434" s="79" t="e">
        <f t="shared" si="290"/>
        <v>#VALUE!</v>
      </c>
      <c r="K4434" s="106">
        <f t="shared" si="295"/>
        <v>80000</v>
      </c>
      <c r="L4434" s="141"/>
      <c r="M4434" s="132"/>
      <c r="N4434" s="133"/>
      <c r="O4434" s="4"/>
      <c r="P4434" s="4"/>
      <c r="Q4434" s="4"/>
      <c r="R4434" s="4"/>
      <c r="S4434" s="4"/>
      <c r="T4434" s="4"/>
      <c r="U4434" s="4"/>
      <c r="V4434" s="4"/>
      <c r="W4434" s="4"/>
      <c r="X4434" s="4"/>
    </row>
    <row r="4435" spans="1:24" ht="14.25" customHeight="1">
      <c r="A4435" s="4"/>
      <c r="B4435" s="125">
        <v>46188</v>
      </c>
      <c r="C4435" s="126" t="s">
        <v>2056</v>
      </c>
      <c r="D4435" s="15" t="s">
        <v>2064</v>
      </c>
      <c r="E4435" s="10" t="str">
        <f>TRIM(VLOOKUP(D4435,TB!$B$9:$C$1500,2,FALSE))</f>
        <v>Baby Spinach</v>
      </c>
      <c r="F4435" s="142" t="s">
        <v>2065</v>
      </c>
      <c r="G4435" s="168">
        <v>0.3</v>
      </c>
      <c r="H4435" s="10">
        <f>100000*0.3</f>
        <v>30000</v>
      </c>
      <c r="I4435" s="10"/>
      <c r="J4435" s="79" t="e">
        <f t="shared" si="290"/>
        <v>#VALUE!</v>
      </c>
      <c r="K4435" s="106">
        <f t="shared" si="295"/>
        <v>100000</v>
      </c>
      <c r="L4435" s="141"/>
      <c r="M4435" s="132"/>
      <c r="N4435" s="133"/>
      <c r="O4435" s="4"/>
      <c r="P4435" s="4"/>
      <c r="Q4435" s="4"/>
      <c r="R4435" s="4"/>
      <c r="S4435" s="4"/>
      <c r="T4435" s="4"/>
      <c r="U4435" s="4"/>
      <c r="V4435" s="4"/>
      <c r="W4435" s="4"/>
      <c r="X4435" s="4"/>
    </row>
    <row r="4436" spans="1:24" ht="14.25" customHeight="1">
      <c r="A4436" s="4"/>
      <c r="B4436" s="125">
        <v>46188</v>
      </c>
      <c r="C4436" s="126" t="s">
        <v>2056</v>
      </c>
      <c r="D4436" s="15" t="s">
        <v>2030</v>
      </c>
      <c r="E4436" s="10" t="str">
        <f>TRIM(VLOOKUP(D4436,TB!$B$9:$C$1500,2,FALSE))</f>
        <v>Hot Chilli / Lombok Kecil</v>
      </c>
      <c r="F4436" s="142" t="s">
        <v>2308</v>
      </c>
      <c r="G4436" s="168">
        <v>0.25</v>
      </c>
      <c r="H4436" s="10">
        <f>75000*0.25</f>
        <v>18750</v>
      </c>
      <c r="I4436" s="10"/>
      <c r="J4436" s="79" t="e">
        <f t="shared" si="290"/>
        <v>#VALUE!</v>
      </c>
      <c r="K4436" s="106">
        <f t="shared" si="295"/>
        <v>75000</v>
      </c>
      <c r="L4436" s="141"/>
      <c r="M4436" s="132"/>
      <c r="N4436" s="133"/>
      <c r="O4436" s="4"/>
      <c r="P4436" s="4"/>
      <c r="Q4436" s="4"/>
      <c r="R4436" s="4"/>
      <c r="S4436" s="4"/>
      <c r="T4436" s="4"/>
      <c r="U4436" s="4"/>
      <c r="V4436" s="4"/>
      <c r="W4436" s="4"/>
      <c r="X4436" s="4"/>
    </row>
    <row r="4437" spans="1:24" ht="14.25" customHeight="1">
      <c r="A4437" s="4"/>
      <c r="B4437" s="125">
        <v>46188</v>
      </c>
      <c r="C4437" s="126" t="s">
        <v>2056</v>
      </c>
      <c r="D4437" s="15" t="s">
        <v>1807</v>
      </c>
      <c r="E4437" s="10" t="str">
        <f>TRIM(VLOOKUP(D4437,TB!$B$9:$C$1500,2,FALSE))</f>
        <v>Shallot/Bawang Merah</v>
      </c>
      <c r="F4437" s="142" t="s">
        <v>2280</v>
      </c>
      <c r="G4437" s="168">
        <v>0.25</v>
      </c>
      <c r="H4437" s="10">
        <f>52000*0.25</f>
        <v>13000</v>
      </c>
      <c r="I4437" s="10"/>
      <c r="J4437" s="79" t="e">
        <f t="shared" si="290"/>
        <v>#VALUE!</v>
      </c>
      <c r="K4437" s="106">
        <f t="shared" si="295"/>
        <v>52000</v>
      </c>
      <c r="L4437" s="141"/>
      <c r="M4437" s="132"/>
      <c r="N4437" s="133"/>
      <c r="O4437" s="4"/>
      <c r="P4437" s="4"/>
      <c r="Q4437" s="4"/>
      <c r="R4437" s="4"/>
      <c r="S4437" s="4"/>
      <c r="T4437" s="4"/>
      <c r="U4437" s="4"/>
      <c r="V4437" s="4"/>
      <c r="W4437" s="4"/>
      <c r="X4437" s="4"/>
    </row>
    <row r="4438" spans="1:24" ht="14.25" customHeight="1">
      <c r="A4438" s="4"/>
      <c r="B4438" s="125">
        <v>46188</v>
      </c>
      <c r="C4438" s="126" t="s">
        <v>2056</v>
      </c>
      <c r="D4438" s="15" t="s">
        <v>2173</v>
      </c>
      <c r="E4438" s="10" t="str">
        <f>TRIM(VLOOKUP(D4438,TB!$B$9:$C$1500,2,FALSE))</f>
        <v>Edamame</v>
      </c>
      <c r="F4438" s="142" t="s">
        <v>2309</v>
      </c>
      <c r="G4438" s="130">
        <v>1</v>
      </c>
      <c r="H4438" s="10">
        <v>35000</v>
      </c>
      <c r="I4438" s="10"/>
      <c r="J4438" s="79" t="e">
        <f t="shared" si="290"/>
        <v>#VALUE!</v>
      </c>
      <c r="K4438" s="106">
        <f t="shared" si="295"/>
        <v>35000</v>
      </c>
      <c r="L4438" s="141"/>
      <c r="M4438" s="132"/>
      <c r="N4438" s="133"/>
      <c r="O4438" s="4"/>
      <c r="P4438" s="4"/>
      <c r="Q4438" s="4"/>
      <c r="R4438" s="4"/>
      <c r="S4438" s="4"/>
      <c r="T4438" s="4"/>
      <c r="U4438" s="4"/>
      <c r="V4438" s="4"/>
      <c r="W4438" s="4"/>
      <c r="X4438" s="4"/>
    </row>
    <row r="4439" spans="1:24" ht="14.25" customHeight="1">
      <c r="A4439" s="4"/>
      <c r="B4439" s="125">
        <v>46188</v>
      </c>
      <c r="C4439" s="126" t="s">
        <v>2056</v>
      </c>
      <c r="D4439" s="15" t="s">
        <v>1988</v>
      </c>
      <c r="E4439" s="10" t="str">
        <f>TRIM(VLOOKUP(D4439,TB!$B$9:$C$1500,2,FALSE))</f>
        <v>Salt</v>
      </c>
      <c r="F4439" s="142" t="s">
        <v>2310</v>
      </c>
      <c r="G4439" s="130">
        <v>1</v>
      </c>
      <c r="H4439" s="10">
        <v>25000</v>
      </c>
      <c r="I4439" s="10"/>
      <c r="J4439" s="79" t="e">
        <f t="shared" si="290"/>
        <v>#VALUE!</v>
      </c>
      <c r="K4439" s="106">
        <f t="shared" si="295"/>
        <v>25000</v>
      </c>
      <c r="L4439" s="141"/>
      <c r="M4439" s="132"/>
      <c r="N4439" s="133"/>
      <c r="O4439" s="4"/>
      <c r="P4439" s="4"/>
      <c r="Q4439" s="4"/>
      <c r="R4439" s="4"/>
      <c r="S4439" s="4"/>
      <c r="T4439" s="4"/>
      <c r="U4439" s="4"/>
      <c r="V4439" s="4"/>
      <c r="W4439" s="4"/>
      <c r="X4439" s="4"/>
    </row>
    <row r="4440" spans="1:24" ht="14.25" customHeight="1">
      <c r="A4440" s="4"/>
      <c r="B4440" s="125">
        <v>46188</v>
      </c>
      <c r="C4440" s="126" t="s">
        <v>2056</v>
      </c>
      <c r="D4440" s="15" t="s">
        <v>285</v>
      </c>
      <c r="E4440" s="10" t="str">
        <f>TRIM(VLOOKUP(D4440,TB!$B$9:$C$1500,2,FALSE))</f>
        <v>Misc Cash Purchase</v>
      </c>
      <c r="F4440" s="142" t="s">
        <v>2311</v>
      </c>
      <c r="G4440" s="130"/>
      <c r="H4440" s="10"/>
      <c r="I4440" s="10">
        <v>718450</v>
      </c>
      <c r="J4440" s="79" t="e">
        <f t="shared" si="290"/>
        <v>#VALUE!</v>
      </c>
      <c r="K4440" s="106"/>
      <c r="L4440" s="141"/>
      <c r="M4440" s="132"/>
      <c r="N4440" s="133"/>
      <c r="O4440" s="4"/>
      <c r="P4440" s="4"/>
      <c r="Q4440" s="4"/>
      <c r="R4440" s="4"/>
      <c r="S4440" s="4"/>
      <c r="T4440" s="4"/>
      <c r="U4440" s="4"/>
      <c r="V4440" s="4"/>
      <c r="W4440" s="4"/>
      <c r="X4440" s="4"/>
    </row>
    <row r="4441" spans="1:24" ht="14.25" customHeight="1">
      <c r="A4441" s="4"/>
      <c r="B4441" s="125"/>
      <c r="C4441" s="126"/>
      <c r="D4441" s="68"/>
      <c r="E4441" s="10" t="e">
        <f>TRIM(VLOOKUP(D4441,TB!$B$9:$C$1500,2,FALSE))</f>
        <v>#N/A</v>
      </c>
      <c r="F4441" s="142"/>
      <c r="G4441" s="130"/>
      <c r="H4441" s="10"/>
      <c r="I4441" s="10"/>
      <c r="J4441" s="79" t="e">
        <f t="shared" si="290"/>
        <v>#VALUE!</v>
      </c>
      <c r="K4441" s="106"/>
      <c r="L4441" s="141"/>
      <c r="M4441" s="132"/>
      <c r="N4441" s="133"/>
      <c r="O4441" s="4"/>
      <c r="P4441" s="4"/>
      <c r="Q4441" s="4"/>
      <c r="R4441" s="4"/>
      <c r="S4441" s="4"/>
      <c r="T4441" s="4"/>
      <c r="U4441" s="4"/>
      <c r="V4441" s="4"/>
      <c r="W4441" s="4"/>
      <c r="X4441" s="4"/>
    </row>
    <row r="4442" spans="1:24" ht="14.25" customHeight="1">
      <c r="A4442" s="4"/>
      <c r="B4442" s="125">
        <v>46189</v>
      </c>
      <c r="C4442" s="126" t="s">
        <v>2056</v>
      </c>
      <c r="D4442" s="15" t="s">
        <v>1768</v>
      </c>
      <c r="E4442" s="10" t="str">
        <f>TRIM(VLOOKUP(D4442,TB!$B$9:$C$1500,2,FALSE))</f>
        <v>Lime Green</v>
      </c>
      <c r="F4442" s="142" t="s">
        <v>2312</v>
      </c>
      <c r="G4442" s="130">
        <v>31.3</v>
      </c>
      <c r="H4442" s="10">
        <f>24000*31.3</f>
        <v>751200</v>
      </c>
      <c r="I4442" s="10"/>
      <c r="J4442" s="79" t="e">
        <f t="shared" si="290"/>
        <v>#VALUE!</v>
      </c>
      <c r="K4442" s="106">
        <f t="shared" ref="K4442:K4448" si="296">H4442/G4442</f>
        <v>24000</v>
      </c>
      <c r="L4442" s="141"/>
      <c r="M4442" s="132"/>
      <c r="N4442" s="133"/>
      <c r="O4442" s="4"/>
      <c r="P4442" s="4"/>
      <c r="Q4442" s="4"/>
      <c r="R4442" s="4"/>
      <c r="S4442" s="4"/>
      <c r="T4442" s="4"/>
      <c r="U4442" s="4"/>
      <c r="V4442" s="4"/>
      <c r="W4442" s="4"/>
      <c r="X4442" s="4"/>
    </row>
    <row r="4443" spans="1:24" ht="14.25" customHeight="1">
      <c r="A4443" s="4"/>
      <c r="B4443" s="125">
        <v>46189</v>
      </c>
      <c r="C4443" s="126" t="s">
        <v>2056</v>
      </c>
      <c r="D4443" s="15" t="s">
        <v>2090</v>
      </c>
      <c r="E4443" s="10" t="str">
        <f>TRIM(VLOOKUP(D4443,TB!$B$9:$C$1500,2,FALSE))</f>
        <v>Japanese Cucumber/Timun</v>
      </c>
      <c r="F4443" s="142" t="s">
        <v>2117</v>
      </c>
      <c r="G4443" s="130">
        <v>4</v>
      </c>
      <c r="H4443" s="10">
        <f>14000*4</f>
        <v>56000</v>
      </c>
      <c r="I4443" s="10"/>
      <c r="J4443" s="79" t="e">
        <f t="shared" si="290"/>
        <v>#VALUE!</v>
      </c>
      <c r="K4443" s="106">
        <f t="shared" si="296"/>
        <v>14000</v>
      </c>
      <c r="L4443" s="141"/>
      <c r="M4443" s="132"/>
      <c r="N4443" s="133"/>
      <c r="O4443" s="4"/>
      <c r="P4443" s="4"/>
      <c r="Q4443" s="4"/>
      <c r="R4443" s="4"/>
      <c r="S4443" s="4"/>
      <c r="T4443" s="4"/>
      <c r="U4443" s="4"/>
      <c r="V4443" s="4"/>
      <c r="W4443" s="4"/>
      <c r="X4443" s="4"/>
    </row>
    <row r="4444" spans="1:24" ht="14.25" customHeight="1">
      <c r="A4444" s="4"/>
      <c r="B4444" s="125">
        <v>46189</v>
      </c>
      <c r="C4444" s="126" t="s">
        <v>2056</v>
      </c>
      <c r="D4444" s="15" t="s">
        <v>2118</v>
      </c>
      <c r="E4444" s="10" t="str">
        <f>TRIM(VLOOKUP(D4444,TB!$B$9:$C$1500,2,FALSE))</f>
        <v>Sunkist</v>
      </c>
      <c r="F4444" s="142" t="s">
        <v>2119</v>
      </c>
      <c r="G4444" s="130">
        <v>5</v>
      </c>
      <c r="H4444" s="10">
        <f>38000*5</f>
        <v>190000</v>
      </c>
      <c r="I4444" s="10"/>
      <c r="J4444" s="79" t="e">
        <f t="shared" si="290"/>
        <v>#VALUE!</v>
      </c>
      <c r="K4444" s="106">
        <f t="shared" si="296"/>
        <v>38000</v>
      </c>
      <c r="L4444" s="141"/>
      <c r="M4444" s="132"/>
      <c r="N4444" s="133"/>
      <c r="O4444" s="4"/>
      <c r="P4444" s="4"/>
      <c r="Q4444" s="4"/>
      <c r="R4444" s="4"/>
      <c r="S4444" s="4"/>
      <c r="T4444" s="4"/>
      <c r="U4444" s="4"/>
      <c r="V4444" s="4"/>
      <c r="W4444" s="4"/>
      <c r="X4444" s="4"/>
    </row>
    <row r="4445" spans="1:24" ht="14.25" customHeight="1">
      <c r="A4445" s="4"/>
      <c r="B4445" s="125">
        <v>46189</v>
      </c>
      <c r="C4445" s="126" t="s">
        <v>2056</v>
      </c>
      <c r="D4445" s="15" t="s">
        <v>2252</v>
      </c>
      <c r="E4445" s="10" t="str">
        <f>TRIM(VLOOKUP(D4445,TB!$B$9:$C$1500,2,FALSE))</f>
        <v>Mint Leave</v>
      </c>
      <c r="F4445" s="142" t="s">
        <v>2253</v>
      </c>
      <c r="G4445" s="130">
        <v>0.25</v>
      </c>
      <c r="H4445" s="10">
        <f>55000*0.25</f>
        <v>13750</v>
      </c>
      <c r="I4445" s="10"/>
      <c r="J4445" s="79" t="e">
        <f t="shared" si="290"/>
        <v>#VALUE!</v>
      </c>
      <c r="K4445" s="106">
        <f t="shared" si="296"/>
        <v>55000</v>
      </c>
      <c r="L4445" s="141"/>
      <c r="M4445" s="132"/>
      <c r="N4445" s="133"/>
      <c r="O4445" s="4"/>
      <c r="P4445" s="4"/>
      <c r="Q4445" s="4"/>
      <c r="R4445" s="4"/>
      <c r="S4445" s="4"/>
      <c r="T4445" s="4"/>
      <c r="U4445" s="4"/>
      <c r="V4445" s="4"/>
      <c r="W4445" s="4"/>
      <c r="X4445" s="4"/>
    </row>
    <row r="4446" spans="1:24" ht="14.25" customHeight="1">
      <c r="A4446" s="4"/>
      <c r="B4446" s="125">
        <v>46189</v>
      </c>
      <c r="C4446" s="126" t="s">
        <v>2056</v>
      </c>
      <c r="D4446" s="15" t="s">
        <v>2100</v>
      </c>
      <c r="E4446" s="10" t="str">
        <f>TRIM(VLOOKUP(D4446,TB!$B$9:$C$1500,2,FALSE))</f>
        <v>Basil</v>
      </c>
      <c r="F4446" s="142" t="s">
        <v>2254</v>
      </c>
      <c r="G4446" s="130">
        <v>0.5</v>
      </c>
      <c r="H4446" s="10">
        <f>75000*0.5</f>
        <v>37500</v>
      </c>
      <c r="I4446" s="10"/>
      <c r="J4446" s="79" t="e">
        <f t="shared" si="290"/>
        <v>#VALUE!</v>
      </c>
      <c r="K4446" s="106">
        <f t="shared" si="296"/>
        <v>75000</v>
      </c>
      <c r="L4446" s="141"/>
      <c r="M4446" s="132"/>
      <c r="N4446" s="133"/>
      <c r="O4446" s="4"/>
      <c r="P4446" s="4"/>
      <c r="Q4446" s="4"/>
      <c r="R4446" s="4"/>
      <c r="S4446" s="4"/>
      <c r="T4446" s="4"/>
      <c r="U4446" s="4"/>
      <c r="V4446" s="4"/>
      <c r="W4446" s="4"/>
      <c r="X4446" s="4"/>
    </row>
    <row r="4447" spans="1:24" ht="14.25" customHeight="1">
      <c r="A4447" s="4"/>
      <c r="B4447" s="125">
        <v>46189</v>
      </c>
      <c r="C4447" s="126" t="s">
        <v>2056</v>
      </c>
      <c r="D4447" s="15" t="s">
        <v>1155</v>
      </c>
      <c r="E4447" s="10" t="str">
        <f>TRIM(VLOOKUP(D4447,TB!$B$9:$C$1500,2,FALSE))</f>
        <v>Kitchen Supplies</v>
      </c>
      <c r="F4447" s="142" t="s">
        <v>2313</v>
      </c>
      <c r="G4447" s="130">
        <v>1</v>
      </c>
      <c r="H4447" s="10">
        <v>175000</v>
      </c>
      <c r="I4447" s="10"/>
      <c r="J4447" s="79" t="e">
        <f t="shared" si="290"/>
        <v>#VALUE!</v>
      </c>
      <c r="K4447" s="106">
        <f t="shared" si="296"/>
        <v>175000</v>
      </c>
      <c r="L4447" s="141"/>
      <c r="M4447" s="132"/>
      <c r="N4447" s="133"/>
      <c r="O4447" s="4"/>
      <c r="P4447" s="4"/>
      <c r="Q4447" s="4"/>
      <c r="R4447" s="4"/>
      <c r="S4447" s="4"/>
      <c r="T4447" s="4"/>
      <c r="U4447" s="4"/>
      <c r="V4447" s="4"/>
      <c r="W4447" s="4"/>
      <c r="X4447" s="4"/>
    </row>
    <row r="4448" spans="1:24" ht="14.25" customHeight="1">
      <c r="A4448" s="4"/>
      <c r="B4448" s="125">
        <v>46189</v>
      </c>
      <c r="C4448" s="126" t="s">
        <v>2056</v>
      </c>
      <c r="D4448" s="15" t="s">
        <v>2314</v>
      </c>
      <c r="E4448" s="10" t="str">
        <f>TRIM(VLOOKUP(D4448,TB!$B$9:$C$1500,2,FALSE))</f>
        <v>Sugar</v>
      </c>
      <c r="F4448" s="142" t="s">
        <v>2315</v>
      </c>
      <c r="G4448" s="130">
        <v>3</v>
      </c>
      <c r="H4448" s="10">
        <f>22000*3</f>
        <v>66000</v>
      </c>
      <c r="I4448" s="10"/>
      <c r="J4448" s="79" t="e">
        <f t="shared" si="290"/>
        <v>#VALUE!</v>
      </c>
      <c r="K4448" s="106">
        <f t="shared" si="296"/>
        <v>22000</v>
      </c>
      <c r="L4448" s="141"/>
      <c r="M4448" s="132"/>
      <c r="N4448" s="133"/>
      <c r="O4448" s="4"/>
      <c r="P4448" s="4"/>
      <c r="Q4448" s="4"/>
      <c r="R4448" s="4"/>
      <c r="S4448" s="4"/>
      <c r="T4448" s="4"/>
      <c r="U4448" s="4"/>
      <c r="V4448" s="4"/>
      <c r="W4448" s="4"/>
      <c r="X4448" s="4"/>
    </row>
    <row r="4449" spans="1:24" ht="14.25" customHeight="1">
      <c r="A4449" s="4"/>
      <c r="B4449" s="125">
        <v>46189</v>
      </c>
      <c r="C4449" s="126" t="s">
        <v>2056</v>
      </c>
      <c r="D4449" s="15" t="s">
        <v>285</v>
      </c>
      <c r="E4449" s="10" t="str">
        <f>TRIM(VLOOKUP(D4449,TB!$B$9:$C$1500,2,FALSE))</f>
        <v>Misc Cash Purchase</v>
      </c>
      <c r="F4449" s="142" t="s">
        <v>2316</v>
      </c>
      <c r="G4449" s="130"/>
      <c r="H4449" s="10"/>
      <c r="I4449" s="10">
        <v>1289450</v>
      </c>
      <c r="J4449" s="79" t="e">
        <f t="shared" si="290"/>
        <v>#VALUE!</v>
      </c>
      <c r="K4449" s="106"/>
      <c r="L4449" s="141"/>
      <c r="M4449" s="132"/>
      <c r="N4449" s="133"/>
      <c r="O4449" s="4"/>
      <c r="P4449" s="4"/>
      <c r="Q4449" s="4"/>
      <c r="R4449" s="4"/>
      <c r="S4449" s="4"/>
      <c r="T4449" s="4"/>
      <c r="U4449" s="4"/>
      <c r="V4449" s="4"/>
      <c r="W4449" s="4"/>
      <c r="X4449" s="4"/>
    </row>
    <row r="4450" spans="1:24" ht="14.25" customHeight="1">
      <c r="A4450" s="4"/>
      <c r="B4450" s="125"/>
      <c r="C4450" s="126"/>
      <c r="D4450" s="68"/>
      <c r="E4450" s="10" t="e">
        <f>TRIM(VLOOKUP(D4450,TB!$B$9:$C$1500,2,FALSE))</f>
        <v>#N/A</v>
      </c>
      <c r="F4450" s="142"/>
      <c r="G4450" s="130"/>
      <c r="H4450" s="10"/>
      <c r="I4450" s="10"/>
      <c r="J4450" s="79" t="e">
        <f t="shared" si="290"/>
        <v>#VALUE!</v>
      </c>
      <c r="K4450" s="106"/>
      <c r="L4450" s="141"/>
      <c r="M4450" s="132"/>
      <c r="N4450" s="133"/>
      <c r="O4450" s="4"/>
      <c r="P4450" s="4"/>
      <c r="Q4450" s="4"/>
      <c r="R4450" s="4"/>
      <c r="S4450" s="4"/>
      <c r="T4450" s="4"/>
      <c r="U4450" s="4"/>
      <c r="V4450" s="4"/>
      <c r="W4450" s="4"/>
      <c r="X4450" s="4"/>
    </row>
    <row r="4451" spans="1:24" ht="14.25" customHeight="1">
      <c r="A4451" s="4"/>
      <c r="B4451" s="125">
        <v>46189</v>
      </c>
      <c r="C4451" s="126" t="s">
        <v>2056</v>
      </c>
      <c r="D4451" s="15" t="s">
        <v>2134</v>
      </c>
      <c r="E4451" s="10" t="str">
        <f>TRIM(VLOOKUP(D4451,TB!$B$9:$C$1500,2,FALSE))</f>
        <v>Chicken Leg Fillet/Ayam Penjantan</v>
      </c>
      <c r="F4451" s="142" t="s">
        <v>2317</v>
      </c>
      <c r="G4451" s="130">
        <v>4</v>
      </c>
      <c r="H4451" s="10">
        <f>70000*4</f>
        <v>280000</v>
      </c>
      <c r="I4451" s="10"/>
      <c r="J4451" s="79" t="e">
        <f t="shared" si="290"/>
        <v>#VALUE!</v>
      </c>
      <c r="K4451" s="106">
        <f t="shared" ref="K4451:K4468" si="297">H4451/G4451</f>
        <v>70000</v>
      </c>
      <c r="L4451" s="141"/>
      <c r="M4451" s="132"/>
      <c r="N4451" s="133"/>
      <c r="O4451" s="4"/>
      <c r="P4451" s="4"/>
      <c r="Q4451" s="4"/>
      <c r="R4451" s="4"/>
      <c r="S4451" s="4"/>
      <c r="T4451" s="4"/>
      <c r="U4451" s="4"/>
      <c r="V4451" s="4"/>
      <c r="W4451" s="4"/>
      <c r="X4451" s="4"/>
    </row>
    <row r="4452" spans="1:24" ht="14.25" customHeight="1">
      <c r="A4452" s="4"/>
      <c r="B4452" s="125">
        <v>46189</v>
      </c>
      <c r="C4452" s="126" t="s">
        <v>2056</v>
      </c>
      <c r="D4452" s="15" t="s">
        <v>1916</v>
      </c>
      <c r="E4452" s="10" t="str">
        <f>TRIM(VLOOKUP(D4452,TB!$B$9:$C$1500,2,FALSE))</f>
        <v>Egg/Telur</v>
      </c>
      <c r="F4452" s="142" t="s">
        <v>2318</v>
      </c>
      <c r="G4452" s="130">
        <f>5*30</f>
        <v>150</v>
      </c>
      <c r="H4452" s="10">
        <f>55000*5</f>
        <v>275000</v>
      </c>
      <c r="I4452" s="10"/>
      <c r="J4452" s="79" t="e">
        <f t="shared" si="290"/>
        <v>#VALUE!</v>
      </c>
      <c r="K4452" s="106">
        <f t="shared" si="297"/>
        <v>1833.3333333333333</v>
      </c>
      <c r="L4452" s="141"/>
      <c r="M4452" s="132"/>
      <c r="N4452" s="133"/>
      <c r="O4452" s="4"/>
      <c r="P4452" s="4"/>
      <c r="Q4452" s="4"/>
      <c r="R4452" s="4"/>
      <c r="S4452" s="4"/>
      <c r="T4452" s="4"/>
      <c r="U4452" s="4"/>
      <c r="V4452" s="4"/>
      <c r="W4452" s="4"/>
      <c r="X4452" s="4"/>
    </row>
    <row r="4453" spans="1:24" ht="14.25" customHeight="1">
      <c r="A4453" s="4"/>
      <c r="B4453" s="125">
        <v>46189</v>
      </c>
      <c r="C4453" s="126" t="s">
        <v>2056</v>
      </c>
      <c r="D4453" s="15" t="s">
        <v>2319</v>
      </c>
      <c r="E4453" s="10" t="str">
        <f>TRIM(VLOOKUP(D4453,TB!$B$9:$C$1500,2,FALSE))</f>
        <v>Wijen</v>
      </c>
      <c r="F4453" s="142" t="s">
        <v>2320</v>
      </c>
      <c r="G4453" s="130">
        <v>1</v>
      </c>
      <c r="H4453" s="10">
        <v>60000</v>
      </c>
      <c r="I4453" s="10"/>
      <c r="J4453" s="79" t="e">
        <f t="shared" si="290"/>
        <v>#VALUE!</v>
      </c>
      <c r="K4453" s="106">
        <f t="shared" si="297"/>
        <v>60000</v>
      </c>
      <c r="L4453" s="141"/>
      <c r="M4453" s="132"/>
      <c r="N4453" s="133"/>
      <c r="O4453" s="4"/>
      <c r="P4453" s="4"/>
      <c r="Q4453" s="4"/>
      <c r="R4453" s="4"/>
      <c r="S4453" s="4"/>
      <c r="T4453" s="4"/>
      <c r="U4453" s="4"/>
      <c r="V4453" s="4"/>
      <c r="W4453" s="4"/>
      <c r="X4453" s="4"/>
    </row>
    <row r="4454" spans="1:24" ht="14.25" customHeight="1">
      <c r="A4454" s="4"/>
      <c r="B4454" s="125">
        <v>46189</v>
      </c>
      <c r="C4454" s="126" t="s">
        <v>2056</v>
      </c>
      <c r="D4454" s="15" t="s">
        <v>2076</v>
      </c>
      <c r="E4454" s="10" t="str">
        <f>TRIM(VLOOKUP(D4454,TB!$B$9:$C$1500,2,FALSE))</f>
        <v>Buncis</v>
      </c>
      <c r="F4454" s="142" t="s">
        <v>2321</v>
      </c>
      <c r="G4454" s="130">
        <v>1.5</v>
      </c>
      <c r="H4454" s="10">
        <f>25000*1.5</f>
        <v>37500</v>
      </c>
      <c r="I4454" s="10"/>
      <c r="J4454" s="79" t="e">
        <f t="shared" si="290"/>
        <v>#VALUE!</v>
      </c>
      <c r="K4454" s="106">
        <f t="shared" si="297"/>
        <v>25000</v>
      </c>
      <c r="L4454" s="141"/>
      <c r="M4454" s="132"/>
      <c r="N4454" s="133"/>
      <c r="O4454" s="4"/>
      <c r="P4454" s="4"/>
      <c r="Q4454" s="4"/>
      <c r="R4454" s="4"/>
      <c r="S4454" s="4"/>
      <c r="T4454" s="4"/>
      <c r="U4454" s="4"/>
      <c r="V4454" s="4"/>
      <c r="W4454" s="4"/>
      <c r="X4454" s="4"/>
    </row>
    <row r="4455" spans="1:24" ht="14.25" customHeight="1">
      <c r="A4455" s="4"/>
      <c r="B4455" s="125">
        <v>46189</v>
      </c>
      <c r="C4455" s="126" t="s">
        <v>2056</v>
      </c>
      <c r="D4455" s="15" t="s">
        <v>2083</v>
      </c>
      <c r="E4455" s="10" t="str">
        <f>TRIM(VLOOKUP(D4455,TB!$B$9:$C$1500,2,FALSE))</f>
        <v>Baby Buncis</v>
      </c>
      <c r="F4455" s="142" t="s">
        <v>2196</v>
      </c>
      <c r="G4455" s="130">
        <v>1</v>
      </c>
      <c r="H4455" s="10">
        <v>70000</v>
      </c>
      <c r="I4455" s="10"/>
      <c r="J4455" s="79" t="e">
        <f t="shared" si="290"/>
        <v>#VALUE!</v>
      </c>
      <c r="K4455" s="106">
        <f t="shared" si="297"/>
        <v>70000</v>
      </c>
      <c r="L4455" s="141"/>
      <c r="M4455" s="132"/>
      <c r="N4455" s="133"/>
      <c r="O4455" s="4"/>
      <c r="P4455" s="4"/>
      <c r="Q4455" s="4"/>
      <c r="R4455" s="4"/>
      <c r="S4455" s="4"/>
      <c r="T4455" s="4"/>
      <c r="U4455" s="4"/>
      <c r="V4455" s="4"/>
      <c r="W4455" s="4"/>
      <c r="X4455" s="4"/>
    </row>
    <row r="4456" spans="1:24" ht="14.25" customHeight="1">
      <c r="A4456" s="4"/>
      <c r="B4456" s="125">
        <v>46189</v>
      </c>
      <c r="C4456" s="126" t="s">
        <v>2056</v>
      </c>
      <c r="D4456" s="15" t="s">
        <v>2085</v>
      </c>
      <c r="E4456" s="10" t="str">
        <f>TRIM(VLOOKUP(D4456,TB!$B$9:$C$1500,2,FALSE))</f>
        <v>Carrot/Wortel</v>
      </c>
      <c r="F4456" s="142" t="s">
        <v>2194</v>
      </c>
      <c r="G4456" s="130">
        <v>2.5</v>
      </c>
      <c r="H4456" s="10">
        <f>25000*2.5</f>
        <v>62500</v>
      </c>
      <c r="I4456" s="10"/>
      <c r="J4456" s="79" t="e">
        <f t="shared" si="290"/>
        <v>#VALUE!</v>
      </c>
      <c r="K4456" s="106">
        <f t="shared" si="297"/>
        <v>25000</v>
      </c>
      <c r="L4456" s="141"/>
      <c r="M4456" s="132"/>
      <c r="N4456" s="133"/>
      <c r="O4456" s="4"/>
      <c r="P4456" s="4"/>
      <c r="Q4456" s="4"/>
      <c r="R4456" s="4"/>
      <c r="S4456" s="4"/>
      <c r="T4456" s="4"/>
      <c r="U4456" s="4"/>
      <c r="V4456" s="4"/>
      <c r="W4456" s="4"/>
      <c r="X4456" s="4"/>
    </row>
    <row r="4457" spans="1:24" ht="14.25" customHeight="1">
      <c r="A4457" s="4"/>
      <c r="B4457" s="125">
        <v>46189</v>
      </c>
      <c r="C4457" s="126" t="s">
        <v>2056</v>
      </c>
      <c r="D4457" s="15" t="s">
        <v>2138</v>
      </c>
      <c r="E4457" s="10" t="str">
        <f>TRIM(VLOOKUP(D4457,TB!$B$9:$C$1500,2,FALSE))</f>
        <v>Baby Carrot/Wortel</v>
      </c>
      <c r="F4457" s="142" t="s">
        <v>2195</v>
      </c>
      <c r="G4457" s="130">
        <v>1</v>
      </c>
      <c r="H4457" s="10">
        <v>35000</v>
      </c>
      <c r="I4457" s="10"/>
      <c r="J4457" s="79" t="e">
        <f t="shared" si="290"/>
        <v>#VALUE!</v>
      </c>
      <c r="K4457" s="106">
        <f t="shared" si="297"/>
        <v>35000</v>
      </c>
      <c r="L4457" s="141"/>
      <c r="M4457" s="132"/>
      <c r="N4457" s="133"/>
      <c r="O4457" s="4"/>
      <c r="P4457" s="4"/>
      <c r="Q4457" s="4"/>
      <c r="R4457" s="4"/>
      <c r="S4457" s="4"/>
      <c r="T4457" s="4"/>
      <c r="U4457" s="4"/>
      <c r="V4457" s="4"/>
      <c r="W4457" s="4"/>
      <c r="X4457" s="4"/>
    </row>
    <row r="4458" spans="1:24" ht="14.25" customHeight="1">
      <c r="A4458" s="4"/>
      <c r="B4458" s="125">
        <v>46189</v>
      </c>
      <c r="C4458" s="126" t="s">
        <v>2056</v>
      </c>
      <c r="D4458" s="15" t="s">
        <v>2087</v>
      </c>
      <c r="E4458" s="10" t="str">
        <f>TRIM(VLOOKUP(D4458,TB!$B$9:$C$1500,2,FALSE))</f>
        <v>Mushroom Shimeji / Bunapi</v>
      </c>
      <c r="F4458" s="142" t="s">
        <v>2322</v>
      </c>
      <c r="G4458" s="130">
        <v>6</v>
      </c>
      <c r="H4458" s="10">
        <f>17000*6</f>
        <v>102000</v>
      </c>
      <c r="I4458" s="10"/>
      <c r="J4458" s="79" t="e">
        <f t="shared" si="290"/>
        <v>#VALUE!</v>
      </c>
      <c r="K4458" s="106">
        <f t="shared" si="297"/>
        <v>17000</v>
      </c>
      <c r="L4458" s="141"/>
      <c r="M4458" s="132"/>
      <c r="N4458" s="133"/>
      <c r="O4458" s="4"/>
      <c r="P4458" s="4"/>
      <c r="Q4458" s="4"/>
      <c r="R4458" s="4"/>
      <c r="S4458" s="4"/>
      <c r="T4458" s="4"/>
      <c r="U4458" s="4"/>
      <c r="V4458" s="4"/>
      <c r="W4458" s="4"/>
      <c r="X4458" s="4"/>
    </row>
    <row r="4459" spans="1:24" ht="14.25" customHeight="1">
      <c r="A4459" s="4"/>
      <c r="B4459" s="125">
        <v>46189</v>
      </c>
      <c r="C4459" s="126" t="s">
        <v>2056</v>
      </c>
      <c r="D4459" s="15" t="s">
        <v>2153</v>
      </c>
      <c r="E4459" s="10" t="str">
        <f>TRIM(VLOOKUP(D4459,TB!$B$9:$C$1500,2,FALSE))</f>
        <v>Lemon Fruit</v>
      </c>
      <c r="F4459" s="142" t="s">
        <v>2323</v>
      </c>
      <c r="G4459" s="130">
        <v>1.1000000000000001</v>
      </c>
      <c r="H4459" s="10">
        <f>55000*1.1</f>
        <v>60500.000000000007</v>
      </c>
      <c r="I4459" s="10"/>
      <c r="J4459" s="79" t="e">
        <f t="shared" si="290"/>
        <v>#VALUE!</v>
      </c>
      <c r="K4459" s="106">
        <f t="shared" si="297"/>
        <v>55000</v>
      </c>
      <c r="L4459" s="141"/>
      <c r="M4459" s="132"/>
      <c r="N4459" s="133"/>
      <c r="O4459" s="4"/>
      <c r="P4459" s="4"/>
      <c r="Q4459" s="4"/>
      <c r="R4459" s="4"/>
      <c r="S4459" s="4"/>
      <c r="T4459" s="4"/>
      <c r="U4459" s="4"/>
      <c r="V4459" s="4"/>
      <c r="W4459" s="4"/>
      <c r="X4459" s="4"/>
    </row>
    <row r="4460" spans="1:24" ht="14.25" customHeight="1">
      <c r="A4460" s="4"/>
      <c r="B4460" s="125">
        <v>46189</v>
      </c>
      <c r="C4460" s="126" t="s">
        <v>2056</v>
      </c>
      <c r="D4460" s="15" t="s">
        <v>2062</v>
      </c>
      <c r="E4460" s="10" t="str">
        <f>TRIM(VLOOKUP(D4460,TB!$B$9:$C$1500,2,FALSE))</f>
        <v>Mushrooms Button</v>
      </c>
      <c r="F4460" s="142" t="s">
        <v>2200</v>
      </c>
      <c r="G4460" s="130">
        <v>2</v>
      </c>
      <c r="H4460" s="10">
        <f>45000*2</f>
        <v>90000</v>
      </c>
      <c r="I4460" s="10"/>
      <c r="J4460" s="79" t="e">
        <f t="shared" si="290"/>
        <v>#VALUE!</v>
      </c>
      <c r="K4460" s="106">
        <f t="shared" si="297"/>
        <v>45000</v>
      </c>
      <c r="L4460" s="141"/>
      <c r="M4460" s="132"/>
      <c r="N4460" s="133"/>
      <c r="O4460" s="4"/>
      <c r="P4460" s="4"/>
      <c r="Q4460" s="4"/>
      <c r="R4460" s="4"/>
      <c r="S4460" s="4"/>
      <c r="T4460" s="4"/>
      <c r="U4460" s="4"/>
      <c r="V4460" s="4"/>
      <c r="W4460" s="4"/>
      <c r="X4460" s="4"/>
    </row>
    <row r="4461" spans="1:24" ht="14.25" customHeight="1">
      <c r="A4461" s="4"/>
      <c r="B4461" s="125">
        <v>46189</v>
      </c>
      <c r="C4461" s="126" t="s">
        <v>2056</v>
      </c>
      <c r="D4461" s="15" t="s">
        <v>2102</v>
      </c>
      <c r="E4461" s="10" t="str">
        <f>TRIM(VLOOKUP(D4461,TB!$B$9:$C$1500,2,FALSE))</f>
        <v>Mix Salad</v>
      </c>
      <c r="F4461" s="142" t="s">
        <v>2207</v>
      </c>
      <c r="G4461" s="168">
        <v>0.25</v>
      </c>
      <c r="H4461" s="10">
        <f>50000*0.25</f>
        <v>12500</v>
      </c>
      <c r="I4461" s="10"/>
      <c r="J4461" s="79" t="e">
        <f t="shared" si="290"/>
        <v>#VALUE!</v>
      </c>
      <c r="K4461" s="106">
        <f t="shared" si="297"/>
        <v>50000</v>
      </c>
      <c r="L4461" s="141"/>
      <c r="M4461" s="132"/>
      <c r="N4461" s="133"/>
      <c r="O4461" s="4"/>
      <c r="P4461" s="4"/>
      <c r="Q4461" s="4"/>
      <c r="R4461" s="4"/>
      <c r="S4461" s="4"/>
      <c r="T4461" s="4"/>
      <c r="U4461" s="4"/>
      <c r="V4461" s="4"/>
      <c r="W4461" s="4"/>
      <c r="X4461" s="4"/>
    </row>
    <row r="4462" spans="1:24" ht="14.25" customHeight="1">
      <c r="A4462" s="4"/>
      <c r="B4462" s="125">
        <v>46189</v>
      </c>
      <c r="C4462" s="126" t="s">
        <v>2056</v>
      </c>
      <c r="D4462" s="15" t="s">
        <v>1794</v>
      </c>
      <c r="E4462" s="10" t="str">
        <f>TRIM(VLOOKUP(D4462,TB!$B$9:$C$1500,2,FALSE))</f>
        <v>Garlic/Bawang Putih</v>
      </c>
      <c r="F4462" s="142" t="s">
        <v>2324</v>
      </c>
      <c r="G4462" s="130">
        <v>1</v>
      </c>
      <c r="H4462" s="10">
        <v>38000</v>
      </c>
      <c r="I4462" s="10"/>
      <c r="J4462" s="79" t="e">
        <f t="shared" si="290"/>
        <v>#VALUE!</v>
      </c>
      <c r="K4462" s="106">
        <f t="shared" si="297"/>
        <v>38000</v>
      </c>
      <c r="L4462" s="141"/>
      <c r="M4462" s="132"/>
      <c r="N4462" s="133"/>
      <c r="O4462" s="4"/>
      <c r="P4462" s="4"/>
      <c r="Q4462" s="4"/>
      <c r="R4462" s="4"/>
      <c r="S4462" s="4"/>
      <c r="T4462" s="4"/>
      <c r="U4462" s="4"/>
      <c r="V4462" s="4"/>
      <c r="W4462" s="4"/>
      <c r="X4462" s="4"/>
    </row>
    <row r="4463" spans="1:24" ht="14.25" customHeight="1">
      <c r="A4463" s="4"/>
      <c r="B4463" s="125">
        <v>46189</v>
      </c>
      <c r="C4463" s="126" t="s">
        <v>2056</v>
      </c>
      <c r="D4463" s="15" t="s">
        <v>1807</v>
      </c>
      <c r="E4463" s="10" t="str">
        <f>TRIM(VLOOKUP(D4463,TB!$B$9:$C$1500,2,FALSE))</f>
        <v>Shallot/Bawang Merah</v>
      </c>
      <c r="F4463" s="142" t="s">
        <v>2325</v>
      </c>
      <c r="G4463" s="130">
        <v>1</v>
      </c>
      <c r="H4463" s="10">
        <v>52000</v>
      </c>
      <c r="I4463" s="10"/>
      <c r="J4463" s="79" t="e">
        <f t="shared" si="290"/>
        <v>#VALUE!</v>
      </c>
      <c r="K4463" s="106">
        <f t="shared" si="297"/>
        <v>52000</v>
      </c>
      <c r="L4463" s="141"/>
      <c r="M4463" s="132"/>
      <c r="N4463" s="133"/>
      <c r="O4463" s="4"/>
      <c r="P4463" s="4"/>
      <c r="Q4463" s="4"/>
      <c r="R4463" s="4"/>
      <c r="S4463" s="4"/>
      <c r="T4463" s="4"/>
      <c r="U4463" s="4"/>
      <c r="V4463" s="4"/>
      <c r="W4463" s="4"/>
      <c r="X4463" s="4"/>
    </row>
    <row r="4464" spans="1:24" ht="14.25" customHeight="1">
      <c r="A4464" s="4"/>
      <c r="B4464" s="125">
        <v>46189</v>
      </c>
      <c r="C4464" s="126" t="s">
        <v>2056</v>
      </c>
      <c r="D4464" s="15" t="s">
        <v>1877</v>
      </c>
      <c r="E4464" s="10" t="str">
        <f>TRIM(VLOOKUP(D4464,TB!$B$9:$C$1500,2,FALSE))</f>
        <v>Pok Coy</v>
      </c>
      <c r="F4464" s="142" t="s">
        <v>2152</v>
      </c>
      <c r="G4464" s="130">
        <v>4</v>
      </c>
      <c r="H4464" s="10">
        <f>15000*4</f>
        <v>60000</v>
      </c>
      <c r="I4464" s="10"/>
      <c r="J4464" s="79" t="e">
        <f t="shared" si="290"/>
        <v>#VALUE!</v>
      </c>
      <c r="K4464" s="106">
        <f t="shared" si="297"/>
        <v>15000</v>
      </c>
      <c r="L4464" s="141"/>
      <c r="M4464" s="132"/>
      <c r="N4464" s="133"/>
      <c r="O4464" s="4"/>
      <c r="P4464" s="4"/>
      <c r="Q4464" s="4"/>
      <c r="R4464" s="4"/>
      <c r="S4464" s="4"/>
      <c r="T4464" s="4"/>
      <c r="U4464" s="4"/>
      <c r="V4464" s="4"/>
      <c r="W4464" s="4"/>
      <c r="X4464" s="4"/>
    </row>
    <row r="4465" spans="1:24" ht="14.25" customHeight="1">
      <c r="A4465" s="4"/>
      <c r="B4465" s="125">
        <v>46189</v>
      </c>
      <c r="C4465" s="126" t="s">
        <v>2056</v>
      </c>
      <c r="D4465" s="15" t="s">
        <v>1888</v>
      </c>
      <c r="E4465" s="10" t="str">
        <f>TRIM(VLOOKUP(D4465,TB!$B$9:$C$1500,2,FALSE))</f>
        <v>Romaine</v>
      </c>
      <c r="F4465" s="142" t="s">
        <v>2326</v>
      </c>
      <c r="G4465" s="130">
        <v>4</v>
      </c>
      <c r="H4465" s="10">
        <f>80000*4</f>
        <v>320000</v>
      </c>
      <c r="I4465" s="10"/>
      <c r="J4465" s="79" t="e">
        <f t="shared" si="290"/>
        <v>#VALUE!</v>
      </c>
      <c r="K4465" s="106">
        <f t="shared" si="297"/>
        <v>80000</v>
      </c>
      <c r="L4465" s="141"/>
      <c r="M4465" s="132"/>
      <c r="N4465" s="133"/>
      <c r="O4465" s="4"/>
      <c r="P4465" s="4"/>
      <c r="Q4465" s="4"/>
      <c r="R4465" s="4"/>
      <c r="S4465" s="4"/>
      <c r="T4465" s="4"/>
      <c r="U4465" s="4"/>
      <c r="V4465" s="4"/>
      <c r="W4465" s="4"/>
      <c r="X4465" s="4"/>
    </row>
    <row r="4466" spans="1:24" ht="14.25" customHeight="1">
      <c r="A4466" s="4"/>
      <c r="B4466" s="125">
        <v>46189</v>
      </c>
      <c r="C4466" s="126" t="s">
        <v>2056</v>
      </c>
      <c r="D4466" s="15" t="s">
        <v>2100</v>
      </c>
      <c r="E4466" s="10" t="str">
        <f>TRIM(VLOOKUP(D4466,TB!$B$9:$C$1500,2,FALSE))</f>
        <v>Basil</v>
      </c>
      <c r="F4466" s="142" t="s">
        <v>2327</v>
      </c>
      <c r="G4466" s="130">
        <v>0.5</v>
      </c>
      <c r="H4466" s="10">
        <f>75000*0.5</f>
        <v>37500</v>
      </c>
      <c r="I4466" s="10"/>
      <c r="J4466" s="79" t="e">
        <f t="shared" si="290"/>
        <v>#VALUE!</v>
      </c>
      <c r="K4466" s="106">
        <f t="shared" si="297"/>
        <v>75000</v>
      </c>
      <c r="L4466" s="141"/>
      <c r="M4466" s="132"/>
      <c r="N4466" s="133"/>
      <c r="O4466" s="4"/>
      <c r="P4466" s="4"/>
      <c r="Q4466" s="4"/>
      <c r="R4466" s="4"/>
      <c r="S4466" s="4"/>
      <c r="T4466" s="4"/>
      <c r="U4466" s="4"/>
      <c r="V4466" s="4"/>
      <c r="W4466" s="4"/>
      <c r="X4466" s="4"/>
    </row>
    <row r="4467" spans="1:24" ht="14.25" customHeight="1">
      <c r="A4467" s="4"/>
      <c r="B4467" s="125">
        <v>46189</v>
      </c>
      <c r="C4467" s="126" t="s">
        <v>2056</v>
      </c>
      <c r="D4467" s="15" t="s">
        <v>2033</v>
      </c>
      <c r="E4467" s="10" t="str">
        <f>TRIM(VLOOKUP(D4467,TB!$B$9:$C$1500,2,FALSE))</f>
        <v>Potato</v>
      </c>
      <c r="F4467" s="142" t="s">
        <v>2264</v>
      </c>
      <c r="G4467" s="130">
        <v>15.2</v>
      </c>
      <c r="H4467" s="10">
        <f>19000*15.2</f>
        <v>288800</v>
      </c>
      <c r="I4467" s="10"/>
      <c r="J4467" s="79" t="e">
        <f t="shared" si="290"/>
        <v>#VALUE!</v>
      </c>
      <c r="K4467" s="106">
        <f t="shared" si="297"/>
        <v>19000</v>
      </c>
      <c r="L4467" s="141"/>
      <c r="M4467" s="132"/>
      <c r="N4467" s="133"/>
      <c r="O4467" s="4"/>
      <c r="P4467" s="4"/>
      <c r="Q4467" s="4"/>
      <c r="R4467" s="4"/>
      <c r="S4467" s="4"/>
      <c r="T4467" s="4"/>
      <c r="U4467" s="4"/>
      <c r="V4467" s="4"/>
      <c r="W4467" s="4"/>
      <c r="X4467" s="4"/>
    </row>
    <row r="4468" spans="1:24" ht="14.25" customHeight="1">
      <c r="A4468" s="4"/>
      <c r="B4468" s="125">
        <v>46189</v>
      </c>
      <c r="C4468" s="126" t="s">
        <v>2056</v>
      </c>
      <c r="D4468" s="15" t="s">
        <v>1765</v>
      </c>
      <c r="E4468" s="10" t="str">
        <f>TRIM(VLOOKUP(D4468,TB!$B$9:$C$1500,2,FALSE))</f>
        <v>Great Chilli / Lombok Besar</v>
      </c>
      <c r="F4468" s="142" t="s">
        <v>2328</v>
      </c>
      <c r="G4468" s="168">
        <v>0.5</v>
      </c>
      <c r="H4468" s="10">
        <f>50000*0.5</f>
        <v>25000</v>
      </c>
      <c r="I4468" s="10"/>
      <c r="J4468" s="79" t="e">
        <f t="shared" si="290"/>
        <v>#VALUE!</v>
      </c>
      <c r="K4468" s="106">
        <f t="shared" si="297"/>
        <v>50000</v>
      </c>
      <c r="L4468" s="141"/>
      <c r="M4468" s="132"/>
      <c r="N4468" s="133"/>
      <c r="O4468" s="4"/>
      <c r="P4468" s="4"/>
      <c r="Q4468" s="4"/>
      <c r="R4468" s="4"/>
      <c r="S4468" s="4"/>
      <c r="T4468" s="4"/>
      <c r="U4468" s="4"/>
      <c r="V4468" s="4"/>
      <c r="W4468" s="4"/>
      <c r="X4468" s="4"/>
    </row>
    <row r="4469" spans="1:24" ht="14.25" customHeight="1">
      <c r="A4469" s="4"/>
      <c r="B4469" s="125">
        <v>46189</v>
      </c>
      <c r="C4469" s="126" t="s">
        <v>2056</v>
      </c>
      <c r="D4469" s="15" t="s">
        <v>285</v>
      </c>
      <c r="E4469" s="10" t="str">
        <f>TRIM(VLOOKUP(D4469,TB!$B$9:$C$1500,2,FALSE))</f>
        <v>Misc Cash Purchase</v>
      </c>
      <c r="F4469" s="142" t="s">
        <v>2329</v>
      </c>
      <c r="G4469" s="197"/>
      <c r="H4469" s="10"/>
      <c r="I4469" s="10">
        <v>1906300</v>
      </c>
      <c r="J4469" s="79" t="e">
        <f t="shared" si="290"/>
        <v>#VALUE!</v>
      </c>
      <c r="K4469" s="106"/>
      <c r="L4469" s="141"/>
      <c r="M4469" s="132"/>
      <c r="N4469" s="133"/>
      <c r="O4469" s="4"/>
      <c r="P4469" s="4"/>
      <c r="Q4469" s="4"/>
      <c r="R4469" s="4"/>
      <c r="S4469" s="4"/>
      <c r="T4469" s="4"/>
      <c r="U4469" s="4"/>
      <c r="V4469" s="4"/>
      <c r="W4469" s="4"/>
      <c r="X4469" s="4"/>
    </row>
    <row r="4470" spans="1:24" ht="14.25" customHeight="1">
      <c r="A4470" s="4"/>
      <c r="B4470" s="125"/>
      <c r="C4470" s="126"/>
      <c r="D4470" s="68"/>
      <c r="E4470" s="10" t="e">
        <f>TRIM(VLOOKUP(D4470,TB!$B$9:$C$1500,2,FALSE))</f>
        <v>#N/A</v>
      </c>
      <c r="F4470" s="142"/>
      <c r="G4470" s="168"/>
      <c r="H4470" s="10"/>
      <c r="I4470" s="10"/>
      <c r="J4470" s="79" t="e">
        <f t="shared" si="290"/>
        <v>#VALUE!</v>
      </c>
      <c r="K4470" s="106"/>
      <c r="L4470" s="141"/>
      <c r="M4470" s="132"/>
      <c r="N4470" s="133"/>
      <c r="O4470" s="4"/>
      <c r="P4470" s="4"/>
      <c r="Q4470" s="4"/>
      <c r="R4470" s="4"/>
      <c r="S4470" s="4"/>
      <c r="T4470" s="4"/>
      <c r="U4470" s="4"/>
      <c r="V4470" s="4"/>
      <c r="W4470" s="4"/>
      <c r="X4470" s="4"/>
    </row>
    <row r="4471" spans="1:24" ht="14.25" customHeight="1">
      <c r="A4471" s="4"/>
      <c r="B4471" s="125">
        <v>46189</v>
      </c>
      <c r="C4471" s="126" t="s">
        <v>2056</v>
      </c>
      <c r="D4471" s="15" t="s">
        <v>2330</v>
      </c>
      <c r="E4471" s="10" t="str">
        <f>TRIM(VLOOKUP(D4471,TB!$B$9:$C$1500,2,FALSE))</f>
        <v>Coconut Cream</v>
      </c>
      <c r="F4471" s="142" t="s">
        <v>2331</v>
      </c>
      <c r="G4471" s="168">
        <f>4*0.065</f>
        <v>0.26</v>
      </c>
      <c r="H4471" s="10">
        <f>7500*4</f>
        <v>30000</v>
      </c>
      <c r="I4471" s="10"/>
      <c r="J4471" s="79" t="e">
        <f t="shared" si="290"/>
        <v>#VALUE!</v>
      </c>
      <c r="K4471" s="106">
        <f t="shared" ref="K4471:K4473" si="298">H4471/G4471</f>
        <v>115384.61538461538</v>
      </c>
      <c r="L4471" s="141"/>
      <c r="M4471" s="132"/>
      <c r="N4471" s="133"/>
      <c r="O4471" s="4"/>
      <c r="P4471" s="4"/>
      <c r="Q4471" s="4"/>
      <c r="R4471" s="4"/>
      <c r="S4471" s="4"/>
      <c r="T4471" s="4"/>
      <c r="U4471" s="4"/>
      <c r="V4471" s="4"/>
      <c r="W4471" s="4"/>
      <c r="X4471" s="4"/>
    </row>
    <row r="4472" spans="1:24" ht="14.25" customHeight="1">
      <c r="A4472" s="4"/>
      <c r="B4472" s="125">
        <v>46189</v>
      </c>
      <c r="C4472" s="126" t="s">
        <v>2056</v>
      </c>
      <c r="D4472" s="15" t="s">
        <v>2081</v>
      </c>
      <c r="E4472" s="10" t="str">
        <f>TRIM(VLOOKUP(D4472,TB!$B$9:$C$1500,2,FALSE))</f>
        <v>Baby Potato</v>
      </c>
      <c r="F4472" s="142" t="s">
        <v>2159</v>
      </c>
      <c r="G4472" s="168">
        <v>1</v>
      </c>
      <c r="H4472" s="10">
        <v>16000</v>
      </c>
      <c r="I4472" s="10"/>
      <c r="J4472" s="79" t="e">
        <f t="shared" si="290"/>
        <v>#VALUE!</v>
      </c>
      <c r="K4472" s="106">
        <f t="shared" si="298"/>
        <v>16000</v>
      </c>
      <c r="L4472" s="141"/>
      <c r="M4472" s="132"/>
      <c r="N4472" s="133"/>
      <c r="O4472" s="4"/>
      <c r="P4472" s="4"/>
      <c r="Q4472" s="4"/>
      <c r="R4472" s="4"/>
      <c r="S4472" s="4"/>
      <c r="T4472" s="4"/>
      <c r="U4472" s="4"/>
      <c r="V4472" s="4"/>
      <c r="W4472" s="4"/>
      <c r="X4472" s="4"/>
    </row>
    <row r="4473" spans="1:24" ht="14.25" customHeight="1">
      <c r="A4473" s="4"/>
      <c r="B4473" s="125">
        <v>46189</v>
      </c>
      <c r="C4473" s="126" t="s">
        <v>2056</v>
      </c>
      <c r="D4473" s="15" t="s">
        <v>2066</v>
      </c>
      <c r="E4473" s="10" t="str">
        <f>TRIM(VLOOKUP(D4473,TB!$B$9:$C$1500,2,FALSE))</f>
        <v>Knor Chicken</v>
      </c>
      <c r="F4473" s="142" t="s">
        <v>2332</v>
      </c>
      <c r="G4473" s="168">
        <v>1</v>
      </c>
      <c r="H4473" s="10">
        <v>110000</v>
      </c>
      <c r="I4473" s="10"/>
      <c r="J4473" s="79" t="e">
        <f t="shared" si="290"/>
        <v>#VALUE!</v>
      </c>
      <c r="K4473" s="106">
        <f t="shared" si="298"/>
        <v>110000</v>
      </c>
      <c r="L4473" s="141"/>
      <c r="M4473" s="132"/>
      <c r="N4473" s="133"/>
      <c r="O4473" s="4"/>
      <c r="P4473" s="4"/>
      <c r="Q4473" s="4"/>
      <c r="R4473" s="4"/>
      <c r="S4473" s="4"/>
      <c r="T4473" s="4"/>
      <c r="U4473" s="4"/>
      <c r="V4473" s="4"/>
      <c r="W4473" s="4"/>
      <c r="X4473" s="4"/>
    </row>
    <row r="4474" spans="1:24" ht="14.25" customHeight="1">
      <c r="A4474" s="4"/>
      <c r="B4474" s="125">
        <v>46189</v>
      </c>
      <c r="C4474" s="126" t="s">
        <v>2056</v>
      </c>
      <c r="D4474" s="15" t="s">
        <v>285</v>
      </c>
      <c r="E4474" s="10" t="str">
        <f>TRIM(VLOOKUP(D4474,TB!$B$9:$C$1500,2,FALSE))</f>
        <v>Misc Cash Purchase</v>
      </c>
      <c r="F4474" s="142" t="s">
        <v>2333</v>
      </c>
      <c r="G4474" s="168"/>
      <c r="H4474" s="10"/>
      <c r="I4474" s="10">
        <v>156000</v>
      </c>
      <c r="J4474" s="79" t="e">
        <f t="shared" si="290"/>
        <v>#VALUE!</v>
      </c>
      <c r="K4474" s="106"/>
      <c r="L4474" s="141"/>
      <c r="M4474" s="132"/>
      <c r="N4474" s="133"/>
      <c r="O4474" s="4"/>
      <c r="P4474" s="4"/>
      <c r="Q4474" s="4"/>
      <c r="R4474" s="4"/>
      <c r="S4474" s="4"/>
      <c r="T4474" s="4"/>
      <c r="U4474" s="4"/>
      <c r="V4474" s="4"/>
      <c r="W4474" s="4"/>
      <c r="X4474" s="4"/>
    </row>
    <row r="4475" spans="1:24" ht="14.25" customHeight="1">
      <c r="A4475" s="4"/>
      <c r="B4475" s="125"/>
      <c r="C4475" s="126"/>
      <c r="D4475" s="68"/>
      <c r="E4475" s="10" t="e">
        <f>TRIM(VLOOKUP(D4475,TB!$B$9:$C$1500,2,FALSE))</f>
        <v>#N/A</v>
      </c>
      <c r="F4475" s="142"/>
      <c r="G4475" s="168"/>
      <c r="H4475" s="10"/>
      <c r="I4475" s="10"/>
      <c r="J4475" s="79" t="e">
        <f t="shared" si="290"/>
        <v>#VALUE!</v>
      </c>
      <c r="K4475" s="106"/>
      <c r="L4475" s="141"/>
      <c r="M4475" s="132"/>
      <c r="N4475" s="133"/>
      <c r="O4475" s="4"/>
      <c r="P4475" s="4"/>
      <c r="Q4475" s="4"/>
      <c r="R4475" s="4"/>
      <c r="S4475" s="4"/>
      <c r="T4475" s="4"/>
      <c r="U4475" s="4"/>
      <c r="V4475" s="4"/>
      <c r="W4475" s="4"/>
      <c r="X4475" s="4"/>
    </row>
    <row r="4476" spans="1:24" ht="14.25" customHeight="1">
      <c r="A4476" s="4"/>
      <c r="B4476" s="125">
        <v>46189</v>
      </c>
      <c r="C4476" s="126" t="s">
        <v>2056</v>
      </c>
      <c r="D4476" s="15" t="s">
        <v>2030</v>
      </c>
      <c r="E4476" s="10" t="str">
        <f>TRIM(VLOOKUP(D4476,TB!$B$9:$C$1500,2,FALSE))</f>
        <v>Hot Chilli / Lombok Kecil</v>
      </c>
      <c r="F4476" s="142" t="s">
        <v>2334</v>
      </c>
      <c r="G4476" s="168">
        <v>0.25</v>
      </c>
      <c r="H4476" s="10">
        <f>75000*0.25</f>
        <v>18750</v>
      </c>
      <c r="I4476" s="10"/>
      <c r="J4476" s="79" t="e">
        <f t="shared" si="290"/>
        <v>#VALUE!</v>
      </c>
      <c r="K4476" s="106">
        <f t="shared" ref="K4476:K4493" si="299">H4476/G4476</f>
        <v>75000</v>
      </c>
      <c r="L4476" s="141"/>
      <c r="M4476" s="132"/>
      <c r="N4476" s="133"/>
      <c r="O4476" s="4"/>
      <c r="P4476" s="4"/>
      <c r="Q4476" s="4"/>
      <c r="R4476" s="4"/>
      <c r="S4476" s="4"/>
      <c r="T4476" s="4"/>
      <c r="U4476" s="4"/>
      <c r="V4476" s="4"/>
      <c r="W4476" s="4"/>
      <c r="X4476" s="4"/>
    </row>
    <row r="4477" spans="1:24" ht="14.25" customHeight="1">
      <c r="A4477" s="4"/>
      <c r="B4477" s="125">
        <v>46189</v>
      </c>
      <c r="C4477" s="126" t="s">
        <v>2056</v>
      </c>
      <c r="D4477" s="15" t="s">
        <v>1890</v>
      </c>
      <c r="E4477" s="10" t="str">
        <f>TRIM(VLOOKUP(D4477,TB!$B$9:$C$1500,2,FALSE))</f>
        <v>Avocado</v>
      </c>
      <c r="F4477" s="142" t="s">
        <v>2335</v>
      </c>
      <c r="G4477" s="168">
        <v>1.6</v>
      </c>
      <c r="H4477" s="10">
        <f>40000*1.6</f>
        <v>64000</v>
      </c>
      <c r="I4477" s="10"/>
      <c r="J4477" s="79" t="e">
        <f t="shared" si="290"/>
        <v>#VALUE!</v>
      </c>
      <c r="K4477" s="106">
        <f t="shared" si="299"/>
        <v>40000</v>
      </c>
      <c r="L4477" s="141"/>
      <c r="M4477" s="132"/>
      <c r="N4477" s="133"/>
      <c r="O4477" s="4"/>
      <c r="P4477" s="4"/>
      <c r="Q4477" s="4"/>
      <c r="R4477" s="4"/>
      <c r="S4477" s="4"/>
      <c r="T4477" s="4"/>
      <c r="U4477" s="4"/>
      <c r="V4477" s="4"/>
      <c r="W4477" s="4"/>
      <c r="X4477" s="4"/>
    </row>
    <row r="4478" spans="1:24" ht="14.25" customHeight="1">
      <c r="A4478" s="4"/>
      <c r="B4478" s="125">
        <v>46189</v>
      </c>
      <c r="C4478" s="126" t="s">
        <v>2056</v>
      </c>
      <c r="D4478" s="15" t="s">
        <v>2246</v>
      </c>
      <c r="E4478" s="10" t="str">
        <f>TRIM(VLOOKUP(D4478,TB!$B$9:$C$1500,2,FALSE))</f>
        <v>Kacang Panjang</v>
      </c>
      <c r="F4478" s="142" t="s">
        <v>2247</v>
      </c>
      <c r="G4478" s="168">
        <v>0.5</v>
      </c>
      <c r="H4478" s="10">
        <f>20000*0.5</f>
        <v>10000</v>
      </c>
      <c r="I4478" s="10"/>
      <c r="J4478" s="79" t="e">
        <f t="shared" si="290"/>
        <v>#VALUE!</v>
      </c>
      <c r="K4478" s="106">
        <f t="shared" si="299"/>
        <v>20000</v>
      </c>
      <c r="L4478" s="141"/>
      <c r="M4478" s="132"/>
      <c r="N4478" s="133"/>
      <c r="O4478" s="4"/>
      <c r="P4478" s="4"/>
      <c r="Q4478" s="4"/>
      <c r="R4478" s="4"/>
      <c r="S4478" s="4"/>
      <c r="T4478" s="4"/>
      <c r="U4478" s="4"/>
      <c r="V4478" s="4"/>
      <c r="W4478" s="4"/>
      <c r="X4478" s="4"/>
    </row>
    <row r="4479" spans="1:24" ht="14.25" customHeight="1">
      <c r="A4479" s="4"/>
      <c r="B4479" s="125">
        <v>46189</v>
      </c>
      <c r="C4479" s="126" t="s">
        <v>2056</v>
      </c>
      <c r="D4479" s="15" t="s">
        <v>2057</v>
      </c>
      <c r="E4479" s="10" t="str">
        <f>TRIM(VLOOKUP(D4479,TB!$B$9:$C$1500,2,FALSE))</f>
        <v>Capsicum/Paprika</v>
      </c>
      <c r="F4479" s="142" t="s">
        <v>2265</v>
      </c>
      <c r="G4479" s="130">
        <v>3</v>
      </c>
      <c r="H4479" s="10">
        <f>120000*3</f>
        <v>360000</v>
      </c>
      <c r="I4479" s="10"/>
      <c r="J4479" s="79" t="e">
        <f t="shared" si="290"/>
        <v>#VALUE!</v>
      </c>
      <c r="K4479" s="106">
        <f t="shared" si="299"/>
        <v>120000</v>
      </c>
      <c r="L4479" s="141"/>
      <c r="M4479" s="132"/>
      <c r="N4479" s="133"/>
      <c r="O4479" s="4"/>
      <c r="P4479" s="4"/>
      <c r="Q4479" s="4"/>
      <c r="R4479" s="4"/>
      <c r="S4479" s="4"/>
      <c r="T4479" s="4"/>
      <c r="U4479" s="4"/>
      <c r="V4479" s="4"/>
      <c r="W4479" s="4"/>
      <c r="X4479" s="4"/>
    </row>
    <row r="4480" spans="1:24" ht="14.25" customHeight="1">
      <c r="A4480" s="4"/>
      <c r="B4480" s="125">
        <v>46189</v>
      </c>
      <c r="C4480" s="126" t="s">
        <v>2056</v>
      </c>
      <c r="D4480" s="15" t="s">
        <v>2057</v>
      </c>
      <c r="E4480" s="10" t="str">
        <f>TRIM(VLOOKUP(D4480,TB!$B$9:$C$1500,2,FALSE))</f>
        <v>Capsicum/Paprika</v>
      </c>
      <c r="F4480" s="142" t="s">
        <v>2199</v>
      </c>
      <c r="G4480" s="130">
        <v>3</v>
      </c>
      <c r="H4480" s="10">
        <f>90000*3</f>
        <v>270000</v>
      </c>
      <c r="I4480" s="10"/>
      <c r="J4480" s="79" t="e">
        <f t="shared" si="290"/>
        <v>#VALUE!</v>
      </c>
      <c r="K4480" s="106">
        <f t="shared" si="299"/>
        <v>90000</v>
      </c>
      <c r="L4480" s="141"/>
      <c r="M4480" s="132"/>
      <c r="N4480" s="133"/>
      <c r="O4480" s="4"/>
      <c r="P4480" s="4"/>
      <c r="Q4480" s="4"/>
      <c r="R4480" s="4"/>
      <c r="S4480" s="4"/>
      <c r="T4480" s="4"/>
      <c r="U4480" s="4"/>
      <c r="V4480" s="4"/>
      <c r="W4480" s="4"/>
      <c r="X4480" s="4"/>
    </row>
    <row r="4481" spans="1:24" ht="14.25" customHeight="1">
      <c r="A4481" s="4"/>
      <c r="B4481" s="125">
        <v>46189</v>
      </c>
      <c r="C4481" s="126" t="s">
        <v>2056</v>
      </c>
      <c r="D4481" s="15" t="s">
        <v>2057</v>
      </c>
      <c r="E4481" s="10" t="str">
        <f>TRIM(VLOOKUP(D4481,TB!$B$9:$C$1500,2,FALSE))</f>
        <v>Capsicum/Paprika</v>
      </c>
      <c r="F4481" s="142" t="s">
        <v>2240</v>
      </c>
      <c r="G4481" s="130">
        <v>3</v>
      </c>
      <c r="H4481" s="10">
        <f>130000*3</f>
        <v>390000</v>
      </c>
      <c r="I4481" s="10"/>
      <c r="J4481" s="79" t="e">
        <f t="shared" si="290"/>
        <v>#VALUE!</v>
      </c>
      <c r="K4481" s="106">
        <f t="shared" si="299"/>
        <v>130000</v>
      </c>
      <c r="L4481" s="141"/>
      <c r="M4481" s="132"/>
      <c r="N4481" s="133"/>
      <c r="O4481" s="4"/>
      <c r="P4481" s="4"/>
      <c r="Q4481" s="4"/>
      <c r="R4481" s="4"/>
      <c r="S4481" s="4"/>
      <c r="T4481" s="4"/>
      <c r="U4481" s="4"/>
      <c r="V4481" s="4"/>
      <c r="W4481" s="4"/>
      <c r="X4481" s="4"/>
    </row>
    <row r="4482" spans="1:24" ht="14.25" customHeight="1">
      <c r="A4482" s="4"/>
      <c r="B4482" s="125">
        <v>46189</v>
      </c>
      <c r="C4482" s="126" t="s">
        <v>2056</v>
      </c>
      <c r="D4482" s="15" t="s">
        <v>1875</v>
      </c>
      <c r="E4482" s="10" t="str">
        <f>TRIM(VLOOKUP(D4482,TB!$B$9:$C$1500,2,FALSE))</f>
        <v>Onion/Bombay</v>
      </c>
      <c r="F4482" s="142" t="s">
        <v>2336</v>
      </c>
      <c r="G4482" s="130">
        <v>3</v>
      </c>
      <c r="H4482" s="10">
        <f>22000*3</f>
        <v>66000</v>
      </c>
      <c r="I4482" s="10"/>
      <c r="J4482" s="79" t="e">
        <f t="shared" si="290"/>
        <v>#VALUE!</v>
      </c>
      <c r="K4482" s="106">
        <f t="shared" si="299"/>
        <v>22000</v>
      </c>
      <c r="L4482" s="141"/>
      <c r="M4482" s="132"/>
      <c r="N4482" s="133"/>
      <c r="O4482" s="4"/>
      <c r="P4482" s="4"/>
      <c r="Q4482" s="4"/>
      <c r="R4482" s="4"/>
      <c r="S4482" s="4"/>
      <c r="T4482" s="4"/>
      <c r="U4482" s="4"/>
      <c r="V4482" s="4"/>
      <c r="W4482" s="4"/>
      <c r="X4482" s="4"/>
    </row>
    <row r="4483" spans="1:24" ht="14.25" customHeight="1">
      <c r="A4483" s="4"/>
      <c r="B4483" s="125">
        <v>46189</v>
      </c>
      <c r="C4483" s="126" t="s">
        <v>2056</v>
      </c>
      <c r="D4483" s="15" t="s">
        <v>1155</v>
      </c>
      <c r="E4483" s="10" t="str">
        <f>TRIM(VLOOKUP(D4483,TB!$B$9:$C$1500,2,FALSE))</f>
        <v>Kitchen Supplies</v>
      </c>
      <c r="F4483" s="142" t="s">
        <v>2337</v>
      </c>
      <c r="G4483" s="168">
        <v>0.5</v>
      </c>
      <c r="H4483" s="10">
        <f>110000*0.5</f>
        <v>55000</v>
      </c>
      <c r="I4483" s="10"/>
      <c r="J4483" s="79" t="e">
        <f t="shared" si="290"/>
        <v>#VALUE!</v>
      </c>
      <c r="K4483" s="106">
        <f t="shared" si="299"/>
        <v>110000</v>
      </c>
      <c r="L4483" s="141"/>
      <c r="M4483" s="132"/>
      <c r="N4483" s="133"/>
      <c r="O4483" s="4"/>
      <c r="P4483" s="4"/>
      <c r="Q4483" s="4"/>
      <c r="R4483" s="4"/>
      <c r="S4483" s="4"/>
      <c r="T4483" s="4"/>
      <c r="U4483" s="4"/>
      <c r="V4483" s="4"/>
      <c r="W4483" s="4"/>
      <c r="X4483" s="4"/>
    </row>
    <row r="4484" spans="1:24" ht="14.25" customHeight="1">
      <c r="A4484" s="4"/>
      <c r="B4484" s="125">
        <v>46189</v>
      </c>
      <c r="C4484" s="126" t="s">
        <v>2056</v>
      </c>
      <c r="D4484" s="15" t="s">
        <v>2126</v>
      </c>
      <c r="E4484" s="10" t="str">
        <f>TRIM(VLOOKUP(D4484,TB!$B$9:$C$1500,2,FALSE))</f>
        <v>Rice/Beras</v>
      </c>
      <c r="F4484" s="142" t="s">
        <v>2338</v>
      </c>
      <c r="G4484" s="130">
        <v>10</v>
      </c>
      <c r="H4484" s="10">
        <f>85000*2</f>
        <v>170000</v>
      </c>
      <c r="I4484" s="10"/>
      <c r="J4484" s="79" t="e">
        <f t="shared" si="290"/>
        <v>#VALUE!</v>
      </c>
      <c r="K4484" s="106">
        <f t="shared" si="299"/>
        <v>17000</v>
      </c>
      <c r="L4484" s="141"/>
      <c r="M4484" s="132"/>
      <c r="N4484" s="133"/>
      <c r="O4484" s="4"/>
      <c r="P4484" s="4"/>
      <c r="Q4484" s="4"/>
      <c r="R4484" s="4"/>
      <c r="S4484" s="4"/>
      <c r="T4484" s="4"/>
      <c r="U4484" s="4"/>
      <c r="V4484" s="4"/>
      <c r="W4484" s="4"/>
      <c r="X4484" s="4"/>
    </row>
    <row r="4485" spans="1:24" ht="14.25" customHeight="1">
      <c r="A4485" s="4"/>
      <c r="B4485" s="125">
        <v>46189</v>
      </c>
      <c r="C4485" s="126" t="s">
        <v>2056</v>
      </c>
      <c r="D4485" s="15" t="s">
        <v>1155</v>
      </c>
      <c r="E4485" s="10" t="str">
        <f>TRIM(VLOOKUP(D4485,TB!$B$9:$C$1500,2,FALSE))</f>
        <v>Kitchen Supplies</v>
      </c>
      <c r="F4485" s="142" t="s">
        <v>2339</v>
      </c>
      <c r="G4485" s="130">
        <v>3</v>
      </c>
      <c r="H4485" s="10">
        <f>36000*3</f>
        <v>108000</v>
      </c>
      <c r="I4485" s="10"/>
      <c r="J4485" s="79" t="e">
        <f t="shared" si="290"/>
        <v>#VALUE!</v>
      </c>
      <c r="K4485" s="106">
        <f t="shared" si="299"/>
        <v>36000</v>
      </c>
      <c r="L4485" s="141"/>
      <c r="M4485" s="132"/>
      <c r="N4485" s="133"/>
      <c r="O4485" s="4"/>
      <c r="P4485" s="4"/>
      <c r="Q4485" s="4"/>
      <c r="R4485" s="4"/>
      <c r="S4485" s="4"/>
      <c r="T4485" s="4"/>
      <c r="U4485" s="4"/>
      <c r="V4485" s="4"/>
      <c r="W4485" s="4"/>
      <c r="X4485" s="4"/>
    </row>
    <row r="4486" spans="1:24" ht="14.25" customHeight="1">
      <c r="A4486" s="4"/>
      <c r="B4486" s="125">
        <v>46189</v>
      </c>
      <c r="C4486" s="126" t="s">
        <v>2056</v>
      </c>
      <c r="D4486" s="15" t="s">
        <v>2294</v>
      </c>
      <c r="E4486" s="10" t="str">
        <f>TRIM(VLOOKUP(D4486,TB!$B$9:$C$1500,2,FALSE))</f>
        <v>Bumbu Sate / Kacang</v>
      </c>
      <c r="F4486" s="142" t="s">
        <v>2340</v>
      </c>
      <c r="G4486" s="130">
        <v>4</v>
      </c>
      <c r="H4486" s="10">
        <f>22000*4</f>
        <v>88000</v>
      </c>
      <c r="I4486" s="10"/>
      <c r="J4486" s="79" t="e">
        <f t="shared" si="290"/>
        <v>#VALUE!</v>
      </c>
      <c r="K4486" s="106">
        <f t="shared" si="299"/>
        <v>22000</v>
      </c>
      <c r="L4486" s="141"/>
      <c r="M4486" s="132"/>
      <c r="N4486" s="133"/>
      <c r="O4486" s="4"/>
      <c r="P4486" s="4"/>
      <c r="Q4486" s="4"/>
      <c r="R4486" s="4"/>
      <c r="S4486" s="4"/>
      <c r="T4486" s="4"/>
      <c r="U4486" s="4"/>
      <c r="V4486" s="4"/>
      <c r="W4486" s="4"/>
      <c r="X4486" s="4"/>
    </row>
    <row r="4487" spans="1:24" ht="14.25" customHeight="1">
      <c r="A4487" s="4"/>
      <c r="B4487" s="125">
        <v>46189</v>
      </c>
      <c r="C4487" s="126" t="s">
        <v>2056</v>
      </c>
      <c r="D4487" s="15" t="s">
        <v>1886</v>
      </c>
      <c r="E4487" s="10" t="str">
        <f>TRIM(VLOOKUP(D4487,TB!$B$9:$C$1500,2,FALSE))</f>
        <v>Ruccola</v>
      </c>
      <c r="F4487" s="142" t="s">
        <v>2261</v>
      </c>
      <c r="G4487" s="130">
        <v>1.5</v>
      </c>
      <c r="H4487" s="10">
        <f>70000*1.5</f>
        <v>105000</v>
      </c>
      <c r="I4487" s="10"/>
      <c r="J4487" s="79" t="e">
        <f t="shared" si="290"/>
        <v>#VALUE!</v>
      </c>
      <c r="K4487" s="106">
        <f t="shared" si="299"/>
        <v>70000</v>
      </c>
      <c r="L4487" s="141"/>
      <c r="M4487" s="132"/>
      <c r="N4487" s="133"/>
      <c r="O4487" s="4"/>
      <c r="P4487" s="4"/>
      <c r="Q4487" s="4"/>
      <c r="R4487" s="4"/>
      <c r="S4487" s="4"/>
      <c r="T4487" s="4"/>
      <c r="U4487" s="4"/>
      <c r="V4487" s="4"/>
      <c r="W4487" s="4"/>
      <c r="X4487" s="4"/>
    </row>
    <row r="4488" spans="1:24" ht="14.25" customHeight="1">
      <c r="A4488" s="4"/>
      <c r="B4488" s="125">
        <v>46189</v>
      </c>
      <c r="C4488" s="126" t="s">
        <v>2056</v>
      </c>
      <c r="D4488" s="15" t="s">
        <v>2064</v>
      </c>
      <c r="E4488" s="10" t="str">
        <f>TRIM(VLOOKUP(D4488,TB!$B$9:$C$1500,2,FALSE))</f>
        <v>Baby Spinach</v>
      </c>
      <c r="F4488" s="142" t="s">
        <v>2341</v>
      </c>
      <c r="G4488" s="130">
        <v>0.5</v>
      </c>
      <c r="H4488" s="10">
        <f>100000*0.5</f>
        <v>50000</v>
      </c>
      <c r="I4488" s="10"/>
      <c r="J4488" s="79" t="e">
        <f t="shared" si="290"/>
        <v>#VALUE!</v>
      </c>
      <c r="K4488" s="106">
        <f t="shared" si="299"/>
        <v>100000</v>
      </c>
      <c r="L4488" s="141"/>
      <c r="M4488" s="132"/>
      <c r="N4488" s="133"/>
      <c r="O4488" s="4"/>
      <c r="P4488" s="4"/>
      <c r="Q4488" s="4"/>
      <c r="R4488" s="4"/>
      <c r="S4488" s="4"/>
      <c r="T4488" s="4"/>
      <c r="U4488" s="4"/>
      <c r="V4488" s="4"/>
      <c r="W4488" s="4"/>
      <c r="X4488" s="4"/>
    </row>
    <row r="4489" spans="1:24" ht="14.25" customHeight="1">
      <c r="A4489" s="4"/>
      <c r="B4489" s="125">
        <v>46189</v>
      </c>
      <c r="C4489" s="126" t="s">
        <v>2056</v>
      </c>
      <c r="D4489" s="15" t="s">
        <v>2110</v>
      </c>
      <c r="E4489" s="10" t="str">
        <f>TRIM(VLOOKUP(D4489,TB!$B$9:$C$1500,2,FALSE))</f>
        <v>Watermelon/SEMANGKA</v>
      </c>
      <c r="F4489" s="142" t="s">
        <v>2267</v>
      </c>
      <c r="G4489" s="130">
        <v>4.9000000000000004</v>
      </c>
      <c r="H4489" s="10">
        <f>14000*4.9</f>
        <v>68600</v>
      </c>
      <c r="I4489" s="10"/>
      <c r="J4489" s="79" t="e">
        <f t="shared" si="290"/>
        <v>#VALUE!</v>
      </c>
      <c r="K4489" s="106">
        <f t="shared" si="299"/>
        <v>13999.999999999998</v>
      </c>
      <c r="L4489" s="141"/>
      <c r="M4489" s="132"/>
      <c r="N4489" s="133"/>
      <c r="O4489" s="4"/>
      <c r="P4489" s="4"/>
      <c r="Q4489" s="4"/>
      <c r="R4489" s="4"/>
      <c r="S4489" s="4"/>
      <c r="T4489" s="4"/>
      <c r="U4489" s="4"/>
      <c r="V4489" s="4"/>
      <c r="W4489" s="4"/>
      <c r="X4489" s="4"/>
    </row>
    <row r="4490" spans="1:24" ht="14.25" customHeight="1">
      <c r="A4490" s="4"/>
      <c r="B4490" s="125">
        <v>46189</v>
      </c>
      <c r="C4490" s="126" t="s">
        <v>2056</v>
      </c>
      <c r="D4490" s="15" t="s">
        <v>2069</v>
      </c>
      <c r="E4490" s="10" t="str">
        <f>TRIM(VLOOKUP(D4490,TB!$B$9:$C$1500,2,FALSE))</f>
        <v>Apple Fruit</v>
      </c>
      <c r="F4490" s="142" t="s">
        <v>2242</v>
      </c>
      <c r="G4490" s="130">
        <v>0.6</v>
      </c>
      <c r="H4490" s="10">
        <f>43000*0.6</f>
        <v>25800</v>
      </c>
      <c r="I4490" s="10"/>
      <c r="J4490" s="79" t="e">
        <f t="shared" si="290"/>
        <v>#VALUE!</v>
      </c>
      <c r="K4490" s="106">
        <f t="shared" si="299"/>
        <v>43000</v>
      </c>
      <c r="L4490" s="141"/>
      <c r="M4490" s="132"/>
      <c r="N4490" s="133"/>
      <c r="O4490" s="4"/>
      <c r="P4490" s="4"/>
      <c r="Q4490" s="4"/>
      <c r="R4490" s="4"/>
      <c r="S4490" s="4"/>
      <c r="T4490" s="4"/>
      <c r="U4490" s="4"/>
      <c r="V4490" s="4"/>
      <c r="W4490" s="4"/>
      <c r="X4490" s="4"/>
    </row>
    <row r="4491" spans="1:24" ht="14.25" customHeight="1">
      <c r="A4491" s="4"/>
      <c r="B4491" s="125">
        <v>46189</v>
      </c>
      <c r="C4491" s="126" t="s">
        <v>2056</v>
      </c>
      <c r="D4491" s="15" t="s">
        <v>2104</v>
      </c>
      <c r="E4491" s="10" t="str">
        <f>TRIM(VLOOKUP(D4491,TB!$B$9:$C$1500,2,FALSE))</f>
        <v>Pear</v>
      </c>
      <c r="F4491" s="142" t="s">
        <v>2342</v>
      </c>
      <c r="G4491" s="130">
        <v>1.2</v>
      </c>
      <c r="H4491" s="10">
        <f>28000*1.2</f>
        <v>33600</v>
      </c>
      <c r="I4491" s="10"/>
      <c r="J4491" s="79" t="e">
        <f t="shared" si="290"/>
        <v>#VALUE!</v>
      </c>
      <c r="K4491" s="106">
        <f t="shared" si="299"/>
        <v>28000</v>
      </c>
      <c r="L4491" s="141"/>
      <c r="M4491" s="132"/>
      <c r="N4491" s="133"/>
      <c r="O4491" s="4"/>
      <c r="P4491" s="4"/>
      <c r="Q4491" s="4"/>
      <c r="R4491" s="4"/>
      <c r="S4491" s="4"/>
      <c r="T4491" s="4"/>
      <c r="U4491" s="4"/>
      <c r="V4491" s="4"/>
      <c r="W4491" s="4"/>
      <c r="X4491" s="4"/>
    </row>
    <row r="4492" spans="1:24" ht="14.25" customHeight="1">
      <c r="A4492" s="4"/>
      <c r="B4492" s="125">
        <v>46189</v>
      </c>
      <c r="C4492" s="126" t="s">
        <v>2056</v>
      </c>
      <c r="D4492" s="15" t="s">
        <v>2106</v>
      </c>
      <c r="E4492" s="10" t="str">
        <f>TRIM(VLOOKUP(D4492,TB!$B$9:$C$1500,2,FALSE))</f>
        <v>Dragon Fruit / Buah Naga</v>
      </c>
      <c r="F4492" s="142" t="s">
        <v>2343</v>
      </c>
      <c r="G4492" s="130">
        <v>1.2</v>
      </c>
      <c r="H4492" s="10">
        <f>26000*1.2</f>
        <v>31200</v>
      </c>
      <c r="I4492" s="10"/>
      <c r="J4492" s="79" t="e">
        <f t="shared" si="290"/>
        <v>#VALUE!</v>
      </c>
      <c r="K4492" s="106">
        <f t="shared" si="299"/>
        <v>26000</v>
      </c>
      <c r="L4492" s="141"/>
      <c r="M4492" s="132"/>
      <c r="N4492" s="133"/>
      <c r="O4492" s="4"/>
      <c r="P4492" s="4"/>
      <c r="Q4492" s="4"/>
      <c r="R4492" s="4"/>
      <c r="S4492" s="4"/>
      <c r="T4492" s="4"/>
      <c r="U4492" s="4"/>
      <c r="V4492" s="4"/>
      <c r="W4492" s="4"/>
      <c r="X4492" s="4"/>
    </row>
    <row r="4493" spans="1:24" ht="14.25" customHeight="1">
      <c r="A4493" s="4"/>
      <c r="B4493" s="125">
        <v>46189</v>
      </c>
      <c r="C4493" s="126" t="s">
        <v>2056</v>
      </c>
      <c r="D4493" s="15" t="s">
        <v>2113</v>
      </c>
      <c r="E4493" s="10" t="str">
        <f>TRIM(VLOOKUP(D4493,TB!$B$9:$C$1500,2,FALSE))</f>
        <v>Grape Fruit/BUAH ANGGUR</v>
      </c>
      <c r="F4493" s="142" t="s">
        <v>2344</v>
      </c>
      <c r="G4493" s="130">
        <v>0.5</v>
      </c>
      <c r="H4493" s="10">
        <f>90000*0.5</f>
        <v>45000</v>
      </c>
      <c r="I4493" s="10"/>
      <c r="J4493" s="79" t="e">
        <f t="shared" si="290"/>
        <v>#VALUE!</v>
      </c>
      <c r="K4493" s="106">
        <f t="shared" si="299"/>
        <v>90000</v>
      </c>
      <c r="L4493" s="141"/>
      <c r="M4493" s="132"/>
      <c r="N4493" s="133"/>
      <c r="O4493" s="4"/>
      <c r="P4493" s="4"/>
      <c r="Q4493" s="4"/>
      <c r="R4493" s="4"/>
      <c r="S4493" s="4"/>
      <c r="T4493" s="4"/>
      <c r="U4493" s="4"/>
      <c r="V4493" s="4"/>
      <c r="W4493" s="4"/>
      <c r="X4493" s="4"/>
    </row>
    <row r="4494" spans="1:24" ht="14.25" customHeight="1">
      <c r="A4494" s="4"/>
      <c r="B4494" s="125">
        <v>46189</v>
      </c>
      <c r="C4494" s="126" t="s">
        <v>2056</v>
      </c>
      <c r="D4494" s="15" t="s">
        <v>285</v>
      </c>
      <c r="E4494" s="10" t="str">
        <f>TRIM(VLOOKUP(D4494,TB!$B$9:$C$1500,2,FALSE))</f>
        <v>Misc Cash Purchase</v>
      </c>
      <c r="F4494" s="142" t="s">
        <v>2345</v>
      </c>
      <c r="G4494" s="130"/>
      <c r="H4494" s="10"/>
      <c r="I4494" s="10">
        <v>1958950</v>
      </c>
      <c r="J4494" s="79" t="e">
        <f t="shared" si="290"/>
        <v>#VALUE!</v>
      </c>
      <c r="K4494" s="106"/>
      <c r="L4494" s="141"/>
      <c r="M4494" s="132"/>
      <c r="N4494" s="133"/>
      <c r="O4494" s="4"/>
      <c r="P4494" s="4"/>
      <c r="Q4494" s="4"/>
      <c r="R4494" s="4"/>
      <c r="S4494" s="4"/>
      <c r="T4494" s="4"/>
      <c r="U4494" s="4"/>
      <c r="V4494" s="4"/>
      <c r="W4494" s="4"/>
      <c r="X4494" s="4"/>
    </row>
    <row r="4495" spans="1:24" ht="14.25" customHeight="1">
      <c r="A4495" s="4"/>
      <c r="B4495" s="125"/>
      <c r="C4495" s="126"/>
      <c r="D4495" s="68"/>
      <c r="E4495" s="10" t="e">
        <f>TRIM(VLOOKUP(D4495,TB!$B$9:$C$1500,2,FALSE))</f>
        <v>#N/A</v>
      </c>
      <c r="F4495" s="142"/>
      <c r="G4495" s="130"/>
      <c r="H4495" s="10"/>
      <c r="I4495" s="10"/>
      <c r="J4495" s="79" t="e">
        <f t="shared" si="290"/>
        <v>#VALUE!</v>
      </c>
      <c r="K4495" s="106"/>
      <c r="L4495" s="141"/>
      <c r="M4495" s="132"/>
      <c r="N4495" s="133"/>
      <c r="O4495" s="4"/>
      <c r="P4495" s="4"/>
      <c r="Q4495" s="4"/>
      <c r="R4495" s="4"/>
      <c r="S4495" s="4"/>
      <c r="T4495" s="4"/>
      <c r="U4495" s="4"/>
      <c r="V4495" s="4"/>
      <c r="W4495" s="4"/>
      <c r="X4495" s="4"/>
    </row>
    <row r="4496" spans="1:24" ht="14.25" customHeight="1">
      <c r="A4496" s="4"/>
      <c r="B4496" s="125">
        <v>46192</v>
      </c>
      <c r="C4496" s="126" t="s">
        <v>2056</v>
      </c>
      <c r="D4496" s="15" t="s">
        <v>2216</v>
      </c>
      <c r="E4496" s="10" t="str">
        <f>TRIM(VLOOKUP(D4496,TB!$B$9:$C$1500,2,FALSE))</f>
        <v>Green Peas/Kacang Polong</v>
      </c>
      <c r="F4496" s="142" t="s">
        <v>2346</v>
      </c>
      <c r="G4496" s="130">
        <v>1</v>
      </c>
      <c r="H4496" s="10">
        <v>70000</v>
      </c>
      <c r="I4496" s="10"/>
      <c r="J4496" s="79" t="e">
        <f t="shared" si="290"/>
        <v>#VALUE!</v>
      </c>
      <c r="K4496" s="106">
        <f t="shared" ref="K4496:K4508" si="300">H4496/G4496</f>
        <v>70000</v>
      </c>
      <c r="L4496" s="141"/>
      <c r="M4496" s="132"/>
      <c r="N4496" s="133"/>
      <c r="O4496" s="4"/>
      <c r="P4496" s="4"/>
      <c r="Q4496" s="4"/>
      <c r="R4496" s="4"/>
      <c r="S4496" s="4"/>
      <c r="T4496" s="4"/>
      <c r="U4496" s="4"/>
      <c r="V4496" s="4"/>
      <c r="W4496" s="4"/>
      <c r="X4496" s="4"/>
    </row>
    <row r="4497" spans="1:24" ht="14.25" customHeight="1">
      <c r="A4497" s="4"/>
      <c r="B4497" s="125">
        <v>46192</v>
      </c>
      <c r="C4497" s="126" t="s">
        <v>2056</v>
      </c>
      <c r="D4497" s="15" t="s">
        <v>1869</v>
      </c>
      <c r="E4497" s="10" t="str">
        <f>TRIM(VLOOKUP(D4497,TB!$B$9:$C$1500,2,FALSE))</f>
        <v>Tempe</v>
      </c>
      <c r="F4497" s="142" t="s">
        <v>2165</v>
      </c>
      <c r="G4497" s="130">
        <v>4</v>
      </c>
      <c r="H4497" s="10">
        <f>2500*4</f>
        <v>10000</v>
      </c>
      <c r="I4497" s="10"/>
      <c r="J4497" s="79" t="e">
        <f t="shared" si="290"/>
        <v>#VALUE!</v>
      </c>
      <c r="K4497" s="106">
        <f t="shared" si="300"/>
        <v>2500</v>
      </c>
      <c r="L4497" s="141"/>
      <c r="M4497" s="132"/>
      <c r="N4497" s="133"/>
      <c r="O4497" s="4"/>
      <c r="P4497" s="4"/>
      <c r="Q4497" s="4"/>
      <c r="R4497" s="4"/>
      <c r="S4497" s="4"/>
      <c r="T4497" s="4"/>
      <c r="U4497" s="4"/>
      <c r="V4497" s="4"/>
      <c r="W4497" s="4"/>
      <c r="X4497" s="4"/>
    </row>
    <row r="4498" spans="1:24" ht="14.25" customHeight="1">
      <c r="A4498" s="4"/>
      <c r="B4498" s="125">
        <v>46192</v>
      </c>
      <c r="C4498" s="126" t="s">
        <v>2056</v>
      </c>
      <c r="D4498" s="15" t="s">
        <v>1877</v>
      </c>
      <c r="E4498" s="10" t="str">
        <f>TRIM(VLOOKUP(D4498,TB!$B$9:$C$1500,2,FALSE))</f>
        <v>Pok Coy</v>
      </c>
      <c r="F4498" s="142" t="s">
        <v>2167</v>
      </c>
      <c r="G4498" s="130">
        <v>0.5</v>
      </c>
      <c r="H4498" s="10">
        <f>15000*0.5</f>
        <v>7500</v>
      </c>
      <c r="I4498" s="10"/>
      <c r="J4498" s="79" t="e">
        <f t="shared" si="290"/>
        <v>#VALUE!</v>
      </c>
      <c r="K4498" s="106">
        <f t="shared" si="300"/>
        <v>15000</v>
      </c>
      <c r="L4498" s="141"/>
      <c r="M4498" s="132"/>
      <c r="N4498" s="133"/>
      <c r="O4498" s="4"/>
      <c r="P4498" s="4"/>
      <c r="Q4498" s="4"/>
      <c r="R4498" s="4"/>
      <c r="S4498" s="4"/>
      <c r="T4498" s="4"/>
      <c r="U4498" s="4"/>
      <c r="V4498" s="4"/>
      <c r="W4498" s="4"/>
      <c r="X4498" s="4"/>
    </row>
    <row r="4499" spans="1:24" ht="14.25" customHeight="1">
      <c r="A4499" s="4"/>
      <c r="B4499" s="125">
        <v>46192</v>
      </c>
      <c r="C4499" s="126" t="s">
        <v>2056</v>
      </c>
      <c r="D4499" s="15" t="s">
        <v>1765</v>
      </c>
      <c r="E4499" s="10" t="str">
        <f>TRIM(VLOOKUP(D4499,TB!$B$9:$C$1500,2,FALSE))</f>
        <v>Great Chilli / Lombok Besar</v>
      </c>
      <c r="F4499" s="142" t="s">
        <v>2347</v>
      </c>
      <c r="G4499" s="130">
        <v>0.5</v>
      </c>
      <c r="H4499" s="10">
        <f>50000*0.5</f>
        <v>25000</v>
      </c>
      <c r="I4499" s="10"/>
      <c r="J4499" s="79" t="e">
        <f t="shared" si="290"/>
        <v>#VALUE!</v>
      </c>
      <c r="K4499" s="106">
        <f t="shared" si="300"/>
        <v>50000</v>
      </c>
      <c r="L4499" s="141"/>
      <c r="M4499" s="132"/>
      <c r="N4499" s="133"/>
      <c r="O4499" s="4"/>
      <c r="P4499" s="4"/>
      <c r="Q4499" s="4"/>
      <c r="R4499" s="4"/>
      <c r="S4499" s="4"/>
      <c r="T4499" s="4"/>
      <c r="U4499" s="4"/>
      <c r="V4499" s="4"/>
      <c r="W4499" s="4"/>
      <c r="X4499" s="4"/>
    </row>
    <row r="4500" spans="1:24" ht="14.25" customHeight="1">
      <c r="A4500" s="4"/>
      <c r="B4500" s="125">
        <v>46192</v>
      </c>
      <c r="C4500" s="126" t="s">
        <v>2056</v>
      </c>
      <c r="D4500" s="15" t="s">
        <v>2030</v>
      </c>
      <c r="E4500" s="10" t="str">
        <f>TRIM(VLOOKUP(D4500,TB!$B$9:$C$1500,2,FALSE))</f>
        <v>Hot Chilli / Lombok Kecil</v>
      </c>
      <c r="F4500" s="142" t="s">
        <v>2348</v>
      </c>
      <c r="G4500" s="130">
        <v>0.25</v>
      </c>
      <c r="H4500" s="10">
        <f>75000*0.25</f>
        <v>18750</v>
      </c>
      <c r="I4500" s="10"/>
      <c r="J4500" s="79" t="e">
        <f t="shared" si="290"/>
        <v>#VALUE!</v>
      </c>
      <c r="K4500" s="106">
        <f t="shared" si="300"/>
        <v>75000</v>
      </c>
      <c r="L4500" s="141"/>
      <c r="M4500" s="132"/>
      <c r="N4500" s="133"/>
      <c r="O4500" s="4"/>
      <c r="P4500" s="4"/>
      <c r="Q4500" s="4"/>
      <c r="R4500" s="4"/>
      <c r="S4500" s="4"/>
      <c r="T4500" s="4"/>
      <c r="U4500" s="4"/>
      <c r="V4500" s="4"/>
      <c r="W4500" s="4"/>
      <c r="X4500" s="4"/>
    </row>
    <row r="4501" spans="1:24" ht="14.25" customHeight="1">
      <c r="A4501" s="4"/>
      <c r="B4501" s="125">
        <v>46192</v>
      </c>
      <c r="C4501" s="126" t="s">
        <v>2056</v>
      </c>
      <c r="D4501" s="15" t="s">
        <v>1877</v>
      </c>
      <c r="E4501" s="10" t="str">
        <f>TRIM(VLOOKUP(D4501,TB!$B$9:$C$1500,2,FALSE))</f>
        <v>Pok Coy</v>
      </c>
      <c r="F4501" s="142" t="s">
        <v>2167</v>
      </c>
      <c r="G4501" s="130">
        <v>0.5</v>
      </c>
      <c r="H4501" s="10">
        <f>15000*0.5</f>
        <v>7500</v>
      </c>
      <c r="I4501" s="10"/>
      <c r="J4501" s="79" t="e">
        <f t="shared" si="290"/>
        <v>#VALUE!</v>
      </c>
      <c r="K4501" s="106">
        <f t="shared" si="300"/>
        <v>15000</v>
      </c>
      <c r="L4501" s="141"/>
      <c r="M4501" s="132"/>
      <c r="N4501" s="133"/>
      <c r="O4501" s="4"/>
      <c r="P4501" s="4"/>
      <c r="Q4501" s="4"/>
      <c r="R4501" s="4"/>
      <c r="S4501" s="4"/>
      <c r="T4501" s="4"/>
      <c r="U4501" s="4"/>
      <c r="V4501" s="4"/>
      <c r="W4501" s="4"/>
      <c r="X4501" s="4"/>
    </row>
    <row r="4502" spans="1:24" ht="14.25" customHeight="1">
      <c r="A4502" s="4"/>
      <c r="B4502" s="125">
        <v>46192</v>
      </c>
      <c r="C4502" s="126" t="s">
        <v>2056</v>
      </c>
      <c r="D4502" s="15" t="s">
        <v>2108</v>
      </c>
      <c r="E4502" s="10" t="str">
        <f>TRIM(VLOOKUP(D4502,TB!$B$9:$C$1500,2,FALSE))</f>
        <v>Papaya Fruit</v>
      </c>
      <c r="F4502" s="142" t="s">
        <v>2109</v>
      </c>
      <c r="G4502" s="130">
        <v>2.2999999999999998</v>
      </c>
      <c r="H4502" s="10">
        <f>14000*2.3</f>
        <v>32199.999999999996</v>
      </c>
      <c r="I4502" s="10"/>
      <c r="J4502" s="79" t="e">
        <f t="shared" si="290"/>
        <v>#VALUE!</v>
      </c>
      <c r="K4502" s="106">
        <f t="shared" si="300"/>
        <v>14000</v>
      </c>
      <c r="L4502" s="141"/>
      <c r="M4502" s="132"/>
      <c r="N4502" s="133"/>
      <c r="O4502" s="4"/>
      <c r="P4502" s="4"/>
      <c r="Q4502" s="4"/>
      <c r="R4502" s="4"/>
      <c r="S4502" s="4"/>
      <c r="T4502" s="4"/>
      <c r="U4502" s="4"/>
      <c r="V4502" s="4"/>
      <c r="W4502" s="4"/>
      <c r="X4502" s="4"/>
    </row>
    <row r="4503" spans="1:24" ht="14.25" customHeight="1">
      <c r="A4503" s="4"/>
      <c r="B4503" s="125">
        <v>46192</v>
      </c>
      <c r="C4503" s="126" t="s">
        <v>2056</v>
      </c>
      <c r="D4503" s="15" t="s">
        <v>2069</v>
      </c>
      <c r="E4503" s="10" t="str">
        <f>TRIM(VLOOKUP(D4503,TB!$B$9:$C$1500,2,FALSE))</f>
        <v>Apple Fruit</v>
      </c>
      <c r="F4503" s="142" t="s">
        <v>2201</v>
      </c>
      <c r="G4503" s="130">
        <v>0.3</v>
      </c>
      <c r="H4503" s="10">
        <f>43000*0.3</f>
        <v>12900</v>
      </c>
      <c r="I4503" s="10"/>
      <c r="J4503" s="79" t="e">
        <f t="shared" si="290"/>
        <v>#VALUE!</v>
      </c>
      <c r="K4503" s="106">
        <f t="shared" si="300"/>
        <v>43000</v>
      </c>
      <c r="L4503" s="141"/>
      <c r="M4503" s="132"/>
      <c r="N4503" s="133"/>
      <c r="O4503" s="4"/>
      <c r="P4503" s="4"/>
      <c r="Q4503" s="4"/>
      <c r="R4503" s="4"/>
      <c r="S4503" s="4"/>
      <c r="T4503" s="4"/>
      <c r="U4503" s="4"/>
      <c r="V4503" s="4"/>
      <c r="W4503" s="4"/>
      <c r="X4503" s="4"/>
    </row>
    <row r="4504" spans="1:24" ht="14.25" customHeight="1">
      <c r="A4504" s="4"/>
      <c r="B4504" s="125">
        <v>46192</v>
      </c>
      <c r="C4504" s="126" t="s">
        <v>2056</v>
      </c>
      <c r="D4504" s="15" t="s">
        <v>2121</v>
      </c>
      <c r="E4504" s="10" t="str">
        <f>TRIM(VLOOKUP(D4504,TB!$B$9:$C$1500,2,FALSE))</f>
        <v>Mango Fruit</v>
      </c>
      <c r="F4504" s="142" t="s">
        <v>2122</v>
      </c>
      <c r="G4504" s="130">
        <v>1.2</v>
      </c>
      <c r="H4504" s="10">
        <f>40000*1.2</f>
        <v>48000</v>
      </c>
      <c r="I4504" s="10"/>
      <c r="J4504" s="79" t="e">
        <f t="shared" si="290"/>
        <v>#VALUE!</v>
      </c>
      <c r="K4504" s="106">
        <f t="shared" si="300"/>
        <v>40000</v>
      </c>
      <c r="L4504" s="141"/>
      <c r="M4504" s="132"/>
      <c r="N4504" s="133"/>
      <c r="O4504" s="4"/>
      <c r="P4504" s="4"/>
      <c r="Q4504" s="4"/>
      <c r="R4504" s="4"/>
      <c r="S4504" s="4"/>
      <c r="T4504" s="4"/>
      <c r="U4504" s="4"/>
      <c r="V4504" s="4"/>
      <c r="W4504" s="4"/>
      <c r="X4504" s="4"/>
    </row>
    <row r="4505" spans="1:24" ht="14.25" customHeight="1">
      <c r="A4505" s="4"/>
      <c r="B4505" s="125">
        <v>46192</v>
      </c>
      <c r="C4505" s="126" t="s">
        <v>2056</v>
      </c>
      <c r="D4505" s="15" t="s">
        <v>1928</v>
      </c>
      <c r="E4505" s="10" t="str">
        <f>TRIM(VLOOKUP(D4505,TB!$B$9:$C$1500,2,FALSE))</f>
        <v>Tomato 1 Kg</v>
      </c>
      <c r="F4505" s="142" t="s">
        <v>2349</v>
      </c>
      <c r="G4505" s="130">
        <v>2</v>
      </c>
      <c r="H4505" s="10">
        <f>20000*2</f>
        <v>40000</v>
      </c>
      <c r="I4505" s="10"/>
      <c r="J4505" s="79" t="e">
        <f t="shared" si="290"/>
        <v>#VALUE!</v>
      </c>
      <c r="K4505" s="106">
        <f t="shared" si="300"/>
        <v>20000</v>
      </c>
      <c r="L4505" s="141"/>
      <c r="M4505" s="132"/>
      <c r="N4505" s="133"/>
      <c r="O4505" s="4"/>
      <c r="P4505" s="4"/>
      <c r="Q4505" s="4"/>
      <c r="R4505" s="4"/>
      <c r="S4505" s="4"/>
      <c r="T4505" s="4"/>
      <c r="U4505" s="4"/>
      <c r="V4505" s="4"/>
      <c r="W4505" s="4"/>
      <c r="X4505" s="4"/>
    </row>
    <row r="4506" spans="1:24" ht="14.25" customHeight="1">
      <c r="A4506" s="4"/>
      <c r="B4506" s="125">
        <v>46192</v>
      </c>
      <c r="C4506" s="126" t="s">
        <v>2056</v>
      </c>
      <c r="D4506" s="15" t="s">
        <v>1926</v>
      </c>
      <c r="E4506" s="10" t="str">
        <f>TRIM(VLOOKUP(D4506,TB!$B$9:$C$1500,2,FALSE))</f>
        <v>Cherri Tomato</v>
      </c>
      <c r="F4506" s="142" t="s">
        <v>2350</v>
      </c>
      <c r="G4506" s="130">
        <v>0.25</v>
      </c>
      <c r="H4506" s="10">
        <f>55000*0.25</f>
        <v>13750</v>
      </c>
      <c r="I4506" s="10"/>
      <c r="J4506" s="79" t="e">
        <f t="shared" si="290"/>
        <v>#VALUE!</v>
      </c>
      <c r="K4506" s="106">
        <f t="shared" si="300"/>
        <v>55000</v>
      </c>
      <c r="L4506" s="141"/>
      <c r="M4506" s="132"/>
      <c r="N4506" s="133"/>
      <c r="O4506" s="4"/>
      <c r="P4506" s="4"/>
      <c r="Q4506" s="4"/>
      <c r="R4506" s="4"/>
      <c r="S4506" s="4"/>
      <c r="T4506" s="4"/>
      <c r="U4506" s="4"/>
      <c r="V4506" s="4"/>
      <c r="W4506" s="4"/>
      <c r="X4506" s="4"/>
    </row>
    <row r="4507" spans="1:24" ht="14.25" customHeight="1">
      <c r="A4507" s="4"/>
      <c r="B4507" s="125">
        <v>46192</v>
      </c>
      <c r="C4507" s="126" t="s">
        <v>2056</v>
      </c>
      <c r="D4507" s="15" t="s">
        <v>2278</v>
      </c>
      <c r="E4507" s="10" t="str">
        <f>TRIM(VLOOKUP(D4507,TB!$B$9:$C$1500,2,FALSE))</f>
        <v>Cabe Hijau/Cabe Keriting</v>
      </c>
      <c r="F4507" s="142" t="s">
        <v>2351</v>
      </c>
      <c r="G4507" s="130">
        <v>0.25</v>
      </c>
      <c r="H4507" s="10">
        <f>65000*0.25</f>
        <v>16250</v>
      </c>
      <c r="I4507" s="10"/>
      <c r="J4507" s="79" t="e">
        <f t="shared" si="290"/>
        <v>#VALUE!</v>
      </c>
      <c r="K4507" s="106">
        <f t="shared" si="300"/>
        <v>65000</v>
      </c>
      <c r="L4507" s="141"/>
      <c r="M4507" s="132"/>
      <c r="N4507" s="133"/>
      <c r="O4507" s="4"/>
      <c r="P4507" s="4"/>
      <c r="Q4507" s="4"/>
      <c r="R4507" s="4"/>
      <c r="S4507" s="4"/>
      <c r="T4507" s="4"/>
      <c r="U4507" s="4"/>
      <c r="V4507" s="4"/>
      <c r="W4507" s="4"/>
      <c r="X4507" s="4"/>
    </row>
    <row r="4508" spans="1:24" ht="14.25" customHeight="1">
      <c r="A4508" s="4"/>
      <c r="B4508" s="125">
        <v>46192</v>
      </c>
      <c r="C4508" s="126" t="s">
        <v>2056</v>
      </c>
      <c r="D4508" s="15" t="s">
        <v>2169</v>
      </c>
      <c r="E4508" s="10" t="str">
        <f>TRIM(VLOOKUP(D4508,TB!$B$9:$C$1500,2,FALSE))</f>
        <v>Pumkin/Labu</v>
      </c>
      <c r="F4508" s="142" t="s">
        <v>2352</v>
      </c>
      <c r="G4508" s="130">
        <v>2.1</v>
      </c>
      <c r="H4508" s="10">
        <f>12000*2.1</f>
        <v>25200</v>
      </c>
      <c r="I4508" s="10"/>
      <c r="J4508" s="79" t="e">
        <f t="shared" si="290"/>
        <v>#VALUE!</v>
      </c>
      <c r="K4508" s="106">
        <f t="shared" si="300"/>
        <v>12000</v>
      </c>
      <c r="L4508" s="141"/>
      <c r="M4508" s="132"/>
      <c r="N4508" s="133"/>
      <c r="O4508" s="4"/>
      <c r="P4508" s="4"/>
      <c r="Q4508" s="4"/>
      <c r="R4508" s="4"/>
      <c r="S4508" s="4"/>
      <c r="T4508" s="4"/>
      <c r="U4508" s="4"/>
      <c r="V4508" s="4"/>
      <c r="W4508" s="4"/>
      <c r="X4508" s="4"/>
    </row>
    <row r="4509" spans="1:24" ht="14.25" customHeight="1">
      <c r="A4509" s="4"/>
      <c r="B4509" s="125">
        <v>46192</v>
      </c>
      <c r="C4509" s="126" t="s">
        <v>2056</v>
      </c>
      <c r="D4509" s="15" t="s">
        <v>285</v>
      </c>
      <c r="E4509" s="10" t="str">
        <f>TRIM(VLOOKUP(D4509,TB!$B$9:$C$1500,2,FALSE))</f>
        <v>Misc Cash Purchase</v>
      </c>
      <c r="F4509" s="142" t="s">
        <v>2353</v>
      </c>
      <c r="G4509" s="130"/>
      <c r="H4509" s="10"/>
      <c r="I4509" s="10">
        <v>327050</v>
      </c>
      <c r="J4509" s="79" t="e">
        <f t="shared" si="290"/>
        <v>#VALUE!</v>
      </c>
      <c r="K4509" s="106"/>
      <c r="L4509" s="141"/>
      <c r="M4509" s="132"/>
      <c r="N4509" s="133"/>
      <c r="O4509" s="4"/>
      <c r="P4509" s="4"/>
      <c r="Q4509" s="4"/>
      <c r="R4509" s="4"/>
      <c r="S4509" s="4"/>
      <c r="T4509" s="4"/>
      <c r="U4509" s="4"/>
      <c r="V4509" s="4"/>
      <c r="W4509" s="4"/>
      <c r="X4509" s="4"/>
    </row>
    <row r="4510" spans="1:24" ht="14.25" customHeight="1">
      <c r="A4510" s="4"/>
      <c r="B4510" s="125"/>
      <c r="C4510" s="126"/>
      <c r="D4510" s="68"/>
      <c r="E4510" s="10" t="e">
        <f>TRIM(VLOOKUP(D4510,TB!$B$9:$C$1500,2,FALSE))</f>
        <v>#N/A</v>
      </c>
      <c r="F4510" s="142"/>
      <c r="G4510" s="130"/>
      <c r="H4510" s="10"/>
      <c r="I4510" s="10"/>
      <c r="J4510" s="79" t="e">
        <f t="shared" si="290"/>
        <v>#VALUE!</v>
      </c>
      <c r="K4510" s="106"/>
      <c r="L4510" s="141"/>
      <c r="M4510" s="132"/>
      <c r="N4510" s="133"/>
      <c r="O4510" s="4"/>
      <c r="P4510" s="4"/>
      <c r="Q4510" s="4"/>
      <c r="R4510" s="4"/>
      <c r="S4510" s="4"/>
      <c r="T4510" s="4"/>
      <c r="U4510" s="4"/>
      <c r="V4510" s="4"/>
      <c r="W4510" s="4"/>
      <c r="X4510" s="4"/>
    </row>
    <row r="4511" spans="1:24" ht="14.25" customHeight="1">
      <c r="A4511" s="4"/>
      <c r="B4511" s="125">
        <v>46193</v>
      </c>
      <c r="C4511" s="126" t="s">
        <v>2056</v>
      </c>
      <c r="D4511" s="15" t="s">
        <v>2094</v>
      </c>
      <c r="E4511" s="10" t="str">
        <f>TRIM(VLOOKUP(D4511,TB!$B$9:$C$1500,2,FALSE))</f>
        <v>Ginger/Jahe</v>
      </c>
      <c r="F4511" s="142" t="s">
        <v>2095</v>
      </c>
      <c r="G4511" s="130">
        <v>0.25</v>
      </c>
      <c r="H4511" s="10">
        <f>22000*0.25</f>
        <v>5500</v>
      </c>
      <c r="I4511" s="10"/>
      <c r="J4511" s="79" t="e">
        <f t="shared" si="290"/>
        <v>#VALUE!</v>
      </c>
      <c r="K4511" s="106">
        <f t="shared" ref="K4511:K4513" si="301">H4511/G4511</f>
        <v>22000</v>
      </c>
      <c r="L4511" s="141"/>
      <c r="M4511" s="132"/>
      <c r="N4511" s="133"/>
      <c r="O4511" s="4"/>
      <c r="P4511" s="4"/>
      <c r="Q4511" s="4"/>
      <c r="R4511" s="4"/>
      <c r="S4511" s="4"/>
      <c r="T4511" s="4"/>
      <c r="U4511" s="4"/>
      <c r="V4511" s="4"/>
      <c r="W4511" s="4"/>
      <c r="X4511" s="4"/>
    </row>
    <row r="4512" spans="1:24" ht="14.25" customHeight="1">
      <c r="A4512" s="4"/>
      <c r="B4512" s="125">
        <v>46193</v>
      </c>
      <c r="C4512" s="126" t="s">
        <v>2056</v>
      </c>
      <c r="D4512" s="15" t="s">
        <v>2259</v>
      </c>
      <c r="E4512" s="10" t="str">
        <f>TRIM(VLOOKUP(D4512,TB!$B$9:$C$1500,2,FALSE))</f>
        <v>Tumeric/Kunyit</v>
      </c>
      <c r="F4512" s="142" t="s">
        <v>2354</v>
      </c>
      <c r="G4512" s="130">
        <v>0.25</v>
      </c>
      <c r="H4512" s="10">
        <f>13000*0.25</f>
        <v>3250</v>
      </c>
      <c r="I4512" s="10"/>
      <c r="J4512" s="79" t="e">
        <f t="shared" si="290"/>
        <v>#VALUE!</v>
      </c>
      <c r="K4512" s="106">
        <f t="shared" si="301"/>
        <v>13000</v>
      </c>
      <c r="L4512" s="141"/>
      <c r="M4512" s="132"/>
      <c r="N4512" s="133"/>
      <c r="O4512" s="4"/>
      <c r="P4512" s="4"/>
      <c r="Q4512" s="4"/>
      <c r="R4512" s="4"/>
      <c r="S4512" s="4"/>
      <c r="T4512" s="4"/>
      <c r="U4512" s="4"/>
      <c r="V4512" s="4"/>
      <c r="W4512" s="4"/>
      <c r="X4512" s="4"/>
    </row>
    <row r="4513" spans="1:24" ht="14.25" customHeight="1">
      <c r="A4513" s="4"/>
      <c r="B4513" s="125">
        <v>46193</v>
      </c>
      <c r="C4513" s="126" t="s">
        <v>2056</v>
      </c>
      <c r="D4513" s="15" t="s">
        <v>2219</v>
      </c>
      <c r="E4513" s="10" t="str">
        <f>TRIM(VLOOKUP(D4513,TB!$B$9:$C$1500,2,FALSE))</f>
        <v>Sereh</v>
      </c>
      <c r="F4513" s="142" t="s">
        <v>2220</v>
      </c>
      <c r="G4513" s="130">
        <v>0.25</v>
      </c>
      <c r="H4513" s="10">
        <f>20000*0.25</f>
        <v>5000</v>
      </c>
      <c r="I4513" s="10"/>
      <c r="J4513" s="79" t="e">
        <f t="shared" si="290"/>
        <v>#VALUE!</v>
      </c>
      <c r="K4513" s="106">
        <f t="shared" si="301"/>
        <v>20000</v>
      </c>
      <c r="L4513" s="141"/>
      <c r="M4513" s="132"/>
      <c r="N4513" s="133"/>
      <c r="O4513" s="4"/>
      <c r="P4513" s="4"/>
      <c r="Q4513" s="4"/>
      <c r="R4513" s="4"/>
      <c r="S4513" s="4"/>
      <c r="T4513" s="4"/>
      <c r="U4513" s="4"/>
      <c r="V4513" s="4"/>
      <c r="W4513" s="4"/>
      <c r="X4513" s="4"/>
    </row>
    <row r="4514" spans="1:24" ht="14.25" customHeight="1">
      <c r="A4514" s="4"/>
      <c r="B4514" s="125">
        <v>46193</v>
      </c>
      <c r="C4514" s="126" t="s">
        <v>2056</v>
      </c>
      <c r="D4514" s="15" t="s">
        <v>1155</v>
      </c>
      <c r="E4514" s="10" t="str">
        <f>TRIM(VLOOKUP(D4514,TB!$B$9:$C$1500,2,FALSE))</f>
        <v>Kitchen Supplies</v>
      </c>
      <c r="F4514" s="142" t="s">
        <v>2355</v>
      </c>
      <c r="G4514" s="130">
        <v>0.25</v>
      </c>
      <c r="H4514" s="10">
        <f>13000*0.25</f>
        <v>3250</v>
      </c>
      <c r="I4514" s="10"/>
      <c r="J4514" s="79" t="e">
        <f t="shared" si="290"/>
        <v>#VALUE!</v>
      </c>
      <c r="K4514" s="106"/>
      <c r="L4514" s="141"/>
      <c r="M4514" s="132"/>
      <c r="N4514" s="133"/>
      <c r="O4514" s="4"/>
      <c r="P4514" s="4"/>
      <c r="Q4514" s="4"/>
      <c r="R4514" s="4"/>
      <c r="S4514" s="4"/>
      <c r="T4514" s="4"/>
      <c r="U4514" s="4"/>
      <c r="V4514" s="4"/>
      <c r="W4514" s="4"/>
      <c r="X4514" s="4"/>
    </row>
    <row r="4515" spans="1:24" ht="14.25" customHeight="1">
      <c r="A4515" s="4"/>
      <c r="B4515" s="125">
        <v>46193</v>
      </c>
      <c r="C4515" s="126" t="s">
        <v>2056</v>
      </c>
      <c r="D4515" s="15" t="s">
        <v>1890</v>
      </c>
      <c r="E4515" s="10" t="str">
        <f>TRIM(VLOOKUP(D4515,TB!$B$9:$C$1500,2,FALSE))</f>
        <v>Avocado</v>
      </c>
      <c r="F4515" s="142" t="s">
        <v>2164</v>
      </c>
      <c r="G4515" s="130">
        <v>0.7</v>
      </c>
      <c r="H4515" s="10">
        <f>40000*0.7</f>
        <v>28000</v>
      </c>
      <c r="I4515" s="10"/>
      <c r="J4515" s="79" t="e">
        <f t="shared" si="290"/>
        <v>#VALUE!</v>
      </c>
      <c r="K4515" s="106">
        <f t="shared" ref="K4515:K4518" si="302">H4515/G4515</f>
        <v>40000</v>
      </c>
      <c r="L4515" s="141"/>
      <c r="M4515" s="132"/>
      <c r="N4515" s="133"/>
      <c r="O4515" s="4"/>
      <c r="P4515" s="4"/>
      <c r="Q4515" s="4"/>
      <c r="R4515" s="4"/>
      <c r="S4515" s="4"/>
      <c r="T4515" s="4"/>
      <c r="U4515" s="4"/>
      <c r="V4515" s="4"/>
      <c r="W4515" s="4"/>
      <c r="X4515" s="4"/>
    </row>
    <row r="4516" spans="1:24" ht="14.25" customHeight="1">
      <c r="A4516" s="4"/>
      <c r="B4516" s="125">
        <v>46193</v>
      </c>
      <c r="C4516" s="126" t="s">
        <v>2056</v>
      </c>
      <c r="D4516" s="15" t="s">
        <v>2090</v>
      </c>
      <c r="E4516" s="10" t="str">
        <f>TRIM(VLOOKUP(D4516,TB!$B$9:$C$1500,2,FALSE))</f>
        <v>Japanese Cucumber/Timun</v>
      </c>
      <c r="F4516" s="142" t="s">
        <v>2091</v>
      </c>
      <c r="G4516" s="130">
        <v>0.9</v>
      </c>
      <c r="H4516" s="10">
        <f>14000*0.9</f>
        <v>12600</v>
      </c>
      <c r="I4516" s="10"/>
      <c r="J4516" s="79" t="e">
        <f t="shared" si="290"/>
        <v>#VALUE!</v>
      </c>
      <c r="K4516" s="106">
        <f t="shared" si="302"/>
        <v>14000</v>
      </c>
      <c r="L4516" s="141"/>
      <c r="M4516" s="141"/>
      <c r="N4516" s="133"/>
      <c r="O4516" s="4"/>
      <c r="P4516" s="4"/>
      <c r="Q4516" s="4"/>
      <c r="R4516" s="4"/>
      <c r="S4516" s="4"/>
      <c r="T4516" s="4"/>
      <c r="U4516" s="4"/>
      <c r="V4516" s="4"/>
      <c r="W4516" s="4"/>
      <c r="X4516" s="4"/>
    </row>
    <row r="4517" spans="1:24" ht="14.25" customHeight="1">
      <c r="A4517" s="4"/>
      <c r="B4517" s="125">
        <v>46193</v>
      </c>
      <c r="C4517" s="126" t="s">
        <v>2056</v>
      </c>
      <c r="D4517" s="15" t="s">
        <v>1877</v>
      </c>
      <c r="E4517" s="10" t="str">
        <f>TRIM(VLOOKUP(D4517,TB!$B$9:$C$1500,2,FALSE))</f>
        <v>Pok Coy</v>
      </c>
      <c r="F4517" s="142" t="s">
        <v>2167</v>
      </c>
      <c r="G4517" s="130">
        <v>0.5</v>
      </c>
      <c r="H4517" s="10">
        <f>15000*0.5</f>
        <v>7500</v>
      </c>
      <c r="I4517" s="10"/>
      <c r="J4517" s="79" t="e">
        <f t="shared" si="290"/>
        <v>#VALUE!</v>
      </c>
      <c r="K4517" s="106">
        <f t="shared" si="302"/>
        <v>15000</v>
      </c>
      <c r="L4517" s="141"/>
      <c r="M4517" s="132"/>
      <c r="N4517" s="133"/>
      <c r="O4517" s="4"/>
      <c r="P4517" s="4"/>
      <c r="Q4517" s="4"/>
      <c r="R4517" s="4"/>
      <c r="S4517" s="4"/>
      <c r="T4517" s="4"/>
      <c r="U4517" s="4"/>
      <c r="V4517" s="4"/>
      <c r="W4517" s="4"/>
      <c r="X4517" s="4"/>
    </row>
    <row r="4518" spans="1:24" ht="14.25" customHeight="1">
      <c r="A4518" s="4"/>
      <c r="B4518" s="125">
        <v>46193</v>
      </c>
      <c r="C4518" s="126" t="s">
        <v>2056</v>
      </c>
      <c r="D4518" s="15" t="s">
        <v>1926</v>
      </c>
      <c r="E4518" s="10" t="str">
        <f>TRIM(VLOOKUP(D4518,TB!$B$9:$C$1500,2,FALSE))</f>
        <v>Cherri Tomato</v>
      </c>
      <c r="F4518" s="142" t="s">
        <v>2166</v>
      </c>
      <c r="G4518" s="130">
        <v>0.35</v>
      </c>
      <c r="H4518" s="10">
        <f>55000*0.35</f>
        <v>19250</v>
      </c>
      <c r="I4518" s="10"/>
      <c r="J4518" s="79" t="e">
        <f t="shared" si="290"/>
        <v>#VALUE!</v>
      </c>
      <c r="K4518" s="106">
        <f t="shared" si="302"/>
        <v>55000</v>
      </c>
      <c r="L4518" s="141"/>
      <c r="M4518" s="132"/>
      <c r="N4518" s="133"/>
      <c r="O4518" s="4"/>
      <c r="P4518" s="4"/>
      <c r="Q4518" s="4"/>
      <c r="R4518" s="4"/>
      <c r="S4518" s="4"/>
      <c r="T4518" s="4"/>
      <c r="U4518" s="4"/>
      <c r="V4518" s="4"/>
      <c r="W4518" s="4"/>
      <c r="X4518" s="4"/>
    </row>
    <row r="4519" spans="1:24" ht="14.25" customHeight="1">
      <c r="A4519" s="4"/>
      <c r="B4519" s="125">
        <v>46193</v>
      </c>
      <c r="C4519" s="126" t="s">
        <v>2056</v>
      </c>
      <c r="D4519" s="15" t="s">
        <v>1155</v>
      </c>
      <c r="E4519" s="10" t="str">
        <f>TRIM(VLOOKUP(D4519,TB!$B$9:$C$1500,2,FALSE))</f>
        <v>Kitchen Supplies</v>
      </c>
      <c r="F4519" s="142" t="s">
        <v>2183</v>
      </c>
      <c r="G4519" s="130">
        <v>1</v>
      </c>
      <c r="H4519" s="10">
        <v>36000</v>
      </c>
      <c r="I4519" s="10"/>
      <c r="J4519" s="79" t="e">
        <f t="shared" si="290"/>
        <v>#VALUE!</v>
      </c>
      <c r="K4519" s="106"/>
      <c r="L4519" s="141"/>
      <c r="M4519" s="132"/>
      <c r="N4519" s="133"/>
      <c r="O4519" s="4"/>
      <c r="P4519" s="4"/>
      <c r="Q4519" s="4"/>
      <c r="R4519" s="4"/>
      <c r="S4519" s="4"/>
      <c r="T4519" s="4"/>
      <c r="U4519" s="4"/>
      <c r="V4519" s="4"/>
      <c r="W4519" s="4"/>
      <c r="X4519" s="4"/>
    </row>
    <row r="4520" spans="1:24" ht="14.25" customHeight="1">
      <c r="A4520" s="4"/>
      <c r="B4520" s="125">
        <v>46193</v>
      </c>
      <c r="C4520" s="126" t="s">
        <v>2056</v>
      </c>
      <c r="D4520" s="15" t="s">
        <v>2356</v>
      </c>
      <c r="E4520" s="10" t="str">
        <f>TRIM(VLOOKUP(D4520,TB!$B$9:$C$1500,2,FALSE))</f>
        <v>Jagung / Corn</v>
      </c>
      <c r="F4520" s="142" t="s">
        <v>2357</v>
      </c>
      <c r="G4520" s="130">
        <v>1.2</v>
      </c>
      <c r="H4520" s="10">
        <f>14000*1.2</f>
        <v>16800</v>
      </c>
      <c r="I4520" s="10"/>
      <c r="J4520" s="79" t="e">
        <f t="shared" si="290"/>
        <v>#VALUE!</v>
      </c>
      <c r="K4520" s="106">
        <f>H4520/G4520</f>
        <v>14000</v>
      </c>
      <c r="L4520" s="141"/>
      <c r="M4520" s="132"/>
      <c r="N4520" s="133"/>
      <c r="O4520" s="4"/>
      <c r="P4520" s="4"/>
      <c r="Q4520" s="4"/>
      <c r="R4520" s="4"/>
      <c r="S4520" s="4"/>
      <c r="T4520" s="4"/>
      <c r="U4520" s="4"/>
      <c r="V4520" s="4"/>
      <c r="W4520" s="4"/>
      <c r="X4520" s="4"/>
    </row>
    <row r="4521" spans="1:24" ht="14.25" customHeight="1">
      <c r="A4521" s="4"/>
      <c r="B4521" s="125">
        <v>46193</v>
      </c>
      <c r="C4521" s="126" t="s">
        <v>2056</v>
      </c>
      <c r="D4521" s="15" t="s">
        <v>285</v>
      </c>
      <c r="E4521" s="10" t="str">
        <f>TRIM(VLOOKUP(D4521,TB!$B$9:$C$1500,2,FALSE))</f>
        <v>Misc Cash Purchase</v>
      </c>
      <c r="F4521" s="142" t="s">
        <v>2358</v>
      </c>
      <c r="G4521" s="130"/>
      <c r="H4521" s="10"/>
      <c r="I4521" s="10">
        <v>137150</v>
      </c>
      <c r="J4521" s="79" t="e">
        <f t="shared" si="290"/>
        <v>#VALUE!</v>
      </c>
      <c r="K4521" s="106"/>
      <c r="L4521" s="141"/>
      <c r="M4521" s="132"/>
      <c r="N4521" s="133"/>
      <c r="O4521" s="4"/>
      <c r="P4521" s="4"/>
      <c r="Q4521" s="4"/>
      <c r="R4521" s="4"/>
      <c r="S4521" s="4"/>
      <c r="T4521" s="4"/>
      <c r="U4521" s="4"/>
      <c r="V4521" s="4"/>
      <c r="W4521" s="4"/>
      <c r="X4521" s="4"/>
    </row>
    <row r="4522" spans="1:24" ht="14.25" customHeight="1">
      <c r="A4522" s="4"/>
      <c r="B4522" s="125"/>
      <c r="C4522" s="126"/>
      <c r="D4522" s="68"/>
      <c r="E4522" s="10" t="e">
        <f>TRIM(VLOOKUP(D4522,TB!$B$9:$C$1500,2,FALSE))</f>
        <v>#N/A</v>
      </c>
      <c r="F4522" s="142"/>
      <c r="G4522" s="130"/>
      <c r="H4522" s="10"/>
      <c r="I4522" s="10"/>
      <c r="J4522" s="79" t="e">
        <f t="shared" si="290"/>
        <v>#VALUE!</v>
      </c>
      <c r="K4522" s="106"/>
      <c r="L4522" s="141"/>
      <c r="M4522" s="132"/>
      <c r="N4522" s="133"/>
      <c r="O4522" s="4"/>
      <c r="P4522" s="4"/>
      <c r="Q4522" s="4"/>
      <c r="R4522" s="4"/>
      <c r="S4522" s="4"/>
      <c r="T4522" s="4"/>
      <c r="U4522" s="4"/>
      <c r="V4522" s="4"/>
      <c r="W4522" s="4"/>
      <c r="X4522" s="4"/>
    </row>
    <row r="4523" spans="1:24" ht="14.25" customHeight="1">
      <c r="A4523" s="4"/>
      <c r="B4523" s="125">
        <v>46194</v>
      </c>
      <c r="C4523" s="126" t="s">
        <v>2056</v>
      </c>
      <c r="D4523" s="15" t="s">
        <v>1155</v>
      </c>
      <c r="E4523" s="10" t="str">
        <f>TRIM(VLOOKUP(D4523,TB!$B$9:$C$1500,2,FALSE))</f>
        <v>Kitchen Supplies</v>
      </c>
      <c r="F4523" s="142" t="s">
        <v>2359</v>
      </c>
      <c r="G4523" s="130">
        <v>1</v>
      </c>
      <c r="H4523" s="10">
        <v>22000</v>
      </c>
      <c r="I4523" s="10"/>
      <c r="J4523" s="79" t="e">
        <f t="shared" si="290"/>
        <v>#VALUE!</v>
      </c>
      <c r="K4523" s="106"/>
      <c r="L4523" s="141"/>
      <c r="M4523" s="132"/>
      <c r="N4523" s="133"/>
      <c r="O4523" s="4"/>
      <c r="P4523" s="4"/>
      <c r="Q4523" s="4"/>
      <c r="R4523" s="4"/>
      <c r="S4523" s="4"/>
      <c r="T4523" s="4"/>
      <c r="U4523" s="4"/>
      <c r="V4523" s="4"/>
      <c r="W4523" s="4"/>
      <c r="X4523" s="4"/>
    </row>
    <row r="4524" spans="1:24" ht="14.25" customHeight="1">
      <c r="A4524" s="4"/>
      <c r="B4524" s="125">
        <v>46194</v>
      </c>
      <c r="C4524" s="126" t="s">
        <v>2056</v>
      </c>
      <c r="D4524" s="15" t="s">
        <v>1155</v>
      </c>
      <c r="E4524" s="10" t="str">
        <f>TRIM(VLOOKUP(D4524,TB!$B$9:$C$1500,2,FALSE))</f>
        <v>Kitchen Supplies</v>
      </c>
      <c r="F4524" s="142" t="s">
        <v>2360</v>
      </c>
      <c r="G4524" s="130">
        <v>1</v>
      </c>
      <c r="H4524" s="10">
        <v>6000</v>
      </c>
      <c r="I4524" s="10"/>
      <c r="J4524" s="79" t="e">
        <f t="shared" si="290"/>
        <v>#VALUE!</v>
      </c>
      <c r="K4524" s="106"/>
      <c r="L4524" s="141"/>
      <c r="M4524" s="132"/>
      <c r="N4524" s="133"/>
      <c r="O4524" s="4"/>
      <c r="P4524" s="4"/>
      <c r="Q4524" s="4"/>
      <c r="R4524" s="4"/>
      <c r="S4524" s="4"/>
      <c r="T4524" s="4"/>
      <c r="U4524" s="4"/>
      <c r="V4524" s="4"/>
      <c r="W4524" s="4"/>
      <c r="X4524" s="4"/>
    </row>
    <row r="4525" spans="1:24" ht="14.25" customHeight="1">
      <c r="A4525" s="4"/>
      <c r="B4525" s="125">
        <v>46194</v>
      </c>
      <c r="C4525" s="126" t="s">
        <v>2056</v>
      </c>
      <c r="D4525" s="15" t="s">
        <v>2134</v>
      </c>
      <c r="E4525" s="10" t="str">
        <f>TRIM(VLOOKUP(D4525,TB!$B$9:$C$1500,2,FALSE))</f>
        <v>Chicken Leg Fillet/Ayam Penjantan</v>
      </c>
      <c r="F4525" s="142" t="s">
        <v>2361</v>
      </c>
      <c r="G4525" s="130">
        <v>4</v>
      </c>
      <c r="H4525" s="10">
        <f>70000*4</f>
        <v>280000</v>
      </c>
      <c r="I4525" s="10"/>
      <c r="J4525" s="79" t="e">
        <f t="shared" si="290"/>
        <v>#VALUE!</v>
      </c>
      <c r="K4525" s="106">
        <f t="shared" ref="K4525:K4529" si="303">H4525/G4525</f>
        <v>70000</v>
      </c>
      <c r="L4525" s="141"/>
      <c r="M4525" s="132"/>
      <c r="N4525" s="133"/>
      <c r="O4525" s="4"/>
      <c r="P4525" s="4"/>
      <c r="Q4525" s="4"/>
      <c r="R4525" s="4"/>
      <c r="S4525" s="4"/>
      <c r="T4525" s="4"/>
      <c r="U4525" s="4"/>
      <c r="V4525" s="4"/>
      <c r="W4525" s="4"/>
      <c r="X4525" s="4"/>
    </row>
    <row r="4526" spans="1:24" ht="14.25" customHeight="1">
      <c r="A4526" s="4"/>
      <c r="B4526" s="125">
        <v>46194</v>
      </c>
      <c r="C4526" s="126" t="s">
        <v>2056</v>
      </c>
      <c r="D4526" s="15" t="s">
        <v>2128</v>
      </c>
      <c r="E4526" s="10" t="str">
        <f>TRIM(VLOOKUP(D4526,TB!$B$9:$C$1500,2,FALSE))</f>
        <v>Black Pepper</v>
      </c>
      <c r="F4526" s="142" t="s">
        <v>2362</v>
      </c>
      <c r="G4526" s="168">
        <v>0.5</v>
      </c>
      <c r="H4526" s="10">
        <f>150000*0.5</f>
        <v>75000</v>
      </c>
      <c r="I4526" s="10"/>
      <c r="J4526" s="79" t="e">
        <f t="shared" si="290"/>
        <v>#VALUE!</v>
      </c>
      <c r="K4526" s="106">
        <f t="shared" si="303"/>
        <v>150000</v>
      </c>
      <c r="L4526" s="141"/>
      <c r="M4526" s="132"/>
      <c r="N4526" s="133"/>
      <c r="O4526" s="4"/>
      <c r="P4526" s="4"/>
      <c r="Q4526" s="4"/>
      <c r="R4526" s="4"/>
      <c r="S4526" s="4"/>
      <c r="T4526" s="4"/>
      <c r="U4526" s="4"/>
      <c r="V4526" s="4"/>
      <c r="W4526" s="4"/>
      <c r="X4526" s="4"/>
    </row>
    <row r="4527" spans="1:24" ht="14.25" customHeight="1">
      <c r="A4527" s="4"/>
      <c r="B4527" s="125">
        <v>46194</v>
      </c>
      <c r="C4527" s="126" t="s">
        <v>2056</v>
      </c>
      <c r="D4527" s="15" t="s">
        <v>1765</v>
      </c>
      <c r="E4527" s="10" t="str">
        <f>TRIM(VLOOKUP(D4527,TB!$B$9:$C$1500,2,FALSE))</f>
        <v>Great Chilli / Lombok Besar</v>
      </c>
      <c r="F4527" s="142" t="s">
        <v>2071</v>
      </c>
      <c r="G4527" s="168">
        <v>0.25</v>
      </c>
      <c r="H4527" s="10">
        <f>50000*0.25</f>
        <v>12500</v>
      </c>
      <c r="I4527" s="10"/>
      <c r="J4527" s="79" t="e">
        <f t="shared" si="290"/>
        <v>#VALUE!</v>
      </c>
      <c r="K4527" s="106">
        <f t="shared" si="303"/>
        <v>50000</v>
      </c>
      <c r="L4527" s="141"/>
      <c r="M4527" s="132"/>
      <c r="N4527" s="133"/>
      <c r="O4527" s="4"/>
      <c r="P4527" s="4"/>
      <c r="Q4527" s="4"/>
      <c r="R4527" s="4"/>
      <c r="S4527" s="4"/>
      <c r="T4527" s="4"/>
      <c r="U4527" s="4"/>
      <c r="V4527" s="4"/>
      <c r="W4527" s="4"/>
      <c r="X4527" s="4"/>
    </row>
    <row r="4528" spans="1:24" ht="14.25" customHeight="1">
      <c r="A4528" s="4"/>
      <c r="B4528" s="125">
        <v>46194</v>
      </c>
      <c r="C4528" s="126" t="s">
        <v>2056</v>
      </c>
      <c r="D4528" s="15" t="s">
        <v>1888</v>
      </c>
      <c r="E4528" s="10" t="str">
        <f>TRIM(VLOOKUP(D4528,TB!$B$9:$C$1500,2,FALSE))</f>
        <v>Romaine</v>
      </c>
      <c r="F4528" s="142" t="s">
        <v>2074</v>
      </c>
      <c r="G4528" s="130">
        <v>1</v>
      </c>
      <c r="H4528" s="10">
        <v>80000</v>
      </c>
      <c r="I4528" s="10"/>
      <c r="J4528" s="79" t="e">
        <f t="shared" si="290"/>
        <v>#VALUE!</v>
      </c>
      <c r="K4528" s="106">
        <f t="shared" si="303"/>
        <v>80000</v>
      </c>
      <c r="L4528" s="141"/>
      <c r="M4528" s="132"/>
      <c r="N4528" s="133"/>
      <c r="O4528" s="4"/>
      <c r="P4528" s="4"/>
      <c r="Q4528" s="4"/>
      <c r="R4528" s="4"/>
      <c r="S4528" s="4"/>
      <c r="T4528" s="4"/>
      <c r="U4528" s="4"/>
      <c r="V4528" s="4"/>
      <c r="W4528" s="4"/>
      <c r="X4528" s="4"/>
    </row>
    <row r="4529" spans="1:24" ht="14.25" customHeight="1">
      <c r="A4529" s="4"/>
      <c r="B4529" s="125">
        <v>46194</v>
      </c>
      <c r="C4529" s="126" t="s">
        <v>2056</v>
      </c>
      <c r="D4529" s="15" t="s">
        <v>1877</v>
      </c>
      <c r="E4529" s="10" t="str">
        <f>TRIM(VLOOKUP(D4529,TB!$B$9:$C$1500,2,FALSE))</f>
        <v>Pok Coy</v>
      </c>
      <c r="F4529" s="142" t="s">
        <v>2073</v>
      </c>
      <c r="G4529" s="130">
        <v>1</v>
      </c>
      <c r="H4529" s="10">
        <v>15000</v>
      </c>
      <c r="I4529" s="10"/>
      <c r="J4529" s="79" t="e">
        <f t="shared" si="290"/>
        <v>#VALUE!</v>
      </c>
      <c r="K4529" s="106">
        <f t="shared" si="303"/>
        <v>15000</v>
      </c>
      <c r="L4529" s="141"/>
      <c r="M4529" s="132"/>
      <c r="N4529" s="133"/>
      <c r="O4529" s="4"/>
      <c r="P4529" s="4"/>
      <c r="Q4529" s="4"/>
      <c r="R4529" s="4"/>
      <c r="S4529" s="4"/>
      <c r="T4529" s="4"/>
      <c r="U4529" s="4"/>
      <c r="V4529" s="4"/>
      <c r="W4529" s="4"/>
      <c r="X4529" s="4"/>
    </row>
    <row r="4530" spans="1:24" ht="14.25" customHeight="1">
      <c r="A4530" s="4"/>
      <c r="B4530" s="125">
        <v>46194</v>
      </c>
      <c r="C4530" s="126" t="s">
        <v>2056</v>
      </c>
      <c r="D4530" s="15" t="s">
        <v>1155</v>
      </c>
      <c r="E4530" s="10" t="str">
        <f>TRIM(VLOOKUP(D4530,TB!$B$9:$C$1500,2,FALSE))</f>
        <v>Kitchen Supplies</v>
      </c>
      <c r="F4530" s="142" t="s">
        <v>2363</v>
      </c>
      <c r="G4530" s="168">
        <v>0.5</v>
      </c>
      <c r="H4530" s="10">
        <f>110000*0.5</f>
        <v>55000</v>
      </c>
      <c r="I4530" s="10"/>
      <c r="J4530" s="79" t="e">
        <f t="shared" si="290"/>
        <v>#VALUE!</v>
      </c>
      <c r="K4530" s="106"/>
      <c r="L4530" s="141"/>
      <c r="M4530" s="132"/>
      <c r="N4530" s="133"/>
      <c r="O4530" s="4"/>
      <c r="P4530" s="4"/>
      <c r="Q4530" s="4"/>
      <c r="R4530" s="4"/>
      <c r="S4530" s="4"/>
      <c r="T4530" s="4"/>
      <c r="U4530" s="4"/>
      <c r="V4530" s="4"/>
      <c r="W4530" s="4"/>
      <c r="X4530" s="4"/>
    </row>
    <row r="4531" spans="1:24" ht="14.25" customHeight="1">
      <c r="A4531" s="4"/>
      <c r="B4531" s="125">
        <v>46194</v>
      </c>
      <c r="C4531" s="126" t="s">
        <v>2056</v>
      </c>
      <c r="D4531" s="15" t="s">
        <v>1924</v>
      </c>
      <c r="E4531" s="10" t="str">
        <f>TRIM(VLOOKUP(D4531,TB!$B$9:$C$1500,2,FALSE))</f>
        <v>Coriander</v>
      </c>
      <c r="F4531" s="142" t="s">
        <v>2078</v>
      </c>
      <c r="G4531" s="130">
        <v>0.2</v>
      </c>
      <c r="H4531" s="10">
        <f>400000*0.2</f>
        <v>80000</v>
      </c>
      <c r="I4531" s="10"/>
      <c r="J4531" s="79" t="e">
        <f t="shared" si="290"/>
        <v>#VALUE!</v>
      </c>
      <c r="K4531" s="106">
        <f t="shared" ref="K4531:K4536" si="304">H4531/G4531</f>
        <v>400000</v>
      </c>
      <c r="L4531" s="141"/>
      <c r="M4531" s="132"/>
      <c r="N4531" s="133"/>
      <c r="O4531" s="4"/>
      <c r="P4531" s="4"/>
      <c r="Q4531" s="4"/>
      <c r="R4531" s="4"/>
      <c r="S4531" s="4"/>
      <c r="T4531" s="4"/>
      <c r="U4531" s="4"/>
      <c r="V4531" s="4"/>
      <c r="W4531" s="4"/>
      <c r="X4531" s="4"/>
    </row>
    <row r="4532" spans="1:24" ht="14.25" customHeight="1">
      <c r="A4532" s="4"/>
      <c r="B4532" s="125">
        <v>46194</v>
      </c>
      <c r="C4532" s="126" t="s">
        <v>2056</v>
      </c>
      <c r="D4532" s="15" t="s">
        <v>2246</v>
      </c>
      <c r="E4532" s="10" t="str">
        <f>TRIM(VLOOKUP(D4532,TB!$B$9:$C$1500,2,FALSE))</f>
        <v>Kacang Panjang</v>
      </c>
      <c r="F4532" s="142" t="s">
        <v>2364</v>
      </c>
      <c r="G4532" s="168">
        <v>0.25</v>
      </c>
      <c r="H4532" s="10">
        <f>20000*0.25</f>
        <v>5000</v>
      </c>
      <c r="I4532" s="10"/>
      <c r="J4532" s="79" t="e">
        <f t="shared" si="290"/>
        <v>#VALUE!</v>
      </c>
      <c r="K4532" s="106">
        <f t="shared" si="304"/>
        <v>20000</v>
      </c>
      <c r="L4532" s="141"/>
      <c r="M4532" s="132"/>
      <c r="N4532" s="133"/>
      <c r="O4532" s="4"/>
      <c r="P4532" s="4"/>
      <c r="Q4532" s="4"/>
      <c r="R4532" s="4"/>
      <c r="S4532" s="4"/>
      <c r="T4532" s="4"/>
      <c r="U4532" s="4"/>
      <c r="V4532" s="4"/>
      <c r="W4532" s="4"/>
      <c r="X4532" s="4"/>
    </row>
    <row r="4533" spans="1:24" ht="14.25" customHeight="1">
      <c r="A4533" s="4"/>
      <c r="B4533" s="125">
        <v>46194</v>
      </c>
      <c r="C4533" s="126" t="s">
        <v>2056</v>
      </c>
      <c r="D4533" s="15" t="s">
        <v>2113</v>
      </c>
      <c r="E4533" s="10" t="str">
        <f>TRIM(VLOOKUP(D4533,TB!$B$9:$C$1500,2,FALSE))</f>
        <v>Grape Fruit/BUAH ANGGUR</v>
      </c>
      <c r="F4533" s="142" t="s">
        <v>2365</v>
      </c>
      <c r="G4533" s="130">
        <v>0.25</v>
      </c>
      <c r="H4533" s="10">
        <f>90000*0.25</f>
        <v>22500</v>
      </c>
      <c r="I4533" s="10"/>
      <c r="J4533" s="79" t="e">
        <f t="shared" si="290"/>
        <v>#VALUE!</v>
      </c>
      <c r="K4533" s="106">
        <f t="shared" si="304"/>
        <v>90000</v>
      </c>
      <c r="L4533" s="141"/>
      <c r="M4533" s="132"/>
      <c r="N4533" s="133"/>
      <c r="O4533" s="4"/>
      <c r="P4533" s="4"/>
      <c r="Q4533" s="4"/>
      <c r="R4533" s="4"/>
      <c r="S4533" s="4"/>
      <c r="T4533" s="4"/>
      <c r="U4533" s="4"/>
      <c r="V4533" s="4"/>
      <c r="W4533" s="4"/>
      <c r="X4533" s="4"/>
    </row>
    <row r="4534" spans="1:24" ht="14.25" customHeight="1">
      <c r="A4534" s="4"/>
      <c r="B4534" s="125">
        <v>46194</v>
      </c>
      <c r="C4534" s="126" t="s">
        <v>2056</v>
      </c>
      <c r="D4534" s="15" t="s">
        <v>2121</v>
      </c>
      <c r="E4534" s="10" t="str">
        <f>TRIM(VLOOKUP(D4534,TB!$B$9:$C$1500,2,FALSE))</f>
        <v>Mango Fruit</v>
      </c>
      <c r="F4534" s="142" t="s">
        <v>2366</v>
      </c>
      <c r="G4534" s="130">
        <v>1</v>
      </c>
      <c r="H4534" s="10">
        <v>40000</v>
      </c>
      <c r="I4534" s="10"/>
      <c r="J4534" s="79" t="e">
        <f t="shared" si="290"/>
        <v>#VALUE!</v>
      </c>
      <c r="K4534" s="106">
        <f t="shared" si="304"/>
        <v>40000</v>
      </c>
      <c r="L4534" s="141"/>
      <c r="M4534" s="132"/>
      <c r="N4534" s="133"/>
      <c r="O4534" s="4"/>
      <c r="P4534" s="4"/>
      <c r="Q4534" s="4"/>
      <c r="R4534" s="4"/>
      <c r="S4534" s="4"/>
      <c r="T4534" s="4"/>
      <c r="U4534" s="4"/>
      <c r="V4534" s="4"/>
      <c r="W4534" s="4"/>
      <c r="X4534" s="4"/>
    </row>
    <row r="4535" spans="1:24" ht="14.25" customHeight="1">
      <c r="A4535" s="4"/>
      <c r="B4535" s="125">
        <v>46194</v>
      </c>
      <c r="C4535" s="126" t="s">
        <v>2056</v>
      </c>
      <c r="D4535" s="15" t="s">
        <v>2186</v>
      </c>
      <c r="E4535" s="10" t="str">
        <f>TRIM(VLOOKUP(D4535,TB!$B$9:$C$1500,2,FALSE))</f>
        <v>Melon fruit</v>
      </c>
      <c r="F4535" s="142" t="s">
        <v>2367</v>
      </c>
      <c r="G4535" s="130">
        <v>2.7</v>
      </c>
      <c r="H4535" s="10">
        <f>16000*2.7</f>
        <v>43200</v>
      </c>
      <c r="I4535" s="10"/>
      <c r="J4535" s="79" t="e">
        <f t="shared" si="290"/>
        <v>#VALUE!</v>
      </c>
      <c r="K4535" s="106">
        <f t="shared" si="304"/>
        <v>15999.999999999998</v>
      </c>
      <c r="L4535" s="141"/>
      <c r="M4535" s="132"/>
      <c r="N4535" s="133"/>
      <c r="O4535" s="4"/>
      <c r="P4535" s="4"/>
      <c r="Q4535" s="4"/>
      <c r="R4535" s="4"/>
      <c r="S4535" s="4"/>
      <c r="T4535" s="4"/>
      <c r="U4535" s="4"/>
      <c r="V4535" s="4"/>
      <c r="W4535" s="4"/>
      <c r="X4535" s="4"/>
    </row>
    <row r="4536" spans="1:24" ht="14.25" customHeight="1">
      <c r="A4536" s="4"/>
      <c r="B4536" s="125">
        <v>46194</v>
      </c>
      <c r="C4536" s="126" t="s">
        <v>2056</v>
      </c>
      <c r="D4536" s="15" t="s">
        <v>2108</v>
      </c>
      <c r="E4536" s="10" t="str">
        <f>TRIM(VLOOKUP(D4536,TB!$B$9:$C$1500,2,FALSE))</f>
        <v>Papaya Fruit</v>
      </c>
      <c r="F4536" s="142" t="s">
        <v>2368</v>
      </c>
      <c r="G4536" s="130">
        <v>3.7</v>
      </c>
      <c r="H4536" s="10">
        <f>14000*3.7</f>
        <v>51800</v>
      </c>
      <c r="I4536" s="10"/>
      <c r="J4536" s="79" t="e">
        <f t="shared" si="290"/>
        <v>#VALUE!</v>
      </c>
      <c r="K4536" s="106">
        <f t="shared" si="304"/>
        <v>14000</v>
      </c>
      <c r="L4536" s="141"/>
      <c r="M4536" s="132"/>
      <c r="N4536" s="133"/>
      <c r="O4536" s="4"/>
      <c r="P4536" s="4"/>
      <c r="Q4536" s="4"/>
      <c r="R4536" s="4"/>
      <c r="S4536" s="4"/>
      <c r="T4536" s="4"/>
      <c r="U4536" s="4"/>
      <c r="V4536" s="4"/>
      <c r="W4536" s="4"/>
      <c r="X4536" s="4"/>
    </row>
    <row r="4537" spans="1:24" ht="14.25" customHeight="1">
      <c r="A4537" s="4"/>
      <c r="B4537" s="125">
        <v>46194</v>
      </c>
      <c r="C4537" s="126" t="s">
        <v>2056</v>
      </c>
      <c r="D4537" s="15" t="s">
        <v>285</v>
      </c>
      <c r="E4537" s="10" t="str">
        <f>TRIM(VLOOKUP(D4537,TB!$B$9:$C$1500,2,FALSE))</f>
        <v>Misc Cash Purchase</v>
      </c>
      <c r="F4537" s="142" t="s">
        <v>2369</v>
      </c>
      <c r="G4537" s="130"/>
      <c r="H4537" s="10"/>
      <c r="I4537" s="10">
        <v>788000</v>
      </c>
      <c r="J4537" s="79" t="e">
        <f t="shared" si="290"/>
        <v>#VALUE!</v>
      </c>
      <c r="K4537" s="106"/>
      <c r="L4537" s="141"/>
      <c r="M4537" s="132"/>
      <c r="N4537" s="133"/>
      <c r="O4537" s="4"/>
      <c r="P4537" s="4"/>
      <c r="Q4537" s="4"/>
      <c r="R4537" s="4"/>
      <c r="S4537" s="4"/>
      <c r="T4537" s="4"/>
      <c r="U4537" s="4"/>
      <c r="V4537" s="4"/>
      <c r="W4537" s="4"/>
      <c r="X4537" s="4"/>
    </row>
    <row r="4538" spans="1:24" ht="14.25" customHeight="1">
      <c r="A4538" s="4"/>
      <c r="B4538" s="125"/>
      <c r="C4538" s="126"/>
      <c r="D4538" s="68"/>
      <c r="E4538" s="10" t="e">
        <f>TRIM(VLOOKUP(D4538,TB!$B$9:$C$1500,2,FALSE))</f>
        <v>#N/A</v>
      </c>
      <c r="F4538" s="142"/>
      <c r="G4538" s="130"/>
      <c r="H4538" s="10"/>
      <c r="I4538" s="10"/>
      <c r="J4538" s="79" t="e">
        <f t="shared" si="290"/>
        <v>#VALUE!</v>
      </c>
      <c r="K4538" s="106"/>
      <c r="L4538" s="141"/>
      <c r="M4538" s="132"/>
      <c r="N4538" s="133"/>
      <c r="O4538" s="4"/>
      <c r="P4538" s="4"/>
      <c r="Q4538" s="4"/>
      <c r="R4538" s="4"/>
      <c r="S4538" s="4"/>
      <c r="T4538" s="4"/>
      <c r="U4538" s="4"/>
      <c r="V4538" s="4"/>
      <c r="W4538" s="4"/>
      <c r="X4538" s="4"/>
    </row>
    <row r="4539" spans="1:24" ht="14.25" customHeight="1">
      <c r="A4539" s="4"/>
      <c r="B4539" s="125">
        <v>46195</v>
      </c>
      <c r="C4539" s="126" t="s">
        <v>2056</v>
      </c>
      <c r="D4539" s="15" t="s">
        <v>2087</v>
      </c>
      <c r="E4539" s="10" t="str">
        <f>TRIM(VLOOKUP(D4539,TB!$B$9:$C$1500,2,FALSE))</f>
        <v>Mushroom Shimeji / Bunapi</v>
      </c>
      <c r="F4539" s="142" t="s">
        <v>2370</v>
      </c>
      <c r="G4539" s="130">
        <v>4</v>
      </c>
      <c r="H4539" s="10">
        <f>17000*4</f>
        <v>68000</v>
      </c>
      <c r="I4539" s="10"/>
      <c r="J4539" s="79" t="e">
        <f t="shared" si="290"/>
        <v>#VALUE!</v>
      </c>
      <c r="K4539" s="106">
        <f t="shared" ref="K4539:K4550" si="305">H4539/G4539</f>
        <v>17000</v>
      </c>
      <c r="L4539" s="141"/>
      <c r="M4539" s="132"/>
      <c r="N4539" s="133"/>
      <c r="O4539" s="4"/>
      <c r="P4539" s="4"/>
      <c r="Q4539" s="4"/>
      <c r="R4539" s="4"/>
      <c r="S4539" s="4"/>
      <c r="T4539" s="4"/>
      <c r="U4539" s="4"/>
      <c r="V4539" s="4"/>
      <c r="W4539" s="4"/>
      <c r="X4539" s="4"/>
    </row>
    <row r="4540" spans="1:24" ht="14.25" customHeight="1">
      <c r="A4540" s="4"/>
      <c r="B4540" s="125">
        <v>46195</v>
      </c>
      <c r="C4540" s="126" t="s">
        <v>2056</v>
      </c>
      <c r="D4540" s="15" t="s">
        <v>1916</v>
      </c>
      <c r="E4540" s="10" t="str">
        <f>TRIM(VLOOKUP(D4540,TB!$B$9:$C$1500,2,FALSE))</f>
        <v>Egg/Telur</v>
      </c>
      <c r="F4540" s="142" t="s">
        <v>2371</v>
      </c>
      <c r="G4540" s="130">
        <f>1*30</f>
        <v>30</v>
      </c>
      <c r="H4540" s="10">
        <v>55000</v>
      </c>
      <c r="I4540" s="10"/>
      <c r="J4540" s="79" t="e">
        <f t="shared" si="290"/>
        <v>#VALUE!</v>
      </c>
      <c r="K4540" s="106">
        <f t="shared" si="305"/>
        <v>1833.3333333333333</v>
      </c>
      <c r="L4540" s="141"/>
      <c r="M4540" s="132"/>
      <c r="N4540" s="133"/>
      <c r="O4540" s="4"/>
      <c r="P4540" s="4"/>
      <c r="Q4540" s="4"/>
      <c r="R4540" s="4"/>
      <c r="S4540" s="4"/>
      <c r="T4540" s="4"/>
      <c r="U4540" s="4"/>
      <c r="V4540" s="4"/>
      <c r="W4540" s="4"/>
      <c r="X4540" s="4"/>
    </row>
    <row r="4541" spans="1:24" ht="14.25" customHeight="1">
      <c r="A4541" s="4"/>
      <c r="B4541" s="125">
        <v>46195</v>
      </c>
      <c r="C4541" s="126" t="s">
        <v>2056</v>
      </c>
      <c r="D4541" s="15" t="s">
        <v>1877</v>
      </c>
      <c r="E4541" s="10" t="str">
        <f>TRIM(VLOOKUP(D4541,TB!$B$9:$C$1500,2,FALSE))</f>
        <v>Pok Coy</v>
      </c>
      <c r="F4541" s="142" t="s">
        <v>2167</v>
      </c>
      <c r="G4541" s="130">
        <v>1</v>
      </c>
      <c r="H4541" s="10">
        <v>15000</v>
      </c>
      <c r="I4541" s="10"/>
      <c r="J4541" s="79" t="e">
        <f t="shared" si="290"/>
        <v>#VALUE!</v>
      </c>
      <c r="K4541" s="106">
        <f t="shared" si="305"/>
        <v>15000</v>
      </c>
      <c r="L4541" s="141"/>
      <c r="M4541" s="132"/>
      <c r="N4541" s="133"/>
      <c r="O4541" s="4"/>
      <c r="P4541" s="4"/>
      <c r="Q4541" s="4"/>
      <c r="R4541" s="4"/>
      <c r="S4541" s="4"/>
      <c r="T4541" s="4"/>
      <c r="U4541" s="4"/>
      <c r="V4541" s="4"/>
      <c r="W4541" s="4"/>
      <c r="X4541" s="4"/>
    </row>
    <row r="4542" spans="1:24" ht="14.25" customHeight="1">
      <c r="A4542" s="4"/>
      <c r="B4542" s="125">
        <v>46195</v>
      </c>
      <c r="C4542" s="126" t="s">
        <v>2056</v>
      </c>
      <c r="D4542" s="15" t="s">
        <v>1888</v>
      </c>
      <c r="E4542" s="10" t="str">
        <f>TRIM(VLOOKUP(D4542,TB!$B$9:$C$1500,2,FALSE))</f>
        <v>Romaine</v>
      </c>
      <c r="F4542" s="142" t="s">
        <v>2372</v>
      </c>
      <c r="G4542" s="130">
        <v>1</v>
      </c>
      <c r="H4542" s="10">
        <v>80000</v>
      </c>
      <c r="I4542" s="10"/>
      <c r="J4542" s="79" t="e">
        <f t="shared" si="290"/>
        <v>#VALUE!</v>
      </c>
      <c r="K4542" s="106">
        <f t="shared" si="305"/>
        <v>80000</v>
      </c>
      <c r="L4542" s="141"/>
      <c r="M4542" s="132"/>
      <c r="N4542" s="133"/>
      <c r="O4542" s="4"/>
      <c r="P4542" s="4"/>
      <c r="Q4542" s="4"/>
      <c r="R4542" s="4"/>
      <c r="S4542" s="4"/>
      <c r="T4542" s="4"/>
      <c r="U4542" s="4"/>
      <c r="V4542" s="4"/>
      <c r="W4542" s="4"/>
      <c r="X4542" s="4"/>
    </row>
    <row r="4543" spans="1:24" ht="14.25" customHeight="1">
      <c r="A4543" s="4"/>
      <c r="B4543" s="125">
        <v>46195</v>
      </c>
      <c r="C4543" s="126" t="s">
        <v>2056</v>
      </c>
      <c r="D4543" s="15" t="s">
        <v>2085</v>
      </c>
      <c r="E4543" s="10" t="str">
        <f>TRIM(VLOOKUP(D4543,TB!$B$9:$C$1500,2,FALSE))</f>
        <v>Carrot/Wortel</v>
      </c>
      <c r="F4543" s="142" t="s">
        <v>2086</v>
      </c>
      <c r="G4543" s="130">
        <v>0.5</v>
      </c>
      <c r="H4543" s="10">
        <f>25000*0.5</f>
        <v>12500</v>
      </c>
      <c r="I4543" s="10"/>
      <c r="J4543" s="79" t="e">
        <f t="shared" si="290"/>
        <v>#VALUE!</v>
      </c>
      <c r="K4543" s="106">
        <f t="shared" si="305"/>
        <v>25000</v>
      </c>
      <c r="L4543" s="141"/>
      <c r="M4543" s="132"/>
      <c r="N4543" s="133"/>
      <c r="O4543" s="4"/>
      <c r="P4543" s="4"/>
      <c r="Q4543" s="4"/>
      <c r="R4543" s="4"/>
      <c r="S4543" s="4"/>
      <c r="T4543" s="4"/>
      <c r="U4543" s="4"/>
      <c r="V4543" s="4"/>
      <c r="W4543" s="4"/>
      <c r="X4543" s="4"/>
    </row>
    <row r="4544" spans="1:24" ht="14.25" customHeight="1">
      <c r="A4544" s="4"/>
      <c r="B4544" s="125">
        <v>46195</v>
      </c>
      <c r="C4544" s="126" t="s">
        <v>2056</v>
      </c>
      <c r="D4544" s="15" t="s">
        <v>1928</v>
      </c>
      <c r="E4544" s="10" t="str">
        <f>TRIM(VLOOKUP(D4544,TB!$B$9:$C$1500,2,FALSE))</f>
        <v>Tomato 1 Kg</v>
      </c>
      <c r="F4544" s="142" t="s">
        <v>2145</v>
      </c>
      <c r="G4544" s="130">
        <v>1</v>
      </c>
      <c r="H4544" s="10">
        <v>20000</v>
      </c>
      <c r="I4544" s="10"/>
      <c r="J4544" s="79" t="e">
        <f t="shared" si="290"/>
        <v>#VALUE!</v>
      </c>
      <c r="K4544" s="106">
        <f t="shared" si="305"/>
        <v>20000</v>
      </c>
      <c r="L4544" s="141"/>
      <c r="M4544" s="132"/>
      <c r="N4544" s="133"/>
      <c r="O4544" s="4"/>
      <c r="P4544" s="4"/>
      <c r="Q4544" s="4"/>
      <c r="R4544" s="4"/>
      <c r="S4544" s="4"/>
      <c r="T4544" s="4"/>
      <c r="U4544" s="4"/>
      <c r="V4544" s="4"/>
      <c r="W4544" s="4"/>
      <c r="X4544" s="4"/>
    </row>
    <row r="4545" spans="1:24" ht="14.25" customHeight="1">
      <c r="A4545" s="4"/>
      <c r="B4545" s="125">
        <v>46195</v>
      </c>
      <c r="C4545" s="126" t="s">
        <v>2056</v>
      </c>
      <c r="D4545" s="15" t="s">
        <v>1875</v>
      </c>
      <c r="E4545" s="10" t="str">
        <f>TRIM(VLOOKUP(D4545,TB!$B$9:$C$1500,2,FALSE))</f>
        <v>Onion/Bombay</v>
      </c>
      <c r="F4545" s="142" t="s">
        <v>2131</v>
      </c>
      <c r="G4545" s="130">
        <v>1.1000000000000001</v>
      </c>
      <c r="H4545" s="10">
        <f>22000*1.1</f>
        <v>24200.000000000004</v>
      </c>
      <c r="I4545" s="10"/>
      <c r="J4545" s="79" t="e">
        <f t="shared" si="290"/>
        <v>#VALUE!</v>
      </c>
      <c r="K4545" s="106">
        <f t="shared" si="305"/>
        <v>22000</v>
      </c>
      <c r="L4545" s="141"/>
      <c r="M4545" s="132"/>
      <c r="N4545" s="133"/>
      <c r="O4545" s="4"/>
      <c r="P4545" s="4"/>
      <c r="Q4545" s="4"/>
      <c r="R4545" s="4"/>
      <c r="S4545" s="4"/>
      <c r="T4545" s="4"/>
      <c r="U4545" s="4"/>
      <c r="V4545" s="4"/>
      <c r="W4545" s="4"/>
      <c r="X4545" s="4"/>
    </row>
    <row r="4546" spans="1:24" ht="14.25" customHeight="1">
      <c r="A4546" s="4"/>
      <c r="B4546" s="125">
        <v>46195</v>
      </c>
      <c r="C4546" s="126" t="s">
        <v>2056</v>
      </c>
      <c r="D4546" s="15" t="s">
        <v>2110</v>
      </c>
      <c r="E4546" s="10" t="str">
        <f>TRIM(VLOOKUP(D4546,TB!$B$9:$C$1500,2,FALSE))</f>
        <v>Watermelon/SEMANGKA</v>
      </c>
      <c r="F4546" s="142" t="s">
        <v>2111</v>
      </c>
      <c r="G4546" s="130">
        <v>6.2</v>
      </c>
      <c r="H4546" s="10">
        <f>14000*6.2</f>
        <v>86800</v>
      </c>
      <c r="I4546" s="10"/>
      <c r="J4546" s="79" t="e">
        <f t="shared" si="290"/>
        <v>#VALUE!</v>
      </c>
      <c r="K4546" s="106">
        <f t="shared" si="305"/>
        <v>14000</v>
      </c>
      <c r="L4546" s="141"/>
      <c r="M4546" s="132"/>
      <c r="N4546" s="133"/>
      <c r="O4546" s="4"/>
      <c r="P4546" s="4"/>
      <c r="Q4546" s="4"/>
      <c r="R4546" s="4"/>
      <c r="S4546" s="4"/>
      <c r="T4546" s="4"/>
      <c r="U4546" s="4"/>
      <c r="V4546" s="4"/>
      <c r="W4546" s="4"/>
      <c r="X4546" s="4"/>
    </row>
    <row r="4547" spans="1:24" ht="14.25" customHeight="1">
      <c r="A4547" s="4"/>
      <c r="B4547" s="125">
        <v>46195</v>
      </c>
      <c r="C4547" s="126" t="s">
        <v>2056</v>
      </c>
      <c r="D4547" s="15" t="s">
        <v>2106</v>
      </c>
      <c r="E4547" s="10" t="str">
        <f>TRIM(VLOOKUP(D4547,TB!$B$9:$C$1500,2,FALSE))</f>
        <v>Dragon Fruit / Buah Naga</v>
      </c>
      <c r="F4547" s="142" t="s">
        <v>2107</v>
      </c>
      <c r="G4547" s="130">
        <v>0.9</v>
      </c>
      <c r="H4547" s="10">
        <f>26000*0.9</f>
        <v>23400</v>
      </c>
      <c r="I4547" s="10"/>
      <c r="J4547" s="79" t="e">
        <f t="shared" si="290"/>
        <v>#VALUE!</v>
      </c>
      <c r="K4547" s="106">
        <f t="shared" si="305"/>
        <v>26000</v>
      </c>
      <c r="L4547" s="141"/>
      <c r="M4547" s="132"/>
      <c r="N4547" s="133"/>
      <c r="O4547" s="4"/>
      <c r="P4547" s="4"/>
      <c r="Q4547" s="4"/>
      <c r="R4547" s="4"/>
      <c r="S4547" s="4"/>
      <c r="T4547" s="4"/>
      <c r="U4547" s="4"/>
      <c r="V4547" s="4"/>
      <c r="W4547" s="4"/>
      <c r="X4547" s="4"/>
    </row>
    <row r="4548" spans="1:24" ht="14.25" customHeight="1">
      <c r="A4548" s="4"/>
      <c r="B4548" s="125">
        <v>46195</v>
      </c>
      <c r="C4548" s="126" t="s">
        <v>2056</v>
      </c>
      <c r="D4548" s="15" t="s">
        <v>2113</v>
      </c>
      <c r="E4548" s="10" t="str">
        <f>TRIM(VLOOKUP(D4548,TB!$B$9:$C$1500,2,FALSE))</f>
        <v>Grape Fruit/BUAH ANGGUR</v>
      </c>
      <c r="F4548" s="142" t="s">
        <v>2114</v>
      </c>
      <c r="G4548" s="130">
        <v>0.25</v>
      </c>
      <c r="H4548" s="10">
        <f>90000*0.25</f>
        <v>22500</v>
      </c>
      <c r="I4548" s="10"/>
      <c r="J4548" s="79" t="e">
        <f t="shared" si="290"/>
        <v>#VALUE!</v>
      </c>
      <c r="K4548" s="106">
        <f t="shared" si="305"/>
        <v>90000</v>
      </c>
      <c r="L4548" s="141"/>
      <c r="M4548" s="132"/>
      <c r="N4548" s="133"/>
      <c r="O4548" s="4"/>
      <c r="P4548" s="4"/>
      <c r="Q4548" s="4"/>
      <c r="R4548" s="4"/>
      <c r="S4548" s="4"/>
      <c r="T4548" s="4"/>
      <c r="U4548" s="4"/>
      <c r="V4548" s="4"/>
      <c r="W4548" s="4"/>
      <c r="X4548" s="4"/>
    </row>
    <row r="4549" spans="1:24" ht="14.25" customHeight="1">
      <c r="A4549" s="4"/>
      <c r="B4549" s="125">
        <v>46195</v>
      </c>
      <c r="C4549" s="126" t="s">
        <v>2056</v>
      </c>
      <c r="D4549" s="15" t="s">
        <v>2121</v>
      </c>
      <c r="E4549" s="10" t="str">
        <f>TRIM(VLOOKUP(D4549,TB!$B$9:$C$1500,2,FALSE))</f>
        <v>Mango Fruit</v>
      </c>
      <c r="F4549" s="142" t="s">
        <v>2122</v>
      </c>
      <c r="G4549" s="130">
        <v>0.6</v>
      </c>
      <c r="H4549" s="10">
        <f>40000*0.6</f>
        <v>24000</v>
      </c>
      <c r="I4549" s="10"/>
      <c r="J4549" s="79" t="e">
        <f t="shared" si="290"/>
        <v>#VALUE!</v>
      </c>
      <c r="K4549" s="106">
        <f t="shared" si="305"/>
        <v>40000</v>
      </c>
      <c r="L4549" s="141"/>
      <c r="M4549" s="132"/>
      <c r="N4549" s="133"/>
      <c r="O4549" s="4"/>
      <c r="P4549" s="4"/>
      <c r="Q4549" s="4"/>
      <c r="R4549" s="4"/>
      <c r="S4549" s="4"/>
      <c r="T4549" s="4"/>
      <c r="U4549" s="4"/>
      <c r="V4549" s="4"/>
      <c r="W4549" s="4"/>
      <c r="X4549" s="4"/>
    </row>
    <row r="4550" spans="1:24" ht="14.25" customHeight="1">
      <c r="A4550" s="4"/>
      <c r="B4550" s="125">
        <v>46195</v>
      </c>
      <c r="C4550" s="126" t="s">
        <v>2056</v>
      </c>
      <c r="D4550" s="15" t="s">
        <v>2126</v>
      </c>
      <c r="E4550" s="10" t="str">
        <f>TRIM(VLOOKUP(D4550,TB!$B$9:$C$1500,2,FALSE))</f>
        <v>Rice/Beras</v>
      </c>
      <c r="F4550" s="142" t="s">
        <v>2373</v>
      </c>
      <c r="G4550" s="130">
        <v>5</v>
      </c>
      <c r="H4550" s="10">
        <v>85000</v>
      </c>
      <c r="I4550" s="10"/>
      <c r="J4550" s="79" t="e">
        <f t="shared" si="290"/>
        <v>#VALUE!</v>
      </c>
      <c r="K4550" s="106">
        <f t="shared" si="305"/>
        <v>17000</v>
      </c>
      <c r="L4550" s="141"/>
      <c r="M4550" s="132"/>
      <c r="N4550" s="133"/>
      <c r="O4550" s="4"/>
      <c r="P4550" s="4"/>
      <c r="Q4550" s="4"/>
      <c r="R4550" s="4"/>
      <c r="S4550" s="4"/>
      <c r="T4550" s="4"/>
      <c r="U4550" s="4"/>
      <c r="V4550" s="4"/>
      <c r="W4550" s="4"/>
      <c r="X4550" s="4"/>
    </row>
    <row r="4551" spans="1:24" ht="14.25" customHeight="1">
      <c r="A4551" s="4"/>
      <c r="B4551" s="125">
        <v>46195</v>
      </c>
      <c r="C4551" s="126" t="s">
        <v>2056</v>
      </c>
      <c r="D4551" s="15" t="s">
        <v>285</v>
      </c>
      <c r="E4551" s="10" t="str">
        <f>TRIM(VLOOKUP(D4551,TB!$B$9:$C$1500,2,FALSE))</f>
        <v>Misc Cash Purchase</v>
      </c>
      <c r="F4551" s="142" t="s">
        <v>2374</v>
      </c>
      <c r="G4551" s="130"/>
      <c r="H4551" s="10"/>
      <c r="I4551" s="10">
        <v>516400</v>
      </c>
      <c r="J4551" s="79" t="e">
        <f t="shared" si="290"/>
        <v>#VALUE!</v>
      </c>
      <c r="K4551" s="106"/>
      <c r="L4551" s="141"/>
      <c r="M4551" s="132"/>
      <c r="N4551" s="133"/>
      <c r="O4551" s="4"/>
      <c r="P4551" s="4"/>
      <c r="Q4551" s="4"/>
      <c r="R4551" s="4"/>
      <c r="S4551" s="4"/>
      <c r="T4551" s="4"/>
      <c r="U4551" s="4"/>
      <c r="V4551" s="4"/>
      <c r="W4551" s="4"/>
      <c r="X4551" s="4"/>
    </row>
    <row r="4552" spans="1:24" ht="14.25" customHeight="1">
      <c r="A4552" s="4"/>
      <c r="B4552" s="125"/>
      <c r="C4552" s="126"/>
      <c r="D4552" s="68"/>
      <c r="E4552" s="10" t="e">
        <f>TRIM(VLOOKUP(D4552,TB!$B$9:$C$1500,2,FALSE))</f>
        <v>#N/A</v>
      </c>
      <c r="F4552" s="142"/>
      <c r="G4552" s="130"/>
      <c r="H4552" s="10"/>
      <c r="I4552" s="10"/>
      <c r="J4552" s="79" t="e">
        <f t="shared" si="290"/>
        <v>#VALUE!</v>
      </c>
      <c r="K4552" s="106"/>
      <c r="L4552" s="141"/>
      <c r="M4552" s="132"/>
      <c r="N4552" s="133"/>
      <c r="O4552" s="4"/>
      <c r="P4552" s="4"/>
      <c r="Q4552" s="4"/>
      <c r="R4552" s="4"/>
      <c r="S4552" s="4"/>
      <c r="T4552" s="4"/>
      <c r="U4552" s="4"/>
      <c r="V4552" s="4"/>
      <c r="W4552" s="4"/>
      <c r="X4552" s="4"/>
    </row>
    <row r="4553" spans="1:24" ht="14.25" customHeight="1">
      <c r="A4553" s="4"/>
      <c r="B4553" s="125">
        <v>46195</v>
      </c>
      <c r="C4553" s="126" t="s">
        <v>2056</v>
      </c>
      <c r="D4553" s="15" t="s">
        <v>1768</v>
      </c>
      <c r="E4553" s="10" t="str">
        <f>TRIM(VLOOKUP(D4553,TB!$B$9:$C$1500,2,FALSE))</f>
        <v>Lime Green</v>
      </c>
      <c r="F4553" s="142" t="s">
        <v>2312</v>
      </c>
      <c r="G4553" s="130">
        <v>25</v>
      </c>
      <c r="H4553" s="10">
        <f>24000*25</f>
        <v>600000</v>
      </c>
      <c r="I4553" s="10"/>
      <c r="J4553" s="79" t="e">
        <f t="shared" si="290"/>
        <v>#VALUE!</v>
      </c>
      <c r="K4553" s="106">
        <f t="shared" ref="K4553:K4558" si="306">H4553/G4553</f>
        <v>24000</v>
      </c>
      <c r="L4553" s="141"/>
      <c r="M4553" s="132"/>
      <c r="N4553" s="133"/>
      <c r="O4553" s="4"/>
      <c r="P4553" s="4"/>
      <c r="Q4553" s="4"/>
      <c r="R4553" s="4"/>
      <c r="S4553" s="4"/>
      <c r="T4553" s="4"/>
      <c r="U4553" s="4"/>
      <c r="V4553" s="4"/>
      <c r="W4553" s="4"/>
      <c r="X4553" s="4"/>
    </row>
    <row r="4554" spans="1:24" ht="14.25" customHeight="1">
      <c r="A4554" s="4"/>
      <c r="B4554" s="125">
        <v>46195</v>
      </c>
      <c r="C4554" s="126" t="s">
        <v>2056</v>
      </c>
      <c r="D4554" s="15" t="s">
        <v>2090</v>
      </c>
      <c r="E4554" s="10" t="str">
        <f>TRIM(VLOOKUP(D4554,TB!$B$9:$C$1500,2,FALSE))</f>
        <v>Japanese Cucumber/Timun</v>
      </c>
      <c r="F4554" s="142" t="s">
        <v>2117</v>
      </c>
      <c r="G4554" s="130">
        <v>2</v>
      </c>
      <c r="H4554" s="10">
        <f>14000*2</f>
        <v>28000</v>
      </c>
      <c r="I4554" s="10"/>
      <c r="J4554" s="79" t="e">
        <f t="shared" si="290"/>
        <v>#VALUE!</v>
      </c>
      <c r="K4554" s="106">
        <f t="shared" si="306"/>
        <v>14000</v>
      </c>
      <c r="L4554" s="141"/>
      <c r="M4554" s="132"/>
      <c r="N4554" s="133"/>
      <c r="O4554" s="4"/>
      <c r="P4554" s="4"/>
      <c r="Q4554" s="4"/>
      <c r="R4554" s="4"/>
      <c r="S4554" s="4"/>
      <c r="T4554" s="4"/>
      <c r="U4554" s="4"/>
      <c r="V4554" s="4"/>
      <c r="W4554" s="4"/>
      <c r="X4554" s="4"/>
    </row>
    <row r="4555" spans="1:24" ht="14.25" customHeight="1">
      <c r="A4555" s="4"/>
      <c r="B4555" s="125">
        <v>46195</v>
      </c>
      <c r="C4555" s="126" t="s">
        <v>2056</v>
      </c>
      <c r="D4555" s="15" t="s">
        <v>2118</v>
      </c>
      <c r="E4555" s="10" t="str">
        <f>TRIM(VLOOKUP(D4555,TB!$B$9:$C$1500,2,FALSE))</f>
        <v>Sunkist</v>
      </c>
      <c r="F4555" s="142" t="s">
        <v>2119</v>
      </c>
      <c r="G4555" s="130">
        <v>4</v>
      </c>
      <c r="H4555" s="10">
        <f>38000*4</f>
        <v>152000</v>
      </c>
      <c r="I4555" s="10"/>
      <c r="J4555" s="79" t="e">
        <f t="shared" si="290"/>
        <v>#VALUE!</v>
      </c>
      <c r="K4555" s="106">
        <f t="shared" si="306"/>
        <v>38000</v>
      </c>
      <c r="L4555" s="141"/>
      <c r="M4555" s="132"/>
      <c r="N4555" s="133"/>
      <c r="O4555" s="4"/>
      <c r="P4555" s="4"/>
      <c r="Q4555" s="4"/>
      <c r="R4555" s="4"/>
      <c r="S4555" s="4"/>
      <c r="T4555" s="4"/>
      <c r="U4555" s="4"/>
      <c r="V4555" s="4"/>
      <c r="W4555" s="4"/>
      <c r="X4555" s="4"/>
    </row>
    <row r="4556" spans="1:24" ht="14.25" customHeight="1">
      <c r="A4556" s="4"/>
      <c r="B4556" s="125">
        <v>46195</v>
      </c>
      <c r="C4556" s="126" t="s">
        <v>2056</v>
      </c>
      <c r="D4556" s="15" t="s">
        <v>2252</v>
      </c>
      <c r="E4556" s="10" t="str">
        <f>TRIM(VLOOKUP(D4556,TB!$B$9:$C$1500,2,FALSE))</f>
        <v>Mint Leave</v>
      </c>
      <c r="F4556" s="142" t="s">
        <v>2253</v>
      </c>
      <c r="G4556" s="130">
        <v>0.2</v>
      </c>
      <c r="H4556" s="10">
        <f>55000*0.2</f>
        <v>11000</v>
      </c>
      <c r="I4556" s="10"/>
      <c r="J4556" s="79" t="e">
        <f t="shared" si="290"/>
        <v>#VALUE!</v>
      </c>
      <c r="K4556" s="106">
        <f t="shared" si="306"/>
        <v>55000</v>
      </c>
      <c r="L4556" s="141"/>
      <c r="M4556" s="132"/>
      <c r="N4556" s="133"/>
      <c r="O4556" s="4"/>
      <c r="P4556" s="4"/>
      <c r="Q4556" s="4"/>
      <c r="R4556" s="4"/>
      <c r="S4556" s="4"/>
      <c r="T4556" s="4"/>
      <c r="U4556" s="4"/>
      <c r="V4556" s="4"/>
      <c r="W4556" s="4"/>
      <c r="X4556" s="4"/>
    </row>
    <row r="4557" spans="1:24" ht="14.25" customHeight="1">
      <c r="A4557" s="4"/>
      <c r="B4557" s="125">
        <v>46195</v>
      </c>
      <c r="C4557" s="126" t="s">
        <v>2056</v>
      </c>
      <c r="D4557" s="15" t="s">
        <v>2100</v>
      </c>
      <c r="E4557" s="10" t="str">
        <f>TRIM(VLOOKUP(D4557,TB!$B$9:$C$1500,2,FALSE))</f>
        <v>Basil</v>
      </c>
      <c r="F4557" s="142" t="s">
        <v>2160</v>
      </c>
      <c r="G4557" s="130">
        <v>0.2</v>
      </c>
      <c r="H4557" s="10">
        <f>75000*0.2</f>
        <v>15000</v>
      </c>
      <c r="I4557" s="10"/>
      <c r="J4557" s="79" t="e">
        <f t="shared" si="290"/>
        <v>#VALUE!</v>
      </c>
      <c r="K4557" s="106">
        <f t="shared" si="306"/>
        <v>75000</v>
      </c>
      <c r="L4557" s="141"/>
      <c r="M4557" s="132"/>
      <c r="N4557" s="133"/>
      <c r="O4557" s="4"/>
      <c r="P4557" s="4"/>
      <c r="Q4557" s="4"/>
      <c r="R4557" s="4"/>
      <c r="S4557" s="4"/>
      <c r="T4557" s="4"/>
      <c r="U4557" s="4"/>
      <c r="V4557" s="4"/>
      <c r="W4557" s="4"/>
      <c r="X4557" s="4"/>
    </row>
    <row r="4558" spans="1:24" ht="14.25" customHeight="1">
      <c r="A4558" s="4"/>
      <c r="B4558" s="125">
        <v>46195</v>
      </c>
      <c r="C4558" s="126" t="s">
        <v>2056</v>
      </c>
      <c r="D4558" s="15" t="s">
        <v>1787</v>
      </c>
      <c r="E4558" s="10" t="str">
        <f>TRIM(VLOOKUP(D4558,TB!$B$9:$C$1500,2,FALSE))</f>
        <v>Milk Fresh</v>
      </c>
      <c r="F4558" s="142" t="s">
        <v>2375</v>
      </c>
      <c r="G4558" s="130">
        <v>2</v>
      </c>
      <c r="H4558" s="10">
        <f>25000*2</f>
        <v>50000</v>
      </c>
      <c r="I4558" s="10"/>
      <c r="J4558" s="79" t="e">
        <f t="shared" si="290"/>
        <v>#VALUE!</v>
      </c>
      <c r="K4558" s="106">
        <f t="shared" si="306"/>
        <v>25000</v>
      </c>
      <c r="L4558" s="141"/>
      <c r="M4558" s="132"/>
      <c r="N4558" s="133"/>
      <c r="O4558" s="4"/>
      <c r="P4558" s="4"/>
      <c r="Q4558" s="4"/>
      <c r="R4558" s="4"/>
      <c r="S4558" s="4"/>
      <c r="T4558" s="4"/>
      <c r="U4558" s="4"/>
      <c r="V4558" s="4"/>
      <c r="W4558" s="4"/>
      <c r="X4558" s="4"/>
    </row>
    <row r="4559" spans="1:24" ht="14.25" customHeight="1">
      <c r="A4559" s="4"/>
      <c r="B4559" s="125">
        <v>46195</v>
      </c>
      <c r="C4559" s="126" t="s">
        <v>2056</v>
      </c>
      <c r="D4559" s="15" t="s">
        <v>1155</v>
      </c>
      <c r="E4559" s="10" t="str">
        <f>TRIM(VLOOKUP(D4559,TB!$B$9:$C$1500,2,FALSE))</f>
        <v>Kitchen Supplies</v>
      </c>
      <c r="F4559" s="142" t="s">
        <v>2376</v>
      </c>
      <c r="G4559" s="130">
        <f>2*100</f>
        <v>200</v>
      </c>
      <c r="H4559" s="10">
        <f>26000*2</f>
        <v>52000</v>
      </c>
      <c r="I4559" s="10"/>
      <c r="J4559" s="79" t="e">
        <f t="shared" si="290"/>
        <v>#VALUE!</v>
      </c>
      <c r="K4559" s="106"/>
      <c r="L4559" s="141"/>
      <c r="M4559" s="132"/>
      <c r="N4559" s="133"/>
      <c r="O4559" s="4"/>
      <c r="P4559" s="4"/>
      <c r="Q4559" s="4"/>
      <c r="R4559" s="4"/>
      <c r="S4559" s="4"/>
      <c r="T4559" s="4"/>
      <c r="U4559" s="4"/>
      <c r="V4559" s="4"/>
      <c r="W4559" s="4"/>
      <c r="X4559" s="4"/>
    </row>
    <row r="4560" spans="1:24" ht="14.25" customHeight="1">
      <c r="A4560" s="4"/>
      <c r="B4560" s="125">
        <v>46195</v>
      </c>
      <c r="C4560" s="126" t="s">
        <v>2056</v>
      </c>
      <c r="D4560" s="15" t="s">
        <v>285</v>
      </c>
      <c r="E4560" s="10" t="str">
        <f>TRIM(VLOOKUP(D4560,TB!$B$9:$C$1500,2,FALSE))</f>
        <v>Misc Cash Purchase</v>
      </c>
      <c r="F4560" s="142" t="s">
        <v>2377</v>
      </c>
      <c r="G4560" s="130"/>
      <c r="H4560" s="10"/>
      <c r="I4560" s="10">
        <v>908000</v>
      </c>
      <c r="J4560" s="79" t="e">
        <f t="shared" si="290"/>
        <v>#VALUE!</v>
      </c>
      <c r="K4560" s="106"/>
      <c r="L4560" s="141"/>
      <c r="M4560" s="132"/>
      <c r="N4560" s="133"/>
      <c r="O4560" s="4"/>
      <c r="P4560" s="4"/>
      <c r="Q4560" s="4"/>
      <c r="R4560" s="4"/>
      <c r="S4560" s="4"/>
      <c r="T4560" s="4"/>
      <c r="U4560" s="4"/>
      <c r="V4560" s="4"/>
      <c r="W4560" s="4"/>
      <c r="X4560" s="4"/>
    </row>
    <row r="4561" spans="1:24" ht="14.25" customHeight="1">
      <c r="A4561" s="4"/>
      <c r="B4561" s="125"/>
      <c r="C4561" s="126"/>
      <c r="D4561" s="68"/>
      <c r="E4561" s="10" t="e">
        <f>TRIM(VLOOKUP(D4561,TB!$B$9:$C$1500,2,FALSE))</f>
        <v>#N/A</v>
      </c>
      <c r="F4561" s="142"/>
      <c r="G4561" s="130"/>
      <c r="H4561" s="10"/>
      <c r="I4561" s="10"/>
      <c r="J4561" s="79" t="e">
        <f t="shared" si="290"/>
        <v>#VALUE!</v>
      </c>
      <c r="K4561" s="106"/>
      <c r="L4561" s="141"/>
      <c r="M4561" s="132"/>
      <c r="N4561" s="133"/>
      <c r="O4561" s="4"/>
      <c r="P4561" s="4"/>
      <c r="Q4561" s="4"/>
      <c r="R4561" s="4"/>
      <c r="S4561" s="4"/>
      <c r="T4561" s="4"/>
      <c r="U4561" s="4"/>
      <c r="V4561" s="4"/>
      <c r="W4561" s="4"/>
      <c r="X4561" s="4"/>
    </row>
    <row r="4562" spans="1:24" ht="14.25" customHeight="1">
      <c r="A4562" s="4"/>
      <c r="B4562" s="125">
        <v>46196</v>
      </c>
      <c r="C4562" s="126" t="s">
        <v>2056</v>
      </c>
      <c r="D4562" s="15" t="s">
        <v>1928</v>
      </c>
      <c r="E4562" s="10" t="str">
        <f>TRIM(VLOOKUP(D4562,TB!$B$9:$C$1500,2,FALSE))</f>
        <v>Tomato 1 Kg</v>
      </c>
      <c r="F4562" s="142" t="s">
        <v>2072</v>
      </c>
      <c r="G4562" s="130">
        <v>1</v>
      </c>
      <c r="H4562" s="10">
        <f>20000</f>
        <v>20000</v>
      </c>
      <c r="I4562" s="10"/>
      <c r="J4562" s="79" t="e">
        <f t="shared" si="290"/>
        <v>#VALUE!</v>
      </c>
      <c r="K4562" s="106">
        <f t="shared" ref="K4562:K4579" si="307">H4562/G4562</f>
        <v>20000</v>
      </c>
      <c r="L4562" s="141"/>
      <c r="M4562" s="132"/>
      <c r="N4562" s="133"/>
      <c r="O4562" s="4"/>
      <c r="P4562" s="4"/>
      <c r="Q4562" s="4"/>
      <c r="R4562" s="4"/>
      <c r="S4562" s="4"/>
      <c r="T4562" s="4"/>
      <c r="U4562" s="4"/>
      <c r="V4562" s="4"/>
      <c r="W4562" s="4"/>
      <c r="X4562" s="4"/>
    </row>
    <row r="4563" spans="1:24" ht="14.25" customHeight="1">
      <c r="A4563" s="4"/>
      <c r="B4563" s="125">
        <v>46196</v>
      </c>
      <c r="C4563" s="126" t="s">
        <v>2056</v>
      </c>
      <c r="D4563" s="15" t="s">
        <v>1875</v>
      </c>
      <c r="E4563" s="10" t="str">
        <f>TRIM(VLOOKUP(D4563,TB!$B$9:$C$1500,2,FALSE))</f>
        <v>Onion/Bombay</v>
      </c>
      <c r="F4563" s="142" t="s">
        <v>2297</v>
      </c>
      <c r="G4563" s="168">
        <v>0.5</v>
      </c>
      <c r="H4563" s="10">
        <f>22000*0.5</f>
        <v>11000</v>
      </c>
      <c r="I4563" s="10"/>
      <c r="J4563" s="79" t="e">
        <f t="shared" si="290"/>
        <v>#VALUE!</v>
      </c>
      <c r="K4563" s="106">
        <f t="shared" si="307"/>
        <v>22000</v>
      </c>
      <c r="L4563" s="141"/>
      <c r="M4563" s="132"/>
      <c r="N4563" s="133"/>
      <c r="O4563" s="4"/>
      <c r="P4563" s="4"/>
      <c r="Q4563" s="4"/>
      <c r="R4563" s="4"/>
      <c r="S4563" s="4"/>
      <c r="T4563" s="4"/>
      <c r="U4563" s="4"/>
      <c r="V4563" s="4"/>
      <c r="W4563" s="4"/>
      <c r="X4563" s="4"/>
    </row>
    <row r="4564" spans="1:24" ht="14.25" customHeight="1">
      <c r="A4564" s="4"/>
      <c r="B4564" s="125">
        <v>46196</v>
      </c>
      <c r="C4564" s="126" t="s">
        <v>2056</v>
      </c>
      <c r="D4564" s="15" t="s">
        <v>2076</v>
      </c>
      <c r="E4564" s="10" t="str">
        <f>TRIM(VLOOKUP(D4564,TB!$B$9:$C$1500,2,FALSE))</f>
        <v>Buncis</v>
      </c>
      <c r="F4564" s="142" t="s">
        <v>2272</v>
      </c>
      <c r="G4564" s="168">
        <v>0.5</v>
      </c>
      <c r="H4564" s="10">
        <f>25000*0.5</f>
        <v>12500</v>
      </c>
      <c r="I4564" s="10"/>
      <c r="J4564" s="79" t="e">
        <f t="shared" si="290"/>
        <v>#VALUE!</v>
      </c>
      <c r="K4564" s="106">
        <f t="shared" si="307"/>
        <v>25000</v>
      </c>
      <c r="L4564" s="141"/>
      <c r="M4564" s="132"/>
      <c r="N4564" s="133"/>
      <c r="O4564" s="4"/>
      <c r="P4564" s="4"/>
      <c r="Q4564" s="4"/>
      <c r="R4564" s="4"/>
      <c r="S4564" s="4"/>
      <c r="T4564" s="4"/>
      <c r="U4564" s="4"/>
      <c r="V4564" s="4"/>
      <c r="W4564" s="4"/>
      <c r="X4564" s="4"/>
    </row>
    <row r="4565" spans="1:24" ht="14.25" customHeight="1">
      <c r="A4565" s="4"/>
      <c r="B4565" s="125">
        <v>46196</v>
      </c>
      <c r="C4565" s="126" t="s">
        <v>2056</v>
      </c>
      <c r="D4565" s="15" t="s">
        <v>2090</v>
      </c>
      <c r="E4565" s="10" t="str">
        <f>TRIM(VLOOKUP(D4565,TB!$B$9:$C$1500,2,FALSE))</f>
        <v>Japanese Cucumber/Timun</v>
      </c>
      <c r="F4565" s="142" t="s">
        <v>2301</v>
      </c>
      <c r="G4565" s="130">
        <v>1.4</v>
      </c>
      <c r="H4565" s="10">
        <f>14000*1.4</f>
        <v>19600</v>
      </c>
      <c r="I4565" s="10"/>
      <c r="J4565" s="79" t="e">
        <f t="shared" si="290"/>
        <v>#VALUE!</v>
      </c>
      <c r="K4565" s="106">
        <f t="shared" si="307"/>
        <v>14000</v>
      </c>
      <c r="L4565" s="141"/>
      <c r="M4565" s="132"/>
      <c r="N4565" s="133"/>
      <c r="O4565" s="4"/>
      <c r="P4565" s="4"/>
      <c r="Q4565" s="4"/>
      <c r="R4565" s="4"/>
      <c r="S4565" s="4"/>
      <c r="T4565" s="4"/>
      <c r="U4565" s="4"/>
      <c r="V4565" s="4"/>
      <c r="W4565" s="4"/>
      <c r="X4565" s="4"/>
    </row>
    <row r="4566" spans="1:24" ht="14.25" customHeight="1">
      <c r="A4566" s="4"/>
      <c r="B4566" s="125">
        <v>46196</v>
      </c>
      <c r="C4566" s="126" t="s">
        <v>2056</v>
      </c>
      <c r="D4566" s="15" t="s">
        <v>2062</v>
      </c>
      <c r="E4566" s="10" t="str">
        <f>TRIM(VLOOKUP(D4566,TB!$B$9:$C$1500,2,FALSE))</f>
        <v>Mushrooms Button</v>
      </c>
      <c r="F4566" s="142" t="s">
        <v>2063</v>
      </c>
      <c r="G4566" s="130">
        <v>1</v>
      </c>
      <c r="H4566" s="10">
        <v>45000</v>
      </c>
      <c r="I4566" s="10"/>
      <c r="J4566" s="79" t="e">
        <f t="shared" si="290"/>
        <v>#VALUE!</v>
      </c>
      <c r="K4566" s="106">
        <f t="shared" si="307"/>
        <v>45000</v>
      </c>
      <c r="L4566" s="141"/>
      <c r="M4566" s="132"/>
      <c r="N4566" s="133"/>
      <c r="O4566" s="4"/>
      <c r="P4566" s="4"/>
      <c r="Q4566" s="4"/>
      <c r="R4566" s="4"/>
      <c r="S4566" s="4"/>
      <c r="T4566" s="4"/>
      <c r="U4566" s="4"/>
      <c r="V4566" s="4"/>
      <c r="W4566" s="4"/>
      <c r="X4566" s="4"/>
    </row>
    <row r="4567" spans="1:24" ht="14.25" customHeight="1">
      <c r="A4567" s="4"/>
      <c r="B4567" s="125">
        <v>46196</v>
      </c>
      <c r="C4567" s="126" t="s">
        <v>2056</v>
      </c>
      <c r="D4567" s="15" t="s">
        <v>2085</v>
      </c>
      <c r="E4567" s="10" t="str">
        <f>TRIM(VLOOKUP(D4567,TB!$B$9:$C$1500,2,FALSE))</f>
        <v>Carrot/Wortel</v>
      </c>
      <c r="F4567" s="142" t="s">
        <v>2378</v>
      </c>
      <c r="G4567" s="168">
        <v>0.5</v>
      </c>
      <c r="H4567" s="10">
        <f>25000*0.5</f>
        <v>12500</v>
      </c>
      <c r="I4567" s="10"/>
      <c r="J4567" s="79" t="e">
        <f t="shared" si="290"/>
        <v>#VALUE!</v>
      </c>
      <c r="K4567" s="106">
        <f t="shared" si="307"/>
        <v>25000</v>
      </c>
      <c r="L4567" s="141"/>
      <c r="M4567" s="132"/>
      <c r="N4567" s="133"/>
      <c r="O4567" s="4"/>
      <c r="P4567" s="4"/>
      <c r="Q4567" s="4"/>
      <c r="R4567" s="4"/>
      <c r="S4567" s="4"/>
      <c r="T4567" s="4"/>
      <c r="U4567" s="4"/>
      <c r="V4567" s="4"/>
      <c r="W4567" s="4"/>
      <c r="X4567" s="4"/>
    </row>
    <row r="4568" spans="1:24" ht="14.25" customHeight="1">
      <c r="A4568" s="4"/>
      <c r="B4568" s="125">
        <v>46196</v>
      </c>
      <c r="C4568" s="126" t="s">
        <v>2056</v>
      </c>
      <c r="D4568" s="15" t="s">
        <v>2138</v>
      </c>
      <c r="E4568" s="10" t="str">
        <f>TRIM(VLOOKUP(D4568,TB!$B$9:$C$1500,2,FALSE))</f>
        <v>Baby Carrot/Wortel</v>
      </c>
      <c r="F4568" s="142" t="s">
        <v>2271</v>
      </c>
      <c r="G4568" s="168">
        <v>0.5</v>
      </c>
      <c r="H4568" s="10">
        <f>35000*0.5</f>
        <v>17500</v>
      </c>
      <c r="I4568" s="10"/>
      <c r="J4568" s="79" t="e">
        <f t="shared" si="290"/>
        <v>#VALUE!</v>
      </c>
      <c r="K4568" s="106">
        <f t="shared" si="307"/>
        <v>35000</v>
      </c>
      <c r="L4568" s="141"/>
      <c r="M4568" s="132"/>
      <c r="N4568" s="133"/>
      <c r="O4568" s="4"/>
      <c r="P4568" s="4"/>
      <c r="Q4568" s="4"/>
      <c r="R4568" s="4"/>
      <c r="S4568" s="4"/>
      <c r="T4568" s="4"/>
      <c r="U4568" s="4"/>
      <c r="V4568" s="4"/>
      <c r="W4568" s="4"/>
      <c r="X4568" s="4"/>
    </row>
    <row r="4569" spans="1:24" ht="14.25" customHeight="1">
      <c r="A4569" s="4"/>
      <c r="B4569" s="125">
        <v>46196</v>
      </c>
      <c r="C4569" s="126" t="s">
        <v>2056</v>
      </c>
      <c r="D4569" s="15" t="s">
        <v>2222</v>
      </c>
      <c r="E4569" s="10" t="str">
        <f>TRIM(VLOOKUP(D4569,TB!$B$9:$C$1500,2,FALSE))</f>
        <v>Banana Fruit</v>
      </c>
      <c r="F4569" s="142" t="s">
        <v>2379</v>
      </c>
      <c r="G4569" s="130">
        <v>1.9</v>
      </c>
      <c r="H4569" s="10">
        <f>16000*1.9</f>
        <v>30400</v>
      </c>
      <c r="I4569" s="10"/>
      <c r="J4569" s="79" t="e">
        <f t="shared" si="290"/>
        <v>#VALUE!</v>
      </c>
      <c r="K4569" s="106">
        <f t="shared" si="307"/>
        <v>16000</v>
      </c>
      <c r="L4569" s="141"/>
      <c r="M4569" s="132"/>
      <c r="N4569" s="133"/>
      <c r="O4569" s="4"/>
      <c r="P4569" s="4"/>
      <c r="Q4569" s="4"/>
      <c r="R4569" s="4"/>
      <c r="S4569" s="4"/>
      <c r="T4569" s="4"/>
      <c r="U4569" s="4"/>
      <c r="V4569" s="4"/>
      <c r="W4569" s="4"/>
      <c r="X4569" s="4"/>
    </row>
    <row r="4570" spans="1:24" ht="14.25" customHeight="1">
      <c r="A4570" s="4"/>
      <c r="B4570" s="125">
        <v>46196</v>
      </c>
      <c r="C4570" s="126" t="s">
        <v>2056</v>
      </c>
      <c r="D4570" s="15" t="s">
        <v>2100</v>
      </c>
      <c r="E4570" s="10" t="str">
        <f>TRIM(VLOOKUP(D4570,TB!$B$9:$C$1500,2,FALSE))</f>
        <v>Basil</v>
      </c>
      <c r="F4570" s="142" t="s">
        <v>2283</v>
      </c>
      <c r="G4570" s="168">
        <v>0.25</v>
      </c>
      <c r="H4570" s="10">
        <f>75000*0.25</f>
        <v>18750</v>
      </c>
      <c r="I4570" s="10"/>
      <c r="J4570" s="79" t="e">
        <f t="shared" si="290"/>
        <v>#VALUE!</v>
      </c>
      <c r="K4570" s="106">
        <f t="shared" si="307"/>
        <v>75000</v>
      </c>
      <c r="L4570" s="141"/>
      <c r="M4570" s="132"/>
      <c r="N4570" s="133"/>
      <c r="O4570" s="4"/>
      <c r="P4570" s="4"/>
      <c r="Q4570" s="4"/>
      <c r="R4570" s="4"/>
      <c r="S4570" s="4"/>
      <c r="T4570" s="4"/>
      <c r="U4570" s="4"/>
      <c r="V4570" s="4"/>
      <c r="W4570" s="4"/>
      <c r="X4570" s="4"/>
    </row>
    <row r="4571" spans="1:24" ht="14.25" customHeight="1">
      <c r="A4571" s="4"/>
      <c r="B4571" s="125">
        <v>46196</v>
      </c>
      <c r="C4571" s="126" t="s">
        <v>2056</v>
      </c>
      <c r="D4571" s="15" t="s">
        <v>1807</v>
      </c>
      <c r="E4571" s="10" t="str">
        <f>TRIM(VLOOKUP(D4571,TB!$B$9:$C$1500,2,FALSE))</f>
        <v>Shallot/Bawang Merah</v>
      </c>
      <c r="F4571" s="142" t="s">
        <v>2280</v>
      </c>
      <c r="G4571" s="168">
        <v>0.25</v>
      </c>
      <c r="H4571" s="10">
        <f>52000*0.25</f>
        <v>13000</v>
      </c>
      <c r="I4571" s="10"/>
      <c r="J4571" s="79" t="e">
        <f t="shared" si="290"/>
        <v>#VALUE!</v>
      </c>
      <c r="K4571" s="106">
        <f t="shared" si="307"/>
        <v>52000</v>
      </c>
      <c r="L4571" s="141"/>
      <c r="M4571" s="132"/>
      <c r="N4571" s="133"/>
      <c r="O4571" s="4"/>
      <c r="P4571" s="4"/>
      <c r="Q4571" s="4"/>
      <c r="R4571" s="4"/>
      <c r="S4571" s="4"/>
      <c r="T4571" s="4"/>
      <c r="U4571" s="4"/>
      <c r="V4571" s="4"/>
      <c r="W4571" s="4"/>
      <c r="X4571" s="4"/>
    </row>
    <row r="4572" spans="1:24" ht="14.25" customHeight="1">
      <c r="A4572" s="4"/>
      <c r="B4572" s="125">
        <v>46196</v>
      </c>
      <c r="C4572" s="126" t="s">
        <v>2056</v>
      </c>
      <c r="D4572" s="15" t="s">
        <v>1794</v>
      </c>
      <c r="E4572" s="10" t="str">
        <f>TRIM(VLOOKUP(D4572,TB!$B$9:$C$1500,2,FALSE))</f>
        <v>Garlic/Bawang Putih</v>
      </c>
      <c r="F4572" s="142" t="s">
        <v>2281</v>
      </c>
      <c r="G4572" s="168">
        <v>0.25</v>
      </c>
      <c r="H4572" s="10">
        <f>38000*0.25</f>
        <v>9500</v>
      </c>
      <c r="I4572" s="10"/>
      <c r="J4572" s="79" t="e">
        <f t="shared" si="290"/>
        <v>#VALUE!</v>
      </c>
      <c r="K4572" s="106">
        <f t="shared" si="307"/>
        <v>38000</v>
      </c>
      <c r="L4572" s="141"/>
      <c r="M4572" s="132"/>
      <c r="N4572" s="133"/>
      <c r="O4572" s="4"/>
      <c r="P4572" s="4"/>
      <c r="Q4572" s="4"/>
      <c r="R4572" s="4"/>
      <c r="S4572" s="4"/>
      <c r="T4572" s="4"/>
      <c r="U4572" s="4"/>
      <c r="V4572" s="4"/>
      <c r="W4572" s="4"/>
      <c r="X4572" s="4"/>
    </row>
    <row r="4573" spans="1:24" ht="14.25" customHeight="1">
      <c r="A4573" s="4"/>
      <c r="B4573" s="125">
        <v>46196</v>
      </c>
      <c r="C4573" s="126" t="s">
        <v>2056</v>
      </c>
      <c r="D4573" s="15" t="s">
        <v>1155</v>
      </c>
      <c r="E4573" s="10" t="str">
        <f>TRIM(VLOOKUP(D4573,TB!$B$9:$C$1500,2,FALSE))</f>
        <v>Kitchen Supplies</v>
      </c>
      <c r="F4573" s="142" t="s">
        <v>2380</v>
      </c>
      <c r="G4573" s="168">
        <v>0.25</v>
      </c>
      <c r="H4573" s="10">
        <f>65000*0.25</f>
        <v>16250</v>
      </c>
      <c r="I4573" s="10"/>
      <c r="J4573" s="79" t="e">
        <f t="shared" si="290"/>
        <v>#VALUE!</v>
      </c>
      <c r="K4573" s="106">
        <f t="shared" si="307"/>
        <v>65000</v>
      </c>
      <c r="L4573" s="141"/>
      <c r="M4573" s="132"/>
      <c r="N4573" s="133"/>
      <c r="O4573" s="4"/>
      <c r="P4573" s="4"/>
      <c r="Q4573" s="4"/>
      <c r="R4573" s="4"/>
      <c r="S4573" s="4"/>
      <c r="T4573" s="4"/>
      <c r="U4573" s="4"/>
      <c r="V4573" s="4"/>
      <c r="W4573" s="4"/>
      <c r="X4573" s="4"/>
    </row>
    <row r="4574" spans="1:24" ht="14.25" customHeight="1">
      <c r="A4574" s="4"/>
      <c r="B4574" s="125">
        <v>46196</v>
      </c>
      <c r="C4574" s="126" t="s">
        <v>2056</v>
      </c>
      <c r="D4574" s="15" t="s">
        <v>2030</v>
      </c>
      <c r="E4574" s="10" t="str">
        <f>TRIM(VLOOKUP(D4574,TB!$B$9:$C$1500,2,FALSE))</f>
        <v>Hot Chilli / Lombok Kecil</v>
      </c>
      <c r="F4574" s="142" t="s">
        <v>2277</v>
      </c>
      <c r="G4574" s="168">
        <v>0.25</v>
      </c>
      <c r="H4574" s="10">
        <f>75000*0.25</f>
        <v>18750</v>
      </c>
      <c r="I4574" s="10"/>
      <c r="J4574" s="79" t="e">
        <f t="shared" si="290"/>
        <v>#VALUE!</v>
      </c>
      <c r="K4574" s="106">
        <f t="shared" si="307"/>
        <v>75000</v>
      </c>
      <c r="L4574" s="141"/>
      <c r="M4574" s="132"/>
      <c r="N4574" s="133"/>
      <c r="O4574" s="4"/>
      <c r="P4574" s="4"/>
      <c r="Q4574" s="4"/>
      <c r="R4574" s="4"/>
      <c r="S4574" s="4"/>
      <c r="T4574" s="4"/>
      <c r="U4574" s="4"/>
      <c r="V4574" s="4"/>
      <c r="W4574" s="4"/>
      <c r="X4574" s="4"/>
    </row>
    <row r="4575" spans="1:24" ht="14.25" customHeight="1">
      <c r="A4575" s="4"/>
      <c r="B4575" s="125">
        <v>46196</v>
      </c>
      <c r="C4575" s="126" t="s">
        <v>2056</v>
      </c>
      <c r="D4575" s="15" t="s">
        <v>1877</v>
      </c>
      <c r="E4575" s="10" t="str">
        <f>TRIM(VLOOKUP(D4575,TB!$B$9:$C$1500,2,FALSE))</f>
        <v>Pok Coy</v>
      </c>
      <c r="F4575" s="142" t="s">
        <v>2073</v>
      </c>
      <c r="G4575" s="130">
        <v>1</v>
      </c>
      <c r="H4575" s="10">
        <v>15000</v>
      </c>
      <c r="I4575" s="10"/>
      <c r="J4575" s="79" t="e">
        <f t="shared" si="290"/>
        <v>#VALUE!</v>
      </c>
      <c r="K4575" s="106">
        <f t="shared" si="307"/>
        <v>15000</v>
      </c>
      <c r="L4575" s="141"/>
      <c r="M4575" s="132"/>
      <c r="N4575" s="133"/>
      <c r="O4575" s="4"/>
      <c r="P4575" s="4"/>
      <c r="Q4575" s="4"/>
      <c r="R4575" s="4"/>
      <c r="S4575" s="4"/>
      <c r="T4575" s="4"/>
      <c r="U4575" s="4"/>
      <c r="V4575" s="4"/>
      <c r="W4575" s="4"/>
      <c r="X4575" s="4"/>
    </row>
    <row r="4576" spans="1:24" ht="14.25" customHeight="1">
      <c r="A4576" s="4"/>
      <c r="B4576" s="125">
        <v>46196</v>
      </c>
      <c r="C4576" s="126" t="s">
        <v>2056</v>
      </c>
      <c r="D4576" s="15" t="s">
        <v>1888</v>
      </c>
      <c r="E4576" s="10" t="str">
        <f>TRIM(VLOOKUP(D4576,TB!$B$9:$C$1500,2,FALSE))</f>
        <v>Romaine</v>
      </c>
      <c r="F4576" s="142" t="s">
        <v>2074</v>
      </c>
      <c r="G4576" s="168">
        <v>0.5</v>
      </c>
      <c r="H4576" s="10">
        <f>80000*0.5</f>
        <v>40000</v>
      </c>
      <c r="I4576" s="10"/>
      <c r="J4576" s="79" t="e">
        <f t="shared" si="290"/>
        <v>#VALUE!</v>
      </c>
      <c r="K4576" s="106">
        <f t="shared" si="307"/>
        <v>80000</v>
      </c>
      <c r="L4576" s="141"/>
      <c r="M4576" s="132"/>
      <c r="N4576" s="133"/>
      <c r="O4576" s="4"/>
      <c r="P4576" s="4"/>
      <c r="Q4576" s="4"/>
      <c r="R4576" s="4"/>
      <c r="S4576" s="4"/>
      <c r="T4576" s="4"/>
      <c r="U4576" s="4"/>
      <c r="V4576" s="4"/>
      <c r="W4576" s="4"/>
      <c r="X4576" s="4"/>
    </row>
    <row r="4577" spans="1:24" ht="14.25" customHeight="1">
      <c r="A4577" s="4"/>
      <c r="B4577" s="125">
        <v>46196</v>
      </c>
      <c r="C4577" s="126" t="s">
        <v>2056</v>
      </c>
      <c r="D4577" s="15" t="s">
        <v>1763</v>
      </c>
      <c r="E4577" s="10" t="str">
        <f>TRIM(VLOOKUP(D4577,TB!$B$9:$C$1500,2,FALSE))</f>
        <v>Leek / Bawang Pre</v>
      </c>
      <c r="F4577" s="142" t="s">
        <v>2381</v>
      </c>
      <c r="G4577" s="168">
        <v>0.3</v>
      </c>
      <c r="H4577" s="10">
        <f>35000*0.3</f>
        <v>10500</v>
      </c>
      <c r="I4577" s="10"/>
      <c r="J4577" s="79" t="e">
        <f t="shared" si="290"/>
        <v>#VALUE!</v>
      </c>
      <c r="K4577" s="106">
        <f t="shared" si="307"/>
        <v>35000</v>
      </c>
      <c r="L4577" s="141"/>
      <c r="M4577" s="132"/>
      <c r="N4577" s="133"/>
      <c r="O4577" s="4"/>
      <c r="P4577" s="4"/>
      <c r="Q4577" s="4"/>
      <c r="R4577" s="4"/>
      <c r="S4577" s="4"/>
      <c r="T4577" s="4"/>
      <c r="U4577" s="4"/>
      <c r="V4577" s="4"/>
      <c r="W4577" s="4"/>
      <c r="X4577" s="4"/>
    </row>
    <row r="4578" spans="1:24" ht="14.25" customHeight="1">
      <c r="A4578" s="4"/>
      <c r="B4578" s="125">
        <v>46196</v>
      </c>
      <c r="C4578" s="126" t="s">
        <v>2056</v>
      </c>
      <c r="D4578" s="15" t="s">
        <v>2134</v>
      </c>
      <c r="E4578" s="10" t="str">
        <f>TRIM(VLOOKUP(D4578,TB!$B$9:$C$1500,2,FALSE))</f>
        <v>Chicken Leg Fillet/Ayam Penjantan</v>
      </c>
      <c r="F4578" s="142" t="s">
        <v>2361</v>
      </c>
      <c r="G4578" s="130">
        <v>5</v>
      </c>
      <c r="H4578" s="10">
        <f>70000*5</f>
        <v>350000</v>
      </c>
      <c r="I4578" s="10"/>
      <c r="J4578" s="79" t="e">
        <f t="shared" si="290"/>
        <v>#VALUE!</v>
      </c>
      <c r="K4578" s="106">
        <f t="shared" si="307"/>
        <v>70000</v>
      </c>
      <c r="L4578" s="141"/>
      <c r="M4578" s="132"/>
      <c r="N4578" s="133"/>
      <c r="O4578" s="4"/>
      <c r="P4578" s="4"/>
      <c r="Q4578" s="4"/>
      <c r="R4578" s="4"/>
      <c r="S4578" s="4"/>
      <c r="T4578" s="4"/>
      <c r="U4578" s="4"/>
      <c r="V4578" s="4"/>
      <c r="W4578" s="4"/>
      <c r="X4578" s="4"/>
    </row>
    <row r="4579" spans="1:24" ht="14.25" customHeight="1">
      <c r="A4579" s="4"/>
      <c r="B4579" s="125">
        <v>46196</v>
      </c>
      <c r="C4579" s="126" t="s">
        <v>2056</v>
      </c>
      <c r="D4579" s="15" t="s">
        <v>1890</v>
      </c>
      <c r="E4579" s="10" t="str">
        <f>TRIM(VLOOKUP(D4579,TB!$B$9:$C$1500,2,FALSE))</f>
        <v>Avocado</v>
      </c>
      <c r="F4579" s="142" t="s">
        <v>2269</v>
      </c>
      <c r="G4579" s="130">
        <v>1.2</v>
      </c>
      <c r="H4579" s="10">
        <f>40000*1.2</f>
        <v>48000</v>
      </c>
      <c r="I4579" s="10"/>
      <c r="J4579" s="79" t="e">
        <f t="shared" si="290"/>
        <v>#VALUE!</v>
      </c>
      <c r="K4579" s="106">
        <f t="shared" si="307"/>
        <v>40000</v>
      </c>
      <c r="L4579" s="141"/>
      <c r="M4579" s="132"/>
      <c r="N4579" s="133"/>
      <c r="O4579" s="4"/>
      <c r="P4579" s="4"/>
      <c r="Q4579" s="4"/>
      <c r="R4579" s="4"/>
      <c r="S4579" s="4"/>
      <c r="T4579" s="4"/>
      <c r="U4579" s="4"/>
      <c r="V4579" s="4"/>
      <c r="W4579" s="4"/>
      <c r="X4579" s="4"/>
    </row>
    <row r="4580" spans="1:24" ht="14.25" customHeight="1">
      <c r="A4580" s="4"/>
      <c r="B4580" s="125">
        <v>46196</v>
      </c>
      <c r="C4580" s="126" t="s">
        <v>2056</v>
      </c>
      <c r="D4580" s="15" t="s">
        <v>285</v>
      </c>
      <c r="E4580" s="10" t="str">
        <f>TRIM(VLOOKUP(D4580,TB!$B$9:$C$1500,2,FALSE))</f>
        <v>Misc Cash Purchase</v>
      </c>
      <c r="F4580" s="142" t="s">
        <v>2382</v>
      </c>
      <c r="G4580" s="130"/>
      <c r="H4580" s="10"/>
      <c r="I4580" s="10">
        <v>708250</v>
      </c>
      <c r="J4580" s="79" t="e">
        <f t="shared" si="290"/>
        <v>#VALUE!</v>
      </c>
      <c r="K4580" s="106"/>
      <c r="L4580" s="141"/>
      <c r="M4580" s="132"/>
      <c r="N4580" s="133"/>
      <c r="O4580" s="4"/>
      <c r="P4580" s="4"/>
      <c r="Q4580" s="4"/>
      <c r="R4580" s="4"/>
      <c r="S4580" s="4"/>
      <c r="T4580" s="4"/>
      <c r="U4580" s="4"/>
      <c r="V4580" s="4"/>
      <c r="W4580" s="4"/>
      <c r="X4580" s="4"/>
    </row>
    <row r="4581" spans="1:24" ht="14.25" customHeight="1">
      <c r="A4581" s="4"/>
      <c r="B4581" s="125"/>
      <c r="C4581" s="126"/>
      <c r="D4581" s="68"/>
      <c r="E4581" s="10" t="e">
        <f>TRIM(VLOOKUP(D4581,TB!$B$9:$C$1500,2,FALSE))</f>
        <v>#N/A</v>
      </c>
      <c r="F4581" s="142"/>
      <c r="G4581" s="130"/>
      <c r="H4581" s="10"/>
      <c r="I4581" s="10"/>
      <c r="J4581" s="79" t="e">
        <f t="shared" si="290"/>
        <v>#VALUE!</v>
      </c>
      <c r="K4581" s="106"/>
      <c r="L4581" s="141"/>
      <c r="M4581" s="132"/>
      <c r="N4581" s="133"/>
      <c r="O4581" s="4"/>
      <c r="P4581" s="4"/>
      <c r="Q4581" s="4"/>
      <c r="R4581" s="4"/>
      <c r="S4581" s="4"/>
      <c r="T4581" s="4"/>
      <c r="U4581" s="4"/>
      <c r="V4581" s="4"/>
      <c r="W4581" s="4"/>
      <c r="X4581" s="4"/>
    </row>
    <row r="4582" spans="1:24" ht="14.25" customHeight="1">
      <c r="A4582" s="4"/>
      <c r="B4582" s="125">
        <v>46196</v>
      </c>
      <c r="C4582" s="126" t="s">
        <v>2056</v>
      </c>
      <c r="D4582" s="15" t="s">
        <v>1916</v>
      </c>
      <c r="E4582" s="10" t="str">
        <f>TRIM(VLOOKUP(D4582,TB!$B$9:$C$1500,2,FALSE))</f>
        <v>Egg/Telur</v>
      </c>
      <c r="F4582" s="142" t="s">
        <v>2237</v>
      </c>
      <c r="G4582" s="130">
        <f>10*30</f>
        <v>300</v>
      </c>
      <c r="H4582" s="10">
        <f>55000*10</f>
        <v>550000</v>
      </c>
      <c r="I4582" s="10"/>
      <c r="J4582" s="79" t="e">
        <f t="shared" si="290"/>
        <v>#VALUE!</v>
      </c>
      <c r="K4582" s="106">
        <f>H4582/G4582</f>
        <v>1833.3333333333333</v>
      </c>
      <c r="L4582" s="141"/>
      <c r="M4582" s="132"/>
      <c r="N4582" s="133"/>
      <c r="O4582" s="4"/>
      <c r="P4582" s="4"/>
      <c r="Q4582" s="4"/>
      <c r="R4582" s="4"/>
      <c r="S4582" s="4"/>
      <c r="T4582" s="4"/>
      <c r="U4582" s="4"/>
      <c r="V4582" s="4"/>
      <c r="W4582" s="4"/>
      <c r="X4582" s="4"/>
    </row>
    <row r="4583" spans="1:24" ht="14.25" customHeight="1">
      <c r="A4583" s="4"/>
      <c r="B4583" s="125">
        <v>46196</v>
      </c>
      <c r="C4583" s="126" t="s">
        <v>2056</v>
      </c>
      <c r="D4583" s="15" t="s">
        <v>285</v>
      </c>
      <c r="E4583" s="10" t="str">
        <f>TRIM(VLOOKUP(D4583,TB!$B$9:$C$1500,2,FALSE))</f>
        <v>Misc Cash Purchase</v>
      </c>
      <c r="F4583" s="142" t="s">
        <v>2383</v>
      </c>
      <c r="G4583" s="130"/>
      <c r="H4583" s="10"/>
      <c r="I4583" s="10">
        <v>550000</v>
      </c>
      <c r="J4583" s="79" t="e">
        <f t="shared" si="290"/>
        <v>#VALUE!</v>
      </c>
      <c r="K4583" s="106"/>
      <c r="L4583" s="141"/>
      <c r="M4583" s="132"/>
      <c r="N4583" s="133"/>
      <c r="O4583" s="4"/>
      <c r="P4583" s="4"/>
      <c r="Q4583" s="4"/>
      <c r="R4583" s="4"/>
      <c r="S4583" s="4"/>
      <c r="T4583" s="4"/>
      <c r="U4583" s="4"/>
      <c r="V4583" s="4"/>
      <c r="W4583" s="4"/>
      <c r="X4583" s="4"/>
    </row>
    <row r="4584" spans="1:24" ht="14.25" customHeight="1">
      <c r="A4584" s="4"/>
      <c r="B4584" s="125"/>
      <c r="C4584" s="126"/>
      <c r="D4584" s="68"/>
      <c r="E4584" s="10" t="e">
        <f>TRIM(VLOOKUP(D4584,TB!$B$9:$C$1500,2,FALSE))</f>
        <v>#N/A</v>
      </c>
      <c r="F4584" s="142"/>
      <c r="G4584" s="130"/>
      <c r="H4584" s="10"/>
      <c r="I4584" s="10"/>
      <c r="J4584" s="79" t="e">
        <f t="shared" si="290"/>
        <v>#VALUE!</v>
      </c>
      <c r="K4584" s="106"/>
      <c r="L4584" s="141"/>
      <c r="M4584" s="132"/>
      <c r="N4584" s="133"/>
      <c r="O4584" s="4"/>
      <c r="P4584" s="4"/>
      <c r="Q4584" s="4"/>
      <c r="R4584" s="4"/>
      <c r="S4584" s="4"/>
      <c r="T4584" s="4"/>
      <c r="U4584" s="4"/>
      <c r="V4584" s="4"/>
      <c r="W4584" s="4"/>
      <c r="X4584" s="4"/>
    </row>
    <row r="4585" spans="1:24" ht="14.25" customHeight="1">
      <c r="A4585" s="4"/>
      <c r="B4585" s="125">
        <v>46197</v>
      </c>
      <c r="C4585" s="126" t="s">
        <v>2056</v>
      </c>
      <c r="D4585" s="15" t="s">
        <v>1928</v>
      </c>
      <c r="E4585" s="10" t="str">
        <f>TRIM(VLOOKUP(D4585,TB!$B$9:$C$1500,2,FALSE))</f>
        <v>Tomato 1 Kg</v>
      </c>
      <c r="F4585" s="142" t="s">
        <v>2239</v>
      </c>
      <c r="G4585" s="130">
        <v>1</v>
      </c>
      <c r="H4585" s="10">
        <v>20000</v>
      </c>
      <c r="I4585" s="10"/>
      <c r="J4585" s="79" t="e">
        <f t="shared" si="290"/>
        <v>#VALUE!</v>
      </c>
      <c r="K4585" s="106">
        <f t="shared" ref="K4585:K4589" si="308">H4585/G4585</f>
        <v>20000</v>
      </c>
      <c r="L4585" s="141"/>
      <c r="M4585" s="132"/>
      <c r="N4585" s="133"/>
      <c r="O4585" s="4"/>
      <c r="P4585" s="4"/>
      <c r="Q4585" s="4"/>
      <c r="R4585" s="4"/>
      <c r="S4585" s="4"/>
      <c r="T4585" s="4"/>
      <c r="U4585" s="4"/>
      <c r="V4585" s="4"/>
      <c r="W4585" s="4"/>
      <c r="X4585" s="4"/>
    </row>
    <row r="4586" spans="1:24" ht="14.25" customHeight="1">
      <c r="A4586" s="4"/>
      <c r="B4586" s="125">
        <v>46197</v>
      </c>
      <c r="C4586" s="126" t="s">
        <v>2056</v>
      </c>
      <c r="D4586" s="15" t="s">
        <v>1886</v>
      </c>
      <c r="E4586" s="10" t="str">
        <f>TRIM(VLOOKUP(D4586,TB!$B$9:$C$1500,2,FALSE))</f>
        <v>Ruccola</v>
      </c>
      <c r="F4586" s="142" t="s">
        <v>2261</v>
      </c>
      <c r="G4586" s="130">
        <v>0.7</v>
      </c>
      <c r="H4586" s="10">
        <f>70000*0.7</f>
        <v>49000</v>
      </c>
      <c r="I4586" s="10"/>
      <c r="J4586" s="79" t="e">
        <f t="shared" si="290"/>
        <v>#VALUE!</v>
      </c>
      <c r="K4586" s="106">
        <f t="shared" si="308"/>
        <v>70000</v>
      </c>
      <c r="L4586" s="141"/>
      <c r="M4586" s="132"/>
      <c r="N4586" s="133"/>
      <c r="O4586" s="4"/>
      <c r="P4586" s="4"/>
      <c r="Q4586" s="4"/>
      <c r="R4586" s="4"/>
      <c r="S4586" s="4"/>
      <c r="T4586" s="4"/>
      <c r="U4586" s="4"/>
      <c r="V4586" s="4"/>
      <c r="W4586" s="4"/>
      <c r="X4586" s="4"/>
    </row>
    <row r="4587" spans="1:24" ht="14.25" customHeight="1">
      <c r="A4587" s="4"/>
      <c r="B4587" s="125">
        <v>46197</v>
      </c>
      <c r="C4587" s="126" t="s">
        <v>2056</v>
      </c>
      <c r="D4587" s="15" t="s">
        <v>1867</v>
      </c>
      <c r="E4587" s="10" t="str">
        <f>TRIM(VLOOKUP(D4587,TB!$B$9:$C$1500,2,FALSE))</f>
        <v>Parsley</v>
      </c>
      <c r="F4587" s="142" t="s">
        <v>2384</v>
      </c>
      <c r="G4587" s="130">
        <v>0.1</v>
      </c>
      <c r="H4587" s="10">
        <f>80000*0.1</f>
        <v>8000</v>
      </c>
      <c r="I4587" s="10"/>
      <c r="J4587" s="79" t="e">
        <f t="shared" si="290"/>
        <v>#VALUE!</v>
      </c>
      <c r="K4587" s="106">
        <f t="shared" si="308"/>
        <v>80000</v>
      </c>
      <c r="L4587" s="141"/>
      <c r="M4587" s="132"/>
      <c r="N4587" s="133"/>
      <c r="O4587" s="4"/>
      <c r="P4587" s="4"/>
      <c r="Q4587" s="4"/>
      <c r="R4587" s="4"/>
      <c r="S4587" s="4"/>
      <c r="T4587" s="4"/>
      <c r="U4587" s="4"/>
      <c r="V4587" s="4"/>
      <c r="W4587" s="4"/>
      <c r="X4587" s="4"/>
    </row>
    <row r="4588" spans="1:24" ht="14.25" customHeight="1">
      <c r="A4588" s="4"/>
      <c r="B4588" s="125">
        <v>46197</v>
      </c>
      <c r="C4588" s="126" t="s">
        <v>2056</v>
      </c>
      <c r="D4588" s="15" t="s">
        <v>2113</v>
      </c>
      <c r="E4588" s="10" t="str">
        <f>TRIM(VLOOKUP(D4588,TB!$B$9:$C$1500,2,FALSE))</f>
        <v>Grape Fruit/BUAH ANGGUR</v>
      </c>
      <c r="F4588" s="142" t="s">
        <v>2241</v>
      </c>
      <c r="G4588" s="130">
        <v>0.25</v>
      </c>
      <c r="H4588" s="10">
        <f>90000*0.25</f>
        <v>22500</v>
      </c>
      <c r="I4588" s="10"/>
      <c r="J4588" s="79" t="e">
        <f t="shared" si="290"/>
        <v>#VALUE!</v>
      </c>
      <c r="K4588" s="106">
        <f t="shared" si="308"/>
        <v>90000</v>
      </c>
      <c r="L4588" s="141"/>
      <c r="M4588" s="132"/>
      <c r="N4588" s="133"/>
      <c r="O4588" s="4"/>
      <c r="P4588" s="4"/>
      <c r="Q4588" s="4"/>
      <c r="R4588" s="4"/>
      <c r="S4588" s="4"/>
      <c r="T4588" s="4"/>
      <c r="U4588" s="4"/>
      <c r="V4588" s="4"/>
      <c r="W4588" s="4"/>
      <c r="X4588" s="4"/>
    </row>
    <row r="4589" spans="1:24" ht="14.25" customHeight="1">
      <c r="A4589" s="4"/>
      <c r="B4589" s="125">
        <v>46197</v>
      </c>
      <c r="C4589" s="126" t="s">
        <v>2056</v>
      </c>
      <c r="D4589" s="15" t="s">
        <v>1877</v>
      </c>
      <c r="E4589" s="10" t="str">
        <f>TRIM(VLOOKUP(D4589,TB!$B$9:$C$1500,2,FALSE))</f>
        <v>Pok Coy</v>
      </c>
      <c r="F4589" s="142" t="s">
        <v>2152</v>
      </c>
      <c r="G4589" s="130">
        <v>0.5</v>
      </c>
      <c r="H4589" s="10">
        <f>15000*0.5</f>
        <v>7500</v>
      </c>
      <c r="I4589" s="10"/>
      <c r="J4589" s="79" t="e">
        <f t="shared" si="290"/>
        <v>#VALUE!</v>
      </c>
      <c r="K4589" s="106">
        <f t="shared" si="308"/>
        <v>15000</v>
      </c>
      <c r="L4589" s="141"/>
      <c r="M4589" s="132"/>
      <c r="N4589" s="133"/>
      <c r="O4589" s="4"/>
      <c r="P4589" s="4"/>
      <c r="Q4589" s="4"/>
      <c r="R4589" s="4"/>
      <c r="S4589" s="4"/>
      <c r="T4589" s="4"/>
      <c r="U4589" s="4"/>
      <c r="V4589" s="4"/>
      <c r="W4589" s="4"/>
      <c r="X4589" s="4"/>
    </row>
    <row r="4590" spans="1:24" ht="14.25" customHeight="1">
      <c r="A4590" s="4"/>
      <c r="B4590" s="125">
        <v>46197</v>
      </c>
      <c r="C4590" s="126" t="s">
        <v>2056</v>
      </c>
      <c r="D4590" s="15" t="s">
        <v>285</v>
      </c>
      <c r="E4590" s="10" t="str">
        <f>TRIM(VLOOKUP(D4590,TB!$B$9:$C$1500,2,FALSE))</f>
        <v>Misc Cash Purchase</v>
      </c>
      <c r="F4590" s="142" t="s">
        <v>2385</v>
      </c>
      <c r="G4590" s="130"/>
      <c r="H4590" s="10"/>
      <c r="I4590" s="10">
        <v>107000</v>
      </c>
      <c r="J4590" s="79" t="e">
        <f t="shared" si="290"/>
        <v>#VALUE!</v>
      </c>
      <c r="K4590" s="106"/>
      <c r="L4590" s="141"/>
      <c r="M4590" s="132"/>
      <c r="N4590" s="133"/>
      <c r="O4590" s="4"/>
      <c r="P4590" s="4"/>
      <c r="Q4590" s="4"/>
      <c r="R4590" s="4"/>
      <c r="S4590" s="4"/>
      <c r="T4590" s="4"/>
      <c r="U4590" s="4"/>
      <c r="V4590" s="4"/>
      <c r="W4590" s="4"/>
      <c r="X4590" s="4"/>
    </row>
    <row r="4591" spans="1:24" ht="14.25" customHeight="1">
      <c r="A4591" s="4"/>
      <c r="B4591" s="125"/>
      <c r="C4591" s="126"/>
      <c r="D4591" s="68"/>
      <c r="E4591" s="10" t="e">
        <f>TRIM(VLOOKUP(D4591,TB!$B$9:$C$1500,2,FALSE))</f>
        <v>#N/A</v>
      </c>
      <c r="F4591" s="142"/>
      <c r="G4591" s="130"/>
      <c r="H4591" s="10"/>
      <c r="I4591" s="10"/>
      <c r="J4591" s="79" t="e">
        <f t="shared" si="290"/>
        <v>#VALUE!</v>
      </c>
      <c r="K4591" s="106"/>
      <c r="L4591" s="141"/>
      <c r="M4591" s="132"/>
      <c r="N4591" s="133"/>
      <c r="O4591" s="4"/>
      <c r="P4591" s="4"/>
      <c r="Q4591" s="4"/>
      <c r="R4591" s="4"/>
      <c r="S4591" s="4"/>
      <c r="T4591" s="4"/>
      <c r="U4591" s="4"/>
      <c r="V4591" s="4"/>
      <c r="W4591" s="4"/>
      <c r="X4591" s="4"/>
    </row>
    <row r="4592" spans="1:24" ht="14.25" customHeight="1">
      <c r="A4592" s="4"/>
      <c r="B4592" s="125">
        <v>46198</v>
      </c>
      <c r="C4592" s="126" t="s">
        <v>2056</v>
      </c>
      <c r="D4592" s="15" t="s">
        <v>2294</v>
      </c>
      <c r="E4592" s="10" t="str">
        <f>TRIM(VLOOKUP(D4592,TB!$B$9:$C$1500,2,FALSE))</f>
        <v>Bumbu Sate / Kacang</v>
      </c>
      <c r="F4592" s="142" t="s">
        <v>2340</v>
      </c>
      <c r="G4592" s="130">
        <v>2</v>
      </c>
      <c r="H4592" s="10">
        <f>22000*2</f>
        <v>44000</v>
      </c>
      <c r="I4592" s="10"/>
      <c r="J4592" s="79" t="e">
        <f t="shared" si="290"/>
        <v>#VALUE!</v>
      </c>
      <c r="K4592" s="106">
        <f t="shared" ref="K4592:K4603" si="309">H4592/G4592</f>
        <v>22000</v>
      </c>
      <c r="L4592" s="141"/>
      <c r="M4592" s="132"/>
      <c r="N4592" s="133"/>
      <c r="O4592" s="4"/>
      <c r="P4592" s="4"/>
      <c r="Q4592" s="4"/>
      <c r="R4592" s="4"/>
      <c r="S4592" s="4"/>
      <c r="T4592" s="4"/>
      <c r="U4592" s="4"/>
      <c r="V4592" s="4"/>
      <c r="W4592" s="4"/>
      <c r="X4592" s="4"/>
    </row>
    <row r="4593" spans="1:24" ht="14.25" customHeight="1">
      <c r="A4593" s="4"/>
      <c r="B4593" s="125">
        <v>46198</v>
      </c>
      <c r="C4593" s="126" t="s">
        <v>2056</v>
      </c>
      <c r="D4593" s="15" t="s">
        <v>1794</v>
      </c>
      <c r="E4593" s="10" t="str">
        <f>TRIM(VLOOKUP(D4593,TB!$B$9:$C$1500,2,FALSE))</f>
        <v>Garlic/Bawang Putih</v>
      </c>
      <c r="F4593" s="142" t="s">
        <v>2324</v>
      </c>
      <c r="G4593" s="130">
        <v>0.25</v>
      </c>
      <c r="H4593" s="10">
        <f>38000*0.25</f>
        <v>9500</v>
      </c>
      <c r="I4593" s="10"/>
      <c r="J4593" s="79" t="e">
        <f t="shared" si="290"/>
        <v>#VALUE!</v>
      </c>
      <c r="K4593" s="106">
        <f t="shared" si="309"/>
        <v>38000</v>
      </c>
      <c r="L4593" s="141"/>
      <c r="M4593" s="132"/>
      <c r="N4593" s="133"/>
      <c r="O4593" s="4"/>
      <c r="P4593" s="4"/>
      <c r="Q4593" s="4"/>
      <c r="R4593" s="4"/>
      <c r="S4593" s="4"/>
      <c r="T4593" s="4"/>
      <c r="U4593" s="4"/>
      <c r="V4593" s="4"/>
      <c r="W4593" s="4"/>
      <c r="X4593" s="4"/>
    </row>
    <row r="4594" spans="1:24" ht="14.25" customHeight="1">
      <c r="A4594" s="4"/>
      <c r="B4594" s="125">
        <v>46198</v>
      </c>
      <c r="C4594" s="126" t="s">
        <v>2056</v>
      </c>
      <c r="D4594" s="15" t="s">
        <v>2030</v>
      </c>
      <c r="E4594" s="10" t="str">
        <f>TRIM(VLOOKUP(D4594,TB!$B$9:$C$1500,2,FALSE))</f>
        <v>Hot Chilli / Lombok Kecil</v>
      </c>
      <c r="F4594" s="142" t="s">
        <v>2386</v>
      </c>
      <c r="G4594" s="130">
        <v>0.25</v>
      </c>
      <c r="H4594" s="10">
        <f>75000*0.25</f>
        <v>18750</v>
      </c>
      <c r="I4594" s="10"/>
      <c r="J4594" s="79" t="e">
        <f t="shared" si="290"/>
        <v>#VALUE!</v>
      </c>
      <c r="K4594" s="106">
        <f t="shared" si="309"/>
        <v>75000</v>
      </c>
      <c r="L4594" s="141"/>
      <c r="M4594" s="132"/>
      <c r="N4594" s="133"/>
      <c r="O4594" s="4"/>
      <c r="P4594" s="4"/>
      <c r="Q4594" s="4"/>
      <c r="R4594" s="4"/>
      <c r="S4594" s="4"/>
      <c r="T4594" s="4"/>
      <c r="U4594" s="4"/>
      <c r="V4594" s="4"/>
      <c r="W4594" s="4"/>
      <c r="X4594" s="4"/>
    </row>
    <row r="4595" spans="1:24" ht="14.25" customHeight="1">
      <c r="A4595" s="4"/>
      <c r="B4595" s="125">
        <v>46198</v>
      </c>
      <c r="C4595" s="126" t="s">
        <v>2056</v>
      </c>
      <c r="D4595" s="15" t="s">
        <v>2069</v>
      </c>
      <c r="E4595" s="10" t="str">
        <f>TRIM(VLOOKUP(D4595,TB!$B$9:$C$1500,2,FALSE))</f>
        <v>Apple Fruit</v>
      </c>
      <c r="F4595" s="142" t="s">
        <v>2242</v>
      </c>
      <c r="G4595" s="130">
        <v>0.3</v>
      </c>
      <c r="H4595" s="10">
        <f>43000*0.3</f>
        <v>12900</v>
      </c>
      <c r="I4595" s="10"/>
      <c r="J4595" s="79" t="e">
        <f t="shared" si="290"/>
        <v>#VALUE!</v>
      </c>
      <c r="K4595" s="106">
        <f t="shared" si="309"/>
        <v>43000</v>
      </c>
      <c r="L4595" s="141"/>
      <c r="M4595" s="132"/>
      <c r="N4595" s="133"/>
      <c r="O4595" s="4"/>
      <c r="P4595" s="4"/>
      <c r="Q4595" s="4"/>
      <c r="R4595" s="4"/>
      <c r="S4595" s="4"/>
      <c r="T4595" s="4"/>
      <c r="U4595" s="4"/>
      <c r="V4595" s="4"/>
      <c r="W4595" s="4"/>
      <c r="X4595" s="4"/>
    </row>
    <row r="4596" spans="1:24" ht="14.25" customHeight="1">
      <c r="A4596" s="4"/>
      <c r="B4596" s="125">
        <v>46198</v>
      </c>
      <c r="C4596" s="126" t="s">
        <v>2056</v>
      </c>
      <c r="D4596" s="15" t="s">
        <v>2104</v>
      </c>
      <c r="E4596" s="10" t="str">
        <f>TRIM(VLOOKUP(D4596,TB!$B$9:$C$1500,2,FALSE))</f>
        <v>Pear</v>
      </c>
      <c r="F4596" s="142" t="s">
        <v>2202</v>
      </c>
      <c r="G4596" s="130">
        <v>0.6</v>
      </c>
      <c r="H4596" s="10">
        <f>28000*0.6</f>
        <v>16800</v>
      </c>
      <c r="I4596" s="10"/>
      <c r="J4596" s="79" t="e">
        <f t="shared" si="290"/>
        <v>#VALUE!</v>
      </c>
      <c r="K4596" s="106">
        <f t="shared" si="309"/>
        <v>28000</v>
      </c>
      <c r="L4596" s="141"/>
      <c r="M4596" s="132"/>
      <c r="N4596" s="133"/>
      <c r="O4596" s="4"/>
      <c r="P4596" s="4"/>
      <c r="Q4596" s="4"/>
      <c r="R4596" s="4"/>
      <c r="S4596" s="4"/>
      <c r="T4596" s="4"/>
      <c r="U4596" s="4"/>
      <c r="V4596" s="4"/>
      <c r="W4596" s="4"/>
      <c r="X4596" s="4"/>
    </row>
    <row r="4597" spans="1:24" ht="14.25" customHeight="1">
      <c r="A4597" s="4"/>
      <c r="B4597" s="125">
        <v>46198</v>
      </c>
      <c r="C4597" s="126" t="s">
        <v>2056</v>
      </c>
      <c r="D4597" s="15" t="s">
        <v>2121</v>
      </c>
      <c r="E4597" s="10" t="str">
        <f>TRIM(VLOOKUP(D4597,TB!$B$9:$C$1500,2,FALSE))</f>
        <v>Mango Fruit</v>
      </c>
      <c r="F4597" s="142" t="s">
        <v>2243</v>
      </c>
      <c r="G4597" s="130">
        <v>1</v>
      </c>
      <c r="H4597" s="10">
        <v>40000</v>
      </c>
      <c r="I4597" s="10"/>
      <c r="J4597" s="79" t="e">
        <f t="shared" si="290"/>
        <v>#VALUE!</v>
      </c>
      <c r="K4597" s="106">
        <f t="shared" si="309"/>
        <v>40000</v>
      </c>
      <c r="L4597" s="141"/>
      <c r="M4597" s="132"/>
      <c r="N4597" s="133"/>
      <c r="O4597" s="4"/>
      <c r="P4597" s="4"/>
      <c r="Q4597" s="4"/>
      <c r="R4597" s="4"/>
      <c r="S4597" s="4"/>
      <c r="T4597" s="4"/>
      <c r="U4597" s="4"/>
      <c r="V4597" s="4"/>
      <c r="W4597" s="4"/>
      <c r="X4597" s="4"/>
    </row>
    <row r="4598" spans="1:24" ht="14.25" customHeight="1">
      <c r="A4598" s="4"/>
      <c r="B4598" s="125">
        <v>46198</v>
      </c>
      <c r="C4598" s="126" t="s">
        <v>2056</v>
      </c>
      <c r="D4598" s="15" t="s">
        <v>1877</v>
      </c>
      <c r="E4598" s="10" t="str">
        <f>TRIM(VLOOKUP(D4598,TB!$B$9:$C$1500,2,FALSE))</f>
        <v>Pok Coy</v>
      </c>
      <c r="F4598" s="142" t="s">
        <v>2152</v>
      </c>
      <c r="G4598" s="130">
        <v>0.5</v>
      </c>
      <c r="H4598" s="10">
        <f>15000*0.5</f>
        <v>7500</v>
      </c>
      <c r="I4598" s="10"/>
      <c r="J4598" s="79" t="e">
        <f t="shared" si="290"/>
        <v>#VALUE!</v>
      </c>
      <c r="K4598" s="106">
        <f t="shared" si="309"/>
        <v>15000</v>
      </c>
      <c r="L4598" s="141"/>
      <c r="M4598" s="132"/>
      <c r="N4598" s="133"/>
      <c r="O4598" s="4"/>
      <c r="P4598" s="4"/>
      <c r="Q4598" s="4"/>
      <c r="R4598" s="4"/>
      <c r="S4598" s="4"/>
      <c r="T4598" s="4"/>
      <c r="U4598" s="4"/>
      <c r="V4598" s="4"/>
      <c r="W4598" s="4"/>
      <c r="X4598" s="4"/>
    </row>
    <row r="4599" spans="1:24" ht="14.25" customHeight="1">
      <c r="A4599" s="4"/>
      <c r="B4599" s="125">
        <v>46198</v>
      </c>
      <c r="C4599" s="126" t="s">
        <v>2056</v>
      </c>
      <c r="D4599" s="15" t="s">
        <v>1888</v>
      </c>
      <c r="E4599" s="10" t="str">
        <f>TRIM(VLOOKUP(D4599,TB!$B$9:$C$1500,2,FALSE))</f>
        <v>Romaine</v>
      </c>
      <c r="F4599" s="142" t="s">
        <v>2198</v>
      </c>
      <c r="G4599" s="130">
        <v>0.5</v>
      </c>
      <c r="H4599" s="10">
        <f>80000*0.5</f>
        <v>40000</v>
      </c>
      <c r="I4599" s="10"/>
      <c r="J4599" s="79" t="e">
        <f t="shared" si="290"/>
        <v>#VALUE!</v>
      </c>
      <c r="K4599" s="106">
        <f t="shared" si="309"/>
        <v>80000</v>
      </c>
      <c r="L4599" s="141"/>
      <c r="M4599" s="132"/>
      <c r="N4599" s="133"/>
      <c r="O4599" s="4"/>
      <c r="P4599" s="4"/>
      <c r="Q4599" s="4"/>
      <c r="R4599" s="4"/>
      <c r="S4599" s="4"/>
      <c r="T4599" s="4"/>
      <c r="U4599" s="4"/>
      <c r="V4599" s="4"/>
      <c r="W4599" s="4"/>
      <c r="X4599" s="4"/>
    </row>
    <row r="4600" spans="1:24" ht="14.25" customHeight="1">
      <c r="A4600" s="4"/>
      <c r="B4600" s="125">
        <v>46198</v>
      </c>
      <c r="C4600" s="126" t="s">
        <v>2056</v>
      </c>
      <c r="D4600" s="15" t="s">
        <v>2087</v>
      </c>
      <c r="E4600" s="10" t="str">
        <f>TRIM(VLOOKUP(D4600,TB!$B$9:$C$1500,2,FALSE))</f>
        <v>Mushroom Shimeji / Bunapi</v>
      </c>
      <c r="F4600" s="142" t="s">
        <v>2257</v>
      </c>
      <c r="G4600" s="130">
        <v>3</v>
      </c>
      <c r="H4600" s="10">
        <f>17000*3</f>
        <v>51000</v>
      </c>
      <c r="I4600" s="10"/>
      <c r="J4600" s="79" t="e">
        <f t="shared" si="290"/>
        <v>#VALUE!</v>
      </c>
      <c r="K4600" s="106">
        <f t="shared" si="309"/>
        <v>17000</v>
      </c>
      <c r="L4600" s="141"/>
      <c r="M4600" s="132"/>
      <c r="N4600" s="133"/>
      <c r="O4600" s="4"/>
      <c r="P4600" s="4"/>
      <c r="Q4600" s="4"/>
      <c r="R4600" s="4"/>
      <c r="S4600" s="4"/>
      <c r="T4600" s="4"/>
      <c r="U4600" s="4"/>
      <c r="V4600" s="4"/>
      <c r="W4600" s="4"/>
      <c r="X4600" s="4"/>
    </row>
    <row r="4601" spans="1:24" ht="14.25" customHeight="1">
      <c r="A4601" s="4"/>
      <c r="B4601" s="125">
        <v>46198</v>
      </c>
      <c r="C4601" s="126" t="s">
        <v>2056</v>
      </c>
      <c r="D4601" s="15" t="s">
        <v>2146</v>
      </c>
      <c r="E4601" s="10" t="str">
        <f>TRIM(VLOOKUP(D4601,TB!$B$9:$C$1500,2,FALSE))</f>
        <v>Raising Flour @400 Gr</v>
      </c>
      <c r="F4601" s="142" t="s">
        <v>2387</v>
      </c>
      <c r="G4601" s="130">
        <v>2</v>
      </c>
      <c r="H4601" s="10">
        <f>10000*2</f>
        <v>20000</v>
      </c>
      <c r="I4601" s="10"/>
      <c r="J4601" s="79" t="e">
        <f t="shared" si="290"/>
        <v>#VALUE!</v>
      </c>
      <c r="K4601" s="106">
        <f t="shared" si="309"/>
        <v>10000</v>
      </c>
      <c r="L4601" s="141"/>
      <c r="M4601" s="132"/>
      <c r="N4601" s="133"/>
      <c r="O4601" s="4"/>
      <c r="P4601" s="4"/>
      <c r="Q4601" s="4"/>
      <c r="R4601" s="4"/>
      <c r="S4601" s="4"/>
      <c r="T4601" s="4"/>
      <c r="U4601" s="4"/>
      <c r="V4601" s="4"/>
      <c r="W4601" s="4"/>
      <c r="X4601" s="4"/>
    </row>
    <row r="4602" spans="1:24" ht="14.25" customHeight="1">
      <c r="A4602" s="4"/>
      <c r="B4602" s="125">
        <v>46198</v>
      </c>
      <c r="C4602" s="126" t="s">
        <v>2056</v>
      </c>
      <c r="D4602" s="15" t="s">
        <v>1765</v>
      </c>
      <c r="E4602" s="10" t="str">
        <f>TRIM(VLOOKUP(D4602,TB!$B$9:$C$1500,2,FALSE))</f>
        <v>Great Chilli / Lombok Besar</v>
      </c>
      <c r="F4602" s="142" t="s">
        <v>2388</v>
      </c>
      <c r="G4602" s="130">
        <v>0.25</v>
      </c>
      <c r="H4602" s="10">
        <f>50000*0.25</f>
        <v>12500</v>
      </c>
      <c r="I4602" s="10"/>
      <c r="J4602" s="79" t="e">
        <f t="shared" si="290"/>
        <v>#VALUE!</v>
      </c>
      <c r="K4602" s="106">
        <f t="shared" si="309"/>
        <v>50000</v>
      </c>
      <c r="L4602" s="141"/>
      <c r="M4602" s="132"/>
      <c r="N4602" s="133"/>
      <c r="O4602" s="4"/>
      <c r="P4602" s="4"/>
      <c r="Q4602" s="4"/>
      <c r="R4602" s="4"/>
      <c r="S4602" s="4"/>
      <c r="T4602" s="4"/>
      <c r="U4602" s="4"/>
      <c r="V4602" s="4"/>
      <c r="W4602" s="4"/>
      <c r="X4602" s="4"/>
    </row>
    <row r="4603" spans="1:24" ht="14.25" customHeight="1">
      <c r="A4603" s="4"/>
      <c r="B4603" s="125">
        <v>46198</v>
      </c>
      <c r="C4603" s="126" t="s">
        <v>2056</v>
      </c>
      <c r="D4603" s="15" t="s">
        <v>2141</v>
      </c>
      <c r="E4603" s="10" t="str">
        <f>TRIM(VLOOKUP(D4603,TB!$B$9:$C$1500,2,FALSE))</f>
        <v>Dill Daun</v>
      </c>
      <c r="F4603" s="142" t="s">
        <v>2389</v>
      </c>
      <c r="G4603" s="130">
        <v>0.1</v>
      </c>
      <c r="H4603" s="10">
        <f>160000*0.1</f>
        <v>16000</v>
      </c>
      <c r="I4603" s="10"/>
      <c r="J4603" s="79" t="e">
        <f t="shared" si="290"/>
        <v>#VALUE!</v>
      </c>
      <c r="K4603" s="106">
        <f t="shared" si="309"/>
        <v>160000</v>
      </c>
      <c r="L4603" s="141"/>
      <c r="M4603" s="132"/>
      <c r="N4603" s="133"/>
      <c r="O4603" s="4"/>
      <c r="P4603" s="4"/>
      <c r="Q4603" s="4"/>
      <c r="R4603" s="4"/>
      <c r="S4603" s="4"/>
      <c r="T4603" s="4"/>
      <c r="U4603" s="4"/>
      <c r="V4603" s="4"/>
      <c r="W4603" s="4"/>
      <c r="X4603" s="4"/>
    </row>
    <row r="4604" spans="1:24" ht="14.25" customHeight="1">
      <c r="A4604" s="4"/>
      <c r="B4604" s="125">
        <v>46198</v>
      </c>
      <c r="C4604" s="126" t="s">
        <v>2056</v>
      </c>
      <c r="D4604" s="15" t="s">
        <v>285</v>
      </c>
      <c r="E4604" s="10" t="str">
        <f>TRIM(VLOOKUP(D4604,TB!$B$9:$C$1500,2,FALSE))</f>
        <v>Misc Cash Purchase</v>
      </c>
      <c r="F4604" s="142" t="s">
        <v>2390</v>
      </c>
      <c r="G4604" s="130"/>
      <c r="H4604" s="10"/>
      <c r="I4604" s="10">
        <v>288950</v>
      </c>
      <c r="J4604" s="79" t="e">
        <f t="shared" si="290"/>
        <v>#VALUE!</v>
      </c>
      <c r="K4604" s="106"/>
      <c r="L4604" s="141"/>
      <c r="M4604" s="132"/>
      <c r="N4604" s="133"/>
      <c r="O4604" s="4"/>
      <c r="P4604" s="4"/>
      <c r="Q4604" s="4"/>
      <c r="R4604" s="4"/>
      <c r="S4604" s="4"/>
      <c r="T4604" s="4"/>
      <c r="U4604" s="4"/>
      <c r="V4604" s="4"/>
      <c r="W4604" s="4"/>
      <c r="X4604" s="4"/>
    </row>
    <row r="4605" spans="1:24" ht="14.25" customHeight="1">
      <c r="A4605" s="4"/>
      <c r="B4605" s="125"/>
      <c r="C4605" s="126"/>
      <c r="D4605" s="68"/>
      <c r="E4605" s="10" t="e">
        <f>TRIM(VLOOKUP(D4605,TB!$B$9:$C$1500,2,FALSE))</f>
        <v>#N/A</v>
      </c>
      <c r="F4605" s="142"/>
      <c r="G4605" s="130"/>
      <c r="H4605" s="10"/>
      <c r="I4605" s="10"/>
      <c r="J4605" s="79" t="e">
        <f t="shared" si="290"/>
        <v>#VALUE!</v>
      </c>
      <c r="K4605" s="106"/>
      <c r="L4605" s="141"/>
      <c r="M4605" s="132"/>
      <c r="N4605" s="133"/>
      <c r="O4605" s="4"/>
      <c r="P4605" s="4"/>
      <c r="Q4605" s="4"/>
      <c r="R4605" s="4"/>
      <c r="S4605" s="4"/>
      <c r="T4605" s="4"/>
      <c r="U4605" s="4"/>
      <c r="V4605" s="4"/>
      <c r="W4605" s="4"/>
      <c r="X4605" s="4"/>
    </row>
    <row r="4606" spans="1:24" ht="14.25" customHeight="1">
      <c r="A4606" s="4"/>
      <c r="B4606" s="125">
        <v>46199</v>
      </c>
      <c r="C4606" s="126" t="s">
        <v>2056</v>
      </c>
      <c r="D4606" s="15" t="s">
        <v>1768</v>
      </c>
      <c r="E4606" s="10" t="str">
        <f>TRIM(VLOOKUP(D4606,TB!$B$9:$C$1500,2,FALSE))</f>
        <v>Lime Green</v>
      </c>
      <c r="F4606" s="142" t="s">
        <v>2312</v>
      </c>
      <c r="G4606" s="130">
        <v>15</v>
      </c>
      <c r="H4606" s="10">
        <f>24000*15</f>
        <v>360000</v>
      </c>
      <c r="I4606" s="10"/>
      <c r="J4606" s="79" t="e">
        <f t="shared" si="290"/>
        <v>#VALUE!</v>
      </c>
      <c r="K4606" s="106">
        <f t="shared" ref="K4606:K4608" si="310">H4606/G4606</f>
        <v>24000</v>
      </c>
      <c r="L4606" s="141"/>
      <c r="M4606" s="132"/>
      <c r="N4606" s="133"/>
      <c r="O4606" s="4"/>
      <c r="P4606" s="4"/>
      <c r="Q4606" s="4"/>
      <c r="R4606" s="4"/>
      <c r="S4606" s="4"/>
      <c r="T4606" s="4"/>
      <c r="U4606" s="4"/>
      <c r="V4606" s="4"/>
      <c r="W4606" s="4"/>
      <c r="X4606" s="4"/>
    </row>
    <row r="4607" spans="1:24" ht="14.25" customHeight="1">
      <c r="A4607" s="4"/>
      <c r="B4607" s="125">
        <v>46199</v>
      </c>
      <c r="C4607" s="126" t="s">
        <v>2056</v>
      </c>
      <c r="D4607" s="15" t="s">
        <v>2118</v>
      </c>
      <c r="E4607" s="10" t="str">
        <f>TRIM(VLOOKUP(D4607,TB!$B$9:$C$1500,2,FALSE))</f>
        <v>Sunkist</v>
      </c>
      <c r="F4607" s="142" t="s">
        <v>2119</v>
      </c>
      <c r="G4607" s="130">
        <v>4.2</v>
      </c>
      <c r="H4607" s="10">
        <f>38000*4.2</f>
        <v>159600</v>
      </c>
      <c r="I4607" s="10"/>
      <c r="J4607" s="79" t="e">
        <f t="shared" si="290"/>
        <v>#VALUE!</v>
      </c>
      <c r="K4607" s="106">
        <f t="shared" si="310"/>
        <v>38000</v>
      </c>
      <c r="L4607" s="141"/>
      <c r="M4607" s="132"/>
      <c r="N4607" s="133"/>
      <c r="O4607" s="4"/>
      <c r="P4607" s="4"/>
      <c r="Q4607" s="4"/>
      <c r="R4607" s="4"/>
      <c r="S4607" s="4"/>
      <c r="T4607" s="4"/>
      <c r="U4607" s="4"/>
      <c r="V4607" s="4"/>
      <c r="W4607" s="4"/>
      <c r="X4607" s="4"/>
    </row>
    <row r="4608" spans="1:24" ht="14.25" customHeight="1">
      <c r="A4608" s="4"/>
      <c r="B4608" s="125">
        <v>46199</v>
      </c>
      <c r="C4608" s="126" t="s">
        <v>2056</v>
      </c>
      <c r="D4608" s="15" t="s">
        <v>2252</v>
      </c>
      <c r="E4608" s="10" t="str">
        <f>TRIM(VLOOKUP(D4608,TB!$B$9:$C$1500,2,FALSE))</f>
        <v>Mint Leave</v>
      </c>
      <c r="F4608" s="142" t="s">
        <v>2253</v>
      </c>
      <c r="G4608" s="130">
        <v>0.25</v>
      </c>
      <c r="H4608" s="10">
        <f>55000*0.25</f>
        <v>13750</v>
      </c>
      <c r="I4608" s="10"/>
      <c r="J4608" s="79" t="e">
        <f t="shared" si="290"/>
        <v>#VALUE!</v>
      </c>
      <c r="K4608" s="106">
        <f t="shared" si="310"/>
        <v>55000</v>
      </c>
      <c r="L4608" s="141"/>
      <c r="M4608" s="132"/>
      <c r="N4608" s="133"/>
      <c r="O4608" s="4"/>
      <c r="P4608" s="4"/>
      <c r="Q4608" s="4"/>
      <c r="R4608" s="4"/>
      <c r="S4608" s="4"/>
      <c r="T4608" s="4"/>
      <c r="U4608" s="4"/>
      <c r="V4608" s="4"/>
      <c r="W4608" s="4"/>
      <c r="X4608" s="4"/>
    </row>
    <row r="4609" spans="1:24" ht="14.25" customHeight="1">
      <c r="A4609" s="4"/>
      <c r="B4609" s="125">
        <v>46199</v>
      </c>
      <c r="C4609" s="126" t="s">
        <v>2056</v>
      </c>
      <c r="D4609" s="15" t="s">
        <v>285</v>
      </c>
      <c r="E4609" s="10" t="str">
        <f>TRIM(VLOOKUP(D4609,TB!$B$9:$C$1500,2,FALSE))</f>
        <v>Misc Cash Purchase</v>
      </c>
      <c r="F4609" s="142" t="s">
        <v>2391</v>
      </c>
      <c r="G4609" s="130"/>
      <c r="H4609" s="10"/>
      <c r="I4609" s="10">
        <v>533350</v>
      </c>
      <c r="J4609" s="79" t="e">
        <f t="shared" si="290"/>
        <v>#VALUE!</v>
      </c>
      <c r="K4609" s="106"/>
      <c r="L4609" s="141"/>
      <c r="M4609" s="132"/>
      <c r="N4609" s="133"/>
      <c r="O4609" s="4"/>
      <c r="P4609" s="4"/>
      <c r="Q4609" s="4"/>
      <c r="R4609" s="4"/>
      <c r="S4609" s="4"/>
      <c r="T4609" s="4"/>
      <c r="U4609" s="4"/>
      <c r="V4609" s="4"/>
      <c r="W4609" s="4"/>
      <c r="X4609" s="4"/>
    </row>
    <row r="4610" spans="1:24" ht="14.25" customHeight="1">
      <c r="A4610" s="4"/>
      <c r="B4610" s="125"/>
      <c r="C4610" s="126"/>
      <c r="D4610" s="68"/>
      <c r="E4610" s="10" t="e">
        <f>TRIM(VLOOKUP(D4610,TB!$B$9:$C$1500,2,FALSE))</f>
        <v>#N/A</v>
      </c>
      <c r="F4610" s="142"/>
      <c r="G4610" s="130"/>
      <c r="H4610" s="10"/>
      <c r="I4610" s="10"/>
      <c r="J4610" s="79" t="e">
        <f t="shared" si="290"/>
        <v>#VALUE!</v>
      </c>
      <c r="K4610" s="106"/>
      <c r="L4610" s="141"/>
      <c r="M4610" s="132"/>
      <c r="N4610" s="133"/>
      <c r="O4610" s="4"/>
      <c r="P4610" s="4"/>
      <c r="Q4610" s="4"/>
      <c r="R4610" s="4"/>
      <c r="S4610" s="4"/>
      <c r="T4610" s="4"/>
      <c r="U4610" s="4"/>
      <c r="V4610" s="4"/>
      <c r="W4610" s="4"/>
      <c r="X4610" s="4"/>
    </row>
    <row r="4611" spans="1:24" ht="14.25" customHeight="1">
      <c r="A4611" s="4"/>
      <c r="B4611" s="125">
        <v>46199</v>
      </c>
      <c r="C4611" s="126" t="s">
        <v>2056</v>
      </c>
      <c r="D4611" s="15" t="s">
        <v>2126</v>
      </c>
      <c r="E4611" s="10" t="str">
        <f>TRIM(VLOOKUP(D4611,TB!$B$9:$C$1500,2,FALSE))</f>
        <v>Rice/Beras</v>
      </c>
      <c r="F4611" s="142" t="s">
        <v>2373</v>
      </c>
      <c r="G4611" s="130">
        <v>10</v>
      </c>
      <c r="H4611" s="10">
        <f>85000*2</f>
        <v>170000</v>
      </c>
      <c r="I4611" s="10"/>
      <c r="J4611" s="79" t="e">
        <f t="shared" si="290"/>
        <v>#VALUE!</v>
      </c>
      <c r="K4611" s="106">
        <f t="shared" ref="K4611:K4628" si="311">H4611/G4611</f>
        <v>17000</v>
      </c>
      <c r="L4611" s="141"/>
      <c r="M4611" s="132"/>
      <c r="N4611" s="133"/>
      <c r="O4611" s="4"/>
      <c r="P4611" s="4"/>
      <c r="Q4611" s="4"/>
      <c r="R4611" s="4"/>
      <c r="S4611" s="4"/>
      <c r="T4611" s="4"/>
      <c r="U4611" s="4"/>
      <c r="V4611" s="4"/>
      <c r="W4611" s="4"/>
      <c r="X4611" s="4"/>
    </row>
    <row r="4612" spans="1:24" ht="14.25" customHeight="1">
      <c r="A4612" s="4"/>
      <c r="B4612" s="125">
        <v>46199</v>
      </c>
      <c r="C4612" s="126" t="s">
        <v>2056</v>
      </c>
      <c r="D4612" s="15" t="s">
        <v>2057</v>
      </c>
      <c r="E4612" s="10" t="str">
        <f>TRIM(VLOOKUP(D4612,TB!$B$9:$C$1500,2,FALSE))</f>
        <v>Capsicum/Paprika</v>
      </c>
      <c r="F4612" s="142" t="s">
        <v>2199</v>
      </c>
      <c r="G4612" s="130">
        <v>1</v>
      </c>
      <c r="H4612" s="10">
        <f>90000*1</f>
        <v>90000</v>
      </c>
      <c r="I4612" s="10"/>
      <c r="J4612" s="79" t="e">
        <f t="shared" si="290"/>
        <v>#VALUE!</v>
      </c>
      <c r="K4612" s="106">
        <f t="shared" si="311"/>
        <v>90000</v>
      </c>
      <c r="L4612" s="141"/>
      <c r="M4612" s="132"/>
      <c r="N4612" s="133"/>
      <c r="O4612" s="4"/>
      <c r="P4612" s="4"/>
      <c r="Q4612" s="4"/>
      <c r="R4612" s="4"/>
      <c r="S4612" s="4"/>
      <c r="T4612" s="4"/>
      <c r="U4612" s="4"/>
      <c r="V4612" s="4"/>
      <c r="W4612" s="4"/>
      <c r="X4612" s="4"/>
    </row>
    <row r="4613" spans="1:24" ht="14.25" customHeight="1">
      <c r="A4613" s="4"/>
      <c r="B4613" s="125">
        <v>46199</v>
      </c>
      <c r="C4613" s="126" t="s">
        <v>2056</v>
      </c>
      <c r="D4613" s="15" t="s">
        <v>2057</v>
      </c>
      <c r="E4613" s="10" t="str">
        <f>TRIM(VLOOKUP(D4613,TB!$B$9:$C$1500,2,FALSE))</f>
        <v>Capsicum/Paprika</v>
      </c>
      <c r="F4613" s="142" t="s">
        <v>2265</v>
      </c>
      <c r="G4613" s="168">
        <v>0.5</v>
      </c>
      <c r="H4613" s="10">
        <f>120000*0.5</f>
        <v>60000</v>
      </c>
      <c r="I4613" s="10"/>
      <c r="J4613" s="79" t="e">
        <f t="shared" si="290"/>
        <v>#VALUE!</v>
      </c>
      <c r="K4613" s="106">
        <f t="shared" si="311"/>
        <v>120000</v>
      </c>
      <c r="L4613" s="141"/>
      <c r="M4613" s="132"/>
      <c r="N4613" s="133"/>
      <c r="O4613" s="4"/>
      <c r="P4613" s="4"/>
      <c r="Q4613" s="4"/>
      <c r="R4613" s="4"/>
      <c r="S4613" s="4"/>
      <c r="T4613" s="4"/>
      <c r="U4613" s="4"/>
      <c r="V4613" s="4"/>
      <c r="W4613" s="4"/>
      <c r="X4613" s="4"/>
    </row>
    <row r="4614" spans="1:24" ht="14.25" customHeight="1">
      <c r="A4614" s="4"/>
      <c r="B4614" s="125">
        <v>46199</v>
      </c>
      <c r="C4614" s="126" t="s">
        <v>2056</v>
      </c>
      <c r="D4614" s="15" t="s">
        <v>2057</v>
      </c>
      <c r="E4614" s="10" t="str">
        <f>TRIM(VLOOKUP(D4614,TB!$B$9:$C$1500,2,FALSE))</f>
        <v>Capsicum/Paprika</v>
      </c>
      <c r="F4614" s="142" t="s">
        <v>2240</v>
      </c>
      <c r="G4614" s="168">
        <v>0.5</v>
      </c>
      <c r="H4614" s="10">
        <f>130000*0.5</f>
        <v>65000</v>
      </c>
      <c r="I4614" s="10"/>
      <c r="J4614" s="79" t="e">
        <f t="shared" si="290"/>
        <v>#VALUE!</v>
      </c>
      <c r="K4614" s="106">
        <f t="shared" si="311"/>
        <v>130000</v>
      </c>
      <c r="L4614" s="141"/>
      <c r="M4614" s="132"/>
      <c r="N4614" s="133"/>
      <c r="O4614" s="4"/>
      <c r="P4614" s="4"/>
      <c r="Q4614" s="4"/>
      <c r="R4614" s="4"/>
      <c r="S4614" s="4"/>
      <c r="T4614" s="4"/>
      <c r="U4614" s="4"/>
      <c r="V4614" s="4"/>
      <c r="W4614" s="4"/>
      <c r="X4614" s="4"/>
    </row>
    <row r="4615" spans="1:24" ht="14.25" customHeight="1">
      <c r="A4615" s="4"/>
      <c r="B4615" s="125">
        <v>46199</v>
      </c>
      <c r="C4615" s="126" t="s">
        <v>2056</v>
      </c>
      <c r="D4615" s="15" t="s">
        <v>1928</v>
      </c>
      <c r="E4615" s="10" t="str">
        <f>TRIM(VLOOKUP(D4615,TB!$B$9:$C$1500,2,FALSE))</f>
        <v>Tomato 1 Kg</v>
      </c>
      <c r="F4615" s="142" t="s">
        <v>2239</v>
      </c>
      <c r="G4615" s="130">
        <v>2</v>
      </c>
      <c r="H4615" s="10">
        <f>20000*2</f>
        <v>40000</v>
      </c>
      <c r="I4615" s="10"/>
      <c r="J4615" s="79" t="e">
        <f t="shared" si="290"/>
        <v>#VALUE!</v>
      </c>
      <c r="K4615" s="106">
        <f t="shared" si="311"/>
        <v>20000</v>
      </c>
      <c r="L4615" s="141"/>
      <c r="M4615" s="132"/>
      <c r="N4615" s="133"/>
      <c r="O4615" s="4"/>
      <c r="P4615" s="4"/>
      <c r="Q4615" s="4"/>
      <c r="R4615" s="4"/>
      <c r="S4615" s="4"/>
      <c r="T4615" s="4"/>
      <c r="U4615" s="4"/>
      <c r="V4615" s="4"/>
      <c r="W4615" s="4"/>
      <c r="X4615" s="4"/>
    </row>
    <row r="4616" spans="1:24" ht="14.25" customHeight="1">
      <c r="A4616" s="4"/>
      <c r="B4616" s="125">
        <v>46199</v>
      </c>
      <c r="C4616" s="126" t="s">
        <v>2056</v>
      </c>
      <c r="D4616" s="15" t="s">
        <v>1875</v>
      </c>
      <c r="E4616" s="10" t="str">
        <f>TRIM(VLOOKUP(D4616,TB!$B$9:$C$1500,2,FALSE))</f>
        <v>Onion/Bombay</v>
      </c>
      <c r="F4616" s="142" t="s">
        <v>2336</v>
      </c>
      <c r="G4616" s="130">
        <v>2.1</v>
      </c>
      <c r="H4616" s="10">
        <f>22000*2.1</f>
        <v>46200</v>
      </c>
      <c r="I4616" s="10"/>
      <c r="J4616" s="79" t="e">
        <f t="shared" ref="J4616:J4870" si="312">J4615+H4616-I4616</f>
        <v>#VALUE!</v>
      </c>
      <c r="K4616" s="106">
        <f t="shared" si="311"/>
        <v>22000</v>
      </c>
      <c r="L4616" s="141"/>
      <c r="M4616" s="132"/>
      <c r="N4616" s="133"/>
      <c r="O4616" s="4"/>
      <c r="P4616" s="4"/>
      <c r="Q4616" s="4"/>
      <c r="R4616" s="4"/>
      <c r="S4616" s="4"/>
      <c r="T4616" s="4"/>
      <c r="U4616" s="4"/>
      <c r="V4616" s="4"/>
      <c r="W4616" s="4"/>
      <c r="X4616" s="4"/>
    </row>
    <row r="4617" spans="1:24" ht="14.25" customHeight="1">
      <c r="A4617" s="4"/>
      <c r="B4617" s="125">
        <v>46199</v>
      </c>
      <c r="C4617" s="126" t="s">
        <v>2056</v>
      </c>
      <c r="D4617" s="15" t="s">
        <v>1944</v>
      </c>
      <c r="E4617" s="10" t="str">
        <f>TRIM(VLOOKUP(D4617,TB!$B$9:$C$1500,2,FALSE))</f>
        <v>Pineapple Fruit</v>
      </c>
      <c r="F4617" s="142" t="s">
        <v>2392</v>
      </c>
      <c r="G4617" s="130">
        <v>2</v>
      </c>
      <c r="H4617" s="10">
        <f>8000*2</f>
        <v>16000</v>
      </c>
      <c r="I4617" s="10"/>
      <c r="J4617" s="79" t="e">
        <f t="shared" si="312"/>
        <v>#VALUE!</v>
      </c>
      <c r="K4617" s="106">
        <f t="shared" si="311"/>
        <v>8000</v>
      </c>
      <c r="L4617" s="141"/>
      <c r="M4617" s="132"/>
      <c r="N4617" s="133"/>
      <c r="O4617" s="4"/>
      <c r="P4617" s="4"/>
      <c r="Q4617" s="4"/>
      <c r="R4617" s="4"/>
      <c r="S4617" s="4"/>
      <c r="T4617" s="4"/>
      <c r="U4617" s="4"/>
      <c r="V4617" s="4"/>
      <c r="W4617" s="4"/>
      <c r="X4617" s="4"/>
    </row>
    <row r="4618" spans="1:24" ht="14.25" customHeight="1">
      <c r="A4618" s="4"/>
      <c r="B4618" s="125">
        <v>46199</v>
      </c>
      <c r="C4618" s="126" t="s">
        <v>2056</v>
      </c>
      <c r="D4618" s="15" t="s">
        <v>2212</v>
      </c>
      <c r="E4618" s="10" t="str">
        <f>TRIM(VLOOKUP(D4618,TB!$B$9:$C$1500,2,FALSE))</f>
        <v>Almond</v>
      </c>
      <c r="F4618" s="142" t="s">
        <v>2393</v>
      </c>
      <c r="G4618" s="168">
        <v>0.25</v>
      </c>
      <c r="H4618" s="10">
        <f>250000*0.25</f>
        <v>62500</v>
      </c>
      <c r="I4618" s="10"/>
      <c r="J4618" s="79" t="e">
        <f t="shared" si="312"/>
        <v>#VALUE!</v>
      </c>
      <c r="K4618" s="106">
        <f t="shared" si="311"/>
        <v>250000</v>
      </c>
      <c r="L4618" s="141"/>
      <c r="M4618" s="132"/>
      <c r="N4618" s="133"/>
      <c r="O4618" s="4"/>
      <c r="P4618" s="4"/>
      <c r="Q4618" s="4"/>
      <c r="R4618" s="4"/>
      <c r="S4618" s="4"/>
      <c r="T4618" s="4"/>
      <c r="U4618" s="4"/>
      <c r="V4618" s="4"/>
      <c r="W4618" s="4"/>
      <c r="X4618" s="4"/>
    </row>
    <row r="4619" spans="1:24" ht="14.25" customHeight="1">
      <c r="A4619" s="4"/>
      <c r="B4619" s="125">
        <v>46199</v>
      </c>
      <c r="C4619" s="126" t="s">
        <v>2056</v>
      </c>
      <c r="D4619" s="15" t="s">
        <v>1886</v>
      </c>
      <c r="E4619" s="10" t="str">
        <f>TRIM(VLOOKUP(D4619,TB!$B$9:$C$1500,2,FALSE))</f>
        <v>Ruccola</v>
      </c>
      <c r="F4619" s="142" t="s">
        <v>2261</v>
      </c>
      <c r="G4619" s="168">
        <v>0.25</v>
      </c>
      <c r="H4619" s="10">
        <f>70000*0.25</f>
        <v>17500</v>
      </c>
      <c r="I4619" s="10"/>
      <c r="J4619" s="79" t="e">
        <f t="shared" si="312"/>
        <v>#VALUE!</v>
      </c>
      <c r="K4619" s="106">
        <f t="shared" si="311"/>
        <v>70000</v>
      </c>
      <c r="L4619" s="141"/>
      <c r="M4619" s="132"/>
      <c r="N4619" s="133"/>
      <c r="O4619" s="4"/>
      <c r="P4619" s="4"/>
      <c r="Q4619" s="4"/>
      <c r="R4619" s="4"/>
      <c r="S4619" s="4"/>
      <c r="T4619" s="4"/>
      <c r="U4619" s="4"/>
      <c r="V4619" s="4"/>
      <c r="W4619" s="4"/>
      <c r="X4619" s="4"/>
    </row>
    <row r="4620" spans="1:24" ht="14.25" customHeight="1">
      <c r="A4620" s="4"/>
      <c r="B4620" s="125">
        <v>46199</v>
      </c>
      <c r="C4620" s="126" t="s">
        <v>2056</v>
      </c>
      <c r="D4620" s="15" t="s">
        <v>2033</v>
      </c>
      <c r="E4620" s="10" t="str">
        <f>TRIM(VLOOKUP(D4620,TB!$B$9:$C$1500,2,FALSE))</f>
        <v>Potato</v>
      </c>
      <c r="F4620" s="142" t="s">
        <v>2264</v>
      </c>
      <c r="G4620" s="130">
        <v>7.2</v>
      </c>
      <c r="H4620" s="10">
        <f>19000*7.2</f>
        <v>136800</v>
      </c>
      <c r="I4620" s="10"/>
      <c r="J4620" s="79" t="e">
        <f t="shared" si="312"/>
        <v>#VALUE!</v>
      </c>
      <c r="K4620" s="106">
        <f t="shared" si="311"/>
        <v>19000</v>
      </c>
      <c r="L4620" s="141"/>
      <c r="M4620" s="132"/>
      <c r="N4620" s="133"/>
      <c r="O4620" s="4"/>
      <c r="P4620" s="4"/>
      <c r="Q4620" s="4"/>
      <c r="R4620" s="4"/>
      <c r="S4620" s="4"/>
      <c r="T4620" s="4"/>
      <c r="U4620" s="4"/>
      <c r="V4620" s="4"/>
      <c r="W4620" s="4"/>
      <c r="X4620" s="4"/>
    </row>
    <row r="4621" spans="1:24" ht="14.25" customHeight="1">
      <c r="A4621" s="4"/>
      <c r="B4621" s="125">
        <v>46199</v>
      </c>
      <c r="C4621" s="126" t="s">
        <v>2056</v>
      </c>
      <c r="D4621" s="15" t="s">
        <v>1924</v>
      </c>
      <c r="E4621" s="10" t="str">
        <f>TRIM(VLOOKUP(D4621,TB!$B$9:$C$1500,2,FALSE))</f>
        <v>Coriander</v>
      </c>
      <c r="F4621" s="142" t="s">
        <v>2394</v>
      </c>
      <c r="G4621" s="130">
        <v>0.2</v>
      </c>
      <c r="H4621" s="10">
        <f>400000*0.2</f>
        <v>80000</v>
      </c>
      <c r="I4621" s="10"/>
      <c r="J4621" s="79" t="e">
        <f t="shared" si="312"/>
        <v>#VALUE!</v>
      </c>
      <c r="K4621" s="106">
        <f t="shared" si="311"/>
        <v>400000</v>
      </c>
      <c r="L4621" s="141"/>
      <c r="M4621" s="132"/>
      <c r="N4621" s="133"/>
      <c r="O4621" s="4"/>
      <c r="P4621" s="4"/>
      <c r="Q4621" s="4"/>
      <c r="R4621" s="4"/>
      <c r="S4621" s="4"/>
      <c r="T4621" s="4"/>
      <c r="U4621" s="4"/>
      <c r="V4621" s="4"/>
      <c r="W4621" s="4"/>
      <c r="X4621" s="4"/>
    </row>
    <row r="4622" spans="1:24" ht="14.25" customHeight="1">
      <c r="A4622" s="4"/>
      <c r="B4622" s="125">
        <v>46199</v>
      </c>
      <c r="C4622" s="126" t="s">
        <v>2056</v>
      </c>
      <c r="D4622" s="15" t="s">
        <v>2100</v>
      </c>
      <c r="E4622" s="10" t="str">
        <f>TRIM(VLOOKUP(D4622,TB!$B$9:$C$1500,2,FALSE))</f>
        <v>Basil</v>
      </c>
      <c r="F4622" s="142" t="s">
        <v>2327</v>
      </c>
      <c r="G4622" s="168">
        <v>1</v>
      </c>
      <c r="H4622" s="10">
        <v>75000</v>
      </c>
      <c r="I4622" s="10"/>
      <c r="J4622" s="79" t="e">
        <f t="shared" si="312"/>
        <v>#VALUE!</v>
      </c>
      <c r="K4622" s="106">
        <f t="shared" si="311"/>
        <v>75000</v>
      </c>
      <c r="L4622" s="141"/>
      <c r="M4622" s="132"/>
      <c r="N4622" s="133"/>
      <c r="O4622" s="4"/>
      <c r="P4622" s="4"/>
      <c r="Q4622" s="4"/>
      <c r="R4622" s="4"/>
      <c r="S4622" s="4"/>
      <c r="T4622" s="4"/>
      <c r="U4622" s="4"/>
      <c r="V4622" s="4"/>
      <c r="W4622" s="4"/>
      <c r="X4622" s="4"/>
    </row>
    <row r="4623" spans="1:24" ht="14.25" customHeight="1">
      <c r="A4623" s="4"/>
      <c r="B4623" s="125">
        <v>46199</v>
      </c>
      <c r="C4623" s="126" t="s">
        <v>2056</v>
      </c>
      <c r="D4623" s="15" t="s">
        <v>2062</v>
      </c>
      <c r="E4623" s="10" t="str">
        <f>TRIM(VLOOKUP(D4623,TB!$B$9:$C$1500,2,FALSE))</f>
        <v>Mushrooms Button</v>
      </c>
      <c r="F4623" s="142" t="s">
        <v>2200</v>
      </c>
      <c r="G4623" s="130">
        <v>2</v>
      </c>
      <c r="H4623" s="10">
        <f>45000*2</f>
        <v>90000</v>
      </c>
      <c r="I4623" s="10"/>
      <c r="J4623" s="79" t="e">
        <f t="shared" si="312"/>
        <v>#VALUE!</v>
      </c>
      <c r="K4623" s="106">
        <f t="shared" si="311"/>
        <v>45000</v>
      </c>
      <c r="L4623" s="141"/>
      <c r="M4623" s="132"/>
      <c r="N4623" s="133"/>
      <c r="O4623" s="4"/>
      <c r="P4623" s="4"/>
      <c r="Q4623" s="4"/>
      <c r="R4623" s="4"/>
      <c r="S4623" s="4"/>
      <c r="T4623" s="4"/>
      <c r="U4623" s="4"/>
      <c r="V4623" s="4"/>
      <c r="W4623" s="4"/>
      <c r="X4623" s="4"/>
    </row>
    <row r="4624" spans="1:24" ht="14.25" customHeight="1">
      <c r="A4624" s="4"/>
      <c r="B4624" s="125">
        <v>46199</v>
      </c>
      <c r="C4624" s="126" t="s">
        <v>2056</v>
      </c>
      <c r="D4624" s="15" t="s">
        <v>1890</v>
      </c>
      <c r="E4624" s="10" t="str">
        <f>TRIM(VLOOKUP(D4624,TB!$B$9:$C$1500,2,FALSE))</f>
        <v>Avocado</v>
      </c>
      <c r="F4624" s="142" t="s">
        <v>2335</v>
      </c>
      <c r="G4624" s="130">
        <v>0.8</v>
      </c>
      <c r="H4624" s="10">
        <f>40000*0.8</f>
        <v>32000</v>
      </c>
      <c r="I4624" s="10"/>
      <c r="J4624" s="79" t="e">
        <f t="shared" si="312"/>
        <v>#VALUE!</v>
      </c>
      <c r="K4624" s="106">
        <f t="shared" si="311"/>
        <v>40000</v>
      </c>
      <c r="L4624" s="141"/>
      <c r="M4624" s="132"/>
      <c r="N4624" s="133"/>
      <c r="O4624" s="4"/>
      <c r="P4624" s="4"/>
      <c r="Q4624" s="4"/>
      <c r="R4624" s="4"/>
      <c r="S4624" s="4"/>
      <c r="T4624" s="4"/>
      <c r="U4624" s="4"/>
      <c r="V4624" s="4"/>
      <c r="W4624" s="4"/>
      <c r="X4624" s="4"/>
    </row>
    <row r="4625" spans="1:24" ht="14.25" customHeight="1">
      <c r="A4625" s="4"/>
      <c r="B4625" s="125">
        <v>46199</v>
      </c>
      <c r="C4625" s="126" t="s">
        <v>2056</v>
      </c>
      <c r="D4625" s="15" t="s">
        <v>1926</v>
      </c>
      <c r="E4625" s="10" t="str">
        <f>TRIM(VLOOKUP(D4625,TB!$B$9:$C$1500,2,FALSE))</f>
        <v>Cherri Tomato</v>
      </c>
      <c r="F4625" s="142" t="s">
        <v>2395</v>
      </c>
      <c r="G4625" s="168">
        <v>0.5</v>
      </c>
      <c r="H4625" s="10">
        <f>55000*0.5</f>
        <v>27500</v>
      </c>
      <c r="I4625" s="10"/>
      <c r="J4625" s="79" t="e">
        <f t="shared" si="312"/>
        <v>#VALUE!</v>
      </c>
      <c r="K4625" s="106">
        <f t="shared" si="311"/>
        <v>55000</v>
      </c>
      <c r="L4625" s="141"/>
      <c r="M4625" s="132"/>
      <c r="N4625" s="133"/>
      <c r="O4625" s="4"/>
      <c r="P4625" s="4"/>
      <c r="Q4625" s="4"/>
      <c r="R4625" s="4"/>
      <c r="S4625" s="4"/>
      <c r="T4625" s="4"/>
      <c r="U4625" s="4"/>
      <c r="V4625" s="4"/>
      <c r="W4625" s="4"/>
      <c r="X4625" s="4"/>
    </row>
    <row r="4626" spans="1:24" ht="14.25" customHeight="1">
      <c r="A4626" s="4"/>
      <c r="B4626" s="125">
        <v>46199</v>
      </c>
      <c r="C4626" s="126" t="s">
        <v>2056</v>
      </c>
      <c r="D4626" s="15" t="s">
        <v>2090</v>
      </c>
      <c r="E4626" s="10" t="str">
        <f>TRIM(VLOOKUP(D4626,TB!$B$9:$C$1500,2,FALSE))</f>
        <v>Japanese Cucumber/Timun</v>
      </c>
      <c r="F4626" s="142" t="s">
        <v>2091</v>
      </c>
      <c r="G4626" s="130">
        <v>0.8</v>
      </c>
      <c r="H4626" s="10">
        <f>14000*0.8</f>
        <v>11200</v>
      </c>
      <c r="I4626" s="10"/>
      <c r="J4626" s="79" t="e">
        <f t="shared" si="312"/>
        <v>#VALUE!</v>
      </c>
      <c r="K4626" s="106">
        <f t="shared" si="311"/>
        <v>14000</v>
      </c>
      <c r="L4626" s="141"/>
      <c r="M4626" s="132"/>
      <c r="N4626" s="133"/>
      <c r="O4626" s="4"/>
      <c r="P4626" s="4"/>
      <c r="Q4626" s="4"/>
      <c r="R4626" s="4"/>
      <c r="S4626" s="4"/>
      <c r="T4626" s="4"/>
      <c r="U4626" s="4"/>
      <c r="V4626" s="4"/>
      <c r="W4626" s="4"/>
      <c r="X4626" s="4"/>
    </row>
    <row r="4627" spans="1:24" ht="14.25" customHeight="1">
      <c r="A4627" s="4"/>
      <c r="B4627" s="125">
        <v>46199</v>
      </c>
      <c r="C4627" s="126" t="s">
        <v>2056</v>
      </c>
      <c r="D4627" s="15" t="s">
        <v>2085</v>
      </c>
      <c r="E4627" s="10" t="str">
        <f>TRIM(VLOOKUP(D4627,TB!$B$9:$C$1500,2,FALSE))</f>
        <v>Carrot/Wortel</v>
      </c>
      <c r="F4627" s="142" t="s">
        <v>2194</v>
      </c>
      <c r="G4627" s="130">
        <v>2.6</v>
      </c>
      <c r="H4627" s="10">
        <f>25000*2.6</f>
        <v>65000</v>
      </c>
      <c r="I4627" s="10"/>
      <c r="J4627" s="79" t="e">
        <f t="shared" si="312"/>
        <v>#VALUE!</v>
      </c>
      <c r="K4627" s="106">
        <f t="shared" si="311"/>
        <v>25000</v>
      </c>
      <c r="L4627" s="141"/>
      <c r="M4627" s="132"/>
      <c r="N4627" s="133"/>
      <c r="O4627" s="4"/>
      <c r="P4627" s="4"/>
      <c r="Q4627" s="4"/>
      <c r="R4627" s="4"/>
      <c r="S4627" s="4"/>
      <c r="T4627" s="4"/>
      <c r="U4627" s="4"/>
      <c r="V4627" s="4"/>
      <c r="W4627" s="4"/>
      <c r="X4627" s="4"/>
    </row>
    <row r="4628" spans="1:24" ht="14.25" customHeight="1">
      <c r="A4628" s="4"/>
      <c r="B4628" s="125">
        <v>46199</v>
      </c>
      <c r="C4628" s="126" t="s">
        <v>2056</v>
      </c>
      <c r="D4628" s="15" t="s">
        <v>2076</v>
      </c>
      <c r="E4628" s="10" t="str">
        <f>TRIM(VLOOKUP(D4628,TB!$B$9:$C$1500,2,FALSE))</f>
        <v>Buncis</v>
      </c>
      <c r="F4628" s="142" t="s">
        <v>2197</v>
      </c>
      <c r="G4628" s="168">
        <v>0.7</v>
      </c>
      <c r="H4628" s="10">
        <f>25000*0.7</f>
        <v>17500</v>
      </c>
      <c r="I4628" s="10"/>
      <c r="J4628" s="79" t="e">
        <f t="shared" si="312"/>
        <v>#VALUE!</v>
      </c>
      <c r="K4628" s="106">
        <f t="shared" si="311"/>
        <v>25000</v>
      </c>
      <c r="L4628" s="141"/>
      <c r="M4628" s="132"/>
      <c r="N4628" s="133"/>
      <c r="O4628" s="4"/>
      <c r="P4628" s="4"/>
      <c r="Q4628" s="4"/>
      <c r="R4628" s="4"/>
      <c r="S4628" s="4"/>
      <c r="T4628" s="4"/>
      <c r="U4628" s="4"/>
      <c r="V4628" s="4"/>
      <c r="W4628" s="4"/>
      <c r="X4628" s="4"/>
    </row>
    <row r="4629" spans="1:24" ht="14.25" customHeight="1">
      <c r="A4629" s="4"/>
      <c r="B4629" s="125">
        <v>46199</v>
      </c>
      <c r="C4629" s="126" t="s">
        <v>2056</v>
      </c>
      <c r="D4629" s="15" t="s">
        <v>285</v>
      </c>
      <c r="E4629" s="10" t="str">
        <f>TRIM(VLOOKUP(D4629,TB!$B$9:$C$1500,2,FALSE))</f>
        <v>Misc Cash Purchase</v>
      </c>
      <c r="F4629" s="142" t="s">
        <v>2396</v>
      </c>
      <c r="G4629" s="197"/>
      <c r="H4629" s="10"/>
      <c r="I4629" s="10">
        <v>1102200</v>
      </c>
      <c r="J4629" s="79" t="e">
        <f t="shared" si="312"/>
        <v>#VALUE!</v>
      </c>
      <c r="K4629" s="106"/>
      <c r="L4629" s="141"/>
      <c r="M4629" s="132"/>
      <c r="N4629" s="133"/>
      <c r="O4629" s="4"/>
      <c r="P4629" s="4"/>
      <c r="Q4629" s="4"/>
      <c r="R4629" s="4"/>
      <c r="S4629" s="4"/>
      <c r="T4629" s="4"/>
      <c r="U4629" s="4"/>
      <c r="V4629" s="4"/>
      <c r="W4629" s="4"/>
      <c r="X4629" s="4"/>
    </row>
    <row r="4630" spans="1:24" ht="14.25" customHeight="1">
      <c r="A4630" s="4"/>
      <c r="B4630" s="125"/>
      <c r="C4630" s="126"/>
      <c r="D4630" s="68"/>
      <c r="E4630" s="10" t="e">
        <f>TRIM(VLOOKUP(D4630,TB!$B$9:$C$1500,2,FALSE))</f>
        <v>#N/A</v>
      </c>
      <c r="F4630" s="142"/>
      <c r="G4630" s="197"/>
      <c r="H4630" s="10"/>
      <c r="I4630" s="10"/>
      <c r="J4630" s="79" t="e">
        <f t="shared" si="312"/>
        <v>#VALUE!</v>
      </c>
      <c r="K4630" s="106"/>
      <c r="L4630" s="141"/>
      <c r="M4630" s="132"/>
      <c r="N4630" s="133"/>
      <c r="O4630" s="4"/>
      <c r="P4630" s="4"/>
      <c r="Q4630" s="4"/>
      <c r="R4630" s="4"/>
      <c r="S4630" s="4"/>
      <c r="T4630" s="4"/>
      <c r="U4630" s="4"/>
      <c r="V4630" s="4"/>
      <c r="W4630" s="4"/>
      <c r="X4630" s="4"/>
    </row>
    <row r="4631" spans="1:24" ht="14.25" customHeight="1">
      <c r="A4631" s="4"/>
      <c r="B4631" s="125">
        <v>46199</v>
      </c>
      <c r="C4631" s="126" t="s">
        <v>2056</v>
      </c>
      <c r="D4631" s="15" t="s">
        <v>2138</v>
      </c>
      <c r="E4631" s="10" t="str">
        <f>TRIM(VLOOKUP(D4631,TB!$B$9:$C$1500,2,FALSE))</f>
        <v>Baby Carrot/Wortel</v>
      </c>
      <c r="F4631" s="142" t="s">
        <v>2397</v>
      </c>
      <c r="G4631" s="168">
        <v>0.5</v>
      </c>
      <c r="H4631" s="10">
        <f>35000*0.5</f>
        <v>17500</v>
      </c>
      <c r="I4631" s="10"/>
      <c r="J4631" s="79" t="e">
        <f t="shared" si="312"/>
        <v>#VALUE!</v>
      </c>
      <c r="K4631" s="106">
        <f t="shared" ref="K4631:K4643" si="313">H4631/G4631</f>
        <v>35000</v>
      </c>
      <c r="L4631" s="141"/>
      <c r="M4631" s="132"/>
      <c r="N4631" s="133"/>
      <c r="O4631" s="4"/>
      <c r="P4631" s="4"/>
      <c r="Q4631" s="4"/>
      <c r="R4631" s="4"/>
      <c r="S4631" s="4"/>
      <c r="T4631" s="4"/>
      <c r="U4631" s="4"/>
      <c r="V4631" s="4"/>
      <c r="W4631" s="4"/>
      <c r="X4631" s="4"/>
    </row>
    <row r="4632" spans="1:24" ht="14.25" customHeight="1">
      <c r="A4632" s="4"/>
      <c r="B4632" s="125">
        <v>46199</v>
      </c>
      <c r="C4632" s="126" t="s">
        <v>2056</v>
      </c>
      <c r="D4632" s="15" t="s">
        <v>2087</v>
      </c>
      <c r="E4632" s="10" t="str">
        <f>TRIM(VLOOKUP(D4632,TB!$B$9:$C$1500,2,FALSE))</f>
        <v>Mushroom Shimeji / Bunapi</v>
      </c>
      <c r="F4632" s="142" t="s">
        <v>2322</v>
      </c>
      <c r="G4632" s="130">
        <v>7</v>
      </c>
      <c r="H4632" s="10">
        <f>17000*7</f>
        <v>119000</v>
      </c>
      <c r="I4632" s="10"/>
      <c r="J4632" s="79" t="e">
        <f t="shared" si="312"/>
        <v>#VALUE!</v>
      </c>
      <c r="K4632" s="106">
        <f t="shared" si="313"/>
        <v>17000</v>
      </c>
      <c r="L4632" s="141"/>
      <c r="M4632" s="132"/>
      <c r="N4632" s="133"/>
      <c r="O4632" s="4"/>
      <c r="P4632" s="4"/>
      <c r="Q4632" s="4"/>
      <c r="R4632" s="4"/>
      <c r="S4632" s="4"/>
      <c r="T4632" s="4"/>
      <c r="U4632" s="4"/>
      <c r="V4632" s="4"/>
      <c r="W4632" s="4"/>
      <c r="X4632" s="4"/>
    </row>
    <row r="4633" spans="1:24" ht="14.25" customHeight="1">
      <c r="A4633" s="4"/>
      <c r="B4633" s="125">
        <v>46199</v>
      </c>
      <c r="C4633" s="126" t="s">
        <v>2056</v>
      </c>
      <c r="D4633" s="15" t="s">
        <v>1807</v>
      </c>
      <c r="E4633" s="10" t="str">
        <f>TRIM(VLOOKUP(D4633,TB!$B$9:$C$1500,2,FALSE))</f>
        <v>Shallot/Bawang Merah</v>
      </c>
      <c r="F4633" s="142" t="s">
        <v>2325</v>
      </c>
      <c r="G4633" s="168">
        <v>0.5</v>
      </c>
      <c r="H4633" s="10">
        <f>52000*0.5</f>
        <v>26000</v>
      </c>
      <c r="I4633" s="10"/>
      <c r="J4633" s="79" t="e">
        <f t="shared" si="312"/>
        <v>#VALUE!</v>
      </c>
      <c r="K4633" s="106">
        <f t="shared" si="313"/>
        <v>52000</v>
      </c>
      <c r="L4633" s="141"/>
      <c r="M4633" s="132"/>
      <c r="N4633" s="133"/>
      <c r="O4633" s="4"/>
      <c r="P4633" s="4"/>
      <c r="Q4633" s="4"/>
      <c r="R4633" s="4"/>
      <c r="S4633" s="4"/>
      <c r="T4633" s="4"/>
      <c r="U4633" s="4"/>
      <c r="V4633" s="4"/>
      <c r="W4633" s="4"/>
      <c r="X4633" s="4"/>
    </row>
    <row r="4634" spans="1:24" ht="14.25" customHeight="1">
      <c r="A4634" s="4"/>
      <c r="B4634" s="125">
        <v>46199</v>
      </c>
      <c r="C4634" s="126" t="s">
        <v>2056</v>
      </c>
      <c r="D4634" s="15" t="s">
        <v>1794</v>
      </c>
      <c r="E4634" s="10" t="str">
        <f>TRIM(VLOOKUP(D4634,TB!$B$9:$C$1500,2,FALSE))</f>
        <v>Garlic/Bawang Putih</v>
      </c>
      <c r="F4634" s="142" t="s">
        <v>2324</v>
      </c>
      <c r="G4634" s="168">
        <v>0.5</v>
      </c>
      <c r="H4634" s="10">
        <f>38000*0.5</f>
        <v>19000</v>
      </c>
      <c r="I4634" s="10"/>
      <c r="J4634" s="79" t="e">
        <f t="shared" si="312"/>
        <v>#VALUE!</v>
      </c>
      <c r="K4634" s="106">
        <f t="shared" si="313"/>
        <v>38000</v>
      </c>
      <c r="L4634" s="141"/>
      <c r="M4634" s="132"/>
      <c r="N4634" s="133"/>
      <c r="O4634" s="4"/>
      <c r="P4634" s="4"/>
      <c r="Q4634" s="4"/>
      <c r="R4634" s="4"/>
      <c r="S4634" s="4"/>
      <c r="T4634" s="4"/>
      <c r="U4634" s="4"/>
      <c r="V4634" s="4"/>
      <c r="W4634" s="4"/>
      <c r="X4634" s="4"/>
    </row>
    <row r="4635" spans="1:24" ht="14.25" customHeight="1">
      <c r="A4635" s="4"/>
      <c r="B4635" s="125">
        <v>46199</v>
      </c>
      <c r="C4635" s="126" t="s">
        <v>2056</v>
      </c>
      <c r="D4635" s="15" t="s">
        <v>2398</v>
      </c>
      <c r="E4635" s="10" t="str">
        <f>TRIM(VLOOKUP(D4635,TB!$B$9:$C$1500,2,FALSE))</f>
        <v>Ferpiman</v>
      </c>
      <c r="F4635" s="142" t="s">
        <v>2399</v>
      </c>
      <c r="G4635" s="130">
        <v>1</v>
      </c>
      <c r="H4635" s="10">
        <v>65000</v>
      </c>
      <c r="I4635" s="10"/>
      <c r="J4635" s="79" t="e">
        <f t="shared" si="312"/>
        <v>#VALUE!</v>
      </c>
      <c r="K4635" s="106">
        <f t="shared" si="313"/>
        <v>65000</v>
      </c>
      <c r="L4635" s="141"/>
      <c r="M4635" s="132"/>
      <c r="N4635" s="133"/>
      <c r="O4635" s="4"/>
      <c r="P4635" s="4"/>
      <c r="Q4635" s="4"/>
      <c r="R4635" s="4"/>
      <c r="S4635" s="4"/>
      <c r="T4635" s="4"/>
      <c r="U4635" s="4"/>
      <c r="V4635" s="4"/>
      <c r="W4635" s="4"/>
      <c r="X4635" s="4"/>
    </row>
    <row r="4636" spans="1:24" ht="14.25" customHeight="1">
      <c r="A4636" s="4"/>
      <c r="B4636" s="125">
        <v>46199</v>
      </c>
      <c r="C4636" s="126" t="s">
        <v>2056</v>
      </c>
      <c r="D4636" s="15" t="s">
        <v>1888</v>
      </c>
      <c r="E4636" s="10" t="str">
        <f>TRIM(VLOOKUP(D4636,TB!$B$9:$C$1500,2,FALSE))</f>
        <v>Romaine</v>
      </c>
      <c r="F4636" s="142" t="s">
        <v>2326</v>
      </c>
      <c r="G4636" s="130">
        <v>3</v>
      </c>
      <c r="H4636" s="10">
        <f>80000*3</f>
        <v>240000</v>
      </c>
      <c r="I4636" s="10"/>
      <c r="J4636" s="79" t="e">
        <f t="shared" si="312"/>
        <v>#VALUE!</v>
      </c>
      <c r="K4636" s="106">
        <f t="shared" si="313"/>
        <v>80000</v>
      </c>
      <c r="L4636" s="141"/>
      <c r="M4636" s="132"/>
      <c r="N4636" s="133"/>
      <c r="O4636" s="4"/>
      <c r="P4636" s="4"/>
      <c r="Q4636" s="4"/>
      <c r="R4636" s="4"/>
      <c r="S4636" s="4"/>
      <c r="T4636" s="4"/>
      <c r="U4636" s="4"/>
      <c r="V4636" s="4"/>
      <c r="W4636" s="4"/>
      <c r="X4636" s="4"/>
    </row>
    <row r="4637" spans="1:24" ht="14.25" customHeight="1">
      <c r="A4637" s="4"/>
      <c r="B4637" s="125">
        <v>46199</v>
      </c>
      <c r="C4637" s="126" t="s">
        <v>2056</v>
      </c>
      <c r="D4637" s="15" t="s">
        <v>1877</v>
      </c>
      <c r="E4637" s="10" t="str">
        <f>TRIM(VLOOKUP(D4637,TB!$B$9:$C$1500,2,FALSE))</f>
        <v>Pok Coy</v>
      </c>
      <c r="F4637" s="142" t="s">
        <v>2152</v>
      </c>
      <c r="G4637" s="130">
        <v>3.1</v>
      </c>
      <c r="H4637" s="10">
        <f>15000*3.1</f>
        <v>46500</v>
      </c>
      <c r="I4637" s="10"/>
      <c r="J4637" s="79" t="e">
        <f t="shared" si="312"/>
        <v>#VALUE!</v>
      </c>
      <c r="K4637" s="106">
        <f t="shared" si="313"/>
        <v>15000</v>
      </c>
      <c r="L4637" s="141"/>
      <c r="M4637" s="132"/>
      <c r="N4637" s="133"/>
      <c r="O4637" s="4"/>
      <c r="P4637" s="4"/>
      <c r="Q4637" s="4"/>
      <c r="R4637" s="4"/>
      <c r="S4637" s="4"/>
      <c r="T4637" s="4"/>
      <c r="U4637" s="4"/>
      <c r="V4637" s="4"/>
      <c r="W4637" s="4"/>
      <c r="X4637" s="4"/>
    </row>
    <row r="4638" spans="1:24" ht="14.25" customHeight="1">
      <c r="A4638" s="4"/>
      <c r="B4638" s="125">
        <v>46199</v>
      </c>
      <c r="C4638" s="126" t="s">
        <v>2056</v>
      </c>
      <c r="D4638" s="15" t="s">
        <v>2210</v>
      </c>
      <c r="E4638" s="10" t="str">
        <f>TRIM(VLOOKUP(D4638,TB!$B$9:$C$1500,2,FALSE))</f>
        <v>Rosemary</v>
      </c>
      <c r="F4638" s="142" t="s">
        <v>2400</v>
      </c>
      <c r="G4638" s="168">
        <v>0.25</v>
      </c>
      <c r="H4638" s="10">
        <f>130000*0.25</f>
        <v>32500</v>
      </c>
      <c r="I4638" s="10"/>
      <c r="J4638" s="79" t="e">
        <f t="shared" si="312"/>
        <v>#VALUE!</v>
      </c>
      <c r="K4638" s="106">
        <f t="shared" si="313"/>
        <v>130000</v>
      </c>
      <c r="L4638" s="141"/>
      <c r="M4638" s="132"/>
      <c r="N4638" s="133"/>
      <c r="O4638" s="4"/>
      <c r="P4638" s="4"/>
      <c r="Q4638" s="4"/>
      <c r="R4638" s="4"/>
      <c r="S4638" s="4"/>
      <c r="T4638" s="4"/>
      <c r="U4638" s="4"/>
      <c r="V4638" s="4"/>
      <c r="W4638" s="4"/>
      <c r="X4638" s="4"/>
    </row>
    <row r="4639" spans="1:24" ht="14.25" customHeight="1">
      <c r="A4639" s="4"/>
      <c r="B4639" s="125">
        <v>46199</v>
      </c>
      <c r="C4639" s="126" t="s">
        <v>2056</v>
      </c>
      <c r="D4639" s="15" t="s">
        <v>2106</v>
      </c>
      <c r="E4639" s="10" t="str">
        <f>TRIM(VLOOKUP(D4639,TB!$B$9:$C$1500,2,FALSE))</f>
        <v>Dragon Fruit / Buah Naga</v>
      </c>
      <c r="F4639" s="142" t="s">
        <v>2343</v>
      </c>
      <c r="G4639" s="130">
        <v>0.6</v>
      </c>
      <c r="H4639" s="10">
        <f>26000*0.6</f>
        <v>15600</v>
      </c>
      <c r="I4639" s="10"/>
      <c r="J4639" s="79" t="e">
        <f t="shared" si="312"/>
        <v>#VALUE!</v>
      </c>
      <c r="K4639" s="106">
        <f t="shared" si="313"/>
        <v>26000</v>
      </c>
      <c r="L4639" s="141"/>
      <c r="M4639" s="132"/>
      <c r="N4639" s="133"/>
      <c r="O4639" s="4"/>
      <c r="P4639" s="4"/>
      <c r="Q4639" s="4"/>
      <c r="R4639" s="4"/>
      <c r="S4639" s="4"/>
      <c r="T4639" s="4"/>
      <c r="U4639" s="4"/>
      <c r="V4639" s="4"/>
      <c r="W4639" s="4"/>
      <c r="X4639" s="4"/>
    </row>
    <row r="4640" spans="1:24" ht="14.25" customHeight="1">
      <c r="A4640" s="4"/>
      <c r="B4640" s="125">
        <v>46199</v>
      </c>
      <c r="C4640" s="126" t="s">
        <v>2056</v>
      </c>
      <c r="D4640" s="15" t="s">
        <v>2069</v>
      </c>
      <c r="E4640" s="10" t="str">
        <f>TRIM(VLOOKUP(D4640,TB!$B$9:$C$1500,2,FALSE))</f>
        <v>Apple Fruit</v>
      </c>
      <c r="F4640" s="142" t="s">
        <v>2401</v>
      </c>
      <c r="G4640" s="130">
        <v>0.4</v>
      </c>
      <c r="H4640" s="10">
        <f>43000*0.4</f>
        <v>17200</v>
      </c>
      <c r="I4640" s="10"/>
      <c r="J4640" s="79" t="e">
        <f t="shared" si="312"/>
        <v>#VALUE!</v>
      </c>
      <c r="K4640" s="106">
        <f t="shared" si="313"/>
        <v>43000</v>
      </c>
      <c r="L4640" s="141"/>
      <c r="M4640" s="132"/>
      <c r="N4640" s="133"/>
      <c r="O4640" s="4"/>
      <c r="P4640" s="4"/>
      <c r="Q4640" s="4"/>
      <c r="R4640" s="4"/>
      <c r="S4640" s="4"/>
      <c r="T4640" s="4"/>
      <c r="U4640" s="4"/>
      <c r="V4640" s="4"/>
      <c r="W4640" s="4"/>
      <c r="X4640" s="4"/>
    </row>
    <row r="4641" spans="1:24" ht="14.25" customHeight="1">
      <c r="A4641" s="4"/>
      <c r="B4641" s="125">
        <v>46199</v>
      </c>
      <c r="C4641" s="126" t="s">
        <v>2056</v>
      </c>
      <c r="D4641" s="15" t="s">
        <v>2104</v>
      </c>
      <c r="E4641" s="10" t="str">
        <f>TRIM(VLOOKUP(D4641,TB!$B$9:$C$1500,2,FALSE))</f>
        <v>Pear</v>
      </c>
      <c r="F4641" s="142" t="s">
        <v>2402</v>
      </c>
      <c r="G4641" s="130">
        <v>0.8</v>
      </c>
      <c r="H4641" s="10">
        <f>28000*0.8</f>
        <v>22400</v>
      </c>
      <c r="I4641" s="10"/>
      <c r="J4641" s="79" t="e">
        <f t="shared" si="312"/>
        <v>#VALUE!</v>
      </c>
      <c r="K4641" s="106">
        <f t="shared" si="313"/>
        <v>28000</v>
      </c>
      <c r="L4641" s="141"/>
      <c r="M4641" s="132"/>
      <c r="N4641" s="133"/>
      <c r="O4641" s="4"/>
      <c r="P4641" s="4"/>
      <c r="Q4641" s="4"/>
      <c r="R4641" s="4"/>
      <c r="S4641" s="4"/>
      <c r="T4641" s="4"/>
      <c r="U4641" s="4"/>
      <c r="V4641" s="4"/>
      <c r="W4641" s="4"/>
      <c r="X4641" s="4"/>
    </row>
    <row r="4642" spans="1:24" ht="14.25" customHeight="1">
      <c r="A4642" s="4"/>
      <c r="B4642" s="125">
        <v>46199</v>
      </c>
      <c r="C4642" s="126" t="s">
        <v>2056</v>
      </c>
      <c r="D4642" s="15" t="s">
        <v>2110</v>
      </c>
      <c r="E4642" s="10" t="str">
        <f>TRIM(VLOOKUP(D4642,TB!$B$9:$C$1500,2,FALSE))</f>
        <v>Watermelon/SEMANGKA</v>
      </c>
      <c r="F4642" s="142" t="s">
        <v>2403</v>
      </c>
      <c r="G4642" s="130">
        <v>6.7</v>
      </c>
      <c r="H4642" s="10">
        <f>14000*6.7</f>
        <v>93800</v>
      </c>
      <c r="I4642" s="10"/>
      <c r="J4642" s="79" t="e">
        <f t="shared" si="312"/>
        <v>#VALUE!</v>
      </c>
      <c r="K4642" s="106">
        <f t="shared" si="313"/>
        <v>14000</v>
      </c>
      <c r="L4642" s="141"/>
      <c r="M4642" s="132"/>
      <c r="N4642" s="133"/>
      <c r="O4642" s="4"/>
      <c r="P4642" s="4"/>
      <c r="Q4642" s="4"/>
      <c r="R4642" s="4"/>
      <c r="S4642" s="4"/>
      <c r="T4642" s="4"/>
      <c r="U4642" s="4"/>
      <c r="V4642" s="4"/>
      <c r="W4642" s="4"/>
      <c r="X4642" s="4"/>
    </row>
    <row r="4643" spans="1:24" ht="14.25" customHeight="1">
      <c r="A4643" s="4"/>
      <c r="B4643" s="125">
        <v>46199</v>
      </c>
      <c r="C4643" s="126" t="s">
        <v>2056</v>
      </c>
      <c r="D4643" s="15" t="s">
        <v>1988</v>
      </c>
      <c r="E4643" s="10" t="str">
        <f>TRIM(VLOOKUP(D4643,TB!$B$9:$C$1500,2,FALSE))</f>
        <v>Salt</v>
      </c>
      <c r="F4643" s="142" t="s">
        <v>2404</v>
      </c>
      <c r="G4643" s="130">
        <v>1</v>
      </c>
      <c r="H4643" s="10">
        <v>25000</v>
      </c>
      <c r="I4643" s="10"/>
      <c r="J4643" s="79" t="e">
        <f t="shared" si="312"/>
        <v>#VALUE!</v>
      </c>
      <c r="K4643" s="106">
        <f t="shared" si="313"/>
        <v>25000</v>
      </c>
      <c r="L4643" s="141"/>
      <c r="M4643" s="132"/>
      <c r="N4643" s="133"/>
      <c r="O4643" s="4"/>
      <c r="P4643" s="4"/>
      <c r="Q4643" s="4"/>
      <c r="R4643" s="4"/>
      <c r="S4643" s="4"/>
      <c r="T4643" s="4"/>
      <c r="U4643" s="4"/>
      <c r="V4643" s="4"/>
      <c r="W4643" s="4"/>
      <c r="X4643" s="4"/>
    </row>
    <row r="4644" spans="1:24" ht="14.25" customHeight="1">
      <c r="A4644" s="4"/>
      <c r="B4644" s="125">
        <v>46199</v>
      </c>
      <c r="C4644" s="126" t="s">
        <v>2056</v>
      </c>
      <c r="D4644" s="15" t="s">
        <v>285</v>
      </c>
      <c r="E4644" s="10" t="str">
        <f>TRIM(VLOOKUP(D4644,TB!$B$9:$C$1500,2,FALSE))</f>
        <v>Misc Cash Purchase</v>
      </c>
      <c r="F4644" s="142" t="s">
        <v>2405</v>
      </c>
      <c r="G4644" s="130"/>
      <c r="H4644" s="10"/>
      <c r="I4644" s="10">
        <v>739500</v>
      </c>
      <c r="J4644" s="79" t="e">
        <f t="shared" si="312"/>
        <v>#VALUE!</v>
      </c>
      <c r="K4644" s="106"/>
      <c r="L4644" s="141"/>
      <c r="M4644" s="132"/>
      <c r="N4644" s="133"/>
      <c r="O4644" s="4"/>
      <c r="P4644" s="4"/>
      <c r="Q4644" s="4"/>
      <c r="R4644" s="4"/>
      <c r="S4644" s="4"/>
      <c r="T4644" s="4"/>
      <c r="U4644" s="4"/>
      <c r="V4644" s="4"/>
      <c r="W4644" s="4"/>
      <c r="X4644" s="4"/>
    </row>
    <row r="4645" spans="1:24" ht="14.25" customHeight="1">
      <c r="A4645" s="4"/>
      <c r="B4645" s="125"/>
      <c r="C4645" s="126"/>
      <c r="D4645" s="68"/>
      <c r="E4645" s="10" t="e">
        <f>TRIM(VLOOKUP(D4645,TB!$B$9:$C$1500,2,FALSE))</f>
        <v>#N/A</v>
      </c>
      <c r="F4645" s="142"/>
      <c r="G4645" s="130"/>
      <c r="H4645" s="10"/>
      <c r="I4645" s="10"/>
      <c r="J4645" s="79" t="e">
        <f t="shared" si="312"/>
        <v>#VALUE!</v>
      </c>
      <c r="K4645" s="106"/>
      <c r="L4645" s="141"/>
      <c r="M4645" s="132"/>
      <c r="N4645" s="133"/>
      <c r="O4645" s="4"/>
      <c r="P4645" s="4"/>
      <c r="Q4645" s="4"/>
      <c r="R4645" s="4"/>
      <c r="S4645" s="4"/>
      <c r="T4645" s="4"/>
      <c r="U4645" s="4"/>
      <c r="V4645" s="4"/>
      <c r="W4645" s="4"/>
      <c r="X4645" s="4"/>
    </row>
    <row r="4646" spans="1:24" ht="14.25" customHeight="1">
      <c r="A4646" s="4"/>
      <c r="B4646" s="125">
        <v>46202</v>
      </c>
      <c r="C4646" s="126" t="s">
        <v>2056</v>
      </c>
      <c r="D4646" s="15" t="s">
        <v>2113</v>
      </c>
      <c r="E4646" s="10" t="str">
        <f>TRIM(VLOOKUP(D4646,TB!$B$9:$C$1500,2,FALSE))</f>
        <v>Grape Fruit/BUAH ANGGUR</v>
      </c>
      <c r="F4646" s="142" t="s">
        <v>2241</v>
      </c>
      <c r="G4646" s="130">
        <v>0.25</v>
      </c>
      <c r="H4646" s="10">
        <f>90000*0.25</f>
        <v>22500</v>
      </c>
      <c r="I4646" s="10"/>
      <c r="J4646" s="79" t="e">
        <f t="shared" si="312"/>
        <v>#VALUE!</v>
      </c>
      <c r="K4646" s="106">
        <f t="shared" ref="K4646:K4655" si="314">H4646/G4646</f>
        <v>90000</v>
      </c>
      <c r="L4646" s="141"/>
      <c r="M4646" s="132"/>
      <c r="N4646" s="133"/>
      <c r="O4646" s="4"/>
      <c r="P4646" s="4"/>
      <c r="Q4646" s="4"/>
      <c r="R4646" s="4"/>
      <c r="S4646" s="4"/>
      <c r="T4646" s="4"/>
      <c r="U4646" s="4"/>
      <c r="V4646" s="4"/>
      <c r="W4646" s="4"/>
      <c r="X4646" s="4"/>
    </row>
    <row r="4647" spans="1:24" ht="14.25" customHeight="1">
      <c r="A4647" s="4"/>
      <c r="B4647" s="125">
        <v>46202</v>
      </c>
      <c r="C4647" s="126" t="s">
        <v>2056</v>
      </c>
      <c r="D4647" s="15" t="s">
        <v>2087</v>
      </c>
      <c r="E4647" s="10" t="str">
        <f>TRIM(VLOOKUP(D4647,TB!$B$9:$C$1500,2,FALSE))</f>
        <v>Mushroom Shimeji / Bunapi</v>
      </c>
      <c r="F4647" s="142" t="s">
        <v>2257</v>
      </c>
      <c r="G4647" s="130">
        <v>3</v>
      </c>
      <c r="H4647" s="10">
        <f>17000*3</f>
        <v>51000</v>
      </c>
      <c r="I4647" s="10"/>
      <c r="J4647" s="79" t="e">
        <f t="shared" si="312"/>
        <v>#VALUE!</v>
      </c>
      <c r="K4647" s="106">
        <f t="shared" si="314"/>
        <v>17000</v>
      </c>
      <c r="L4647" s="141"/>
      <c r="M4647" s="132"/>
      <c r="N4647" s="133"/>
      <c r="O4647" s="4"/>
      <c r="P4647" s="4"/>
      <c r="Q4647" s="4"/>
      <c r="R4647" s="4"/>
      <c r="S4647" s="4"/>
      <c r="T4647" s="4"/>
      <c r="U4647" s="4"/>
      <c r="V4647" s="4"/>
      <c r="W4647" s="4"/>
      <c r="X4647" s="4"/>
    </row>
    <row r="4648" spans="1:24" ht="14.25" customHeight="1">
      <c r="A4648" s="4"/>
      <c r="B4648" s="125">
        <v>46202</v>
      </c>
      <c r="C4648" s="126" t="s">
        <v>2056</v>
      </c>
      <c r="D4648" s="15" t="s">
        <v>1928</v>
      </c>
      <c r="E4648" s="10" t="str">
        <f>TRIM(VLOOKUP(D4648,TB!$B$9:$C$1500,2,FALSE))</f>
        <v>Tomato 1 Kg</v>
      </c>
      <c r="F4648" s="142" t="s">
        <v>2239</v>
      </c>
      <c r="G4648" s="130">
        <v>1</v>
      </c>
      <c r="H4648" s="10">
        <v>20000</v>
      </c>
      <c r="I4648" s="10"/>
      <c r="J4648" s="79" t="e">
        <f t="shared" si="312"/>
        <v>#VALUE!</v>
      </c>
      <c r="K4648" s="106">
        <f t="shared" si="314"/>
        <v>20000</v>
      </c>
      <c r="L4648" s="141"/>
      <c r="M4648" s="132"/>
      <c r="N4648" s="133"/>
      <c r="O4648" s="4"/>
      <c r="P4648" s="4"/>
      <c r="Q4648" s="4"/>
      <c r="R4648" s="4"/>
      <c r="S4648" s="4"/>
      <c r="T4648" s="4"/>
      <c r="U4648" s="4"/>
      <c r="V4648" s="4"/>
      <c r="W4648" s="4"/>
      <c r="X4648" s="4"/>
    </row>
    <row r="4649" spans="1:24" ht="14.25" customHeight="1">
      <c r="A4649" s="4"/>
      <c r="B4649" s="125">
        <v>46202</v>
      </c>
      <c r="C4649" s="126" t="s">
        <v>2056</v>
      </c>
      <c r="D4649" s="15" t="s">
        <v>1886</v>
      </c>
      <c r="E4649" s="10" t="str">
        <f>TRIM(VLOOKUP(D4649,TB!$B$9:$C$1500,2,FALSE))</f>
        <v>Ruccola</v>
      </c>
      <c r="F4649" s="142" t="s">
        <v>2261</v>
      </c>
      <c r="G4649" s="130">
        <v>0.25</v>
      </c>
      <c r="H4649" s="10">
        <f>70000*0.25</f>
        <v>17500</v>
      </c>
      <c r="I4649" s="10"/>
      <c r="J4649" s="79" t="e">
        <f t="shared" si="312"/>
        <v>#VALUE!</v>
      </c>
      <c r="K4649" s="106">
        <f t="shared" si="314"/>
        <v>70000</v>
      </c>
      <c r="L4649" s="141"/>
      <c r="M4649" s="132"/>
      <c r="N4649" s="133"/>
      <c r="O4649" s="4"/>
      <c r="P4649" s="4"/>
      <c r="Q4649" s="4"/>
      <c r="R4649" s="4"/>
      <c r="S4649" s="4"/>
      <c r="T4649" s="4"/>
      <c r="U4649" s="4"/>
      <c r="V4649" s="4"/>
      <c r="W4649" s="4"/>
      <c r="X4649" s="4"/>
    </row>
    <row r="4650" spans="1:24" ht="14.25" customHeight="1">
      <c r="A4650" s="4"/>
      <c r="B4650" s="125">
        <v>46202</v>
      </c>
      <c r="C4650" s="126" t="s">
        <v>2056</v>
      </c>
      <c r="D4650" s="15" t="s">
        <v>2076</v>
      </c>
      <c r="E4650" s="10" t="str">
        <f>TRIM(VLOOKUP(D4650,TB!$B$9:$C$1500,2,FALSE))</f>
        <v>Buncis</v>
      </c>
      <c r="F4650" s="142" t="s">
        <v>2197</v>
      </c>
      <c r="G4650" s="130">
        <v>0.3</v>
      </c>
      <c r="H4650" s="10">
        <f>25000*0.3</f>
        <v>7500</v>
      </c>
      <c r="I4650" s="10"/>
      <c r="J4650" s="79" t="e">
        <f t="shared" si="312"/>
        <v>#VALUE!</v>
      </c>
      <c r="K4650" s="106">
        <f t="shared" si="314"/>
        <v>25000</v>
      </c>
      <c r="L4650" s="141"/>
      <c r="M4650" s="132"/>
      <c r="N4650" s="133"/>
      <c r="O4650" s="4"/>
      <c r="P4650" s="4"/>
      <c r="Q4650" s="4"/>
      <c r="R4650" s="4"/>
      <c r="S4650" s="4"/>
      <c r="T4650" s="4"/>
      <c r="U4650" s="4"/>
      <c r="V4650" s="4"/>
      <c r="W4650" s="4"/>
      <c r="X4650" s="4"/>
    </row>
    <row r="4651" spans="1:24" ht="14.25" customHeight="1">
      <c r="A4651" s="4"/>
      <c r="B4651" s="125">
        <v>46202</v>
      </c>
      <c r="C4651" s="126" t="s">
        <v>2056</v>
      </c>
      <c r="D4651" s="15" t="s">
        <v>2153</v>
      </c>
      <c r="E4651" s="10" t="str">
        <f>TRIM(VLOOKUP(D4651,TB!$B$9:$C$1500,2,FALSE))</f>
        <v>Lemon Fruit</v>
      </c>
      <c r="F4651" s="142" t="s">
        <v>2256</v>
      </c>
      <c r="G4651" s="130">
        <v>0.5</v>
      </c>
      <c r="H4651" s="10">
        <f>55000*0.5</f>
        <v>27500</v>
      </c>
      <c r="I4651" s="10"/>
      <c r="J4651" s="79" t="e">
        <f t="shared" si="312"/>
        <v>#VALUE!</v>
      </c>
      <c r="K4651" s="106">
        <f t="shared" si="314"/>
        <v>55000</v>
      </c>
      <c r="L4651" s="141"/>
      <c r="M4651" s="132"/>
      <c r="N4651" s="133"/>
      <c r="O4651" s="4"/>
      <c r="P4651" s="4"/>
      <c r="Q4651" s="4"/>
      <c r="R4651" s="4"/>
      <c r="S4651" s="4"/>
      <c r="T4651" s="4"/>
      <c r="U4651" s="4"/>
      <c r="V4651" s="4"/>
      <c r="W4651" s="4"/>
      <c r="X4651" s="4"/>
    </row>
    <row r="4652" spans="1:24" ht="14.25" customHeight="1">
      <c r="A4652" s="4"/>
      <c r="B4652" s="125">
        <v>46202</v>
      </c>
      <c r="C4652" s="126" t="s">
        <v>2056</v>
      </c>
      <c r="D4652" s="15" t="s">
        <v>2098</v>
      </c>
      <c r="E4652" s="10" t="str">
        <f>TRIM(VLOOKUP(D4652,TB!$B$9:$C$1500,2,FALSE))</f>
        <v>Thyme</v>
      </c>
      <c r="F4652" s="142" t="s">
        <v>2406</v>
      </c>
      <c r="G4652" s="130">
        <v>0.05</v>
      </c>
      <c r="H4652" s="10">
        <f>170000*0.05</f>
        <v>8500</v>
      </c>
      <c r="I4652" s="10"/>
      <c r="J4652" s="79" t="e">
        <f t="shared" si="312"/>
        <v>#VALUE!</v>
      </c>
      <c r="K4652" s="106">
        <f t="shared" si="314"/>
        <v>170000</v>
      </c>
      <c r="L4652" s="141"/>
      <c r="M4652" s="132"/>
      <c r="N4652" s="133"/>
      <c r="O4652" s="4"/>
      <c r="P4652" s="4"/>
      <c r="Q4652" s="4"/>
      <c r="R4652" s="4"/>
      <c r="S4652" s="4"/>
      <c r="T4652" s="4"/>
      <c r="U4652" s="4"/>
      <c r="V4652" s="4"/>
      <c r="W4652" s="4"/>
      <c r="X4652" s="4"/>
    </row>
    <row r="4653" spans="1:24" ht="14.25" customHeight="1">
      <c r="A4653" s="4"/>
      <c r="B4653" s="125">
        <v>46202</v>
      </c>
      <c r="C4653" s="126" t="s">
        <v>2056</v>
      </c>
      <c r="D4653" s="15" t="s">
        <v>2108</v>
      </c>
      <c r="E4653" s="10" t="str">
        <f>TRIM(VLOOKUP(D4653,TB!$B$9:$C$1500,2,FALSE))</f>
        <v>Papaya Fruit</v>
      </c>
      <c r="F4653" s="142" t="s">
        <v>2407</v>
      </c>
      <c r="G4653" s="130">
        <v>2.5</v>
      </c>
      <c r="H4653" s="10">
        <f>14000*2.5</f>
        <v>35000</v>
      </c>
      <c r="I4653" s="10"/>
      <c r="J4653" s="79" t="e">
        <f t="shared" si="312"/>
        <v>#VALUE!</v>
      </c>
      <c r="K4653" s="106">
        <f t="shared" si="314"/>
        <v>14000</v>
      </c>
      <c r="L4653" s="141"/>
      <c r="M4653" s="132"/>
      <c r="N4653" s="133"/>
      <c r="O4653" s="4"/>
      <c r="P4653" s="4"/>
      <c r="Q4653" s="4"/>
      <c r="R4653" s="4"/>
      <c r="S4653" s="4"/>
      <c r="T4653" s="4"/>
      <c r="U4653" s="4"/>
      <c r="V4653" s="4"/>
      <c r="W4653" s="4"/>
      <c r="X4653" s="4"/>
    </row>
    <row r="4654" spans="1:24" ht="14.25" customHeight="1">
      <c r="A4654" s="4"/>
      <c r="B4654" s="125">
        <v>46202</v>
      </c>
      <c r="C4654" s="126" t="s">
        <v>2056</v>
      </c>
      <c r="D4654" s="15" t="s">
        <v>2173</v>
      </c>
      <c r="E4654" s="10" t="str">
        <f>TRIM(VLOOKUP(D4654,TB!$B$9:$C$1500,2,FALSE))</f>
        <v>Edamame</v>
      </c>
      <c r="F4654" s="142" t="s">
        <v>2174</v>
      </c>
      <c r="G4654" s="130">
        <v>1</v>
      </c>
      <c r="H4654" s="10">
        <f>35000*1</f>
        <v>35000</v>
      </c>
      <c r="I4654" s="10"/>
      <c r="J4654" s="79" t="e">
        <f t="shared" si="312"/>
        <v>#VALUE!</v>
      </c>
      <c r="K4654" s="106">
        <f t="shared" si="314"/>
        <v>35000</v>
      </c>
      <c r="L4654" s="141"/>
      <c r="M4654" s="132"/>
      <c r="N4654" s="133"/>
      <c r="O4654" s="4"/>
      <c r="P4654" s="4"/>
      <c r="Q4654" s="4"/>
      <c r="R4654" s="4"/>
      <c r="S4654" s="4"/>
      <c r="T4654" s="4"/>
      <c r="U4654" s="4"/>
      <c r="V4654" s="4"/>
      <c r="W4654" s="4"/>
      <c r="X4654" s="4"/>
    </row>
    <row r="4655" spans="1:24" ht="14.25" customHeight="1">
      <c r="A4655" s="4"/>
      <c r="B4655" s="125">
        <v>46202</v>
      </c>
      <c r="C4655" s="126" t="s">
        <v>2056</v>
      </c>
      <c r="D4655" s="15" t="s">
        <v>2033</v>
      </c>
      <c r="E4655" s="10" t="str">
        <f>TRIM(VLOOKUP(D4655,TB!$B$9:$C$1500,2,FALSE))</f>
        <v>Potato</v>
      </c>
      <c r="F4655" s="142" t="s">
        <v>2158</v>
      </c>
      <c r="G4655" s="130">
        <v>3</v>
      </c>
      <c r="H4655" s="10">
        <f>19000*3</f>
        <v>57000</v>
      </c>
      <c r="I4655" s="10"/>
      <c r="J4655" s="79" t="e">
        <f t="shared" si="312"/>
        <v>#VALUE!</v>
      </c>
      <c r="K4655" s="106">
        <f t="shared" si="314"/>
        <v>19000</v>
      </c>
      <c r="L4655" s="141"/>
      <c r="M4655" s="132"/>
      <c r="N4655" s="133"/>
      <c r="O4655" s="4"/>
      <c r="P4655" s="4"/>
      <c r="Q4655" s="4"/>
      <c r="R4655" s="4"/>
      <c r="S4655" s="4"/>
      <c r="T4655" s="4"/>
      <c r="U4655" s="4"/>
      <c r="V4655" s="4"/>
      <c r="W4655" s="4"/>
      <c r="X4655" s="4"/>
    </row>
    <row r="4656" spans="1:24" ht="14.25" customHeight="1">
      <c r="A4656" s="4"/>
      <c r="B4656" s="125">
        <v>46202</v>
      </c>
      <c r="C4656" s="126" t="s">
        <v>2056</v>
      </c>
      <c r="D4656" s="15" t="s">
        <v>285</v>
      </c>
      <c r="E4656" s="10" t="str">
        <f>TRIM(VLOOKUP(D4656,TB!$B$9:$C$1500,2,FALSE))</f>
        <v>Misc Cash Purchase</v>
      </c>
      <c r="F4656" s="142" t="s">
        <v>2408</v>
      </c>
      <c r="G4656" s="130"/>
      <c r="H4656" s="10"/>
      <c r="I4656" s="10">
        <v>281500</v>
      </c>
      <c r="J4656" s="79" t="e">
        <f t="shared" si="312"/>
        <v>#VALUE!</v>
      </c>
      <c r="K4656" s="106"/>
      <c r="L4656" s="141"/>
      <c r="M4656" s="132"/>
      <c r="N4656" s="133"/>
      <c r="O4656" s="4"/>
      <c r="P4656" s="4"/>
      <c r="Q4656" s="4"/>
      <c r="R4656" s="4"/>
      <c r="S4656" s="4"/>
      <c r="T4656" s="4"/>
      <c r="U4656" s="4"/>
      <c r="V4656" s="4"/>
      <c r="W4656" s="4"/>
      <c r="X4656" s="4"/>
    </row>
    <row r="4657" spans="1:24" ht="14.25" customHeight="1">
      <c r="A4657" s="4"/>
      <c r="B4657" s="125"/>
      <c r="C4657" s="126"/>
      <c r="D4657" s="68"/>
      <c r="E4657" s="10" t="e">
        <f>TRIM(VLOOKUP(D4657,TB!$B$9:$C$1500,2,FALSE))</f>
        <v>#N/A</v>
      </c>
      <c r="F4657" s="142"/>
      <c r="G4657" s="130"/>
      <c r="H4657" s="10"/>
      <c r="I4657" s="10"/>
      <c r="J4657" s="79" t="e">
        <f t="shared" si="312"/>
        <v>#VALUE!</v>
      </c>
      <c r="K4657" s="106"/>
      <c r="L4657" s="141"/>
      <c r="M4657" s="132"/>
      <c r="N4657" s="133"/>
      <c r="O4657" s="4"/>
      <c r="P4657" s="4"/>
      <c r="Q4657" s="4"/>
      <c r="R4657" s="4"/>
      <c r="S4657" s="4"/>
      <c r="T4657" s="4"/>
      <c r="U4657" s="4"/>
      <c r="V4657" s="4"/>
      <c r="W4657" s="4"/>
      <c r="X4657" s="4"/>
    </row>
    <row r="4658" spans="1:24" ht="14.25" customHeight="1">
      <c r="A4658" s="4"/>
      <c r="B4658" s="125">
        <v>46203</v>
      </c>
      <c r="C4658" s="126" t="s">
        <v>2056</v>
      </c>
      <c r="D4658" s="15" t="s">
        <v>1869</v>
      </c>
      <c r="E4658" s="10" t="str">
        <f>TRIM(VLOOKUP(D4658,TB!$B$9:$C$1500,2,FALSE))</f>
        <v>Tempe</v>
      </c>
      <c r="F4658" s="142" t="s">
        <v>2409</v>
      </c>
      <c r="G4658" s="130">
        <v>3</v>
      </c>
      <c r="H4658" s="10">
        <f>2500*3</f>
        <v>7500</v>
      </c>
      <c r="I4658" s="10"/>
      <c r="J4658" s="79" t="e">
        <f t="shared" si="312"/>
        <v>#VALUE!</v>
      </c>
      <c r="K4658" s="106">
        <f t="shared" ref="K4658:K4670" si="315">H4658/G4658</f>
        <v>2500</v>
      </c>
      <c r="L4658" s="141"/>
      <c r="M4658" s="132"/>
      <c r="N4658" s="133"/>
      <c r="O4658" s="4"/>
      <c r="P4658" s="4"/>
      <c r="Q4658" s="4"/>
      <c r="R4658" s="4"/>
      <c r="S4658" s="4"/>
      <c r="T4658" s="4"/>
      <c r="U4658" s="4"/>
      <c r="V4658" s="4"/>
      <c r="W4658" s="4"/>
      <c r="X4658" s="4"/>
    </row>
    <row r="4659" spans="1:24" ht="14.25" customHeight="1">
      <c r="A4659" s="4"/>
      <c r="B4659" s="125">
        <v>46203</v>
      </c>
      <c r="C4659" s="126" t="s">
        <v>2056</v>
      </c>
      <c r="D4659" s="15" t="s">
        <v>2219</v>
      </c>
      <c r="E4659" s="10" t="str">
        <f>TRIM(VLOOKUP(D4659,TB!$B$9:$C$1500,2,FALSE))</f>
        <v>Sereh</v>
      </c>
      <c r="F4659" s="142" t="s">
        <v>2220</v>
      </c>
      <c r="G4659" s="130">
        <v>0.25</v>
      </c>
      <c r="H4659" s="10">
        <f>20000*0.25</f>
        <v>5000</v>
      </c>
      <c r="I4659" s="10"/>
      <c r="J4659" s="79" t="e">
        <f t="shared" si="312"/>
        <v>#VALUE!</v>
      </c>
      <c r="K4659" s="106">
        <f t="shared" si="315"/>
        <v>20000</v>
      </c>
      <c r="L4659" s="141"/>
      <c r="M4659" s="132"/>
      <c r="N4659" s="133"/>
      <c r="O4659" s="4"/>
      <c r="P4659" s="4"/>
      <c r="Q4659" s="4"/>
      <c r="R4659" s="4"/>
      <c r="S4659" s="4"/>
      <c r="T4659" s="4"/>
      <c r="U4659" s="4"/>
      <c r="V4659" s="4"/>
      <c r="W4659" s="4"/>
      <c r="X4659" s="4"/>
    </row>
    <row r="4660" spans="1:24" ht="14.25" customHeight="1">
      <c r="A4660" s="4"/>
      <c r="B4660" s="125">
        <v>46203</v>
      </c>
      <c r="C4660" s="126" t="s">
        <v>2056</v>
      </c>
      <c r="D4660" s="15" t="s">
        <v>1890</v>
      </c>
      <c r="E4660" s="10" t="str">
        <f>TRIM(VLOOKUP(D4660,TB!$B$9:$C$1500,2,FALSE))</f>
        <v>Avocado</v>
      </c>
      <c r="F4660" s="142" t="s">
        <v>2410</v>
      </c>
      <c r="G4660" s="130">
        <v>0.7</v>
      </c>
      <c r="H4660" s="10">
        <f>40000*0.7</f>
        <v>28000</v>
      </c>
      <c r="I4660" s="10"/>
      <c r="J4660" s="79" t="e">
        <f t="shared" si="312"/>
        <v>#VALUE!</v>
      </c>
      <c r="K4660" s="106">
        <f t="shared" si="315"/>
        <v>40000</v>
      </c>
      <c r="L4660" s="141"/>
      <c r="M4660" s="132"/>
      <c r="N4660" s="133"/>
      <c r="O4660" s="4"/>
      <c r="P4660" s="4"/>
      <c r="Q4660" s="4"/>
      <c r="R4660" s="4"/>
      <c r="S4660" s="4"/>
      <c r="T4660" s="4"/>
      <c r="U4660" s="4"/>
      <c r="V4660" s="4"/>
      <c r="W4660" s="4"/>
      <c r="X4660" s="4"/>
    </row>
    <row r="4661" spans="1:24" ht="14.25" customHeight="1">
      <c r="A4661" s="4"/>
      <c r="B4661" s="125">
        <v>46203</v>
      </c>
      <c r="C4661" s="126" t="s">
        <v>2056</v>
      </c>
      <c r="D4661" s="15" t="s">
        <v>2087</v>
      </c>
      <c r="E4661" s="10" t="str">
        <f>TRIM(VLOOKUP(D4661,TB!$B$9:$C$1500,2,FALSE))</f>
        <v>Mushroom Shimeji / Bunapi</v>
      </c>
      <c r="F4661" s="142" t="s">
        <v>2411</v>
      </c>
      <c r="G4661" s="130">
        <v>3</v>
      </c>
      <c r="H4661" s="10">
        <f>17000*3</f>
        <v>51000</v>
      </c>
      <c r="I4661" s="10"/>
      <c r="J4661" s="79" t="e">
        <f t="shared" si="312"/>
        <v>#VALUE!</v>
      </c>
      <c r="K4661" s="106">
        <f t="shared" si="315"/>
        <v>17000</v>
      </c>
      <c r="L4661" s="141"/>
      <c r="M4661" s="132"/>
      <c r="N4661" s="133"/>
      <c r="O4661" s="4"/>
      <c r="P4661" s="4"/>
      <c r="Q4661" s="4"/>
      <c r="R4661" s="4"/>
      <c r="S4661" s="4"/>
      <c r="T4661" s="4"/>
      <c r="U4661" s="4"/>
      <c r="V4661" s="4"/>
      <c r="W4661" s="4"/>
      <c r="X4661" s="4"/>
    </row>
    <row r="4662" spans="1:24" ht="14.25" customHeight="1">
      <c r="A4662" s="4"/>
      <c r="B4662" s="125">
        <v>46203</v>
      </c>
      <c r="C4662" s="126" t="s">
        <v>2056</v>
      </c>
      <c r="D4662" s="15" t="s">
        <v>1888</v>
      </c>
      <c r="E4662" s="10" t="str">
        <f>TRIM(VLOOKUP(D4662,TB!$B$9:$C$1500,2,FALSE))</f>
        <v>Romaine</v>
      </c>
      <c r="F4662" s="142" t="s">
        <v>2412</v>
      </c>
      <c r="G4662" s="130">
        <v>1</v>
      </c>
      <c r="H4662" s="10">
        <v>80000</v>
      </c>
      <c r="I4662" s="10"/>
      <c r="J4662" s="79" t="e">
        <f t="shared" si="312"/>
        <v>#VALUE!</v>
      </c>
      <c r="K4662" s="106">
        <f t="shared" si="315"/>
        <v>80000</v>
      </c>
      <c r="L4662" s="141"/>
      <c r="M4662" s="132"/>
      <c r="N4662" s="133"/>
      <c r="O4662" s="4"/>
      <c r="P4662" s="4"/>
      <c r="Q4662" s="4"/>
      <c r="R4662" s="4"/>
      <c r="S4662" s="4"/>
      <c r="T4662" s="4"/>
      <c r="U4662" s="4"/>
      <c r="V4662" s="4"/>
      <c r="W4662" s="4"/>
      <c r="X4662" s="4"/>
    </row>
    <row r="4663" spans="1:24" ht="14.25" customHeight="1">
      <c r="A4663" s="4"/>
      <c r="B4663" s="125">
        <v>46203</v>
      </c>
      <c r="C4663" s="126" t="s">
        <v>2056</v>
      </c>
      <c r="D4663" s="15" t="s">
        <v>1877</v>
      </c>
      <c r="E4663" s="10" t="str">
        <f>TRIM(VLOOKUP(D4663,TB!$B$9:$C$1500,2,FALSE))</f>
        <v>Pok Coy</v>
      </c>
      <c r="F4663" s="142" t="s">
        <v>2167</v>
      </c>
      <c r="G4663" s="130">
        <v>1</v>
      </c>
      <c r="H4663" s="10">
        <v>15000</v>
      </c>
      <c r="I4663" s="10"/>
      <c r="J4663" s="79" t="e">
        <f t="shared" si="312"/>
        <v>#VALUE!</v>
      </c>
      <c r="K4663" s="106">
        <f t="shared" si="315"/>
        <v>15000</v>
      </c>
      <c r="L4663" s="141"/>
      <c r="M4663" s="132"/>
      <c r="N4663" s="133"/>
      <c r="O4663" s="4"/>
      <c r="P4663" s="4"/>
      <c r="Q4663" s="4"/>
      <c r="R4663" s="4"/>
      <c r="S4663" s="4"/>
      <c r="T4663" s="4"/>
      <c r="U4663" s="4"/>
      <c r="V4663" s="4"/>
      <c r="W4663" s="4"/>
      <c r="X4663" s="4"/>
    </row>
    <row r="4664" spans="1:24" ht="14.25" customHeight="1">
      <c r="A4664" s="4"/>
      <c r="B4664" s="125">
        <v>46203</v>
      </c>
      <c r="C4664" s="126" t="s">
        <v>2056</v>
      </c>
      <c r="D4664" s="15" t="s">
        <v>2278</v>
      </c>
      <c r="E4664" s="10" t="str">
        <f>TRIM(VLOOKUP(D4664,TB!$B$9:$C$1500,2,FALSE))</f>
        <v>Cabe Hijau/Cabe Keriting</v>
      </c>
      <c r="F4664" s="142" t="s">
        <v>2413</v>
      </c>
      <c r="G4664" s="130">
        <v>0.25</v>
      </c>
      <c r="H4664" s="10">
        <f>65000*0.25</f>
        <v>16250</v>
      </c>
      <c r="I4664" s="10"/>
      <c r="J4664" s="79" t="e">
        <f t="shared" si="312"/>
        <v>#VALUE!</v>
      </c>
      <c r="K4664" s="106">
        <f t="shared" si="315"/>
        <v>65000</v>
      </c>
      <c r="L4664" s="141"/>
      <c r="M4664" s="132"/>
      <c r="N4664" s="133"/>
      <c r="O4664" s="4"/>
      <c r="P4664" s="4"/>
      <c r="Q4664" s="4"/>
      <c r="R4664" s="4"/>
      <c r="S4664" s="4"/>
      <c r="T4664" s="4"/>
      <c r="U4664" s="4"/>
      <c r="V4664" s="4"/>
      <c r="W4664" s="4"/>
      <c r="X4664" s="4"/>
    </row>
    <row r="4665" spans="1:24" ht="14.25" customHeight="1">
      <c r="A4665" s="4"/>
      <c r="B4665" s="125">
        <v>46203</v>
      </c>
      <c r="C4665" s="126" t="s">
        <v>2056</v>
      </c>
      <c r="D4665" s="15" t="s">
        <v>1794</v>
      </c>
      <c r="E4665" s="10" t="str">
        <f>TRIM(VLOOKUP(D4665,TB!$B$9:$C$1500,2,FALSE))</f>
        <v>Garlic/Bawang Putih</v>
      </c>
      <c r="F4665" s="142" t="s">
        <v>2092</v>
      </c>
      <c r="G4665" s="130">
        <v>0.25</v>
      </c>
      <c r="H4665" s="10">
        <f>38000*0.25</f>
        <v>9500</v>
      </c>
      <c r="I4665" s="10"/>
      <c r="J4665" s="79" t="e">
        <f t="shared" si="312"/>
        <v>#VALUE!</v>
      </c>
      <c r="K4665" s="106">
        <f t="shared" si="315"/>
        <v>38000</v>
      </c>
      <c r="L4665" s="141"/>
      <c r="M4665" s="132"/>
      <c r="N4665" s="133"/>
      <c r="O4665" s="4"/>
      <c r="P4665" s="4"/>
      <c r="Q4665" s="4"/>
      <c r="R4665" s="4"/>
      <c r="S4665" s="4"/>
      <c r="T4665" s="4"/>
      <c r="U4665" s="4"/>
      <c r="V4665" s="4"/>
      <c r="W4665" s="4"/>
      <c r="X4665" s="4"/>
    </row>
    <row r="4666" spans="1:24" ht="14.25" customHeight="1">
      <c r="A4666" s="4"/>
      <c r="B4666" s="125">
        <v>46203</v>
      </c>
      <c r="C4666" s="126" t="s">
        <v>2056</v>
      </c>
      <c r="D4666" s="15" t="s">
        <v>1886</v>
      </c>
      <c r="E4666" s="10" t="str">
        <f>TRIM(VLOOKUP(D4666,TB!$B$9:$C$1500,2,FALSE))</f>
        <v>Ruccola</v>
      </c>
      <c r="F4666" s="142" t="s">
        <v>2414</v>
      </c>
      <c r="G4666" s="130">
        <v>0.5</v>
      </c>
      <c r="H4666" s="10">
        <f>70000*0.5</f>
        <v>35000</v>
      </c>
      <c r="I4666" s="10"/>
      <c r="J4666" s="79" t="e">
        <f t="shared" si="312"/>
        <v>#VALUE!</v>
      </c>
      <c r="K4666" s="106">
        <f t="shared" si="315"/>
        <v>70000</v>
      </c>
      <c r="L4666" s="141"/>
      <c r="M4666" s="132"/>
      <c r="N4666" s="133"/>
      <c r="O4666" s="4"/>
      <c r="P4666" s="4"/>
      <c r="Q4666" s="4"/>
      <c r="R4666" s="4"/>
      <c r="S4666" s="4"/>
      <c r="T4666" s="4"/>
      <c r="U4666" s="4"/>
      <c r="V4666" s="4"/>
      <c r="W4666" s="4"/>
      <c r="X4666" s="4"/>
    </row>
    <row r="4667" spans="1:24" ht="14.25" customHeight="1">
      <c r="A4667" s="4"/>
      <c r="B4667" s="125">
        <v>46203</v>
      </c>
      <c r="C4667" s="126" t="s">
        <v>2056</v>
      </c>
      <c r="D4667" s="15" t="s">
        <v>2102</v>
      </c>
      <c r="E4667" s="10" t="str">
        <f>TRIM(VLOOKUP(D4667,TB!$B$9:$C$1500,2,FALSE))</f>
        <v>Mix Salad</v>
      </c>
      <c r="F4667" s="142" t="s">
        <v>2415</v>
      </c>
      <c r="G4667" s="130">
        <v>0.5</v>
      </c>
      <c r="H4667" s="10">
        <f>50000*0.5</f>
        <v>25000</v>
      </c>
      <c r="I4667" s="10"/>
      <c r="J4667" s="79" t="e">
        <f t="shared" si="312"/>
        <v>#VALUE!</v>
      </c>
      <c r="K4667" s="106">
        <f t="shared" si="315"/>
        <v>50000</v>
      </c>
      <c r="L4667" s="141"/>
      <c r="M4667" s="132"/>
      <c r="N4667" s="133"/>
      <c r="O4667" s="4"/>
      <c r="P4667" s="4"/>
      <c r="Q4667" s="4"/>
      <c r="R4667" s="4"/>
      <c r="S4667" s="4"/>
      <c r="T4667" s="4"/>
      <c r="U4667" s="4"/>
      <c r="V4667" s="4"/>
      <c r="W4667" s="4"/>
      <c r="X4667" s="4"/>
    </row>
    <row r="4668" spans="1:24" ht="14.25" customHeight="1">
      <c r="A4668" s="4"/>
      <c r="B4668" s="125">
        <v>46203</v>
      </c>
      <c r="C4668" s="126" t="s">
        <v>2056</v>
      </c>
      <c r="D4668" s="15" t="s">
        <v>2030</v>
      </c>
      <c r="E4668" s="10" t="str">
        <f>TRIM(VLOOKUP(D4668,TB!$B$9:$C$1500,2,FALSE))</f>
        <v>Hot Chilli / Lombok Kecil</v>
      </c>
      <c r="F4668" s="142" t="s">
        <v>2224</v>
      </c>
      <c r="G4668" s="130">
        <v>0.25</v>
      </c>
      <c r="H4668" s="10">
        <f>75000*0.25</f>
        <v>18750</v>
      </c>
      <c r="I4668" s="10"/>
      <c r="J4668" s="79" t="e">
        <f t="shared" si="312"/>
        <v>#VALUE!</v>
      </c>
      <c r="K4668" s="106">
        <f t="shared" si="315"/>
        <v>75000</v>
      </c>
      <c r="L4668" s="141"/>
      <c r="M4668" s="132"/>
      <c r="N4668" s="133"/>
      <c r="O4668" s="4"/>
      <c r="P4668" s="4"/>
      <c r="Q4668" s="4"/>
      <c r="R4668" s="4"/>
      <c r="S4668" s="4"/>
      <c r="T4668" s="4"/>
      <c r="U4668" s="4"/>
      <c r="V4668" s="4"/>
      <c r="W4668" s="4"/>
      <c r="X4668" s="4"/>
    </row>
    <row r="4669" spans="1:24" ht="14.25" customHeight="1">
      <c r="A4669" s="4"/>
      <c r="B4669" s="125">
        <v>46203</v>
      </c>
      <c r="C4669" s="126" t="s">
        <v>2056</v>
      </c>
      <c r="D4669" s="15" t="s">
        <v>1875</v>
      </c>
      <c r="E4669" s="10" t="str">
        <f>TRIM(VLOOKUP(D4669,TB!$B$9:$C$1500,2,FALSE))</f>
        <v>Onion/Bombay</v>
      </c>
      <c r="F4669" s="142" t="s">
        <v>2131</v>
      </c>
      <c r="G4669" s="130">
        <v>0.5</v>
      </c>
      <c r="H4669" s="10">
        <f>22000*0.5</f>
        <v>11000</v>
      </c>
      <c r="I4669" s="10"/>
      <c r="J4669" s="79" t="e">
        <f t="shared" si="312"/>
        <v>#VALUE!</v>
      </c>
      <c r="K4669" s="106">
        <f t="shared" si="315"/>
        <v>22000</v>
      </c>
      <c r="L4669" s="141"/>
      <c r="M4669" s="132"/>
      <c r="N4669" s="133"/>
      <c r="O4669" s="4"/>
      <c r="P4669" s="4"/>
      <c r="Q4669" s="4"/>
      <c r="R4669" s="4"/>
      <c r="S4669" s="4"/>
      <c r="T4669" s="4"/>
      <c r="U4669" s="4"/>
      <c r="V4669" s="4"/>
      <c r="W4669" s="4"/>
      <c r="X4669" s="4"/>
    </row>
    <row r="4670" spans="1:24" ht="14.25" customHeight="1">
      <c r="A4670" s="4"/>
      <c r="B4670" s="125">
        <v>46203</v>
      </c>
      <c r="C4670" s="126" t="s">
        <v>2056</v>
      </c>
      <c r="D4670" s="15" t="s">
        <v>1928</v>
      </c>
      <c r="E4670" s="10" t="str">
        <f>TRIM(VLOOKUP(D4670,TB!$B$9:$C$1500,2,FALSE))</f>
        <v>Tomato 1 Kg</v>
      </c>
      <c r="F4670" s="142" t="s">
        <v>2145</v>
      </c>
      <c r="G4670" s="130">
        <v>1.2</v>
      </c>
      <c r="H4670" s="10">
        <f>20000*1.2</f>
        <v>24000</v>
      </c>
      <c r="I4670" s="10"/>
      <c r="J4670" s="79" t="e">
        <f t="shared" si="312"/>
        <v>#VALUE!</v>
      </c>
      <c r="K4670" s="106">
        <f t="shared" si="315"/>
        <v>20000</v>
      </c>
      <c r="L4670" s="141"/>
      <c r="M4670" s="132"/>
      <c r="N4670" s="133"/>
      <c r="O4670" s="4"/>
      <c r="P4670" s="4"/>
      <c r="Q4670" s="4"/>
      <c r="R4670" s="4"/>
      <c r="S4670" s="4"/>
      <c r="T4670" s="4"/>
      <c r="U4670" s="4"/>
      <c r="V4670" s="4"/>
      <c r="W4670" s="4"/>
      <c r="X4670" s="4"/>
    </row>
    <row r="4671" spans="1:24" ht="14.25" customHeight="1">
      <c r="A4671" s="4"/>
      <c r="B4671" s="125">
        <v>46203</v>
      </c>
      <c r="C4671" s="126" t="s">
        <v>2056</v>
      </c>
      <c r="D4671" s="15" t="s">
        <v>2057</v>
      </c>
      <c r="E4671" s="10" t="str">
        <f>TRIM(VLOOKUP(D4671,TB!$B$9:$C$1500,2,FALSE))</f>
        <v>Capsicum/Paprika</v>
      </c>
      <c r="F4671" s="142" t="s">
        <v>2123</v>
      </c>
      <c r="G4671" s="130">
        <v>0.75</v>
      </c>
      <c r="H4671" s="10">
        <f>120000*0.75</f>
        <v>90000</v>
      </c>
      <c r="I4671" s="10"/>
      <c r="J4671" s="79" t="e">
        <f t="shared" si="312"/>
        <v>#VALUE!</v>
      </c>
      <c r="K4671" s="106"/>
      <c r="L4671" s="141"/>
      <c r="M4671" s="132"/>
      <c r="N4671" s="133"/>
      <c r="O4671" s="4"/>
      <c r="P4671" s="4"/>
      <c r="Q4671" s="4"/>
      <c r="R4671" s="4"/>
      <c r="S4671" s="4"/>
      <c r="T4671" s="4"/>
      <c r="U4671" s="4"/>
      <c r="V4671" s="4"/>
      <c r="W4671" s="4"/>
      <c r="X4671" s="4"/>
    </row>
    <row r="4672" spans="1:24" ht="14.25" customHeight="1">
      <c r="A4672" s="4"/>
      <c r="B4672" s="125">
        <v>46203</v>
      </c>
      <c r="C4672" s="126" t="s">
        <v>2056</v>
      </c>
      <c r="D4672" s="15" t="s">
        <v>1155</v>
      </c>
      <c r="E4672" s="10" t="str">
        <f>TRIM(VLOOKUP(D4672,TB!$B$9:$C$1500,2,FALSE))</f>
        <v>Kitchen Supplies</v>
      </c>
      <c r="F4672" s="142" t="s">
        <v>2227</v>
      </c>
      <c r="G4672" s="130">
        <v>1</v>
      </c>
      <c r="H4672" s="10">
        <v>22000</v>
      </c>
      <c r="I4672" s="10"/>
      <c r="J4672" s="79" t="e">
        <f t="shared" si="312"/>
        <v>#VALUE!</v>
      </c>
      <c r="K4672" s="106"/>
      <c r="L4672" s="141"/>
      <c r="M4672" s="132"/>
      <c r="N4672" s="133"/>
      <c r="O4672" s="4"/>
      <c r="P4672" s="4"/>
      <c r="Q4672" s="4"/>
      <c r="R4672" s="4"/>
      <c r="S4672" s="4"/>
      <c r="T4672" s="4"/>
      <c r="U4672" s="4"/>
      <c r="V4672" s="4"/>
      <c r="W4672" s="4"/>
      <c r="X4672" s="4"/>
    </row>
    <row r="4673" spans="1:24" ht="14.25" customHeight="1">
      <c r="A4673" s="4"/>
      <c r="B4673" s="125">
        <v>46203</v>
      </c>
      <c r="C4673" s="126" t="s">
        <v>2056</v>
      </c>
      <c r="D4673" s="15" t="s">
        <v>2416</v>
      </c>
      <c r="E4673" s="10" t="str">
        <f>TRIM(VLOOKUP(D4673,TB!$B$9:$C$1500,2,FALSE))</f>
        <v>Oregano</v>
      </c>
      <c r="F4673" s="142" t="s">
        <v>2417</v>
      </c>
      <c r="G4673" s="130">
        <v>0.2</v>
      </c>
      <c r="H4673" s="10">
        <v>35000</v>
      </c>
      <c r="I4673" s="10"/>
      <c r="J4673" s="79" t="e">
        <f t="shared" si="312"/>
        <v>#VALUE!</v>
      </c>
      <c r="K4673" s="106">
        <f t="shared" ref="K4673:K4675" si="316">H4673/G4673</f>
        <v>175000</v>
      </c>
      <c r="L4673" s="141"/>
      <c r="M4673" s="132"/>
      <c r="N4673" s="133"/>
      <c r="O4673" s="4"/>
      <c r="P4673" s="4"/>
      <c r="Q4673" s="4"/>
      <c r="R4673" s="4"/>
      <c r="S4673" s="4"/>
      <c r="T4673" s="4"/>
      <c r="U4673" s="4"/>
      <c r="V4673" s="4"/>
      <c r="W4673" s="4"/>
      <c r="X4673" s="4"/>
    </row>
    <row r="4674" spans="1:24" ht="14.25" customHeight="1">
      <c r="A4674" s="4"/>
      <c r="B4674" s="125">
        <v>46203</v>
      </c>
      <c r="C4674" s="126" t="s">
        <v>2056</v>
      </c>
      <c r="D4674" s="15" t="s">
        <v>1916</v>
      </c>
      <c r="E4674" s="10" t="str">
        <f>TRIM(VLOOKUP(D4674,TB!$B$9:$C$1500,2,FALSE))</f>
        <v>Egg/Telur</v>
      </c>
      <c r="F4674" s="142" t="s">
        <v>2133</v>
      </c>
      <c r="G4674" s="130">
        <f>5*30</f>
        <v>150</v>
      </c>
      <c r="H4674" s="10">
        <f>55000*5</f>
        <v>275000</v>
      </c>
      <c r="I4674" s="10"/>
      <c r="J4674" s="79" t="e">
        <f t="shared" si="312"/>
        <v>#VALUE!</v>
      </c>
      <c r="K4674" s="106">
        <f t="shared" si="316"/>
        <v>1833.3333333333333</v>
      </c>
      <c r="L4674" s="141"/>
      <c r="M4674" s="132"/>
      <c r="N4674" s="133"/>
      <c r="O4674" s="4"/>
      <c r="P4674" s="4"/>
      <c r="Q4674" s="4"/>
      <c r="R4674" s="4"/>
      <c r="S4674" s="4"/>
      <c r="T4674" s="4"/>
      <c r="U4674" s="4"/>
      <c r="V4674" s="4"/>
      <c r="W4674" s="4"/>
      <c r="X4674" s="4"/>
    </row>
    <row r="4675" spans="1:24" ht="14.25" customHeight="1">
      <c r="A4675" s="4"/>
      <c r="B4675" s="125">
        <v>46203</v>
      </c>
      <c r="C4675" s="126" t="s">
        <v>2056</v>
      </c>
      <c r="D4675" s="15" t="s">
        <v>2235</v>
      </c>
      <c r="E4675" s="10" t="str">
        <f>TRIM(VLOOKUP(D4675,TB!$B$9:$C$1500,2,FALSE))</f>
        <v>Tulang Sapi</v>
      </c>
      <c r="F4675" s="142" t="s">
        <v>2236</v>
      </c>
      <c r="G4675" s="130">
        <v>2</v>
      </c>
      <c r="H4675" s="10">
        <f>25000*2</f>
        <v>50000</v>
      </c>
      <c r="I4675" s="10"/>
      <c r="J4675" s="79" t="e">
        <f t="shared" si="312"/>
        <v>#VALUE!</v>
      </c>
      <c r="K4675" s="106">
        <f t="shared" si="316"/>
        <v>25000</v>
      </c>
      <c r="L4675" s="141"/>
      <c r="M4675" s="132"/>
      <c r="N4675" s="133"/>
      <c r="O4675" s="4"/>
      <c r="P4675" s="4"/>
      <c r="Q4675" s="4"/>
      <c r="R4675" s="4"/>
      <c r="S4675" s="4"/>
      <c r="T4675" s="4"/>
      <c r="U4675" s="4"/>
      <c r="V4675" s="4"/>
      <c r="W4675" s="4"/>
      <c r="X4675" s="4"/>
    </row>
    <row r="4676" spans="1:24" ht="14.25" customHeight="1">
      <c r="A4676" s="4"/>
      <c r="B4676" s="125">
        <v>46203</v>
      </c>
      <c r="C4676" s="126" t="s">
        <v>2056</v>
      </c>
      <c r="D4676" s="15" t="s">
        <v>285</v>
      </c>
      <c r="E4676" s="10" t="str">
        <f>TRIM(VLOOKUP(D4676,TB!$B$9:$C$1500,2,FALSE))</f>
        <v>Misc Cash Purchase</v>
      </c>
      <c r="F4676" s="142" t="s">
        <v>2418</v>
      </c>
      <c r="G4676" s="130"/>
      <c r="H4676" s="10"/>
      <c r="I4676" s="10">
        <v>798000</v>
      </c>
      <c r="J4676" s="79" t="e">
        <f t="shared" si="312"/>
        <v>#VALUE!</v>
      </c>
      <c r="K4676" s="106"/>
      <c r="L4676" s="141"/>
      <c r="M4676" s="132"/>
      <c r="N4676" s="133"/>
      <c r="O4676" s="4"/>
      <c r="P4676" s="4"/>
      <c r="Q4676" s="4"/>
      <c r="R4676" s="4"/>
      <c r="S4676" s="4"/>
      <c r="T4676" s="4"/>
      <c r="U4676" s="4"/>
      <c r="V4676" s="4"/>
      <c r="W4676" s="4"/>
      <c r="X4676" s="4"/>
    </row>
    <row r="4677" spans="1:24" ht="14.25" customHeight="1">
      <c r="A4677" s="4"/>
      <c r="B4677" s="125"/>
      <c r="C4677" s="126"/>
      <c r="D4677" s="68"/>
      <c r="E4677" s="10" t="e">
        <f>TRIM(VLOOKUP(D4677,TB!$B$9:$C$1500,2,FALSE))</f>
        <v>#N/A</v>
      </c>
      <c r="F4677" s="142"/>
      <c r="G4677" s="130"/>
      <c r="H4677" s="10"/>
      <c r="I4677" s="10"/>
      <c r="J4677" s="79" t="e">
        <f t="shared" si="312"/>
        <v>#VALUE!</v>
      </c>
      <c r="K4677" s="106"/>
      <c r="L4677" s="141"/>
      <c r="M4677" s="132"/>
      <c r="N4677" s="133"/>
      <c r="O4677" s="4"/>
      <c r="P4677" s="4"/>
      <c r="Q4677" s="4"/>
      <c r="R4677" s="4"/>
      <c r="S4677" s="4"/>
      <c r="T4677" s="4"/>
      <c r="U4677" s="4"/>
      <c r="V4677" s="4"/>
      <c r="W4677" s="4"/>
      <c r="X4677" s="4"/>
    </row>
    <row r="4678" spans="1:24" ht="14.25" customHeight="1">
      <c r="A4678" s="4"/>
      <c r="B4678" s="125">
        <v>46203</v>
      </c>
      <c r="C4678" s="126" t="s">
        <v>2056</v>
      </c>
      <c r="D4678" s="15" t="s">
        <v>1941</v>
      </c>
      <c r="E4678" s="10" t="str">
        <f>TRIM(VLOOKUP(D4678,TB!$B$9:$C$1500,2,FALSE))</f>
        <v>Kacang Tanah</v>
      </c>
      <c r="F4678" s="142" t="s">
        <v>2419</v>
      </c>
      <c r="G4678" s="130">
        <v>1.3</v>
      </c>
      <c r="H4678" s="10">
        <f>38000*1.3</f>
        <v>49400</v>
      </c>
      <c r="I4678" s="10"/>
      <c r="J4678" s="79" t="e">
        <f t="shared" si="312"/>
        <v>#VALUE!</v>
      </c>
      <c r="K4678" s="106">
        <f t="shared" ref="K4678:K4680" si="317">H4678/G4678</f>
        <v>38000</v>
      </c>
      <c r="L4678" s="141"/>
      <c r="M4678" s="132"/>
      <c r="N4678" s="133"/>
      <c r="O4678" s="4"/>
      <c r="P4678" s="4"/>
      <c r="Q4678" s="4"/>
      <c r="R4678" s="4"/>
      <c r="S4678" s="4"/>
      <c r="T4678" s="4"/>
      <c r="U4678" s="4"/>
      <c r="V4678" s="4"/>
      <c r="W4678" s="4"/>
      <c r="X4678" s="4"/>
    </row>
    <row r="4679" spans="1:24" ht="14.25" customHeight="1">
      <c r="A4679" s="4"/>
      <c r="B4679" s="125">
        <v>46203</v>
      </c>
      <c r="C4679" s="126" t="s">
        <v>2056</v>
      </c>
      <c r="D4679" s="15" t="s">
        <v>2186</v>
      </c>
      <c r="E4679" s="10" t="str">
        <f>TRIM(VLOOKUP(D4679,TB!$B$9:$C$1500,2,FALSE))</f>
        <v>Melon fruit</v>
      </c>
      <c r="F4679" s="142" t="s">
        <v>2187</v>
      </c>
      <c r="G4679" s="130">
        <v>4.2</v>
      </c>
      <c r="H4679" s="10">
        <f>16000*4.2</f>
        <v>67200</v>
      </c>
      <c r="I4679" s="10"/>
      <c r="J4679" s="79" t="e">
        <f t="shared" si="312"/>
        <v>#VALUE!</v>
      </c>
      <c r="K4679" s="106">
        <f t="shared" si="317"/>
        <v>16000</v>
      </c>
      <c r="L4679" s="141"/>
      <c r="M4679" s="132"/>
      <c r="N4679" s="133"/>
      <c r="O4679" s="4"/>
      <c r="P4679" s="4"/>
      <c r="Q4679" s="4"/>
      <c r="R4679" s="4"/>
      <c r="S4679" s="4"/>
      <c r="T4679" s="4"/>
      <c r="U4679" s="4"/>
      <c r="V4679" s="4"/>
      <c r="W4679" s="4"/>
      <c r="X4679" s="4"/>
    </row>
    <row r="4680" spans="1:24" ht="14.25" customHeight="1">
      <c r="A4680" s="4"/>
      <c r="B4680" s="125">
        <v>46203</v>
      </c>
      <c r="C4680" s="126" t="s">
        <v>2056</v>
      </c>
      <c r="D4680" s="15" t="s">
        <v>2113</v>
      </c>
      <c r="E4680" s="10" t="str">
        <f>TRIM(VLOOKUP(D4680,TB!$B$9:$C$1500,2,FALSE))</f>
        <v>Grape Fruit/BUAH ANGGUR</v>
      </c>
      <c r="F4680" s="142" t="s">
        <v>2114</v>
      </c>
      <c r="G4680" s="130">
        <v>0.25</v>
      </c>
      <c r="H4680" s="10">
        <f>90000*0.25</f>
        <v>22500</v>
      </c>
      <c r="I4680" s="10"/>
      <c r="J4680" s="79" t="e">
        <f t="shared" si="312"/>
        <v>#VALUE!</v>
      </c>
      <c r="K4680" s="106">
        <f t="shared" si="317"/>
        <v>90000</v>
      </c>
      <c r="L4680" s="141"/>
      <c r="M4680" s="132"/>
      <c r="N4680" s="133"/>
      <c r="O4680" s="4"/>
      <c r="P4680" s="4"/>
      <c r="Q4680" s="4"/>
      <c r="R4680" s="4"/>
      <c r="S4680" s="4"/>
      <c r="T4680" s="4"/>
      <c r="U4680" s="4"/>
      <c r="V4680" s="4"/>
      <c r="W4680" s="4"/>
      <c r="X4680" s="4"/>
    </row>
    <row r="4681" spans="1:24" ht="14.25" customHeight="1">
      <c r="A4681" s="4"/>
      <c r="B4681" s="125">
        <v>46203</v>
      </c>
      <c r="C4681" s="126" t="s">
        <v>2056</v>
      </c>
      <c r="D4681" s="15" t="s">
        <v>1155</v>
      </c>
      <c r="E4681" s="10" t="str">
        <f>TRIM(VLOOKUP(D4681,TB!$B$9:$C$1500,2,FALSE))</f>
        <v>Kitchen Supplies</v>
      </c>
      <c r="F4681" s="142" t="s">
        <v>2420</v>
      </c>
      <c r="G4681" s="130">
        <v>2</v>
      </c>
      <c r="H4681" s="10">
        <f>36000*2</f>
        <v>72000</v>
      </c>
      <c r="I4681" s="10"/>
      <c r="J4681" s="79" t="e">
        <f t="shared" si="312"/>
        <v>#VALUE!</v>
      </c>
      <c r="K4681" s="106"/>
      <c r="L4681" s="141"/>
      <c r="M4681" s="132"/>
      <c r="N4681" s="133"/>
      <c r="O4681" s="4"/>
      <c r="P4681" s="4"/>
      <c r="Q4681" s="4"/>
      <c r="R4681" s="4"/>
      <c r="S4681" s="4"/>
      <c r="T4681" s="4"/>
      <c r="U4681" s="4"/>
      <c r="V4681" s="4"/>
      <c r="W4681" s="4"/>
      <c r="X4681" s="4"/>
    </row>
    <row r="4682" spans="1:24" ht="14.25" customHeight="1">
      <c r="A4682" s="4"/>
      <c r="B4682" s="125">
        <v>46203</v>
      </c>
      <c r="C4682" s="126" t="s">
        <v>2056</v>
      </c>
      <c r="D4682" s="15" t="s">
        <v>285</v>
      </c>
      <c r="E4682" s="10" t="str">
        <f>TRIM(VLOOKUP(D4682,TB!$B$9:$C$1500,2,FALSE))</f>
        <v>Misc Cash Purchase</v>
      </c>
      <c r="F4682" s="142" t="s">
        <v>2421</v>
      </c>
      <c r="G4682" s="130"/>
      <c r="H4682" s="10"/>
      <c r="I4682" s="10">
        <v>211100</v>
      </c>
      <c r="J4682" s="79" t="e">
        <f t="shared" si="312"/>
        <v>#VALUE!</v>
      </c>
      <c r="K4682" s="106"/>
      <c r="L4682" s="141"/>
      <c r="M4682" s="132"/>
      <c r="N4682" s="133"/>
      <c r="O4682" s="4"/>
      <c r="P4682" s="4"/>
      <c r="Q4682" s="4"/>
      <c r="R4682" s="4"/>
      <c r="S4682" s="4"/>
      <c r="T4682" s="4"/>
      <c r="U4682" s="4"/>
      <c r="V4682" s="4"/>
      <c r="W4682" s="4"/>
      <c r="X4682" s="4"/>
    </row>
    <row r="4683" spans="1:24" ht="14.25" customHeight="1">
      <c r="A4683" s="4"/>
      <c r="B4683" s="125"/>
      <c r="C4683" s="126"/>
      <c r="D4683" s="68"/>
      <c r="E4683" s="10" t="e">
        <f>TRIM(VLOOKUP(D4683,TB!$B$9:$C$1500,2,FALSE))</f>
        <v>#N/A</v>
      </c>
      <c r="F4683" s="142"/>
      <c r="G4683" s="130"/>
      <c r="H4683" s="10"/>
      <c r="I4683" s="10"/>
      <c r="J4683" s="79" t="e">
        <f t="shared" si="312"/>
        <v>#VALUE!</v>
      </c>
      <c r="K4683" s="106"/>
      <c r="L4683" s="141"/>
      <c r="M4683" s="132"/>
      <c r="N4683" s="133"/>
      <c r="O4683" s="4"/>
      <c r="P4683" s="4"/>
      <c r="Q4683" s="4"/>
      <c r="R4683" s="4"/>
      <c r="S4683" s="4"/>
      <c r="T4683" s="4"/>
      <c r="U4683" s="4"/>
      <c r="V4683" s="4"/>
      <c r="W4683" s="4"/>
      <c r="X4683" s="4"/>
    </row>
    <row r="4684" spans="1:24" ht="14.25" customHeight="1">
      <c r="A4684" s="4"/>
      <c r="B4684" s="125">
        <v>46182</v>
      </c>
      <c r="C4684" s="126" t="s">
        <v>2422</v>
      </c>
      <c r="D4684" s="15" t="s">
        <v>2423</v>
      </c>
      <c r="E4684" s="10" t="str">
        <f>TRIM(VLOOKUP(D4684,TB!$B$9:$C$1500,2,FALSE))</f>
        <v>Tepung Terigu 1 Kg/Flour</v>
      </c>
      <c r="F4684" s="186" t="s">
        <v>2424</v>
      </c>
      <c r="G4684" s="130">
        <v>50</v>
      </c>
      <c r="H4684" s="10">
        <v>660450</v>
      </c>
      <c r="I4684" s="10"/>
      <c r="J4684" s="79" t="e">
        <f t="shared" si="312"/>
        <v>#VALUE!</v>
      </c>
      <c r="K4684" s="106"/>
      <c r="L4684" s="141"/>
      <c r="M4684" s="132"/>
      <c r="N4684" s="133"/>
      <c r="O4684" s="4"/>
      <c r="P4684" s="4"/>
      <c r="Q4684" s="4"/>
      <c r="R4684" s="4"/>
      <c r="S4684" s="4"/>
      <c r="T4684" s="4"/>
      <c r="U4684" s="4"/>
      <c r="V4684" s="4"/>
      <c r="W4684" s="4"/>
      <c r="X4684" s="4"/>
    </row>
    <row r="4685" spans="1:24" ht="14.25" customHeight="1">
      <c r="A4685" s="4"/>
      <c r="B4685" s="125">
        <v>46182</v>
      </c>
      <c r="C4685" s="126" t="s">
        <v>2422</v>
      </c>
      <c r="D4685" s="15" t="s">
        <v>285</v>
      </c>
      <c r="E4685" s="10" t="str">
        <f>TRIM(VLOOKUP(D4685,TB!$B$9:$C$1500,2,FALSE))</f>
        <v>Misc Cash Purchase</v>
      </c>
      <c r="F4685" s="186" t="s">
        <v>1100</v>
      </c>
      <c r="G4685" s="130"/>
      <c r="H4685" s="10"/>
      <c r="I4685" s="10">
        <v>660450</v>
      </c>
      <c r="J4685" s="79" t="e">
        <f t="shared" si="312"/>
        <v>#VALUE!</v>
      </c>
      <c r="K4685" s="106"/>
      <c r="L4685" s="141"/>
      <c r="M4685" s="132"/>
      <c r="N4685" s="133"/>
      <c r="O4685" s="4"/>
      <c r="P4685" s="4"/>
      <c r="Q4685" s="4"/>
      <c r="R4685" s="4"/>
      <c r="S4685" s="4"/>
      <c r="T4685" s="4"/>
      <c r="U4685" s="4"/>
      <c r="V4685" s="4"/>
      <c r="W4685" s="4"/>
      <c r="X4685" s="4"/>
    </row>
    <row r="4686" spans="1:24" ht="14.25" customHeight="1">
      <c r="A4686" s="4"/>
      <c r="B4686" s="125"/>
      <c r="C4686" s="126"/>
      <c r="D4686" s="68"/>
      <c r="E4686" s="10" t="e">
        <f>TRIM(VLOOKUP(D4686,TB!$B$9:$C$1500,2,FALSE))</f>
        <v>#N/A</v>
      </c>
      <c r="F4686" s="142"/>
      <c r="G4686" s="130"/>
      <c r="H4686" s="10"/>
      <c r="I4686" s="10"/>
      <c r="J4686" s="79" t="e">
        <f t="shared" si="312"/>
        <v>#VALUE!</v>
      </c>
      <c r="K4686" s="106"/>
      <c r="L4686" s="141"/>
      <c r="M4686" s="132"/>
      <c r="N4686" s="133"/>
      <c r="O4686" s="4"/>
      <c r="P4686" s="4"/>
      <c r="Q4686" s="4"/>
      <c r="R4686" s="4"/>
      <c r="S4686" s="4"/>
      <c r="T4686" s="4"/>
      <c r="U4686" s="4"/>
      <c r="V4686" s="4"/>
      <c r="W4686" s="4"/>
      <c r="X4686" s="4"/>
    </row>
    <row r="4687" spans="1:24" ht="14.25" customHeight="1">
      <c r="A4687" s="4"/>
      <c r="B4687" s="125">
        <v>46176</v>
      </c>
      <c r="C4687" s="126" t="s">
        <v>2425</v>
      </c>
      <c r="D4687" s="15" t="s">
        <v>2426</v>
      </c>
      <c r="E4687" s="10" t="str">
        <f>TRIM(VLOOKUP(D4687,TB!$B$9:$C$1500,2,FALSE))</f>
        <v>Beef Meltique Saikoro</v>
      </c>
      <c r="F4687" s="185" t="s">
        <v>2427</v>
      </c>
      <c r="G4687" s="130">
        <v>2</v>
      </c>
      <c r="H4687" s="10">
        <v>340000</v>
      </c>
      <c r="I4687" s="10"/>
      <c r="J4687" s="79" t="e">
        <f t="shared" si="312"/>
        <v>#VALUE!</v>
      </c>
      <c r="K4687" s="106"/>
      <c r="L4687" s="141"/>
      <c r="M4687" s="132"/>
      <c r="N4687" s="133"/>
      <c r="O4687" s="4"/>
      <c r="P4687" s="4"/>
      <c r="Q4687" s="4"/>
      <c r="R4687" s="4"/>
      <c r="S4687" s="4"/>
      <c r="T4687" s="4"/>
      <c r="U4687" s="4"/>
      <c r="V4687" s="4"/>
      <c r="W4687" s="4"/>
      <c r="X4687" s="4"/>
    </row>
    <row r="4688" spans="1:24" ht="14.25" customHeight="1">
      <c r="A4688" s="4"/>
      <c r="B4688" s="125">
        <v>46176</v>
      </c>
      <c r="C4688" s="126" t="s">
        <v>2425</v>
      </c>
      <c r="D4688" s="15" t="s">
        <v>285</v>
      </c>
      <c r="E4688" s="10" t="str">
        <f>TRIM(VLOOKUP(D4688,TB!$B$9:$C$1500,2,FALSE))</f>
        <v>Misc Cash Purchase</v>
      </c>
      <c r="F4688" s="185" t="s">
        <v>2428</v>
      </c>
      <c r="G4688" s="130"/>
      <c r="H4688" s="10"/>
      <c r="I4688" s="10">
        <v>340000</v>
      </c>
      <c r="J4688" s="79" t="e">
        <f t="shared" si="312"/>
        <v>#VALUE!</v>
      </c>
      <c r="K4688" s="106"/>
      <c r="L4688" s="141"/>
      <c r="M4688" s="132"/>
      <c r="N4688" s="133"/>
      <c r="O4688" s="4"/>
      <c r="P4688" s="4"/>
      <c r="Q4688" s="4"/>
      <c r="R4688" s="4"/>
      <c r="S4688" s="4"/>
      <c r="T4688" s="4"/>
      <c r="U4688" s="4"/>
      <c r="V4688" s="4"/>
      <c r="W4688" s="4"/>
      <c r="X4688" s="4"/>
    </row>
    <row r="4689" spans="1:24" ht="14.25" customHeight="1">
      <c r="A4689" s="4"/>
      <c r="B4689" s="125"/>
      <c r="C4689" s="126"/>
      <c r="D4689" s="68"/>
      <c r="E4689" s="10" t="e">
        <f>TRIM(VLOOKUP(D4689,TB!$B$9:$C$1500,2,FALSE))</f>
        <v>#N/A</v>
      </c>
      <c r="F4689" s="142"/>
      <c r="G4689" s="130"/>
      <c r="H4689" s="10"/>
      <c r="I4689" s="10"/>
      <c r="J4689" s="79" t="e">
        <f t="shared" si="312"/>
        <v>#VALUE!</v>
      </c>
      <c r="K4689" s="106"/>
      <c r="L4689" s="141"/>
      <c r="M4689" s="132"/>
      <c r="N4689" s="133"/>
      <c r="O4689" s="4"/>
      <c r="P4689" s="4"/>
      <c r="Q4689" s="4"/>
      <c r="R4689" s="4"/>
      <c r="S4689" s="4"/>
      <c r="T4689" s="4"/>
      <c r="U4689" s="4"/>
      <c r="V4689" s="4"/>
      <c r="W4689" s="4"/>
      <c r="X4689" s="4"/>
    </row>
    <row r="4690" spans="1:24" ht="14.25" customHeight="1">
      <c r="A4690" s="4"/>
      <c r="B4690" s="125">
        <v>46182</v>
      </c>
      <c r="C4690" s="126" t="s">
        <v>2429</v>
      </c>
      <c r="D4690" s="15" t="s">
        <v>2430</v>
      </c>
      <c r="E4690" s="10" t="str">
        <f>TRIM(VLOOKUP(D4690,TB!$B$9:$C$1500,2,FALSE))</f>
        <v>Beef Rib</v>
      </c>
      <c r="F4690" s="185" t="s">
        <v>2431</v>
      </c>
      <c r="G4690" s="130">
        <v>5.2</v>
      </c>
      <c r="H4690" s="10">
        <v>858000</v>
      </c>
      <c r="I4690" s="10"/>
      <c r="J4690" s="79" t="e">
        <f t="shared" si="312"/>
        <v>#VALUE!</v>
      </c>
      <c r="K4690" s="106"/>
      <c r="L4690" s="141"/>
      <c r="M4690" s="132"/>
      <c r="N4690" s="133"/>
      <c r="O4690" s="4"/>
      <c r="P4690" s="4"/>
      <c r="Q4690" s="4"/>
      <c r="R4690" s="4"/>
      <c r="S4690" s="4"/>
      <c r="T4690" s="4"/>
      <c r="U4690" s="4"/>
      <c r="V4690" s="4"/>
      <c r="W4690" s="4"/>
      <c r="X4690" s="4"/>
    </row>
    <row r="4691" spans="1:24" ht="14.25" customHeight="1">
      <c r="A4691" s="4"/>
      <c r="B4691" s="125">
        <v>46182</v>
      </c>
      <c r="C4691" s="126" t="s">
        <v>2429</v>
      </c>
      <c r="D4691" s="15" t="s">
        <v>2426</v>
      </c>
      <c r="E4691" s="10" t="str">
        <f>TRIM(VLOOKUP(D4691,TB!$B$9:$C$1500,2,FALSE))</f>
        <v>Beef Meltique Saikoro</v>
      </c>
      <c r="F4691" s="185" t="s">
        <v>2432</v>
      </c>
      <c r="G4691" s="130">
        <v>2</v>
      </c>
      <c r="H4691" s="10">
        <v>340000</v>
      </c>
      <c r="I4691" s="10"/>
      <c r="J4691" s="79" t="e">
        <f t="shared" si="312"/>
        <v>#VALUE!</v>
      </c>
      <c r="K4691" s="106"/>
      <c r="L4691" s="141"/>
      <c r="M4691" s="132"/>
      <c r="N4691" s="133"/>
      <c r="O4691" s="4"/>
      <c r="P4691" s="4"/>
      <c r="Q4691" s="4"/>
      <c r="R4691" s="4"/>
      <c r="S4691" s="4"/>
      <c r="T4691" s="4"/>
      <c r="U4691" s="4"/>
      <c r="V4691" s="4"/>
      <c r="W4691" s="4"/>
      <c r="X4691" s="4"/>
    </row>
    <row r="4692" spans="1:24" ht="14.25" customHeight="1">
      <c r="A4692" s="4"/>
      <c r="B4692" s="125">
        <v>46182</v>
      </c>
      <c r="C4692" s="126" t="s">
        <v>2429</v>
      </c>
      <c r="D4692" s="15" t="s">
        <v>285</v>
      </c>
      <c r="E4692" s="10" t="str">
        <f>TRIM(VLOOKUP(D4692,TB!$B$9:$C$1500,2,FALSE))</f>
        <v>Misc Cash Purchase</v>
      </c>
      <c r="F4692" s="185" t="s">
        <v>2433</v>
      </c>
      <c r="G4692" s="130"/>
      <c r="H4692" s="10"/>
      <c r="I4692" s="10">
        <v>1198000</v>
      </c>
      <c r="J4692" s="79" t="e">
        <f t="shared" si="312"/>
        <v>#VALUE!</v>
      </c>
      <c r="K4692" s="106"/>
      <c r="L4692" s="141"/>
      <c r="M4692" s="132"/>
      <c r="N4692" s="133"/>
      <c r="O4692" s="4"/>
      <c r="P4692" s="4"/>
      <c r="Q4692" s="4"/>
      <c r="R4692" s="4"/>
      <c r="S4692" s="4"/>
      <c r="T4692" s="4"/>
      <c r="U4692" s="4"/>
      <c r="V4692" s="4"/>
      <c r="W4692" s="4"/>
      <c r="X4692" s="4"/>
    </row>
    <row r="4693" spans="1:24" ht="14.25" customHeight="1">
      <c r="A4693" s="4"/>
      <c r="B4693" s="125"/>
      <c r="C4693" s="126"/>
      <c r="D4693" s="68"/>
      <c r="E4693" s="10" t="e">
        <f>TRIM(VLOOKUP(D4693,TB!$B$9:$C$1500,2,FALSE))</f>
        <v>#N/A</v>
      </c>
      <c r="F4693" s="142"/>
      <c r="G4693" s="130"/>
      <c r="H4693" s="10"/>
      <c r="I4693" s="10"/>
      <c r="J4693" s="79" t="e">
        <f t="shared" si="312"/>
        <v>#VALUE!</v>
      </c>
      <c r="K4693" s="106"/>
      <c r="L4693" s="141"/>
      <c r="M4693" s="132"/>
      <c r="N4693" s="133"/>
      <c r="O4693" s="4"/>
      <c r="P4693" s="4"/>
      <c r="Q4693" s="4"/>
      <c r="R4693" s="4"/>
      <c r="S4693" s="4"/>
      <c r="T4693" s="4"/>
      <c r="U4693" s="4"/>
      <c r="V4693" s="4"/>
      <c r="W4693" s="4"/>
      <c r="X4693" s="4"/>
    </row>
    <row r="4694" spans="1:24" ht="14.25" customHeight="1">
      <c r="A4694" s="4"/>
      <c r="B4694" s="125">
        <v>46192</v>
      </c>
      <c r="C4694" s="126" t="s">
        <v>2434</v>
      </c>
      <c r="D4694" s="15" t="s">
        <v>2430</v>
      </c>
      <c r="E4694" s="10" t="str">
        <f>TRIM(VLOOKUP(D4694,TB!$B$9:$C$1500,2,FALSE))</f>
        <v>Beef Rib</v>
      </c>
      <c r="F4694" s="142" t="s">
        <v>2435</v>
      </c>
      <c r="G4694" s="130">
        <v>5.2</v>
      </c>
      <c r="H4694" s="10">
        <v>910000</v>
      </c>
      <c r="I4694" s="10"/>
      <c r="J4694" s="79" t="e">
        <f t="shared" si="312"/>
        <v>#VALUE!</v>
      </c>
      <c r="K4694" s="106"/>
      <c r="L4694" s="141"/>
      <c r="M4694" s="132"/>
      <c r="N4694" s="133"/>
      <c r="O4694" s="4"/>
      <c r="P4694" s="4"/>
      <c r="Q4694" s="4"/>
      <c r="R4694" s="4"/>
      <c r="S4694" s="4"/>
      <c r="T4694" s="4"/>
      <c r="U4694" s="4"/>
      <c r="V4694" s="4"/>
      <c r="W4694" s="4"/>
      <c r="X4694" s="4"/>
    </row>
    <row r="4695" spans="1:24" ht="14.25" customHeight="1">
      <c r="A4695" s="4"/>
      <c r="B4695" s="125">
        <v>46192</v>
      </c>
      <c r="C4695" s="126" t="s">
        <v>2434</v>
      </c>
      <c r="D4695" s="15" t="s">
        <v>285</v>
      </c>
      <c r="E4695" s="10" t="str">
        <f>TRIM(VLOOKUP(D4695,TB!$B$9:$C$1500,2,FALSE))</f>
        <v>Misc Cash Purchase</v>
      </c>
      <c r="F4695" s="142" t="s">
        <v>2436</v>
      </c>
      <c r="G4695" s="130"/>
      <c r="H4695" s="10"/>
      <c r="I4695" s="10">
        <v>910000</v>
      </c>
      <c r="J4695" s="79" t="e">
        <f t="shared" si="312"/>
        <v>#VALUE!</v>
      </c>
      <c r="K4695" s="106"/>
      <c r="L4695" s="141"/>
      <c r="M4695" s="132"/>
      <c r="N4695" s="133"/>
      <c r="O4695" s="4"/>
      <c r="P4695" s="4"/>
      <c r="Q4695" s="4"/>
      <c r="R4695" s="4"/>
      <c r="S4695" s="4"/>
      <c r="T4695" s="4"/>
      <c r="U4695" s="4"/>
      <c r="V4695" s="4"/>
      <c r="W4695" s="4"/>
      <c r="X4695" s="4"/>
    </row>
    <row r="4696" spans="1:24" ht="14.25" customHeight="1">
      <c r="A4696" s="4"/>
      <c r="B4696" s="125"/>
      <c r="C4696" s="126"/>
      <c r="D4696" s="15"/>
      <c r="E4696" s="10" t="e">
        <f>TRIM(VLOOKUP(D4696,TB!$B$9:$C$1500,2,FALSE))</f>
        <v>#N/A</v>
      </c>
      <c r="F4696" s="186"/>
      <c r="G4696" s="130"/>
      <c r="H4696" s="10"/>
      <c r="I4696" s="10"/>
      <c r="J4696" s="79" t="e">
        <f t="shared" si="312"/>
        <v>#VALUE!</v>
      </c>
      <c r="K4696" s="106"/>
      <c r="L4696" s="141"/>
      <c r="M4696" s="132"/>
      <c r="N4696" s="133"/>
      <c r="O4696" s="4"/>
      <c r="P4696" s="4"/>
      <c r="Q4696" s="4"/>
      <c r="R4696" s="4"/>
      <c r="S4696" s="4"/>
      <c r="T4696" s="4"/>
      <c r="U4696" s="4"/>
      <c r="V4696" s="4"/>
      <c r="W4696" s="4"/>
      <c r="X4696" s="4"/>
    </row>
    <row r="4697" spans="1:24" ht="14.25" customHeight="1">
      <c r="A4697" s="4"/>
      <c r="B4697" s="125">
        <v>46186</v>
      </c>
      <c r="C4697" s="126" t="s">
        <v>2437</v>
      </c>
      <c r="D4697" s="15" t="s">
        <v>2438</v>
      </c>
      <c r="E4697" s="10" t="str">
        <f>TRIM(VLOOKUP(D4697,TB!$B$9:$C$1500,2,FALSE))</f>
        <v>Vibe Coffee</v>
      </c>
      <c r="F4697" s="186" t="s">
        <v>2439</v>
      </c>
      <c r="G4697" s="130">
        <v>3</v>
      </c>
      <c r="H4697" s="10">
        <v>660000</v>
      </c>
      <c r="I4697" s="10"/>
      <c r="J4697" s="79" t="e">
        <f t="shared" si="312"/>
        <v>#VALUE!</v>
      </c>
      <c r="K4697" s="106"/>
      <c r="L4697" s="141"/>
      <c r="M4697" s="132"/>
      <c r="N4697" s="133"/>
      <c r="O4697" s="4"/>
      <c r="P4697" s="4"/>
      <c r="Q4697" s="4"/>
      <c r="R4697" s="4"/>
      <c r="S4697" s="4"/>
      <c r="T4697" s="4"/>
      <c r="U4697" s="4"/>
      <c r="V4697" s="4"/>
      <c r="W4697" s="4"/>
      <c r="X4697" s="4"/>
    </row>
    <row r="4698" spans="1:24" ht="14.25" customHeight="1">
      <c r="A4698" s="4"/>
      <c r="B4698" s="125">
        <v>46186</v>
      </c>
      <c r="C4698" s="126" t="s">
        <v>2437</v>
      </c>
      <c r="D4698" s="15" t="s">
        <v>2440</v>
      </c>
      <c r="E4698" s="10" t="str">
        <f>TRIM(VLOOKUP(D4698,TB!$B$9:$C$1500,2,FALSE))</f>
        <v>Vibe Peach</v>
      </c>
      <c r="F4698" s="186" t="s">
        <v>2441</v>
      </c>
      <c r="G4698" s="130">
        <v>3</v>
      </c>
      <c r="H4698" s="10">
        <v>870000</v>
      </c>
      <c r="I4698" s="10"/>
      <c r="J4698" s="79" t="e">
        <f t="shared" si="312"/>
        <v>#VALUE!</v>
      </c>
      <c r="K4698" s="106"/>
      <c r="L4698" s="141"/>
      <c r="M4698" s="132"/>
      <c r="N4698" s="133"/>
      <c r="O4698" s="4"/>
      <c r="P4698" s="4"/>
      <c r="Q4698" s="4"/>
      <c r="R4698" s="4"/>
      <c r="S4698" s="4"/>
      <c r="T4698" s="4"/>
      <c r="U4698" s="4"/>
      <c r="V4698" s="4"/>
      <c r="W4698" s="4"/>
      <c r="X4698" s="4"/>
    </row>
    <row r="4699" spans="1:24" ht="14.25" customHeight="1">
      <c r="A4699" s="4"/>
      <c r="B4699" s="125">
        <v>46186</v>
      </c>
      <c r="C4699" s="126" t="s">
        <v>2437</v>
      </c>
      <c r="D4699" s="15" t="s">
        <v>2442</v>
      </c>
      <c r="E4699" s="10" t="str">
        <f>TRIM(VLOOKUP(D4699,TB!$B$9:$C$1500,2,FALSE))</f>
        <v>Vibe Triple Sec</v>
      </c>
      <c r="F4699" s="186" t="s">
        <v>2443</v>
      </c>
      <c r="G4699" s="130">
        <v>6</v>
      </c>
      <c r="H4699" s="10">
        <v>1320000</v>
      </c>
      <c r="I4699" s="10"/>
      <c r="J4699" s="79" t="e">
        <f t="shared" si="312"/>
        <v>#VALUE!</v>
      </c>
      <c r="K4699" s="106"/>
      <c r="L4699" s="141"/>
      <c r="M4699" s="132"/>
      <c r="N4699" s="133"/>
      <c r="O4699" s="4"/>
      <c r="P4699" s="4"/>
      <c r="Q4699" s="4"/>
      <c r="R4699" s="4"/>
      <c r="S4699" s="4"/>
      <c r="T4699" s="4"/>
      <c r="U4699" s="4"/>
      <c r="V4699" s="4"/>
      <c r="W4699" s="4"/>
      <c r="X4699" s="4"/>
    </row>
    <row r="4700" spans="1:24" ht="14.25" customHeight="1">
      <c r="A4700" s="4"/>
      <c r="B4700" s="125">
        <v>46186</v>
      </c>
      <c r="C4700" s="126" t="s">
        <v>2437</v>
      </c>
      <c r="D4700" s="15" t="s">
        <v>285</v>
      </c>
      <c r="E4700" s="10" t="str">
        <f>TRIM(VLOOKUP(D4700,TB!$B$9:$C$1500,2,FALSE))</f>
        <v>Misc Cash Purchase</v>
      </c>
      <c r="F4700" s="186" t="s">
        <v>2444</v>
      </c>
      <c r="G4700" s="130"/>
      <c r="H4700" s="10"/>
      <c r="I4700" s="10">
        <v>2850000</v>
      </c>
      <c r="J4700" s="79" t="e">
        <f t="shared" si="312"/>
        <v>#VALUE!</v>
      </c>
      <c r="K4700" s="106"/>
      <c r="L4700" s="141"/>
      <c r="M4700" s="132"/>
      <c r="N4700" s="133"/>
      <c r="O4700" s="4"/>
      <c r="P4700" s="4"/>
      <c r="Q4700" s="4"/>
      <c r="R4700" s="4"/>
      <c r="S4700" s="4"/>
      <c r="T4700" s="4"/>
      <c r="U4700" s="4"/>
      <c r="V4700" s="4"/>
      <c r="W4700" s="4"/>
      <c r="X4700" s="4"/>
    </row>
    <row r="4701" spans="1:24" ht="14.25" customHeight="1">
      <c r="A4701" s="4"/>
      <c r="B4701" s="125"/>
      <c r="C4701" s="126"/>
      <c r="D4701" s="68"/>
      <c r="E4701" s="10" t="e">
        <f>TRIM(VLOOKUP(D4701,TB!$B$9:$C$1500,2,FALSE))</f>
        <v>#N/A</v>
      </c>
      <c r="F4701" s="142"/>
      <c r="G4701" s="130"/>
      <c r="H4701" s="10"/>
      <c r="I4701" s="10"/>
      <c r="J4701" s="79" t="e">
        <f t="shared" si="312"/>
        <v>#VALUE!</v>
      </c>
      <c r="K4701" s="106"/>
      <c r="L4701" s="141"/>
      <c r="M4701" s="132"/>
      <c r="N4701" s="133"/>
      <c r="O4701" s="4"/>
      <c r="P4701" s="4"/>
      <c r="Q4701" s="4"/>
      <c r="R4701" s="4"/>
      <c r="S4701" s="4"/>
      <c r="T4701" s="4"/>
      <c r="U4701" s="4"/>
      <c r="V4701" s="4"/>
      <c r="W4701" s="4"/>
      <c r="X4701" s="4"/>
    </row>
    <row r="4702" spans="1:24" ht="14.25" customHeight="1">
      <c r="A4702" s="4"/>
      <c r="B4702" s="125">
        <v>46189</v>
      </c>
      <c r="C4702" s="126" t="s">
        <v>2445</v>
      </c>
      <c r="D4702" s="15" t="s">
        <v>2446</v>
      </c>
      <c r="E4702" s="10" t="str">
        <f>TRIM(VLOOKUP(D4702,TB!$B$9:$C$1500,2,FALSE))</f>
        <v>Monin Wild Mint</v>
      </c>
      <c r="F4702" s="185" t="s">
        <v>2447</v>
      </c>
      <c r="G4702" s="130">
        <f>7*0.7</f>
        <v>4.8999999999999995</v>
      </c>
      <c r="H4702" s="155">
        <v>421950</v>
      </c>
      <c r="I4702" s="10"/>
      <c r="J4702" s="79" t="e">
        <f t="shared" si="312"/>
        <v>#VALUE!</v>
      </c>
      <c r="K4702" s="106">
        <f t="shared" ref="K4702:K4703" si="318">H4702*11%</f>
        <v>46414.5</v>
      </c>
      <c r="L4702" s="141">
        <f t="shared" ref="L4702:L4703" si="319">H4702+K4702</f>
        <v>468364.5</v>
      </c>
      <c r="M4702" s="132"/>
      <c r="N4702" s="133"/>
      <c r="O4702" s="4"/>
      <c r="P4702" s="4"/>
      <c r="Q4702" s="4"/>
      <c r="R4702" s="4"/>
      <c r="S4702" s="4"/>
      <c r="T4702" s="4"/>
      <c r="U4702" s="4"/>
      <c r="V4702" s="4"/>
      <c r="W4702" s="4"/>
      <c r="X4702" s="4"/>
    </row>
    <row r="4703" spans="1:24" ht="14.25" customHeight="1">
      <c r="A4703" s="4"/>
      <c r="B4703" s="125">
        <v>46189</v>
      </c>
      <c r="C4703" s="126" t="s">
        <v>2445</v>
      </c>
      <c r="D4703" s="15" t="s">
        <v>2448</v>
      </c>
      <c r="E4703" s="10" t="str">
        <f>TRIM(VLOOKUP(D4703,TB!$B$9:$C$1500,2,FALSE))</f>
        <v>Monin Pure Strawberry</v>
      </c>
      <c r="F4703" s="185" t="s">
        <v>2449</v>
      </c>
      <c r="G4703" s="130">
        <v>2</v>
      </c>
      <c r="H4703" s="155">
        <v>608772</v>
      </c>
      <c r="I4703" s="10"/>
      <c r="J4703" s="79" t="e">
        <f t="shared" si="312"/>
        <v>#VALUE!</v>
      </c>
      <c r="K4703" s="106">
        <f t="shared" si="318"/>
        <v>66964.92</v>
      </c>
      <c r="L4703" s="141">
        <f t="shared" si="319"/>
        <v>675736.92</v>
      </c>
      <c r="M4703" s="132"/>
      <c r="N4703" s="133"/>
      <c r="O4703" s="4"/>
      <c r="P4703" s="4"/>
      <c r="Q4703" s="4"/>
      <c r="R4703" s="4"/>
      <c r="S4703" s="4"/>
      <c r="T4703" s="4"/>
      <c r="U4703" s="4"/>
      <c r="V4703" s="4"/>
      <c r="W4703" s="4"/>
      <c r="X4703" s="4"/>
    </row>
    <row r="4704" spans="1:24" ht="14.25" customHeight="1">
      <c r="A4704" s="4"/>
      <c r="B4704" s="125">
        <v>46189</v>
      </c>
      <c r="C4704" s="126" t="s">
        <v>2445</v>
      </c>
      <c r="D4704" s="15" t="s">
        <v>285</v>
      </c>
      <c r="E4704" s="10" t="str">
        <f>TRIM(VLOOKUP(D4704,TB!$B$9:$C$1500,2,FALSE))</f>
        <v>Misc Cash Purchase</v>
      </c>
      <c r="F4704" s="185" t="s">
        <v>2450</v>
      </c>
      <c r="G4704" s="130"/>
      <c r="H4704" s="10"/>
      <c r="I4704" s="10">
        <v>1030722</v>
      </c>
      <c r="J4704" s="79" t="e">
        <f t="shared" si="312"/>
        <v>#VALUE!</v>
      </c>
      <c r="K4704" s="106"/>
      <c r="L4704" s="141"/>
      <c r="M4704" s="132"/>
      <c r="N4704" s="133"/>
      <c r="O4704" s="4"/>
      <c r="P4704" s="4"/>
      <c r="Q4704" s="4"/>
      <c r="R4704" s="4"/>
      <c r="S4704" s="4"/>
      <c r="T4704" s="4"/>
      <c r="U4704" s="4"/>
      <c r="V4704" s="4"/>
      <c r="W4704" s="4"/>
      <c r="X4704" s="4"/>
    </row>
    <row r="4705" spans="1:24" ht="14.25" customHeight="1">
      <c r="A4705" s="4"/>
      <c r="B4705" s="125"/>
      <c r="C4705" s="126"/>
      <c r="D4705" s="68"/>
      <c r="E4705" s="10" t="e">
        <f>TRIM(VLOOKUP(D4705,TB!$B$9:$C$1500,2,FALSE))</f>
        <v>#N/A</v>
      </c>
      <c r="F4705" s="142"/>
      <c r="G4705" s="130"/>
      <c r="H4705" s="10"/>
      <c r="I4705" s="10"/>
      <c r="J4705" s="79" t="e">
        <f t="shared" si="312"/>
        <v>#VALUE!</v>
      </c>
      <c r="K4705" s="106"/>
      <c r="L4705" s="141"/>
      <c r="M4705" s="132"/>
      <c r="N4705" s="133"/>
      <c r="O4705" s="4"/>
      <c r="P4705" s="4"/>
      <c r="Q4705" s="4"/>
      <c r="R4705" s="4"/>
      <c r="S4705" s="4"/>
      <c r="T4705" s="4"/>
      <c r="U4705" s="4"/>
      <c r="V4705" s="4"/>
      <c r="W4705" s="4"/>
      <c r="X4705" s="4"/>
    </row>
    <row r="4706" spans="1:24" ht="14.25" customHeight="1">
      <c r="A4706" s="4"/>
      <c r="B4706" s="125">
        <v>46177</v>
      </c>
      <c r="C4706" s="126" t="s">
        <v>2451</v>
      </c>
      <c r="D4706" s="15" t="s">
        <v>2452</v>
      </c>
      <c r="E4706" s="10" t="str">
        <f>TRIM(VLOOKUP(D4706,TB!$B$9:$C$1500,2,FALSE))</f>
        <v>Ciabatta</v>
      </c>
      <c r="F4706" s="185" t="s">
        <v>2453</v>
      </c>
      <c r="G4706" s="130">
        <v>10</v>
      </c>
      <c r="H4706" s="10">
        <v>70000</v>
      </c>
      <c r="I4706" s="10"/>
      <c r="J4706" s="79" t="e">
        <f t="shared" si="312"/>
        <v>#VALUE!</v>
      </c>
      <c r="K4706" s="106"/>
      <c r="L4706" s="141"/>
      <c r="M4706" s="132"/>
      <c r="N4706" s="133"/>
      <c r="O4706" s="4"/>
      <c r="P4706" s="4"/>
      <c r="Q4706" s="4"/>
      <c r="R4706" s="4"/>
      <c r="S4706" s="4"/>
      <c r="T4706" s="4"/>
      <c r="U4706" s="4"/>
      <c r="V4706" s="4"/>
      <c r="W4706" s="4"/>
      <c r="X4706" s="4"/>
    </row>
    <row r="4707" spans="1:24" ht="14.25" customHeight="1">
      <c r="A4707" s="4"/>
      <c r="B4707" s="125">
        <v>46177</v>
      </c>
      <c r="C4707" s="126" t="s">
        <v>2451</v>
      </c>
      <c r="D4707" s="15" t="s">
        <v>285</v>
      </c>
      <c r="E4707" s="10" t="str">
        <f>TRIM(VLOOKUP(D4707,TB!$B$9:$C$1500,2,FALSE))</f>
        <v>Misc Cash Purchase</v>
      </c>
      <c r="F4707" s="185" t="s">
        <v>2454</v>
      </c>
      <c r="G4707" s="130"/>
      <c r="H4707" s="10"/>
      <c r="I4707" s="10">
        <v>70000</v>
      </c>
      <c r="J4707" s="79" t="e">
        <f t="shared" si="312"/>
        <v>#VALUE!</v>
      </c>
      <c r="K4707" s="106"/>
      <c r="L4707" s="141"/>
      <c r="M4707" s="132"/>
      <c r="N4707" s="133"/>
      <c r="O4707" s="4"/>
      <c r="P4707" s="4"/>
      <c r="Q4707" s="4"/>
      <c r="R4707" s="4"/>
      <c r="S4707" s="4"/>
      <c r="T4707" s="4"/>
      <c r="U4707" s="4"/>
      <c r="V4707" s="4"/>
      <c r="W4707" s="4"/>
      <c r="X4707" s="4"/>
    </row>
    <row r="4708" spans="1:24" ht="14.25" customHeight="1">
      <c r="A4708" s="4"/>
      <c r="B4708" s="125"/>
      <c r="C4708" s="126"/>
      <c r="D4708" s="68"/>
      <c r="E4708" s="10" t="e">
        <f>TRIM(VLOOKUP(D4708,TB!$B$9:$C$1500,2,FALSE))</f>
        <v>#N/A</v>
      </c>
      <c r="F4708" s="142"/>
      <c r="G4708" s="130"/>
      <c r="H4708" s="10"/>
      <c r="I4708" s="10"/>
      <c r="J4708" s="79" t="e">
        <f t="shared" si="312"/>
        <v>#VALUE!</v>
      </c>
      <c r="K4708" s="106"/>
      <c r="L4708" s="141"/>
      <c r="M4708" s="132"/>
      <c r="N4708" s="133"/>
      <c r="O4708" s="4"/>
      <c r="P4708" s="4"/>
      <c r="Q4708" s="4"/>
      <c r="R4708" s="4"/>
      <c r="S4708" s="4"/>
      <c r="T4708" s="4"/>
      <c r="U4708" s="4"/>
      <c r="V4708" s="4"/>
      <c r="W4708" s="4"/>
      <c r="X4708" s="4"/>
    </row>
    <row r="4709" spans="1:24" ht="14.25" customHeight="1">
      <c r="A4709" s="4"/>
      <c r="B4709" s="125">
        <v>46184</v>
      </c>
      <c r="C4709" s="126" t="s">
        <v>2455</v>
      </c>
      <c r="D4709" s="15" t="s">
        <v>2452</v>
      </c>
      <c r="E4709" s="10" t="str">
        <f>TRIM(VLOOKUP(D4709,TB!$B$9:$C$1500,2,FALSE))</f>
        <v>Ciabatta</v>
      </c>
      <c r="F4709" s="185" t="s">
        <v>2456</v>
      </c>
      <c r="G4709" s="130">
        <v>10</v>
      </c>
      <c r="H4709" s="10">
        <v>70000</v>
      </c>
      <c r="I4709" s="10"/>
      <c r="J4709" s="79" t="e">
        <f t="shared" si="312"/>
        <v>#VALUE!</v>
      </c>
      <c r="K4709" s="106"/>
      <c r="L4709" s="141"/>
      <c r="M4709" s="132"/>
      <c r="N4709" s="133"/>
      <c r="O4709" s="4"/>
      <c r="P4709" s="4"/>
      <c r="Q4709" s="4"/>
      <c r="R4709" s="4"/>
      <c r="S4709" s="4"/>
      <c r="T4709" s="4"/>
      <c r="U4709" s="4"/>
      <c r="V4709" s="4"/>
      <c r="W4709" s="4"/>
      <c r="X4709" s="4"/>
    </row>
    <row r="4710" spans="1:24" ht="14.25" customHeight="1">
      <c r="A4710" s="4"/>
      <c r="B4710" s="125">
        <v>46184</v>
      </c>
      <c r="C4710" s="126" t="s">
        <v>2455</v>
      </c>
      <c r="D4710" s="15" t="s">
        <v>285</v>
      </c>
      <c r="E4710" s="10" t="str">
        <f>TRIM(VLOOKUP(D4710,TB!$B$9:$C$1500,2,FALSE))</f>
        <v>Misc Cash Purchase</v>
      </c>
      <c r="F4710" s="185" t="s">
        <v>2457</v>
      </c>
      <c r="G4710" s="130"/>
      <c r="H4710" s="10"/>
      <c r="I4710" s="10">
        <v>70000</v>
      </c>
      <c r="J4710" s="79" t="e">
        <f t="shared" si="312"/>
        <v>#VALUE!</v>
      </c>
      <c r="K4710" s="106"/>
      <c r="L4710" s="141"/>
      <c r="M4710" s="132"/>
      <c r="N4710" s="133"/>
      <c r="O4710" s="4"/>
      <c r="P4710" s="4"/>
      <c r="Q4710" s="4"/>
      <c r="R4710" s="4"/>
      <c r="S4710" s="4"/>
      <c r="T4710" s="4"/>
      <c r="U4710" s="4"/>
      <c r="V4710" s="4"/>
      <c r="W4710" s="4"/>
      <c r="X4710" s="4"/>
    </row>
    <row r="4711" spans="1:24" ht="14.25" customHeight="1">
      <c r="A4711" s="4"/>
      <c r="B4711" s="125"/>
      <c r="C4711" s="126"/>
      <c r="D4711" s="68"/>
      <c r="E4711" s="10" t="e">
        <f>TRIM(VLOOKUP(D4711,TB!$B$9:$C$1500,2,FALSE))</f>
        <v>#N/A</v>
      </c>
      <c r="F4711" s="142"/>
      <c r="G4711" s="130"/>
      <c r="H4711" s="10"/>
      <c r="I4711" s="10"/>
      <c r="J4711" s="79" t="e">
        <f t="shared" si="312"/>
        <v>#VALUE!</v>
      </c>
      <c r="K4711" s="106"/>
      <c r="L4711" s="141"/>
      <c r="M4711" s="132"/>
      <c r="N4711" s="133"/>
      <c r="O4711" s="4"/>
      <c r="P4711" s="4"/>
      <c r="Q4711" s="4"/>
      <c r="R4711" s="4"/>
      <c r="S4711" s="4"/>
      <c r="T4711" s="4"/>
      <c r="U4711" s="4"/>
      <c r="V4711" s="4"/>
      <c r="W4711" s="4"/>
      <c r="X4711" s="4"/>
    </row>
    <row r="4712" spans="1:24" ht="14.25" customHeight="1">
      <c r="A4712" s="4"/>
      <c r="B4712" s="125">
        <v>46185</v>
      </c>
      <c r="C4712" s="126" t="s">
        <v>2458</v>
      </c>
      <c r="D4712" s="15" t="s">
        <v>2452</v>
      </c>
      <c r="E4712" s="10" t="str">
        <f>TRIM(VLOOKUP(D4712,TB!$B$9:$C$1500,2,FALSE))</f>
        <v>Ciabatta</v>
      </c>
      <c r="F4712" s="185" t="s">
        <v>2459</v>
      </c>
      <c r="G4712" s="130">
        <v>10</v>
      </c>
      <c r="H4712" s="10">
        <v>70000</v>
      </c>
      <c r="I4712" s="10"/>
      <c r="J4712" s="79" t="e">
        <f t="shared" si="312"/>
        <v>#VALUE!</v>
      </c>
      <c r="K4712" s="106"/>
      <c r="L4712" s="141"/>
      <c r="M4712" s="132"/>
      <c r="N4712" s="133"/>
      <c r="O4712" s="4"/>
      <c r="P4712" s="4"/>
      <c r="Q4712" s="4"/>
      <c r="R4712" s="4"/>
      <c r="S4712" s="4"/>
      <c r="T4712" s="4"/>
      <c r="U4712" s="4"/>
      <c r="V4712" s="4"/>
      <c r="W4712" s="4"/>
      <c r="X4712" s="4"/>
    </row>
    <row r="4713" spans="1:24" ht="14.25" customHeight="1">
      <c r="A4713" s="4"/>
      <c r="B4713" s="125">
        <v>46185</v>
      </c>
      <c r="C4713" s="126" t="s">
        <v>2458</v>
      </c>
      <c r="D4713" s="15" t="s">
        <v>285</v>
      </c>
      <c r="E4713" s="10" t="str">
        <f>TRIM(VLOOKUP(D4713,TB!$B$9:$C$1500,2,FALSE))</f>
        <v>Misc Cash Purchase</v>
      </c>
      <c r="F4713" s="185" t="s">
        <v>2460</v>
      </c>
      <c r="G4713" s="130"/>
      <c r="H4713" s="10"/>
      <c r="I4713" s="10">
        <v>70000</v>
      </c>
      <c r="J4713" s="79" t="e">
        <f t="shared" si="312"/>
        <v>#VALUE!</v>
      </c>
      <c r="K4713" s="106"/>
      <c r="L4713" s="141"/>
      <c r="M4713" s="132"/>
      <c r="N4713" s="133"/>
      <c r="O4713" s="4"/>
      <c r="P4713" s="4"/>
      <c r="Q4713" s="4"/>
      <c r="R4713" s="4"/>
      <c r="S4713" s="4"/>
      <c r="T4713" s="4"/>
      <c r="U4713" s="4"/>
      <c r="V4713" s="4"/>
      <c r="W4713" s="4"/>
      <c r="X4713" s="4"/>
    </row>
    <row r="4714" spans="1:24" ht="14.25" customHeight="1">
      <c r="A4714" s="4"/>
      <c r="B4714" s="125"/>
      <c r="C4714" s="126"/>
      <c r="D4714" s="68"/>
      <c r="E4714" s="10" t="e">
        <f>TRIM(VLOOKUP(D4714,TB!$B$9:$C$1500,2,FALSE))</f>
        <v>#N/A</v>
      </c>
      <c r="F4714" s="142"/>
      <c r="G4714" s="130"/>
      <c r="H4714" s="10"/>
      <c r="I4714" s="10"/>
      <c r="J4714" s="79" t="e">
        <f t="shared" si="312"/>
        <v>#VALUE!</v>
      </c>
      <c r="K4714" s="106"/>
      <c r="L4714" s="141"/>
      <c r="M4714" s="132"/>
      <c r="N4714" s="133"/>
      <c r="O4714" s="4"/>
      <c r="P4714" s="4"/>
      <c r="Q4714" s="4"/>
      <c r="R4714" s="4"/>
      <c r="S4714" s="4"/>
      <c r="T4714" s="4"/>
      <c r="U4714" s="4"/>
      <c r="V4714" s="4"/>
      <c r="W4714" s="4"/>
      <c r="X4714" s="4"/>
    </row>
    <row r="4715" spans="1:24" ht="14.25" customHeight="1">
      <c r="A4715" s="4"/>
      <c r="B4715" s="125">
        <v>46192</v>
      </c>
      <c r="C4715" s="126" t="s">
        <v>2461</v>
      </c>
      <c r="D4715" s="15" t="s">
        <v>2452</v>
      </c>
      <c r="E4715" s="10" t="str">
        <f>TRIM(VLOOKUP(D4715,TB!$B$9:$C$1500,2,FALSE))</f>
        <v>Ciabatta</v>
      </c>
      <c r="F4715" s="142" t="s">
        <v>2462</v>
      </c>
      <c r="G4715" s="130">
        <v>10</v>
      </c>
      <c r="H4715" s="10">
        <v>70000</v>
      </c>
      <c r="I4715" s="10"/>
      <c r="J4715" s="79" t="e">
        <f t="shared" si="312"/>
        <v>#VALUE!</v>
      </c>
      <c r="K4715" s="106"/>
      <c r="L4715" s="141"/>
      <c r="M4715" s="132"/>
      <c r="N4715" s="133"/>
      <c r="O4715" s="4"/>
      <c r="P4715" s="4"/>
      <c r="Q4715" s="4"/>
      <c r="R4715" s="4"/>
      <c r="S4715" s="4"/>
      <c r="T4715" s="4"/>
      <c r="U4715" s="4"/>
      <c r="V4715" s="4"/>
      <c r="W4715" s="4"/>
      <c r="X4715" s="4"/>
    </row>
    <row r="4716" spans="1:24" ht="14.25" customHeight="1">
      <c r="A4716" s="4"/>
      <c r="B4716" s="125">
        <v>46192</v>
      </c>
      <c r="C4716" s="126" t="s">
        <v>2461</v>
      </c>
      <c r="D4716" s="15" t="s">
        <v>285</v>
      </c>
      <c r="E4716" s="10" t="str">
        <f>TRIM(VLOOKUP(D4716,TB!$B$9:$C$1500,2,FALSE))</f>
        <v>Misc Cash Purchase</v>
      </c>
      <c r="F4716" s="142" t="s">
        <v>2463</v>
      </c>
      <c r="G4716" s="130"/>
      <c r="H4716" s="10"/>
      <c r="I4716" s="10">
        <v>70000</v>
      </c>
      <c r="J4716" s="79" t="e">
        <f t="shared" si="312"/>
        <v>#VALUE!</v>
      </c>
      <c r="K4716" s="106"/>
      <c r="L4716" s="141"/>
      <c r="M4716" s="132"/>
      <c r="N4716" s="133"/>
      <c r="O4716" s="4"/>
      <c r="P4716" s="4"/>
      <c r="Q4716" s="4"/>
      <c r="R4716" s="4"/>
      <c r="S4716" s="4"/>
      <c r="T4716" s="4"/>
      <c r="U4716" s="4"/>
      <c r="V4716" s="4"/>
      <c r="W4716" s="4"/>
      <c r="X4716" s="4"/>
    </row>
    <row r="4717" spans="1:24" ht="14.25" customHeight="1">
      <c r="A4717" s="4"/>
      <c r="B4717" s="125"/>
      <c r="C4717" s="126"/>
      <c r="D4717" s="15"/>
      <c r="E4717" s="10" t="e">
        <f>TRIM(VLOOKUP(D4717,TB!$B$9:$C$1500,2,FALSE))</f>
        <v>#N/A</v>
      </c>
      <c r="F4717" s="185"/>
      <c r="G4717" s="130"/>
      <c r="H4717" s="10"/>
      <c r="I4717" s="10"/>
      <c r="J4717" s="79" t="e">
        <f t="shared" si="312"/>
        <v>#VALUE!</v>
      </c>
      <c r="K4717" s="106"/>
      <c r="L4717" s="141"/>
      <c r="M4717" s="132"/>
      <c r="N4717" s="133"/>
      <c r="O4717" s="4"/>
      <c r="P4717" s="4"/>
      <c r="Q4717" s="4"/>
      <c r="R4717" s="4"/>
      <c r="S4717" s="4"/>
      <c r="T4717" s="4"/>
      <c r="U4717" s="4"/>
      <c r="V4717" s="4"/>
      <c r="W4717" s="4"/>
      <c r="X4717" s="4"/>
    </row>
    <row r="4718" spans="1:24" ht="14.25" customHeight="1">
      <c r="A4718" s="4"/>
      <c r="B4718" s="125">
        <v>46201</v>
      </c>
      <c r="C4718" s="126" t="s">
        <v>2464</v>
      </c>
      <c r="D4718" s="15" t="s">
        <v>2452</v>
      </c>
      <c r="E4718" s="10" t="str">
        <f>TRIM(VLOOKUP(D4718,TB!$B$9:$C$1500,2,FALSE))</f>
        <v>Ciabatta</v>
      </c>
      <c r="F4718" s="142" t="s">
        <v>2465</v>
      </c>
      <c r="G4718" s="130">
        <v>10</v>
      </c>
      <c r="H4718" s="10">
        <v>70000</v>
      </c>
      <c r="I4718" s="10"/>
      <c r="J4718" s="79" t="e">
        <f t="shared" si="312"/>
        <v>#VALUE!</v>
      </c>
      <c r="K4718" s="106"/>
      <c r="L4718" s="141"/>
      <c r="M4718" s="132"/>
      <c r="N4718" s="133"/>
      <c r="O4718" s="4"/>
      <c r="P4718" s="4"/>
      <c r="Q4718" s="4"/>
      <c r="R4718" s="4"/>
      <c r="S4718" s="4"/>
      <c r="T4718" s="4"/>
      <c r="U4718" s="4"/>
      <c r="V4718" s="4"/>
      <c r="W4718" s="4"/>
      <c r="X4718" s="4"/>
    </row>
    <row r="4719" spans="1:24" ht="14.25" customHeight="1">
      <c r="A4719" s="4"/>
      <c r="B4719" s="125">
        <v>46201</v>
      </c>
      <c r="C4719" s="126" t="s">
        <v>2464</v>
      </c>
      <c r="D4719" s="15" t="s">
        <v>2466</v>
      </c>
      <c r="E4719" s="10" t="str">
        <f>TRIM(VLOOKUP(D4719,TB!$B$9:$C$1500,2,FALSE))</f>
        <v>Brloche Bread / BrIOCHE</v>
      </c>
      <c r="F4719" s="142" t="s">
        <v>2467</v>
      </c>
      <c r="G4719" s="130">
        <v>1</v>
      </c>
      <c r="H4719" s="10">
        <v>7500</v>
      </c>
      <c r="I4719" s="10"/>
      <c r="J4719" s="79" t="e">
        <f t="shared" si="312"/>
        <v>#VALUE!</v>
      </c>
      <c r="K4719" s="106"/>
      <c r="L4719" s="141"/>
      <c r="M4719" s="132"/>
      <c r="N4719" s="133"/>
      <c r="O4719" s="4"/>
      <c r="P4719" s="4"/>
      <c r="Q4719" s="4"/>
      <c r="R4719" s="4"/>
      <c r="S4719" s="4"/>
      <c r="T4719" s="4"/>
      <c r="U4719" s="4"/>
      <c r="V4719" s="4"/>
      <c r="W4719" s="4"/>
      <c r="X4719" s="4"/>
    </row>
    <row r="4720" spans="1:24" ht="14.25" customHeight="1">
      <c r="A4720" s="4"/>
      <c r="B4720" s="125">
        <v>46201</v>
      </c>
      <c r="C4720" s="126" t="s">
        <v>2464</v>
      </c>
      <c r="D4720" s="15" t="s">
        <v>285</v>
      </c>
      <c r="E4720" s="10" t="str">
        <f>TRIM(VLOOKUP(D4720,TB!$B$9:$C$1500,2,FALSE))</f>
        <v>Misc Cash Purchase</v>
      </c>
      <c r="F4720" s="142" t="s">
        <v>2468</v>
      </c>
      <c r="G4720" s="130"/>
      <c r="H4720" s="10"/>
      <c r="I4720" s="10">
        <v>77500</v>
      </c>
      <c r="J4720" s="79" t="e">
        <f t="shared" si="312"/>
        <v>#VALUE!</v>
      </c>
      <c r="K4720" s="106"/>
      <c r="L4720" s="141"/>
      <c r="M4720" s="132"/>
      <c r="N4720" s="133"/>
      <c r="O4720" s="4"/>
      <c r="P4720" s="4"/>
      <c r="Q4720" s="4"/>
      <c r="R4720" s="4"/>
      <c r="S4720" s="4"/>
      <c r="T4720" s="4"/>
      <c r="U4720" s="4"/>
      <c r="V4720" s="4"/>
      <c r="W4720" s="4"/>
      <c r="X4720" s="4"/>
    </row>
    <row r="4721" spans="1:24" ht="14.25" customHeight="1">
      <c r="A4721" s="4"/>
      <c r="B4721" s="125"/>
      <c r="C4721" s="126"/>
      <c r="D4721" s="15"/>
      <c r="E4721" s="10" t="e">
        <f>TRIM(VLOOKUP(D4721,TB!$B$9:$C$1500,2,FALSE))</f>
        <v>#N/A</v>
      </c>
      <c r="F4721" s="185"/>
      <c r="G4721" s="130"/>
      <c r="H4721" s="10"/>
      <c r="I4721" s="10"/>
      <c r="J4721" s="79" t="e">
        <f t="shared" si="312"/>
        <v>#VALUE!</v>
      </c>
      <c r="K4721" s="106"/>
      <c r="L4721" s="141"/>
      <c r="M4721" s="132"/>
      <c r="N4721" s="133"/>
      <c r="O4721" s="4"/>
      <c r="P4721" s="4"/>
      <c r="Q4721" s="4"/>
      <c r="R4721" s="4"/>
      <c r="S4721" s="4"/>
      <c r="T4721" s="4"/>
      <c r="U4721" s="4"/>
      <c r="V4721" s="4"/>
      <c r="W4721" s="4"/>
      <c r="X4721" s="4"/>
    </row>
    <row r="4722" spans="1:24" ht="14.25" customHeight="1">
      <c r="A4722" s="4"/>
      <c r="B4722" s="125">
        <v>46178</v>
      </c>
      <c r="C4722" s="126" t="s">
        <v>2469</v>
      </c>
      <c r="D4722" s="15" t="s">
        <v>2470</v>
      </c>
      <c r="E4722" s="10" t="str">
        <f>TRIM(VLOOKUP(D4722,TB!$B$9:$C$1500,2,FALSE))</f>
        <v>Striploin / Sirloin</v>
      </c>
      <c r="F4722" s="185" t="s">
        <v>2471</v>
      </c>
      <c r="G4722" s="130">
        <v>5.2</v>
      </c>
      <c r="H4722" s="10">
        <v>1014000</v>
      </c>
      <c r="I4722" s="10"/>
      <c r="J4722" s="79" t="e">
        <f t="shared" si="312"/>
        <v>#VALUE!</v>
      </c>
      <c r="K4722" s="106"/>
      <c r="L4722" s="141"/>
      <c r="M4722" s="132"/>
      <c r="N4722" s="133"/>
      <c r="O4722" s="4"/>
      <c r="P4722" s="4"/>
      <c r="Q4722" s="4"/>
      <c r="R4722" s="4"/>
      <c r="S4722" s="4"/>
      <c r="T4722" s="4"/>
      <c r="U4722" s="4"/>
      <c r="V4722" s="4"/>
      <c r="W4722" s="4"/>
      <c r="X4722" s="4"/>
    </row>
    <row r="4723" spans="1:24" ht="14.25" customHeight="1">
      <c r="A4723" s="4"/>
      <c r="B4723" s="125">
        <v>46178</v>
      </c>
      <c r="C4723" s="126" t="s">
        <v>2469</v>
      </c>
      <c r="D4723" s="15" t="s">
        <v>285</v>
      </c>
      <c r="E4723" s="10" t="str">
        <f>TRIM(VLOOKUP(D4723,TB!$B$9:$C$1500,2,FALSE))</f>
        <v>Misc Cash Purchase</v>
      </c>
      <c r="F4723" s="185" t="s">
        <v>2472</v>
      </c>
      <c r="G4723" s="130"/>
      <c r="H4723" s="10"/>
      <c r="I4723" s="10">
        <v>1014000</v>
      </c>
      <c r="J4723" s="79" t="e">
        <f t="shared" si="312"/>
        <v>#VALUE!</v>
      </c>
      <c r="K4723" s="106"/>
      <c r="L4723" s="141"/>
      <c r="M4723" s="132"/>
      <c r="N4723" s="133"/>
      <c r="O4723" s="4"/>
      <c r="P4723" s="4"/>
      <c r="Q4723" s="4"/>
      <c r="R4723" s="4"/>
      <c r="S4723" s="4"/>
      <c r="T4723" s="4"/>
      <c r="U4723" s="4"/>
      <c r="V4723" s="4"/>
      <c r="W4723" s="4"/>
      <c r="X4723" s="4"/>
    </row>
    <row r="4724" spans="1:24" ht="14.25" customHeight="1">
      <c r="A4724" s="4"/>
      <c r="B4724" s="125"/>
      <c r="C4724" s="126"/>
      <c r="D4724" s="68"/>
      <c r="E4724" s="10" t="e">
        <f>TRIM(VLOOKUP(D4724,TB!$B$9:$C$1500,2,FALSE))</f>
        <v>#N/A</v>
      </c>
      <c r="F4724" s="142"/>
      <c r="G4724" s="130"/>
      <c r="H4724" s="10"/>
      <c r="I4724" s="10"/>
      <c r="J4724" s="79" t="e">
        <f t="shared" si="312"/>
        <v>#VALUE!</v>
      </c>
      <c r="K4724" s="106"/>
      <c r="L4724" s="141"/>
      <c r="M4724" s="132"/>
      <c r="N4724" s="133"/>
      <c r="O4724" s="4"/>
      <c r="P4724" s="4"/>
      <c r="Q4724" s="4"/>
      <c r="R4724" s="4"/>
      <c r="S4724" s="4"/>
      <c r="T4724" s="4"/>
      <c r="U4724" s="4"/>
      <c r="V4724" s="4"/>
      <c r="W4724" s="4"/>
      <c r="X4724" s="4"/>
    </row>
    <row r="4725" spans="1:24" ht="14.25" customHeight="1">
      <c r="A4725" s="4"/>
      <c r="B4725" s="125">
        <v>46185</v>
      </c>
      <c r="C4725" s="126" t="s">
        <v>2473</v>
      </c>
      <c r="D4725" s="15" t="s">
        <v>2470</v>
      </c>
      <c r="E4725" s="10" t="str">
        <f>TRIM(VLOOKUP(D4725,TB!$B$9:$C$1500,2,FALSE))</f>
        <v>Striploin / Sirloin</v>
      </c>
      <c r="F4725" s="185" t="s">
        <v>2474</v>
      </c>
      <c r="G4725" s="130">
        <v>6</v>
      </c>
      <c r="H4725" s="10">
        <v>1170000</v>
      </c>
      <c r="I4725" s="10"/>
      <c r="J4725" s="79" t="e">
        <f t="shared" si="312"/>
        <v>#VALUE!</v>
      </c>
      <c r="K4725" s="106"/>
      <c r="L4725" s="141"/>
      <c r="M4725" s="132"/>
      <c r="N4725" s="133"/>
      <c r="O4725" s="4"/>
      <c r="P4725" s="4"/>
      <c r="Q4725" s="4"/>
      <c r="R4725" s="4"/>
      <c r="S4725" s="4"/>
      <c r="T4725" s="4"/>
      <c r="U4725" s="4"/>
      <c r="V4725" s="4"/>
      <c r="W4725" s="4"/>
      <c r="X4725" s="4"/>
    </row>
    <row r="4726" spans="1:24" ht="14.25" customHeight="1">
      <c r="A4726" s="4"/>
      <c r="B4726" s="125">
        <v>46185</v>
      </c>
      <c r="C4726" s="126" t="s">
        <v>2473</v>
      </c>
      <c r="D4726" s="15" t="s">
        <v>285</v>
      </c>
      <c r="E4726" s="10" t="str">
        <f>TRIM(VLOOKUP(D4726,TB!$B$9:$C$1500,2,FALSE))</f>
        <v>Misc Cash Purchase</v>
      </c>
      <c r="F4726" s="185" t="s">
        <v>2475</v>
      </c>
      <c r="G4726" s="130"/>
      <c r="H4726" s="10"/>
      <c r="I4726" s="10">
        <v>1170000</v>
      </c>
      <c r="J4726" s="79" t="e">
        <f t="shared" si="312"/>
        <v>#VALUE!</v>
      </c>
      <c r="K4726" s="106"/>
      <c r="L4726" s="141"/>
      <c r="M4726" s="132"/>
      <c r="N4726" s="133"/>
      <c r="O4726" s="4"/>
      <c r="P4726" s="4"/>
      <c r="Q4726" s="4"/>
      <c r="R4726" s="4"/>
      <c r="S4726" s="4"/>
      <c r="T4726" s="4"/>
      <c r="U4726" s="4"/>
      <c r="V4726" s="4"/>
      <c r="W4726" s="4"/>
      <c r="X4726" s="4"/>
    </row>
    <row r="4727" spans="1:24" ht="14.25" customHeight="1">
      <c r="A4727" s="4"/>
      <c r="B4727" s="125"/>
      <c r="C4727" s="126"/>
      <c r="D4727" s="68"/>
      <c r="E4727" s="10" t="e">
        <f>TRIM(VLOOKUP(D4727,TB!$B$9:$C$1500,2,FALSE))</f>
        <v>#N/A</v>
      </c>
      <c r="F4727" s="142"/>
      <c r="G4727" s="130"/>
      <c r="H4727" s="10"/>
      <c r="I4727" s="10"/>
      <c r="J4727" s="79" t="e">
        <f t="shared" si="312"/>
        <v>#VALUE!</v>
      </c>
      <c r="K4727" s="106"/>
      <c r="L4727" s="141"/>
      <c r="M4727" s="132"/>
      <c r="N4727" s="133"/>
      <c r="O4727" s="4"/>
      <c r="P4727" s="4"/>
      <c r="Q4727" s="4"/>
      <c r="R4727" s="4"/>
      <c r="S4727" s="4"/>
      <c r="T4727" s="4"/>
      <c r="U4727" s="4"/>
      <c r="V4727" s="4"/>
      <c r="W4727" s="4"/>
      <c r="X4727" s="4"/>
    </row>
    <row r="4728" spans="1:24" ht="14.25" customHeight="1">
      <c r="A4728" s="4"/>
      <c r="B4728" s="125">
        <v>46197</v>
      </c>
      <c r="C4728" s="126" t="s">
        <v>2476</v>
      </c>
      <c r="D4728" s="15" t="s">
        <v>2470</v>
      </c>
      <c r="E4728" s="10" t="str">
        <f>TRIM(VLOOKUP(D4728,TB!$B$9:$C$1500,2,FALSE))</f>
        <v>Striploin / Sirloin</v>
      </c>
      <c r="F4728" s="142" t="s">
        <v>2477</v>
      </c>
      <c r="G4728" s="130">
        <v>12</v>
      </c>
      <c r="H4728" s="10">
        <v>2340000</v>
      </c>
      <c r="I4728" s="10"/>
      <c r="J4728" s="79" t="e">
        <f t="shared" si="312"/>
        <v>#VALUE!</v>
      </c>
      <c r="K4728" s="106"/>
      <c r="L4728" s="141"/>
      <c r="M4728" s="132"/>
      <c r="N4728" s="133"/>
      <c r="O4728" s="4"/>
      <c r="P4728" s="4"/>
      <c r="Q4728" s="4"/>
      <c r="R4728" s="4"/>
      <c r="S4728" s="4"/>
      <c r="T4728" s="4"/>
      <c r="U4728" s="4"/>
      <c r="V4728" s="4"/>
      <c r="W4728" s="4"/>
      <c r="X4728" s="4"/>
    </row>
    <row r="4729" spans="1:24" ht="14.25" customHeight="1">
      <c r="A4729" s="4"/>
      <c r="B4729" s="125">
        <v>46197</v>
      </c>
      <c r="C4729" s="126" t="s">
        <v>2476</v>
      </c>
      <c r="D4729" s="15" t="s">
        <v>285</v>
      </c>
      <c r="E4729" s="10" t="str">
        <f>TRIM(VLOOKUP(D4729,TB!$B$9:$C$1500,2,FALSE))</f>
        <v>Misc Cash Purchase</v>
      </c>
      <c r="F4729" s="142" t="s">
        <v>2478</v>
      </c>
      <c r="G4729" s="130"/>
      <c r="H4729" s="10"/>
      <c r="I4729" s="10">
        <v>2340000</v>
      </c>
      <c r="J4729" s="79" t="e">
        <f t="shared" si="312"/>
        <v>#VALUE!</v>
      </c>
      <c r="K4729" s="106"/>
      <c r="L4729" s="141"/>
      <c r="M4729" s="132"/>
      <c r="N4729" s="133"/>
      <c r="O4729" s="4"/>
      <c r="P4729" s="4"/>
      <c r="Q4729" s="4"/>
      <c r="R4729" s="4"/>
      <c r="S4729" s="4"/>
      <c r="T4729" s="4"/>
      <c r="U4729" s="4"/>
      <c r="V4729" s="4"/>
      <c r="W4729" s="4"/>
      <c r="X4729" s="4"/>
    </row>
    <row r="4730" spans="1:24" ht="14.25" customHeight="1">
      <c r="A4730" s="4"/>
      <c r="B4730" s="125"/>
      <c r="C4730" s="126"/>
      <c r="D4730" s="15"/>
      <c r="E4730" s="10" t="e">
        <f>TRIM(VLOOKUP(D4730,TB!$B$9:$C$1500,2,FALSE))</f>
        <v>#N/A</v>
      </c>
      <c r="F4730" s="142"/>
      <c r="G4730" s="130"/>
      <c r="H4730" s="10"/>
      <c r="I4730" s="10"/>
      <c r="J4730" s="79" t="e">
        <f t="shared" si="312"/>
        <v>#VALUE!</v>
      </c>
      <c r="K4730" s="106"/>
      <c r="L4730" s="141"/>
      <c r="M4730" s="132"/>
      <c r="N4730" s="133"/>
      <c r="O4730" s="4"/>
      <c r="P4730" s="4"/>
      <c r="Q4730" s="4"/>
      <c r="R4730" s="4"/>
      <c r="S4730" s="4"/>
      <c r="T4730" s="4"/>
      <c r="U4730" s="4"/>
      <c r="V4730" s="4"/>
      <c r="W4730" s="4"/>
      <c r="X4730" s="4"/>
    </row>
    <row r="4731" spans="1:24" ht="14.25" customHeight="1">
      <c r="A4731" s="4"/>
      <c r="B4731" s="125">
        <v>46175</v>
      </c>
      <c r="C4731" s="126" t="s">
        <v>2479</v>
      </c>
      <c r="D4731" s="15" t="s">
        <v>2480</v>
      </c>
      <c r="E4731" s="10" t="str">
        <f>TRIM(VLOOKUP(D4731,TB!$B$9:$C$1500,2,FALSE))</f>
        <v>Buah Kelapa</v>
      </c>
      <c r="F4731" s="142" t="s">
        <v>2481</v>
      </c>
      <c r="G4731" s="130">
        <v>20</v>
      </c>
      <c r="H4731" s="10">
        <v>260000</v>
      </c>
      <c r="I4731" s="10"/>
      <c r="J4731" s="79" t="e">
        <f t="shared" si="312"/>
        <v>#VALUE!</v>
      </c>
      <c r="K4731" s="106"/>
      <c r="L4731" s="141"/>
      <c r="M4731" s="132"/>
      <c r="N4731" s="133"/>
      <c r="O4731" s="4"/>
      <c r="P4731" s="4"/>
      <c r="Q4731" s="4"/>
      <c r="R4731" s="4"/>
      <c r="S4731" s="4"/>
      <c r="T4731" s="4"/>
      <c r="U4731" s="4"/>
      <c r="V4731" s="4"/>
      <c r="W4731" s="4"/>
      <c r="X4731" s="4"/>
    </row>
    <row r="4732" spans="1:24" ht="14.25" customHeight="1">
      <c r="A4732" s="4"/>
      <c r="B4732" s="125">
        <v>46175</v>
      </c>
      <c r="C4732" s="126" t="s">
        <v>2479</v>
      </c>
      <c r="D4732" s="15" t="s">
        <v>285</v>
      </c>
      <c r="E4732" s="10" t="str">
        <f>TRIM(VLOOKUP(D4732,TB!$B$9:$C$1500,2,FALSE))</f>
        <v>Misc Cash Purchase</v>
      </c>
      <c r="F4732" s="142" t="s">
        <v>1094</v>
      </c>
      <c r="G4732" s="130"/>
      <c r="H4732" s="10"/>
      <c r="I4732" s="10">
        <v>260000</v>
      </c>
      <c r="J4732" s="79" t="e">
        <f t="shared" si="312"/>
        <v>#VALUE!</v>
      </c>
      <c r="K4732" s="106"/>
      <c r="L4732" s="141"/>
      <c r="M4732" s="132"/>
      <c r="N4732" s="133"/>
      <c r="O4732" s="4"/>
      <c r="P4732" s="4"/>
      <c r="Q4732" s="4"/>
      <c r="R4732" s="4"/>
      <c r="S4732" s="4"/>
      <c r="T4732" s="4"/>
      <c r="U4732" s="4"/>
      <c r="V4732" s="4"/>
      <c r="W4732" s="4"/>
      <c r="X4732" s="4"/>
    </row>
    <row r="4733" spans="1:24" ht="14.25" customHeight="1">
      <c r="A4733" s="4"/>
      <c r="B4733" s="125"/>
      <c r="C4733" s="126"/>
      <c r="D4733" s="68"/>
      <c r="E4733" s="10" t="e">
        <f>TRIM(VLOOKUP(D4733,TB!$B$9:$C$1500,2,FALSE))</f>
        <v>#N/A</v>
      </c>
      <c r="F4733" s="142"/>
      <c r="G4733" s="130"/>
      <c r="H4733" s="10"/>
      <c r="I4733" s="10"/>
      <c r="J4733" s="79" t="e">
        <f t="shared" si="312"/>
        <v>#VALUE!</v>
      </c>
      <c r="K4733" s="106"/>
      <c r="L4733" s="141"/>
      <c r="M4733" s="132"/>
      <c r="N4733" s="133"/>
      <c r="O4733" s="4"/>
      <c r="P4733" s="4"/>
      <c r="Q4733" s="4"/>
      <c r="R4733" s="4"/>
      <c r="S4733" s="4"/>
      <c r="T4733" s="4"/>
      <c r="U4733" s="4"/>
      <c r="V4733" s="4"/>
      <c r="W4733" s="4"/>
      <c r="X4733" s="4"/>
    </row>
    <row r="4734" spans="1:24" ht="14.25" customHeight="1">
      <c r="A4734" s="4"/>
      <c r="B4734" s="125">
        <v>46186</v>
      </c>
      <c r="C4734" s="126" t="s">
        <v>2482</v>
      </c>
      <c r="D4734" s="15" t="s">
        <v>2480</v>
      </c>
      <c r="E4734" s="10" t="str">
        <f>TRIM(VLOOKUP(D4734,TB!$B$9:$C$1500,2,FALSE))</f>
        <v>Buah Kelapa</v>
      </c>
      <c r="F4734" s="142" t="s">
        <v>2483</v>
      </c>
      <c r="G4734" s="130">
        <v>25</v>
      </c>
      <c r="H4734" s="10">
        <v>325000</v>
      </c>
      <c r="I4734" s="10"/>
      <c r="J4734" s="79" t="e">
        <f t="shared" si="312"/>
        <v>#VALUE!</v>
      </c>
      <c r="K4734" s="106"/>
      <c r="L4734" s="141"/>
      <c r="M4734" s="132"/>
      <c r="N4734" s="133"/>
      <c r="O4734" s="4"/>
      <c r="P4734" s="4"/>
      <c r="Q4734" s="4"/>
      <c r="R4734" s="4"/>
      <c r="S4734" s="4"/>
      <c r="T4734" s="4"/>
      <c r="U4734" s="4"/>
      <c r="V4734" s="4"/>
      <c r="W4734" s="4"/>
      <c r="X4734" s="4"/>
    </row>
    <row r="4735" spans="1:24" ht="14.25" customHeight="1">
      <c r="A4735" s="4"/>
      <c r="B4735" s="125">
        <v>46186</v>
      </c>
      <c r="C4735" s="126" t="s">
        <v>2482</v>
      </c>
      <c r="D4735" s="15" t="s">
        <v>285</v>
      </c>
      <c r="E4735" s="10" t="str">
        <f>TRIM(VLOOKUP(D4735,TB!$B$9:$C$1500,2,FALSE))</f>
        <v>Misc Cash Purchase</v>
      </c>
      <c r="F4735" s="142" t="s">
        <v>2484</v>
      </c>
      <c r="G4735" s="130"/>
      <c r="H4735" s="10"/>
      <c r="I4735" s="10">
        <v>325000</v>
      </c>
      <c r="J4735" s="79" t="e">
        <f t="shared" si="312"/>
        <v>#VALUE!</v>
      </c>
      <c r="K4735" s="106"/>
      <c r="L4735" s="141"/>
      <c r="M4735" s="132"/>
      <c r="N4735" s="133"/>
      <c r="O4735" s="4"/>
      <c r="P4735" s="4"/>
      <c r="Q4735" s="4"/>
      <c r="R4735" s="4"/>
      <c r="S4735" s="4"/>
      <c r="T4735" s="4"/>
      <c r="U4735" s="4"/>
      <c r="V4735" s="4"/>
      <c r="W4735" s="4"/>
      <c r="X4735" s="4"/>
    </row>
    <row r="4736" spans="1:24" ht="14.25" customHeight="1">
      <c r="A4736" s="4"/>
      <c r="B4736" s="125"/>
      <c r="C4736" s="126"/>
      <c r="D4736" s="68"/>
      <c r="E4736" s="10" t="e">
        <f>TRIM(VLOOKUP(D4736,TB!$B$9:$C$1500,2,FALSE))</f>
        <v>#N/A</v>
      </c>
      <c r="F4736" s="142"/>
      <c r="G4736" s="130"/>
      <c r="H4736" s="10"/>
      <c r="I4736" s="10"/>
      <c r="J4736" s="79" t="e">
        <f t="shared" si="312"/>
        <v>#VALUE!</v>
      </c>
      <c r="K4736" s="106"/>
      <c r="L4736" s="141"/>
      <c r="M4736" s="132"/>
      <c r="N4736" s="133"/>
      <c r="O4736" s="4"/>
      <c r="P4736" s="4"/>
      <c r="Q4736" s="4"/>
      <c r="R4736" s="4"/>
      <c r="S4736" s="4"/>
      <c r="T4736" s="4"/>
      <c r="U4736" s="4"/>
      <c r="V4736" s="4"/>
      <c r="W4736" s="4"/>
      <c r="X4736" s="4"/>
    </row>
    <row r="4737" spans="1:24" ht="14.25" customHeight="1">
      <c r="A4737" s="4"/>
      <c r="B4737" s="125">
        <v>46176</v>
      </c>
      <c r="C4737" s="126" t="s">
        <v>2485</v>
      </c>
      <c r="D4737" s="15" t="s">
        <v>2486</v>
      </c>
      <c r="E4737" s="10" t="str">
        <f>TRIM(VLOOKUP(D4737,TB!$B$9:$C$1500,2,FALSE))</f>
        <v>Orange Juice 1 Lt</v>
      </c>
      <c r="F4737" s="185" t="s">
        <v>2487</v>
      </c>
      <c r="G4737" s="130">
        <f>8*5</f>
        <v>40</v>
      </c>
      <c r="H4737" s="10">
        <v>440000</v>
      </c>
      <c r="I4737" s="10"/>
      <c r="J4737" s="79" t="e">
        <f t="shared" si="312"/>
        <v>#VALUE!</v>
      </c>
      <c r="K4737" s="106"/>
      <c r="L4737" s="141"/>
      <c r="M4737" s="132"/>
      <c r="N4737" s="133"/>
      <c r="O4737" s="4"/>
      <c r="P4737" s="4"/>
      <c r="Q4737" s="4"/>
      <c r="R4737" s="4"/>
      <c r="S4737" s="4"/>
      <c r="T4737" s="4"/>
      <c r="U4737" s="4"/>
      <c r="V4737" s="4"/>
      <c r="W4737" s="4"/>
      <c r="X4737" s="4"/>
    </row>
    <row r="4738" spans="1:24" ht="14.25" customHeight="1">
      <c r="A4738" s="4"/>
      <c r="B4738" s="125">
        <v>46176</v>
      </c>
      <c r="C4738" s="126" t="s">
        <v>2485</v>
      </c>
      <c r="D4738" s="15" t="s">
        <v>2488</v>
      </c>
      <c r="E4738" s="10" t="str">
        <f>TRIM(VLOOKUP(D4738,TB!$B$9:$C$1500,2,FALSE))</f>
        <v>Apple Juice 1 Lt</v>
      </c>
      <c r="F4738" s="185" t="s">
        <v>2489</v>
      </c>
      <c r="G4738" s="130">
        <f>2*5</f>
        <v>10</v>
      </c>
      <c r="H4738" s="10">
        <v>110000</v>
      </c>
      <c r="I4738" s="10"/>
      <c r="J4738" s="79" t="e">
        <f t="shared" si="312"/>
        <v>#VALUE!</v>
      </c>
      <c r="K4738" s="106"/>
      <c r="L4738" s="141"/>
      <c r="M4738" s="132"/>
      <c r="N4738" s="133"/>
      <c r="O4738" s="4"/>
      <c r="P4738" s="4"/>
      <c r="Q4738" s="4"/>
      <c r="R4738" s="4"/>
      <c r="S4738" s="4"/>
      <c r="T4738" s="4"/>
      <c r="U4738" s="4"/>
      <c r="V4738" s="4"/>
      <c r="W4738" s="4"/>
      <c r="X4738" s="4"/>
    </row>
    <row r="4739" spans="1:24" ht="14.25" customHeight="1">
      <c r="A4739" s="4"/>
      <c r="B4739" s="125">
        <v>46176</v>
      </c>
      <c r="C4739" s="126" t="s">
        <v>2485</v>
      </c>
      <c r="D4739" s="15" t="s">
        <v>2490</v>
      </c>
      <c r="E4739" s="10" t="str">
        <f>TRIM(VLOOKUP(D4739,TB!$B$9:$C$1500,2,FALSE))</f>
        <v>Pineapple Juice 1 Ltr</v>
      </c>
      <c r="F4739" s="185" t="s">
        <v>2491</v>
      </c>
      <c r="G4739" s="130">
        <f>3*5</f>
        <v>15</v>
      </c>
      <c r="H4739" s="10">
        <v>165000</v>
      </c>
      <c r="I4739" s="10"/>
      <c r="J4739" s="79" t="e">
        <f t="shared" si="312"/>
        <v>#VALUE!</v>
      </c>
      <c r="K4739" s="106"/>
      <c r="L4739" s="141"/>
      <c r="M4739" s="132"/>
      <c r="N4739" s="133"/>
      <c r="O4739" s="4"/>
      <c r="P4739" s="4"/>
      <c r="Q4739" s="4"/>
      <c r="R4739" s="4"/>
      <c r="S4739" s="4"/>
      <c r="T4739" s="4"/>
      <c r="U4739" s="4"/>
      <c r="V4739" s="4"/>
      <c r="W4739" s="4"/>
      <c r="X4739" s="4"/>
    </row>
    <row r="4740" spans="1:24" ht="14.25" customHeight="1">
      <c r="A4740" s="4"/>
      <c r="B4740" s="125">
        <v>46176</v>
      </c>
      <c r="C4740" s="126" t="s">
        <v>2485</v>
      </c>
      <c r="D4740" s="15" t="s">
        <v>2492</v>
      </c>
      <c r="E4740" s="10" t="str">
        <f>TRIM(VLOOKUP(D4740,TB!$B$9:$C$1500,2,FALSE))</f>
        <v>Cranberry Juice 1 Ltr</v>
      </c>
      <c r="F4740" s="185" t="s">
        <v>2493</v>
      </c>
      <c r="G4740" s="130">
        <f>4*5</f>
        <v>20</v>
      </c>
      <c r="H4740" s="10">
        <v>400000</v>
      </c>
      <c r="I4740" s="10"/>
      <c r="J4740" s="79" t="e">
        <f t="shared" si="312"/>
        <v>#VALUE!</v>
      </c>
      <c r="K4740" s="106">
        <f>H4740/G4740</f>
        <v>20000</v>
      </c>
      <c r="L4740" s="141"/>
      <c r="M4740" s="132"/>
      <c r="N4740" s="133"/>
      <c r="O4740" s="4"/>
      <c r="P4740" s="4"/>
      <c r="Q4740" s="4"/>
      <c r="R4740" s="4"/>
      <c r="S4740" s="4"/>
      <c r="T4740" s="4"/>
      <c r="U4740" s="4"/>
      <c r="V4740" s="4"/>
      <c r="W4740" s="4"/>
      <c r="X4740" s="4"/>
    </row>
    <row r="4741" spans="1:24" ht="14.25" customHeight="1">
      <c r="A4741" s="4"/>
      <c r="B4741" s="125">
        <v>46176</v>
      </c>
      <c r="C4741" s="126" t="s">
        <v>2485</v>
      </c>
      <c r="D4741" s="15" t="s">
        <v>285</v>
      </c>
      <c r="E4741" s="10" t="str">
        <f>TRIM(VLOOKUP(D4741,TB!$B$9:$C$1500,2,FALSE))</f>
        <v>Misc Cash Purchase</v>
      </c>
      <c r="F4741" s="185" t="s">
        <v>2494</v>
      </c>
      <c r="G4741" s="130"/>
      <c r="H4741" s="10"/>
      <c r="I4741" s="10">
        <v>1115000</v>
      </c>
      <c r="J4741" s="79" t="e">
        <f t="shared" si="312"/>
        <v>#VALUE!</v>
      </c>
      <c r="K4741" s="106"/>
      <c r="L4741" s="141"/>
      <c r="M4741" s="132"/>
      <c r="N4741" s="133"/>
      <c r="O4741" s="4"/>
      <c r="P4741" s="4"/>
      <c r="Q4741" s="4"/>
      <c r="R4741" s="4"/>
      <c r="S4741" s="4"/>
      <c r="T4741" s="4"/>
      <c r="U4741" s="4"/>
      <c r="V4741" s="4"/>
      <c r="W4741" s="4"/>
      <c r="X4741" s="4"/>
    </row>
    <row r="4742" spans="1:24" ht="14.25" customHeight="1">
      <c r="A4742" s="4"/>
      <c r="B4742" s="125"/>
      <c r="C4742" s="126"/>
      <c r="D4742" s="68"/>
      <c r="E4742" s="10" t="e">
        <f>TRIM(VLOOKUP(D4742,TB!$B$9:$C$1500,2,FALSE))</f>
        <v>#N/A</v>
      </c>
      <c r="F4742" s="142"/>
      <c r="G4742" s="130"/>
      <c r="H4742" s="10"/>
      <c r="I4742" s="10"/>
      <c r="J4742" s="79" t="e">
        <f t="shared" si="312"/>
        <v>#VALUE!</v>
      </c>
      <c r="K4742" s="106"/>
      <c r="L4742" s="141"/>
      <c r="M4742" s="132"/>
      <c r="N4742" s="133"/>
      <c r="O4742" s="4"/>
      <c r="P4742" s="4"/>
      <c r="Q4742" s="4"/>
      <c r="R4742" s="4"/>
      <c r="S4742" s="4"/>
      <c r="T4742" s="4"/>
      <c r="U4742" s="4"/>
      <c r="V4742" s="4"/>
      <c r="W4742" s="4"/>
      <c r="X4742" s="4"/>
    </row>
    <row r="4743" spans="1:24" ht="14.25" customHeight="1">
      <c r="A4743" s="4"/>
      <c r="B4743" s="125">
        <v>46182</v>
      </c>
      <c r="C4743" s="126" t="s">
        <v>2495</v>
      </c>
      <c r="D4743" s="15" t="s">
        <v>2486</v>
      </c>
      <c r="E4743" s="10" t="str">
        <f>TRIM(VLOOKUP(D4743,TB!$B$9:$C$1500,2,FALSE))</f>
        <v>Orange Juice 1 Lt</v>
      </c>
      <c r="F4743" s="185" t="s">
        <v>2496</v>
      </c>
      <c r="G4743" s="130">
        <f>6*5</f>
        <v>30</v>
      </c>
      <c r="H4743" s="10">
        <v>330000</v>
      </c>
      <c r="I4743" s="10"/>
      <c r="J4743" s="79" t="e">
        <f t="shared" si="312"/>
        <v>#VALUE!</v>
      </c>
      <c r="K4743" s="106"/>
      <c r="L4743" s="141"/>
      <c r="M4743" s="132"/>
      <c r="N4743" s="133"/>
      <c r="O4743" s="4"/>
      <c r="P4743" s="4"/>
      <c r="Q4743" s="4"/>
      <c r="R4743" s="4"/>
      <c r="S4743" s="4"/>
      <c r="T4743" s="4"/>
      <c r="U4743" s="4"/>
      <c r="V4743" s="4"/>
      <c r="W4743" s="4"/>
      <c r="X4743" s="4"/>
    </row>
    <row r="4744" spans="1:24" ht="14.25" customHeight="1">
      <c r="A4744" s="4"/>
      <c r="B4744" s="125">
        <v>46182</v>
      </c>
      <c r="C4744" s="126" t="s">
        <v>2495</v>
      </c>
      <c r="D4744" s="15" t="s">
        <v>2488</v>
      </c>
      <c r="E4744" s="10" t="str">
        <f>TRIM(VLOOKUP(D4744,TB!$B$9:$C$1500,2,FALSE))</f>
        <v>Apple Juice 1 Lt</v>
      </c>
      <c r="F4744" s="185" t="s">
        <v>2497</v>
      </c>
      <c r="G4744" s="130">
        <f t="shared" ref="G4744:G4745" si="320">2*5</f>
        <v>10</v>
      </c>
      <c r="H4744" s="10">
        <v>110000</v>
      </c>
      <c r="I4744" s="10"/>
      <c r="J4744" s="79" t="e">
        <f t="shared" si="312"/>
        <v>#VALUE!</v>
      </c>
      <c r="K4744" s="106"/>
      <c r="L4744" s="141"/>
      <c r="M4744" s="132"/>
      <c r="N4744" s="133"/>
      <c r="O4744" s="4"/>
      <c r="P4744" s="4"/>
      <c r="Q4744" s="4"/>
      <c r="R4744" s="4"/>
      <c r="S4744" s="4"/>
      <c r="T4744" s="4"/>
      <c r="U4744" s="4"/>
      <c r="V4744" s="4"/>
      <c r="W4744" s="4"/>
      <c r="X4744" s="4"/>
    </row>
    <row r="4745" spans="1:24" ht="14.25" customHeight="1">
      <c r="A4745" s="4"/>
      <c r="B4745" s="125">
        <v>46182</v>
      </c>
      <c r="C4745" s="126" t="s">
        <v>2495</v>
      </c>
      <c r="D4745" s="15" t="s">
        <v>2490</v>
      </c>
      <c r="E4745" s="10" t="str">
        <f>TRIM(VLOOKUP(D4745,TB!$B$9:$C$1500,2,FALSE))</f>
        <v>Pineapple Juice 1 Ltr</v>
      </c>
      <c r="F4745" s="185" t="s">
        <v>2498</v>
      </c>
      <c r="G4745" s="130">
        <f t="shared" si="320"/>
        <v>10</v>
      </c>
      <c r="H4745" s="10">
        <v>110000</v>
      </c>
      <c r="I4745" s="10"/>
      <c r="J4745" s="79" t="e">
        <f t="shared" si="312"/>
        <v>#VALUE!</v>
      </c>
      <c r="K4745" s="106"/>
      <c r="L4745" s="141"/>
      <c r="M4745" s="132"/>
      <c r="N4745" s="133"/>
      <c r="O4745" s="4"/>
      <c r="P4745" s="4"/>
      <c r="Q4745" s="4"/>
      <c r="R4745" s="4"/>
      <c r="S4745" s="4"/>
      <c r="T4745" s="4"/>
      <c r="U4745" s="4"/>
      <c r="V4745" s="4"/>
      <c r="W4745" s="4"/>
      <c r="X4745" s="4"/>
    </row>
    <row r="4746" spans="1:24" ht="14.25" customHeight="1">
      <c r="A4746" s="4"/>
      <c r="B4746" s="125">
        <v>46182</v>
      </c>
      <c r="C4746" s="126" t="s">
        <v>2495</v>
      </c>
      <c r="D4746" s="15" t="s">
        <v>2492</v>
      </c>
      <c r="E4746" s="10" t="str">
        <f>TRIM(VLOOKUP(D4746,TB!$B$9:$C$1500,2,FALSE))</f>
        <v>Cranberry Juice 1 Ltr</v>
      </c>
      <c r="F4746" s="185" t="s">
        <v>2499</v>
      </c>
      <c r="G4746" s="130">
        <f>5*5</f>
        <v>25</v>
      </c>
      <c r="H4746" s="10">
        <v>500000</v>
      </c>
      <c r="I4746" s="10"/>
      <c r="J4746" s="79" t="e">
        <f t="shared" si="312"/>
        <v>#VALUE!</v>
      </c>
      <c r="K4746" s="106">
        <f>H4746/G4746</f>
        <v>20000</v>
      </c>
      <c r="L4746" s="141"/>
      <c r="M4746" s="132"/>
      <c r="N4746" s="133"/>
      <c r="O4746" s="4"/>
      <c r="P4746" s="4"/>
      <c r="Q4746" s="4"/>
      <c r="R4746" s="4"/>
      <c r="S4746" s="4"/>
      <c r="T4746" s="4"/>
      <c r="U4746" s="4"/>
      <c r="V4746" s="4"/>
      <c r="W4746" s="4"/>
      <c r="X4746" s="4"/>
    </row>
    <row r="4747" spans="1:24" ht="14.25" customHeight="1">
      <c r="A4747" s="4"/>
      <c r="B4747" s="125">
        <v>46182</v>
      </c>
      <c r="C4747" s="126" t="s">
        <v>2495</v>
      </c>
      <c r="D4747" s="15" t="s">
        <v>285</v>
      </c>
      <c r="E4747" s="10" t="str">
        <f>TRIM(VLOOKUP(D4747,TB!$B$9:$C$1500,2,FALSE))</f>
        <v>Misc Cash Purchase</v>
      </c>
      <c r="F4747" s="185" t="s">
        <v>2500</v>
      </c>
      <c r="G4747" s="130"/>
      <c r="H4747" s="10"/>
      <c r="I4747" s="10">
        <v>1050000</v>
      </c>
      <c r="J4747" s="79" t="e">
        <f t="shared" si="312"/>
        <v>#VALUE!</v>
      </c>
      <c r="K4747" s="106"/>
      <c r="L4747" s="141"/>
      <c r="M4747" s="132"/>
      <c r="N4747" s="133"/>
      <c r="O4747" s="4"/>
      <c r="P4747" s="4"/>
      <c r="Q4747" s="4"/>
      <c r="R4747" s="4"/>
      <c r="S4747" s="4"/>
      <c r="T4747" s="4"/>
      <c r="U4747" s="4"/>
      <c r="V4747" s="4"/>
      <c r="W4747" s="4"/>
      <c r="X4747" s="4"/>
    </row>
    <row r="4748" spans="1:24" ht="14.25" customHeight="1">
      <c r="A4748" s="4"/>
      <c r="B4748" s="125"/>
      <c r="C4748" s="126"/>
      <c r="D4748" s="68"/>
      <c r="E4748" s="10" t="e">
        <f>TRIM(VLOOKUP(D4748,TB!$B$9:$C$1500,2,FALSE))</f>
        <v>#N/A</v>
      </c>
      <c r="F4748" s="142"/>
      <c r="G4748" s="130"/>
      <c r="H4748" s="10"/>
      <c r="I4748" s="10"/>
      <c r="J4748" s="79" t="e">
        <f t="shared" si="312"/>
        <v>#VALUE!</v>
      </c>
      <c r="K4748" s="106"/>
      <c r="L4748" s="141"/>
      <c r="M4748" s="132"/>
      <c r="N4748" s="133"/>
      <c r="O4748" s="4"/>
      <c r="P4748" s="4"/>
      <c r="Q4748" s="4"/>
      <c r="R4748" s="4"/>
      <c r="S4748" s="4"/>
      <c r="T4748" s="4"/>
      <c r="U4748" s="4"/>
      <c r="V4748" s="4"/>
      <c r="W4748" s="4"/>
      <c r="X4748" s="4"/>
    </row>
    <row r="4749" spans="1:24" ht="14.25" customHeight="1">
      <c r="A4749" s="4"/>
      <c r="B4749" s="125">
        <v>46186</v>
      </c>
      <c r="C4749" s="126" t="s">
        <v>2501</v>
      </c>
      <c r="D4749" s="15" t="s">
        <v>2486</v>
      </c>
      <c r="E4749" s="10" t="str">
        <f>TRIM(VLOOKUP(D4749,TB!$B$9:$C$1500,2,FALSE))</f>
        <v>Orange Juice 1 Lt</v>
      </c>
      <c r="F4749" s="185" t="s">
        <v>2502</v>
      </c>
      <c r="G4749" s="130">
        <f t="shared" ref="G4749:G4751" si="321">2*5</f>
        <v>10</v>
      </c>
      <c r="H4749" s="10">
        <v>110000</v>
      </c>
      <c r="I4749" s="10"/>
      <c r="J4749" s="79" t="e">
        <f t="shared" si="312"/>
        <v>#VALUE!</v>
      </c>
      <c r="K4749" s="106"/>
      <c r="L4749" s="141"/>
      <c r="M4749" s="132"/>
      <c r="N4749" s="133"/>
      <c r="O4749" s="4"/>
      <c r="P4749" s="4"/>
      <c r="Q4749" s="4"/>
      <c r="R4749" s="4"/>
      <c r="S4749" s="4"/>
      <c r="T4749" s="4"/>
      <c r="U4749" s="4"/>
      <c r="V4749" s="4"/>
      <c r="W4749" s="4"/>
      <c r="X4749" s="4"/>
    </row>
    <row r="4750" spans="1:24" ht="14.25" customHeight="1">
      <c r="A4750" s="4"/>
      <c r="B4750" s="125">
        <v>46186</v>
      </c>
      <c r="C4750" s="126" t="s">
        <v>2501</v>
      </c>
      <c r="D4750" s="15" t="s">
        <v>2488</v>
      </c>
      <c r="E4750" s="10" t="str">
        <f>TRIM(VLOOKUP(D4750,TB!$B$9:$C$1500,2,FALSE))</f>
        <v>Apple Juice 1 Lt</v>
      </c>
      <c r="F4750" s="185" t="s">
        <v>2503</v>
      </c>
      <c r="G4750" s="130">
        <f t="shared" si="321"/>
        <v>10</v>
      </c>
      <c r="H4750" s="10">
        <v>110000</v>
      </c>
      <c r="I4750" s="10"/>
      <c r="J4750" s="79" t="e">
        <f t="shared" si="312"/>
        <v>#VALUE!</v>
      </c>
      <c r="K4750" s="106"/>
      <c r="L4750" s="141"/>
      <c r="M4750" s="132"/>
      <c r="N4750" s="133"/>
      <c r="O4750" s="4"/>
      <c r="P4750" s="4"/>
      <c r="Q4750" s="4"/>
      <c r="R4750" s="4"/>
      <c r="S4750" s="4"/>
      <c r="T4750" s="4"/>
      <c r="U4750" s="4"/>
      <c r="V4750" s="4"/>
      <c r="W4750" s="4"/>
      <c r="X4750" s="4"/>
    </row>
    <row r="4751" spans="1:24" ht="14.25" customHeight="1">
      <c r="A4751" s="4"/>
      <c r="B4751" s="125">
        <v>46186</v>
      </c>
      <c r="C4751" s="126" t="s">
        <v>2501</v>
      </c>
      <c r="D4751" s="15" t="s">
        <v>2492</v>
      </c>
      <c r="E4751" s="10" t="str">
        <f>TRIM(VLOOKUP(D4751,TB!$B$9:$C$1500,2,FALSE))</f>
        <v>Cranberry Juice 1 Ltr</v>
      </c>
      <c r="F4751" s="185" t="s">
        <v>2504</v>
      </c>
      <c r="G4751" s="130">
        <f t="shared" si="321"/>
        <v>10</v>
      </c>
      <c r="H4751" s="10">
        <v>200000</v>
      </c>
      <c r="I4751" s="10"/>
      <c r="J4751" s="79" t="e">
        <f t="shared" si="312"/>
        <v>#VALUE!</v>
      </c>
      <c r="K4751" s="106">
        <f>H4751/G4751</f>
        <v>20000</v>
      </c>
      <c r="L4751" s="141"/>
      <c r="M4751" s="132"/>
      <c r="N4751" s="133"/>
      <c r="O4751" s="4"/>
      <c r="P4751" s="4"/>
      <c r="Q4751" s="4"/>
      <c r="R4751" s="4"/>
      <c r="S4751" s="4"/>
      <c r="T4751" s="4"/>
      <c r="U4751" s="4"/>
      <c r="V4751" s="4"/>
      <c r="W4751" s="4"/>
      <c r="X4751" s="4"/>
    </row>
    <row r="4752" spans="1:24" ht="14.25" customHeight="1">
      <c r="A4752" s="4"/>
      <c r="B4752" s="125">
        <v>46186</v>
      </c>
      <c r="C4752" s="126" t="s">
        <v>2501</v>
      </c>
      <c r="D4752" s="15" t="s">
        <v>285</v>
      </c>
      <c r="E4752" s="10" t="str">
        <f>TRIM(VLOOKUP(D4752,TB!$B$9:$C$1500,2,FALSE))</f>
        <v>Misc Cash Purchase</v>
      </c>
      <c r="F4752" s="185" t="s">
        <v>2505</v>
      </c>
      <c r="G4752" s="130"/>
      <c r="H4752" s="10"/>
      <c r="I4752" s="10">
        <v>420000</v>
      </c>
      <c r="J4752" s="79" t="e">
        <f t="shared" si="312"/>
        <v>#VALUE!</v>
      </c>
      <c r="K4752" s="106"/>
      <c r="L4752" s="141"/>
      <c r="M4752" s="132"/>
      <c r="N4752" s="133"/>
      <c r="O4752" s="4"/>
      <c r="P4752" s="4"/>
      <c r="Q4752" s="4"/>
      <c r="R4752" s="4"/>
      <c r="S4752" s="4"/>
      <c r="T4752" s="4"/>
      <c r="U4752" s="4"/>
      <c r="V4752" s="4"/>
      <c r="W4752" s="4"/>
      <c r="X4752" s="4"/>
    </row>
    <row r="4753" spans="1:24" ht="14.25" customHeight="1">
      <c r="A4753" s="4"/>
      <c r="B4753" s="125"/>
      <c r="C4753" s="126"/>
      <c r="D4753" s="68"/>
      <c r="E4753" s="10" t="e">
        <f>TRIM(VLOOKUP(D4753,TB!$B$9:$C$1500,2,FALSE))</f>
        <v>#N/A</v>
      </c>
      <c r="F4753" s="142"/>
      <c r="G4753" s="130"/>
      <c r="H4753" s="10"/>
      <c r="I4753" s="10"/>
      <c r="J4753" s="79" t="e">
        <f t="shared" si="312"/>
        <v>#VALUE!</v>
      </c>
      <c r="K4753" s="106"/>
      <c r="L4753" s="141"/>
      <c r="M4753" s="132"/>
      <c r="N4753" s="133"/>
      <c r="O4753" s="4"/>
      <c r="P4753" s="4"/>
      <c r="Q4753" s="4"/>
      <c r="R4753" s="4"/>
      <c r="S4753" s="4"/>
      <c r="T4753" s="4"/>
      <c r="U4753" s="4"/>
      <c r="V4753" s="4"/>
      <c r="W4753" s="4"/>
      <c r="X4753" s="4"/>
    </row>
    <row r="4754" spans="1:24" ht="14.25" customHeight="1">
      <c r="A4754" s="4"/>
      <c r="B4754" s="125">
        <v>46196</v>
      </c>
      <c r="C4754" s="126" t="s">
        <v>2506</v>
      </c>
      <c r="D4754" s="15" t="s">
        <v>2486</v>
      </c>
      <c r="E4754" s="10" t="str">
        <f>TRIM(VLOOKUP(D4754,TB!$B$9:$C$1500,2,FALSE))</f>
        <v>Orange Juice 1 Lt</v>
      </c>
      <c r="F4754" s="185" t="s">
        <v>2507</v>
      </c>
      <c r="G4754" s="130">
        <f>8*5</f>
        <v>40</v>
      </c>
      <c r="H4754" s="10">
        <v>440000</v>
      </c>
      <c r="I4754" s="10"/>
      <c r="J4754" s="79" t="e">
        <f t="shared" si="312"/>
        <v>#VALUE!</v>
      </c>
      <c r="K4754" s="106"/>
      <c r="L4754" s="141"/>
      <c r="M4754" s="132"/>
      <c r="N4754" s="133"/>
      <c r="O4754" s="4"/>
      <c r="P4754" s="4"/>
      <c r="Q4754" s="4"/>
      <c r="R4754" s="4"/>
      <c r="S4754" s="4"/>
      <c r="T4754" s="4"/>
      <c r="U4754" s="4"/>
      <c r="V4754" s="4"/>
      <c r="W4754" s="4"/>
      <c r="X4754" s="4"/>
    </row>
    <row r="4755" spans="1:24" ht="14.25" customHeight="1">
      <c r="A4755" s="4"/>
      <c r="B4755" s="125">
        <v>46196</v>
      </c>
      <c r="C4755" s="126" t="s">
        <v>2506</v>
      </c>
      <c r="D4755" s="15" t="s">
        <v>2490</v>
      </c>
      <c r="E4755" s="10" t="str">
        <f>TRIM(VLOOKUP(D4755,TB!$B$9:$C$1500,2,FALSE))</f>
        <v>Pineapple Juice 1 Ltr</v>
      </c>
      <c r="F4755" s="185" t="s">
        <v>2508</v>
      </c>
      <c r="G4755" s="130">
        <f t="shared" ref="G4755:G4756" si="322">2*5</f>
        <v>10</v>
      </c>
      <c r="H4755" s="10">
        <v>110000</v>
      </c>
      <c r="I4755" s="10"/>
      <c r="J4755" s="79" t="e">
        <f t="shared" si="312"/>
        <v>#VALUE!</v>
      </c>
      <c r="K4755" s="106"/>
      <c r="L4755" s="141"/>
      <c r="M4755" s="132"/>
      <c r="N4755" s="133"/>
      <c r="O4755" s="4"/>
      <c r="P4755" s="4"/>
      <c r="Q4755" s="4"/>
      <c r="R4755" s="4"/>
      <c r="S4755" s="4"/>
      <c r="T4755" s="4"/>
      <c r="U4755" s="4"/>
      <c r="V4755" s="4"/>
      <c r="W4755" s="4"/>
      <c r="X4755" s="4"/>
    </row>
    <row r="4756" spans="1:24" ht="14.25" customHeight="1">
      <c r="A4756" s="4"/>
      <c r="B4756" s="125">
        <v>46196</v>
      </c>
      <c r="C4756" s="126" t="s">
        <v>2506</v>
      </c>
      <c r="D4756" s="15" t="s">
        <v>2488</v>
      </c>
      <c r="E4756" s="10" t="str">
        <f>TRIM(VLOOKUP(D4756,TB!$B$9:$C$1500,2,FALSE))</f>
        <v>Apple Juice 1 Lt</v>
      </c>
      <c r="F4756" s="185" t="s">
        <v>2509</v>
      </c>
      <c r="G4756" s="130">
        <f t="shared" si="322"/>
        <v>10</v>
      </c>
      <c r="H4756" s="10">
        <v>110000</v>
      </c>
      <c r="I4756" s="10"/>
      <c r="J4756" s="79" t="e">
        <f t="shared" si="312"/>
        <v>#VALUE!</v>
      </c>
      <c r="K4756" s="106"/>
      <c r="L4756" s="141"/>
      <c r="M4756" s="132"/>
      <c r="N4756" s="133"/>
      <c r="O4756" s="4"/>
      <c r="P4756" s="4"/>
      <c r="Q4756" s="4"/>
      <c r="R4756" s="4"/>
      <c r="S4756" s="4"/>
      <c r="T4756" s="4"/>
      <c r="U4756" s="4"/>
      <c r="V4756" s="4"/>
      <c r="W4756" s="4"/>
      <c r="X4756" s="4"/>
    </row>
    <row r="4757" spans="1:24" ht="14.25" customHeight="1">
      <c r="A4757" s="4"/>
      <c r="B4757" s="125">
        <v>46196</v>
      </c>
      <c r="C4757" s="126" t="s">
        <v>2506</v>
      </c>
      <c r="D4757" s="15" t="s">
        <v>2510</v>
      </c>
      <c r="E4757" s="10" t="str">
        <f>TRIM(VLOOKUP(D4757,TB!$B$9:$C$1500,2,FALSE))</f>
        <v>Juice Lime</v>
      </c>
      <c r="F4757" s="185" t="s">
        <v>2511</v>
      </c>
      <c r="G4757" s="130">
        <v>5</v>
      </c>
      <c r="H4757" s="10">
        <v>60000</v>
      </c>
      <c r="I4757" s="10"/>
      <c r="J4757" s="79" t="e">
        <f t="shared" si="312"/>
        <v>#VALUE!</v>
      </c>
      <c r="K4757" s="106"/>
      <c r="L4757" s="141"/>
      <c r="M4757" s="132"/>
      <c r="N4757" s="133"/>
      <c r="O4757" s="4"/>
      <c r="P4757" s="4"/>
      <c r="Q4757" s="4"/>
      <c r="R4757" s="4"/>
      <c r="S4757" s="4"/>
      <c r="T4757" s="4"/>
      <c r="U4757" s="4"/>
      <c r="V4757" s="4"/>
      <c r="W4757" s="4"/>
      <c r="X4757" s="4"/>
    </row>
    <row r="4758" spans="1:24" ht="14.25" customHeight="1">
      <c r="A4758" s="4"/>
      <c r="B4758" s="125">
        <v>46196</v>
      </c>
      <c r="C4758" s="126" t="s">
        <v>2506</v>
      </c>
      <c r="D4758" s="15" t="s">
        <v>2492</v>
      </c>
      <c r="E4758" s="10" t="str">
        <f>TRIM(VLOOKUP(D4758,TB!$B$9:$C$1500,2,FALSE))</f>
        <v>Cranberry Juice 1 Ltr</v>
      </c>
      <c r="F4758" s="185" t="s">
        <v>2512</v>
      </c>
      <c r="G4758" s="130">
        <f>3*5</f>
        <v>15</v>
      </c>
      <c r="H4758" s="10">
        <v>300000</v>
      </c>
      <c r="I4758" s="10"/>
      <c r="J4758" s="79" t="e">
        <f t="shared" si="312"/>
        <v>#VALUE!</v>
      </c>
      <c r="K4758" s="106">
        <f>H4758/G4758</f>
        <v>20000</v>
      </c>
      <c r="L4758" s="141"/>
      <c r="M4758" s="132"/>
      <c r="N4758" s="133"/>
      <c r="O4758" s="4"/>
      <c r="P4758" s="4"/>
      <c r="Q4758" s="4"/>
      <c r="R4758" s="4"/>
      <c r="S4758" s="4"/>
      <c r="T4758" s="4"/>
      <c r="U4758" s="4"/>
      <c r="V4758" s="4"/>
      <c r="W4758" s="4"/>
      <c r="X4758" s="4"/>
    </row>
    <row r="4759" spans="1:24" ht="14.25" customHeight="1">
      <c r="A4759" s="4"/>
      <c r="B4759" s="125">
        <v>46196</v>
      </c>
      <c r="C4759" s="126" t="s">
        <v>2506</v>
      </c>
      <c r="D4759" s="15" t="s">
        <v>285</v>
      </c>
      <c r="E4759" s="10" t="str">
        <f>TRIM(VLOOKUP(D4759,TB!$B$9:$C$1500,2,FALSE))</f>
        <v>Misc Cash Purchase</v>
      </c>
      <c r="F4759" s="185" t="s">
        <v>2513</v>
      </c>
      <c r="G4759" s="130"/>
      <c r="H4759" s="10"/>
      <c r="I4759" s="10">
        <v>1020000</v>
      </c>
      <c r="J4759" s="79" t="e">
        <f t="shared" si="312"/>
        <v>#VALUE!</v>
      </c>
      <c r="K4759" s="106"/>
      <c r="L4759" s="141"/>
      <c r="M4759" s="132"/>
      <c r="N4759" s="133"/>
      <c r="O4759" s="4"/>
      <c r="P4759" s="4"/>
      <c r="Q4759" s="4"/>
      <c r="R4759" s="4"/>
      <c r="S4759" s="4"/>
      <c r="T4759" s="4"/>
      <c r="U4759" s="4"/>
      <c r="V4759" s="4"/>
      <c r="W4759" s="4"/>
      <c r="X4759" s="4"/>
    </row>
    <row r="4760" spans="1:24" ht="14.25" customHeight="1">
      <c r="A4760" s="4"/>
      <c r="B4760" s="125"/>
      <c r="C4760" s="126"/>
      <c r="D4760" s="15"/>
      <c r="E4760" s="10" t="e">
        <f>TRIM(VLOOKUP(D4760,TB!$B$9:$C$1500,2,FALSE))</f>
        <v>#N/A</v>
      </c>
      <c r="F4760" s="185"/>
      <c r="G4760" s="130"/>
      <c r="H4760" s="10"/>
      <c r="I4760" s="10"/>
      <c r="J4760" s="79" t="e">
        <f t="shared" si="312"/>
        <v>#VALUE!</v>
      </c>
      <c r="K4760" s="106"/>
      <c r="L4760" s="141"/>
      <c r="M4760" s="132"/>
      <c r="N4760" s="133"/>
      <c r="O4760" s="4"/>
      <c r="P4760" s="4"/>
      <c r="Q4760" s="4"/>
      <c r="R4760" s="4"/>
      <c r="S4760" s="4"/>
      <c r="T4760" s="4"/>
      <c r="U4760" s="4"/>
      <c r="V4760" s="4"/>
      <c r="W4760" s="4"/>
      <c r="X4760" s="4"/>
    </row>
    <row r="4761" spans="1:24" ht="14.25" customHeight="1">
      <c r="A4761" s="4"/>
      <c r="B4761" s="125">
        <v>46196</v>
      </c>
      <c r="C4761" s="126" t="s">
        <v>2514</v>
      </c>
      <c r="D4761" s="15" t="s">
        <v>2486</v>
      </c>
      <c r="E4761" s="10" t="str">
        <f>TRIM(VLOOKUP(D4761,TB!$B$9:$C$1500,2,FALSE))</f>
        <v>Orange Juice 1 Lt</v>
      </c>
      <c r="F4761" s="142" t="s">
        <v>2515</v>
      </c>
      <c r="G4761" s="130">
        <f>5*5</f>
        <v>25</v>
      </c>
      <c r="H4761" s="10">
        <v>275000</v>
      </c>
      <c r="I4761" s="10"/>
      <c r="J4761" s="79" t="e">
        <f t="shared" si="312"/>
        <v>#VALUE!</v>
      </c>
      <c r="K4761" s="106"/>
      <c r="L4761" s="141"/>
      <c r="M4761" s="132"/>
      <c r="N4761" s="133"/>
      <c r="O4761" s="4"/>
      <c r="P4761" s="4"/>
      <c r="Q4761" s="4"/>
      <c r="R4761" s="4"/>
      <c r="S4761" s="4"/>
      <c r="T4761" s="4"/>
      <c r="U4761" s="4"/>
      <c r="V4761" s="4"/>
      <c r="W4761" s="4"/>
      <c r="X4761" s="4"/>
    </row>
    <row r="4762" spans="1:24" ht="14.25" customHeight="1">
      <c r="A4762" s="4"/>
      <c r="B4762" s="125">
        <v>46196</v>
      </c>
      <c r="C4762" s="126" t="s">
        <v>2514</v>
      </c>
      <c r="D4762" s="15" t="s">
        <v>2490</v>
      </c>
      <c r="E4762" s="10" t="str">
        <f>TRIM(VLOOKUP(D4762,TB!$B$9:$C$1500,2,FALSE))</f>
        <v>Pineapple Juice 1 Ltr</v>
      </c>
      <c r="F4762" s="142" t="s">
        <v>2516</v>
      </c>
      <c r="G4762" s="130">
        <f>2*5</f>
        <v>10</v>
      </c>
      <c r="H4762" s="10">
        <v>110000</v>
      </c>
      <c r="I4762" s="10"/>
      <c r="J4762" s="79" t="e">
        <f t="shared" si="312"/>
        <v>#VALUE!</v>
      </c>
      <c r="K4762" s="106"/>
      <c r="L4762" s="141"/>
      <c r="M4762" s="132"/>
      <c r="N4762" s="133"/>
      <c r="O4762" s="4"/>
      <c r="P4762" s="4"/>
      <c r="Q4762" s="4"/>
      <c r="R4762" s="4"/>
      <c r="S4762" s="4"/>
      <c r="T4762" s="4"/>
      <c r="U4762" s="4"/>
      <c r="V4762" s="4"/>
      <c r="W4762" s="4"/>
      <c r="X4762" s="4"/>
    </row>
    <row r="4763" spans="1:24" ht="14.25" customHeight="1">
      <c r="A4763" s="4"/>
      <c r="B4763" s="125">
        <v>46196</v>
      </c>
      <c r="C4763" s="126" t="s">
        <v>2514</v>
      </c>
      <c r="D4763" s="15" t="s">
        <v>2492</v>
      </c>
      <c r="E4763" s="10" t="str">
        <f>TRIM(VLOOKUP(D4763,TB!$B$9:$C$1500,2,FALSE))</f>
        <v>Cranberry Juice 1 Ltr</v>
      </c>
      <c r="F4763" s="142" t="s">
        <v>2517</v>
      </c>
      <c r="G4763" s="130">
        <f>5*5</f>
        <v>25</v>
      </c>
      <c r="H4763" s="10">
        <v>500000</v>
      </c>
      <c r="I4763" s="10"/>
      <c r="J4763" s="79" t="e">
        <f t="shared" si="312"/>
        <v>#VALUE!</v>
      </c>
      <c r="K4763" s="106">
        <f>H4763/G4763</f>
        <v>20000</v>
      </c>
      <c r="L4763" s="141"/>
      <c r="M4763" s="132"/>
      <c r="N4763" s="133"/>
      <c r="O4763" s="4"/>
      <c r="P4763" s="4"/>
      <c r="Q4763" s="4"/>
      <c r="R4763" s="4"/>
      <c r="S4763" s="4"/>
      <c r="T4763" s="4"/>
      <c r="U4763" s="4"/>
      <c r="V4763" s="4"/>
      <c r="W4763" s="4"/>
      <c r="X4763" s="4"/>
    </row>
    <row r="4764" spans="1:24" ht="14.25" customHeight="1">
      <c r="A4764" s="4"/>
      <c r="B4764" s="125">
        <v>46196</v>
      </c>
      <c r="C4764" s="126" t="s">
        <v>2514</v>
      </c>
      <c r="D4764" s="15" t="s">
        <v>285</v>
      </c>
      <c r="E4764" s="10" t="str">
        <f>TRIM(VLOOKUP(D4764,TB!$B$9:$C$1500,2,FALSE))</f>
        <v>Misc Cash Purchase</v>
      </c>
      <c r="F4764" s="142" t="s">
        <v>2518</v>
      </c>
      <c r="G4764" s="130"/>
      <c r="H4764" s="10"/>
      <c r="I4764" s="10">
        <v>885000</v>
      </c>
      <c r="J4764" s="79" t="e">
        <f t="shared" si="312"/>
        <v>#VALUE!</v>
      </c>
      <c r="K4764" s="106"/>
      <c r="L4764" s="141"/>
      <c r="M4764" s="132"/>
      <c r="N4764" s="133"/>
      <c r="O4764" s="4"/>
      <c r="P4764" s="4"/>
      <c r="Q4764" s="4"/>
      <c r="R4764" s="4"/>
      <c r="S4764" s="4"/>
      <c r="T4764" s="4"/>
      <c r="U4764" s="4"/>
      <c r="V4764" s="4"/>
      <c r="W4764" s="4"/>
      <c r="X4764" s="4"/>
    </row>
    <row r="4765" spans="1:24" ht="14.25" customHeight="1">
      <c r="A4765" s="4"/>
      <c r="B4765" s="125"/>
      <c r="C4765" s="126"/>
      <c r="D4765" s="15"/>
      <c r="E4765" s="10" t="e">
        <f>TRIM(VLOOKUP(D4765,TB!$B$9:$C$1500,2,FALSE))</f>
        <v>#N/A</v>
      </c>
      <c r="F4765" s="185"/>
      <c r="G4765" s="130"/>
      <c r="H4765" s="10"/>
      <c r="I4765" s="10"/>
      <c r="J4765" s="79" t="e">
        <f t="shared" si="312"/>
        <v>#VALUE!</v>
      </c>
      <c r="K4765" s="106"/>
      <c r="L4765" s="141"/>
      <c r="M4765" s="132"/>
      <c r="N4765" s="133"/>
      <c r="O4765" s="4"/>
      <c r="P4765" s="4"/>
      <c r="Q4765" s="4"/>
      <c r="R4765" s="4"/>
      <c r="S4765" s="4"/>
      <c r="T4765" s="4"/>
      <c r="U4765" s="4"/>
      <c r="V4765" s="4"/>
      <c r="W4765" s="4"/>
      <c r="X4765" s="4"/>
    </row>
    <row r="4766" spans="1:24" ht="14.25" customHeight="1">
      <c r="A4766" s="4"/>
      <c r="B4766" s="125">
        <v>46176</v>
      </c>
      <c r="C4766" s="126" t="s">
        <v>2519</v>
      </c>
      <c r="D4766" s="15" t="s">
        <v>2520</v>
      </c>
      <c r="E4766" s="10" t="str">
        <f>TRIM(VLOOKUP(D4766,TB!$B$9:$C$1500,2,FALSE))</f>
        <v>Tonic Water</v>
      </c>
      <c r="F4766" s="185" t="s">
        <v>2521</v>
      </c>
      <c r="G4766" s="130">
        <f>7*24</f>
        <v>168</v>
      </c>
      <c r="H4766" s="10">
        <v>840000</v>
      </c>
      <c r="I4766" s="10"/>
      <c r="J4766" s="79" t="e">
        <f t="shared" si="312"/>
        <v>#VALUE!</v>
      </c>
      <c r="K4766" s="106"/>
      <c r="L4766" s="141"/>
      <c r="M4766" s="132"/>
      <c r="N4766" s="133"/>
      <c r="O4766" s="4"/>
      <c r="P4766" s="4"/>
      <c r="Q4766" s="4"/>
      <c r="R4766" s="4"/>
      <c r="S4766" s="4"/>
      <c r="T4766" s="4"/>
      <c r="U4766" s="4"/>
      <c r="V4766" s="4"/>
      <c r="W4766" s="4"/>
      <c r="X4766" s="4"/>
    </row>
    <row r="4767" spans="1:24" ht="14.25" customHeight="1">
      <c r="A4767" s="4"/>
      <c r="B4767" s="125">
        <v>46176</v>
      </c>
      <c r="C4767" s="126" t="s">
        <v>2519</v>
      </c>
      <c r="D4767" s="68" t="s">
        <v>2522</v>
      </c>
      <c r="E4767" s="10" t="str">
        <f>TRIM(VLOOKUP(D4767,TB!$B$9:$C$1500,2,FALSE))</f>
        <v>Coca Cola Can</v>
      </c>
      <c r="F4767" s="185" t="s">
        <v>2523</v>
      </c>
      <c r="G4767" s="130">
        <f>8*24</f>
        <v>192</v>
      </c>
      <c r="H4767" s="10">
        <v>1064000</v>
      </c>
      <c r="I4767" s="10"/>
      <c r="J4767" s="79" t="e">
        <f t="shared" si="312"/>
        <v>#VALUE!</v>
      </c>
      <c r="K4767" s="106"/>
      <c r="L4767" s="141"/>
      <c r="M4767" s="132"/>
      <c r="N4767" s="133"/>
      <c r="O4767" s="4"/>
      <c r="P4767" s="4"/>
      <c r="Q4767" s="4"/>
      <c r="R4767" s="4"/>
      <c r="S4767" s="4"/>
      <c r="T4767" s="4"/>
      <c r="U4767" s="4"/>
      <c r="V4767" s="4"/>
      <c r="W4767" s="4"/>
      <c r="X4767" s="4"/>
    </row>
    <row r="4768" spans="1:24" ht="14.25" customHeight="1">
      <c r="A4768" s="4"/>
      <c r="B4768" s="125">
        <v>46176</v>
      </c>
      <c r="C4768" s="126" t="s">
        <v>2519</v>
      </c>
      <c r="D4768" s="68" t="s">
        <v>2524</v>
      </c>
      <c r="E4768" s="10" t="str">
        <f>TRIM(VLOOKUP(D4768,TB!$B$9:$C$1500,2,FALSE))</f>
        <v>Zero Coke</v>
      </c>
      <c r="F4768" s="185" t="s">
        <v>2525</v>
      </c>
      <c r="G4768" s="130">
        <f>2*24</f>
        <v>48</v>
      </c>
      <c r="H4768" s="10">
        <v>266000</v>
      </c>
      <c r="I4768" s="10"/>
      <c r="J4768" s="79" t="e">
        <f t="shared" si="312"/>
        <v>#VALUE!</v>
      </c>
      <c r="K4768" s="106"/>
      <c r="L4768" s="141"/>
      <c r="M4768" s="132"/>
      <c r="N4768" s="133"/>
      <c r="O4768" s="4"/>
      <c r="P4768" s="4"/>
      <c r="Q4768" s="4"/>
      <c r="R4768" s="4"/>
      <c r="S4768" s="4"/>
      <c r="T4768" s="4"/>
      <c r="U4768" s="4"/>
      <c r="V4768" s="4"/>
      <c r="W4768" s="4"/>
      <c r="X4768" s="4"/>
    </row>
    <row r="4769" spans="1:24" ht="14.25" customHeight="1">
      <c r="A4769" s="4"/>
      <c r="B4769" s="125">
        <v>46176</v>
      </c>
      <c r="C4769" s="126" t="s">
        <v>2519</v>
      </c>
      <c r="D4769" s="15" t="s">
        <v>2526</v>
      </c>
      <c r="E4769" s="10" t="str">
        <f>TRIM(VLOOKUP(D4769,TB!$B$9:$C$1500,2,FALSE))</f>
        <v>Sprite Can</v>
      </c>
      <c r="F4769" s="185" t="s">
        <v>2527</v>
      </c>
      <c r="G4769" s="130">
        <f>4*24</f>
        <v>96</v>
      </c>
      <c r="H4769" s="10">
        <v>532000</v>
      </c>
      <c r="I4769" s="10"/>
      <c r="J4769" s="79" t="e">
        <f t="shared" si="312"/>
        <v>#VALUE!</v>
      </c>
      <c r="K4769" s="106"/>
      <c r="L4769" s="141"/>
      <c r="M4769" s="132"/>
      <c r="N4769" s="133"/>
      <c r="O4769" s="4"/>
      <c r="P4769" s="4"/>
      <c r="Q4769" s="4"/>
      <c r="R4769" s="4"/>
      <c r="S4769" s="4"/>
      <c r="T4769" s="4"/>
      <c r="U4769" s="4"/>
      <c r="V4769" s="4"/>
      <c r="W4769" s="4"/>
      <c r="X4769" s="4"/>
    </row>
    <row r="4770" spans="1:24" ht="14.25" customHeight="1">
      <c r="A4770" s="4"/>
      <c r="B4770" s="125">
        <v>46176</v>
      </c>
      <c r="C4770" s="126" t="s">
        <v>2519</v>
      </c>
      <c r="D4770" s="15" t="s">
        <v>2528</v>
      </c>
      <c r="E4770" s="10" t="str">
        <f>TRIM(VLOOKUP(D4770,TB!$B$9:$C$1500,2,FALSE))</f>
        <v>Polaris Can</v>
      </c>
      <c r="F4770" s="185" t="s">
        <v>2529</v>
      </c>
      <c r="G4770" s="130">
        <f>3*24</f>
        <v>72</v>
      </c>
      <c r="H4770" s="10">
        <v>345000</v>
      </c>
      <c r="I4770" s="10"/>
      <c r="J4770" s="79" t="e">
        <f t="shared" si="312"/>
        <v>#VALUE!</v>
      </c>
      <c r="K4770" s="106"/>
      <c r="L4770" s="141"/>
      <c r="M4770" s="132"/>
      <c r="N4770" s="133"/>
      <c r="O4770" s="4"/>
      <c r="P4770" s="4"/>
      <c r="Q4770" s="4"/>
      <c r="R4770" s="4"/>
      <c r="S4770" s="4"/>
      <c r="T4770" s="4"/>
      <c r="U4770" s="4"/>
      <c r="V4770" s="4"/>
      <c r="W4770" s="4"/>
      <c r="X4770" s="4"/>
    </row>
    <row r="4771" spans="1:24" ht="14.25" customHeight="1">
      <c r="A4771" s="4"/>
      <c r="B4771" s="125">
        <v>46176</v>
      </c>
      <c r="C4771" s="126" t="s">
        <v>2519</v>
      </c>
      <c r="D4771" s="15" t="s">
        <v>285</v>
      </c>
      <c r="E4771" s="10" t="str">
        <f>TRIM(VLOOKUP(D4771,TB!$B$9:$C$1500,2,FALSE))</f>
        <v>Misc Cash Purchase</v>
      </c>
      <c r="F4771" s="185" t="s">
        <v>2530</v>
      </c>
      <c r="G4771" s="130"/>
      <c r="H4771" s="10"/>
      <c r="I4771" s="10">
        <v>3047000</v>
      </c>
      <c r="J4771" s="79" t="e">
        <f t="shared" si="312"/>
        <v>#VALUE!</v>
      </c>
      <c r="K4771" s="106"/>
      <c r="L4771" s="141"/>
      <c r="M4771" s="132"/>
      <c r="N4771" s="133"/>
      <c r="O4771" s="4"/>
      <c r="P4771" s="4"/>
      <c r="Q4771" s="4"/>
      <c r="R4771" s="4"/>
      <c r="S4771" s="4"/>
      <c r="T4771" s="4"/>
      <c r="U4771" s="4"/>
      <c r="V4771" s="4"/>
      <c r="W4771" s="4"/>
      <c r="X4771" s="4"/>
    </row>
    <row r="4772" spans="1:24" ht="14.25" customHeight="1">
      <c r="A4772" s="4"/>
      <c r="B4772" s="125"/>
      <c r="C4772" s="126"/>
      <c r="D4772" s="68"/>
      <c r="E4772" s="10" t="e">
        <f>TRIM(VLOOKUP(D4772,TB!$B$9:$C$1500,2,FALSE))</f>
        <v>#N/A</v>
      </c>
      <c r="F4772" s="142"/>
      <c r="G4772" s="130"/>
      <c r="H4772" s="10"/>
      <c r="I4772" s="10"/>
      <c r="J4772" s="79" t="e">
        <f t="shared" si="312"/>
        <v>#VALUE!</v>
      </c>
      <c r="K4772" s="106"/>
      <c r="L4772" s="141"/>
      <c r="M4772" s="132"/>
      <c r="N4772" s="133"/>
      <c r="O4772" s="4"/>
      <c r="P4772" s="4"/>
      <c r="Q4772" s="4"/>
      <c r="R4772" s="4"/>
      <c r="S4772" s="4"/>
      <c r="T4772" s="4"/>
      <c r="U4772" s="4"/>
      <c r="V4772" s="4"/>
      <c r="W4772" s="4"/>
      <c r="X4772" s="4"/>
    </row>
    <row r="4773" spans="1:24" ht="14.25" customHeight="1">
      <c r="A4773" s="4"/>
      <c r="B4773" s="125">
        <v>46182</v>
      </c>
      <c r="C4773" s="126" t="s">
        <v>2531</v>
      </c>
      <c r="D4773" s="15" t="s">
        <v>2520</v>
      </c>
      <c r="E4773" s="10" t="str">
        <f>TRIM(VLOOKUP(D4773,TB!$B$9:$C$1500,2,FALSE))</f>
        <v>Tonic Water</v>
      </c>
      <c r="F4773" s="185" t="s">
        <v>2532</v>
      </c>
      <c r="G4773" s="130">
        <f t="shared" ref="G4773:G4774" si="323">6*24</f>
        <v>144</v>
      </c>
      <c r="H4773" s="10">
        <v>720000</v>
      </c>
      <c r="I4773" s="10"/>
      <c r="J4773" s="79" t="e">
        <f t="shared" si="312"/>
        <v>#VALUE!</v>
      </c>
      <c r="K4773" s="106"/>
      <c r="L4773" s="141"/>
      <c r="M4773" s="132"/>
      <c r="N4773" s="133"/>
      <c r="O4773" s="4"/>
      <c r="P4773" s="4"/>
      <c r="Q4773" s="4"/>
      <c r="R4773" s="4"/>
      <c r="S4773" s="4"/>
      <c r="T4773" s="4"/>
      <c r="U4773" s="4"/>
      <c r="V4773" s="4"/>
      <c r="W4773" s="4"/>
      <c r="X4773" s="4"/>
    </row>
    <row r="4774" spans="1:24" ht="14.25" customHeight="1">
      <c r="A4774" s="4"/>
      <c r="B4774" s="125">
        <v>46182</v>
      </c>
      <c r="C4774" s="126" t="s">
        <v>2531</v>
      </c>
      <c r="D4774" s="68" t="s">
        <v>2522</v>
      </c>
      <c r="E4774" s="10" t="str">
        <f>TRIM(VLOOKUP(D4774,TB!$B$9:$C$1500,2,FALSE))</f>
        <v>Coca Cola Can</v>
      </c>
      <c r="F4774" s="185" t="s">
        <v>2533</v>
      </c>
      <c r="G4774" s="130">
        <f t="shared" si="323"/>
        <v>144</v>
      </c>
      <c r="H4774" s="10">
        <v>798000</v>
      </c>
      <c r="I4774" s="10"/>
      <c r="J4774" s="79" t="e">
        <f t="shared" si="312"/>
        <v>#VALUE!</v>
      </c>
      <c r="K4774" s="106"/>
      <c r="L4774" s="141"/>
      <c r="M4774" s="132"/>
      <c r="N4774" s="133"/>
      <c r="O4774" s="4"/>
      <c r="P4774" s="4"/>
      <c r="Q4774" s="4"/>
      <c r="R4774" s="4"/>
      <c r="S4774" s="4"/>
      <c r="T4774" s="4"/>
      <c r="U4774" s="4"/>
      <c r="V4774" s="4"/>
      <c r="W4774" s="4"/>
      <c r="X4774" s="4"/>
    </row>
    <row r="4775" spans="1:24" ht="14.25" customHeight="1">
      <c r="A4775" s="4"/>
      <c r="B4775" s="125">
        <v>46182</v>
      </c>
      <c r="C4775" s="126" t="s">
        <v>2531</v>
      </c>
      <c r="D4775" s="15" t="s">
        <v>2534</v>
      </c>
      <c r="E4775" s="10" t="str">
        <f>TRIM(VLOOKUP(D4775,TB!$B$9:$C$1500,2,FALSE))</f>
        <v>Ginger Ale</v>
      </c>
      <c r="F4775" s="185" t="s">
        <v>2535</v>
      </c>
      <c r="G4775" s="130">
        <f>2*24</f>
        <v>48</v>
      </c>
      <c r="H4775" s="10">
        <v>240000</v>
      </c>
      <c r="I4775" s="10"/>
      <c r="J4775" s="79" t="e">
        <f t="shared" si="312"/>
        <v>#VALUE!</v>
      </c>
      <c r="K4775" s="106"/>
      <c r="L4775" s="141"/>
      <c r="M4775" s="132"/>
      <c r="N4775" s="133"/>
      <c r="O4775" s="4"/>
      <c r="P4775" s="4"/>
      <c r="Q4775" s="4"/>
      <c r="R4775" s="4"/>
      <c r="S4775" s="4"/>
      <c r="T4775" s="4"/>
      <c r="U4775" s="4"/>
      <c r="V4775" s="4"/>
      <c r="W4775" s="4"/>
      <c r="X4775" s="4"/>
    </row>
    <row r="4776" spans="1:24" ht="14.25" customHeight="1">
      <c r="A4776" s="4"/>
      <c r="B4776" s="125">
        <v>46182</v>
      </c>
      <c r="C4776" s="126" t="s">
        <v>2531</v>
      </c>
      <c r="D4776" s="15" t="s">
        <v>2528</v>
      </c>
      <c r="E4776" s="10" t="str">
        <f>TRIM(VLOOKUP(D4776,TB!$B$9:$C$1500,2,FALSE))</f>
        <v>Polaris Can</v>
      </c>
      <c r="F4776" s="185" t="s">
        <v>2536</v>
      </c>
      <c r="G4776" s="130">
        <f>3*24</f>
        <v>72</v>
      </c>
      <c r="H4776" s="10">
        <v>345000</v>
      </c>
      <c r="I4776" s="10"/>
      <c r="J4776" s="79" t="e">
        <f t="shared" si="312"/>
        <v>#VALUE!</v>
      </c>
      <c r="K4776" s="106"/>
      <c r="L4776" s="141"/>
      <c r="M4776" s="132"/>
      <c r="N4776" s="133"/>
      <c r="O4776" s="4"/>
      <c r="P4776" s="4"/>
      <c r="Q4776" s="4"/>
      <c r="R4776" s="4"/>
      <c r="S4776" s="4"/>
      <c r="T4776" s="4"/>
      <c r="U4776" s="4"/>
      <c r="V4776" s="4"/>
      <c r="W4776" s="4"/>
      <c r="X4776" s="4"/>
    </row>
    <row r="4777" spans="1:24" ht="14.25" customHeight="1">
      <c r="A4777" s="4"/>
      <c r="B4777" s="125">
        <v>46182</v>
      </c>
      <c r="C4777" s="126" t="s">
        <v>2531</v>
      </c>
      <c r="D4777" s="15" t="s">
        <v>285</v>
      </c>
      <c r="E4777" s="10" t="str">
        <f>TRIM(VLOOKUP(D4777,TB!$B$9:$C$1500,2,FALSE))</f>
        <v>Misc Cash Purchase</v>
      </c>
      <c r="F4777" s="185" t="s">
        <v>2537</v>
      </c>
      <c r="G4777" s="130"/>
      <c r="H4777" s="10"/>
      <c r="I4777" s="10">
        <v>2103000</v>
      </c>
      <c r="J4777" s="79" t="e">
        <f t="shared" si="312"/>
        <v>#VALUE!</v>
      </c>
      <c r="K4777" s="106"/>
      <c r="L4777" s="141"/>
      <c r="M4777" s="132"/>
      <c r="N4777" s="133"/>
      <c r="O4777" s="4"/>
      <c r="P4777" s="4"/>
      <c r="Q4777" s="4"/>
      <c r="R4777" s="4"/>
      <c r="S4777" s="4"/>
      <c r="T4777" s="4"/>
      <c r="U4777" s="4"/>
      <c r="V4777" s="4"/>
      <c r="W4777" s="4"/>
      <c r="X4777" s="4"/>
    </row>
    <row r="4778" spans="1:24" ht="14.25" customHeight="1">
      <c r="A4778" s="4"/>
      <c r="B4778" s="125"/>
      <c r="C4778" s="126"/>
      <c r="D4778" s="68"/>
      <c r="E4778" s="10" t="e">
        <f>TRIM(VLOOKUP(D4778,TB!$B$9:$C$1500,2,FALSE))</f>
        <v>#N/A</v>
      </c>
      <c r="F4778" s="142"/>
      <c r="G4778" s="130"/>
      <c r="H4778" s="10"/>
      <c r="I4778" s="10"/>
      <c r="J4778" s="79" t="e">
        <f t="shared" si="312"/>
        <v>#VALUE!</v>
      </c>
      <c r="K4778" s="106"/>
      <c r="L4778" s="141"/>
      <c r="M4778" s="132"/>
      <c r="N4778" s="133"/>
      <c r="O4778" s="4"/>
      <c r="P4778" s="4"/>
      <c r="Q4778" s="4"/>
      <c r="R4778" s="4"/>
      <c r="S4778" s="4"/>
      <c r="T4778" s="4"/>
      <c r="U4778" s="4"/>
      <c r="V4778" s="4"/>
      <c r="W4778" s="4"/>
      <c r="X4778" s="4"/>
    </row>
    <row r="4779" spans="1:24" ht="14.25" customHeight="1">
      <c r="A4779" s="4"/>
      <c r="B4779" s="125">
        <v>46186</v>
      </c>
      <c r="C4779" s="126" t="s">
        <v>2538</v>
      </c>
      <c r="D4779" s="68" t="s">
        <v>2522</v>
      </c>
      <c r="E4779" s="10" t="str">
        <f>TRIM(VLOOKUP(D4779,TB!$B$9:$C$1500,2,FALSE))</f>
        <v>Coca Cola Can</v>
      </c>
      <c r="F4779" s="185" t="s">
        <v>2539</v>
      </c>
      <c r="G4779" s="130">
        <f>7*24</f>
        <v>168</v>
      </c>
      <c r="H4779" s="10">
        <v>931000</v>
      </c>
      <c r="I4779" s="10"/>
      <c r="J4779" s="79" t="e">
        <f t="shared" si="312"/>
        <v>#VALUE!</v>
      </c>
      <c r="K4779" s="106"/>
      <c r="L4779" s="141"/>
      <c r="M4779" s="132"/>
      <c r="N4779" s="133"/>
      <c r="O4779" s="4"/>
      <c r="P4779" s="4"/>
      <c r="Q4779" s="4"/>
      <c r="R4779" s="4"/>
      <c r="S4779" s="4"/>
      <c r="T4779" s="4"/>
      <c r="U4779" s="4"/>
      <c r="V4779" s="4"/>
      <c r="W4779" s="4"/>
      <c r="X4779" s="4"/>
    </row>
    <row r="4780" spans="1:24" ht="14.25" customHeight="1">
      <c r="A4780" s="4"/>
      <c r="B4780" s="125">
        <v>46186</v>
      </c>
      <c r="C4780" s="126" t="s">
        <v>2538</v>
      </c>
      <c r="D4780" s="68" t="s">
        <v>2524</v>
      </c>
      <c r="E4780" s="10" t="str">
        <f>TRIM(VLOOKUP(D4780,TB!$B$9:$C$1500,2,FALSE))</f>
        <v>Zero Coke</v>
      </c>
      <c r="F4780" s="185" t="s">
        <v>2540</v>
      </c>
      <c r="G4780" s="130">
        <f>3*24</f>
        <v>72</v>
      </c>
      <c r="H4780" s="10">
        <v>399000</v>
      </c>
      <c r="I4780" s="10"/>
      <c r="J4780" s="79" t="e">
        <f t="shared" si="312"/>
        <v>#VALUE!</v>
      </c>
      <c r="K4780" s="106"/>
      <c r="L4780" s="141"/>
      <c r="M4780" s="132"/>
      <c r="N4780" s="133"/>
      <c r="O4780" s="4"/>
      <c r="P4780" s="4"/>
      <c r="Q4780" s="4"/>
      <c r="R4780" s="4"/>
      <c r="S4780" s="4"/>
      <c r="T4780" s="4"/>
      <c r="U4780" s="4"/>
      <c r="V4780" s="4"/>
      <c r="W4780" s="4"/>
      <c r="X4780" s="4"/>
    </row>
    <row r="4781" spans="1:24" ht="14.25" customHeight="1">
      <c r="A4781" s="4"/>
      <c r="B4781" s="125">
        <v>46186</v>
      </c>
      <c r="C4781" s="126" t="s">
        <v>2538</v>
      </c>
      <c r="D4781" s="15" t="s">
        <v>2520</v>
      </c>
      <c r="E4781" s="10" t="str">
        <f>TRIM(VLOOKUP(D4781,TB!$B$9:$C$1500,2,FALSE))</f>
        <v>Tonic Water</v>
      </c>
      <c r="F4781" s="185" t="s">
        <v>2541</v>
      </c>
      <c r="G4781" s="130">
        <f>7*24</f>
        <v>168</v>
      </c>
      <c r="H4781" s="10">
        <v>840000</v>
      </c>
      <c r="I4781" s="10"/>
      <c r="J4781" s="79" t="e">
        <f t="shared" si="312"/>
        <v>#VALUE!</v>
      </c>
      <c r="K4781" s="106"/>
      <c r="L4781" s="141"/>
      <c r="M4781" s="132"/>
      <c r="N4781" s="133"/>
      <c r="O4781" s="4"/>
      <c r="P4781" s="4"/>
      <c r="Q4781" s="4"/>
      <c r="R4781" s="4"/>
      <c r="S4781" s="4"/>
      <c r="T4781" s="4"/>
      <c r="U4781" s="4"/>
      <c r="V4781" s="4"/>
      <c r="W4781" s="4"/>
      <c r="X4781" s="4"/>
    </row>
    <row r="4782" spans="1:24" ht="14.25" customHeight="1">
      <c r="A4782" s="4"/>
      <c r="B4782" s="125">
        <v>46186</v>
      </c>
      <c r="C4782" s="126" t="s">
        <v>2538</v>
      </c>
      <c r="D4782" s="15" t="s">
        <v>2526</v>
      </c>
      <c r="E4782" s="10" t="str">
        <f>TRIM(VLOOKUP(D4782,TB!$B$9:$C$1500,2,FALSE))</f>
        <v>Sprite Can</v>
      </c>
      <c r="F4782" s="185" t="s">
        <v>2542</v>
      </c>
      <c r="G4782" s="130">
        <f>3*24</f>
        <v>72</v>
      </c>
      <c r="H4782" s="10">
        <v>399000</v>
      </c>
      <c r="I4782" s="10"/>
      <c r="J4782" s="79" t="e">
        <f t="shared" si="312"/>
        <v>#VALUE!</v>
      </c>
      <c r="K4782" s="106"/>
      <c r="L4782" s="141"/>
      <c r="M4782" s="132"/>
      <c r="N4782" s="133"/>
      <c r="O4782" s="4"/>
      <c r="P4782" s="4"/>
      <c r="Q4782" s="4"/>
      <c r="R4782" s="4"/>
      <c r="S4782" s="4"/>
      <c r="T4782" s="4"/>
      <c r="U4782" s="4"/>
      <c r="V4782" s="4"/>
      <c r="W4782" s="4"/>
      <c r="X4782" s="4"/>
    </row>
    <row r="4783" spans="1:24" ht="14.25" customHeight="1">
      <c r="A4783" s="4"/>
      <c r="B4783" s="125">
        <v>46186</v>
      </c>
      <c r="C4783" s="126" t="s">
        <v>2538</v>
      </c>
      <c r="D4783" s="15" t="s">
        <v>2528</v>
      </c>
      <c r="E4783" s="10" t="str">
        <f>TRIM(VLOOKUP(D4783,TB!$B$9:$C$1500,2,FALSE))</f>
        <v>Polaris Can</v>
      </c>
      <c r="F4783" s="185" t="s">
        <v>2543</v>
      </c>
      <c r="G4783" s="130">
        <f>4*24</f>
        <v>96</v>
      </c>
      <c r="H4783" s="10">
        <v>460000</v>
      </c>
      <c r="I4783" s="10"/>
      <c r="J4783" s="79" t="e">
        <f t="shared" si="312"/>
        <v>#VALUE!</v>
      </c>
      <c r="K4783" s="106"/>
      <c r="L4783" s="141"/>
      <c r="M4783" s="132"/>
      <c r="N4783" s="133"/>
      <c r="O4783" s="4"/>
      <c r="P4783" s="4"/>
      <c r="Q4783" s="4"/>
      <c r="R4783" s="4"/>
      <c r="S4783" s="4"/>
      <c r="T4783" s="4"/>
      <c r="U4783" s="4"/>
      <c r="V4783" s="4"/>
      <c r="W4783" s="4"/>
      <c r="X4783" s="4"/>
    </row>
    <row r="4784" spans="1:24" ht="14.25" customHeight="1">
      <c r="A4784" s="4"/>
      <c r="B4784" s="125">
        <v>46186</v>
      </c>
      <c r="C4784" s="126" t="s">
        <v>2538</v>
      </c>
      <c r="D4784" s="15" t="s">
        <v>285</v>
      </c>
      <c r="E4784" s="10" t="str">
        <f>TRIM(VLOOKUP(D4784,TB!$B$9:$C$1500,2,FALSE))</f>
        <v>Misc Cash Purchase</v>
      </c>
      <c r="F4784" s="185" t="s">
        <v>2544</v>
      </c>
      <c r="G4784" s="130"/>
      <c r="H4784" s="10"/>
      <c r="I4784" s="10">
        <v>3029000</v>
      </c>
      <c r="J4784" s="79" t="e">
        <f t="shared" si="312"/>
        <v>#VALUE!</v>
      </c>
      <c r="K4784" s="106"/>
      <c r="L4784" s="141"/>
      <c r="M4784" s="132"/>
      <c r="N4784" s="133"/>
      <c r="O4784" s="4"/>
      <c r="P4784" s="4"/>
      <c r="Q4784" s="4"/>
      <c r="R4784" s="4"/>
      <c r="S4784" s="4"/>
      <c r="T4784" s="4"/>
      <c r="U4784" s="4"/>
      <c r="V4784" s="4"/>
      <c r="W4784" s="4"/>
      <c r="X4784" s="4"/>
    </row>
    <row r="4785" spans="1:24" ht="14.25" customHeight="1">
      <c r="A4785" s="4"/>
      <c r="B4785" s="125"/>
      <c r="C4785" s="126"/>
      <c r="D4785" s="68"/>
      <c r="E4785" s="10" t="e">
        <f>TRIM(VLOOKUP(D4785,TB!$B$9:$C$1500,2,FALSE))</f>
        <v>#N/A</v>
      </c>
      <c r="F4785" s="142"/>
      <c r="G4785" s="130"/>
      <c r="H4785" s="10"/>
      <c r="I4785" s="10"/>
      <c r="J4785" s="79" t="e">
        <f t="shared" si="312"/>
        <v>#VALUE!</v>
      </c>
      <c r="K4785" s="106"/>
      <c r="L4785" s="141"/>
      <c r="M4785" s="132"/>
      <c r="N4785" s="133"/>
      <c r="O4785" s="4"/>
      <c r="P4785" s="4"/>
      <c r="Q4785" s="4"/>
      <c r="R4785" s="4"/>
      <c r="S4785" s="4"/>
      <c r="T4785" s="4"/>
      <c r="U4785" s="4"/>
      <c r="V4785" s="4"/>
      <c r="W4785" s="4"/>
      <c r="X4785" s="4"/>
    </row>
    <row r="4786" spans="1:24" ht="14.25" customHeight="1">
      <c r="A4786" s="4"/>
      <c r="B4786" s="125">
        <v>46196</v>
      </c>
      <c r="C4786" s="126" t="s">
        <v>2545</v>
      </c>
      <c r="D4786" s="68" t="s">
        <v>2522</v>
      </c>
      <c r="E4786" s="10" t="str">
        <f>TRIM(VLOOKUP(D4786,TB!$B$9:$C$1500,2,FALSE))</f>
        <v>Coca Cola Can</v>
      </c>
      <c r="F4786" s="142" t="s">
        <v>2546</v>
      </c>
      <c r="G4786" s="130">
        <f>7*24</f>
        <v>168</v>
      </c>
      <c r="H4786" s="10">
        <v>931000</v>
      </c>
      <c r="I4786" s="10"/>
      <c r="J4786" s="79" t="e">
        <f t="shared" si="312"/>
        <v>#VALUE!</v>
      </c>
      <c r="K4786" s="106"/>
      <c r="L4786" s="141"/>
      <c r="M4786" s="132"/>
      <c r="N4786" s="133"/>
      <c r="O4786" s="4"/>
      <c r="P4786" s="4"/>
      <c r="Q4786" s="4"/>
      <c r="R4786" s="4"/>
      <c r="S4786" s="4"/>
      <c r="T4786" s="4"/>
      <c r="U4786" s="4"/>
      <c r="V4786" s="4"/>
      <c r="W4786" s="4"/>
      <c r="X4786" s="4"/>
    </row>
    <row r="4787" spans="1:24" ht="14.25" customHeight="1">
      <c r="A4787" s="4"/>
      <c r="B4787" s="125">
        <v>46196</v>
      </c>
      <c r="C4787" s="126" t="s">
        <v>2545</v>
      </c>
      <c r="D4787" s="68" t="s">
        <v>2524</v>
      </c>
      <c r="E4787" s="10" t="str">
        <f>TRIM(VLOOKUP(D4787,TB!$B$9:$C$1500,2,FALSE))</f>
        <v>Zero Coke</v>
      </c>
      <c r="F4787" s="142" t="s">
        <v>2547</v>
      </c>
      <c r="G4787" s="130">
        <f>3*24</f>
        <v>72</v>
      </c>
      <c r="H4787" s="10">
        <v>399000</v>
      </c>
      <c r="I4787" s="10"/>
      <c r="J4787" s="79" t="e">
        <f t="shared" si="312"/>
        <v>#VALUE!</v>
      </c>
      <c r="K4787" s="106"/>
      <c r="L4787" s="141"/>
      <c r="M4787" s="132"/>
      <c r="N4787" s="133"/>
      <c r="O4787" s="4"/>
      <c r="P4787" s="4"/>
      <c r="Q4787" s="4"/>
      <c r="R4787" s="4"/>
      <c r="S4787" s="4"/>
      <c r="T4787" s="4"/>
      <c r="U4787" s="4"/>
      <c r="V4787" s="4"/>
      <c r="W4787" s="4"/>
      <c r="X4787" s="4"/>
    </row>
    <row r="4788" spans="1:24" ht="14.25" customHeight="1">
      <c r="A4788" s="4"/>
      <c r="B4788" s="125">
        <v>46196</v>
      </c>
      <c r="C4788" s="126" t="s">
        <v>2545</v>
      </c>
      <c r="D4788" s="15" t="s">
        <v>2520</v>
      </c>
      <c r="E4788" s="10" t="str">
        <f>TRIM(VLOOKUP(D4788,TB!$B$9:$C$1500,2,FALSE))</f>
        <v>Tonic Water</v>
      </c>
      <c r="F4788" s="142" t="s">
        <v>2548</v>
      </c>
      <c r="G4788" s="130">
        <f>6*24</f>
        <v>144</v>
      </c>
      <c r="H4788" s="10">
        <v>720000</v>
      </c>
      <c r="I4788" s="10"/>
      <c r="J4788" s="79" t="e">
        <f t="shared" si="312"/>
        <v>#VALUE!</v>
      </c>
      <c r="K4788" s="106"/>
      <c r="L4788" s="141"/>
      <c r="M4788" s="132"/>
      <c r="N4788" s="133"/>
      <c r="O4788" s="4"/>
      <c r="P4788" s="4"/>
      <c r="Q4788" s="4"/>
      <c r="R4788" s="4"/>
      <c r="S4788" s="4"/>
      <c r="T4788" s="4"/>
      <c r="U4788" s="4"/>
      <c r="V4788" s="4"/>
      <c r="W4788" s="4"/>
      <c r="X4788" s="4"/>
    </row>
    <row r="4789" spans="1:24" ht="14.25" customHeight="1">
      <c r="A4789" s="4"/>
      <c r="B4789" s="125">
        <v>46196</v>
      </c>
      <c r="C4789" s="126" t="s">
        <v>2545</v>
      </c>
      <c r="D4789" s="15" t="s">
        <v>2526</v>
      </c>
      <c r="E4789" s="10" t="str">
        <f>TRIM(VLOOKUP(D4789,TB!$B$9:$C$1500,2,FALSE))</f>
        <v>Sprite Can</v>
      </c>
      <c r="F4789" s="142" t="s">
        <v>2549</v>
      </c>
      <c r="G4789" s="130">
        <f>2*24</f>
        <v>48</v>
      </c>
      <c r="H4789" s="10">
        <v>266000</v>
      </c>
      <c r="I4789" s="10"/>
      <c r="J4789" s="79" t="e">
        <f t="shared" si="312"/>
        <v>#VALUE!</v>
      </c>
      <c r="K4789" s="106"/>
      <c r="L4789" s="141"/>
      <c r="M4789" s="132"/>
      <c r="N4789" s="133"/>
      <c r="O4789" s="4"/>
      <c r="P4789" s="4"/>
      <c r="Q4789" s="4"/>
      <c r="R4789" s="4"/>
      <c r="S4789" s="4"/>
      <c r="T4789" s="4"/>
      <c r="U4789" s="4"/>
      <c r="V4789" s="4"/>
      <c r="W4789" s="4"/>
      <c r="X4789" s="4"/>
    </row>
    <row r="4790" spans="1:24" ht="14.25" customHeight="1">
      <c r="A4790" s="4"/>
      <c r="B4790" s="125">
        <v>46196</v>
      </c>
      <c r="C4790" s="126" t="s">
        <v>2545</v>
      </c>
      <c r="D4790" s="15" t="s">
        <v>285</v>
      </c>
      <c r="E4790" s="10" t="str">
        <f>TRIM(VLOOKUP(D4790,TB!$B$9:$C$1500,2,FALSE))</f>
        <v>Misc Cash Purchase</v>
      </c>
      <c r="F4790" s="142" t="s">
        <v>2550</v>
      </c>
      <c r="G4790" s="130"/>
      <c r="H4790" s="10"/>
      <c r="I4790" s="10">
        <v>2316000</v>
      </c>
      <c r="J4790" s="79" t="e">
        <f t="shared" si="312"/>
        <v>#VALUE!</v>
      </c>
      <c r="K4790" s="106"/>
      <c r="L4790" s="141"/>
      <c r="M4790" s="132"/>
      <c r="N4790" s="133"/>
      <c r="O4790" s="4"/>
      <c r="P4790" s="4"/>
      <c r="Q4790" s="4"/>
      <c r="R4790" s="4"/>
      <c r="S4790" s="4"/>
      <c r="T4790" s="4"/>
      <c r="U4790" s="4"/>
      <c r="V4790" s="4"/>
      <c r="W4790" s="4"/>
      <c r="X4790" s="4"/>
    </row>
    <row r="4791" spans="1:24" ht="14.25" customHeight="1">
      <c r="A4791" s="4"/>
      <c r="B4791" s="125"/>
      <c r="C4791" s="126"/>
      <c r="D4791" s="15"/>
      <c r="E4791" s="10" t="e">
        <f>TRIM(VLOOKUP(D4791,TB!$B$9:$C$1500,2,FALSE))</f>
        <v>#N/A</v>
      </c>
      <c r="F4791" s="142"/>
      <c r="G4791" s="130"/>
      <c r="H4791" s="10"/>
      <c r="I4791" s="10"/>
      <c r="J4791" s="79" t="e">
        <f t="shared" si="312"/>
        <v>#VALUE!</v>
      </c>
      <c r="K4791" s="106"/>
      <c r="L4791" s="141"/>
      <c r="M4791" s="132"/>
      <c r="N4791" s="133"/>
      <c r="O4791" s="4"/>
      <c r="P4791" s="4"/>
      <c r="Q4791" s="4"/>
      <c r="R4791" s="4"/>
      <c r="S4791" s="4"/>
      <c r="T4791" s="4"/>
      <c r="U4791" s="4"/>
      <c r="V4791" s="4"/>
      <c r="W4791" s="4"/>
      <c r="X4791" s="4"/>
    </row>
    <row r="4792" spans="1:24" ht="14.25" customHeight="1">
      <c r="A4792" s="4"/>
      <c r="B4792" s="125">
        <v>46203</v>
      </c>
      <c r="C4792" s="126" t="s">
        <v>2551</v>
      </c>
      <c r="D4792" s="68" t="s">
        <v>2522</v>
      </c>
      <c r="E4792" s="10" t="str">
        <f>TRIM(VLOOKUP(D4792,TB!$B$9:$C$1500,2,FALSE))</f>
        <v>Coca Cola Can</v>
      </c>
      <c r="F4792" s="142" t="s">
        <v>2552</v>
      </c>
      <c r="G4792" s="130">
        <f>7*24</f>
        <v>168</v>
      </c>
      <c r="H4792" s="10">
        <v>931000</v>
      </c>
      <c r="I4792" s="10"/>
      <c r="J4792" s="79" t="e">
        <f t="shared" si="312"/>
        <v>#VALUE!</v>
      </c>
      <c r="K4792" s="106"/>
      <c r="L4792" s="141"/>
      <c r="M4792" s="132"/>
      <c r="N4792" s="133"/>
      <c r="O4792" s="4"/>
      <c r="P4792" s="4"/>
      <c r="Q4792" s="4"/>
      <c r="R4792" s="4"/>
      <c r="S4792" s="4"/>
      <c r="T4792" s="4"/>
      <c r="U4792" s="4"/>
      <c r="V4792" s="4"/>
      <c r="W4792" s="4"/>
      <c r="X4792" s="4"/>
    </row>
    <row r="4793" spans="1:24" ht="14.25" customHeight="1">
      <c r="A4793" s="4"/>
      <c r="B4793" s="125">
        <v>46203</v>
      </c>
      <c r="C4793" s="126" t="s">
        <v>2551</v>
      </c>
      <c r="D4793" s="15" t="s">
        <v>2520</v>
      </c>
      <c r="E4793" s="10" t="str">
        <f>TRIM(VLOOKUP(D4793,TB!$B$9:$C$1500,2,FALSE))</f>
        <v>Tonic Water</v>
      </c>
      <c r="F4793" s="142" t="s">
        <v>2553</v>
      </c>
      <c r="G4793" s="130">
        <f>6*24</f>
        <v>144</v>
      </c>
      <c r="H4793" s="10">
        <v>720000</v>
      </c>
      <c r="I4793" s="10"/>
      <c r="J4793" s="79" t="e">
        <f t="shared" si="312"/>
        <v>#VALUE!</v>
      </c>
      <c r="K4793" s="106"/>
      <c r="L4793" s="141"/>
      <c r="M4793" s="132"/>
      <c r="N4793" s="133"/>
      <c r="O4793" s="4"/>
      <c r="P4793" s="4"/>
      <c r="Q4793" s="4"/>
      <c r="R4793" s="4"/>
      <c r="S4793" s="4"/>
      <c r="T4793" s="4"/>
      <c r="U4793" s="4"/>
      <c r="V4793" s="4"/>
      <c r="W4793" s="4"/>
      <c r="X4793" s="4"/>
    </row>
    <row r="4794" spans="1:24" ht="14.25" customHeight="1">
      <c r="A4794" s="4"/>
      <c r="B4794" s="125">
        <v>46203</v>
      </c>
      <c r="C4794" s="126" t="s">
        <v>2551</v>
      </c>
      <c r="D4794" s="15" t="s">
        <v>2526</v>
      </c>
      <c r="E4794" s="10" t="str">
        <f>TRIM(VLOOKUP(D4794,TB!$B$9:$C$1500,2,FALSE))</f>
        <v>Sprite Can</v>
      </c>
      <c r="F4794" s="142" t="s">
        <v>2554</v>
      </c>
      <c r="G4794" s="130">
        <f>2*24</f>
        <v>48</v>
      </c>
      <c r="H4794" s="10">
        <v>266000</v>
      </c>
      <c r="I4794" s="10"/>
      <c r="J4794" s="79" t="e">
        <f t="shared" si="312"/>
        <v>#VALUE!</v>
      </c>
      <c r="K4794" s="106"/>
      <c r="L4794" s="141"/>
      <c r="M4794" s="132"/>
      <c r="N4794" s="133"/>
      <c r="O4794" s="4"/>
      <c r="P4794" s="4"/>
      <c r="Q4794" s="4"/>
      <c r="R4794" s="4"/>
      <c r="S4794" s="4"/>
      <c r="T4794" s="4"/>
      <c r="U4794" s="4"/>
      <c r="V4794" s="4"/>
      <c r="W4794" s="4"/>
      <c r="X4794" s="4"/>
    </row>
    <row r="4795" spans="1:24" ht="14.25" customHeight="1">
      <c r="A4795" s="4"/>
      <c r="B4795" s="125">
        <v>46203</v>
      </c>
      <c r="C4795" s="126" t="s">
        <v>2551</v>
      </c>
      <c r="D4795" s="15" t="s">
        <v>2528</v>
      </c>
      <c r="E4795" s="10" t="str">
        <f>TRIM(VLOOKUP(D4795,TB!$B$9:$C$1500,2,FALSE))</f>
        <v>Polaris Can</v>
      </c>
      <c r="F4795" s="142" t="s">
        <v>2555</v>
      </c>
      <c r="G4795" s="130">
        <f>4*24</f>
        <v>96</v>
      </c>
      <c r="H4795" s="10">
        <v>460000</v>
      </c>
      <c r="I4795" s="10"/>
      <c r="J4795" s="79" t="e">
        <f t="shared" si="312"/>
        <v>#VALUE!</v>
      </c>
      <c r="K4795" s="106"/>
      <c r="L4795" s="141"/>
      <c r="M4795" s="132"/>
      <c r="N4795" s="133"/>
      <c r="O4795" s="4"/>
      <c r="P4795" s="4"/>
      <c r="Q4795" s="4"/>
      <c r="R4795" s="4"/>
      <c r="S4795" s="4"/>
      <c r="T4795" s="4"/>
      <c r="U4795" s="4"/>
      <c r="V4795" s="4"/>
      <c r="W4795" s="4"/>
      <c r="X4795" s="4"/>
    </row>
    <row r="4796" spans="1:24" ht="14.25" customHeight="1">
      <c r="A4796" s="4"/>
      <c r="B4796" s="125">
        <v>46203</v>
      </c>
      <c r="C4796" s="126" t="s">
        <v>2551</v>
      </c>
      <c r="D4796" s="68" t="s">
        <v>2524</v>
      </c>
      <c r="E4796" s="10" t="str">
        <f>TRIM(VLOOKUP(D4796,TB!$B$9:$C$1500,2,FALSE))</f>
        <v>Zero Coke</v>
      </c>
      <c r="F4796" s="142" t="s">
        <v>2556</v>
      </c>
      <c r="G4796" s="130">
        <f>2*24</f>
        <v>48</v>
      </c>
      <c r="H4796" s="10">
        <v>266000</v>
      </c>
      <c r="I4796" s="10"/>
      <c r="J4796" s="79" t="e">
        <f t="shared" si="312"/>
        <v>#VALUE!</v>
      </c>
      <c r="K4796" s="106"/>
      <c r="L4796" s="141"/>
      <c r="M4796" s="132"/>
      <c r="N4796" s="133"/>
      <c r="O4796" s="4"/>
      <c r="P4796" s="4"/>
      <c r="Q4796" s="4"/>
      <c r="R4796" s="4"/>
      <c r="S4796" s="4"/>
      <c r="T4796" s="4"/>
      <c r="U4796" s="4"/>
      <c r="V4796" s="4"/>
      <c r="W4796" s="4"/>
      <c r="X4796" s="4"/>
    </row>
    <row r="4797" spans="1:24" ht="14.25" customHeight="1">
      <c r="A4797" s="4"/>
      <c r="B4797" s="125">
        <v>46203</v>
      </c>
      <c r="C4797" s="126" t="s">
        <v>2551</v>
      </c>
      <c r="D4797" s="15" t="s">
        <v>285</v>
      </c>
      <c r="E4797" s="10" t="str">
        <f>TRIM(VLOOKUP(D4797,TB!$B$9:$C$1500,2,FALSE))</f>
        <v>Misc Cash Purchase</v>
      </c>
      <c r="F4797" s="142" t="s">
        <v>2557</v>
      </c>
      <c r="G4797" s="130"/>
      <c r="H4797" s="10"/>
      <c r="I4797" s="10">
        <v>2643000</v>
      </c>
      <c r="J4797" s="79" t="e">
        <f t="shared" si="312"/>
        <v>#VALUE!</v>
      </c>
      <c r="K4797" s="106"/>
      <c r="L4797" s="141"/>
      <c r="M4797" s="132"/>
      <c r="N4797" s="133"/>
      <c r="O4797" s="4"/>
      <c r="P4797" s="4"/>
      <c r="Q4797" s="4"/>
      <c r="R4797" s="4"/>
      <c r="S4797" s="4"/>
      <c r="T4797" s="4"/>
      <c r="U4797" s="4"/>
      <c r="V4797" s="4"/>
      <c r="W4797" s="4"/>
      <c r="X4797" s="4"/>
    </row>
    <row r="4798" spans="1:24" ht="14.25" customHeight="1">
      <c r="A4798" s="4"/>
      <c r="B4798" s="125"/>
      <c r="C4798" s="126"/>
      <c r="D4798" s="15"/>
      <c r="E4798" s="10" t="e">
        <f>TRIM(VLOOKUP(D4798,TB!$B$9:$C$1500,2,FALSE))</f>
        <v>#N/A</v>
      </c>
      <c r="F4798" s="142"/>
      <c r="G4798" s="130"/>
      <c r="H4798" s="10"/>
      <c r="I4798" s="10"/>
      <c r="J4798" s="79" t="e">
        <f t="shared" si="312"/>
        <v>#VALUE!</v>
      </c>
      <c r="K4798" s="106"/>
      <c r="L4798" s="141"/>
      <c r="M4798" s="132"/>
      <c r="N4798" s="133"/>
      <c r="O4798" s="4"/>
      <c r="P4798" s="4"/>
      <c r="Q4798" s="4"/>
      <c r="R4798" s="4"/>
      <c r="S4798" s="4"/>
      <c r="T4798" s="4"/>
      <c r="U4798" s="4"/>
      <c r="V4798" s="4"/>
      <c r="W4798" s="4"/>
      <c r="X4798" s="4"/>
    </row>
    <row r="4799" spans="1:24" ht="14.25" customHeight="1">
      <c r="A4799" s="4"/>
      <c r="B4799" s="125">
        <v>46176</v>
      </c>
      <c r="C4799" s="126" t="s">
        <v>2558</v>
      </c>
      <c r="D4799" s="15" t="s">
        <v>2559</v>
      </c>
      <c r="E4799" s="10" t="str">
        <f>TRIM(VLOOKUP(D4799,TB!$B$9:$C$1500,2,FALSE))</f>
        <v>Silver 1800</v>
      </c>
      <c r="F4799" s="142" t="s">
        <v>2560</v>
      </c>
      <c r="G4799" s="130">
        <v>3</v>
      </c>
      <c r="H4799" s="10">
        <v>1635000</v>
      </c>
      <c r="I4799" s="10"/>
      <c r="J4799" s="79" t="e">
        <f t="shared" si="312"/>
        <v>#VALUE!</v>
      </c>
      <c r="K4799" s="106"/>
      <c r="L4799" s="141"/>
      <c r="M4799" s="132"/>
      <c r="N4799" s="133"/>
      <c r="O4799" s="4"/>
      <c r="P4799" s="4"/>
      <c r="Q4799" s="4"/>
      <c r="R4799" s="4"/>
      <c r="S4799" s="4"/>
      <c r="T4799" s="4"/>
      <c r="U4799" s="4"/>
      <c r="V4799" s="4"/>
      <c r="W4799" s="4"/>
      <c r="X4799" s="4"/>
    </row>
    <row r="4800" spans="1:24" ht="14.25" customHeight="1">
      <c r="A4800" s="4"/>
      <c r="B4800" s="125">
        <v>46176</v>
      </c>
      <c r="C4800" s="126" t="s">
        <v>2558</v>
      </c>
      <c r="D4800" s="15" t="s">
        <v>2561</v>
      </c>
      <c r="E4800" s="10" t="str">
        <f>TRIM(VLOOKUP(D4800,TB!$B$9:$C$1500,2,FALSE))</f>
        <v>Jagermeister</v>
      </c>
      <c r="F4800" s="142" t="s">
        <v>2562</v>
      </c>
      <c r="G4800" s="130">
        <v>12</v>
      </c>
      <c r="H4800" s="10">
        <v>3900000</v>
      </c>
      <c r="I4800" s="10"/>
      <c r="J4800" s="79" t="e">
        <f t="shared" si="312"/>
        <v>#VALUE!</v>
      </c>
      <c r="K4800" s="106"/>
      <c r="L4800" s="141"/>
      <c r="M4800" s="132"/>
      <c r="N4800" s="133"/>
      <c r="O4800" s="4"/>
      <c r="P4800" s="4"/>
      <c r="Q4800" s="4"/>
      <c r="R4800" s="4"/>
      <c r="S4800" s="4"/>
      <c r="T4800" s="4"/>
      <c r="U4800" s="4"/>
      <c r="V4800" s="4"/>
      <c r="W4800" s="4"/>
      <c r="X4800" s="4"/>
    </row>
    <row r="4801" spans="1:24" ht="14.25" customHeight="1">
      <c r="A4801" s="4"/>
      <c r="B4801" s="125">
        <v>46176</v>
      </c>
      <c r="C4801" s="126" t="s">
        <v>2558</v>
      </c>
      <c r="D4801" s="15" t="s">
        <v>285</v>
      </c>
      <c r="E4801" s="10" t="str">
        <f>TRIM(VLOOKUP(D4801,TB!$B$9:$C$1500,2,FALSE))</f>
        <v>Misc Cash Purchase</v>
      </c>
      <c r="F4801" s="142" t="s">
        <v>2563</v>
      </c>
      <c r="G4801" s="130"/>
      <c r="H4801" s="10"/>
      <c r="I4801" s="10">
        <v>5535000</v>
      </c>
      <c r="J4801" s="79" t="e">
        <f t="shared" si="312"/>
        <v>#VALUE!</v>
      </c>
      <c r="K4801" s="106"/>
      <c r="L4801" s="141"/>
      <c r="M4801" s="132"/>
      <c r="N4801" s="133"/>
      <c r="O4801" s="4"/>
      <c r="P4801" s="4"/>
      <c r="Q4801" s="4"/>
      <c r="R4801" s="4"/>
      <c r="S4801" s="4"/>
      <c r="T4801" s="4"/>
      <c r="U4801" s="4"/>
      <c r="V4801" s="4"/>
      <c r="W4801" s="4"/>
      <c r="X4801" s="4"/>
    </row>
    <row r="4802" spans="1:24" ht="14.25" customHeight="1">
      <c r="A4802" s="4"/>
      <c r="B4802" s="125"/>
      <c r="C4802" s="126"/>
      <c r="D4802" s="68"/>
      <c r="E4802" s="10" t="e">
        <f>TRIM(VLOOKUP(D4802,TB!$B$9:$C$1500,2,FALSE))</f>
        <v>#N/A</v>
      </c>
      <c r="F4802" s="142"/>
      <c r="G4802" s="130"/>
      <c r="H4802" s="10"/>
      <c r="I4802" s="10"/>
      <c r="J4802" s="79" t="e">
        <f t="shared" si="312"/>
        <v>#VALUE!</v>
      </c>
      <c r="K4802" s="106"/>
      <c r="L4802" s="141"/>
      <c r="M4802" s="132"/>
      <c r="N4802" s="133"/>
      <c r="O4802" s="4"/>
      <c r="P4802" s="4"/>
      <c r="Q4802" s="4"/>
      <c r="R4802" s="4"/>
      <c r="S4802" s="4"/>
      <c r="T4802" s="4"/>
      <c r="U4802" s="4"/>
      <c r="V4802" s="4"/>
      <c r="W4802" s="4"/>
      <c r="X4802" s="4"/>
    </row>
    <row r="4803" spans="1:24" ht="14.25" customHeight="1">
      <c r="A4803" s="4"/>
      <c r="B4803" s="125">
        <v>46176</v>
      </c>
      <c r="C4803" s="126" t="s">
        <v>2564</v>
      </c>
      <c r="D4803" s="15" t="s">
        <v>2565</v>
      </c>
      <c r="E4803" s="10" t="str">
        <f>TRIM(VLOOKUP(D4803,TB!$B$9:$C$1500,2,FALSE))</f>
        <v>Don Julio Blanco</v>
      </c>
      <c r="F4803" s="142" t="s">
        <v>2566</v>
      </c>
      <c r="G4803" s="130">
        <v>6</v>
      </c>
      <c r="H4803" s="10">
        <v>5400000</v>
      </c>
      <c r="I4803" s="10"/>
      <c r="J4803" s="79" t="e">
        <f t="shared" si="312"/>
        <v>#VALUE!</v>
      </c>
      <c r="K4803" s="106"/>
      <c r="L4803" s="141"/>
      <c r="M4803" s="132"/>
      <c r="N4803" s="133"/>
      <c r="O4803" s="4"/>
      <c r="P4803" s="4"/>
      <c r="Q4803" s="4"/>
      <c r="R4803" s="4"/>
      <c r="S4803" s="4"/>
      <c r="T4803" s="4"/>
      <c r="U4803" s="4"/>
      <c r="V4803" s="4"/>
      <c r="W4803" s="4"/>
      <c r="X4803" s="4"/>
    </row>
    <row r="4804" spans="1:24" ht="14.25" customHeight="1">
      <c r="A4804" s="4"/>
      <c r="B4804" s="125">
        <v>46176</v>
      </c>
      <c r="C4804" s="126" t="s">
        <v>2564</v>
      </c>
      <c r="D4804" s="15" t="s">
        <v>2567</v>
      </c>
      <c r="E4804" s="10" t="str">
        <f>TRIM(VLOOKUP(D4804,TB!$B$9:$C$1500,2,FALSE))</f>
        <v>Don Julio Reposado</v>
      </c>
      <c r="F4804" s="142" t="s">
        <v>2568</v>
      </c>
      <c r="G4804" s="130">
        <v>6</v>
      </c>
      <c r="H4804" s="10">
        <v>5760000</v>
      </c>
      <c r="I4804" s="10"/>
      <c r="J4804" s="79" t="e">
        <f t="shared" si="312"/>
        <v>#VALUE!</v>
      </c>
      <c r="K4804" s="106">
        <f>H4804/G4804</f>
        <v>960000</v>
      </c>
      <c r="L4804" s="141"/>
      <c r="M4804" s="132"/>
      <c r="N4804" s="133"/>
      <c r="O4804" s="4"/>
      <c r="P4804" s="4"/>
      <c r="Q4804" s="4"/>
      <c r="R4804" s="4"/>
      <c r="S4804" s="4"/>
      <c r="T4804" s="4"/>
      <c r="U4804" s="4"/>
      <c r="V4804" s="4"/>
      <c r="W4804" s="4"/>
      <c r="X4804" s="4"/>
    </row>
    <row r="4805" spans="1:24" ht="14.25" customHeight="1">
      <c r="A4805" s="4"/>
      <c r="B4805" s="125">
        <v>46176</v>
      </c>
      <c r="C4805" s="126" t="s">
        <v>2564</v>
      </c>
      <c r="D4805" s="15" t="s">
        <v>285</v>
      </c>
      <c r="E4805" s="10" t="str">
        <f>TRIM(VLOOKUP(D4805,TB!$B$9:$C$1500,2,FALSE))</f>
        <v>Misc Cash Purchase</v>
      </c>
      <c r="F4805" s="142" t="s">
        <v>2569</v>
      </c>
      <c r="G4805" s="130"/>
      <c r="H4805" s="10"/>
      <c r="I4805" s="10">
        <v>11160000</v>
      </c>
      <c r="J4805" s="79" t="e">
        <f t="shared" si="312"/>
        <v>#VALUE!</v>
      </c>
      <c r="K4805" s="106"/>
      <c r="L4805" s="141"/>
      <c r="M4805" s="132"/>
      <c r="N4805" s="133"/>
      <c r="O4805" s="4"/>
      <c r="P4805" s="4"/>
      <c r="Q4805" s="4"/>
      <c r="R4805" s="4"/>
      <c r="S4805" s="4"/>
      <c r="T4805" s="4"/>
      <c r="U4805" s="4"/>
      <c r="V4805" s="4"/>
      <c r="W4805" s="4"/>
      <c r="X4805" s="4"/>
    </row>
    <row r="4806" spans="1:24" ht="14.25" customHeight="1">
      <c r="A4806" s="4"/>
      <c r="B4806" s="125"/>
      <c r="C4806" s="126"/>
      <c r="D4806" s="68"/>
      <c r="E4806" s="10" t="e">
        <f>TRIM(VLOOKUP(D4806,TB!$B$9:$C$1500,2,FALSE))</f>
        <v>#N/A</v>
      </c>
      <c r="F4806" s="142"/>
      <c r="G4806" s="130"/>
      <c r="H4806" s="10"/>
      <c r="I4806" s="10"/>
      <c r="J4806" s="79" t="e">
        <f t="shared" si="312"/>
        <v>#VALUE!</v>
      </c>
      <c r="K4806" s="106"/>
      <c r="L4806" s="141"/>
      <c r="M4806" s="132"/>
      <c r="N4806" s="133"/>
      <c r="O4806" s="4"/>
      <c r="P4806" s="4"/>
      <c r="Q4806" s="4"/>
      <c r="R4806" s="4"/>
      <c r="S4806" s="4"/>
      <c r="T4806" s="4"/>
      <c r="U4806" s="4"/>
      <c r="V4806" s="4"/>
      <c r="W4806" s="4"/>
      <c r="X4806" s="4"/>
    </row>
    <row r="4807" spans="1:24" ht="14.25" customHeight="1">
      <c r="A4807" s="4"/>
      <c r="B4807" s="125">
        <v>46184</v>
      </c>
      <c r="C4807" s="126" t="s">
        <v>2570</v>
      </c>
      <c r="D4807" s="15" t="s">
        <v>2561</v>
      </c>
      <c r="E4807" s="10" t="str">
        <f>TRIM(VLOOKUP(D4807,TB!$B$9:$C$1500,2,FALSE))</f>
        <v>Jagermeister</v>
      </c>
      <c r="F4807" s="142" t="s">
        <v>2571</v>
      </c>
      <c r="G4807" s="130">
        <v>12</v>
      </c>
      <c r="H4807" s="10">
        <v>3900000</v>
      </c>
      <c r="I4807" s="10"/>
      <c r="J4807" s="79" t="e">
        <f t="shared" si="312"/>
        <v>#VALUE!</v>
      </c>
      <c r="K4807" s="106"/>
      <c r="L4807" s="141"/>
      <c r="M4807" s="132"/>
      <c r="N4807" s="133"/>
      <c r="O4807" s="4"/>
      <c r="P4807" s="4"/>
      <c r="Q4807" s="4"/>
      <c r="R4807" s="4"/>
      <c r="S4807" s="4"/>
      <c r="T4807" s="4"/>
      <c r="U4807" s="4"/>
      <c r="V4807" s="4"/>
      <c r="W4807" s="4"/>
      <c r="X4807" s="4"/>
    </row>
    <row r="4808" spans="1:24" ht="14.25" customHeight="1">
      <c r="A4808" s="4"/>
      <c r="B4808" s="125">
        <v>46184</v>
      </c>
      <c r="C4808" s="126" t="s">
        <v>2570</v>
      </c>
      <c r="D4808" s="15" t="s">
        <v>285</v>
      </c>
      <c r="E4808" s="10" t="str">
        <f>TRIM(VLOOKUP(D4808,TB!$B$9:$C$1500,2,FALSE))</f>
        <v>Misc Cash Purchase</v>
      </c>
      <c r="F4808" s="142" t="s">
        <v>2572</v>
      </c>
      <c r="G4808" s="130"/>
      <c r="H4808" s="10"/>
      <c r="I4808" s="10">
        <v>3900000</v>
      </c>
      <c r="J4808" s="79" t="e">
        <f t="shared" si="312"/>
        <v>#VALUE!</v>
      </c>
      <c r="K4808" s="106"/>
      <c r="L4808" s="141"/>
      <c r="M4808" s="132"/>
      <c r="N4808" s="133"/>
      <c r="O4808" s="4"/>
      <c r="P4808" s="4"/>
      <c r="Q4808" s="4"/>
      <c r="R4808" s="4"/>
      <c r="S4808" s="4"/>
      <c r="T4808" s="4"/>
      <c r="U4808" s="4"/>
      <c r="V4808" s="4"/>
      <c r="W4808" s="4"/>
      <c r="X4808" s="4"/>
    </row>
    <row r="4809" spans="1:24" ht="14.25" customHeight="1">
      <c r="A4809" s="4"/>
      <c r="B4809" s="125"/>
      <c r="C4809" s="126"/>
      <c r="D4809" s="68"/>
      <c r="E4809" s="10" t="e">
        <f>TRIM(VLOOKUP(D4809,TB!$B$9:$C$1500,2,FALSE))</f>
        <v>#N/A</v>
      </c>
      <c r="F4809" s="142"/>
      <c r="G4809" s="130"/>
      <c r="H4809" s="10"/>
      <c r="I4809" s="10"/>
      <c r="J4809" s="79" t="e">
        <f t="shared" si="312"/>
        <v>#VALUE!</v>
      </c>
      <c r="K4809" s="106"/>
      <c r="L4809" s="141"/>
      <c r="M4809" s="132"/>
      <c r="N4809" s="133"/>
      <c r="O4809" s="4"/>
      <c r="P4809" s="4"/>
      <c r="Q4809" s="4"/>
      <c r="R4809" s="4"/>
      <c r="S4809" s="4"/>
      <c r="T4809" s="4"/>
      <c r="U4809" s="4"/>
      <c r="V4809" s="4"/>
      <c r="W4809" s="4"/>
      <c r="X4809" s="4"/>
    </row>
    <row r="4810" spans="1:24" ht="14.25" customHeight="1">
      <c r="A4810" s="4"/>
      <c r="B4810" s="125">
        <v>46186</v>
      </c>
      <c r="C4810" s="126" t="s">
        <v>2573</v>
      </c>
      <c r="D4810" s="15" t="s">
        <v>2574</v>
      </c>
      <c r="E4810" s="10" t="str">
        <f>TRIM(VLOOKUP(D4810,TB!$B$9:$C$1500,2,FALSE))</f>
        <v>Reposado 1800</v>
      </c>
      <c r="F4810" s="142" t="s">
        <v>2575</v>
      </c>
      <c r="G4810" s="130">
        <v>12</v>
      </c>
      <c r="H4810" s="10">
        <v>6612000</v>
      </c>
      <c r="I4810" s="10"/>
      <c r="J4810" s="79" t="e">
        <f t="shared" si="312"/>
        <v>#VALUE!</v>
      </c>
      <c r="K4810" s="106">
        <f>H4810/G4810</f>
        <v>551000</v>
      </c>
      <c r="L4810" s="141"/>
      <c r="M4810" s="132"/>
      <c r="N4810" s="133"/>
      <c r="O4810" s="4"/>
      <c r="P4810" s="4"/>
      <c r="Q4810" s="4"/>
      <c r="R4810" s="4"/>
      <c r="S4810" s="4"/>
      <c r="T4810" s="4"/>
      <c r="U4810" s="4"/>
      <c r="V4810" s="4"/>
      <c r="W4810" s="4"/>
      <c r="X4810" s="4"/>
    </row>
    <row r="4811" spans="1:24" ht="14.25" customHeight="1">
      <c r="A4811" s="4"/>
      <c r="B4811" s="125">
        <v>46186</v>
      </c>
      <c r="C4811" s="126" t="s">
        <v>2573</v>
      </c>
      <c r="D4811" s="15" t="s">
        <v>285</v>
      </c>
      <c r="E4811" s="10" t="str">
        <f>TRIM(VLOOKUP(D4811,TB!$B$9:$C$1500,2,FALSE))</f>
        <v>Misc Cash Purchase</v>
      </c>
      <c r="F4811" s="142" t="s">
        <v>2576</v>
      </c>
      <c r="G4811" s="130"/>
      <c r="H4811" s="10"/>
      <c r="I4811" s="10">
        <v>6612000</v>
      </c>
      <c r="J4811" s="79" t="e">
        <f t="shared" si="312"/>
        <v>#VALUE!</v>
      </c>
      <c r="K4811" s="106"/>
      <c r="L4811" s="141"/>
      <c r="M4811" s="132"/>
      <c r="N4811" s="133"/>
      <c r="O4811" s="4"/>
      <c r="P4811" s="4"/>
      <c r="Q4811" s="4"/>
      <c r="R4811" s="4"/>
      <c r="S4811" s="4"/>
      <c r="T4811" s="4"/>
      <c r="U4811" s="4"/>
      <c r="V4811" s="4"/>
      <c r="W4811" s="4"/>
      <c r="X4811" s="4"/>
    </row>
    <row r="4812" spans="1:24" ht="14.25" customHeight="1">
      <c r="A4812" s="4"/>
      <c r="B4812" s="125"/>
      <c r="C4812" s="126"/>
      <c r="D4812" s="68"/>
      <c r="E4812" s="10" t="e">
        <f>TRIM(VLOOKUP(D4812,TB!$B$9:$C$1500,2,FALSE))</f>
        <v>#N/A</v>
      </c>
      <c r="F4812" s="142"/>
      <c r="G4812" s="130"/>
      <c r="H4812" s="10"/>
      <c r="I4812" s="10"/>
      <c r="J4812" s="79" t="e">
        <f t="shared" si="312"/>
        <v>#VALUE!</v>
      </c>
      <c r="K4812" s="106"/>
      <c r="L4812" s="141"/>
      <c r="M4812" s="132"/>
      <c r="N4812" s="133"/>
      <c r="O4812" s="4"/>
      <c r="P4812" s="4"/>
      <c r="Q4812" s="4"/>
      <c r="R4812" s="4"/>
      <c r="S4812" s="4"/>
      <c r="T4812" s="4"/>
      <c r="U4812" s="4"/>
      <c r="V4812" s="4"/>
      <c r="W4812" s="4"/>
      <c r="X4812" s="4"/>
    </row>
    <row r="4813" spans="1:24" ht="14.25" customHeight="1">
      <c r="A4813" s="4"/>
      <c r="B4813" s="125">
        <v>46186</v>
      </c>
      <c r="C4813" s="126" t="s">
        <v>2577</v>
      </c>
      <c r="D4813" s="15" t="s">
        <v>2567</v>
      </c>
      <c r="E4813" s="10" t="str">
        <f>TRIM(VLOOKUP(D4813,TB!$B$9:$C$1500,2,FALSE))</f>
        <v>Don Julio Reposado</v>
      </c>
      <c r="F4813" s="142" t="s">
        <v>2578</v>
      </c>
      <c r="G4813" s="130">
        <v>12</v>
      </c>
      <c r="H4813" s="10">
        <v>11520000</v>
      </c>
      <c r="I4813" s="10"/>
      <c r="J4813" s="79" t="e">
        <f t="shared" si="312"/>
        <v>#VALUE!</v>
      </c>
      <c r="K4813" s="106">
        <f>H4813/G4813</f>
        <v>960000</v>
      </c>
      <c r="L4813" s="141"/>
      <c r="M4813" s="132"/>
      <c r="N4813" s="133"/>
      <c r="O4813" s="4"/>
      <c r="P4813" s="4"/>
      <c r="Q4813" s="4"/>
      <c r="R4813" s="4"/>
      <c r="S4813" s="4"/>
      <c r="T4813" s="4"/>
      <c r="U4813" s="4"/>
      <c r="V4813" s="4"/>
      <c r="W4813" s="4"/>
      <c r="X4813" s="4"/>
    </row>
    <row r="4814" spans="1:24" ht="14.25" customHeight="1">
      <c r="A4814" s="4"/>
      <c r="B4814" s="125">
        <v>46186</v>
      </c>
      <c r="C4814" s="126" t="s">
        <v>2577</v>
      </c>
      <c r="D4814" s="15" t="s">
        <v>285</v>
      </c>
      <c r="E4814" s="10" t="str">
        <f>TRIM(VLOOKUP(D4814,TB!$B$9:$C$1500,2,FALSE))</f>
        <v>Misc Cash Purchase</v>
      </c>
      <c r="F4814" s="142" t="s">
        <v>2579</v>
      </c>
      <c r="G4814" s="130"/>
      <c r="H4814" s="10"/>
      <c r="I4814" s="10">
        <v>11520000</v>
      </c>
      <c r="J4814" s="79" t="e">
        <f t="shared" si="312"/>
        <v>#VALUE!</v>
      </c>
      <c r="K4814" s="106"/>
      <c r="L4814" s="141"/>
      <c r="M4814" s="132"/>
      <c r="N4814" s="133"/>
      <c r="O4814" s="4"/>
      <c r="P4814" s="4"/>
      <c r="Q4814" s="4"/>
      <c r="R4814" s="4"/>
      <c r="S4814" s="4"/>
      <c r="T4814" s="4"/>
      <c r="U4814" s="4"/>
      <c r="V4814" s="4"/>
      <c r="W4814" s="4"/>
      <c r="X4814" s="4"/>
    </row>
    <row r="4815" spans="1:24" ht="14.25" customHeight="1">
      <c r="A4815" s="4"/>
      <c r="B4815" s="125"/>
      <c r="C4815" s="126"/>
      <c r="D4815" s="68"/>
      <c r="E4815" s="10" t="e">
        <f>TRIM(VLOOKUP(D4815,TB!$B$9:$C$1500,2,FALSE))</f>
        <v>#N/A</v>
      </c>
      <c r="F4815" s="142"/>
      <c r="G4815" s="130"/>
      <c r="H4815" s="10"/>
      <c r="I4815" s="10"/>
      <c r="J4815" s="79" t="e">
        <f t="shared" si="312"/>
        <v>#VALUE!</v>
      </c>
      <c r="K4815" s="106"/>
      <c r="L4815" s="141"/>
      <c r="M4815" s="132"/>
      <c r="N4815" s="133"/>
      <c r="O4815" s="4"/>
      <c r="P4815" s="4"/>
      <c r="Q4815" s="4"/>
      <c r="R4815" s="4"/>
      <c r="S4815" s="4"/>
      <c r="T4815" s="4"/>
      <c r="U4815" s="4"/>
      <c r="V4815" s="4"/>
      <c r="W4815" s="4"/>
      <c r="X4815" s="4"/>
    </row>
    <row r="4816" spans="1:24" ht="14.25" customHeight="1">
      <c r="A4816" s="4"/>
      <c r="B4816" s="125">
        <v>46185</v>
      </c>
      <c r="C4816" s="126" t="s">
        <v>2580</v>
      </c>
      <c r="D4816" s="15" t="s">
        <v>2581</v>
      </c>
      <c r="E4816" s="10" t="str">
        <f>TRIM(VLOOKUP(D4816,TB!$B$9:$C$1500,2,FALSE))</f>
        <v>Belvedere</v>
      </c>
      <c r="F4816" s="185" t="s">
        <v>2582</v>
      </c>
      <c r="G4816" s="130">
        <v>24</v>
      </c>
      <c r="H4816" s="10">
        <v>14076000</v>
      </c>
      <c r="I4816" s="10"/>
      <c r="J4816" s="79" t="e">
        <f t="shared" si="312"/>
        <v>#VALUE!</v>
      </c>
      <c r="K4816" s="106">
        <f t="shared" ref="K4816:K4818" si="324">H4816/G4816</f>
        <v>586500</v>
      </c>
      <c r="L4816" s="141"/>
      <c r="M4816" s="132"/>
      <c r="N4816" s="133"/>
      <c r="O4816" s="4"/>
      <c r="P4816" s="4"/>
      <c r="Q4816" s="4"/>
      <c r="R4816" s="4"/>
      <c r="S4816" s="4"/>
      <c r="T4816" s="4"/>
      <c r="U4816" s="4"/>
      <c r="V4816" s="4"/>
      <c r="W4816" s="4"/>
      <c r="X4816" s="4"/>
    </row>
    <row r="4817" spans="1:24" ht="14.25" customHeight="1">
      <c r="A4817" s="4"/>
      <c r="B4817" s="125">
        <v>46185</v>
      </c>
      <c r="C4817" s="126" t="s">
        <v>2580</v>
      </c>
      <c r="D4817" s="15" t="s">
        <v>2583</v>
      </c>
      <c r="E4817" s="10" t="str">
        <f>TRIM(VLOOKUP(D4817,TB!$B$9:$C$1500,2,FALSE))</f>
        <v>Moet Chandon Ice</v>
      </c>
      <c r="F4817" s="185" t="s">
        <v>2584</v>
      </c>
      <c r="G4817" s="130">
        <v>8</v>
      </c>
      <c r="H4817" s="10">
        <v>11196000</v>
      </c>
      <c r="I4817" s="10"/>
      <c r="J4817" s="79" t="e">
        <f t="shared" si="312"/>
        <v>#VALUE!</v>
      </c>
      <c r="K4817" s="106">
        <f t="shared" si="324"/>
        <v>1399500</v>
      </c>
      <c r="L4817" s="141"/>
      <c r="M4817" s="132"/>
      <c r="N4817" s="133"/>
      <c r="O4817" s="4"/>
      <c r="P4817" s="4"/>
      <c r="Q4817" s="4"/>
      <c r="R4817" s="4"/>
      <c r="S4817" s="4"/>
      <c r="T4817" s="4"/>
      <c r="U4817" s="4"/>
      <c r="V4817" s="4"/>
      <c r="W4817" s="4"/>
      <c r="X4817" s="4"/>
    </row>
    <row r="4818" spans="1:24" ht="14.25" customHeight="1">
      <c r="A4818" s="4"/>
      <c r="B4818" s="125">
        <v>46185</v>
      </c>
      <c r="C4818" s="126" t="s">
        <v>2580</v>
      </c>
      <c r="D4818" s="15" t="s">
        <v>2585</v>
      </c>
      <c r="E4818" s="10" t="str">
        <f>TRIM(VLOOKUP(D4818,TB!$B$9:$C$1500,2,FALSE))</f>
        <v>Belvedere Magnum 1,75Ltr</v>
      </c>
      <c r="F4818" s="185" t="s">
        <v>2586</v>
      </c>
      <c r="G4818" s="130">
        <v>8</v>
      </c>
      <c r="H4818" s="10">
        <v>12000000</v>
      </c>
      <c r="I4818" s="10"/>
      <c r="J4818" s="79" t="e">
        <f t="shared" si="312"/>
        <v>#VALUE!</v>
      </c>
      <c r="K4818" s="106">
        <f t="shared" si="324"/>
        <v>1500000</v>
      </c>
      <c r="L4818" s="141"/>
      <c r="M4818" s="132"/>
      <c r="N4818" s="133"/>
      <c r="O4818" s="4"/>
      <c r="P4818" s="4"/>
      <c r="Q4818" s="4"/>
      <c r="R4818" s="4"/>
      <c r="S4818" s="4"/>
      <c r="T4818" s="4"/>
      <c r="U4818" s="4"/>
      <c r="V4818" s="4"/>
      <c r="W4818" s="4"/>
      <c r="X4818" s="4"/>
    </row>
    <row r="4819" spans="1:24" ht="14.25" customHeight="1">
      <c r="A4819" s="4"/>
      <c r="B4819" s="125">
        <v>46185</v>
      </c>
      <c r="C4819" s="126" t="s">
        <v>2580</v>
      </c>
      <c r="D4819" s="15" t="s">
        <v>285</v>
      </c>
      <c r="E4819" s="10" t="str">
        <f>TRIM(VLOOKUP(D4819,TB!$B$9:$C$1500,2,FALSE))</f>
        <v>Misc Cash Purchase</v>
      </c>
      <c r="F4819" s="185" t="s">
        <v>2587</v>
      </c>
      <c r="G4819" s="130"/>
      <c r="H4819" s="10"/>
      <c r="I4819" s="10">
        <v>37272000</v>
      </c>
      <c r="J4819" s="79" t="e">
        <f t="shared" si="312"/>
        <v>#VALUE!</v>
      </c>
      <c r="K4819" s="106"/>
      <c r="L4819" s="141"/>
      <c r="M4819" s="132"/>
      <c r="N4819" s="133"/>
      <c r="O4819" s="4"/>
      <c r="P4819" s="4"/>
      <c r="Q4819" s="4"/>
      <c r="R4819" s="4"/>
      <c r="S4819" s="4"/>
      <c r="T4819" s="4"/>
      <c r="U4819" s="4"/>
      <c r="V4819" s="4"/>
      <c r="W4819" s="4"/>
      <c r="X4819" s="4"/>
    </row>
    <row r="4820" spans="1:24" ht="14.25" customHeight="1">
      <c r="A4820" s="4"/>
      <c r="B4820" s="125"/>
      <c r="C4820" s="126"/>
      <c r="D4820" s="68"/>
      <c r="E4820" s="10" t="e">
        <f>TRIM(VLOOKUP(D4820,TB!$B$9:$C$1500,2,FALSE))</f>
        <v>#N/A</v>
      </c>
      <c r="F4820" s="142"/>
      <c r="G4820" s="130"/>
      <c r="H4820" s="10"/>
      <c r="I4820" s="10"/>
      <c r="J4820" s="79" t="e">
        <f t="shared" si="312"/>
        <v>#VALUE!</v>
      </c>
      <c r="K4820" s="106"/>
      <c r="L4820" s="141"/>
      <c r="M4820" s="132"/>
      <c r="N4820" s="133"/>
      <c r="O4820" s="4"/>
      <c r="P4820" s="4"/>
      <c r="Q4820" s="4"/>
      <c r="R4820" s="4"/>
      <c r="S4820" s="4"/>
      <c r="T4820" s="4"/>
      <c r="U4820" s="4"/>
      <c r="V4820" s="4"/>
      <c r="W4820" s="4"/>
      <c r="X4820" s="4"/>
    </row>
    <row r="4821" spans="1:24" ht="14.25" customHeight="1">
      <c r="A4821" s="4"/>
      <c r="B4821" s="125">
        <v>46182</v>
      </c>
      <c r="C4821" s="126" t="s">
        <v>2588</v>
      </c>
      <c r="D4821" s="15" t="s">
        <v>2589</v>
      </c>
      <c r="E4821" s="10" t="str">
        <f>TRIM(VLOOKUP(D4821,TB!$B$9:$C$1500,2,FALSE))</f>
        <v>Coffee Beans</v>
      </c>
      <c r="F4821" s="185" t="s">
        <v>2590</v>
      </c>
      <c r="G4821" s="130">
        <v>2</v>
      </c>
      <c r="H4821" s="10">
        <v>500000</v>
      </c>
      <c r="I4821" s="10"/>
      <c r="J4821" s="79" t="e">
        <f t="shared" si="312"/>
        <v>#VALUE!</v>
      </c>
      <c r="K4821" s="106">
        <f>H4821/G4821</f>
        <v>250000</v>
      </c>
      <c r="L4821" s="141"/>
      <c r="M4821" s="132"/>
      <c r="N4821" s="133"/>
      <c r="O4821" s="4"/>
      <c r="P4821" s="4"/>
      <c r="Q4821" s="4"/>
      <c r="R4821" s="4"/>
      <c r="S4821" s="4"/>
      <c r="T4821" s="4"/>
      <c r="U4821" s="4"/>
      <c r="V4821" s="4"/>
      <c r="W4821" s="4"/>
      <c r="X4821" s="4"/>
    </row>
    <row r="4822" spans="1:24" ht="14.25" customHeight="1">
      <c r="A4822" s="4"/>
      <c r="B4822" s="125">
        <v>46182</v>
      </c>
      <c r="C4822" s="126" t="s">
        <v>2588</v>
      </c>
      <c r="D4822" s="15" t="s">
        <v>285</v>
      </c>
      <c r="E4822" s="10" t="str">
        <f>TRIM(VLOOKUP(D4822,TB!$B$9:$C$1500,2,FALSE))</f>
        <v>Misc Cash Purchase</v>
      </c>
      <c r="F4822" s="185" t="s">
        <v>2591</v>
      </c>
      <c r="G4822" s="130"/>
      <c r="H4822" s="10"/>
      <c r="I4822" s="10">
        <v>500000</v>
      </c>
      <c r="J4822" s="79" t="e">
        <f t="shared" si="312"/>
        <v>#VALUE!</v>
      </c>
      <c r="K4822" s="106"/>
      <c r="L4822" s="141"/>
      <c r="M4822" s="132"/>
      <c r="N4822" s="133"/>
      <c r="O4822" s="4"/>
      <c r="P4822" s="4"/>
      <c r="Q4822" s="4"/>
      <c r="R4822" s="4"/>
      <c r="S4822" s="4"/>
      <c r="T4822" s="4"/>
      <c r="U4822" s="4"/>
      <c r="V4822" s="4"/>
      <c r="W4822" s="4"/>
      <c r="X4822" s="4"/>
    </row>
    <row r="4823" spans="1:24" ht="14.25" customHeight="1">
      <c r="A4823" s="4"/>
      <c r="B4823" s="125"/>
      <c r="C4823" s="126"/>
      <c r="D4823" s="68"/>
      <c r="E4823" s="10" t="e">
        <f>TRIM(VLOOKUP(D4823,TB!$B$9:$C$1500,2,FALSE))</f>
        <v>#N/A</v>
      </c>
      <c r="F4823" s="142"/>
      <c r="G4823" s="130"/>
      <c r="H4823" s="10"/>
      <c r="I4823" s="10"/>
      <c r="J4823" s="79" t="e">
        <f t="shared" si="312"/>
        <v>#VALUE!</v>
      </c>
      <c r="K4823" s="106"/>
      <c r="L4823" s="141"/>
      <c r="M4823" s="132"/>
      <c r="N4823" s="133"/>
      <c r="O4823" s="4"/>
      <c r="P4823" s="4"/>
      <c r="Q4823" s="4"/>
      <c r="R4823" s="4"/>
      <c r="S4823" s="4"/>
      <c r="T4823" s="4"/>
      <c r="U4823" s="4"/>
      <c r="V4823" s="4"/>
      <c r="W4823" s="4"/>
      <c r="X4823" s="4"/>
    </row>
    <row r="4824" spans="1:24" ht="14.25" customHeight="1">
      <c r="A4824" s="4"/>
      <c r="B4824" s="125">
        <v>46176</v>
      </c>
      <c r="C4824" s="126" t="s">
        <v>2592</v>
      </c>
      <c r="D4824" s="15" t="s">
        <v>2593</v>
      </c>
      <c r="E4824" s="10" t="str">
        <f>TRIM(VLOOKUP(D4824,TB!$B$9:$C$1500,2,FALSE))</f>
        <v>Oasis Blue 380Ml</v>
      </c>
      <c r="F4824" s="185" t="s">
        <v>2594</v>
      </c>
      <c r="G4824" s="130">
        <f>45*12</f>
        <v>540</v>
      </c>
      <c r="H4824" s="10">
        <v>4500000</v>
      </c>
      <c r="I4824" s="10"/>
      <c r="J4824" s="79" t="e">
        <f t="shared" si="312"/>
        <v>#VALUE!</v>
      </c>
      <c r="K4824" s="106"/>
      <c r="L4824" s="141"/>
      <c r="M4824" s="132"/>
      <c r="N4824" s="133"/>
      <c r="O4824" s="4"/>
      <c r="P4824" s="4"/>
      <c r="Q4824" s="4"/>
      <c r="R4824" s="4"/>
      <c r="S4824" s="4"/>
      <c r="T4824" s="4"/>
      <c r="U4824" s="4"/>
      <c r="V4824" s="4"/>
      <c r="W4824" s="4"/>
      <c r="X4824" s="4"/>
    </row>
    <row r="4825" spans="1:24" ht="14.25" customHeight="1">
      <c r="A4825" s="4"/>
      <c r="B4825" s="125">
        <v>46176</v>
      </c>
      <c r="C4825" s="126" t="s">
        <v>2592</v>
      </c>
      <c r="D4825" s="15" t="s">
        <v>2595</v>
      </c>
      <c r="E4825" s="10" t="str">
        <f>TRIM(VLOOKUP(D4825,TB!$B$9:$C$1500,2,FALSE))</f>
        <v>Oasis Blue 750 Ml</v>
      </c>
      <c r="F4825" s="185" t="s">
        <v>2596</v>
      </c>
      <c r="G4825" s="130">
        <f>5*6</f>
        <v>30</v>
      </c>
      <c r="H4825" s="10">
        <v>500000</v>
      </c>
      <c r="I4825" s="10"/>
      <c r="J4825" s="79" t="e">
        <f t="shared" si="312"/>
        <v>#VALUE!</v>
      </c>
      <c r="K4825" s="106"/>
      <c r="L4825" s="141"/>
      <c r="M4825" s="132"/>
      <c r="N4825" s="133"/>
      <c r="O4825" s="4"/>
      <c r="P4825" s="4"/>
      <c r="Q4825" s="4"/>
      <c r="R4825" s="4"/>
      <c r="S4825" s="4"/>
      <c r="T4825" s="4"/>
      <c r="U4825" s="4"/>
      <c r="V4825" s="4"/>
      <c r="W4825" s="4"/>
      <c r="X4825" s="4"/>
    </row>
    <row r="4826" spans="1:24" ht="14.25" customHeight="1">
      <c r="A4826" s="4"/>
      <c r="B4826" s="125">
        <v>46176</v>
      </c>
      <c r="C4826" s="126" t="s">
        <v>2592</v>
      </c>
      <c r="D4826" s="15" t="s">
        <v>285</v>
      </c>
      <c r="E4826" s="10" t="str">
        <f>TRIM(VLOOKUP(D4826,TB!$B$9:$C$1500,2,FALSE))</f>
        <v>Misc Cash Purchase</v>
      </c>
      <c r="F4826" s="185" t="s">
        <v>2597</v>
      </c>
      <c r="G4826" s="130"/>
      <c r="H4826" s="10"/>
      <c r="I4826" s="10">
        <v>5000000</v>
      </c>
      <c r="J4826" s="79" t="e">
        <f t="shared" si="312"/>
        <v>#VALUE!</v>
      </c>
      <c r="K4826" s="106"/>
      <c r="L4826" s="141"/>
      <c r="M4826" s="132"/>
      <c r="N4826" s="133"/>
      <c r="O4826" s="4"/>
      <c r="P4826" s="4"/>
      <c r="Q4826" s="4"/>
      <c r="R4826" s="4"/>
      <c r="S4826" s="4"/>
      <c r="T4826" s="4"/>
      <c r="U4826" s="4"/>
      <c r="V4826" s="4"/>
      <c r="W4826" s="4"/>
      <c r="X4826" s="4"/>
    </row>
    <row r="4827" spans="1:24" ht="14.25" customHeight="1">
      <c r="A4827" s="4"/>
      <c r="B4827" s="125"/>
      <c r="C4827" s="126"/>
      <c r="D4827" s="68"/>
      <c r="E4827" s="10" t="e">
        <f>TRIM(VLOOKUP(D4827,TB!$B$9:$C$1500,2,FALSE))</f>
        <v>#N/A</v>
      </c>
      <c r="F4827" s="142"/>
      <c r="G4827" s="130"/>
      <c r="H4827" s="10"/>
      <c r="I4827" s="10"/>
      <c r="J4827" s="79" t="e">
        <f t="shared" si="312"/>
        <v>#VALUE!</v>
      </c>
      <c r="K4827" s="106"/>
      <c r="L4827" s="141"/>
      <c r="M4827" s="132"/>
      <c r="N4827" s="133"/>
      <c r="O4827" s="4"/>
      <c r="P4827" s="4"/>
      <c r="Q4827" s="4"/>
      <c r="R4827" s="4"/>
      <c r="S4827" s="4"/>
      <c r="T4827" s="4"/>
      <c r="U4827" s="4"/>
      <c r="V4827" s="4"/>
      <c r="W4827" s="4"/>
      <c r="X4827" s="4"/>
    </row>
    <row r="4828" spans="1:24" ht="14.25" customHeight="1">
      <c r="A4828" s="4"/>
      <c r="B4828" s="125">
        <v>46183</v>
      </c>
      <c r="C4828" s="126" t="s">
        <v>2598</v>
      </c>
      <c r="D4828" s="15" t="s">
        <v>2593</v>
      </c>
      <c r="E4828" s="10" t="str">
        <f>TRIM(VLOOKUP(D4828,TB!$B$9:$C$1500,2,FALSE))</f>
        <v>Oasis Blue 380Ml</v>
      </c>
      <c r="F4828" s="186" t="s">
        <v>2599</v>
      </c>
      <c r="G4828" s="130">
        <f>35*12</f>
        <v>420</v>
      </c>
      <c r="H4828" s="10">
        <v>3500000</v>
      </c>
      <c r="I4828" s="10"/>
      <c r="J4828" s="79" t="e">
        <f t="shared" si="312"/>
        <v>#VALUE!</v>
      </c>
      <c r="K4828" s="106"/>
      <c r="L4828" s="141"/>
      <c r="M4828" s="132"/>
      <c r="N4828" s="133"/>
      <c r="O4828" s="4"/>
      <c r="P4828" s="4"/>
      <c r="Q4828" s="4"/>
      <c r="R4828" s="4"/>
      <c r="S4828" s="4"/>
      <c r="T4828" s="4"/>
      <c r="U4828" s="4"/>
      <c r="V4828" s="4"/>
      <c r="W4828" s="4"/>
      <c r="X4828" s="4"/>
    </row>
    <row r="4829" spans="1:24" ht="14.25" customHeight="1">
      <c r="A4829" s="4"/>
      <c r="B4829" s="125">
        <v>46183</v>
      </c>
      <c r="C4829" s="126" t="s">
        <v>2598</v>
      </c>
      <c r="D4829" s="15" t="s">
        <v>285</v>
      </c>
      <c r="E4829" s="10" t="str">
        <f>TRIM(VLOOKUP(D4829,TB!$B$9:$C$1500,2,FALSE))</f>
        <v>Misc Cash Purchase</v>
      </c>
      <c r="F4829" s="186" t="s">
        <v>2600</v>
      </c>
      <c r="G4829" s="130"/>
      <c r="H4829" s="10"/>
      <c r="I4829" s="10">
        <v>3500000</v>
      </c>
      <c r="J4829" s="79" t="e">
        <f t="shared" si="312"/>
        <v>#VALUE!</v>
      </c>
      <c r="K4829" s="106"/>
      <c r="L4829" s="141"/>
      <c r="M4829" s="132"/>
      <c r="N4829" s="133"/>
      <c r="O4829" s="4"/>
      <c r="P4829" s="4"/>
      <c r="Q4829" s="4"/>
      <c r="R4829" s="4"/>
      <c r="S4829" s="4"/>
      <c r="T4829" s="4"/>
      <c r="U4829" s="4"/>
      <c r="V4829" s="4"/>
      <c r="W4829" s="4"/>
      <c r="X4829" s="4"/>
    </row>
    <row r="4830" spans="1:24" ht="14.25" customHeight="1">
      <c r="A4830" s="4"/>
      <c r="B4830" s="125"/>
      <c r="C4830" s="126"/>
      <c r="D4830" s="68"/>
      <c r="E4830" s="10" t="e">
        <f>TRIM(VLOOKUP(D4830,TB!$B$9:$C$1500,2,FALSE))</f>
        <v>#N/A</v>
      </c>
      <c r="F4830" s="142"/>
      <c r="G4830" s="130"/>
      <c r="H4830" s="10"/>
      <c r="I4830" s="10"/>
      <c r="J4830" s="79" t="e">
        <f t="shared" si="312"/>
        <v>#VALUE!</v>
      </c>
      <c r="K4830" s="106"/>
      <c r="L4830" s="141"/>
      <c r="M4830" s="132"/>
      <c r="N4830" s="133"/>
      <c r="O4830" s="4"/>
      <c r="P4830" s="4"/>
      <c r="Q4830" s="4"/>
      <c r="R4830" s="4"/>
      <c r="S4830" s="4"/>
      <c r="T4830" s="4"/>
      <c r="U4830" s="4"/>
      <c r="V4830" s="4"/>
      <c r="W4830" s="4"/>
      <c r="X4830" s="4"/>
    </row>
    <row r="4831" spans="1:24" ht="14.25" customHeight="1">
      <c r="A4831" s="4"/>
      <c r="B4831" s="125">
        <v>46188</v>
      </c>
      <c r="C4831" s="126" t="s">
        <v>2601</v>
      </c>
      <c r="D4831" s="15" t="s">
        <v>2593</v>
      </c>
      <c r="E4831" s="10" t="str">
        <f>TRIM(VLOOKUP(D4831,TB!$B$9:$C$1500,2,FALSE))</f>
        <v>Oasis Blue 380Ml</v>
      </c>
      <c r="F4831" s="142" t="s">
        <v>2602</v>
      </c>
      <c r="G4831" s="130">
        <f>35*12</f>
        <v>420</v>
      </c>
      <c r="H4831" s="10">
        <v>3500000</v>
      </c>
      <c r="I4831" s="10"/>
      <c r="J4831" s="79" t="e">
        <f t="shared" si="312"/>
        <v>#VALUE!</v>
      </c>
      <c r="K4831" s="106"/>
      <c r="L4831" s="141"/>
      <c r="M4831" s="132"/>
      <c r="N4831" s="133"/>
      <c r="O4831" s="4"/>
      <c r="P4831" s="4"/>
      <c r="Q4831" s="4"/>
      <c r="R4831" s="4"/>
      <c r="S4831" s="4"/>
      <c r="T4831" s="4"/>
      <c r="U4831" s="4"/>
      <c r="V4831" s="4"/>
      <c r="W4831" s="4"/>
      <c r="X4831" s="4"/>
    </row>
    <row r="4832" spans="1:24" ht="14.25" customHeight="1">
      <c r="A4832" s="4"/>
      <c r="B4832" s="125">
        <v>46188</v>
      </c>
      <c r="C4832" s="126" t="s">
        <v>2601</v>
      </c>
      <c r="D4832" s="15" t="s">
        <v>285</v>
      </c>
      <c r="E4832" s="10" t="str">
        <f>TRIM(VLOOKUP(D4832,TB!$B$9:$C$1500,2,FALSE))</f>
        <v>Misc Cash Purchase</v>
      </c>
      <c r="F4832" s="142" t="s">
        <v>2603</v>
      </c>
      <c r="G4832" s="130"/>
      <c r="H4832" s="10"/>
      <c r="I4832" s="10">
        <v>3500000</v>
      </c>
      <c r="J4832" s="79" t="e">
        <f t="shared" si="312"/>
        <v>#VALUE!</v>
      </c>
      <c r="K4832" s="106"/>
      <c r="L4832" s="141"/>
      <c r="M4832" s="132"/>
      <c r="N4832" s="133"/>
      <c r="O4832" s="4"/>
      <c r="P4832" s="4"/>
      <c r="Q4832" s="4"/>
      <c r="R4832" s="4"/>
      <c r="S4832" s="4"/>
      <c r="T4832" s="4"/>
      <c r="U4832" s="4"/>
      <c r="V4832" s="4"/>
      <c r="W4832" s="4"/>
      <c r="X4832" s="4"/>
    </row>
    <row r="4833" spans="1:24" ht="14.25" customHeight="1">
      <c r="A4833" s="4"/>
      <c r="B4833" s="125"/>
      <c r="C4833" s="126"/>
      <c r="D4833" s="15"/>
      <c r="E4833" s="10" t="e">
        <f>TRIM(VLOOKUP(D4833,TB!$B$9:$C$1500,2,FALSE))</f>
        <v>#N/A</v>
      </c>
      <c r="F4833" s="142"/>
      <c r="G4833" s="130"/>
      <c r="H4833" s="10"/>
      <c r="I4833" s="10"/>
      <c r="J4833" s="79" t="e">
        <f t="shared" si="312"/>
        <v>#VALUE!</v>
      </c>
      <c r="K4833" s="106"/>
      <c r="L4833" s="141"/>
      <c r="M4833" s="132"/>
      <c r="N4833" s="133"/>
      <c r="O4833" s="4"/>
      <c r="P4833" s="4"/>
      <c r="Q4833" s="4"/>
      <c r="R4833" s="4"/>
      <c r="S4833" s="4"/>
      <c r="T4833" s="4"/>
      <c r="U4833" s="4"/>
      <c r="V4833" s="4"/>
      <c r="W4833" s="4"/>
      <c r="X4833" s="4"/>
    </row>
    <row r="4834" spans="1:24" ht="14.25" customHeight="1">
      <c r="A4834" s="4"/>
      <c r="B4834" s="125">
        <v>46197</v>
      </c>
      <c r="C4834" s="126" t="s">
        <v>2604</v>
      </c>
      <c r="D4834" s="15" t="s">
        <v>2593</v>
      </c>
      <c r="E4834" s="10" t="str">
        <f>TRIM(VLOOKUP(D4834,TB!$B$9:$C$1500,2,FALSE))</f>
        <v>Oasis Blue 380Ml</v>
      </c>
      <c r="F4834" s="142" t="s">
        <v>2605</v>
      </c>
      <c r="G4834" s="130">
        <f>35*12</f>
        <v>420</v>
      </c>
      <c r="H4834" s="10">
        <v>3500000</v>
      </c>
      <c r="I4834" s="10"/>
      <c r="J4834" s="79" t="e">
        <f t="shared" si="312"/>
        <v>#VALUE!</v>
      </c>
      <c r="K4834" s="106"/>
      <c r="L4834" s="141"/>
      <c r="M4834" s="132"/>
      <c r="N4834" s="133"/>
      <c r="O4834" s="4"/>
      <c r="P4834" s="4"/>
      <c r="Q4834" s="4"/>
      <c r="R4834" s="4"/>
      <c r="S4834" s="4"/>
      <c r="T4834" s="4"/>
      <c r="U4834" s="4"/>
      <c r="V4834" s="4"/>
      <c r="W4834" s="4"/>
      <c r="X4834" s="4"/>
    </row>
    <row r="4835" spans="1:24" ht="14.25" customHeight="1">
      <c r="A4835" s="4"/>
      <c r="B4835" s="125">
        <v>46197</v>
      </c>
      <c r="C4835" s="126" t="s">
        <v>2604</v>
      </c>
      <c r="D4835" s="15" t="s">
        <v>2606</v>
      </c>
      <c r="E4835" s="10" t="str">
        <f>TRIM(VLOOKUP(D4835,TB!$B$9:$C$1500,2,FALSE))</f>
        <v>Oasis Sparkling 380Ml</v>
      </c>
      <c r="F4835" s="142" t="s">
        <v>2607</v>
      </c>
      <c r="G4835" s="130">
        <f>4*12</f>
        <v>48</v>
      </c>
      <c r="H4835" s="10">
        <v>440000</v>
      </c>
      <c r="I4835" s="10"/>
      <c r="J4835" s="79" t="e">
        <f t="shared" si="312"/>
        <v>#VALUE!</v>
      </c>
      <c r="K4835" s="106"/>
      <c r="L4835" s="141"/>
      <c r="M4835" s="132"/>
      <c r="N4835" s="133"/>
      <c r="O4835" s="4"/>
      <c r="P4835" s="4"/>
      <c r="Q4835" s="4"/>
      <c r="R4835" s="4"/>
      <c r="S4835" s="4"/>
      <c r="T4835" s="4"/>
      <c r="U4835" s="4"/>
      <c r="V4835" s="4"/>
      <c r="W4835" s="4"/>
      <c r="X4835" s="4"/>
    </row>
    <row r="4836" spans="1:24" ht="14.25" customHeight="1">
      <c r="A4836" s="4"/>
      <c r="B4836" s="125">
        <v>46197</v>
      </c>
      <c r="C4836" s="126" t="s">
        <v>2604</v>
      </c>
      <c r="D4836" s="15" t="s">
        <v>285</v>
      </c>
      <c r="E4836" s="10" t="str">
        <f>TRIM(VLOOKUP(D4836,TB!$B$9:$C$1500,2,FALSE))</f>
        <v>Misc Cash Purchase</v>
      </c>
      <c r="F4836" s="142" t="s">
        <v>2608</v>
      </c>
      <c r="G4836" s="130"/>
      <c r="H4836" s="10"/>
      <c r="I4836" s="10">
        <v>3940000</v>
      </c>
      <c r="J4836" s="79" t="e">
        <f t="shared" si="312"/>
        <v>#VALUE!</v>
      </c>
      <c r="K4836" s="106"/>
      <c r="L4836" s="141"/>
      <c r="M4836" s="132"/>
      <c r="N4836" s="133"/>
      <c r="O4836" s="4"/>
      <c r="P4836" s="4"/>
      <c r="Q4836" s="4"/>
      <c r="R4836" s="4"/>
      <c r="S4836" s="4"/>
      <c r="T4836" s="4"/>
      <c r="U4836" s="4"/>
      <c r="V4836" s="4"/>
      <c r="W4836" s="4"/>
      <c r="X4836" s="4"/>
    </row>
    <row r="4837" spans="1:24" ht="14.25" customHeight="1">
      <c r="A4837" s="4"/>
      <c r="B4837" s="125"/>
      <c r="C4837" s="126"/>
      <c r="D4837" s="15"/>
      <c r="E4837" s="10" t="e">
        <f>TRIM(VLOOKUP(D4837,TB!$B$9:$C$1500,2,FALSE))</f>
        <v>#N/A</v>
      </c>
      <c r="F4837" s="186"/>
      <c r="G4837" s="130"/>
      <c r="H4837" s="10"/>
      <c r="I4837" s="10"/>
      <c r="J4837" s="79" t="e">
        <f t="shared" si="312"/>
        <v>#VALUE!</v>
      </c>
      <c r="K4837" s="106"/>
      <c r="L4837" s="141"/>
      <c r="M4837" s="132"/>
      <c r="N4837" s="133"/>
      <c r="O4837" s="4"/>
      <c r="P4837" s="4"/>
      <c r="Q4837" s="4"/>
      <c r="R4837" s="4"/>
      <c r="S4837" s="4"/>
      <c r="T4837" s="4"/>
      <c r="U4837" s="4"/>
      <c r="V4837" s="4"/>
      <c r="W4837" s="4"/>
      <c r="X4837" s="4"/>
    </row>
    <row r="4838" spans="1:24" ht="14.25" customHeight="1">
      <c r="A4838" s="4"/>
      <c r="B4838" s="125">
        <v>46203</v>
      </c>
      <c r="C4838" s="126" t="s">
        <v>2609</v>
      </c>
      <c r="D4838" s="15" t="s">
        <v>815</v>
      </c>
      <c r="E4838" s="10" t="str">
        <f>TRIM(VLOOKUP(D4838,TB!$B$9:$C$1500,2,FALSE))</f>
        <v>Other staff expenses</v>
      </c>
      <c r="F4838" s="142" t="s">
        <v>2610</v>
      </c>
      <c r="G4838" s="130">
        <v>66</v>
      </c>
      <c r="H4838" s="10">
        <v>1122000</v>
      </c>
      <c r="I4838" s="10"/>
      <c r="J4838" s="79" t="e">
        <f t="shared" si="312"/>
        <v>#VALUE!</v>
      </c>
      <c r="K4838" s="106">
        <f>H4838/G4838</f>
        <v>17000</v>
      </c>
      <c r="L4838" s="141"/>
      <c r="M4838" s="132"/>
      <c r="N4838" s="133"/>
      <c r="O4838" s="4"/>
      <c r="P4838" s="4"/>
      <c r="Q4838" s="4"/>
      <c r="R4838" s="4"/>
      <c r="S4838" s="4"/>
      <c r="T4838" s="4"/>
      <c r="U4838" s="4"/>
      <c r="V4838" s="4"/>
      <c r="W4838" s="4"/>
      <c r="X4838" s="4"/>
    </row>
    <row r="4839" spans="1:24" ht="14.25" customHeight="1">
      <c r="A4839" s="4"/>
      <c r="B4839" s="125">
        <v>46203</v>
      </c>
      <c r="C4839" s="126" t="s">
        <v>2609</v>
      </c>
      <c r="D4839" s="15" t="s">
        <v>285</v>
      </c>
      <c r="E4839" s="10" t="str">
        <f>TRIM(VLOOKUP(D4839,TB!$B$9:$C$1500,2,FALSE))</f>
        <v>Misc Cash Purchase</v>
      </c>
      <c r="F4839" s="142" t="s">
        <v>2610</v>
      </c>
      <c r="G4839" s="130"/>
      <c r="H4839" s="10"/>
      <c r="I4839" s="10">
        <v>1122000</v>
      </c>
      <c r="J4839" s="79" t="e">
        <f t="shared" si="312"/>
        <v>#VALUE!</v>
      </c>
      <c r="K4839" s="106"/>
      <c r="L4839" s="141"/>
      <c r="M4839" s="132"/>
      <c r="N4839" s="133"/>
      <c r="O4839" s="4"/>
      <c r="P4839" s="4"/>
      <c r="Q4839" s="4"/>
      <c r="R4839" s="4"/>
      <c r="S4839" s="4"/>
      <c r="T4839" s="4"/>
      <c r="U4839" s="4"/>
      <c r="V4839" s="4"/>
      <c r="W4839" s="4"/>
      <c r="X4839" s="4"/>
    </row>
    <row r="4840" spans="1:24" ht="14.25" customHeight="1">
      <c r="A4840" s="4"/>
      <c r="B4840" s="125"/>
      <c r="C4840" s="126"/>
      <c r="D4840" s="15"/>
      <c r="E4840" s="10" t="e">
        <f>TRIM(VLOOKUP(D4840,TB!$B$9:$C$1500,2,FALSE))</f>
        <v>#N/A</v>
      </c>
      <c r="F4840" s="186"/>
      <c r="G4840" s="130"/>
      <c r="H4840" s="10"/>
      <c r="I4840" s="10"/>
      <c r="J4840" s="79" t="e">
        <f t="shared" si="312"/>
        <v>#VALUE!</v>
      </c>
      <c r="K4840" s="106"/>
      <c r="L4840" s="141"/>
      <c r="M4840" s="132"/>
      <c r="N4840" s="133"/>
      <c r="O4840" s="4"/>
      <c r="P4840" s="4"/>
      <c r="Q4840" s="4"/>
      <c r="R4840" s="4"/>
      <c r="S4840" s="4"/>
      <c r="T4840" s="4"/>
      <c r="U4840" s="4"/>
      <c r="V4840" s="4"/>
      <c r="W4840" s="4"/>
      <c r="X4840" s="4"/>
    </row>
    <row r="4841" spans="1:24" ht="14.25" customHeight="1">
      <c r="A4841" s="4"/>
      <c r="B4841" s="125">
        <v>46175</v>
      </c>
      <c r="C4841" s="126" t="s">
        <v>2611</v>
      </c>
      <c r="D4841" s="15" t="s">
        <v>2612</v>
      </c>
      <c r="E4841" s="10" t="str">
        <f>TRIM(VLOOKUP(D4841,TB!$B$9:$C$1500,2,FALSE))</f>
        <v>Water/Gas etc</v>
      </c>
      <c r="F4841" s="186" t="s">
        <v>2613</v>
      </c>
      <c r="G4841" s="130">
        <v>1</v>
      </c>
      <c r="H4841" s="10">
        <v>1063000</v>
      </c>
      <c r="I4841" s="10"/>
      <c r="J4841" s="79" t="e">
        <f t="shared" si="312"/>
        <v>#VALUE!</v>
      </c>
      <c r="K4841" s="106"/>
      <c r="L4841" s="141"/>
      <c r="M4841" s="132"/>
      <c r="N4841" s="133"/>
      <c r="O4841" s="4"/>
      <c r="P4841" s="4"/>
      <c r="Q4841" s="4"/>
      <c r="R4841" s="4"/>
      <c r="S4841" s="4"/>
      <c r="T4841" s="4"/>
      <c r="U4841" s="4"/>
      <c r="V4841" s="4"/>
      <c r="W4841" s="4"/>
      <c r="X4841" s="4"/>
    </row>
    <row r="4842" spans="1:24" ht="14.25" customHeight="1">
      <c r="A4842" s="4"/>
      <c r="B4842" s="125">
        <v>46175</v>
      </c>
      <c r="C4842" s="126" t="s">
        <v>2611</v>
      </c>
      <c r="D4842" s="15" t="s">
        <v>285</v>
      </c>
      <c r="E4842" s="10" t="str">
        <f>TRIM(VLOOKUP(D4842,TB!$B$9:$C$1500,2,FALSE))</f>
        <v>Misc Cash Purchase</v>
      </c>
      <c r="F4842" s="186" t="s">
        <v>2614</v>
      </c>
      <c r="G4842" s="130"/>
      <c r="H4842" s="10"/>
      <c r="I4842" s="10">
        <v>1063000</v>
      </c>
      <c r="J4842" s="79" t="e">
        <f t="shared" si="312"/>
        <v>#VALUE!</v>
      </c>
      <c r="K4842" s="106"/>
      <c r="L4842" s="141"/>
      <c r="M4842" s="132"/>
      <c r="N4842" s="133"/>
      <c r="O4842" s="4"/>
      <c r="P4842" s="4"/>
      <c r="Q4842" s="4"/>
      <c r="R4842" s="4"/>
      <c r="S4842" s="4"/>
      <c r="T4842" s="4"/>
      <c r="U4842" s="4"/>
      <c r="V4842" s="4"/>
      <c r="W4842" s="4"/>
      <c r="X4842" s="4"/>
    </row>
    <row r="4843" spans="1:24" ht="14.25" customHeight="1">
      <c r="A4843" s="4"/>
      <c r="B4843" s="125"/>
      <c r="C4843" s="126"/>
      <c r="D4843" s="68"/>
      <c r="E4843" s="10" t="e">
        <f>TRIM(VLOOKUP(D4843,TB!$B$9:$C$1500,2,FALSE))</f>
        <v>#N/A</v>
      </c>
      <c r="F4843" s="142"/>
      <c r="G4843" s="130"/>
      <c r="H4843" s="10"/>
      <c r="I4843" s="10"/>
      <c r="J4843" s="79" t="e">
        <f t="shared" si="312"/>
        <v>#VALUE!</v>
      </c>
      <c r="K4843" s="106"/>
      <c r="L4843" s="141"/>
      <c r="M4843" s="132"/>
      <c r="N4843" s="133"/>
      <c r="O4843" s="4"/>
      <c r="P4843" s="4"/>
      <c r="Q4843" s="4"/>
      <c r="R4843" s="4"/>
      <c r="S4843" s="4"/>
      <c r="T4843" s="4"/>
      <c r="U4843" s="4"/>
      <c r="V4843" s="4"/>
      <c r="W4843" s="4"/>
      <c r="X4843" s="4"/>
    </row>
    <row r="4844" spans="1:24" ht="14.25" customHeight="1">
      <c r="A4844" s="4"/>
      <c r="B4844" s="125">
        <v>46178</v>
      </c>
      <c r="C4844" s="126" t="s">
        <v>2615</v>
      </c>
      <c r="D4844" s="15" t="s">
        <v>2612</v>
      </c>
      <c r="E4844" s="10" t="str">
        <f>TRIM(VLOOKUP(D4844,TB!$B$9:$C$1500,2,FALSE))</f>
        <v>Water/Gas etc</v>
      </c>
      <c r="F4844" s="185" t="s">
        <v>2616</v>
      </c>
      <c r="G4844" s="130">
        <v>1</v>
      </c>
      <c r="H4844" s="10">
        <v>1063000</v>
      </c>
      <c r="I4844" s="10"/>
      <c r="J4844" s="79" t="e">
        <f t="shared" si="312"/>
        <v>#VALUE!</v>
      </c>
      <c r="K4844" s="106"/>
      <c r="L4844" s="141"/>
      <c r="M4844" s="132"/>
      <c r="N4844" s="133"/>
      <c r="O4844" s="4"/>
      <c r="P4844" s="4"/>
      <c r="Q4844" s="4"/>
      <c r="R4844" s="4"/>
      <c r="S4844" s="4"/>
      <c r="T4844" s="4"/>
      <c r="U4844" s="4"/>
      <c r="V4844" s="4"/>
      <c r="W4844" s="4"/>
      <c r="X4844" s="4"/>
    </row>
    <row r="4845" spans="1:24" ht="14.25" customHeight="1">
      <c r="A4845" s="4"/>
      <c r="B4845" s="125">
        <v>46178</v>
      </c>
      <c r="C4845" s="126" t="s">
        <v>2615</v>
      </c>
      <c r="D4845" s="15" t="s">
        <v>285</v>
      </c>
      <c r="E4845" s="10" t="str">
        <f>TRIM(VLOOKUP(D4845,TB!$B$9:$C$1500,2,FALSE))</f>
        <v>Misc Cash Purchase</v>
      </c>
      <c r="F4845" s="185" t="s">
        <v>2617</v>
      </c>
      <c r="G4845" s="130"/>
      <c r="H4845" s="10"/>
      <c r="I4845" s="10">
        <v>1063000</v>
      </c>
      <c r="J4845" s="79" t="e">
        <f t="shared" si="312"/>
        <v>#VALUE!</v>
      </c>
      <c r="K4845" s="106"/>
      <c r="L4845" s="141"/>
      <c r="M4845" s="132"/>
      <c r="N4845" s="133"/>
      <c r="O4845" s="4"/>
      <c r="P4845" s="4"/>
      <c r="Q4845" s="4"/>
      <c r="R4845" s="4"/>
      <c r="S4845" s="4"/>
      <c r="T4845" s="4"/>
      <c r="U4845" s="4"/>
      <c r="V4845" s="4"/>
      <c r="W4845" s="4"/>
      <c r="X4845" s="4"/>
    </row>
    <row r="4846" spans="1:24" ht="14.25" customHeight="1">
      <c r="A4846" s="4"/>
      <c r="B4846" s="125"/>
      <c r="C4846" s="126"/>
      <c r="D4846" s="68"/>
      <c r="E4846" s="10" t="e">
        <f>TRIM(VLOOKUP(D4846,TB!$B$9:$C$1500,2,FALSE))</f>
        <v>#N/A</v>
      </c>
      <c r="F4846" s="142"/>
      <c r="G4846" s="130"/>
      <c r="H4846" s="10"/>
      <c r="I4846" s="10"/>
      <c r="J4846" s="79" t="e">
        <f t="shared" si="312"/>
        <v>#VALUE!</v>
      </c>
      <c r="K4846" s="106"/>
      <c r="L4846" s="141"/>
      <c r="M4846" s="132"/>
      <c r="N4846" s="133"/>
      <c r="O4846" s="4"/>
      <c r="P4846" s="4"/>
      <c r="Q4846" s="4"/>
      <c r="R4846" s="4"/>
      <c r="S4846" s="4"/>
      <c r="T4846" s="4"/>
      <c r="U4846" s="4"/>
      <c r="V4846" s="4"/>
      <c r="W4846" s="4"/>
      <c r="X4846" s="4"/>
    </row>
    <row r="4847" spans="1:24" ht="14.25" customHeight="1">
      <c r="A4847" s="4"/>
      <c r="B4847" s="125">
        <v>46184</v>
      </c>
      <c r="C4847" s="126" t="s">
        <v>2618</v>
      </c>
      <c r="D4847" s="15" t="s">
        <v>2612</v>
      </c>
      <c r="E4847" s="10" t="str">
        <f>TRIM(VLOOKUP(D4847,TB!$B$9:$C$1500,2,FALSE))</f>
        <v>Water/Gas etc</v>
      </c>
      <c r="F4847" s="185" t="s">
        <v>2619</v>
      </c>
      <c r="G4847" s="130">
        <v>1</v>
      </c>
      <c r="H4847" s="10">
        <v>1063000</v>
      </c>
      <c r="I4847" s="10"/>
      <c r="J4847" s="79" t="e">
        <f t="shared" si="312"/>
        <v>#VALUE!</v>
      </c>
      <c r="K4847" s="106"/>
      <c r="L4847" s="141"/>
      <c r="M4847" s="132"/>
      <c r="N4847" s="133"/>
      <c r="O4847" s="4"/>
      <c r="P4847" s="4"/>
      <c r="Q4847" s="4"/>
      <c r="R4847" s="4"/>
      <c r="S4847" s="4"/>
      <c r="T4847" s="4"/>
      <c r="U4847" s="4"/>
      <c r="V4847" s="4"/>
      <c r="W4847" s="4"/>
      <c r="X4847" s="4"/>
    </row>
    <row r="4848" spans="1:24" ht="14.25" customHeight="1">
      <c r="A4848" s="4"/>
      <c r="B4848" s="125">
        <v>46184</v>
      </c>
      <c r="C4848" s="126" t="s">
        <v>2618</v>
      </c>
      <c r="D4848" s="15" t="s">
        <v>285</v>
      </c>
      <c r="E4848" s="10" t="str">
        <f>TRIM(VLOOKUP(D4848,TB!$B$9:$C$1500,2,FALSE))</f>
        <v>Misc Cash Purchase</v>
      </c>
      <c r="F4848" s="185" t="s">
        <v>2620</v>
      </c>
      <c r="G4848" s="130"/>
      <c r="H4848" s="10"/>
      <c r="I4848" s="10">
        <v>1063000</v>
      </c>
      <c r="J4848" s="79" t="e">
        <f t="shared" si="312"/>
        <v>#VALUE!</v>
      </c>
      <c r="K4848" s="106"/>
      <c r="L4848" s="141"/>
      <c r="M4848" s="132"/>
      <c r="N4848" s="133"/>
      <c r="O4848" s="4"/>
      <c r="P4848" s="4"/>
      <c r="Q4848" s="4"/>
      <c r="R4848" s="4"/>
      <c r="S4848" s="4"/>
      <c r="T4848" s="4"/>
      <c r="U4848" s="4"/>
      <c r="V4848" s="4"/>
      <c r="W4848" s="4"/>
      <c r="X4848" s="4"/>
    </row>
    <row r="4849" spans="1:24" ht="14.25" customHeight="1">
      <c r="A4849" s="4"/>
      <c r="B4849" s="125"/>
      <c r="C4849" s="126"/>
      <c r="D4849" s="68"/>
      <c r="E4849" s="10" t="e">
        <f>TRIM(VLOOKUP(D4849,TB!$B$9:$C$1500,2,FALSE))</f>
        <v>#N/A</v>
      </c>
      <c r="F4849" s="142"/>
      <c r="G4849" s="130"/>
      <c r="H4849" s="10"/>
      <c r="I4849" s="10"/>
      <c r="J4849" s="79" t="e">
        <f t="shared" si="312"/>
        <v>#VALUE!</v>
      </c>
      <c r="K4849" s="106"/>
      <c r="L4849" s="141"/>
      <c r="M4849" s="132"/>
      <c r="N4849" s="133"/>
      <c r="O4849" s="4"/>
      <c r="P4849" s="4"/>
      <c r="Q4849" s="4"/>
      <c r="R4849" s="4"/>
      <c r="S4849" s="4"/>
      <c r="T4849" s="4"/>
      <c r="U4849" s="4"/>
      <c r="V4849" s="4"/>
      <c r="W4849" s="4"/>
      <c r="X4849" s="4"/>
    </row>
    <row r="4850" spans="1:24" ht="14.25" customHeight="1">
      <c r="A4850" s="4"/>
      <c r="B4850" s="125">
        <v>46189</v>
      </c>
      <c r="C4850" s="126" t="s">
        <v>2621</v>
      </c>
      <c r="D4850" s="15" t="s">
        <v>2612</v>
      </c>
      <c r="E4850" s="10" t="str">
        <f>TRIM(VLOOKUP(D4850,TB!$B$9:$C$1500,2,FALSE))</f>
        <v>Water/Gas etc</v>
      </c>
      <c r="F4850" s="185" t="s">
        <v>2622</v>
      </c>
      <c r="G4850" s="130">
        <v>1</v>
      </c>
      <c r="H4850" s="10">
        <v>1063000</v>
      </c>
      <c r="I4850" s="10"/>
      <c r="J4850" s="79" t="e">
        <f t="shared" si="312"/>
        <v>#VALUE!</v>
      </c>
      <c r="K4850" s="106"/>
      <c r="L4850" s="141"/>
      <c r="M4850" s="132"/>
      <c r="N4850" s="133"/>
      <c r="O4850" s="4"/>
      <c r="P4850" s="4"/>
      <c r="Q4850" s="4"/>
      <c r="R4850" s="4"/>
      <c r="S4850" s="4"/>
      <c r="T4850" s="4"/>
      <c r="U4850" s="4"/>
      <c r="V4850" s="4"/>
      <c r="W4850" s="4"/>
      <c r="X4850" s="4"/>
    </row>
    <row r="4851" spans="1:24" ht="14.25" customHeight="1">
      <c r="A4851" s="4"/>
      <c r="B4851" s="125">
        <v>46189</v>
      </c>
      <c r="C4851" s="126" t="s">
        <v>2621</v>
      </c>
      <c r="D4851" s="15" t="s">
        <v>285</v>
      </c>
      <c r="E4851" s="10" t="str">
        <f>TRIM(VLOOKUP(D4851,TB!$B$9:$C$1500,2,FALSE))</f>
        <v>Misc Cash Purchase</v>
      </c>
      <c r="F4851" s="185" t="s">
        <v>2623</v>
      </c>
      <c r="G4851" s="130"/>
      <c r="H4851" s="10"/>
      <c r="I4851" s="10">
        <v>1063000</v>
      </c>
      <c r="J4851" s="79" t="e">
        <f t="shared" si="312"/>
        <v>#VALUE!</v>
      </c>
      <c r="K4851" s="106"/>
      <c r="L4851" s="141"/>
      <c r="M4851" s="132"/>
      <c r="N4851" s="133"/>
      <c r="O4851" s="4"/>
      <c r="P4851" s="4"/>
      <c r="Q4851" s="4"/>
      <c r="R4851" s="4"/>
      <c r="S4851" s="4"/>
      <c r="T4851" s="4"/>
      <c r="U4851" s="4"/>
      <c r="V4851" s="4"/>
      <c r="W4851" s="4"/>
      <c r="X4851" s="4"/>
    </row>
    <row r="4852" spans="1:24" ht="14.25" customHeight="1">
      <c r="A4852" s="4"/>
      <c r="B4852" s="125"/>
      <c r="C4852" s="126"/>
      <c r="D4852" s="68"/>
      <c r="E4852" s="10" t="e">
        <f>TRIM(VLOOKUP(D4852,TB!$B$9:$C$1500,2,FALSE))</f>
        <v>#N/A</v>
      </c>
      <c r="F4852" s="142"/>
      <c r="G4852" s="130"/>
      <c r="H4852" s="10"/>
      <c r="I4852" s="10"/>
      <c r="J4852" s="79" t="e">
        <f t="shared" si="312"/>
        <v>#VALUE!</v>
      </c>
      <c r="K4852" s="106"/>
      <c r="L4852" s="141"/>
      <c r="M4852" s="132"/>
      <c r="N4852" s="133"/>
      <c r="O4852" s="4"/>
      <c r="P4852" s="4"/>
      <c r="Q4852" s="4"/>
      <c r="R4852" s="4"/>
      <c r="S4852" s="4"/>
      <c r="T4852" s="4"/>
      <c r="U4852" s="4"/>
      <c r="V4852" s="4"/>
      <c r="W4852" s="4"/>
      <c r="X4852" s="4"/>
    </row>
    <row r="4853" spans="1:24" ht="14.25" customHeight="1">
      <c r="A4853" s="4"/>
      <c r="B4853" s="125">
        <v>46174</v>
      </c>
      <c r="C4853" s="126" t="s">
        <v>2624</v>
      </c>
      <c r="D4853" s="15" t="s">
        <v>140</v>
      </c>
      <c r="E4853" s="10" t="str">
        <f>TRIM(VLOOKUP(D4853,TB!$B$9:$C$1500,2,FALSE))</f>
        <v>Prepaid others</v>
      </c>
      <c r="F4853" s="186" t="s">
        <v>2625</v>
      </c>
      <c r="G4853" s="130"/>
      <c r="H4853" s="10">
        <v>1063000</v>
      </c>
      <c r="I4853" s="10"/>
      <c r="J4853" s="79" t="e">
        <f t="shared" si="312"/>
        <v>#VALUE!</v>
      </c>
      <c r="K4853" s="106"/>
      <c r="L4853" s="141"/>
      <c r="M4853" s="132"/>
      <c r="N4853" s="133"/>
      <c r="O4853" s="4"/>
      <c r="P4853" s="4"/>
      <c r="Q4853" s="4"/>
      <c r="R4853" s="4"/>
      <c r="S4853" s="4"/>
      <c r="T4853" s="4"/>
      <c r="U4853" s="4"/>
      <c r="V4853" s="4"/>
      <c r="W4853" s="4"/>
      <c r="X4853" s="4"/>
    </row>
    <row r="4854" spans="1:24" ht="14.25" customHeight="1">
      <c r="A4854" s="4"/>
      <c r="B4854" s="125">
        <v>46174</v>
      </c>
      <c r="C4854" s="126" t="s">
        <v>2624</v>
      </c>
      <c r="D4854" s="15" t="s">
        <v>285</v>
      </c>
      <c r="E4854" s="10" t="str">
        <f>TRIM(VLOOKUP(D4854,TB!$B$9:$C$1500,2,FALSE))</f>
        <v>Misc Cash Purchase</v>
      </c>
      <c r="F4854" s="186" t="s">
        <v>2625</v>
      </c>
      <c r="G4854" s="130"/>
      <c r="H4854" s="10"/>
      <c r="I4854" s="10">
        <v>1063000</v>
      </c>
      <c r="J4854" s="79" t="e">
        <f t="shared" si="312"/>
        <v>#VALUE!</v>
      </c>
      <c r="K4854" s="106"/>
      <c r="L4854" s="141"/>
      <c r="M4854" s="132"/>
      <c r="N4854" s="133"/>
      <c r="O4854" s="4"/>
      <c r="P4854" s="4"/>
      <c r="Q4854" s="4"/>
      <c r="R4854" s="4"/>
      <c r="S4854" s="4"/>
      <c r="T4854" s="4"/>
      <c r="U4854" s="4"/>
      <c r="V4854" s="4"/>
      <c r="W4854" s="4"/>
      <c r="X4854" s="4"/>
    </row>
    <row r="4855" spans="1:24" ht="14.25" customHeight="1">
      <c r="A4855" s="4"/>
      <c r="B4855" s="125"/>
      <c r="C4855" s="126"/>
      <c r="D4855" s="68"/>
      <c r="E4855" s="10" t="e">
        <f>TRIM(VLOOKUP(D4855,TB!$B$9:$C$1500,2,FALSE))</f>
        <v>#N/A</v>
      </c>
      <c r="F4855" s="142"/>
      <c r="G4855" s="130"/>
      <c r="H4855" s="10"/>
      <c r="I4855" s="10"/>
      <c r="J4855" s="79" t="e">
        <f t="shared" si="312"/>
        <v>#VALUE!</v>
      </c>
      <c r="K4855" s="106"/>
      <c r="L4855" s="141"/>
      <c r="M4855" s="132"/>
      <c r="N4855" s="133"/>
      <c r="O4855" s="4"/>
      <c r="P4855" s="4"/>
      <c r="Q4855" s="4"/>
      <c r="R4855" s="4"/>
      <c r="S4855" s="4"/>
      <c r="T4855" s="4"/>
      <c r="U4855" s="4"/>
      <c r="V4855" s="4"/>
      <c r="W4855" s="4"/>
      <c r="X4855" s="4"/>
    </row>
    <row r="4856" spans="1:24" ht="14.25" customHeight="1">
      <c r="A4856" s="4"/>
      <c r="B4856" s="125">
        <v>46195</v>
      </c>
      <c r="C4856" s="126" t="s">
        <v>2626</v>
      </c>
      <c r="D4856" s="15" t="s">
        <v>2612</v>
      </c>
      <c r="E4856" s="10" t="str">
        <f>TRIM(VLOOKUP(D4856,TB!$B$9:$C$1500,2,FALSE))</f>
        <v>Water/Gas etc</v>
      </c>
      <c r="F4856" s="198" t="s">
        <v>2627</v>
      </c>
      <c r="G4856" s="130">
        <v>1</v>
      </c>
      <c r="H4856" s="155">
        <v>240000</v>
      </c>
      <c r="I4856" s="10"/>
      <c r="J4856" s="79" t="e">
        <f t="shared" si="312"/>
        <v>#VALUE!</v>
      </c>
      <c r="K4856" s="106"/>
      <c r="L4856" s="141"/>
      <c r="M4856" s="132"/>
      <c r="N4856" s="133"/>
      <c r="O4856" s="4"/>
      <c r="P4856" s="4"/>
      <c r="Q4856" s="4"/>
      <c r="R4856" s="4"/>
      <c r="S4856" s="4"/>
      <c r="T4856" s="4"/>
      <c r="U4856" s="4"/>
      <c r="V4856" s="4"/>
      <c r="W4856" s="4"/>
      <c r="X4856" s="4"/>
    </row>
    <row r="4857" spans="1:24" ht="14.25" customHeight="1">
      <c r="A4857" s="4"/>
      <c r="B4857" s="125">
        <v>46195</v>
      </c>
      <c r="C4857" s="126" t="s">
        <v>2626</v>
      </c>
      <c r="D4857" s="15" t="s">
        <v>2612</v>
      </c>
      <c r="E4857" s="10" t="str">
        <f>TRIM(VLOOKUP(D4857,TB!$B$9:$C$1500,2,FALSE))</f>
        <v>Water/Gas etc</v>
      </c>
      <c r="F4857" s="198" t="s">
        <v>2628</v>
      </c>
      <c r="G4857" s="130">
        <v>1</v>
      </c>
      <c r="H4857" s="155">
        <v>1063000</v>
      </c>
      <c r="I4857" s="10"/>
      <c r="J4857" s="79" t="e">
        <f t="shared" si="312"/>
        <v>#VALUE!</v>
      </c>
      <c r="K4857" s="106"/>
      <c r="L4857" s="141"/>
      <c r="M4857" s="132"/>
      <c r="N4857" s="133"/>
      <c r="O4857" s="4"/>
      <c r="P4857" s="4"/>
      <c r="Q4857" s="4"/>
      <c r="R4857" s="4"/>
      <c r="S4857" s="4"/>
      <c r="T4857" s="4"/>
      <c r="U4857" s="4"/>
      <c r="V4857" s="4"/>
      <c r="W4857" s="4"/>
      <c r="X4857" s="4"/>
    </row>
    <row r="4858" spans="1:24" ht="14.25" customHeight="1">
      <c r="A4858" s="4"/>
      <c r="B4858" s="125">
        <v>46195</v>
      </c>
      <c r="C4858" s="126" t="s">
        <v>2626</v>
      </c>
      <c r="D4858" s="15" t="s">
        <v>285</v>
      </c>
      <c r="E4858" s="10" t="str">
        <f>TRIM(VLOOKUP(D4858,TB!$B$9:$C$1500,2,FALSE))</f>
        <v>Misc Cash Purchase</v>
      </c>
      <c r="F4858" s="198" t="s">
        <v>2629</v>
      </c>
      <c r="G4858" s="130"/>
      <c r="H4858" s="155"/>
      <c r="I4858" s="10">
        <v>1303000</v>
      </c>
      <c r="J4858" s="79" t="e">
        <f t="shared" si="312"/>
        <v>#VALUE!</v>
      </c>
      <c r="K4858" s="106"/>
      <c r="L4858" s="141"/>
      <c r="M4858" s="132"/>
      <c r="N4858" s="133"/>
      <c r="O4858" s="4"/>
      <c r="P4858" s="4"/>
      <c r="Q4858" s="4"/>
      <c r="R4858" s="4"/>
      <c r="S4858" s="4"/>
      <c r="T4858" s="4"/>
      <c r="U4858" s="4"/>
      <c r="V4858" s="4"/>
      <c r="W4858" s="4"/>
      <c r="X4858" s="4"/>
    </row>
    <row r="4859" spans="1:24" ht="14.25" customHeight="1">
      <c r="A4859" s="4"/>
      <c r="B4859" s="125"/>
      <c r="C4859" s="126"/>
      <c r="D4859" s="15"/>
      <c r="E4859" s="10" t="e">
        <f>TRIM(VLOOKUP(D4859,TB!$B$9:$C$1500,2,FALSE))</f>
        <v>#N/A</v>
      </c>
      <c r="F4859" s="198" t="s">
        <v>2630</v>
      </c>
      <c r="G4859" s="130"/>
      <c r="H4859" s="155"/>
      <c r="I4859" s="10"/>
      <c r="J4859" s="79" t="e">
        <f t="shared" si="312"/>
        <v>#VALUE!</v>
      </c>
      <c r="K4859" s="106"/>
      <c r="L4859" s="141"/>
      <c r="M4859" s="132"/>
      <c r="N4859" s="133"/>
      <c r="O4859" s="4"/>
      <c r="P4859" s="4"/>
      <c r="Q4859" s="4"/>
      <c r="R4859" s="4"/>
      <c r="S4859" s="4"/>
      <c r="T4859" s="4"/>
      <c r="U4859" s="4"/>
      <c r="V4859" s="4"/>
      <c r="W4859" s="4"/>
      <c r="X4859" s="4"/>
    </row>
    <row r="4860" spans="1:24" ht="14.25" customHeight="1">
      <c r="A4860" s="4"/>
      <c r="B4860" s="125">
        <v>46202</v>
      </c>
      <c r="C4860" s="126" t="s">
        <v>2631</v>
      </c>
      <c r="D4860" s="15" t="s">
        <v>2612</v>
      </c>
      <c r="E4860" s="10" t="str">
        <f>TRIM(VLOOKUP(D4860,TB!$B$9:$C$1500,2,FALSE))</f>
        <v>Water/Gas etc</v>
      </c>
      <c r="F4860" s="198" t="s">
        <v>2632</v>
      </c>
      <c r="G4860" s="130"/>
      <c r="H4860" s="155">
        <v>1070000</v>
      </c>
      <c r="I4860" s="10"/>
      <c r="J4860" s="79" t="e">
        <f t="shared" si="312"/>
        <v>#VALUE!</v>
      </c>
      <c r="K4860" s="106"/>
      <c r="L4860" s="141"/>
      <c r="M4860" s="132"/>
      <c r="N4860" s="133"/>
      <c r="O4860" s="4"/>
      <c r="P4860" s="4"/>
      <c r="Q4860" s="4"/>
      <c r="R4860" s="4"/>
      <c r="S4860" s="4"/>
      <c r="T4860" s="4"/>
      <c r="U4860" s="4"/>
      <c r="V4860" s="4"/>
      <c r="W4860" s="4"/>
      <c r="X4860" s="4"/>
    </row>
    <row r="4861" spans="1:24" ht="14.25" customHeight="1">
      <c r="A4861" s="4"/>
      <c r="B4861" s="125">
        <v>46202</v>
      </c>
      <c r="C4861" s="126" t="s">
        <v>2631</v>
      </c>
      <c r="D4861" s="15" t="s">
        <v>285</v>
      </c>
      <c r="E4861" s="10" t="str">
        <f>TRIM(VLOOKUP(D4861,TB!$B$9:$C$1500,2,FALSE))</f>
        <v>Misc Cash Purchase</v>
      </c>
      <c r="F4861" s="198" t="s">
        <v>2633</v>
      </c>
      <c r="G4861" s="130"/>
      <c r="H4861" s="155"/>
      <c r="I4861" s="155">
        <v>1070000</v>
      </c>
      <c r="J4861" s="79" t="e">
        <f t="shared" si="312"/>
        <v>#VALUE!</v>
      </c>
      <c r="K4861" s="106"/>
      <c r="L4861" s="141"/>
      <c r="M4861" s="132"/>
      <c r="N4861" s="133"/>
      <c r="O4861" s="4"/>
      <c r="P4861" s="4"/>
      <c r="Q4861" s="4"/>
      <c r="R4861" s="4"/>
      <c r="S4861" s="4"/>
      <c r="T4861" s="4"/>
      <c r="U4861" s="4"/>
      <c r="V4861" s="4"/>
      <c r="W4861" s="4"/>
      <c r="X4861" s="4"/>
    </row>
    <row r="4862" spans="1:24" ht="14.25" customHeight="1">
      <c r="A4862" s="4"/>
      <c r="B4862" s="125"/>
      <c r="C4862" s="126"/>
      <c r="D4862" s="15"/>
      <c r="E4862" s="10" t="e">
        <f>TRIM(VLOOKUP(D4862,TB!$B$9:$C$1500,2,FALSE))</f>
        <v>#N/A</v>
      </c>
      <c r="F4862" s="185"/>
      <c r="G4862" s="130"/>
      <c r="H4862" s="155"/>
      <c r="I4862" s="10"/>
      <c r="J4862" s="79" t="e">
        <f t="shared" si="312"/>
        <v>#VALUE!</v>
      </c>
      <c r="K4862" s="106"/>
      <c r="L4862" s="141"/>
      <c r="M4862" s="132"/>
      <c r="N4862" s="133"/>
      <c r="O4862" s="4"/>
      <c r="P4862" s="4"/>
      <c r="Q4862" s="4"/>
      <c r="R4862" s="4"/>
      <c r="S4862" s="4"/>
      <c r="T4862" s="4"/>
      <c r="U4862" s="4"/>
      <c r="V4862" s="4"/>
      <c r="W4862" s="4"/>
      <c r="X4862" s="4"/>
    </row>
    <row r="4863" spans="1:24" ht="14.25" customHeight="1">
      <c r="A4863" s="4"/>
      <c r="B4863" s="125">
        <v>46182</v>
      </c>
      <c r="C4863" s="126" t="s">
        <v>2634</v>
      </c>
      <c r="D4863" s="15" t="s">
        <v>2635</v>
      </c>
      <c r="E4863" s="10" t="str">
        <f>TRIM(VLOOKUP(D4863,TB!$B$9:$C$1500,2,FALSE))</f>
        <v>Ketchup Sweet</v>
      </c>
      <c r="F4863" s="185" t="s">
        <v>2636</v>
      </c>
      <c r="G4863" s="130">
        <f>6*2</f>
        <v>12</v>
      </c>
      <c r="H4863" s="155">
        <v>336560.00310000003</v>
      </c>
      <c r="I4863" s="10"/>
      <c r="J4863" s="79" t="e">
        <f t="shared" si="312"/>
        <v>#VALUE!</v>
      </c>
      <c r="K4863" s="106">
        <f t="shared" ref="K4863:K4864" si="325">H4863*11%</f>
        <v>37021.600341000005</v>
      </c>
      <c r="L4863" s="141">
        <f t="shared" ref="L4863:L4864" si="326">H4863+K4863</f>
        <v>373581.60344100004</v>
      </c>
      <c r="M4863" s="132"/>
      <c r="N4863" s="133"/>
      <c r="O4863" s="4"/>
      <c r="P4863" s="4"/>
      <c r="Q4863" s="4"/>
      <c r="R4863" s="4"/>
      <c r="S4863" s="4"/>
      <c r="T4863" s="4"/>
      <c r="U4863" s="4"/>
      <c r="V4863" s="4"/>
      <c r="W4863" s="4"/>
      <c r="X4863" s="4"/>
    </row>
    <row r="4864" spans="1:24" ht="14.25" customHeight="1">
      <c r="A4864" s="4"/>
      <c r="B4864" s="125">
        <v>46182</v>
      </c>
      <c r="C4864" s="126" t="s">
        <v>2634</v>
      </c>
      <c r="D4864" s="15" t="s">
        <v>2637</v>
      </c>
      <c r="E4864" s="10" t="str">
        <f>TRIM(VLOOKUP(D4864,TB!$B$9:$C$1500,2,FALSE))</f>
        <v>Cooking Oil 1 Ltr</v>
      </c>
      <c r="F4864" s="185" t="s">
        <v>2638</v>
      </c>
      <c r="G4864" s="130">
        <f>18*8</f>
        <v>144</v>
      </c>
      <c r="H4864" s="155">
        <v>3148000.0044</v>
      </c>
      <c r="I4864" s="10"/>
      <c r="J4864" s="79" t="e">
        <f t="shared" si="312"/>
        <v>#VALUE!</v>
      </c>
      <c r="K4864" s="106">
        <f t="shared" si="325"/>
        <v>346280.00048400002</v>
      </c>
      <c r="L4864" s="141">
        <f t="shared" si="326"/>
        <v>3494280.0048839999</v>
      </c>
      <c r="M4864" s="132"/>
      <c r="N4864" s="133"/>
      <c r="O4864" s="4"/>
      <c r="P4864" s="4"/>
      <c r="Q4864" s="4"/>
      <c r="R4864" s="4"/>
      <c r="S4864" s="4"/>
      <c r="T4864" s="4"/>
      <c r="U4864" s="4"/>
      <c r="V4864" s="4"/>
      <c r="W4864" s="4"/>
      <c r="X4864" s="4"/>
    </row>
    <row r="4865" spans="1:24" ht="14.25" customHeight="1">
      <c r="A4865" s="4"/>
      <c r="B4865" s="125">
        <v>46182</v>
      </c>
      <c r="C4865" s="126" t="s">
        <v>2634</v>
      </c>
      <c r="D4865" s="15" t="s">
        <v>285</v>
      </c>
      <c r="E4865" s="10" t="str">
        <f>TRIM(VLOOKUP(D4865,TB!$B$9:$C$1500,2,FALSE))</f>
        <v>Misc Cash Purchase</v>
      </c>
      <c r="F4865" s="185" t="s">
        <v>2639</v>
      </c>
      <c r="G4865" s="130"/>
      <c r="H4865" s="10"/>
      <c r="I4865" s="10">
        <v>3484560</v>
      </c>
      <c r="J4865" s="79" t="e">
        <f t="shared" si="312"/>
        <v>#VALUE!</v>
      </c>
      <c r="K4865" s="106"/>
      <c r="L4865" s="141"/>
      <c r="M4865" s="132"/>
      <c r="N4865" s="133"/>
      <c r="O4865" s="4"/>
      <c r="P4865" s="4"/>
      <c r="Q4865" s="4"/>
      <c r="R4865" s="4"/>
      <c r="S4865" s="4"/>
      <c r="T4865" s="4"/>
      <c r="U4865" s="4"/>
      <c r="V4865" s="4"/>
      <c r="W4865" s="4"/>
      <c r="X4865" s="4"/>
    </row>
    <row r="4866" spans="1:24" ht="14.25" customHeight="1">
      <c r="A4866" s="4"/>
      <c r="B4866" s="125"/>
      <c r="C4866" s="126"/>
      <c r="D4866" s="68"/>
      <c r="E4866" s="10" t="e">
        <f>TRIM(VLOOKUP(D4866,TB!$B$9:$C$1500,2,FALSE))</f>
        <v>#N/A</v>
      </c>
      <c r="F4866" s="142"/>
      <c r="G4866" s="130"/>
      <c r="H4866" s="10"/>
      <c r="I4866" s="10"/>
      <c r="J4866" s="79" t="e">
        <f t="shared" si="312"/>
        <v>#VALUE!</v>
      </c>
      <c r="K4866" s="106"/>
      <c r="L4866" s="141"/>
      <c r="M4866" s="132"/>
      <c r="N4866" s="133"/>
      <c r="O4866" s="4"/>
      <c r="P4866" s="4"/>
      <c r="Q4866" s="4"/>
      <c r="R4866" s="4"/>
      <c r="S4866" s="4"/>
      <c r="T4866" s="4"/>
      <c r="U4866" s="4"/>
      <c r="V4866" s="4"/>
      <c r="W4866" s="4"/>
      <c r="X4866" s="4"/>
    </row>
    <row r="4867" spans="1:24" ht="14.25" customHeight="1">
      <c r="A4867" s="4"/>
      <c r="B4867" s="125">
        <v>46186</v>
      </c>
      <c r="C4867" s="126" t="s">
        <v>2640</v>
      </c>
      <c r="D4867" s="15" t="s">
        <v>1843</v>
      </c>
      <c r="E4867" s="10" t="str">
        <f>TRIM(VLOOKUP(D4867,TB!$B$9:$C$1500,2,FALSE))</f>
        <v>Orange Slice Cheese</v>
      </c>
      <c r="F4867" s="185" t="s">
        <v>2641</v>
      </c>
      <c r="G4867" s="130">
        <f>2*28</f>
        <v>56</v>
      </c>
      <c r="H4867" s="10">
        <v>378000</v>
      </c>
      <c r="I4867" s="10"/>
      <c r="J4867" s="79" t="e">
        <f t="shared" si="312"/>
        <v>#VALUE!</v>
      </c>
      <c r="K4867" s="106"/>
      <c r="L4867" s="141"/>
      <c r="M4867" s="132"/>
      <c r="N4867" s="133"/>
      <c r="O4867" s="4"/>
      <c r="P4867" s="4"/>
      <c r="Q4867" s="4"/>
      <c r="R4867" s="4"/>
      <c r="S4867" s="4"/>
      <c r="T4867" s="4"/>
      <c r="U4867" s="4"/>
      <c r="V4867" s="4"/>
      <c r="W4867" s="4"/>
      <c r="X4867" s="4"/>
    </row>
    <row r="4868" spans="1:24" ht="14.25" customHeight="1">
      <c r="A4868" s="4"/>
      <c r="B4868" s="125">
        <v>46186</v>
      </c>
      <c r="C4868" s="126" t="s">
        <v>2640</v>
      </c>
      <c r="D4868" s="15" t="s">
        <v>285</v>
      </c>
      <c r="E4868" s="10" t="str">
        <f>TRIM(VLOOKUP(D4868,TB!$B$9:$C$1500,2,FALSE))</f>
        <v>Misc Cash Purchase</v>
      </c>
      <c r="F4868" s="185" t="s">
        <v>2642</v>
      </c>
      <c r="G4868" s="130"/>
      <c r="H4868" s="10"/>
      <c r="I4868" s="10">
        <v>378000</v>
      </c>
      <c r="J4868" s="79" t="e">
        <f t="shared" si="312"/>
        <v>#VALUE!</v>
      </c>
      <c r="K4868" s="106"/>
      <c r="L4868" s="141"/>
      <c r="M4868" s="132"/>
      <c r="N4868" s="133"/>
      <c r="O4868" s="4"/>
      <c r="P4868" s="4"/>
      <c r="Q4868" s="4"/>
      <c r="R4868" s="4"/>
      <c r="S4868" s="4"/>
      <c r="T4868" s="4"/>
      <c r="U4868" s="4"/>
      <c r="V4868" s="4"/>
      <c r="W4868" s="4"/>
      <c r="X4868" s="4"/>
    </row>
    <row r="4869" spans="1:24" ht="14.25" customHeight="1">
      <c r="A4869" s="4"/>
      <c r="B4869" s="125"/>
      <c r="C4869" s="126"/>
      <c r="D4869" s="68"/>
      <c r="E4869" s="10" t="e">
        <f>TRIM(VLOOKUP(D4869,TB!$B$9:$C$1500,2,FALSE))</f>
        <v>#N/A</v>
      </c>
      <c r="F4869" s="142"/>
      <c r="G4869" s="130"/>
      <c r="H4869" s="10"/>
      <c r="I4869" s="10"/>
      <c r="J4869" s="79" t="e">
        <f t="shared" si="312"/>
        <v>#VALUE!</v>
      </c>
      <c r="K4869" s="106"/>
      <c r="L4869" s="141"/>
      <c r="M4869" s="132"/>
      <c r="N4869" s="133"/>
      <c r="O4869" s="4"/>
      <c r="P4869" s="4"/>
      <c r="Q4869" s="4"/>
      <c r="R4869" s="4"/>
      <c r="S4869" s="4"/>
      <c r="T4869" s="4"/>
      <c r="U4869" s="4"/>
      <c r="V4869" s="4"/>
      <c r="W4869" s="4"/>
      <c r="X4869" s="4"/>
    </row>
    <row r="4870" spans="1:24" ht="14.25" customHeight="1">
      <c r="A4870" s="4"/>
      <c r="B4870" s="125">
        <v>46197</v>
      </c>
      <c r="C4870" s="126" t="s">
        <v>2643</v>
      </c>
      <c r="D4870" s="15" t="s">
        <v>617</v>
      </c>
      <c r="E4870" s="10" t="str">
        <f>TRIM(VLOOKUP(D4870,TB!$B$9:$C$1500,2,FALSE))</f>
        <v>Cleaning Supplies &amp; Expenses</v>
      </c>
      <c r="F4870" s="185" t="s">
        <v>2644</v>
      </c>
      <c r="G4870" s="130">
        <f>18*2</f>
        <v>36</v>
      </c>
      <c r="H4870" s="10">
        <v>787000</v>
      </c>
      <c r="I4870" s="10"/>
      <c r="J4870" s="79" t="e">
        <f t="shared" si="312"/>
        <v>#VALUE!</v>
      </c>
      <c r="K4870" s="106"/>
      <c r="L4870" s="141"/>
      <c r="M4870" s="132"/>
      <c r="N4870" s="133"/>
      <c r="O4870" s="4"/>
      <c r="P4870" s="4"/>
      <c r="Q4870" s="4"/>
      <c r="R4870" s="4"/>
      <c r="S4870" s="4"/>
      <c r="T4870" s="4"/>
      <c r="U4870" s="4"/>
      <c r="V4870" s="4"/>
      <c r="W4870" s="4"/>
      <c r="X4870" s="4"/>
    </row>
    <row r="4871" spans="1:24" ht="14.25" customHeight="1">
      <c r="A4871" s="4"/>
      <c r="B4871" s="125">
        <v>46197</v>
      </c>
      <c r="C4871" s="126" t="s">
        <v>2643</v>
      </c>
      <c r="D4871" s="15" t="s">
        <v>285</v>
      </c>
      <c r="E4871" s="10" t="str">
        <f>TRIM(VLOOKUP(D4871,TB!$B$9:$C$1500,2,FALSE))</f>
        <v>Misc Cash Purchase</v>
      </c>
      <c r="F4871" s="185" t="s">
        <v>2645</v>
      </c>
      <c r="G4871" s="130"/>
      <c r="H4871" s="10"/>
      <c r="I4871" s="10">
        <v>787000</v>
      </c>
      <c r="J4871" s="79" t="e">
        <f t="shared" ref="J4871:J5125" si="327">J4870+H4871-I4871</f>
        <v>#VALUE!</v>
      </c>
      <c r="K4871" s="106"/>
      <c r="L4871" s="141"/>
      <c r="M4871" s="132"/>
      <c r="N4871" s="133"/>
      <c r="O4871" s="4"/>
      <c r="P4871" s="4"/>
      <c r="Q4871" s="4"/>
      <c r="R4871" s="4"/>
      <c r="S4871" s="4"/>
      <c r="T4871" s="4"/>
      <c r="U4871" s="4"/>
      <c r="V4871" s="4"/>
      <c r="W4871" s="4"/>
      <c r="X4871" s="4"/>
    </row>
    <row r="4872" spans="1:24" ht="14.25" customHeight="1">
      <c r="A4872" s="4"/>
      <c r="B4872" s="125"/>
      <c r="C4872" s="126"/>
      <c r="D4872" s="15"/>
      <c r="E4872" s="10" t="e">
        <f>TRIM(VLOOKUP(D4872,TB!$B$9:$C$1500,2,FALSE))</f>
        <v>#N/A</v>
      </c>
      <c r="F4872" s="185"/>
      <c r="G4872" s="130"/>
      <c r="H4872" s="10"/>
      <c r="I4872" s="10"/>
      <c r="J4872" s="79" t="e">
        <f t="shared" si="327"/>
        <v>#VALUE!</v>
      </c>
      <c r="K4872" s="106"/>
      <c r="L4872" s="141"/>
      <c r="M4872" s="132"/>
      <c r="N4872" s="133"/>
      <c r="O4872" s="4"/>
      <c r="P4872" s="4"/>
      <c r="Q4872" s="4"/>
      <c r="R4872" s="4"/>
      <c r="S4872" s="4"/>
      <c r="T4872" s="4"/>
      <c r="U4872" s="4"/>
      <c r="V4872" s="4"/>
      <c r="W4872" s="4"/>
      <c r="X4872" s="4"/>
    </row>
    <row r="4873" spans="1:24" ht="14.25" customHeight="1">
      <c r="A4873" s="4"/>
      <c r="B4873" s="125">
        <v>46178</v>
      </c>
      <c r="C4873" s="126" t="s">
        <v>2646</v>
      </c>
      <c r="D4873" s="15" t="s">
        <v>2647</v>
      </c>
      <c r="E4873" s="10" t="str">
        <f>TRIM(VLOOKUP(D4873,TB!$B$9:$C$1500,2,FALSE))</f>
        <v>Minced Beef</v>
      </c>
      <c r="F4873" s="185" t="s">
        <v>2648</v>
      </c>
      <c r="G4873" s="130">
        <v>4.04</v>
      </c>
      <c r="H4873" s="10">
        <v>513080</v>
      </c>
      <c r="I4873" s="10"/>
      <c r="J4873" s="79" t="e">
        <f t="shared" si="327"/>
        <v>#VALUE!</v>
      </c>
      <c r="K4873" s="106"/>
      <c r="L4873" s="141"/>
      <c r="M4873" s="132"/>
      <c r="N4873" s="133"/>
      <c r="O4873" s="4"/>
      <c r="P4873" s="4"/>
      <c r="Q4873" s="4"/>
      <c r="R4873" s="4"/>
      <c r="S4873" s="4"/>
      <c r="T4873" s="4"/>
      <c r="U4873" s="4"/>
      <c r="V4873" s="4"/>
      <c r="W4873" s="4"/>
      <c r="X4873" s="4"/>
    </row>
    <row r="4874" spans="1:24" ht="14.25" customHeight="1">
      <c r="A4874" s="4"/>
      <c r="B4874" s="125">
        <v>46178</v>
      </c>
      <c r="C4874" s="126" t="s">
        <v>2646</v>
      </c>
      <c r="D4874" s="15" t="s">
        <v>285</v>
      </c>
      <c r="E4874" s="10" t="str">
        <f>TRIM(VLOOKUP(D4874,TB!$B$9:$C$1500,2,FALSE))</f>
        <v>Misc Cash Purchase</v>
      </c>
      <c r="F4874" s="185" t="s">
        <v>2649</v>
      </c>
      <c r="G4874" s="130"/>
      <c r="H4874" s="10"/>
      <c r="I4874" s="10">
        <v>513080</v>
      </c>
      <c r="J4874" s="79" t="e">
        <f t="shared" si="327"/>
        <v>#VALUE!</v>
      </c>
      <c r="K4874" s="106"/>
      <c r="L4874" s="141"/>
      <c r="M4874" s="132"/>
      <c r="N4874" s="133"/>
      <c r="O4874" s="4"/>
      <c r="P4874" s="4"/>
      <c r="Q4874" s="4"/>
      <c r="R4874" s="4"/>
      <c r="S4874" s="4"/>
      <c r="T4874" s="4"/>
      <c r="U4874" s="4"/>
      <c r="V4874" s="4"/>
      <c r="W4874" s="4"/>
      <c r="X4874" s="4"/>
    </row>
    <row r="4875" spans="1:24" ht="14.25" customHeight="1">
      <c r="A4875" s="4"/>
      <c r="B4875" s="125"/>
      <c r="C4875" s="126"/>
      <c r="D4875" s="68"/>
      <c r="E4875" s="10" t="e">
        <f>TRIM(VLOOKUP(D4875,TB!$B$9:$C$1500,2,FALSE))</f>
        <v>#N/A</v>
      </c>
      <c r="F4875" s="142"/>
      <c r="G4875" s="130"/>
      <c r="H4875" s="10"/>
      <c r="I4875" s="10"/>
      <c r="J4875" s="79" t="e">
        <f t="shared" si="327"/>
        <v>#VALUE!</v>
      </c>
      <c r="K4875" s="106"/>
      <c r="L4875" s="141"/>
      <c r="M4875" s="132"/>
      <c r="N4875" s="133"/>
      <c r="O4875" s="4"/>
      <c r="P4875" s="4"/>
      <c r="Q4875" s="4"/>
      <c r="R4875" s="4"/>
      <c r="S4875" s="4"/>
      <c r="T4875" s="4"/>
      <c r="U4875" s="4"/>
      <c r="V4875" s="4"/>
      <c r="W4875" s="4"/>
      <c r="X4875" s="4"/>
    </row>
    <row r="4876" spans="1:24" ht="14.25" customHeight="1">
      <c r="A4876" s="4"/>
      <c r="B4876" s="125">
        <v>46179</v>
      </c>
      <c r="C4876" s="126" t="s">
        <v>2650</v>
      </c>
      <c r="D4876" s="15" t="s">
        <v>2651</v>
      </c>
      <c r="E4876" s="10" t="str">
        <f>TRIM(VLOOKUP(D4876,TB!$B$9:$C$1500,2,FALSE))</f>
        <v>Prociutto</v>
      </c>
      <c r="F4876" s="185" t="s">
        <v>2652</v>
      </c>
      <c r="G4876" s="130">
        <v>1</v>
      </c>
      <c r="H4876" s="155">
        <v>299700</v>
      </c>
      <c r="I4876" s="10"/>
      <c r="J4876" s="79" t="e">
        <f t="shared" si="327"/>
        <v>#VALUE!</v>
      </c>
      <c r="K4876" s="106">
        <f t="shared" ref="K4876:K4877" si="328">H4876*11%</f>
        <v>32967</v>
      </c>
      <c r="L4876" s="141">
        <f t="shared" ref="L4876:L4877" si="329">H4876+K4876</f>
        <v>332667</v>
      </c>
      <c r="M4876" s="132"/>
      <c r="N4876" s="133"/>
      <c r="O4876" s="4"/>
      <c r="P4876" s="4"/>
      <c r="Q4876" s="4"/>
      <c r="R4876" s="4"/>
      <c r="S4876" s="4"/>
      <c r="T4876" s="4"/>
      <c r="U4876" s="4"/>
      <c r="V4876" s="4"/>
      <c r="W4876" s="4"/>
      <c r="X4876" s="4"/>
    </row>
    <row r="4877" spans="1:24" ht="14.25" customHeight="1">
      <c r="A4877" s="4"/>
      <c r="B4877" s="125">
        <v>46179</v>
      </c>
      <c r="C4877" s="126" t="s">
        <v>2650</v>
      </c>
      <c r="D4877" s="15" t="s">
        <v>2653</v>
      </c>
      <c r="E4877" s="10" t="str">
        <f>TRIM(VLOOKUP(D4877,TB!$B$9:$C$1500,2,FALSE))</f>
        <v>Chorizo Beef/Salami Chorizo</v>
      </c>
      <c r="F4877" s="185" t="s">
        <v>2654</v>
      </c>
      <c r="G4877" s="130">
        <v>1</v>
      </c>
      <c r="H4877" s="155">
        <v>277500</v>
      </c>
      <c r="I4877" s="10"/>
      <c r="J4877" s="79" t="e">
        <f t="shared" si="327"/>
        <v>#VALUE!</v>
      </c>
      <c r="K4877" s="106">
        <f t="shared" si="328"/>
        <v>30525</v>
      </c>
      <c r="L4877" s="141">
        <f t="shared" si="329"/>
        <v>308025</v>
      </c>
      <c r="M4877" s="132"/>
      <c r="N4877" s="133"/>
      <c r="O4877" s="4"/>
      <c r="P4877" s="4"/>
      <c r="Q4877" s="4"/>
      <c r="R4877" s="4"/>
      <c r="S4877" s="4"/>
      <c r="T4877" s="4"/>
      <c r="U4877" s="4"/>
      <c r="V4877" s="4"/>
      <c r="W4877" s="4"/>
      <c r="X4877" s="4"/>
    </row>
    <row r="4878" spans="1:24" ht="14.25" customHeight="1">
      <c r="A4878" s="4"/>
      <c r="B4878" s="125">
        <v>46179</v>
      </c>
      <c r="C4878" s="126" t="s">
        <v>2650</v>
      </c>
      <c r="D4878" s="15" t="s">
        <v>285</v>
      </c>
      <c r="E4878" s="10" t="str">
        <f>TRIM(VLOOKUP(D4878,TB!$B$9:$C$1500,2,FALSE))</f>
        <v>Misc Cash Purchase</v>
      </c>
      <c r="F4878" s="185" t="s">
        <v>2655</v>
      </c>
      <c r="G4878" s="130"/>
      <c r="H4878" s="10"/>
      <c r="I4878" s="10">
        <v>577200</v>
      </c>
      <c r="J4878" s="79" t="e">
        <f t="shared" si="327"/>
        <v>#VALUE!</v>
      </c>
      <c r="K4878" s="106"/>
      <c r="L4878" s="141"/>
      <c r="M4878" s="132"/>
      <c r="N4878" s="133"/>
      <c r="O4878" s="4"/>
      <c r="P4878" s="4"/>
      <c r="Q4878" s="4"/>
      <c r="R4878" s="4"/>
      <c r="S4878" s="4"/>
      <c r="T4878" s="4"/>
      <c r="U4878" s="4"/>
      <c r="V4878" s="4"/>
      <c r="W4878" s="4"/>
      <c r="X4878" s="4"/>
    </row>
    <row r="4879" spans="1:24" ht="14.25" customHeight="1">
      <c r="A4879" s="4"/>
      <c r="B4879" s="125"/>
      <c r="C4879" s="126"/>
      <c r="D4879" s="68"/>
      <c r="E4879" s="10" t="e">
        <f>TRIM(VLOOKUP(D4879,TB!$B$9:$C$1500,2,FALSE))</f>
        <v>#N/A</v>
      </c>
      <c r="F4879" s="142"/>
      <c r="G4879" s="130"/>
      <c r="H4879" s="10"/>
      <c r="I4879" s="10"/>
      <c r="J4879" s="79" t="e">
        <f t="shared" si="327"/>
        <v>#VALUE!</v>
      </c>
      <c r="K4879" s="106"/>
      <c r="L4879" s="141"/>
      <c r="M4879" s="132"/>
      <c r="N4879" s="133"/>
      <c r="O4879" s="4"/>
      <c r="P4879" s="4"/>
      <c r="Q4879" s="4"/>
      <c r="R4879" s="4"/>
      <c r="S4879" s="4"/>
      <c r="T4879" s="4"/>
      <c r="U4879" s="4"/>
      <c r="V4879" s="4"/>
      <c r="W4879" s="4"/>
      <c r="X4879" s="4"/>
    </row>
    <row r="4880" spans="1:24" ht="14.25" customHeight="1">
      <c r="A4880" s="4"/>
      <c r="B4880" s="125">
        <v>46182</v>
      </c>
      <c r="C4880" s="126" t="s">
        <v>2656</v>
      </c>
      <c r="D4880" s="15" t="s">
        <v>2647</v>
      </c>
      <c r="E4880" s="10" t="str">
        <f>TRIM(VLOOKUP(D4880,TB!$B$9:$C$1500,2,FALSE))</f>
        <v>Minced Beef</v>
      </c>
      <c r="F4880" s="185" t="s">
        <v>2657</v>
      </c>
      <c r="G4880" s="130">
        <v>8.0399999999999991</v>
      </c>
      <c r="H4880" s="10">
        <v>1012080</v>
      </c>
      <c r="I4880" s="10"/>
      <c r="J4880" s="79" t="e">
        <f t="shared" si="327"/>
        <v>#VALUE!</v>
      </c>
      <c r="K4880" s="106"/>
      <c r="L4880" s="141"/>
      <c r="M4880" s="132"/>
      <c r="N4880" s="133"/>
      <c r="O4880" s="4"/>
      <c r="P4880" s="4"/>
      <c r="Q4880" s="4"/>
      <c r="R4880" s="4"/>
      <c r="S4880" s="4"/>
      <c r="T4880" s="4"/>
      <c r="U4880" s="4"/>
      <c r="V4880" s="4"/>
      <c r="W4880" s="4"/>
      <c r="X4880" s="4"/>
    </row>
    <row r="4881" spans="1:24" ht="14.25" customHeight="1">
      <c r="A4881" s="4"/>
      <c r="B4881" s="125">
        <v>46182</v>
      </c>
      <c r="C4881" s="126" t="s">
        <v>2656</v>
      </c>
      <c r="D4881" s="15" t="s">
        <v>285</v>
      </c>
      <c r="E4881" s="10" t="str">
        <f>TRIM(VLOOKUP(D4881,TB!$B$9:$C$1500,2,FALSE))</f>
        <v>Misc Cash Purchase</v>
      </c>
      <c r="F4881" s="185" t="s">
        <v>2658</v>
      </c>
      <c r="G4881" s="130"/>
      <c r="H4881" s="10"/>
      <c r="I4881" s="10">
        <v>1012080</v>
      </c>
      <c r="J4881" s="79" t="e">
        <f t="shared" si="327"/>
        <v>#VALUE!</v>
      </c>
      <c r="K4881" s="106"/>
      <c r="L4881" s="141"/>
      <c r="M4881" s="132"/>
      <c r="N4881" s="133"/>
      <c r="O4881" s="4"/>
      <c r="P4881" s="4"/>
      <c r="Q4881" s="4"/>
      <c r="R4881" s="4"/>
      <c r="S4881" s="4"/>
      <c r="T4881" s="4"/>
      <c r="U4881" s="4"/>
      <c r="V4881" s="4"/>
      <c r="W4881" s="4"/>
      <c r="X4881" s="4"/>
    </row>
    <row r="4882" spans="1:24" ht="14.25" customHeight="1">
      <c r="A4882" s="4"/>
      <c r="B4882" s="125"/>
      <c r="C4882" s="126"/>
      <c r="D4882" s="68"/>
      <c r="E4882" s="10" t="e">
        <f>TRIM(VLOOKUP(D4882,TB!$B$9:$C$1500,2,FALSE))</f>
        <v>#N/A</v>
      </c>
      <c r="F4882" s="142"/>
      <c r="G4882" s="130"/>
      <c r="H4882" s="10"/>
      <c r="I4882" s="10"/>
      <c r="J4882" s="79" t="e">
        <f t="shared" si="327"/>
        <v>#VALUE!</v>
      </c>
      <c r="K4882" s="106"/>
      <c r="L4882" s="141"/>
      <c r="M4882" s="132"/>
      <c r="N4882" s="133"/>
      <c r="O4882" s="4"/>
      <c r="P4882" s="4"/>
      <c r="Q4882" s="4"/>
      <c r="R4882" s="4"/>
      <c r="S4882" s="4"/>
      <c r="T4882" s="4"/>
      <c r="U4882" s="4"/>
      <c r="V4882" s="4"/>
      <c r="W4882" s="4"/>
      <c r="X4882" s="4"/>
    </row>
    <row r="4883" spans="1:24" ht="14.25" customHeight="1">
      <c r="A4883" s="4"/>
      <c r="B4883" s="125">
        <v>46182</v>
      </c>
      <c r="C4883" s="126" t="s">
        <v>2659</v>
      </c>
      <c r="D4883" s="15" t="s">
        <v>2651</v>
      </c>
      <c r="E4883" s="10" t="str">
        <f>TRIM(VLOOKUP(D4883,TB!$B$9:$C$1500,2,FALSE))</f>
        <v>Prociutto</v>
      </c>
      <c r="F4883" s="185" t="s">
        <v>2660</v>
      </c>
      <c r="G4883" s="130">
        <v>1</v>
      </c>
      <c r="H4883" s="155">
        <v>299700</v>
      </c>
      <c r="I4883" s="10"/>
      <c r="J4883" s="79" t="e">
        <f t="shared" si="327"/>
        <v>#VALUE!</v>
      </c>
      <c r="K4883" s="106">
        <f t="shared" ref="K4883:K4885" si="330">H4883*11%</f>
        <v>32967</v>
      </c>
      <c r="L4883" s="141">
        <f t="shared" ref="L4883:L4885" si="331">H4883+K4883</f>
        <v>332667</v>
      </c>
      <c r="M4883" s="132"/>
      <c r="N4883" s="133"/>
      <c r="O4883" s="4"/>
      <c r="P4883" s="4"/>
      <c r="Q4883" s="4"/>
      <c r="R4883" s="4"/>
      <c r="S4883" s="4"/>
      <c r="T4883" s="4"/>
      <c r="U4883" s="4"/>
      <c r="V4883" s="4"/>
      <c r="W4883" s="4"/>
      <c r="X4883" s="4"/>
    </row>
    <row r="4884" spans="1:24" ht="14.25" customHeight="1">
      <c r="A4884" s="4"/>
      <c r="B4884" s="125">
        <v>46182</v>
      </c>
      <c r="C4884" s="126" t="s">
        <v>2659</v>
      </c>
      <c r="D4884" s="15" t="s">
        <v>2653</v>
      </c>
      <c r="E4884" s="10" t="str">
        <f>TRIM(VLOOKUP(D4884,TB!$B$9:$C$1500,2,FALSE))</f>
        <v>Chorizo Beef/Salami Chorizo</v>
      </c>
      <c r="F4884" s="185" t="s">
        <v>2661</v>
      </c>
      <c r="G4884" s="130">
        <v>2.02</v>
      </c>
      <c r="H4884" s="155">
        <v>560550</v>
      </c>
      <c r="I4884" s="10"/>
      <c r="J4884" s="79" t="e">
        <f t="shared" si="327"/>
        <v>#VALUE!</v>
      </c>
      <c r="K4884" s="106">
        <f t="shared" si="330"/>
        <v>61660.5</v>
      </c>
      <c r="L4884" s="141">
        <f t="shared" si="331"/>
        <v>622210.5</v>
      </c>
      <c r="M4884" s="132"/>
      <c r="N4884" s="133"/>
      <c r="O4884" s="4"/>
      <c r="P4884" s="4"/>
      <c r="Q4884" s="4"/>
      <c r="R4884" s="4"/>
      <c r="S4884" s="4"/>
      <c r="T4884" s="4"/>
      <c r="U4884" s="4"/>
      <c r="V4884" s="4"/>
      <c r="W4884" s="4"/>
      <c r="X4884" s="4"/>
    </row>
    <row r="4885" spans="1:24" ht="14.25" customHeight="1">
      <c r="A4885" s="4"/>
      <c r="B4885" s="125">
        <v>46182</v>
      </c>
      <c r="C4885" s="126" t="s">
        <v>2659</v>
      </c>
      <c r="D4885" s="15" t="s">
        <v>2662</v>
      </c>
      <c r="E4885" s="10" t="str">
        <f>TRIM(VLOOKUP(D4885,TB!$B$9:$C$1500,2,FALSE))</f>
        <v>Ham</v>
      </c>
      <c r="F4885" s="185" t="s">
        <v>2663</v>
      </c>
      <c r="G4885" s="130">
        <v>2.04</v>
      </c>
      <c r="H4885" s="155">
        <v>418914</v>
      </c>
      <c r="I4885" s="10"/>
      <c r="J4885" s="79" t="e">
        <f t="shared" si="327"/>
        <v>#VALUE!</v>
      </c>
      <c r="K4885" s="106">
        <f t="shared" si="330"/>
        <v>46080.54</v>
      </c>
      <c r="L4885" s="141">
        <f t="shared" si="331"/>
        <v>464994.54</v>
      </c>
      <c r="M4885" s="132"/>
      <c r="N4885" s="133"/>
      <c r="O4885" s="4"/>
      <c r="P4885" s="4"/>
      <c r="Q4885" s="4"/>
      <c r="R4885" s="4"/>
      <c r="S4885" s="4"/>
      <c r="T4885" s="4"/>
      <c r="U4885" s="4"/>
      <c r="V4885" s="4"/>
      <c r="W4885" s="4"/>
      <c r="X4885" s="4"/>
    </row>
    <row r="4886" spans="1:24" ht="14.25" customHeight="1">
      <c r="A4886" s="4"/>
      <c r="B4886" s="125">
        <v>46182</v>
      </c>
      <c r="C4886" s="126" t="s">
        <v>2659</v>
      </c>
      <c r="D4886" s="15" t="s">
        <v>285</v>
      </c>
      <c r="E4886" s="10" t="str">
        <f>TRIM(VLOOKUP(D4886,TB!$B$9:$C$1500,2,FALSE))</f>
        <v>Misc Cash Purchase</v>
      </c>
      <c r="F4886" s="185" t="s">
        <v>2664</v>
      </c>
      <c r="G4886" s="130"/>
      <c r="H4886" s="10"/>
      <c r="I4886" s="10">
        <v>1279164</v>
      </c>
      <c r="J4886" s="79" t="e">
        <f t="shared" si="327"/>
        <v>#VALUE!</v>
      </c>
      <c r="K4886" s="106"/>
      <c r="L4886" s="141"/>
      <c r="M4886" s="132"/>
      <c r="N4886" s="133"/>
      <c r="O4886" s="4"/>
      <c r="P4886" s="4"/>
      <c r="Q4886" s="4"/>
      <c r="R4886" s="4"/>
      <c r="S4886" s="4"/>
      <c r="T4886" s="4"/>
      <c r="U4886" s="4"/>
      <c r="V4886" s="4"/>
      <c r="W4886" s="4"/>
      <c r="X4886" s="4"/>
    </row>
    <row r="4887" spans="1:24" ht="14.25" customHeight="1">
      <c r="A4887" s="4"/>
      <c r="B4887" s="125"/>
      <c r="C4887" s="126"/>
      <c r="D4887" s="68"/>
      <c r="E4887" s="10" t="e">
        <f>TRIM(VLOOKUP(D4887,TB!$B$9:$C$1500,2,FALSE))</f>
        <v>#N/A</v>
      </c>
      <c r="F4887" s="142"/>
      <c r="G4887" s="130"/>
      <c r="H4887" s="10"/>
      <c r="I4887" s="10"/>
      <c r="J4887" s="79" t="e">
        <f t="shared" si="327"/>
        <v>#VALUE!</v>
      </c>
      <c r="K4887" s="106"/>
      <c r="L4887" s="141"/>
      <c r="M4887" s="132"/>
      <c r="N4887" s="133"/>
      <c r="O4887" s="4"/>
      <c r="P4887" s="4"/>
      <c r="Q4887" s="4"/>
      <c r="R4887" s="4"/>
      <c r="S4887" s="4"/>
      <c r="T4887" s="4"/>
      <c r="U4887" s="4"/>
      <c r="V4887" s="4"/>
      <c r="W4887" s="4"/>
      <c r="X4887" s="4"/>
    </row>
    <row r="4888" spans="1:24" ht="14.25" customHeight="1">
      <c r="A4888" s="4"/>
      <c r="B4888" s="125">
        <v>46188</v>
      </c>
      <c r="C4888" s="126" t="s">
        <v>2665</v>
      </c>
      <c r="D4888" s="15" t="s">
        <v>2666</v>
      </c>
      <c r="E4888" s="10" t="str">
        <f>TRIM(VLOOKUP(D4888,TB!$B$9:$C$1500,2,FALSE))</f>
        <v>Bacon/Pork Bacon</v>
      </c>
      <c r="F4888" s="185" t="s">
        <v>2667</v>
      </c>
      <c r="G4888" s="130">
        <v>4.0599999999999996</v>
      </c>
      <c r="H4888" s="155">
        <v>761615.4</v>
      </c>
      <c r="I4888" s="10"/>
      <c r="J4888" s="79" t="e">
        <f t="shared" si="327"/>
        <v>#VALUE!</v>
      </c>
      <c r="K4888" s="106">
        <f>H4888/G4888</f>
        <v>187590.00000000003</v>
      </c>
      <c r="L4888" s="141">
        <f t="shared" ref="L4888:L4889" si="332">H4888+K4888</f>
        <v>949205.4</v>
      </c>
      <c r="M4888" s="132"/>
      <c r="N4888" s="133"/>
      <c r="O4888" s="4"/>
      <c r="P4888" s="4"/>
      <c r="Q4888" s="4"/>
      <c r="R4888" s="4"/>
      <c r="S4888" s="4"/>
      <c r="T4888" s="4"/>
      <c r="U4888" s="4"/>
      <c r="V4888" s="4"/>
      <c r="W4888" s="4"/>
      <c r="X4888" s="4"/>
    </row>
    <row r="4889" spans="1:24" ht="14.25" customHeight="1">
      <c r="A4889" s="4"/>
      <c r="B4889" s="125">
        <v>46188</v>
      </c>
      <c r="C4889" s="126" t="s">
        <v>2665</v>
      </c>
      <c r="D4889" s="15" t="s">
        <v>2668</v>
      </c>
      <c r="E4889" s="10" t="str">
        <f>TRIM(VLOOKUP(D4889,TB!$B$9:$C$1500,2,FALSE))</f>
        <v>Chorizo Pork</v>
      </c>
      <c r="F4889" s="185" t="s">
        <v>2669</v>
      </c>
      <c r="G4889" s="130">
        <v>4.3</v>
      </c>
      <c r="H4889" s="155">
        <v>811410</v>
      </c>
      <c r="I4889" s="10"/>
      <c r="J4889" s="79" t="e">
        <f t="shared" si="327"/>
        <v>#VALUE!</v>
      </c>
      <c r="K4889" s="106">
        <f>H4889*11%</f>
        <v>89255.1</v>
      </c>
      <c r="L4889" s="141">
        <f t="shared" si="332"/>
        <v>900665.1</v>
      </c>
      <c r="M4889" s="132"/>
      <c r="N4889" s="133"/>
      <c r="O4889" s="4"/>
      <c r="P4889" s="4"/>
      <c r="Q4889" s="4"/>
      <c r="R4889" s="4"/>
      <c r="S4889" s="4"/>
      <c r="T4889" s="4"/>
      <c r="U4889" s="4"/>
      <c r="V4889" s="4"/>
      <c r="W4889" s="4"/>
      <c r="X4889" s="4"/>
    </row>
    <row r="4890" spans="1:24" ht="14.25" customHeight="1">
      <c r="A4890" s="4"/>
      <c r="B4890" s="125">
        <v>46188</v>
      </c>
      <c r="C4890" s="126" t="s">
        <v>2665</v>
      </c>
      <c r="D4890" s="15" t="s">
        <v>285</v>
      </c>
      <c r="E4890" s="10" t="str">
        <f>TRIM(VLOOKUP(D4890,TB!$B$9:$C$1500,2,FALSE))</f>
        <v>Misc Cash Purchase</v>
      </c>
      <c r="F4890" s="185" t="s">
        <v>2670</v>
      </c>
      <c r="G4890" s="130"/>
      <c r="H4890" s="10"/>
      <c r="I4890" s="10">
        <v>1573025</v>
      </c>
      <c r="J4890" s="79" t="e">
        <f t="shared" si="327"/>
        <v>#VALUE!</v>
      </c>
      <c r="K4890" s="106"/>
      <c r="L4890" s="141"/>
      <c r="M4890" s="132"/>
      <c r="N4890" s="133"/>
      <c r="O4890" s="4"/>
      <c r="P4890" s="4"/>
      <c r="Q4890" s="4"/>
      <c r="R4890" s="4"/>
      <c r="S4890" s="4"/>
      <c r="T4890" s="4"/>
      <c r="U4890" s="4"/>
      <c r="V4890" s="4"/>
      <c r="W4890" s="4"/>
      <c r="X4890" s="4"/>
    </row>
    <row r="4891" spans="1:24" ht="14.25" customHeight="1">
      <c r="A4891" s="4"/>
      <c r="B4891" s="125"/>
      <c r="C4891" s="126"/>
      <c r="D4891" s="68"/>
      <c r="E4891" s="10" t="e">
        <f>TRIM(VLOOKUP(D4891,TB!$B$9:$C$1500,2,FALSE))</f>
        <v>#N/A</v>
      </c>
      <c r="F4891" s="142"/>
      <c r="G4891" s="130"/>
      <c r="H4891" s="10"/>
      <c r="I4891" s="10"/>
      <c r="J4891" s="79" t="e">
        <f t="shared" si="327"/>
        <v>#VALUE!</v>
      </c>
      <c r="K4891" s="106"/>
      <c r="L4891" s="141"/>
      <c r="M4891" s="132"/>
      <c r="N4891" s="133"/>
      <c r="O4891" s="4"/>
      <c r="P4891" s="4"/>
      <c r="Q4891" s="4"/>
      <c r="R4891" s="4"/>
      <c r="S4891" s="4"/>
      <c r="T4891" s="4"/>
      <c r="U4891" s="4"/>
      <c r="V4891" s="4"/>
      <c r="W4891" s="4"/>
      <c r="X4891" s="4"/>
    </row>
    <row r="4892" spans="1:24" ht="14.25" customHeight="1">
      <c r="A4892" s="4"/>
      <c r="B4892" s="125">
        <v>46196</v>
      </c>
      <c r="C4892" s="126" t="s">
        <v>2671</v>
      </c>
      <c r="D4892" s="15" t="s">
        <v>2647</v>
      </c>
      <c r="E4892" s="10" t="str">
        <f>TRIM(VLOOKUP(D4892,TB!$B$9:$C$1500,2,FALSE))</f>
        <v>Minced Beef</v>
      </c>
      <c r="F4892" s="185" t="s">
        <v>2672</v>
      </c>
      <c r="G4892" s="130">
        <v>8.06</v>
      </c>
      <c r="H4892" s="10">
        <v>1023620</v>
      </c>
      <c r="I4892" s="10"/>
      <c r="J4892" s="79" t="e">
        <f t="shared" si="327"/>
        <v>#VALUE!</v>
      </c>
      <c r="K4892" s="106"/>
      <c r="L4892" s="141"/>
      <c r="M4892" s="132"/>
      <c r="N4892" s="133"/>
      <c r="O4892" s="4"/>
      <c r="P4892" s="4"/>
      <c r="Q4892" s="4"/>
      <c r="R4892" s="4"/>
      <c r="S4892" s="4"/>
      <c r="T4892" s="4"/>
      <c r="U4892" s="4"/>
      <c r="V4892" s="4"/>
      <c r="W4892" s="4"/>
      <c r="X4892" s="4"/>
    </row>
    <row r="4893" spans="1:24" ht="14.25" customHeight="1">
      <c r="A4893" s="4"/>
      <c r="B4893" s="125">
        <v>46196</v>
      </c>
      <c r="C4893" s="126" t="s">
        <v>2671</v>
      </c>
      <c r="D4893" s="15" t="s">
        <v>285</v>
      </c>
      <c r="E4893" s="10" t="str">
        <f>TRIM(VLOOKUP(D4893,TB!$B$9:$C$1500,2,FALSE))</f>
        <v>Misc Cash Purchase</v>
      </c>
      <c r="F4893" s="185" t="s">
        <v>2673</v>
      </c>
      <c r="G4893" s="130"/>
      <c r="H4893" s="10"/>
      <c r="I4893" s="10">
        <v>1023620</v>
      </c>
      <c r="J4893" s="79" t="e">
        <f t="shared" si="327"/>
        <v>#VALUE!</v>
      </c>
      <c r="K4893" s="106"/>
      <c r="L4893" s="141"/>
      <c r="M4893" s="132"/>
      <c r="N4893" s="133"/>
      <c r="O4893" s="4"/>
      <c r="P4893" s="4"/>
      <c r="Q4893" s="4"/>
      <c r="R4893" s="4"/>
      <c r="S4893" s="4"/>
      <c r="T4893" s="4"/>
      <c r="U4893" s="4"/>
      <c r="V4893" s="4"/>
      <c r="W4893" s="4"/>
      <c r="X4893" s="4"/>
    </row>
    <row r="4894" spans="1:24" ht="14.25" customHeight="1">
      <c r="A4894" s="4"/>
      <c r="B4894" s="125"/>
      <c r="C4894" s="126"/>
      <c r="D4894" s="15"/>
      <c r="E4894" s="10" t="e">
        <f>TRIM(VLOOKUP(D4894,TB!$B$9:$C$1500,2,FALSE))</f>
        <v>#N/A</v>
      </c>
      <c r="F4894" s="142"/>
      <c r="G4894" s="130"/>
      <c r="H4894" s="10"/>
      <c r="I4894" s="10"/>
      <c r="J4894" s="79" t="e">
        <f t="shared" si="327"/>
        <v>#VALUE!</v>
      </c>
      <c r="K4894" s="106"/>
      <c r="L4894" s="141"/>
      <c r="M4894" s="132"/>
      <c r="N4894" s="133"/>
      <c r="O4894" s="4"/>
      <c r="P4894" s="4"/>
      <c r="Q4894" s="4"/>
      <c r="R4894" s="4"/>
      <c r="S4894" s="4"/>
      <c r="T4894" s="4"/>
      <c r="U4894" s="4"/>
      <c r="V4894" s="4"/>
      <c r="W4894" s="4"/>
      <c r="X4894" s="4"/>
    </row>
    <row r="4895" spans="1:24" ht="14.25" customHeight="1">
      <c r="A4895" s="4"/>
      <c r="B4895" s="125">
        <v>46196</v>
      </c>
      <c r="C4895" s="126" t="s">
        <v>2674</v>
      </c>
      <c r="D4895" s="15" t="s">
        <v>2651</v>
      </c>
      <c r="E4895" s="10" t="str">
        <f>TRIM(VLOOKUP(D4895,TB!$B$9:$C$1500,2,FALSE))</f>
        <v>Prociutto</v>
      </c>
      <c r="F4895" s="185" t="s">
        <v>2675</v>
      </c>
      <c r="G4895" s="130">
        <v>4.08</v>
      </c>
      <c r="H4895" s="10">
        <v>1222776</v>
      </c>
      <c r="I4895" s="10"/>
      <c r="J4895" s="79" t="e">
        <f t="shared" si="327"/>
        <v>#VALUE!</v>
      </c>
      <c r="K4895" s="106"/>
      <c r="L4895" s="141"/>
      <c r="M4895" s="132"/>
      <c r="N4895" s="133"/>
      <c r="O4895" s="4"/>
      <c r="P4895" s="4"/>
      <c r="Q4895" s="4"/>
      <c r="R4895" s="4"/>
      <c r="S4895" s="4"/>
      <c r="T4895" s="4"/>
      <c r="U4895" s="4"/>
      <c r="V4895" s="4"/>
      <c r="W4895" s="4"/>
      <c r="X4895" s="4"/>
    </row>
    <row r="4896" spans="1:24" ht="14.25" customHeight="1">
      <c r="A4896" s="4"/>
      <c r="B4896" s="125">
        <v>46196</v>
      </c>
      <c r="C4896" s="126" t="s">
        <v>2674</v>
      </c>
      <c r="D4896" s="15" t="s">
        <v>285</v>
      </c>
      <c r="E4896" s="10" t="str">
        <f>TRIM(VLOOKUP(D4896,TB!$B$9:$C$1500,2,FALSE))</f>
        <v>Misc Cash Purchase</v>
      </c>
      <c r="F4896" s="185" t="s">
        <v>2676</v>
      </c>
      <c r="G4896" s="130"/>
      <c r="H4896" s="10"/>
      <c r="I4896" s="10">
        <v>1222776</v>
      </c>
      <c r="J4896" s="79" t="e">
        <f t="shared" si="327"/>
        <v>#VALUE!</v>
      </c>
      <c r="K4896" s="106"/>
      <c r="L4896" s="141"/>
      <c r="M4896" s="132"/>
      <c r="N4896" s="133"/>
      <c r="O4896" s="4"/>
      <c r="P4896" s="4"/>
      <c r="Q4896" s="4"/>
      <c r="R4896" s="4"/>
      <c r="S4896" s="4"/>
      <c r="T4896" s="4"/>
      <c r="U4896" s="4"/>
      <c r="V4896" s="4"/>
      <c r="W4896" s="4"/>
      <c r="X4896" s="4"/>
    </row>
    <row r="4897" spans="1:24" ht="14.25" customHeight="1">
      <c r="A4897" s="4"/>
      <c r="B4897" s="125"/>
      <c r="C4897" s="126"/>
      <c r="D4897" s="15"/>
      <c r="E4897" s="10" t="e">
        <f>TRIM(VLOOKUP(D4897,TB!$B$9:$C$1500,2,FALSE))</f>
        <v>#N/A</v>
      </c>
      <c r="F4897" s="142"/>
      <c r="G4897" s="130"/>
      <c r="H4897" s="10"/>
      <c r="I4897" s="10"/>
      <c r="J4897" s="79" t="e">
        <f t="shared" si="327"/>
        <v>#VALUE!</v>
      </c>
      <c r="K4897" s="106"/>
      <c r="L4897" s="141"/>
      <c r="M4897" s="132"/>
      <c r="N4897" s="133"/>
      <c r="O4897" s="4"/>
      <c r="P4897" s="4"/>
      <c r="Q4897" s="4"/>
      <c r="R4897" s="4"/>
      <c r="S4897" s="4"/>
      <c r="T4897" s="4"/>
      <c r="U4897" s="4"/>
      <c r="V4897" s="4"/>
      <c r="W4897" s="4"/>
      <c r="X4897" s="4"/>
    </row>
    <row r="4898" spans="1:24" ht="14.25" customHeight="1">
      <c r="A4898" s="4"/>
      <c r="B4898" s="125">
        <v>46176</v>
      </c>
      <c r="C4898" s="126" t="s">
        <v>2677</v>
      </c>
      <c r="D4898" s="15" t="s">
        <v>2678</v>
      </c>
      <c r="E4898" s="10" t="str">
        <f>TRIM(VLOOKUP(D4898,TB!$B$9:$C$1500,2,FALSE))</f>
        <v>Chicken Breast</v>
      </c>
      <c r="F4898" s="142" t="s">
        <v>2679</v>
      </c>
      <c r="G4898" s="130">
        <v>15</v>
      </c>
      <c r="H4898" s="10">
        <v>795000</v>
      </c>
      <c r="I4898" s="10"/>
      <c r="J4898" s="79" t="e">
        <f t="shared" si="327"/>
        <v>#VALUE!</v>
      </c>
      <c r="K4898" s="106">
        <f>H4898/G4898</f>
        <v>53000</v>
      </c>
      <c r="L4898" s="141"/>
      <c r="M4898" s="132"/>
      <c r="N4898" s="133"/>
      <c r="O4898" s="4"/>
      <c r="P4898" s="4"/>
      <c r="Q4898" s="4"/>
      <c r="R4898" s="4"/>
      <c r="S4898" s="4"/>
      <c r="T4898" s="4"/>
      <c r="U4898" s="4"/>
      <c r="V4898" s="4"/>
      <c r="W4898" s="4"/>
      <c r="X4898" s="4"/>
    </row>
    <row r="4899" spans="1:24" ht="14.25" customHeight="1">
      <c r="A4899" s="4"/>
      <c r="B4899" s="125">
        <v>46176</v>
      </c>
      <c r="C4899" s="126" t="s">
        <v>2677</v>
      </c>
      <c r="D4899" s="15" t="s">
        <v>2680</v>
      </c>
      <c r="E4899" s="10" t="str">
        <f>TRIM(VLOOKUP(D4899,TB!$B$9:$C$1500,2,FALSE))</f>
        <v>Chicken Wing / Sayap Ayam</v>
      </c>
      <c r="F4899" s="142" t="s">
        <v>2681</v>
      </c>
      <c r="G4899" s="130">
        <v>10</v>
      </c>
      <c r="H4899" s="10">
        <v>390000</v>
      </c>
      <c r="I4899" s="10"/>
      <c r="J4899" s="79" t="e">
        <f t="shared" si="327"/>
        <v>#VALUE!</v>
      </c>
      <c r="K4899" s="106"/>
      <c r="L4899" s="141"/>
      <c r="M4899" s="132"/>
      <c r="N4899" s="133"/>
      <c r="O4899" s="4"/>
      <c r="P4899" s="4"/>
      <c r="Q4899" s="4"/>
      <c r="R4899" s="4"/>
      <c r="S4899" s="4"/>
      <c r="T4899" s="4"/>
      <c r="U4899" s="4"/>
      <c r="V4899" s="4"/>
      <c r="W4899" s="4"/>
      <c r="X4899" s="4"/>
    </row>
    <row r="4900" spans="1:24" ht="14.25" customHeight="1">
      <c r="A4900" s="4"/>
      <c r="B4900" s="125">
        <v>46176</v>
      </c>
      <c r="C4900" s="126" t="s">
        <v>2677</v>
      </c>
      <c r="D4900" s="15" t="s">
        <v>285</v>
      </c>
      <c r="E4900" s="10" t="str">
        <f>TRIM(VLOOKUP(D4900,TB!$B$9:$C$1500,2,FALSE))</f>
        <v>Misc Cash Purchase</v>
      </c>
      <c r="F4900" s="142" t="s">
        <v>2682</v>
      </c>
      <c r="G4900" s="130"/>
      <c r="H4900" s="10"/>
      <c r="I4900" s="10">
        <v>1185000</v>
      </c>
      <c r="J4900" s="79" t="e">
        <f t="shared" si="327"/>
        <v>#VALUE!</v>
      </c>
      <c r="K4900" s="106"/>
      <c r="L4900" s="141"/>
      <c r="M4900" s="132"/>
      <c r="N4900" s="133"/>
      <c r="O4900" s="4"/>
      <c r="P4900" s="4"/>
      <c r="Q4900" s="4"/>
      <c r="R4900" s="4"/>
      <c r="S4900" s="4"/>
      <c r="T4900" s="4"/>
      <c r="U4900" s="4"/>
      <c r="V4900" s="4"/>
      <c r="W4900" s="4"/>
      <c r="X4900" s="4"/>
    </row>
    <row r="4901" spans="1:24" ht="14.25" customHeight="1">
      <c r="A4901" s="4"/>
      <c r="B4901" s="125"/>
      <c r="C4901" s="126"/>
      <c r="D4901" s="68"/>
      <c r="E4901" s="10" t="e">
        <f>TRIM(VLOOKUP(D4901,TB!$B$9:$C$1500,2,FALSE))</f>
        <v>#N/A</v>
      </c>
      <c r="F4901" s="142"/>
      <c r="G4901" s="130"/>
      <c r="H4901" s="10"/>
      <c r="I4901" s="10"/>
      <c r="J4901" s="79" t="e">
        <f t="shared" si="327"/>
        <v>#VALUE!</v>
      </c>
      <c r="K4901" s="106"/>
      <c r="L4901" s="141"/>
      <c r="M4901" s="132"/>
      <c r="N4901" s="133"/>
      <c r="O4901" s="4"/>
      <c r="P4901" s="4"/>
      <c r="Q4901" s="4"/>
      <c r="R4901" s="4"/>
      <c r="S4901" s="4"/>
      <c r="T4901" s="4"/>
      <c r="U4901" s="4"/>
      <c r="V4901" s="4"/>
      <c r="W4901" s="4"/>
      <c r="X4901" s="4"/>
    </row>
    <row r="4902" spans="1:24" ht="14.25" customHeight="1">
      <c r="A4902" s="4"/>
      <c r="B4902" s="125">
        <v>46182</v>
      </c>
      <c r="C4902" s="126" t="s">
        <v>2683</v>
      </c>
      <c r="D4902" s="15" t="s">
        <v>2678</v>
      </c>
      <c r="E4902" s="10" t="str">
        <f>TRIM(VLOOKUP(D4902,TB!$B$9:$C$1500,2,FALSE))</f>
        <v>Chicken Breast</v>
      </c>
      <c r="F4902" s="186" t="s">
        <v>2684</v>
      </c>
      <c r="G4902" s="130">
        <v>15</v>
      </c>
      <c r="H4902" s="10">
        <v>765000</v>
      </c>
      <c r="I4902" s="10"/>
      <c r="J4902" s="79" t="e">
        <f t="shared" si="327"/>
        <v>#VALUE!</v>
      </c>
      <c r="K4902" s="106">
        <f>H4902/G4902</f>
        <v>51000</v>
      </c>
      <c r="L4902" s="141"/>
      <c r="M4902" s="132"/>
      <c r="N4902" s="133"/>
      <c r="O4902" s="4"/>
      <c r="P4902" s="4"/>
      <c r="Q4902" s="4"/>
      <c r="R4902" s="4"/>
      <c r="S4902" s="4"/>
      <c r="T4902" s="4"/>
      <c r="U4902" s="4"/>
      <c r="V4902" s="4"/>
      <c r="W4902" s="4"/>
      <c r="X4902" s="4"/>
    </row>
    <row r="4903" spans="1:24" ht="14.25" customHeight="1">
      <c r="A4903" s="4"/>
      <c r="B4903" s="125">
        <v>46182</v>
      </c>
      <c r="C4903" s="126" t="s">
        <v>2683</v>
      </c>
      <c r="D4903" s="15" t="s">
        <v>2680</v>
      </c>
      <c r="E4903" s="10" t="str">
        <f>TRIM(VLOOKUP(D4903,TB!$B$9:$C$1500,2,FALSE))</f>
        <v>Chicken Wing / Sayap Ayam</v>
      </c>
      <c r="F4903" s="186" t="s">
        <v>2685</v>
      </c>
      <c r="G4903" s="130">
        <v>7</v>
      </c>
      <c r="H4903" s="10">
        <v>266000</v>
      </c>
      <c r="I4903" s="10"/>
      <c r="J4903" s="79" t="e">
        <f t="shared" si="327"/>
        <v>#VALUE!</v>
      </c>
      <c r="K4903" s="106"/>
      <c r="L4903" s="141"/>
      <c r="M4903" s="132"/>
      <c r="N4903" s="133"/>
      <c r="O4903" s="4"/>
      <c r="P4903" s="4"/>
      <c r="Q4903" s="4"/>
      <c r="R4903" s="4"/>
      <c r="S4903" s="4"/>
      <c r="T4903" s="4"/>
      <c r="U4903" s="4"/>
      <c r="V4903" s="4"/>
      <c r="W4903" s="4"/>
      <c r="X4903" s="4"/>
    </row>
    <row r="4904" spans="1:24" ht="14.25" customHeight="1">
      <c r="A4904" s="4"/>
      <c r="B4904" s="125">
        <v>46182</v>
      </c>
      <c r="C4904" s="126" t="s">
        <v>2683</v>
      </c>
      <c r="D4904" s="15" t="s">
        <v>285</v>
      </c>
      <c r="E4904" s="10" t="str">
        <f>TRIM(VLOOKUP(D4904,TB!$B$9:$C$1500,2,FALSE))</f>
        <v>Misc Cash Purchase</v>
      </c>
      <c r="F4904" s="186" t="s">
        <v>2686</v>
      </c>
      <c r="G4904" s="130"/>
      <c r="H4904" s="10"/>
      <c r="I4904" s="10">
        <v>1031000</v>
      </c>
      <c r="J4904" s="79" t="e">
        <f t="shared" si="327"/>
        <v>#VALUE!</v>
      </c>
      <c r="K4904" s="106"/>
      <c r="L4904" s="141"/>
      <c r="M4904" s="132"/>
      <c r="N4904" s="133"/>
      <c r="O4904" s="4"/>
      <c r="P4904" s="4"/>
      <c r="Q4904" s="4"/>
      <c r="R4904" s="4"/>
      <c r="S4904" s="4"/>
      <c r="T4904" s="4"/>
      <c r="U4904" s="4"/>
      <c r="V4904" s="4"/>
      <c r="W4904" s="4"/>
      <c r="X4904" s="4"/>
    </row>
    <row r="4905" spans="1:24" ht="14.25" customHeight="1">
      <c r="A4905" s="4"/>
      <c r="B4905" s="125"/>
      <c r="C4905" s="126"/>
      <c r="D4905" s="68"/>
      <c r="E4905" s="10" t="e">
        <f>TRIM(VLOOKUP(D4905,TB!$B$9:$C$1500,2,FALSE))</f>
        <v>#N/A</v>
      </c>
      <c r="F4905" s="142"/>
      <c r="G4905" s="130"/>
      <c r="H4905" s="10"/>
      <c r="I4905" s="10"/>
      <c r="J4905" s="79" t="e">
        <f t="shared" si="327"/>
        <v>#VALUE!</v>
      </c>
      <c r="K4905" s="106"/>
      <c r="L4905" s="141"/>
      <c r="M4905" s="132"/>
      <c r="N4905" s="133"/>
      <c r="O4905" s="4"/>
      <c r="P4905" s="4"/>
      <c r="Q4905" s="4"/>
      <c r="R4905" s="4"/>
      <c r="S4905" s="4"/>
      <c r="T4905" s="4"/>
      <c r="U4905" s="4"/>
      <c r="V4905" s="4"/>
      <c r="W4905" s="4"/>
      <c r="X4905" s="4"/>
    </row>
    <row r="4906" spans="1:24" ht="14.25" customHeight="1">
      <c r="A4906" s="4"/>
      <c r="B4906" s="125">
        <v>46188</v>
      </c>
      <c r="C4906" s="126" t="s">
        <v>2687</v>
      </c>
      <c r="D4906" s="15" t="s">
        <v>2678</v>
      </c>
      <c r="E4906" s="10" t="str">
        <f>TRIM(VLOOKUP(D4906,TB!$B$9:$C$1500,2,FALSE))</f>
        <v>Chicken Breast</v>
      </c>
      <c r="F4906" s="186" t="s">
        <v>2688</v>
      </c>
      <c r="G4906" s="130">
        <v>10</v>
      </c>
      <c r="H4906" s="10">
        <v>510000</v>
      </c>
      <c r="I4906" s="10"/>
      <c r="J4906" s="79" t="e">
        <f t="shared" si="327"/>
        <v>#VALUE!</v>
      </c>
      <c r="K4906" s="106">
        <f>H4906/G4906</f>
        <v>51000</v>
      </c>
      <c r="L4906" s="141"/>
      <c r="M4906" s="132"/>
      <c r="N4906" s="133"/>
      <c r="O4906" s="4"/>
      <c r="P4906" s="4"/>
      <c r="Q4906" s="4"/>
      <c r="R4906" s="4"/>
      <c r="S4906" s="4"/>
      <c r="T4906" s="4"/>
      <c r="U4906" s="4"/>
      <c r="V4906" s="4"/>
      <c r="W4906" s="4"/>
      <c r="X4906" s="4"/>
    </row>
    <row r="4907" spans="1:24" ht="14.25" customHeight="1">
      <c r="A4907" s="4"/>
      <c r="B4907" s="125">
        <v>46188</v>
      </c>
      <c r="C4907" s="126" t="s">
        <v>2687</v>
      </c>
      <c r="D4907" s="15" t="s">
        <v>2680</v>
      </c>
      <c r="E4907" s="10" t="str">
        <f>TRIM(VLOOKUP(D4907,TB!$B$9:$C$1500,2,FALSE))</f>
        <v>Chicken Wing / Sayap Ayam</v>
      </c>
      <c r="F4907" s="186" t="s">
        <v>2689</v>
      </c>
      <c r="G4907" s="130">
        <v>10</v>
      </c>
      <c r="H4907" s="10">
        <v>380000</v>
      </c>
      <c r="I4907" s="10"/>
      <c r="J4907" s="79" t="e">
        <f t="shared" si="327"/>
        <v>#VALUE!</v>
      </c>
      <c r="K4907" s="106"/>
      <c r="L4907" s="141"/>
      <c r="M4907" s="132"/>
      <c r="N4907" s="133"/>
      <c r="O4907" s="4"/>
      <c r="P4907" s="4"/>
      <c r="Q4907" s="4"/>
      <c r="R4907" s="4"/>
      <c r="S4907" s="4"/>
      <c r="T4907" s="4"/>
      <c r="U4907" s="4"/>
      <c r="V4907" s="4"/>
      <c r="W4907" s="4"/>
      <c r="X4907" s="4"/>
    </row>
    <row r="4908" spans="1:24" ht="14.25" customHeight="1">
      <c r="A4908" s="4"/>
      <c r="B4908" s="125">
        <v>46188</v>
      </c>
      <c r="C4908" s="126" t="s">
        <v>2687</v>
      </c>
      <c r="D4908" s="15" t="s">
        <v>285</v>
      </c>
      <c r="E4908" s="10" t="str">
        <f>TRIM(VLOOKUP(D4908,TB!$B$9:$C$1500,2,FALSE))</f>
        <v>Misc Cash Purchase</v>
      </c>
      <c r="F4908" s="186" t="s">
        <v>2690</v>
      </c>
      <c r="G4908" s="130"/>
      <c r="H4908" s="10"/>
      <c r="I4908" s="10">
        <v>890000</v>
      </c>
      <c r="J4908" s="79" t="e">
        <f t="shared" si="327"/>
        <v>#VALUE!</v>
      </c>
      <c r="K4908" s="106"/>
      <c r="L4908" s="141"/>
      <c r="M4908" s="132"/>
      <c r="N4908" s="133"/>
      <c r="O4908" s="4"/>
      <c r="P4908" s="4"/>
      <c r="Q4908" s="4"/>
      <c r="R4908" s="4"/>
      <c r="S4908" s="4"/>
      <c r="T4908" s="4"/>
      <c r="U4908" s="4"/>
      <c r="V4908" s="4"/>
      <c r="W4908" s="4"/>
      <c r="X4908" s="4"/>
    </row>
    <row r="4909" spans="1:24" ht="14.25" customHeight="1">
      <c r="A4909" s="4"/>
      <c r="B4909" s="125"/>
      <c r="C4909" s="126"/>
      <c r="D4909" s="68"/>
      <c r="E4909" s="10" t="e">
        <f>TRIM(VLOOKUP(D4909,TB!$B$9:$C$1500,2,FALSE))</f>
        <v>#N/A</v>
      </c>
      <c r="F4909" s="142"/>
      <c r="G4909" s="130"/>
      <c r="H4909" s="10"/>
      <c r="I4909" s="10"/>
      <c r="J4909" s="79" t="e">
        <f t="shared" si="327"/>
        <v>#VALUE!</v>
      </c>
      <c r="K4909" s="106"/>
      <c r="L4909" s="141"/>
      <c r="M4909" s="132"/>
      <c r="N4909" s="133"/>
      <c r="O4909" s="4"/>
      <c r="P4909" s="4"/>
      <c r="Q4909" s="4"/>
      <c r="R4909" s="4"/>
      <c r="S4909" s="4"/>
      <c r="T4909" s="4"/>
      <c r="U4909" s="4"/>
      <c r="V4909" s="4"/>
      <c r="W4909" s="4"/>
      <c r="X4909" s="4"/>
    </row>
    <row r="4910" spans="1:24" ht="14.25" customHeight="1">
      <c r="A4910" s="4"/>
      <c r="B4910" s="125">
        <v>46192</v>
      </c>
      <c r="C4910" s="126" t="s">
        <v>2691</v>
      </c>
      <c r="D4910" s="15" t="s">
        <v>2678</v>
      </c>
      <c r="E4910" s="10" t="str">
        <f>TRIM(VLOOKUP(D4910,TB!$B$9:$C$1500,2,FALSE))</f>
        <v>Chicken Breast</v>
      </c>
      <c r="F4910" s="142" t="s">
        <v>2692</v>
      </c>
      <c r="G4910" s="130">
        <v>5</v>
      </c>
      <c r="H4910" s="10">
        <v>255000</v>
      </c>
      <c r="I4910" s="10"/>
      <c r="J4910" s="79" t="e">
        <f t="shared" si="327"/>
        <v>#VALUE!</v>
      </c>
      <c r="K4910" s="106">
        <f t="shared" ref="K4910:K4911" si="333">H4910/G4910</f>
        <v>51000</v>
      </c>
      <c r="L4910" s="141"/>
      <c r="M4910" s="132"/>
      <c r="N4910" s="133"/>
      <c r="O4910" s="4"/>
      <c r="P4910" s="4"/>
      <c r="Q4910" s="4"/>
      <c r="R4910" s="4"/>
      <c r="S4910" s="4"/>
      <c r="T4910" s="4"/>
      <c r="U4910" s="4"/>
      <c r="V4910" s="4"/>
      <c r="W4910" s="4"/>
      <c r="X4910" s="4"/>
    </row>
    <row r="4911" spans="1:24" ht="14.25" customHeight="1">
      <c r="A4911" s="4"/>
      <c r="B4911" s="125">
        <v>46192</v>
      </c>
      <c r="C4911" s="126" t="s">
        <v>2691</v>
      </c>
      <c r="D4911" s="15" t="s">
        <v>2693</v>
      </c>
      <c r="E4911" s="10" t="str">
        <f>TRIM(VLOOKUP(D4911,TB!$B$9:$C$1500,2,FALSE))</f>
        <v>Tenderloin</v>
      </c>
      <c r="F4911" s="142" t="s">
        <v>2694</v>
      </c>
      <c r="G4911" s="130">
        <v>4.26</v>
      </c>
      <c r="H4911" s="10">
        <v>928680</v>
      </c>
      <c r="I4911" s="10"/>
      <c r="J4911" s="79" t="e">
        <f t="shared" si="327"/>
        <v>#VALUE!</v>
      </c>
      <c r="K4911" s="106">
        <f t="shared" si="333"/>
        <v>218000</v>
      </c>
      <c r="L4911" s="141"/>
      <c r="M4911" s="132"/>
      <c r="N4911" s="133"/>
      <c r="O4911" s="4"/>
      <c r="P4911" s="4"/>
      <c r="Q4911" s="4"/>
      <c r="R4911" s="4"/>
      <c r="S4911" s="4"/>
      <c r="T4911" s="4"/>
      <c r="U4911" s="4"/>
      <c r="V4911" s="4"/>
      <c r="W4911" s="4"/>
      <c r="X4911" s="4"/>
    </row>
    <row r="4912" spans="1:24" ht="14.25" customHeight="1">
      <c r="A4912" s="4"/>
      <c r="B4912" s="125">
        <v>46192</v>
      </c>
      <c r="C4912" s="126" t="s">
        <v>2691</v>
      </c>
      <c r="D4912" s="15" t="s">
        <v>285</v>
      </c>
      <c r="E4912" s="10" t="str">
        <f>TRIM(VLOOKUP(D4912,TB!$B$9:$C$1500,2,FALSE))</f>
        <v>Misc Cash Purchase</v>
      </c>
      <c r="F4912" s="142" t="s">
        <v>2695</v>
      </c>
      <c r="G4912" s="130"/>
      <c r="H4912" s="10"/>
      <c r="I4912" s="10">
        <v>1183680</v>
      </c>
      <c r="J4912" s="79" t="e">
        <f t="shared" si="327"/>
        <v>#VALUE!</v>
      </c>
      <c r="K4912" s="106"/>
      <c r="L4912" s="141"/>
      <c r="M4912" s="132"/>
      <c r="N4912" s="133"/>
      <c r="O4912" s="4"/>
      <c r="P4912" s="4"/>
      <c r="Q4912" s="4"/>
      <c r="R4912" s="4"/>
      <c r="S4912" s="4"/>
      <c r="T4912" s="4"/>
      <c r="U4912" s="4"/>
      <c r="V4912" s="4"/>
      <c r="W4912" s="4"/>
      <c r="X4912" s="4"/>
    </row>
    <row r="4913" spans="1:24" ht="14.25" customHeight="1">
      <c r="A4913" s="4"/>
      <c r="B4913" s="125"/>
      <c r="C4913" s="126"/>
      <c r="D4913" s="15"/>
      <c r="E4913" s="10" t="e">
        <f>TRIM(VLOOKUP(D4913,TB!$B$9:$C$1500,2,FALSE))</f>
        <v>#N/A</v>
      </c>
      <c r="F4913" s="142"/>
      <c r="G4913" s="130"/>
      <c r="H4913" s="10"/>
      <c r="I4913" s="10"/>
      <c r="J4913" s="79" t="e">
        <f t="shared" si="327"/>
        <v>#VALUE!</v>
      </c>
      <c r="K4913" s="106"/>
      <c r="L4913" s="141"/>
      <c r="M4913" s="132"/>
      <c r="N4913" s="133"/>
      <c r="O4913" s="4"/>
      <c r="P4913" s="4"/>
      <c r="Q4913" s="4"/>
      <c r="R4913" s="4"/>
      <c r="S4913" s="4"/>
      <c r="T4913" s="4"/>
      <c r="U4913" s="4"/>
      <c r="V4913" s="4"/>
      <c r="W4913" s="4"/>
      <c r="X4913" s="4"/>
    </row>
    <row r="4914" spans="1:24" ht="14.25" customHeight="1">
      <c r="A4914" s="4"/>
      <c r="B4914" s="125">
        <v>46196</v>
      </c>
      <c r="C4914" s="126" t="s">
        <v>2696</v>
      </c>
      <c r="D4914" s="15" t="s">
        <v>2678</v>
      </c>
      <c r="E4914" s="10" t="str">
        <f>TRIM(VLOOKUP(D4914,TB!$B$9:$C$1500,2,FALSE))</f>
        <v>Chicken Breast</v>
      </c>
      <c r="F4914" s="142" t="s">
        <v>2697</v>
      </c>
      <c r="G4914" s="130">
        <v>19.61</v>
      </c>
      <c r="H4914" s="10">
        <v>1000110</v>
      </c>
      <c r="I4914" s="10"/>
      <c r="J4914" s="79" t="e">
        <f t="shared" si="327"/>
        <v>#VALUE!</v>
      </c>
      <c r="K4914" s="106">
        <f>H4914/G4914</f>
        <v>51000</v>
      </c>
      <c r="L4914" s="141"/>
      <c r="M4914" s="132"/>
      <c r="N4914" s="133"/>
      <c r="O4914" s="4"/>
      <c r="P4914" s="4"/>
      <c r="Q4914" s="4"/>
      <c r="R4914" s="4"/>
      <c r="S4914" s="4"/>
      <c r="T4914" s="4"/>
      <c r="U4914" s="4"/>
      <c r="V4914" s="4"/>
      <c r="W4914" s="4"/>
      <c r="X4914" s="4"/>
    </row>
    <row r="4915" spans="1:24" ht="14.25" customHeight="1">
      <c r="A4915" s="4"/>
      <c r="B4915" s="125">
        <v>46196</v>
      </c>
      <c r="C4915" s="126" t="s">
        <v>2696</v>
      </c>
      <c r="D4915" s="15" t="s">
        <v>2680</v>
      </c>
      <c r="E4915" s="10" t="str">
        <f>TRIM(VLOOKUP(D4915,TB!$B$9:$C$1500,2,FALSE))</f>
        <v>Chicken Wing / Sayap Ayam</v>
      </c>
      <c r="F4915" s="142" t="s">
        <v>2698</v>
      </c>
      <c r="G4915" s="130">
        <v>5</v>
      </c>
      <c r="H4915" s="10">
        <v>190000</v>
      </c>
      <c r="I4915" s="10"/>
      <c r="J4915" s="79" t="e">
        <f t="shared" si="327"/>
        <v>#VALUE!</v>
      </c>
      <c r="K4915" s="106"/>
      <c r="L4915" s="141"/>
      <c r="M4915" s="132"/>
      <c r="N4915" s="133"/>
      <c r="O4915" s="4"/>
      <c r="P4915" s="4"/>
      <c r="Q4915" s="4"/>
      <c r="R4915" s="4"/>
      <c r="S4915" s="4"/>
      <c r="T4915" s="4"/>
      <c r="U4915" s="4"/>
      <c r="V4915" s="4"/>
      <c r="W4915" s="4"/>
      <c r="X4915" s="4"/>
    </row>
    <row r="4916" spans="1:24" ht="14.25" customHeight="1">
      <c r="A4916" s="4"/>
      <c r="B4916" s="125">
        <v>46196</v>
      </c>
      <c r="C4916" s="126" t="s">
        <v>2696</v>
      </c>
      <c r="D4916" s="15" t="s">
        <v>2693</v>
      </c>
      <c r="E4916" s="10" t="str">
        <f>TRIM(VLOOKUP(D4916,TB!$B$9:$C$1500,2,FALSE))</f>
        <v>Tenderloin</v>
      </c>
      <c r="F4916" s="142" t="s">
        <v>2699</v>
      </c>
      <c r="G4916" s="130">
        <v>3.18</v>
      </c>
      <c r="H4916" s="10">
        <v>693240</v>
      </c>
      <c r="I4916" s="10"/>
      <c r="J4916" s="79" t="e">
        <f t="shared" si="327"/>
        <v>#VALUE!</v>
      </c>
      <c r="K4916" s="106">
        <f>H4916/G4916</f>
        <v>218000</v>
      </c>
      <c r="L4916" s="141"/>
      <c r="M4916" s="132"/>
      <c r="N4916" s="133"/>
      <c r="O4916" s="4"/>
      <c r="P4916" s="4"/>
      <c r="Q4916" s="4"/>
      <c r="R4916" s="4"/>
      <c r="S4916" s="4"/>
      <c r="T4916" s="4"/>
      <c r="U4916" s="4"/>
      <c r="V4916" s="4"/>
      <c r="W4916" s="4"/>
      <c r="X4916" s="4"/>
    </row>
    <row r="4917" spans="1:24" ht="14.25" customHeight="1">
      <c r="A4917" s="4"/>
      <c r="B4917" s="125">
        <v>46196</v>
      </c>
      <c r="C4917" s="126" t="s">
        <v>2696</v>
      </c>
      <c r="D4917" s="15" t="s">
        <v>285</v>
      </c>
      <c r="E4917" s="10" t="str">
        <f>TRIM(VLOOKUP(D4917,TB!$B$9:$C$1500,2,FALSE))</f>
        <v>Misc Cash Purchase</v>
      </c>
      <c r="F4917" s="142" t="s">
        <v>2700</v>
      </c>
      <c r="G4917" s="130"/>
      <c r="H4917" s="10"/>
      <c r="I4917" s="10">
        <v>1883350</v>
      </c>
      <c r="J4917" s="79" t="e">
        <f t="shared" si="327"/>
        <v>#VALUE!</v>
      </c>
      <c r="K4917" s="106"/>
      <c r="L4917" s="141"/>
      <c r="M4917" s="132"/>
      <c r="N4917" s="133"/>
      <c r="O4917" s="4"/>
      <c r="P4917" s="4"/>
      <c r="Q4917" s="4"/>
      <c r="R4917" s="4"/>
      <c r="S4917" s="4"/>
      <c r="T4917" s="4"/>
      <c r="U4917" s="4"/>
      <c r="V4917" s="4"/>
      <c r="W4917" s="4"/>
      <c r="X4917" s="4"/>
    </row>
    <row r="4918" spans="1:24" ht="14.25" customHeight="1">
      <c r="A4918" s="4"/>
      <c r="B4918" s="125"/>
      <c r="C4918" s="126"/>
      <c r="D4918" s="15"/>
      <c r="E4918" s="10" t="e">
        <f>TRIM(VLOOKUP(D4918,TB!$B$9:$C$1500,2,FALSE))</f>
        <v>#N/A</v>
      </c>
      <c r="F4918" s="142"/>
      <c r="G4918" s="130"/>
      <c r="H4918" s="10"/>
      <c r="I4918" s="10"/>
      <c r="J4918" s="79" t="e">
        <f t="shared" si="327"/>
        <v>#VALUE!</v>
      </c>
      <c r="K4918" s="106"/>
      <c r="L4918" s="141"/>
      <c r="M4918" s="132"/>
      <c r="N4918" s="133"/>
      <c r="O4918" s="4"/>
      <c r="P4918" s="4"/>
      <c r="Q4918" s="4"/>
      <c r="R4918" s="4"/>
      <c r="S4918" s="4"/>
      <c r="T4918" s="4"/>
      <c r="U4918" s="4"/>
      <c r="V4918" s="4"/>
      <c r="W4918" s="4"/>
      <c r="X4918" s="4"/>
    </row>
    <row r="4919" spans="1:24" ht="14.25" customHeight="1">
      <c r="A4919" s="4"/>
      <c r="B4919" s="125">
        <v>46203</v>
      </c>
      <c r="C4919" s="126" t="s">
        <v>2701</v>
      </c>
      <c r="D4919" s="15" t="s">
        <v>2678</v>
      </c>
      <c r="E4919" s="10" t="str">
        <f>TRIM(VLOOKUP(D4919,TB!$B$9:$C$1500,2,FALSE))</f>
        <v>Chicken Breast</v>
      </c>
      <c r="F4919" s="142" t="s">
        <v>2702</v>
      </c>
      <c r="G4919" s="130">
        <v>15</v>
      </c>
      <c r="H4919" s="10">
        <v>765000</v>
      </c>
      <c r="I4919" s="10"/>
      <c r="J4919" s="79" t="e">
        <f t="shared" si="327"/>
        <v>#VALUE!</v>
      </c>
      <c r="K4919" s="106">
        <f>H4919/G4919</f>
        <v>51000</v>
      </c>
      <c r="L4919" s="141"/>
      <c r="M4919" s="132"/>
      <c r="N4919" s="133"/>
      <c r="O4919" s="4"/>
      <c r="P4919" s="4"/>
      <c r="Q4919" s="4"/>
      <c r="R4919" s="4"/>
      <c r="S4919" s="4"/>
      <c r="T4919" s="4"/>
      <c r="U4919" s="4"/>
      <c r="V4919" s="4"/>
      <c r="W4919" s="4"/>
      <c r="X4919" s="4"/>
    </row>
    <row r="4920" spans="1:24" ht="14.25" customHeight="1">
      <c r="A4920" s="4"/>
      <c r="B4920" s="125">
        <v>46203</v>
      </c>
      <c r="C4920" s="126" t="s">
        <v>2701</v>
      </c>
      <c r="D4920" s="15" t="s">
        <v>2680</v>
      </c>
      <c r="E4920" s="10" t="str">
        <f>TRIM(VLOOKUP(D4920,TB!$B$9:$C$1500,2,FALSE))</f>
        <v>Chicken Wing / Sayap Ayam</v>
      </c>
      <c r="F4920" s="142" t="s">
        <v>2703</v>
      </c>
      <c r="G4920" s="130">
        <v>5</v>
      </c>
      <c r="H4920" s="10">
        <v>190000</v>
      </c>
      <c r="I4920" s="10"/>
      <c r="J4920" s="79" t="e">
        <f t="shared" si="327"/>
        <v>#VALUE!</v>
      </c>
      <c r="K4920" s="106"/>
      <c r="L4920" s="141"/>
      <c r="M4920" s="132"/>
      <c r="N4920" s="133"/>
      <c r="O4920" s="4"/>
      <c r="P4920" s="4"/>
      <c r="Q4920" s="4"/>
      <c r="R4920" s="4"/>
      <c r="S4920" s="4"/>
      <c r="T4920" s="4"/>
      <c r="U4920" s="4"/>
      <c r="V4920" s="4"/>
      <c r="W4920" s="4"/>
      <c r="X4920" s="4"/>
    </row>
    <row r="4921" spans="1:24" ht="14.25" customHeight="1">
      <c r="A4921" s="4"/>
      <c r="B4921" s="125">
        <v>46203</v>
      </c>
      <c r="C4921" s="126" t="s">
        <v>2701</v>
      </c>
      <c r="D4921" s="15" t="s">
        <v>285</v>
      </c>
      <c r="E4921" s="10" t="str">
        <f>TRIM(VLOOKUP(D4921,TB!$B$9:$C$1500,2,FALSE))</f>
        <v>Misc Cash Purchase</v>
      </c>
      <c r="F4921" s="142" t="s">
        <v>2704</v>
      </c>
      <c r="G4921" s="130"/>
      <c r="H4921" s="10"/>
      <c r="I4921" s="10">
        <v>955000</v>
      </c>
      <c r="J4921" s="79" t="e">
        <f t="shared" si="327"/>
        <v>#VALUE!</v>
      </c>
      <c r="K4921" s="106"/>
      <c r="L4921" s="141"/>
      <c r="M4921" s="132"/>
      <c r="N4921" s="133"/>
      <c r="O4921" s="4"/>
      <c r="P4921" s="4"/>
      <c r="Q4921" s="4"/>
      <c r="R4921" s="4"/>
      <c r="S4921" s="4"/>
      <c r="T4921" s="4"/>
      <c r="U4921" s="4"/>
      <c r="V4921" s="4"/>
      <c r="W4921" s="4"/>
      <c r="X4921" s="4"/>
    </row>
    <row r="4922" spans="1:24" ht="14.25" customHeight="1">
      <c r="A4922" s="4"/>
      <c r="B4922" s="125"/>
      <c r="C4922" s="126"/>
      <c r="D4922" s="15"/>
      <c r="E4922" s="10" t="e">
        <f>TRIM(VLOOKUP(D4922,TB!$B$9:$C$1500,2,FALSE))</f>
        <v>#N/A</v>
      </c>
      <c r="F4922" s="142"/>
      <c r="G4922" s="130"/>
      <c r="H4922" s="10"/>
      <c r="I4922" s="10"/>
      <c r="J4922" s="79" t="e">
        <f t="shared" si="327"/>
        <v>#VALUE!</v>
      </c>
      <c r="K4922" s="106"/>
      <c r="L4922" s="141"/>
      <c r="M4922" s="132"/>
      <c r="N4922" s="133"/>
      <c r="O4922" s="4"/>
      <c r="P4922" s="4"/>
      <c r="Q4922" s="4"/>
      <c r="R4922" s="4"/>
      <c r="S4922" s="4"/>
      <c r="T4922" s="4"/>
      <c r="U4922" s="4"/>
      <c r="V4922" s="4"/>
      <c r="W4922" s="4"/>
      <c r="X4922" s="4"/>
    </row>
    <row r="4923" spans="1:24" ht="14.25" customHeight="1">
      <c r="A4923" s="4"/>
      <c r="B4923" s="125">
        <v>46176</v>
      </c>
      <c r="C4923" s="126" t="s">
        <v>2705</v>
      </c>
      <c r="D4923" s="15" t="s">
        <v>2706</v>
      </c>
      <c r="E4923" s="10" t="str">
        <f>TRIM(VLOOKUP(D4923,TB!$B$9:$C$1500,2,FALSE))</f>
        <v>Straw Black Pendek</v>
      </c>
      <c r="F4923" s="142" t="s">
        <v>2707</v>
      </c>
      <c r="G4923" s="130">
        <f>15000/100</f>
        <v>150</v>
      </c>
      <c r="H4923" s="10">
        <v>3900000</v>
      </c>
      <c r="I4923" s="10"/>
      <c r="J4923" s="79" t="e">
        <f t="shared" si="327"/>
        <v>#VALUE!</v>
      </c>
      <c r="K4923" s="106"/>
      <c r="L4923" s="141"/>
      <c r="M4923" s="132"/>
      <c r="N4923" s="133"/>
      <c r="O4923" s="4"/>
      <c r="P4923" s="4"/>
      <c r="Q4923" s="4"/>
      <c r="R4923" s="4"/>
      <c r="S4923" s="4"/>
      <c r="T4923" s="4"/>
      <c r="U4923" s="4"/>
      <c r="V4923" s="4"/>
      <c r="W4923" s="4"/>
      <c r="X4923" s="4"/>
    </row>
    <row r="4924" spans="1:24" ht="14.25" customHeight="1">
      <c r="A4924" s="4"/>
      <c r="B4924" s="125">
        <v>46176</v>
      </c>
      <c r="C4924" s="126" t="s">
        <v>2705</v>
      </c>
      <c r="D4924" s="15" t="s">
        <v>285</v>
      </c>
      <c r="E4924" s="10" t="str">
        <f>TRIM(VLOOKUP(D4924,TB!$B$9:$C$1500,2,FALSE))</f>
        <v>Misc Cash Purchase</v>
      </c>
      <c r="F4924" s="142" t="s">
        <v>2708</v>
      </c>
      <c r="G4924" s="130"/>
      <c r="H4924" s="10"/>
      <c r="I4924" s="10">
        <v>3900000</v>
      </c>
      <c r="J4924" s="79" t="e">
        <f t="shared" si="327"/>
        <v>#VALUE!</v>
      </c>
      <c r="K4924" s="106"/>
      <c r="L4924" s="141"/>
      <c r="M4924" s="132"/>
      <c r="N4924" s="133"/>
      <c r="O4924" s="4"/>
      <c r="P4924" s="4"/>
      <c r="Q4924" s="4"/>
      <c r="R4924" s="4"/>
      <c r="S4924" s="4"/>
      <c r="T4924" s="4"/>
      <c r="U4924" s="4"/>
      <c r="V4924" s="4"/>
      <c r="W4924" s="4"/>
      <c r="X4924" s="4"/>
    </row>
    <row r="4925" spans="1:24" ht="14.25" customHeight="1">
      <c r="A4925" s="4"/>
      <c r="B4925" s="125"/>
      <c r="C4925" s="126"/>
      <c r="D4925" s="68"/>
      <c r="E4925" s="10" t="e">
        <f>TRIM(VLOOKUP(D4925,TB!$B$9:$C$1500,2,FALSE))</f>
        <v>#N/A</v>
      </c>
      <c r="F4925" s="142"/>
      <c r="G4925" s="130"/>
      <c r="H4925" s="10"/>
      <c r="I4925" s="10"/>
      <c r="J4925" s="79" t="e">
        <f t="shared" si="327"/>
        <v>#VALUE!</v>
      </c>
      <c r="K4925" s="106"/>
      <c r="L4925" s="141"/>
      <c r="M4925" s="132"/>
      <c r="N4925" s="133"/>
      <c r="O4925" s="4"/>
      <c r="P4925" s="4"/>
      <c r="Q4925" s="4"/>
      <c r="R4925" s="4"/>
      <c r="S4925" s="4"/>
      <c r="T4925" s="4"/>
      <c r="U4925" s="4"/>
      <c r="V4925" s="4"/>
      <c r="W4925" s="4"/>
      <c r="X4925" s="4"/>
    </row>
    <row r="4926" spans="1:24" ht="14.25" customHeight="1">
      <c r="A4926" s="4"/>
      <c r="B4926" s="125">
        <v>46185</v>
      </c>
      <c r="C4926" s="126" t="s">
        <v>2709</v>
      </c>
      <c r="D4926" s="15" t="s">
        <v>2710</v>
      </c>
      <c r="E4926" s="10" t="str">
        <f>TRIM(VLOOKUP(D4926,TB!$B$9:$C$1500,2,FALSE))</f>
        <v>Gilbyes Gin</v>
      </c>
      <c r="F4926" s="185" t="s">
        <v>2711</v>
      </c>
      <c r="G4926" s="130">
        <v>12</v>
      </c>
      <c r="H4926" s="10">
        <v>2568000</v>
      </c>
      <c r="I4926" s="10"/>
      <c r="J4926" s="79" t="e">
        <f t="shared" si="327"/>
        <v>#VALUE!</v>
      </c>
      <c r="K4926" s="106"/>
      <c r="L4926" s="141"/>
      <c r="M4926" s="132"/>
      <c r="N4926" s="133"/>
      <c r="O4926" s="4"/>
      <c r="P4926" s="4"/>
      <c r="Q4926" s="4"/>
      <c r="R4926" s="4"/>
      <c r="S4926" s="4"/>
      <c r="T4926" s="4"/>
      <c r="U4926" s="4"/>
      <c r="V4926" s="4"/>
      <c r="W4926" s="4"/>
      <c r="X4926" s="4"/>
    </row>
    <row r="4927" spans="1:24" ht="14.25" customHeight="1">
      <c r="A4927" s="4"/>
      <c r="B4927" s="125">
        <v>46185</v>
      </c>
      <c r="C4927" s="126" t="s">
        <v>2709</v>
      </c>
      <c r="D4927" s="15" t="s">
        <v>285</v>
      </c>
      <c r="E4927" s="10" t="str">
        <f>TRIM(VLOOKUP(D4927,TB!$B$9:$C$1500,2,FALSE))</f>
        <v>Misc Cash Purchase</v>
      </c>
      <c r="F4927" s="185" t="s">
        <v>2712</v>
      </c>
      <c r="G4927" s="130"/>
      <c r="H4927" s="10"/>
      <c r="I4927" s="10">
        <v>2568000</v>
      </c>
      <c r="J4927" s="79" t="e">
        <f t="shared" si="327"/>
        <v>#VALUE!</v>
      </c>
      <c r="K4927" s="106"/>
      <c r="L4927" s="141"/>
      <c r="M4927" s="132"/>
      <c r="N4927" s="133"/>
      <c r="O4927" s="4"/>
      <c r="P4927" s="4"/>
      <c r="Q4927" s="4"/>
      <c r="R4927" s="4"/>
      <c r="S4927" s="4"/>
      <c r="T4927" s="4"/>
      <c r="U4927" s="4"/>
      <c r="V4927" s="4"/>
      <c r="W4927" s="4"/>
      <c r="X4927" s="4"/>
    </row>
    <row r="4928" spans="1:24" ht="14.25" customHeight="1">
      <c r="A4928" s="4"/>
      <c r="B4928" s="125"/>
      <c r="C4928" s="126"/>
      <c r="D4928" s="68"/>
      <c r="E4928" s="10" t="e">
        <f>TRIM(VLOOKUP(D4928,TB!$B$9:$C$1500,2,FALSE))</f>
        <v>#N/A</v>
      </c>
      <c r="F4928" s="142"/>
      <c r="G4928" s="130"/>
      <c r="H4928" s="10"/>
      <c r="I4928" s="10"/>
      <c r="J4928" s="79" t="e">
        <f t="shared" si="327"/>
        <v>#VALUE!</v>
      </c>
      <c r="K4928" s="106"/>
      <c r="L4928" s="141"/>
      <c r="M4928" s="132"/>
      <c r="N4928" s="133"/>
      <c r="O4928" s="4"/>
      <c r="P4928" s="4"/>
      <c r="Q4928" s="4"/>
      <c r="R4928" s="4"/>
      <c r="S4928" s="4"/>
      <c r="T4928" s="4"/>
      <c r="U4928" s="4"/>
      <c r="V4928" s="4"/>
      <c r="W4928" s="4"/>
      <c r="X4928" s="4"/>
    </row>
    <row r="4929" spans="1:24" ht="14.25" customHeight="1">
      <c r="A4929" s="4"/>
      <c r="B4929" s="125">
        <v>46176</v>
      </c>
      <c r="C4929" s="126" t="s">
        <v>2713</v>
      </c>
      <c r="D4929" s="15" t="s">
        <v>2714</v>
      </c>
      <c r="E4929" s="10" t="str">
        <f>TRIM(VLOOKUP(D4929,TB!$B$9:$C$1500,2,FALSE))</f>
        <v>Beefeater London Dry Gin</v>
      </c>
      <c r="F4929" s="185" t="s">
        <v>2715</v>
      </c>
      <c r="G4929" s="130">
        <v>24</v>
      </c>
      <c r="H4929" s="10">
        <v>6715008</v>
      </c>
      <c r="I4929" s="10"/>
      <c r="J4929" s="79" t="e">
        <f t="shared" si="327"/>
        <v>#VALUE!</v>
      </c>
      <c r="K4929" s="106"/>
      <c r="L4929" s="141"/>
      <c r="M4929" s="132"/>
      <c r="N4929" s="133"/>
      <c r="O4929" s="4"/>
      <c r="P4929" s="4"/>
      <c r="Q4929" s="4"/>
      <c r="R4929" s="4"/>
      <c r="S4929" s="4"/>
      <c r="T4929" s="4"/>
      <c r="U4929" s="4"/>
      <c r="V4929" s="4"/>
      <c r="W4929" s="4"/>
      <c r="X4929" s="4"/>
    </row>
    <row r="4930" spans="1:24" ht="14.25" customHeight="1">
      <c r="A4930" s="4"/>
      <c r="B4930" s="125">
        <v>46176</v>
      </c>
      <c r="C4930" s="126" t="s">
        <v>2713</v>
      </c>
      <c r="D4930" s="15" t="s">
        <v>2716</v>
      </c>
      <c r="E4930" s="10" t="str">
        <f>TRIM(VLOOKUP(D4930,TB!$B$9:$C$1500,2,FALSE))</f>
        <v>Olmeca Reposado Tequila</v>
      </c>
      <c r="F4930" s="185" t="s">
        <v>2717</v>
      </c>
      <c r="G4930" s="130">
        <v>12</v>
      </c>
      <c r="H4930" s="10">
        <v>4122504</v>
      </c>
      <c r="I4930" s="10"/>
      <c r="J4930" s="79" t="e">
        <f t="shared" si="327"/>
        <v>#VALUE!</v>
      </c>
      <c r="K4930" s="106"/>
      <c r="L4930" s="141"/>
      <c r="M4930" s="132"/>
      <c r="N4930" s="133"/>
      <c r="O4930" s="4"/>
      <c r="P4930" s="4"/>
      <c r="Q4930" s="4"/>
      <c r="R4930" s="4"/>
      <c r="S4930" s="4"/>
      <c r="T4930" s="4"/>
      <c r="U4930" s="4"/>
      <c r="V4930" s="4"/>
      <c r="W4930" s="4"/>
      <c r="X4930" s="4"/>
    </row>
    <row r="4931" spans="1:24" ht="14.25" customHeight="1">
      <c r="A4931" s="4"/>
      <c r="B4931" s="125">
        <v>46176</v>
      </c>
      <c r="C4931" s="126" t="s">
        <v>2713</v>
      </c>
      <c r="D4931" s="15" t="s">
        <v>2718</v>
      </c>
      <c r="E4931" s="10" t="str">
        <f>TRIM(VLOOKUP(D4931,TB!$B$9:$C$1500,2,FALSE))</f>
        <v>Havana Club Anejo 3 Anos</v>
      </c>
      <c r="F4931" s="185" t="s">
        <v>2719</v>
      </c>
      <c r="G4931" s="130">
        <v>12</v>
      </c>
      <c r="H4931" s="10">
        <v>3400008</v>
      </c>
      <c r="I4931" s="10"/>
      <c r="J4931" s="79" t="e">
        <f t="shared" si="327"/>
        <v>#VALUE!</v>
      </c>
      <c r="K4931" s="106"/>
      <c r="L4931" s="141"/>
      <c r="M4931" s="132"/>
      <c r="N4931" s="133"/>
      <c r="O4931" s="4"/>
      <c r="P4931" s="4"/>
      <c r="Q4931" s="4"/>
      <c r="R4931" s="4"/>
      <c r="S4931" s="4"/>
      <c r="T4931" s="4"/>
      <c r="U4931" s="4"/>
      <c r="V4931" s="4"/>
      <c r="W4931" s="4"/>
      <c r="X4931" s="4"/>
    </row>
    <row r="4932" spans="1:24" ht="14.25" customHeight="1">
      <c r="A4932" s="4"/>
      <c r="B4932" s="125">
        <v>46176</v>
      </c>
      <c r="C4932" s="126" t="s">
        <v>2713</v>
      </c>
      <c r="D4932" s="15" t="s">
        <v>2720</v>
      </c>
      <c r="E4932" s="10" t="str">
        <f>TRIM(VLOOKUP(D4932,TB!$B$9:$C$1500,2,FALSE))</f>
        <v>Havana Club Anejo 7 Anos</v>
      </c>
      <c r="F4932" s="185" t="s">
        <v>2721</v>
      </c>
      <c r="G4932" s="130">
        <v>3</v>
      </c>
      <c r="H4932" s="10">
        <v>1175001</v>
      </c>
      <c r="I4932" s="10"/>
      <c r="J4932" s="79" t="e">
        <f t="shared" si="327"/>
        <v>#VALUE!</v>
      </c>
      <c r="K4932" s="106">
        <f>H4932/G4932</f>
        <v>391667</v>
      </c>
      <c r="L4932" s="141"/>
      <c r="M4932" s="132"/>
      <c r="N4932" s="133"/>
      <c r="O4932" s="4"/>
      <c r="P4932" s="4"/>
      <c r="Q4932" s="4"/>
      <c r="R4932" s="4"/>
      <c r="S4932" s="4"/>
      <c r="T4932" s="4"/>
      <c r="U4932" s="4"/>
      <c r="V4932" s="4"/>
      <c r="W4932" s="4"/>
      <c r="X4932" s="4"/>
    </row>
    <row r="4933" spans="1:24" ht="14.25" customHeight="1">
      <c r="A4933" s="4"/>
      <c r="B4933" s="125">
        <v>46176</v>
      </c>
      <c r="C4933" s="126" t="s">
        <v>2713</v>
      </c>
      <c r="D4933" s="15" t="s">
        <v>2722</v>
      </c>
      <c r="E4933" s="10" t="str">
        <f>TRIM(VLOOKUP(D4933,TB!$B$9:$C$1500,2,FALSE))</f>
        <v>Ballantines Finest</v>
      </c>
      <c r="F4933" s="185" t="s">
        <v>2723</v>
      </c>
      <c r="G4933" s="130">
        <v>12</v>
      </c>
      <c r="H4933" s="10">
        <v>3571500</v>
      </c>
      <c r="I4933" s="10"/>
      <c r="J4933" s="79" t="e">
        <f t="shared" si="327"/>
        <v>#VALUE!</v>
      </c>
      <c r="K4933" s="106"/>
      <c r="L4933" s="141"/>
      <c r="M4933" s="132"/>
      <c r="N4933" s="133"/>
      <c r="O4933" s="4"/>
      <c r="P4933" s="4"/>
      <c r="Q4933" s="4"/>
      <c r="R4933" s="4"/>
      <c r="S4933" s="4"/>
      <c r="T4933" s="4"/>
      <c r="U4933" s="4"/>
      <c r="V4933" s="4"/>
      <c r="W4933" s="4"/>
      <c r="X4933" s="4"/>
    </row>
    <row r="4934" spans="1:24" ht="14.25" customHeight="1">
      <c r="A4934" s="4"/>
      <c r="B4934" s="125">
        <v>46176</v>
      </c>
      <c r="C4934" s="126" t="s">
        <v>2713</v>
      </c>
      <c r="D4934" s="15" t="s">
        <v>285</v>
      </c>
      <c r="E4934" s="10" t="str">
        <f>TRIM(VLOOKUP(D4934,TB!$B$9:$C$1500,2,FALSE))</f>
        <v>Misc Cash Purchase</v>
      </c>
      <c r="F4934" s="185" t="s">
        <v>2724</v>
      </c>
      <c r="G4934" s="130"/>
      <c r="H4934" s="10"/>
      <c r="I4934" s="10">
        <v>18984021</v>
      </c>
      <c r="J4934" s="79" t="e">
        <f t="shared" si="327"/>
        <v>#VALUE!</v>
      </c>
      <c r="K4934" s="106"/>
      <c r="L4934" s="141"/>
      <c r="M4934" s="132"/>
      <c r="N4934" s="133"/>
      <c r="O4934" s="4"/>
      <c r="P4934" s="4"/>
      <c r="Q4934" s="4"/>
      <c r="R4934" s="4"/>
      <c r="S4934" s="4"/>
      <c r="T4934" s="4"/>
      <c r="U4934" s="4"/>
      <c r="V4934" s="4"/>
      <c r="W4934" s="4"/>
      <c r="X4934" s="4"/>
    </row>
    <row r="4935" spans="1:24" ht="14.25" customHeight="1">
      <c r="A4935" s="4"/>
      <c r="B4935" s="125"/>
      <c r="C4935" s="126"/>
      <c r="D4935" s="68"/>
      <c r="E4935" s="10" t="e">
        <f>TRIM(VLOOKUP(D4935,TB!$B$9:$C$1500,2,FALSE))</f>
        <v>#N/A</v>
      </c>
      <c r="F4935" s="142"/>
      <c r="G4935" s="130"/>
      <c r="H4935" s="10"/>
      <c r="I4935" s="10"/>
      <c r="J4935" s="79" t="e">
        <f t="shared" si="327"/>
        <v>#VALUE!</v>
      </c>
      <c r="K4935" s="106"/>
      <c r="L4935" s="141"/>
      <c r="M4935" s="132"/>
      <c r="N4935" s="133"/>
      <c r="O4935" s="4"/>
      <c r="P4935" s="4"/>
      <c r="Q4935" s="4"/>
      <c r="R4935" s="4"/>
      <c r="S4935" s="4"/>
      <c r="T4935" s="4"/>
      <c r="U4935" s="4"/>
      <c r="V4935" s="4"/>
      <c r="W4935" s="4"/>
      <c r="X4935" s="4"/>
    </row>
    <row r="4936" spans="1:24" ht="14.25" customHeight="1">
      <c r="A4936" s="4"/>
      <c r="B4936" s="125">
        <v>46176</v>
      </c>
      <c r="C4936" s="126" t="s">
        <v>2725</v>
      </c>
      <c r="D4936" s="15" t="s">
        <v>2726</v>
      </c>
      <c r="E4936" s="10" t="str">
        <f>TRIM(VLOOKUP(D4936,TB!$B$9:$C$1500,2,FALSE))</f>
        <v>Seagrams Vodka</v>
      </c>
      <c r="F4936" s="185" t="s">
        <v>2727</v>
      </c>
      <c r="G4936" s="130">
        <v>72</v>
      </c>
      <c r="H4936" s="10">
        <v>14688000</v>
      </c>
      <c r="I4936" s="10"/>
      <c r="J4936" s="79" t="e">
        <f t="shared" si="327"/>
        <v>#VALUE!</v>
      </c>
      <c r="K4936" s="106"/>
      <c r="L4936" s="141"/>
      <c r="M4936" s="132"/>
      <c r="N4936" s="133"/>
      <c r="O4936" s="4"/>
      <c r="P4936" s="4"/>
      <c r="Q4936" s="4"/>
      <c r="R4936" s="4"/>
      <c r="S4936" s="4"/>
      <c r="T4936" s="4"/>
      <c r="U4936" s="4"/>
      <c r="V4936" s="4"/>
      <c r="W4936" s="4"/>
      <c r="X4936" s="4"/>
    </row>
    <row r="4937" spans="1:24" ht="14.25" customHeight="1">
      <c r="A4937" s="4"/>
      <c r="B4937" s="125">
        <v>46176</v>
      </c>
      <c r="C4937" s="126" t="s">
        <v>2725</v>
      </c>
      <c r="D4937" s="15" t="s">
        <v>285</v>
      </c>
      <c r="E4937" s="10" t="str">
        <f>TRIM(VLOOKUP(D4937,TB!$B$9:$C$1500,2,FALSE))</f>
        <v>Misc Cash Purchase</v>
      </c>
      <c r="F4937" s="185" t="s">
        <v>2728</v>
      </c>
      <c r="G4937" s="130"/>
      <c r="H4937" s="10"/>
      <c r="I4937" s="10">
        <v>14688000</v>
      </c>
      <c r="J4937" s="79" t="e">
        <f t="shared" si="327"/>
        <v>#VALUE!</v>
      </c>
      <c r="K4937" s="106"/>
      <c r="L4937" s="141"/>
      <c r="M4937" s="132"/>
      <c r="N4937" s="133"/>
      <c r="O4937" s="4"/>
      <c r="P4937" s="4"/>
      <c r="Q4937" s="4"/>
      <c r="R4937" s="4"/>
      <c r="S4937" s="4"/>
      <c r="T4937" s="4"/>
      <c r="U4937" s="4"/>
      <c r="V4937" s="4"/>
      <c r="W4937" s="4"/>
      <c r="X4937" s="4"/>
    </row>
    <row r="4938" spans="1:24" ht="14.25" customHeight="1">
      <c r="A4938" s="4"/>
      <c r="B4938" s="125"/>
      <c r="C4938" s="126"/>
      <c r="D4938" s="68"/>
      <c r="E4938" s="10" t="e">
        <f>TRIM(VLOOKUP(D4938,TB!$B$9:$C$1500,2,FALSE))</f>
        <v>#N/A</v>
      </c>
      <c r="F4938" s="142"/>
      <c r="G4938" s="130"/>
      <c r="H4938" s="10"/>
      <c r="I4938" s="10"/>
      <c r="J4938" s="79" t="e">
        <f t="shared" si="327"/>
        <v>#VALUE!</v>
      </c>
      <c r="K4938" s="106"/>
      <c r="L4938" s="141"/>
      <c r="M4938" s="132"/>
      <c r="N4938" s="133"/>
      <c r="O4938" s="4"/>
      <c r="P4938" s="4"/>
      <c r="Q4938" s="4"/>
      <c r="R4938" s="4"/>
      <c r="S4938" s="4"/>
      <c r="T4938" s="4"/>
      <c r="U4938" s="4"/>
      <c r="V4938" s="4"/>
      <c r="W4938" s="4"/>
      <c r="X4938" s="4"/>
    </row>
    <row r="4939" spans="1:24" ht="14.25" customHeight="1">
      <c r="A4939" s="4"/>
      <c r="B4939" s="125">
        <v>46176</v>
      </c>
      <c r="C4939" s="126" t="s">
        <v>2729</v>
      </c>
      <c r="D4939" s="15" t="s">
        <v>2730</v>
      </c>
      <c r="E4939" s="10" t="str">
        <f>TRIM(VLOOKUP(D4939,TB!$B$9:$C$1500,2,FALSE))</f>
        <v>Glenlivet 15 Yo</v>
      </c>
      <c r="F4939" s="185" t="s">
        <v>2731</v>
      </c>
      <c r="G4939" s="130">
        <v>1</v>
      </c>
      <c r="H4939" s="10">
        <v>1408334</v>
      </c>
      <c r="I4939" s="10"/>
      <c r="J4939" s="79" t="e">
        <f t="shared" si="327"/>
        <v>#VALUE!</v>
      </c>
      <c r="K4939" s="106"/>
      <c r="L4939" s="141"/>
      <c r="M4939" s="132"/>
      <c r="N4939" s="133"/>
      <c r="O4939" s="4"/>
      <c r="P4939" s="4"/>
      <c r="Q4939" s="4"/>
      <c r="R4939" s="4"/>
      <c r="S4939" s="4"/>
      <c r="T4939" s="4"/>
      <c r="U4939" s="4"/>
      <c r="V4939" s="4"/>
      <c r="W4939" s="4"/>
      <c r="X4939" s="4"/>
    </row>
    <row r="4940" spans="1:24" ht="14.25" customHeight="1">
      <c r="A4940" s="4"/>
      <c r="B4940" s="125">
        <v>46176</v>
      </c>
      <c r="C4940" s="126" t="s">
        <v>2729</v>
      </c>
      <c r="D4940" s="15" t="s">
        <v>285</v>
      </c>
      <c r="E4940" s="10" t="str">
        <f>TRIM(VLOOKUP(D4940,TB!$B$9:$C$1500,2,FALSE))</f>
        <v>Misc Cash Purchase</v>
      </c>
      <c r="F4940" s="185" t="s">
        <v>2732</v>
      </c>
      <c r="G4940" s="130"/>
      <c r="H4940" s="10"/>
      <c r="I4940" s="10">
        <v>1408334</v>
      </c>
      <c r="J4940" s="79" t="e">
        <f t="shared" si="327"/>
        <v>#VALUE!</v>
      </c>
      <c r="K4940" s="106"/>
      <c r="L4940" s="141"/>
      <c r="M4940" s="132"/>
      <c r="N4940" s="133"/>
      <c r="O4940" s="4"/>
      <c r="P4940" s="4"/>
      <c r="Q4940" s="4"/>
      <c r="R4940" s="4"/>
      <c r="S4940" s="4"/>
      <c r="T4940" s="4"/>
      <c r="U4940" s="4"/>
      <c r="V4940" s="4"/>
      <c r="W4940" s="4"/>
      <c r="X4940" s="4"/>
    </row>
    <row r="4941" spans="1:24" ht="14.25" customHeight="1">
      <c r="A4941" s="4"/>
      <c r="B4941" s="125"/>
      <c r="C4941" s="126"/>
      <c r="D4941" s="68"/>
      <c r="E4941" s="10" t="e">
        <f>TRIM(VLOOKUP(D4941,TB!$B$9:$C$1500,2,FALSE))</f>
        <v>#N/A</v>
      </c>
      <c r="F4941" s="142"/>
      <c r="G4941" s="130"/>
      <c r="H4941" s="10"/>
      <c r="I4941" s="10"/>
      <c r="J4941" s="79" t="e">
        <f t="shared" si="327"/>
        <v>#VALUE!</v>
      </c>
      <c r="K4941" s="106"/>
      <c r="L4941" s="141"/>
      <c r="M4941" s="132"/>
      <c r="N4941" s="133"/>
      <c r="O4941" s="4"/>
      <c r="P4941" s="4"/>
      <c r="Q4941" s="4"/>
      <c r="R4941" s="4"/>
      <c r="S4941" s="4"/>
      <c r="T4941" s="4"/>
      <c r="U4941" s="4"/>
      <c r="V4941" s="4"/>
      <c r="W4941" s="4"/>
      <c r="X4941" s="4"/>
    </row>
    <row r="4942" spans="1:24" ht="14.25" customHeight="1">
      <c r="A4942" s="4"/>
      <c r="B4942" s="125">
        <v>46177</v>
      </c>
      <c r="C4942" s="126" t="s">
        <v>2733</v>
      </c>
      <c r="D4942" s="15" t="s">
        <v>2734</v>
      </c>
      <c r="E4942" s="10" t="str">
        <f>TRIM(VLOOKUP(D4942,TB!$B$9:$C$1500,2,FALSE))</f>
        <v>John Jameson Irish Whisky</v>
      </c>
      <c r="F4942" s="185" t="s">
        <v>2735</v>
      </c>
      <c r="G4942" s="130">
        <v>1</v>
      </c>
      <c r="H4942" s="10">
        <v>640000</v>
      </c>
      <c r="I4942" s="10"/>
      <c r="J4942" s="79" t="e">
        <f t="shared" si="327"/>
        <v>#VALUE!</v>
      </c>
      <c r="K4942" s="106"/>
      <c r="L4942" s="141"/>
      <c r="M4942" s="132"/>
      <c r="N4942" s="133"/>
      <c r="O4942" s="4"/>
      <c r="P4942" s="4"/>
      <c r="Q4942" s="4"/>
      <c r="R4942" s="4"/>
      <c r="S4942" s="4"/>
      <c r="T4942" s="4"/>
      <c r="U4942" s="4"/>
      <c r="V4942" s="4"/>
      <c r="W4942" s="4"/>
      <c r="X4942" s="4"/>
    </row>
    <row r="4943" spans="1:24" ht="14.25" customHeight="1">
      <c r="A4943" s="4"/>
      <c r="B4943" s="125">
        <v>46177</v>
      </c>
      <c r="C4943" s="126" t="s">
        <v>2733</v>
      </c>
      <c r="D4943" s="15" t="s">
        <v>285</v>
      </c>
      <c r="E4943" s="10" t="str">
        <f>TRIM(VLOOKUP(D4943,TB!$B$9:$C$1500,2,FALSE))</f>
        <v>Misc Cash Purchase</v>
      </c>
      <c r="F4943" s="185" t="s">
        <v>2736</v>
      </c>
      <c r="G4943" s="130"/>
      <c r="H4943" s="10"/>
      <c r="I4943" s="10">
        <v>640000</v>
      </c>
      <c r="J4943" s="79" t="e">
        <f t="shared" si="327"/>
        <v>#VALUE!</v>
      </c>
      <c r="K4943" s="106"/>
      <c r="L4943" s="141"/>
      <c r="M4943" s="132"/>
      <c r="N4943" s="133"/>
      <c r="O4943" s="4"/>
      <c r="P4943" s="4"/>
      <c r="Q4943" s="4"/>
      <c r="R4943" s="4"/>
      <c r="S4943" s="4"/>
      <c r="T4943" s="4"/>
      <c r="U4943" s="4"/>
      <c r="V4943" s="4"/>
      <c r="W4943" s="4"/>
      <c r="X4943" s="4"/>
    </row>
    <row r="4944" spans="1:24" ht="14.25" customHeight="1">
      <c r="A4944" s="4"/>
      <c r="B4944" s="125"/>
      <c r="C4944" s="126"/>
      <c r="D4944" s="68"/>
      <c r="E4944" s="10" t="e">
        <f>TRIM(VLOOKUP(D4944,TB!$B$9:$C$1500,2,FALSE))</f>
        <v>#N/A</v>
      </c>
      <c r="F4944" s="142"/>
      <c r="G4944" s="130"/>
      <c r="H4944" s="10"/>
      <c r="I4944" s="10"/>
      <c r="J4944" s="79" t="e">
        <f t="shared" si="327"/>
        <v>#VALUE!</v>
      </c>
      <c r="K4944" s="106"/>
      <c r="L4944" s="141"/>
      <c r="M4944" s="132"/>
      <c r="N4944" s="133"/>
      <c r="O4944" s="4"/>
      <c r="P4944" s="4"/>
      <c r="Q4944" s="4"/>
      <c r="R4944" s="4"/>
      <c r="S4944" s="4"/>
      <c r="T4944" s="4"/>
      <c r="U4944" s="4"/>
      <c r="V4944" s="4"/>
      <c r="W4944" s="4"/>
      <c r="X4944" s="4"/>
    </row>
    <row r="4945" spans="1:24" ht="14.25" customHeight="1">
      <c r="A4945" s="4"/>
      <c r="B4945" s="125">
        <v>46182</v>
      </c>
      <c r="C4945" s="126" t="s">
        <v>2737</v>
      </c>
      <c r="D4945" s="15" t="s">
        <v>2726</v>
      </c>
      <c r="E4945" s="10" t="str">
        <f>TRIM(VLOOKUP(D4945,TB!$B$9:$C$1500,2,FALSE))</f>
        <v>Seagrams Vodka</v>
      </c>
      <c r="F4945" s="185" t="s">
        <v>2738</v>
      </c>
      <c r="G4945" s="130">
        <v>72</v>
      </c>
      <c r="H4945" s="10">
        <v>14688000</v>
      </c>
      <c r="I4945" s="10"/>
      <c r="J4945" s="79" t="e">
        <f t="shared" si="327"/>
        <v>#VALUE!</v>
      </c>
      <c r="K4945" s="106"/>
      <c r="L4945" s="141"/>
      <c r="M4945" s="132"/>
      <c r="N4945" s="133"/>
      <c r="O4945" s="4"/>
      <c r="P4945" s="4"/>
      <c r="Q4945" s="4"/>
      <c r="R4945" s="4"/>
      <c r="S4945" s="4"/>
      <c r="T4945" s="4"/>
      <c r="U4945" s="4"/>
      <c r="V4945" s="4"/>
      <c r="W4945" s="4"/>
      <c r="X4945" s="4"/>
    </row>
    <row r="4946" spans="1:24" ht="14.25" customHeight="1">
      <c r="A4946" s="4"/>
      <c r="B4946" s="125">
        <v>46182</v>
      </c>
      <c r="C4946" s="126" t="s">
        <v>2737</v>
      </c>
      <c r="D4946" s="15" t="s">
        <v>285</v>
      </c>
      <c r="E4946" s="10" t="str">
        <f>TRIM(VLOOKUP(D4946,TB!$B$9:$C$1500,2,FALSE))</f>
        <v>Misc Cash Purchase</v>
      </c>
      <c r="F4946" s="185" t="s">
        <v>2739</v>
      </c>
      <c r="G4946" s="130"/>
      <c r="H4946" s="10"/>
      <c r="I4946" s="10">
        <v>14688000</v>
      </c>
      <c r="J4946" s="79" t="e">
        <f t="shared" si="327"/>
        <v>#VALUE!</v>
      </c>
      <c r="K4946" s="106"/>
      <c r="L4946" s="141"/>
      <c r="M4946" s="132"/>
      <c r="N4946" s="133"/>
      <c r="O4946" s="4"/>
      <c r="P4946" s="4"/>
      <c r="Q4946" s="4"/>
      <c r="R4946" s="4"/>
      <c r="S4946" s="4"/>
      <c r="T4946" s="4"/>
      <c r="U4946" s="4"/>
      <c r="V4946" s="4"/>
      <c r="W4946" s="4"/>
      <c r="X4946" s="4"/>
    </row>
    <row r="4947" spans="1:24" ht="14.25" customHeight="1">
      <c r="A4947" s="4"/>
      <c r="B4947" s="125"/>
      <c r="C4947" s="126"/>
      <c r="D4947" s="68"/>
      <c r="E4947" s="10" t="e">
        <f>TRIM(VLOOKUP(D4947,TB!$B$9:$C$1500,2,FALSE))</f>
        <v>#N/A</v>
      </c>
      <c r="F4947" s="142"/>
      <c r="G4947" s="130"/>
      <c r="H4947" s="10"/>
      <c r="I4947" s="10"/>
      <c r="J4947" s="79" t="e">
        <f t="shared" si="327"/>
        <v>#VALUE!</v>
      </c>
      <c r="K4947" s="106"/>
      <c r="L4947" s="141"/>
      <c r="M4947" s="132"/>
      <c r="N4947" s="133"/>
      <c r="O4947" s="4"/>
      <c r="P4947" s="4"/>
      <c r="Q4947" s="4"/>
      <c r="R4947" s="4"/>
      <c r="S4947" s="4"/>
      <c r="T4947" s="4"/>
      <c r="U4947" s="4"/>
      <c r="V4947" s="4"/>
      <c r="W4947" s="4"/>
      <c r="X4947" s="4"/>
    </row>
    <row r="4948" spans="1:24" ht="14.25" customHeight="1">
      <c r="A4948" s="4"/>
      <c r="B4948" s="125">
        <v>46182</v>
      </c>
      <c r="C4948" s="126" t="s">
        <v>2740</v>
      </c>
      <c r="D4948" s="15" t="s">
        <v>2741</v>
      </c>
      <c r="E4948" s="10" t="str">
        <f>TRIM(VLOOKUP(D4948,TB!$B$9:$C$1500,2,FALSE))</f>
        <v>Absolute Blue Vodka</v>
      </c>
      <c r="F4948" s="185" t="s">
        <v>2742</v>
      </c>
      <c r="G4948" s="130">
        <v>5</v>
      </c>
      <c r="H4948" s="10">
        <v>1500000</v>
      </c>
      <c r="I4948" s="10"/>
      <c r="J4948" s="79" t="e">
        <f t="shared" si="327"/>
        <v>#VALUE!</v>
      </c>
      <c r="K4948" s="106"/>
      <c r="L4948" s="141"/>
      <c r="M4948" s="132"/>
      <c r="N4948" s="133"/>
      <c r="O4948" s="4"/>
      <c r="P4948" s="4"/>
      <c r="Q4948" s="4"/>
      <c r="R4948" s="4"/>
      <c r="S4948" s="4"/>
      <c r="T4948" s="4"/>
      <c r="U4948" s="4"/>
      <c r="V4948" s="4"/>
      <c r="W4948" s="4"/>
      <c r="X4948" s="4"/>
    </row>
    <row r="4949" spans="1:24" ht="14.25" customHeight="1">
      <c r="A4949" s="4"/>
      <c r="B4949" s="125">
        <v>46182</v>
      </c>
      <c r="C4949" s="126" t="s">
        <v>2740</v>
      </c>
      <c r="D4949" s="15" t="s">
        <v>2714</v>
      </c>
      <c r="E4949" s="10" t="str">
        <f>TRIM(VLOOKUP(D4949,TB!$B$9:$C$1500,2,FALSE))</f>
        <v>Beefeater London Dry Gin</v>
      </c>
      <c r="F4949" s="185" t="s">
        <v>2743</v>
      </c>
      <c r="G4949" s="130">
        <v>12</v>
      </c>
      <c r="H4949" s="10">
        <v>3357504</v>
      </c>
      <c r="I4949" s="10"/>
      <c r="J4949" s="79" t="e">
        <f t="shared" si="327"/>
        <v>#VALUE!</v>
      </c>
      <c r="K4949" s="106"/>
      <c r="L4949" s="141"/>
      <c r="M4949" s="132"/>
      <c r="N4949" s="133"/>
      <c r="O4949" s="4"/>
      <c r="P4949" s="4"/>
      <c r="Q4949" s="4"/>
      <c r="R4949" s="4"/>
      <c r="S4949" s="4"/>
      <c r="T4949" s="4"/>
      <c r="U4949" s="4"/>
      <c r="V4949" s="4"/>
      <c r="W4949" s="4"/>
      <c r="X4949" s="4"/>
    </row>
    <row r="4950" spans="1:24" ht="14.25" customHeight="1">
      <c r="A4950" s="4"/>
      <c r="B4950" s="125">
        <v>46182</v>
      </c>
      <c r="C4950" s="126" t="s">
        <v>2740</v>
      </c>
      <c r="D4950" s="15" t="s">
        <v>2716</v>
      </c>
      <c r="E4950" s="10" t="str">
        <f>TRIM(VLOOKUP(D4950,TB!$B$9:$C$1500,2,FALSE))</f>
        <v>Olmeca Reposado Tequila</v>
      </c>
      <c r="F4950" s="185" t="s">
        <v>2744</v>
      </c>
      <c r="G4950" s="130">
        <v>12</v>
      </c>
      <c r="H4950" s="10">
        <v>4122504</v>
      </c>
      <c r="I4950" s="10"/>
      <c r="J4950" s="79" t="e">
        <f t="shared" si="327"/>
        <v>#VALUE!</v>
      </c>
      <c r="K4950" s="106"/>
      <c r="L4950" s="141"/>
      <c r="M4950" s="132"/>
      <c r="N4950" s="133"/>
      <c r="O4950" s="4"/>
      <c r="P4950" s="4"/>
      <c r="Q4950" s="4"/>
      <c r="R4950" s="4"/>
      <c r="S4950" s="4"/>
      <c r="T4950" s="4"/>
      <c r="U4950" s="4"/>
      <c r="V4950" s="4"/>
      <c r="W4950" s="4"/>
      <c r="X4950" s="4"/>
    </row>
    <row r="4951" spans="1:24" ht="14.25" customHeight="1">
      <c r="A4951" s="4"/>
      <c r="B4951" s="125">
        <v>46182</v>
      </c>
      <c r="C4951" s="126" t="s">
        <v>2740</v>
      </c>
      <c r="D4951" s="15" t="s">
        <v>2718</v>
      </c>
      <c r="E4951" s="10" t="str">
        <f>TRIM(VLOOKUP(D4951,TB!$B$9:$C$1500,2,FALSE))</f>
        <v>Havana Club Anejo 3 Anos</v>
      </c>
      <c r="F4951" s="185" t="s">
        <v>2745</v>
      </c>
      <c r="G4951" s="130">
        <v>6</v>
      </c>
      <c r="H4951" s="10">
        <v>1700004</v>
      </c>
      <c r="I4951" s="10"/>
      <c r="J4951" s="79" t="e">
        <f t="shared" si="327"/>
        <v>#VALUE!</v>
      </c>
      <c r="K4951" s="106"/>
      <c r="L4951" s="141"/>
      <c r="M4951" s="132"/>
      <c r="N4951" s="133"/>
      <c r="O4951" s="4"/>
      <c r="P4951" s="4"/>
      <c r="Q4951" s="4"/>
      <c r="R4951" s="4"/>
      <c r="S4951" s="4"/>
      <c r="T4951" s="4"/>
      <c r="U4951" s="4"/>
      <c r="V4951" s="4"/>
      <c r="W4951" s="4"/>
      <c r="X4951" s="4"/>
    </row>
    <row r="4952" spans="1:24" ht="14.25" customHeight="1">
      <c r="A4952" s="4"/>
      <c r="B4952" s="125">
        <v>46182</v>
      </c>
      <c r="C4952" s="126" t="s">
        <v>2740</v>
      </c>
      <c r="D4952" s="15" t="s">
        <v>285</v>
      </c>
      <c r="E4952" s="10" t="str">
        <f>TRIM(VLOOKUP(D4952,TB!$B$9:$C$1500,2,FALSE))</f>
        <v>Misc Cash Purchase</v>
      </c>
      <c r="F4952" s="185" t="s">
        <v>2746</v>
      </c>
      <c r="G4952" s="130"/>
      <c r="H4952" s="10"/>
      <c r="I4952" s="10">
        <v>10680012</v>
      </c>
      <c r="J4952" s="79" t="e">
        <f t="shared" si="327"/>
        <v>#VALUE!</v>
      </c>
      <c r="K4952" s="106"/>
      <c r="L4952" s="141"/>
      <c r="M4952" s="132"/>
      <c r="N4952" s="133"/>
      <c r="O4952" s="4"/>
      <c r="P4952" s="4"/>
      <c r="Q4952" s="4"/>
      <c r="R4952" s="4"/>
      <c r="S4952" s="4"/>
      <c r="T4952" s="4"/>
      <c r="U4952" s="4"/>
      <c r="V4952" s="4"/>
      <c r="W4952" s="4"/>
      <c r="X4952" s="4"/>
    </row>
    <row r="4953" spans="1:24" ht="14.25" customHeight="1">
      <c r="A4953" s="4"/>
      <c r="B4953" s="125"/>
      <c r="C4953" s="126"/>
      <c r="D4953" s="68"/>
      <c r="E4953" s="10" t="e">
        <f>TRIM(VLOOKUP(D4953,TB!$B$9:$C$1500,2,FALSE))</f>
        <v>#N/A</v>
      </c>
      <c r="F4953" s="142"/>
      <c r="G4953" s="130"/>
      <c r="H4953" s="10"/>
      <c r="I4953" s="10"/>
      <c r="J4953" s="79" t="e">
        <f t="shared" si="327"/>
        <v>#VALUE!</v>
      </c>
      <c r="K4953" s="106"/>
      <c r="L4953" s="141"/>
      <c r="M4953" s="132"/>
      <c r="N4953" s="133"/>
      <c r="O4953" s="4"/>
      <c r="P4953" s="4"/>
      <c r="Q4953" s="4"/>
      <c r="R4953" s="4"/>
      <c r="S4953" s="4"/>
      <c r="T4953" s="4"/>
      <c r="U4953" s="4"/>
      <c r="V4953" s="4"/>
      <c r="W4953" s="4"/>
      <c r="X4953" s="4"/>
    </row>
    <row r="4954" spans="1:24" ht="14.25" customHeight="1">
      <c r="A4954" s="4"/>
      <c r="B4954" s="125">
        <v>46188</v>
      </c>
      <c r="C4954" s="126" t="s">
        <v>2747</v>
      </c>
      <c r="D4954" s="15" t="s">
        <v>2726</v>
      </c>
      <c r="E4954" s="10" t="str">
        <f>TRIM(VLOOKUP(D4954,TB!$B$9:$C$1500,2,FALSE))</f>
        <v>Seagrams Vodka</v>
      </c>
      <c r="F4954" s="186" t="s">
        <v>2748</v>
      </c>
      <c r="G4954" s="130">
        <v>60</v>
      </c>
      <c r="H4954" s="10">
        <v>12240000</v>
      </c>
      <c r="I4954" s="10"/>
      <c r="J4954" s="79" t="e">
        <f t="shared" si="327"/>
        <v>#VALUE!</v>
      </c>
      <c r="K4954" s="106"/>
      <c r="L4954" s="141"/>
      <c r="M4954" s="132"/>
      <c r="N4954" s="133"/>
      <c r="O4954" s="4"/>
      <c r="P4954" s="4"/>
      <c r="Q4954" s="4"/>
      <c r="R4954" s="4"/>
      <c r="S4954" s="4"/>
      <c r="T4954" s="4"/>
      <c r="U4954" s="4"/>
      <c r="V4954" s="4"/>
      <c r="W4954" s="4"/>
      <c r="X4954" s="4"/>
    </row>
    <row r="4955" spans="1:24" ht="14.25" customHeight="1">
      <c r="A4955" s="4"/>
      <c r="B4955" s="125">
        <v>46188</v>
      </c>
      <c r="C4955" s="126" t="s">
        <v>2747</v>
      </c>
      <c r="D4955" s="15" t="s">
        <v>285</v>
      </c>
      <c r="E4955" s="10" t="str">
        <f>TRIM(VLOOKUP(D4955,TB!$B$9:$C$1500,2,FALSE))</f>
        <v>Misc Cash Purchase</v>
      </c>
      <c r="F4955" s="186" t="s">
        <v>2749</v>
      </c>
      <c r="G4955" s="130"/>
      <c r="H4955" s="10"/>
      <c r="I4955" s="10">
        <v>12240000</v>
      </c>
      <c r="J4955" s="79" t="e">
        <f t="shared" si="327"/>
        <v>#VALUE!</v>
      </c>
      <c r="K4955" s="106"/>
      <c r="L4955" s="141"/>
      <c r="M4955" s="132"/>
      <c r="N4955" s="133"/>
      <c r="O4955" s="4"/>
      <c r="P4955" s="4"/>
      <c r="Q4955" s="4"/>
      <c r="R4955" s="4"/>
      <c r="S4955" s="4"/>
      <c r="T4955" s="4"/>
      <c r="U4955" s="4"/>
      <c r="V4955" s="4"/>
      <c r="W4955" s="4"/>
      <c r="X4955" s="4"/>
    </row>
    <row r="4956" spans="1:24" ht="14.25" customHeight="1">
      <c r="A4956" s="4"/>
      <c r="B4956" s="125"/>
      <c r="C4956" s="126"/>
      <c r="D4956" s="68"/>
      <c r="E4956" s="10" t="e">
        <f>TRIM(VLOOKUP(D4956,TB!$B$9:$C$1500,2,FALSE))</f>
        <v>#N/A</v>
      </c>
      <c r="F4956" s="142"/>
      <c r="G4956" s="130"/>
      <c r="H4956" s="10"/>
      <c r="I4956" s="10"/>
      <c r="J4956" s="79" t="e">
        <f t="shared" si="327"/>
        <v>#VALUE!</v>
      </c>
      <c r="K4956" s="106"/>
      <c r="L4956" s="141"/>
      <c r="M4956" s="132"/>
      <c r="N4956" s="133"/>
      <c r="O4956" s="4"/>
      <c r="P4956" s="4"/>
      <c r="Q4956" s="4"/>
      <c r="R4956" s="4"/>
      <c r="S4956" s="4"/>
      <c r="T4956" s="4"/>
      <c r="U4956" s="4"/>
      <c r="V4956" s="4"/>
      <c r="W4956" s="4"/>
      <c r="X4956" s="4"/>
    </row>
    <row r="4957" spans="1:24" ht="14.25" customHeight="1">
      <c r="A4957" s="4"/>
      <c r="B4957" s="125">
        <v>46188</v>
      </c>
      <c r="C4957" s="126" t="s">
        <v>2750</v>
      </c>
      <c r="D4957" s="15" t="s">
        <v>2714</v>
      </c>
      <c r="E4957" s="10" t="str">
        <f>TRIM(VLOOKUP(D4957,TB!$B$9:$C$1500,2,FALSE))</f>
        <v>Beefeater London Dry Gin</v>
      </c>
      <c r="F4957" s="186" t="s">
        <v>2751</v>
      </c>
      <c r="G4957" s="130">
        <v>24</v>
      </c>
      <c r="H4957" s="10">
        <v>6715008</v>
      </c>
      <c r="I4957" s="10"/>
      <c r="J4957" s="79" t="e">
        <f t="shared" si="327"/>
        <v>#VALUE!</v>
      </c>
      <c r="K4957" s="106"/>
      <c r="L4957" s="141"/>
      <c r="M4957" s="132"/>
      <c r="N4957" s="133"/>
      <c r="O4957" s="4"/>
      <c r="P4957" s="4"/>
      <c r="Q4957" s="4"/>
      <c r="R4957" s="4"/>
      <c r="S4957" s="4"/>
      <c r="T4957" s="4"/>
      <c r="U4957" s="4"/>
      <c r="V4957" s="4"/>
      <c r="W4957" s="4"/>
      <c r="X4957" s="4"/>
    </row>
    <row r="4958" spans="1:24" ht="14.25" customHeight="1">
      <c r="A4958" s="4"/>
      <c r="B4958" s="125">
        <v>46188</v>
      </c>
      <c r="C4958" s="126" t="s">
        <v>2750</v>
      </c>
      <c r="D4958" s="15" t="s">
        <v>2716</v>
      </c>
      <c r="E4958" s="10" t="str">
        <f>TRIM(VLOOKUP(D4958,TB!$B$9:$C$1500,2,FALSE))</f>
        <v>Olmeca Reposado Tequila</v>
      </c>
      <c r="F4958" s="186" t="s">
        <v>2752</v>
      </c>
      <c r="G4958" s="130">
        <v>12</v>
      </c>
      <c r="H4958" s="10">
        <v>4122504</v>
      </c>
      <c r="I4958" s="10"/>
      <c r="J4958" s="79" t="e">
        <f t="shared" si="327"/>
        <v>#VALUE!</v>
      </c>
      <c r="K4958" s="106"/>
      <c r="L4958" s="141"/>
      <c r="M4958" s="132"/>
      <c r="N4958" s="133"/>
      <c r="O4958" s="4"/>
      <c r="P4958" s="4"/>
      <c r="Q4958" s="4"/>
      <c r="R4958" s="4"/>
      <c r="S4958" s="4"/>
      <c r="T4958" s="4"/>
      <c r="U4958" s="4"/>
      <c r="V4958" s="4"/>
      <c r="W4958" s="4"/>
      <c r="X4958" s="4"/>
    </row>
    <row r="4959" spans="1:24" ht="14.25" customHeight="1">
      <c r="A4959" s="4"/>
      <c r="B4959" s="125">
        <v>46188</v>
      </c>
      <c r="C4959" s="126" t="s">
        <v>2750</v>
      </c>
      <c r="D4959" s="15" t="s">
        <v>2753</v>
      </c>
      <c r="E4959" s="10" t="str">
        <f>TRIM(VLOOKUP(D4959,TB!$B$9:$C$1500,2,FALSE))</f>
        <v>Jameson Black Barrel</v>
      </c>
      <c r="F4959" s="186" t="s">
        <v>2754</v>
      </c>
      <c r="G4959" s="130">
        <v>3</v>
      </c>
      <c r="H4959" s="10">
        <v>1750002</v>
      </c>
      <c r="I4959" s="10"/>
      <c r="J4959" s="79" t="e">
        <f t="shared" si="327"/>
        <v>#VALUE!</v>
      </c>
      <c r="K4959" s="106"/>
      <c r="L4959" s="141"/>
      <c r="M4959" s="132"/>
      <c r="N4959" s="133"/>
      <c r="O4959" s="4"/>
      <c r="P4959" s="4"/>
      <c r="Q4959" s="4"/>
      <c r="R4959" s="4"/>
      <c r="S4959" s="4"/>
      <c r="T4959" s="4"/>
      <c r="U4959" s="4"/>
      <c r="V4959" s="4"/>
      <c r="W4959" s="4"/>
      <c r="X4959" s="4"/>
    </row>
    <row r="4960" spans="1:24" ht="14.25" customHeight="1">
      <c r="A4960" s="4"/>
      <c r="B4960" s="125">
        <v>46188</v>
      </c>
      <c r="C4960" s="126" t="s">
        <v>2750</v>
      </c>
      <c r="D4960" s="15" t="s">
        <v>2722</v>
      </c>
      <c r="E4960" s="10" t="str">
        <f>TRIM(VLOOKUP(D4960,TB!$B$9:$C$1500,2,FALSE))</f>
        <v>Ballantines Finest</v>
      </c>
      <c r="F4960" s="186" t="s">
        <v>2755</v>
      </c>
      <c r="G4960" s="130">
        <v>16</v>
      </c>
      <c r="H4960" s="10">
        <v>4762000</v>
      </c>
      <c r="I4960" s="10"/>
      <c r="J4960" s="79" t="e">
        <f t="shared" si="327"/>
        <v>#VALUE!</v>
      </c>
      <c r="K4960" s="106"/>
      <c r="L4960" s="141"/>
      <c r="M4960" s="132"/>
      <c r="N4960" s="133"/>
      <c r="O4960" s="4"/>
      <c r="P4960" s="4"/>
      <c r="Q4960" s="4"/>
      <c r="R4960" s="4"/>
      <c r="S4960" s="4"/>
      <c r="T4960" s="4"/>
      <c r="U4960" s="4"/>
      <c r="V4960" s="4"/>
      <c r="W4960" s="4"/>
      <c r="X4960" s="4"/>
    </row>
    <row r="4961" spans="1:24" ht="14.25" customHeight="1">
      <c r="A4961" s="4"/>
      <c r="B4961" s="125">
        <v>46188</v>
      </c>
      <c r="C4961" s="126" t="s">
        <v>2750</v>
      </c>
      <c r="D4961" s="15" t="s">
        <v>2718</v>
      </c>
      <c r="E4961" s="10" t="str">
        <f>TRIM(VLOOKUP(D4961,TB!$B$9:$C$1500,2,FALSE))</f>
        <v>Havana Club Anejo 3 Anos</v>
      </c>
      <c r="F4961" s="186" t="s">
        <v>2756</v>
      </c>
      <c r="G4961" s="130">
        <v>12</v>
      </c>
      <c r="H4961" s="10">
        <v>3400008</v>
      </c>
      <c r="I4961" s="10"/>
      <c r="J4961" s="79" t="e">
        <f t="shared" si="327"/>
        <v>#VALUE!</v>
      </c>
      <c r="K4961" s="106"/>
      <c r="L4961" s="141"/>
      <c r="M4961" s="132"/>
      <c r="N4961" s="133"/>
      <c r="O4961" s="4"/>
      <c r="P4961" s="4"/>
      <c r="Q4961" s="4"/>
      <c r="R4961" s="4"/>
      <c r="S4961" s="4"/>
      <c r="T4961" s="4"/>
      <c r="U4961" s="4"/>
      <c r="V4961" s="4"/>
      <c r="W4961" s="4"/>
      <c r="X4961" s="4"/>
    </row>
    <row r="4962" spans="1:24" ht="14.25" customHeight="1">
      <c r="A4962" s="4"/>
      <c r="B4962" s="125">
        <v>46188</v>
      </c>
      <c r="C4962" s="126" t="s">
        <v>2750</v>
      </c>
      <c r="D4962" s="15" t="s">
        <v>285</v>
      </c>
      <c r="E4962" s="10" t="str">
        <f>TRIM(VLOOKUP(D4962,TB!$B$9:$C$1500,2,FALSE))</f>
        <v>Misc Cash Purchase</v>
      </c>
      <c r="F4962" s="186" t="s">
        <v>2757</v>
      </c>
      <c r="G4962" s="130"/>
      <c r="H4962" s="10"/>
      <c r="I4962" s="10">
        <v>20749522</v>
      </c>
      <c r="J4962" s="79" t="e">
        <f t="shared" si="327"/>
        <v>#VALUE!</v>
      </c>
      <c r="K4962" s="106"/>
      <c r="L4962" s="141"/>
      <c r="M4962" s="132"/>
      <c r="N4962" s="133"/>
      <c r="O4962" s="4"/>
      <c r="P4962" s="4"/>
      <c r="Q4962" s="4"/>
      <c r="R4962" s="4"/>
      <c r="S4962" s="4"/>
      <c r="T4962" s="4"/>
      <c r="U4962" s="4"/>
      <c r="V4962" s="4"/>
      <c r="W4962" s="4"/>
      <c r="X4962" s="4"/>
    </row>
    <row r="4963" spans="1:24" ht="14.25" customHeight="1">
      <c r="A4963" s="4"/>
      <c r="B4963" s="125"/>
      <c r="C4963" s="126"/>
      <c r="D4963" s="68"/>
      <c r="E4963" s="10" t="e">
        <f>TRIM(VLOOKUP(D4963,TB!$B$9:$C$1500,2,FALSE))</f>
        <v>#N/A</v>
      </c>
      <c r="F4963" s="142"/>
      <c r="G4963" s="130"/>
      <c r="H4963" s="10"/>
      <c r="I4963" s="10"/>
      <c r="J4963" s="79" t="e">
        <f t="shared" si="327"/>
        <v>#VALUE!</v>
      </c>
      <c r="K4963" s="106"/>
      <c r="L4963" s="141"/>
      <c r="M4963" s="132"/>
      <c r="N4963" s="133"/>
      <c r="O4963" s="4"/>
      <c r="P4963" s="4"/>
      <c r="Q4963" s="4"/>
      <c r="R4963" s="4"/>
      <c r="S4963" s="4"/>
      <c r="T4963" s="4"/>
      <c r="U4963" s="4"/>
      <c r="V4963" s="4"/>
      <c r="W4963" s="4"/>
      <c r="X4963" s="4"/>
    </row>
    <row r="4964" spans="1:24" ht="14.25" customHeight="1">
      <c r="A4964" s="4"/>
      <c r="B4964" s="125">
        <v>46196</v>
      </c>
      <c r="C4964" s="126" t="s">
        <v>2758</v>
      </c>
      <c r="D4964" s="15" t="s">
        <v>2726</v>
      </c>
      <c r="E4964" s="10" t="str">
        <f>TRIM(VLOOKUP(D4964,TB!$B$9:$C$1500,2,FALSE))</f>
        <v>Seagrams Vodka</v>
      </c>
      <c r="F4964" s="142" t="s">
        <v>2759</v>
      </c>
      <c r="G4964" s="130">
        <v>60</v>
      </c>
      <c r="H4964" s="155">
        <v>12240000</v>
      </c>
      <c r="I4964" s="10"/>
      <c r="J4964" s="79" t="e">
        <f t="shared" si="327"/>
        <v>#VALUE!</v>
      </c>
      <c r="K4964" s="106"/>
      <c r="L4964" s="141"/>
      <c r="M4964" s="132"/>
      <c r="N4964" s="133"/>
      <c r="O4964" s="4"/>
      <c r="P4964" s="4"/>
      <c r="Q4964" s="4"/>
      <c r="R4964" s="4"/>
      <c r="S4964" s="4"/>
      <c r="T4964" s="4"/>
      <c r="U4964" s="4"/>
      <c r="V4964" s="4"/>
      <c r="W4964" s="4"/>
      <c r="X4964" s="4"/>
    </row>
    <row r="4965" spans="1:24" ht="14.25" customHeight="1">
      <c r="A4965" s="4"/>
      <c r="B4965" s="125">
        <v>46196</v>
      </c>
      <c r="C4965" s="126" t="s">
        <v>2758</v>
      </c>
      <c r="D4965" s="15" t="s">
        <v>285</v>
      </c>
      <c r="E4965" s="10" t="str">
        <f>TRIM(VLOOKUP(D4965,TB!$B$9:$C$1500,2,FALSE))</f>
        <v>Misc Cash Purchase</v>
      </c>
      <c r="F4965" s="142" t="s">
        <v>2760</v>
      </c>
      <c r="G4965" s="130"/>
      <c r="H4965" s="155"/>
      <c r="I4965" s="155">
        <v>12240000</v>
      </c>
      <c r="J4965" s="79" t="e">
        <f t="shared" si="327"/>
        <v>#VALUE!</v>
      </c>
      <c r="K4965" s="106"/>
      <c r="L4965" s="141"/>
      <c r="M4965" s="132"/>
      <c r="N4965" s="133"/>
      <c r="O4965" s="4"/>
      <c r="P4965" s="4"/>
      <c r="Q4965" s="4"/>
      <c r="R4965" s="4"/>
      <c r="S4965" s="4"/>
      <c r="T4965" s="4"/>
      <c r="U4965" s="4"/>
      <c r="V4965" s="4"/>
      <c r="W4965" s="4"/>
      <c r="X4965" s="4"/>
    </row>
    <row r="4966" spans="1:24" ht="14.25" customHeight="1">
      <c r="A4966" s="4"/>
      <c r="B4966" s="125"/>
      <c r="C4966" s="126"/>
      <c r="D4966" s="15"/>
      <c r="E4966" s="10" t="e">
        <f>TRIM(VLOOKUP(D4966,TB!$B$9:$C$1500,2,FALSE))</f>
        <v>#N/A</v>
      </c>
      <c r="F4966" s="142"/>
      <c r="G4966" s="130"/>
      <c r="H4966" s="155"/>
      <c r="I4966" s="10"/>
      <c r="J4966" s="79" t="e">
        <f t="shared" si="327"/>
        <v>#VALUE!</v>
      </c>
      <c r="K4966" s="106"/>
      <c r="L4966" s="141"/>
      <c r="M4966" s="132"/>
      <c r="N4966" s="133"/>
      <c r="O4966" s="4"/>
      <c r="P4966" s="4"/>
      <c r="Q4966" s="4"/>
      <c r="R4966" s="4"/>
      <c r="S4966" s="4"/>
      <c r="T4966" s="4"/>
      <c r="U4966" s="4"/>
      <c r="V4966" s="4"/>
      <c r="W4966" s="4"/>
      <c r="X4966" s="4"/>
    </row>
    <row r="4967" spans="1:24" ht="14.25" customHeight="1">
      <c r="A4967" s="4"/>
      <c r="B4967" s="125">
        <v>46196</v>
      </c>
      <c r="C4967" s="126" t="s">
        <v>2761</v>
      </c>
      <c r="D4967" s="15" t="s">
        <v>2714</v>
      </c>
      <c r="E4967" s="10" t="str">
        <f>TRIM(VLOOKUP(D4967,TB!$B$9:$C$1500,2,FALSE))</f>
        <v>Beefeater London Dry Gin</v>
      </c>
      <c r="F4967" s="142" t="s">
        <v>2762</v>
      </c>
      <c r="G4967" s="130">
        <v>24</v>
      </c>
      <c r="H4967" s="155">
        <v>6715008</v>
      </c>
      <c r="I4967" s="10"/>
      <c r="J4967" s="79" t="e">
        <f t="shared" si="327"/>
        <v>#VALUE!</v>
      </c>
      <c r="K4967" s="106"/>
      <c r="L4967" s="141"/>
      <c r="M4967" s="132"/>
      <c r="N4967" s="133"/>
      <c r="O4967" s="4"/>
      <c r="P4967" s="4"/>
      <c r="Q4967" s="4"/>
      <c r="R4967" s="4"/>
      <c r="S4967" s="4"/>
      <c r="T4967" s="4"/>
      <c r="U4967" s="4"/>
      <c r="V4967" s="4"/>
      <c r="W4967" s="4"/>
      <c r="X4967" s="4"/>
    </row>
    <row r="4968" spans="1:24" ht="14.25" customHeight="1">
      <c r="A4968" s="4"/>
      <c r="B4968" s="125">
        <v>46196</v>
      </c>
      <c r="C4968" s="126" t="s">
        <v>2761</v>
      </c>
      <c r="D4968" s="15" t="s">
        <v>2716</v>
      </c>
      <c r="E4968" s="10" t="str">
        <f>TRIM(VLOOKUP(D4968,TB!$B$9:$C$1500,2,FALSE))</f>
        <v>Olmeca Reposado Tequila</v>
      </c>
      <c r="F4968" s="142" t="s">
        <v>2763</v>
      </c>
      <c r="G4968" s="130">
        <v>24</v>
      </c>
      <c r="H4968" s="155">
        <v>8245008</v>
      </c>
      <c r="I4968" s="10"/>
      <c r="J4968" s="79" t="e">
        <f t="shared" si="327"/>
        <v>#VALUE!</v>
      </c>
      <c r="K4968" s="106"/>
      <c r="L4968" s="141"/>
      <c r="M4968" s="132"/>
      <c r="N4968" s="133"/>
      <c r="O4968" s="4"/>
      <c r="P4968" s="4"/>
      <c r="Q4968" s="4"/>
      <c r="R4968" s="4"/>
      <c r="S4968" s="4"/>
      <c r="T4968" s="4"/>
      <c r="U4968" s="4"/>
      <c r="V4968" s="4"/>
      <c r="W4968" s="4"/>
      <c r="X4968" s="4"/>
    </row>
    <row r="4969" spans="1:24" ht="14.25" customHeight="1">
      <c r="A4969" s="4"/>
      <c r="B4969" s="125">
        <v>46196</v>
      </c>
      <c r="C4969" s="126" t="s">
        <v>2761</v>
      </c>
      <c r="D4969" s="15" t="s">
        <v>2718</v>
      </c>
      <c r="E4969" s="10" t="str">
        <f>TRIM(VLOOKUP(D4969,TB!$B$9:$C$1500,2,FALSE))</f>
        <v>Havana Club Anejo 3 Anos</v>
      </c>
      <c r="F4969" s="142" t="s">
        <v>2764</v>
      </c>
      <c r="G4969" s="130">
        <v>12</v>
      </c>
      <c r="H4969" s="155">
        <v>3400008</v>
      </c>
      <c r="I4969" s="10"/>
      <c r="J4969" s="79" t="e">
        <f t="shared" si="327"/>
        <v>#VALUE!</v>
      </c>
      <c r="K4969" s="106"/>
      <c r="L4969" s="141"/>
      <c r="M4969" s="132"/>
      <c r="N4969" s="133"/>
      <c r="O4969" s="4"/>
      <c r="P4969" s="4"/>
      <c r="Q4969" s="4"/>
      <c r="R4969" s="4"/>
      <c r="S4969" s="4"/>
      <c r="T4969" s="4"/>
      <c r="U4969" s="4"/>
      <c r="V4969" s="4"/>
      <c r="W4969" s="4"/>
      <c r="X4969" s="4"/>
    </row>
    <row r="4970" spans="1:24" ht="14.25" customHeight="1">
      <c r="A4970" s="4"/>
      <c r="B4970" s="125">
        <v>46196</v>
      </c>
      <c r="C4970" s="126" t="s">
        <v>2761</v>
      </c>
      <c r="D4970" s="15" t="s">
        <v>2722</v>
      </c>
      <c r="E4970" s="10" t="str">
        <f>TRIM(VLOOKUP(D4970,TB!$B$9:$C$1500,2,FALSE))</f>
        <v>Ballantines Finest</v>
      </c>
      <c r="F4970" s="142" t="s">
        <v>2765</v>
      </c>
      <c r="G4970" s="130">
        <v>12</v>
      </c>
      <c r="H4970" s="155">
        <v>3571500</v>
      </c>
      <c r="I4970" s="10"/>
      <c r="J4970" s="79" t="e">
        <f t="shared" si="327"/>
        <v>#VALUE!</v>
      </c>
      <c r="K4970" s="106"/>
      <c r="L4970" s="141"/>
      <c r="M4970" s="132"/>
      <c r="N4970" s="133"/>
      <c r="O4970" s="4"/>
      <c r="P4970" s="4"/>
      <c r="Q4970" s="4"/>
      <c r="R4970" s="4"/>
      <c r="S4970" s="4"/>
      <c r="T4970" s="4"/>
      <c r="U4970" s="4"/>
      <c r="V4970" s="4"/>
      <c r="W4970" s="4"/>
      <c r="X4970" s="4"/>
    </row>
    <row r="4971" spans="1:24" ht="14.25" customHeight="1">
      <c r="A4971" s="4"/>
      <c r="B4971" s="125">
        <v>46196</v>
      </c>
      <c r="C4971" s="126" t="s">
        <v>2761</v>
      </c>
      <c r="D4971" s="15" t="s">
        <v>285</v>
      </c>
      <c r="E4971" s="10" t="str">
        <f>TRIM(VLOOKUP(D4971,TB!$B$9:$C$1500,2,FALSE))</f>
        <v>Misc Cash Purchase</v>
      </c>
      <c r="F4971" s="142" t="s">
        <v>2766</v>
      </c>
      <c r="G4971" s="130"/>
      <c r="H4971" s="155"/>
      <c r="I4971" s="10">
        <v>21931524</v>
      </c>
      <c r="J4971" s="79" t="e">
        <f t="shared" si="327"/>
        <v>#VALUE!</v>
      </c>
      <c r="K4971" s="106"/>
      <c r="L4971" s="141"/>
      <c r="M4971" s="132"/>
      <c r="N4971" s="133"/>
      <c r="O4971" s="4"/>
      <c r="P4971" s="4"/>
      <c r="Q4971" s="4"/>
      <c r="R4971" s="4"/>
      <c r="S4971" s="4"/>
      <c r="T4971" s="4"/>
      <c r="U4971" s="4"/>
      <c r="V4971" s="4"/>
      <c r="W4971" s="4"/>
      <c r="X4971" s="4"/>
    </row>
    <row r="4972" spans="1:24" ht="14.25" customHeight="1">
      <c r="A4972" s="4"/>
      <c r="B4972" s="125"/>
      <c r="C4972" s="126"/>
      <c r="D4972" s="15"/>
      <c r="E4972" s="10" t="e">
        <f>TRIM(VLOOKUP(D4972,TB!$B$9:$C$1500,2,FALSE))</f>
        <v>#N/A</v>
      </c>
      <c r="F4972" s="142"/>
      <c r="G4972" s="130"/>
      <c r="H4972" s="155"/>
      <c r="I4972" s="10"/>
      <c r="J4972" s="79" t="e">
        <f t="shared" si="327"/>
        <v>#VALUE!</v>
      </c>
      <c r="K4972" s="106"/>
      <c r="L4972" s="141"/>
      <c r="M4972" s="132"/>
      <c r="N4972" s="133"/>
      <c r="O4972" s="4"/>
      <c r="P4972" s="4"/>
      <c r="Q4972" s="4"/>
      <c r="R4972" s="4"/>
      <c r="S4972" s="4"/>
      <c r="T4972" s="4"/>
      <c r="U4972" s="4"/>
      <c r="V4972" s="4"/>
      <c r="W4972" s="4"/>
      <c r="X4972" s="4"/>
    </row>
    <row r="4973" spans="1:24" ht="14.25" customHeight="1">
      <c r="A4973" s="4"/>
      <c r="B4973" s="125">
        <v>46203</v>
      </c>
      <c r="C4973" s="126" t="s">
        <v>2767</v>
      </c>
      <c r="D4973" s="15" t="s">
        <v>2726</v>
      </c>
      <c r="E4973" s="10" t="str">
        <f>TRIM(VLOOKUP(D4973,TB!$B$9:$C$1500,2,FALSE))</f>
        <v>Seagrams Vodka</v>
      </c>
      <c r="F4973" s="142" t="s">
        <v>2768</v>
      </c>
      <c r="G4973" s="130">
        <v>60</v>
      </c>
      <c r="H4973" s="155">
        <v>12240000</v>
      </c>
      <c r="I4973" s="10"/>
      <c r="J4973" s="79" t="e">
        <f t="shared" si="327"/>
        <v>#VALUE!</v>
      </c>
      <c r="K4973" s="106"/>
      <c r="L4973" s="141"/>
      <c r="M4973" s="132"/>
      <c r="N4973" s="133"/>
      <c r="O4973" s="4"/>
      <c r="P4973" s="4"/>
      <c r="Q4973" s="4"/>
      <c r="R4973" s="4"/>
      <c r="S4973" s="4"/>
      <c r="T4973" s="4"/>
      <c r="U4973" s="4"/>
      <c r="V4973" s="4"/>
      <c r="W4973" s="4"/>
      <c r="X4973" s="4"/>
    </row>
    <row r="4974" spans="1:24" ht="14.25" customHeight="1">
      <c r="A4974" s="4"/>
      <c r="B4974" s="125">
        <v>46203</v>
      </c>
      <c r="C4974" s="126" t="s">
        <v>2767</v>
      </c>
      <c r="D4974" s="15" t="s">
        <v>285</v>
      </c>
      <c r="E4974" s="10" t="str">
        <f>TRIM(VLOOKUP(D4974,TB!$B$9:$C$1500,2,FALSE))</f>
        <v>Misc Cash Purchase</v>
      </c>
      <c r="F4974" s="142" t="s">
        <v>2769</v>
      </c>
      <c r="G4974" s="130"/>
      <c r="H4974" s="155"/>
      <c r="I4974" s="155">
        <v>12240000</v>
      </c>
      <c r="J4974" s="79" t="e">
        <f t="shared" si="327"/>
        <v>#VALUE!</v>
      </c>
      <c r="K4974" s="106"/>
      <c r="L4974" s="141"/>
      <c r="M4974" s="132"/>
      <c r="N4974" s="133"/>
      <c r="O4974" s="4"/>
      <c r="P4974" s="4"/>
      <c r="Q4974" s="4"/>
      <c r="R4974" s="4"/>
      <c r="S4974" s="4"/>
      <c r="T4974" s="4"/>
      <c r="U4974" s="4"/>
      <c r="V4974" s="4"/>
      <c r="W4974" s="4"/>
      <c r="X4974" s="4"/>
    </row>
    <row r="4975" spans="1:24" ht="14.25" customHeight="1">
      <c r="A4975" s="4"/>
      <c r="B4975" s="125"/>
      <c r="C4975" s="126"/>
      <c r="D4975" s="15"/>
      <c r="E4975" s="10" t="e">
        <f>TRIM(VLOOKUP(D4975,TB!$B$9:$C$1500,2,FALSE))</f>
        <v>#N/A</v>
      </c>
      <c r="F4975" s="142"/>
      <c r="G4975" s="130"/>
      <c r="H4975" s="155"/>
      <c r="I4975" s="10"/>
      <c r="J4975" s="79" t="e">
        <f t="shared" si="327"/>
        <v>#VALUE!</v>
      </c>
      <c r="K4975" s="106"/>
      <c r="L4975" s="141"/>
      <c r="M4975" s="132"/>
      <c r="N4975" s="133"/>
      <c r="O4975" s="4"/>
      <c r="P4975" s="4"/>
      <c r="Q4975" s="4"/>
      <c r="R4975" s="4"/>
      <c r="S4975" s="4"/>
      <c r="T4975" s="4"/>
      <c r="U4975" s="4"/>
      <c r="V4975" s="4"/>
      <c r="W4975" s="4"/>
      <c r="X4975" s="4"/>
    </row>
    <row r="4976" spans="1:24" ht="14.25" customHeight="1">
      <c r="A4976" s="4"/>
      <c r="B4976" s="125">
        <v>46203</v>
      </c>
      <c r="C4976" s="126" t="s">
        <v>2770</v>
      </c>
      <c r="D4976" s="15" t="s">
        <v>2741</v>
      </c>
      <c r="E4976" s="10" t="str">
        <f>TRIM(VLOOKUP(D4976,TB!$B$9:$C$1500,2,FALSE))</f>
        <v>Absolute Blue Vodka</v>
      </c>
      <c r="F4976" s="142" t="s">
        <v>2771</v>
      </c>
      <c r="G4976" s="130">
        <v>3</v>
      </c>
      <c r="H4976" s="155">
        <v>900000</v>
      </c>
      <c r="I4976" s="10"/>
      <c r="J4976" s="79" t="e">
        <f t="shared" si="327"/>
        <v>#VALUE!</v>
      </c>
      <c r="K4976" s="106"/>
      <c r="L4976" s="141"/>
      <c r="M4976" s="132"/>
      <c r="N4976" s="133"/>
      <c r="O4976" s="4"/>
      <c r="P4976" s="4"/>
      <c r="Q4976" s="4"/>
      <c r="R4976" s="4"/>
      <c r="S4976" s="4"/>
      <c r="T4976" s="4"/>
      <c r="U4976" s="4"/>
      <c r="V4976" s="4"/>
      <c r="W4976" s="4"/>
      <c r="X4976" s="4"/>
    </row>
    <row r="4977" spans="1:24" ht="14.25" customHeight="1">
      <c r="A4977" s="4"/>
      <c r="B4977" s="125">
        <v>46203</v>
      </c>
      <c r="C4977" s="126" t="s">
        <v>2770</v>
      </c>
      <c r="D4977" s="15" t="s">
        <v>2714</v>
      </c>
      <c r="E4977" s="10" t="str">
        <f>TRIM(VLOOKUP(D4977,TB!$B$9:$C$1500,2,FALSE))</f>
        <v>Beefeater London Dry Gin</v>
      </c>
      <c r="F4977" s="142" t="s">
        <v>2772</v>
      </c>
      <c r="G4977" s="130">
        <v>18</v>
      </c>
      <c r="H4977" s="155">
        <v>5036256</v>
      </c>
      <c r="I4977" s="10"/>
      <c r="J4977" s="79" t="e">
        <f t="shared" si="327"/>
        <v>#VALUE!</v>
      </c>
      <c r="K4977" s="106"/>
      <c r="L4977" s="141"/>
      <c r="M4977" s="132"/>
      <c r="N4977" s="133"/>
      <c r="O4977" s="4"/>
      <c r="P4977" s="4"/>
      <c r="Q4977" s="4"/>
      <c r="R4977" s="4"/>
      <c r="S4977" s="4"/>
      <c r="T4977" s="4"/>
      <c r="U4977" s="4"/>
      <c r="V4977" s="4"/>
      <c r="W4977" s="4"/>
      <c r="X4977" s="4"/>
    </row>
    <row r="4978" spans="1:24" ht="14.25" customHeight="1">
      <c r="A4978" s="4"/>
      <c r="B4978" s="125">
        <v>46203</v>
      </c>
      <c r="C4978" s="126" t="s">
        <v>2770</v>
      </c>
      <c r="D4978" s="15" t="s">
        <v>2716</v>
      </c>
      <c r="E4978" s="10" t="str">
        <f>TRIM(VLOOKUP(D4978,TB!$B$9:$C$1500,2,FALSE))</f>
        <v>Olmeca Reposado Tequila</v>
      </c>
      <c r="F4978" s="142" t="s">
        <v>2773</v>
      </c>
      <c r="G4978" s="130">
        <v>12</v>
      </c>
      <c r="H4978" s="155">
        <v>4122504</v>
      </c>
      <c r="I4978" s="10"/>
      <c r="J4978" s="79" t="e">
        <f t="shared" si="327"/>
        <v>#VALUE!</v>
      </c>
      <c r="K4978" s="106"/>
      <c r="L4978" s="141"/>
      <c r="M4978" s="132"/>
      <c r="N4978" s="133"/>
      <c r="O4978" s="4"/>
      <c r="P4978" s="4"/>
      <c r="Q4978" s="4"/>
      <c r="R4978" s="4"/>
      <c r="S4978" s="4"/>
      <c r="T4978" s="4"/>
      <c r="U4978" s="4"/>
      <c r="V4978" s="4"/>
      <c r="W4978" s="4"/>
      <c r="X4978" s="4"/>
    </row>
    <row r="4979" spans="1:24" ht="14.25" customHeight="1">
      <c r="A4979" s="4"/>
      <c r="B4979" s="125">
        <v>46203</v>
      </c>
      <c r="C4979" s="126" t="s">
        <v>2770</v>
      </c>
      <c r="D4979" s="15" t="s">
        <v>2722</v>
      </c>
      <c r="E4979" s="10" t="str">
        <f>TRIM(VLOOKUP(D4979,TB!$B$9:$C$1500,2,FALSE))</f>
        <v>Ballantines Finest</v>
      </c>
      <c r="F4979" s="142" t="s">
        <v>2774</v>
      </c>
      <c r="G4979" s="130">
        <v>6</v>
      </c>
      <c r="H4979" s="155">
        <v>1785750</v>
      </c>
      <c r="I4979" s="10"/>
      <c r="J4979" s="79" t="e">
        <f t="shared" si="327"/>
        <v>#VALUE!</v>
      </c>
      <c r="K4979" s="106"/>
      <c r="L4979" s="141"/>
      <c r="M4979" s="132"/>
      <c r="N4979" s="133"/>
      <c r="O4979" s="4"/>
      <c r="P4979" s="4"/>
      <c r="Q4979" s="4"/>
      <c r="R4979" s="4"/>
      <c r="S4979" s="4"/>
      <c r="T4979" s="4"/>
      <c r="U4979" s="4"/>
      <c r="V4979" s="4"/>
      <c r="W4979" s="4"/>
      <c r="X4979" s="4"/>
    </row>
    <row r="4980" spans="1:24" ht="14.25" customHeight="1">
      <c r="A4980" s="4"/>
      <c r="B4980" s="125">
        <v>46203</v>
      </c>
      <c r="C4980" s="126" t="s">
        <v>2770</v>
      </c>
      <c r="D4980" s="15" t="s">
        <v>2775</v>
      </c>
      <c r="E4980" s="10" t="str">
        <f>TRIM(VLOOKUP(D4980,TB!$B$9:$C$1500,2,FALSE))</f>
        <v>Glenlivet Founders Reserve</v>
      </c>
      <c r="F4980" s="142" t="s">
        <v>2776</v>
      </c>
      <c r="G4980" s="130">
        <v>3</v>
      </c>
      <c r="H4980" s="155">
        <v>1725000</v>
      </c>
      <c r="I4980" s="10"/>
      <c r="J4980" s="79" t="e">
        <f t="shared" si="327"/>
        <v>#VALUE!</v>
      </c>
      <c r="K4980" s="106"/>
      <c r="L4980" s="141"/>
      <c r="M4980" s="132"/>
      <c r="N4980" s="133"/>
      <c r="O4980" s="4"/>
      <c r="P4980" s="4"/>
      <c r="Q4980" s="4"/>
      <c r="R4980" s="4"/>
      <c r="S4980" s="4"/>
      <c r="T4980" s="4"/>
      <c r="U4980" s="4"/>
      <c r="V4980" s="4"/>
      <c r="W4980" s="4"/>
      <c r="X4980" s="4"/>
    </row>
    <row r="4981" spans="1:24" ht="14.25" customHeight="1">
      <c r="A4981" s="4"/>
      <c r="B4981" s="125">
        <v>46203</v>
      </c>
      <c r="C4981" s="126" t="s">
        <v>2770</v>
      </c>
      <c r="D4981" s="15" t="s">
        <v>2734</v>
      </c>
      <c r="E4981" s="10" t="str">
        <f>TRIM(VLOOKUP(D4981,TB!$B$9:$C$1500,2,FALSE))</f>
        <v>John Jameson Irish Whisky</v>
      </c>
      <c r="F4981" s="142" t="s">
        <v>2777</v>
      </c>
      <c r="G4981" s="130">
        <v>8</v>
      </c>
      <c r="H4981" s="155">
        <v>3200000</v>
      </c>
      <c r="I4981" s="10"/>
      <c r="J4981" s="79" t="e">
        <f t="shared" si="327"/>
        <v>#VALUE!</v>
      </c>
      <c r="K4981" s="106"/>
      <c r="L4981" s="141"/>
      <c r="M4981" s="132"/>
      <c r="N4981" s="133"/>
      <c r="O4981" s="4"/>
      <c r="P4981" s="4"/>
      <c r="Q4981" s="4"/>
      <c r="R4981" s="4"/>
      <c r="S4981" s="4"/>
      <c r="T4981" s="4"/>
      <c r="U4981" s="4"/>
      <c r="V4981" s="4"/>
      <c r="W4981" s="4"/>
      <c r="X4981" s="4"/>
    </row>
    <row r="4982" spans="1:24" ht="14.25" customHeight="1">
      <c r="A4982" s="4"/>
      <c r="B4982" s="125">
        <v>46203</v>
      </c>
      <c r="C4982" s="126" t="s">
        <v>2770</v>
      </c>
      <c r="D4982" s="15" t="s">
        <v>285</v>
      </c>
      <c r="E4982" s="10" t="str">
        <f>TRIM(VLOOKUP(D4982,TB!$B$9:$C$1500,2,FALSE))</f>
        <v>Misc Cash Purchase</v>
      </c>
      <c r="F4982" s="142" t="s">
        <v>2778</v>
      </c>
      <c r="G4982" s="130"/>
      <c r="H4982" s="155"/>
      <c r="I4982" s="10">
        <v>16769510</v>
      </c>
      <c r="J4982" s="79" t="e">
        <f t="shared" si="327"/>
        <v>#VALUE!</v>
      </c>
      <c r="K4982" s="106"/>
      <c r="L4982" s="141"/>
      <c r="M4982" s="132"/>
      <c r="N4982" s="133"/>
      <c r="O4982" s="4"/>
      <c r="P4982" s="4"/>
      <c r="Q4982" s="4"/>
      <c r="R4982" s="4"/>
      <c r="S4982" s="4"/>
      <c r="T4982" s="4"/>
      <c r="U4982" s="4"/>
      <c r="V4982" s="4"/>
      <c r="W4982" s="4"/>
      <c r="X4982" s="4"/>
    </row>
    <row r="4983" spans="1:24" ht="14.25" customHeight="1">
      <c r="A4983" s="4"/>
      <c r="B4983" s="125"/>
      <c r="C4983" s="126"/>
      <c r="D4983" s="15"/>
      <c r="E4983" s="10" t="e">
        <f>TRIM(VLOOKUP(D4983,TB!$B$9:$C$1500,2,FALSE))</f>
        <v>#N/A</v>
      </c>
      <c r="F4983" s="142"/>
      <c r="G4983" s="130"/>
      <c r="H4983" s="155"/>
      <c r="I4983" s="10"/>
      <c r="J4983" s="79" t="e">
        <f t="shared" si="327"/>
        <v>#VALUE!</v>
      </c>
      <c r="K4983" s="106"/>
      <c r="L4983" s="141"/>
      <c r="M4983" s="132"/>
      <c r="N4983" s="133"/>
      <c r="O4983" s="4"/>
      <c r="P4983" s="4"/>
      <c r="Q4983" s="4"/>
      <c r="R4983" s="4"/>
      <c r="S4983" s="4"/>
      <c r="T4983" s="4"/>
      <c r="U4983" s="4"/>
      <c r="V4983" s="4"/>
      <c r="W4983" s="4"/>
      <c r="X4983" s="4"/>
    </row>
    <row r="4984" spans="1:24" ht="14.25" customHeight="1">
      <c r="A4984" s="4"/>
      <c r="B4984" s="125">
        <v>46176</v>
      </c>
      <c r="C4984" s="126" t="s">
        <v>2779</v>
      </c>
      <c r="D4984" s="15" t="s">
        <v>2780</v>
      </c>
      <c r="E4984" s="10" t="str">
        <f>TRIM(VLOOKUP(D4984,TB!$B$9:$C$1500,2,FALSE))</f>
        <v>Kwepie Mayo @ 3Kg</v>
      </c>
      <c r="F4984" s="142" t="s">
        <v>2781</v>
      </c>
      <c r="G4984" s="130">
        <v>3</v>
      </c>
      <c r="H4984" s="155">
        <v>135420</v>
      </c>
      <c r="I4984" s="10"/>
      <c r="J4984" s="79" t="e">
        <f t="shared" si="327"/>
        <v>#VALUE!</v>
      </c>
      <c r="K4984" s="106">
        <f t="shared" ref="K4984:K4985" si="334">H4984*11%</f>
        <v>14896.2</v>
      </c>
      <c r="L4984" s="141">
        <f t="shared" ref="L4984:L4985" si="335">H4984+K4984</f>
        <v>150316.20000000001</v>
      </c>
      <c r="M4984" s="132"/>
      <c r="N4984" s="133"/>
      <c r="O4984" s="4"/>
      <c r="P4984" s="4"/>
      <c r="Q4984" s="4"/>
      <c r="R4984" s="4"/>
      <c r="S4984" s="4"/>
      <c r="T4984" s="4"/>
      <c r="U4984" s="4"/>
      <c r="V4984" s="4"/>
      <c r="W4984" s="4"/>
      <c r="X4984" s="4"/>
    </row>
    <row r="4985" spans="1:24" ht="14.25" customHeight="1">
      <c r="A4985" s="4"/>
      <c r="B4985" s="125">
        <v>46176</v>
      </c>
      <c r="C4985" s="126" t="s">
        <v>2779</v>
      </c>
      <c r="D4985" s="15" t="s">
        <v>2782</v>
      </c>
      <c r="E4985" s="10" t="str">
        <f>TRIM(VLOOKUP(D4985,TB!$B$9:$C$1500,2,FALSE))</f>
        <v>Dijon / French Mustard</v>
      </c>
      <c r="F4985" s="142" t="s">
        <v>2783</v>
      </c>
      <c r="G4985" s="130">
        <v>3</v>
      </c>
      <c r="H4985" s="155">
        <v>416250</v>
      </c>
      <c r="I4985" s="10"/>
      <c r="J4985" s="79" t="e">
        <f t="shared" si="327"/>
        <v>#VALUE!</v>
      </c>
      <c r="K4985" s="106">
        <f t="shared" si="334"/>
        <v>45787.5</v>
      </c>
      <c r="L4985" s="141">
        <f t="shared" si="335"/>
        <v>462037.5</v>
      </c>
      <c r="M4985" s="132"/>
      <c r="N4985" s="133"/>
      <c r="O4985" s="4"/>
      <c r="P4985" s="4"/>
      <c r="Q4985" s="4"/>
      <c r="R4985" s="4"/>
      <c r="S4985" s="4"/>
      <c r="T4985" s="4"/>
      <c r="U4985" s="4"/>
      <c r="V4985" s="4"/>
      <c r="W4985" s="4"/>
      <c r="X4985" s="4"/>
    </row>
    <row r="4986" spans="1:24" ht="14.25" customHeight="1">
      <c r="A4986" s="4"/>
      <c r="B4986" s="125">
        <v>46176</v>
      </c>
      <c r="C4986" s="126" t="s">
        <v>2779</v>
      </c>
      <c r="D4986" s="15" t="s">
        <v>285</v>
      </c>
      <c r="E4986" s="10" t="str">
        <f>TRIM(VLOOKUP(D4986,TB!$B$9:$C$1500,2,FALSE))</f>
        <v>Misc Cash Purchase</v>
      </c>
      <c r="F4986" s="142" t="s">
        <v>2784</v>
      </c>
      <c r="G4986" s="130"/>
      <c r="H4986" s="10"/>
      <c r="I4986" s="10">
        <v>551670</v>
      </c>
      <c r="J4986" s="79" t="e">
        <f t="shared" si="327"/>
        <v>#VALUE!</v>
      </c>
      <c r="K4986" s="106"/>
      <c r="L4986" s="141"/>
      <c r="M4986" s="132"/>
      <c r="N4986" s="133"/>
      <c r="O4986" s="4"/>
      <c r="P4986" s="4"/>
      <c r="Q4986" s="4"/>
      <c r="R4986" s="4"/>
      <c r="S4986" s="4"/>
      <c r="T4986" s="4"/>
      <c r="U4986" s="4"/>
      <c r="V4986" s="4"/>
      <c r="W4986" s="4"/>
      <c r="X4986" s="4"/>
    </row>
    <row r="4987" spans="1:24" ht="14.25" customHeight="1">
      <c r="A4987" s="4"/>
      <c r="B4987" s="125"/>
      <c r="C4987" s="126"/>
      <c r="D4987" s="68"/>
      <c r="E4987" s="10" t="e">
        <f>TRIM(VLOOKUP(D4987,TB!$B$9:$C$1500,2,FALSE))</f>
        <v>#N/A</v>
      </c>
      <c r="F4987" s="142"/>
      <c r="G4987" s="130"/>
      <c r="H4987" s="10"/>
      <c r="I4987" s="10"/>
      <c r="J4987" s="79" t="e">
        <f t="shared" si="327"/>
        <v>#VALUE!</v>
      </c>
      <c r="K4987" s="106"/>
      <c r="L4987" s="141"/>
      <c r="M4987" s="132"/>
      <c r="N4987" s="133"/>
      <c r="O4987" s="4"/>
      <c r="P4987" s="4"/>
      <c r="Q4987" s="4"/>
      <c r="R4987" s="4"/>
      <c r="S4987" s="4"/>
      <c r="T4987" s="4"/>
      <c r="U4987" s="4"/>
      <c r="V4987" s="4"/>
      <c r="W4987" s="4"/>
      <c r="X4987" s="4"/>
    </row>
    <row r="4988" spans="1:24" ht="14.25" customHeight="1">
      <c r="A4988" s="4"/>
      <c r="B4988" s="125">
        <v>46178</v>
      </c>
      <c r="C4988" s="126" t="s">
        <v>2785</v>
      </c>
      <c r="D4988" s="15" t="s">
        <v>2786</v>
      </c>
      <c r="E4988" s="10" t="str">
        <f>TRIM(VLOOKUP(D4988,TB!$B$9:$C$1500,2,FALSE))</f>
        <v>Spaghetti</v>
      </c>
      <c r="F4988" s="185" t="s">
        <v>2787</v>
      </c>
      <c r="G4988" s="130">
        <v>9</v>
      </c>
      <c r="H4988" s="10">
        <v>369630</v>
      </c>
      <c r="I4988" s="10"/>
      <c r="J4988" s="79" t="e">
        <f t="shared" si="327"/>
        <v>#VALUE!</v>
      </c>
      <c r="K4988" s="106"/>
      <c r="L4988" s="141"/>
      <c r="M4988" s="132"/>
      <c r="N4988" s="133"/>
      <c r="O4988" s="4"/>
      <c r="P4988" s="4"/>
      <c r="Q4988" s="4"/>
      <c r="R4988" s="4"/>
      <c r="S4988" s="4"/>
      <c r="T4988" s="4"/>
      <c r="U4988" s="4"/>
      <c r="V4988" s="4"/>
      <c r="W4988" s="4"/>
      <c r="X4988" s="4"/>
    </row>
    <row r="4989" spans="1:24" ht="14.25" customHeight="1">
      <c r="A4989" s="4"/>
      <c r="B4989" s="125">
        <v>46178</v>
      </c>
      <c r="C4989" s="126" t="s">
        <v>2785</v>
      </c>
      <c r="D4989" s="15" t="s">
        <v>285</v>
      </c>
      <c r="E4989" s="10" t="str">
        <f>TRIM(VLOOKUP(D4989,TB!$B$9:$C$1500,2,FALSE))</f>
        <v>Misc Cash Purchase</v>
      </c>
      <c r="F4989" s="185" t="s">
        <v>2788</v>
      </c>
      <c r="G4989" s="130"/>
      <c r="H4989" s="10"/>
      <c r="I4989" s="10">
        <v>369630</v>
      </c>
      <c r="J4989" s="79" t="e">
        <f t="shared" si="327"/>
        <v>#VALUE!</v>
      </c>
      <c r="K4989" s="106"/>
      <c r="L4989" s="141"/>
      <c r="M4989" s="132"/>
      <c r="N4989" s="133"/>
      <c r="O4989" s="4"/>
      <c r="P4989" s="4"/>
      <c r="Q4989" s="4"/>
      <c r="R4989" s="4"/>
      <c r="S4989" s="4"/>
      <c r="T4989" s="4"/>
      <c r="U4989" s="4"/>
      <c r="V4989" s="4"/>
      <c r="W4989" s="4"/>
      <c r="X4989" s="4"/>
    </row>
    <row r="4990" spans="1:24" ht="14.25" customHeight="1">
      <c r="A4990" s="4"/>
      <c r="B4990" s="125"/>
      <c r="C4990" s="126"/>
      <c r="D4990" s="68"/>
      <c r="E4990" s="10" t="e">
        <f>TRIM(VLOOKUP(D4990,TB!$B$9:$C$1500,2,FALSE))</f>
        <v>#N/A</v>
      </c>
      <c r="F4990" s="142"/>
      <c r="G4990" s="130"/>
      <c r="H4990" s="10"/>
      <c r="I4990" s="10"/>
      <c r="J4990" s="79" t="e">
        <f t="shared" si="327"/>
        <v>#VALUE!</v>
      </c>
      <c r="K4990" s="106"/>
      <c r="L4990" s="141"/>
      <c r="M4990" s="132"/>
      <c r="N4990" s="133"/>
      <c r="O4990" s="4"/>
      <c r="P4990" s="4"/>
      <c r="Q4990" s="4"/>
      <c r="R4990" s="4"/>
      <c r="S4990" s="4"/>
      <c r="T4990" s="4"/>
      <c r="U4990" s="4"/>
      <c r="V4990" s="4"/>
      <c r="W4990" s="4"/>
      <c r="X4990" s="4"/>
    </row>
    <row r="4991" spans="1:24" ht="14.25" customHeight="1">
      <c r="A4991" s="4"/>
      <c r="B4991" s="125">
        <v>46182</v>
      </c>
      <c r="C4991" s="126" t="s">
        <v>2789</v>
      </c>
      <c r="D4991" s="15" t="s">
        <v>2780</v>
      </c>
      <c r="E4991" s="10" t="str">
        <f>TRIM(VLOOKUP(D4991,TB!$B$9:$C$1500,2,FALSE))</f>
        <v>Kwepie Mayo @ 3Kg</v>
      </c>
      <c r="F4991" s="185" t="s">
        <v>2790</v>
      </c>
      <c r="G4991" s="130">
        <v>3</v>
      </c>
      <c r="H4991" s="155">
        <v>135420</v>
      </c>
      <c r="I4991" s="10"/>
      <c r="J4991" s="79" t="e">
        <f t="shared" si="327"/>
        <v>#VALUE!</v>
      </c>
      <c r="K4991" s="106">
        <f t="shared" ref="K4991:K4993" si="336">H4991*11%</f>
        <v>14896.2</v>
      </c>
      <c r="L4991" s="141">
        <f t="shared" ref="L4991:L4993" si="337">H4991+K4991</f>
        <v>150316.20000000001</v>
      </c>
      <c r="M4991" s="132"/>
      <c r="N4991" s="133"/>
      <c r="O4991" s="4"/>
      <c r="P4991" s="4"/>
      <c r="Q4991" s="4"/>
      <c r="R4991" s="4"/>
      <c r="S4991" s="4"/>
      <c r="T4991" s="4"/>
      <c r="U4991" s="4"/>
      <c r="V4991" s="4"/>
      <c r="W4991" s="4"/>
      <c r="X4991" s="4"/>
    </row>
    <row r="4992" spans="1:24" ht="14.25" customHeight="1">
      <c r="A4992" s="4"/>
      <c r="B4992" s="125">
        <v>46182</v>
      </c>
      <c r="C4992" s="126" t="s">
        <v>2789</v>
      </c>
      <c r="D4992" s="15" t="s">
        <v>2791</v>
      </c>
      <c r="E4992" s="10" t="str">
        <f>TRIM(VLOOKUP(D4992,TB!$B$9:$C$1500,2,FALSE))</f>
        <v>Black Pitted Olives</v>
      </c>
      <c r="F4992" s="185" t="s">
        <v>2792</v>
      </c>
      <c r="G4992" s="130">
        <v>4.2</v>
      </c>
      <c r="H4992" s="155">
        <v>305250</v>
      </c>
      <c r="I4992" s="10"/>
      <c r="J4992" s="79" t="e">
        <f t="shared" si="327"/>
        <v>#VALUE!</v>
      </c>
      <c r="K4992" s="106">
        <f t="shared" si="336"/>
        <v>33577.5</v>
      </c>
      <c r="L4992" s="141">
        <f t="shared" si="337"/>
        <v>338827.5</v>
      </c>
      <c r="M4992" s="132"/>
      <c r="N4992" s="133"/>
      <c r="O4992" s="4"/>
      <c r="P4992" s="4"/>
      <c r="Q4992" s="4"/>
      <c r="R4992" s="4"/>
      <c r="S4992" s="4"/>
      <c r="T4992" s="4"/>
      <c r="U4992" s="4"/>
      <c r="V4992" s="4"/>
      <c r="W4992" s="4"/>
      <c r="X4992" s="4"/>
    </row>
    <row r="4993" spans="1:24" ht="14.25" customHeight="1">
      <c r="A4993" s="4"/>
      <c r="B4993" s="125">
        <v>46182</v>
      </c>
      <c r="C4993" s="126" t="s">
        <v>2789</v>
      </c>
      <c r="D4993" s="15" t="s">
        <v>2793</v>
      </c>
      <c r="E4993" s="10" t="str">
        <f>TRIM(VLOOKUP(D4993,TB!$B$9:$C$1500,2,FALSE))</f>
        <v>Extra Virgin Oil</v>
      </c>
      <c r="F4993" s="185" t="s">
        <v>2794</v>
      </c>
      <c r="G4993" s="130">
        <v>5</v>
      </c>
      <c r="H4993" s="155">
        <v>721500</v>
      </c>
      <c r="I4993" s="10"/>
      <c r="J4993" s="79" t="e">
        <f t="shared" si="327"/>
        <v>#VALUE!</v>
      </c>
      <c r="K4993" s="106">
        <f t="shared" si="336"/>
        <v>79365</v>
      </c>
      <c r="L4993" s="141">
        <f t="shared" si="337"/>
        <v>800865</v>
      </c>
      <c r="M4993" s="132"/>
      <c r="N4993" s="133"/>
      <c r="O4993" s="4"/>
      <c r="P4993" s="4"/>
      <c r="Q4993" s="4"/>
      <c r="R4993" s="4"/>
      <c r="S4993" s="4"/>
      <c r="T4993" s="4"/>
      <c r="U4993" s="4"/>
      <c r="V4993" s="4"/>
      <c r="W4993" s="4"/>
      <c r="X4993" s="4"/>
    </row>
    <row r="4994" spans="1:24" ht="14.25" customHeight="1">
      <c r="A4994" s="4"/>
      <c r="B4994" s="125">
        <v>46182</v>
      </c>
      <c r="C4994" s="126" t="s">
        <v>2789</v>
      </c>
      <c r="D4994" s="15" t="s">
        <v>285</v>
      </c>
      <c r="E4994" s="10" t="str">
        <f>TRIM(VLOOKUP(D4994,TB!$B$9:$C$1500,2,FALSE))</f>
        <v>Misc Cash Purchase</v>
      </c>
      <c r="F4994" s="185" t="s">
        <v>2795</v>
      </c>
      <c r="G4994" s="130"/>
      <c r="H4994" s="10"/>
      <c r="I4994" s="10">
        <v>1162170</v>
      </c>
      <c r="J4994" s="79" t="e">
        <f t="shared" si="327"/>
        <v>#VALUE!</v>
      </c>
      <c r="K4994" s="106"/>
      <c r="L4994" s="141"/>
      <c r="M4994" s="132"/>
      <c r="N4994" s="133"/>
      <c r="O4994" s="4"/>
      <c r="P4994" s="4"/>
      <c r="Q4994" s="4"/>
      <c r="R4994" s="4"/>
      <c r="S4994" s="4"/>
      <c r="T4994" s="4"/>
      <c r="U4994" s="4"/>
      <c r="V4994" s="4"/>
      <c r="W4994" s="4"/>
      <c r="X4994" s="4"/>
    </row>
    <row r="4995" spans="1:24" ht="14.25" customHeight="1">
      <c r="A4995" s="4"/>
      <c r="B4995" s="125"/>
      <c r="C4995" s="126"/>
      <c r="D4995" s="68"/>
      <c r="E4995" s="10" t="e">
        <f>TRIM(VLOOKUP(D4995,TB!$B$9:$C$1500,2,FALSE))</f>
        <v>#N/A</v>
      </c>
      <c r="F4995" s="142"/>
      <c r="G4995" s="130"/>
      <c r="H4995" s="10"/>
      <c r="I4995" s="10"/>
      <c r="J4995" s="79" t="e">
        <f t="shared" si="327"/>
        <v>#VALUE!</v>
      </c>
      <c r="K4995" s="106"/>
      <c r="L4995" s="141"/>
      <c r="M4995" s="132"/>
      <c r="N4995" s="133"/>
      <c r="O4995" s="4"/>
      <c r="P4995" s="4"/>
      <c r="Q4995" s="4"/>
      <c r="R4995" s="4"/>
      <c r="S4995" s="4"/>
      <c r="T4995" s="4"/>
      <c r="U4995" s="4"/>
      <c r="V4995" s="4"/>
      <c r="W4995" s="4"/>
      <c r="X4995" s="4"/>
    </row>
    <row r="4996" spans="1:24" ht="14.25" customHeight="1">
      <c r="A4996" s="4"/>
      <c r="B4996" s="125">
        <v>46189</v>
      </c>
      <c r="C4996" s="126" t="s">
        <v>2796</v>
      </c>
      <c r="D4996" s="15" t="s">
        <v>2786</v>
      </c>
      <c r="E4996" s="10" t="str">
        <f>TRIM(VLOOKUP(D4996,TB!$B$9:$C$1500,2,FALSE))</f>
        <v>Spaghetti</v>
      </c>
      <c r="F4996" s="185" t="s">
        <v>2797</v>
      </c>
      <c r="G4996" s="130">
        <v>10</v>
      </c>
      <c r="H4996" s="155">
        <v>410700</v>
      </c>
      <c r="I4996" s="10"/>
      <c r="J4996" s="79" t="e">
        <f t="shared" si="327"/>
        <v>#VALUE!</v>
      </c>
      <c r="K4996" s="106">
        <f t="shared" ref="K4996:K4997" si="338">H4996*11%</f>
        <v>45177</v>
      </c>
      <c r="L4996" s="141">
        <f t="shared" ref="L4996:L4997" si="339">H4996+K4996</f>
        <v>455877</v>
      </c>
      <c r="M4996" s="132"/>
      <c r="N4996" s="133"/>
      <c r="O4996" s="4"/>
      <c r="P4996" s="4"/>
      <c r="Q4996" s="4"/>
      <c r="R4996" s="4"/>
      <c r="S4996" s="4"/>
      <c r="T4996" s="4"/>
      <c r="U4996" s="4"/>
      <c r="V4996" s="4"/>
      <c r="W4996" s="4"/>
      <c r="X4996" s="4"/>
    </row>
    <row r="4997" spans="1:24" ht="14.25" customHeight="1">
      <c r="A4997" s="4"/>
      <c r="B4997" s="125">
        <v>46189</v>
      </c>
      <c r="C4997" s="126" t="s">
        <v>2796</v>
      </c>
      <c r="D4997" s="15" t="s">
        <v>2793</v>
      </c>
      <c r="E4997" s="10" t="str">
        <f>TRIM(VLOOKUP(D4997,TB!$B$9:$C$1500,2,FALSE))</f>
        <v>Extra Virgin Oil</v>
      </c>
      <c r="F4997" s="185" t="s">
        <v>2798</v>
      </c>
      <c r="G4997" s="130">
        <v>5</v>
      </c>
      <c r="H4997" s="155">
        <v>721500</v>
      </c>
      <c r="I4997" s="10"/>
      <c r="J4997" s="79" t="e">
        <f t="shared" si="327"/>
        <v>#VALUE!</v>
      </c>
      <c r="K4997" s="106">
        <f t="shared" si="338"/>
        <v>79365</v>
      </c>
      <c r="L4997" s="141">
        <f t="shared" si="339"/>
        <v>800865</v>
      </c>
      <c r="M4997" s="132"/>
      <c r="N4997" s="133"/>
      <c r="O4997" s="4"/>
      <c r="P4997" s="4"/>
      <c r="Q4997" s="4"/>
      <c r="R4997" s="4"/>
      <c r="S4997" s="4"/>
      <c r="T4997" s="4"/>
      <c r="U4997" s="4"/>
      <c r="V4997" s="4"/>
      <c r="W4997" s="4"/>
      <c r="X4997" s="4"/>
    </row>
    <row r="4998" spans="1:24" ht="14.25" customHeight="1">
      <c r="A4998" s="4"/>
      <c r="B4998" s="125">
        <v>46189</v>
      </c>
      <c r="C4998" s="126" t="s">
        <v>2796</v>
      </c>
      <c r="D4998" s="15" t="s">
        <v>285</v>
      </c>
      <c r="E4998" s="10" t="str">
        <f>TRIM(VLOOKUP(D4998,TB!$B$9:$C$1500,2,FALSE))</f>
        <v>Misc Cash Purchase</v>
      </c>
      <c r="F4998" s="185" t="s">
        <v>2799</v>
      </c>
      <c r="G4998" s="130"/>
      <c r="H4998" s="10"/>
      <c r="I4998" s="10">
        <v>1132200</v>
      </c>
      <c r="J4998" s="79" t="e">
        <f t="shared" si="327"/>
        <v>#VALUE!</v>
      </c>
      <c r="K4998" s="106"/>
      <c r="L4998" s="141"/>
      <c r="M4998" s="132"/>
      <c r="N4998" s="133"/>
      <c r="O4998" s="4"/>
      <c r="P4998" s="4"/>
      <c r="Q4998" s="4"/>
      <c r="R4998" s="4"/>
      <c r="S4998" s="4"/>
      <c r="T4998" s="4"/>
      <c r="U4998" s="4"/>
      <c r="V4998" s="4"/>
      <c r="W4998" s="4"/>
      <c r="X4998" s="4"/>
    </row>
    <row r="4999" spans="1:24" ht="14.25" customHeight="1">
      <c r="A4999" s="4"/>
      <c r="B4999" s="125"/>
      <c r="C4999" s="126"/>
      <c r="D4999" s="68"/>
      <c r="E4999" s="10" t="e">
        <f>TRIM(VLOOKUP(D4999,TB!$B$9:$C$1500,2,FALSE))</f>
        <v>#N/A</v>
      </c>
      <c r="F4999" s="142"/>
      <c r="G4999" s="130"/>
      <c r="H4999" s="10"/>
      <c r="I4999" s="10"/>
      <c r="J4999" s="79" t="e">
        <f t="shared" si="327"/>
        <v>#VALUE!</v>
      </c>
      <c r="K4999" s="106"/>
      <c r="L4999" s="141"/>
      <c r="M4999" s="132"/>
      <c r="N4999" s="133"/>
      <c r="O4999" s="4"/>
      <c r="P4999" s="4"/>
      <c r="Q4999" s="4"/>
      <c r="R4999" s="4"/>
      <c r="S4999" s="4"/>
      <c r="T4999" s="4"/>
      <c r="U4999" s="4"/>
      <c r="V4999" s="4"/>
      <c r="W4999" s="4"/>
      <c r="X4999" s="4"/>
    </row>
    <row r="5000" spans="1:24" ht="14.25" customHeight="1">
      <c r="A5000" s="4"/>
      <c r="B5000" s="125">
        <v>46203</v>
      </c>
      <c r="C5000" s="126" t="s">
        <v>2800</v>
      </c>
      <c r="D5000" s="15" t="s">
        <v>2780</v>
      </c>
      <c r="E5000" s="10" t="str">
        <f>TRIM(VLOOKUP(D5000,TB!$B$9:$C$1500,2,FALSE))</f>
        <v>Kwepie Mayo @ 3Kg</v>
      </c>
      <c r="F5000" s="142" t="s">
        <v>2801</v>
      </c>
      <c r="G5000" s="130">
        <f>3*2</f>
        <v>6</v>
      </c>
      <c r="H5000" s="10">
        <v>270840</v>
      </c>
      <c r="I5000" s="10"/>
      <c r="J5000" s="79" t="e">
        <f t="shared" si="327"/>
        <v>#VALUE!</v>
      </c>
      <c r="K5000" s="106"/>
      <c r="L5000" s="141"/>
      <c r="M5000" s="132"/>
      <c r="N5000" s="133"/>
      <c r="O5000" s="4"/>
      <c r="P5000" s="4"/>
      <c r="Q5000" s="4"/>
      <c r="R5000" s="4"/>
      <c r="S5000" s="4"/>
      <c r="T5000" s="4"/>
      <c r="U5000" s="4"/>
      <c r="V5000" s="4"/>
      <c r="W5000" s="4"/>
      <c r="X5000" s="4"/>
    </row>
    <row r="5001" spans="1:24" ht="14.25" customHeight="1">
      <c r="A5001" s="4"/>
      <c r="B5001" s="125">
        <v>46203</v>
      </c>
      <c r="C5001" s="126" t="s">
        <v>2800</v>
      </c>
      <c r="D5001" s="15" t="s">
        <v>285</v>
      </c>
      <c r="E5001" s="10" t="str">
        <f>TRIM(VLOOKUP(D5001,TB!$B$9:$C$1500,2,FALSE))</f>
        <v>Misc Cash Purchase</v>
      </c>
      <c r="F5001" s="142" t="s">
        <v>2802</v>
      </c>
      <c r="G5001" s="130"/>
      <c r="H5001" s="10"/>
      <c r="I5001" s="10">
        <v>270840</v>
      </c>
      <c r="J5001" s="79" t="e">
        <f t="shared" si="327"/>
        <v>#VALUE!</v>
      </c>
      <c r="K5001" s="106"/>
      <c r="L5001" s="141"/>
      <c r="M5001" s="132"/>
      <c r="N5001" s="133"/>
      <c r="O5001" s="4"/>
      <c r="P5001" s="4"/>
      <c r="Q5001" s="4"/>
      <c r="R5001" s="4"/>
      <c r="S5001" s="4"/>
      <c r="T5001" s="4"/>
      <c r="U5001" s="4"/>
      <c r="V5001" s="4"/>
      <c r="W5001" s="4"/>
      <c r="X5001" s="4"/>
    </row>
    <row r="5002" spans="1:24" ht="14.25" customHeight="1">
      <c r="A5002" s="4"/>
      <c r="B5002" s="125"/>
      <c r="C5002" s="126"/>
      <c r="D5002" s="15"/>
      <c r="E5002" s="10" t="e">
        <f>TRIM(VLOOKUP(D5002,TB!$B$9:$C$1500,2,FALSE))</f>
        <v>#N/A</v>
      </c>
      <c r="F5002" s="142"/>
      <c r="G5002" s="130"/>
      <c r="H5002" s="10"/>
      <c r="I5002" s="10"/>
      <c r="J5002" s="79" t="e">
        <f t="shared" si="327"/>
        <v>#VALUE!</v>
      </c>
      <c r="K5002" s="106"/>
      <c r="L5002" s="141"/>
      <c r="M5002" s="132"/>
      <c r="N5002" s="133"/>
      <c r="O5002" s="4"/>
      <c r="P5002" s="4"/>
      <c r="Q5002" s="4"/>
      <c r="R5002" s="4"/>
      <c r="S5002" s="4"/>
      <c r="T5002" s="4"/>
      <c r="U5002" s="4"/>
      <c r="V5002" s="4"/>
      <c r="W5002" s="4"/>
      <c r="X5002" s="4"/>
    </row>
    <row r="5003" spans="1:24" ht="14.25" customHeight="1">
      <c r="A5003" s="4"/>
      <c r="B5003" s="125">
        <v>46196</v>
      </c>
      <c r="C5003" s="126" t="s">
        <v>2803</v>
      </c>
      <c r="D5003" s="15" t="s">
        <v>2782</v>
      </c>
      <c r="E5003" s="10" t="str">
        <f>TRIM(VLOOKUP(D5003,TB!$B$9:$C$1500,2,FALSE))</f>
        <v>Dijon / French Mustard</v>
      </c>
      <c r="F5003" s="142" t="s">
        <v>2804</v>
      </c>
      <c r="G5003" s="130">
        <v>3</v>
      </c>
      <c r="H5003" s="10">
        <v>416250</v>
      </c>
      <c r="I5003" s="10"/>
      <c r="J5003" s="79" t="e">
        <f t="shared" si="327"/>
        <v>#VALUE!</v>
      </c>
      <c r="K5003" s="106"/>
      <c r="L5003" s="141"/>
      <c r="M5003" s="132"/>
      <c r="N5003" s="133"/>
      <c r="O5003" s="4"/>
      <c r="P5003" s="4"/>
      <c r="Q5003" s="4"/>
      <c r="R5003" s="4"/>
      <c r="S5003" s="4"/>
      <c r="T5003" s="4"/>
      <c r="U5003" s="4"/>
      <c r="V5003" s="4"/>
      <c r="W5003" s="4"/>
      <c r="X5003" s="4"/>
    </row>
    <row r="5004" spans="1:24" ht="14.25" customHeight="1">
      <c r="A5004" s="4"/>
      <c r="B5004" s="125">
        <v>46196</v>
      </c>
      <c r="C5004" s="126" t="s">
        <v>2803</v>
      </c>
      <c r="D5004" s="15" t="s">
        <v>285</v>
      </c>
      <c r="E5004" s="10" t="str">
        <f>TRIM(VLOOKUP(D5004,TB!$B$9:$C$1500,2,FALSE))</f>
        <v>Misc Cash Purchase</v>
      </c>
      <c r="F5004" s="142" t="s">
        <v>2805</v>
      </c>
      <c r="G5004" s="130"/>
      <c r="H5004" s="10"/>
      <c r="I5004" s="10">
        <v>416250</v>
      </c>
      <c r="J5004" s="79" t="e">
        <f t="shared" si="327"/>
        <v>#VALUE!</v>
      </c>
      <c r="K5004" s="106"/>
      <c r="L5004" s="141"/>
      <c r="M5004" s="132"/>
      <c r="N5004" s="133"/>
      <c r="O5004" s="4"/>
      <c r="P5004" s="4"/>
      <c r="Q5004" s="4"/>
      <c r="R5004" s="4"/>
      <c r="S5004" s="4"/>
      <c r="T5004" s="4"/>
      <c r="U5004" s="4"/>
      <c r="V5004" s="4"/>
      <c r="W5004" s="4"/>
      <c r="X5004" s="4"/>
    </row>
    <row r="5005" spans="1:24" ht="14.25" customHeight="1">
      <c r="A5005" s="4"/>
      <c r="B5005" s="125"/>
      <c r="C5005" s="126"/>
      <c r="D5005" s="15"/>
      <c r="E5005" s="10" t="e">
        <f>TRIM(VLOOKUP(D5005,TB!$B$9:$C$1500,2,FALSE))</f>
        <v>#N/A</v>
      </c>
      <c r="F5005" s="185"/>
      <c r="G5005" s="130"/>
      <c r="H5005" s="10"/>
      <c r="I5005" s="10"/>
      <c r="J5005" s="79" t="e">
        <f t="shared" si="327"/>
        <v>#VALUE!</v>
      </c>
      <c r="K5005" s="106"/>
      <c r="L5005" s="141"/>
      <c r="M5005" s="132"/>
      <c r="N5005" s="133"/>
      <c r="O5005" s="4"/>
      <c r="P5005" s="4"/>
      <c r="Q5005" s="4"/>
      <c r="R5005" s="4"/>
      <c r="S5005" s="4"/>
      <c r="T5005" s="4"/>
      <c r="U5005" s="4"/>
      <c r="V5005" s="4"/>
      <c r="W5005" s="4"/>
      <c r="X5005" s="4"/>
    </row>
    <row r="5006" spans="1:24" ht="14.25" customHeight="1">
      <c r="A5006" s="4"/>
      <c r="B5006" s="125">
        <v>46176</v>
      </c>
      <c r="C5006" s="126" t="s">
        <v>2806</v>
      </c>
      <c r="D5006" s="15" t="s">
        <v>2807</v>
      </c>
      <c r="E5006" s="10" t="str">
        <f>TRIM(VLOOKUP(D5006,TB!$B$9:$C$1500,2,FALSE))</f>
        <v>Cumi</v>
      </c>
      <c r="F5006" s="185" t="s">
        <v>2808</v>
      </c>
      <c r="G5006" s="130">
        <v>2</v>
      </c>
      <c r="H5006" s="10">
        <v>158000</v>
      </c>
      <c r="I5006" s="10"/>
      <c r="J5006" s="79" t="e">
        <f t="shared" si="327"/>
        <v>#VALUE!</v>
      </c>
      <c r="K5006" s="106"/>
      <c r="L5006" s="141"/>
      <c r="M5006" s="132"/>
      <c r="N5006" s="133"/>
      <c r="O5006" s="4"/>
      <c r="P5006" s="4"/>
      <c r="Q5006" s="4"/>
      <c r="R5006" s="4"/>
      <c r="S5006" s="4"/>
      <c r="T5006" s="4"/>
      <c r="U5006" s="4"/>
      <c r="V5006" s="4"/>
      <c r="W5006" s="4"/>
      <c r="X5006" s="4"/>
    </row>
    <row r="5007" spans="1:24" ht="14.25" customHeight="1">
      <c r="A5007" s="4"/>
      <c r="B5007" s="125">
        <v>46176</v>
      </c>
      <c r="C5007" s="126" t="s">
        <v>2806</v>
      </c>
      <c r="D5007" s="199" t="s">
        <v>2809</v>
      </c>
      <c r="E5007" s="10" t="str">
        <f>TRIM(VLOOKUP(D5007,TB!$B$9:$C$1500,2,FALSE))</f>
        <v>French Fries / Straight Cut</v>
      </c>
      <c r="F5007" s="185" t="s">
        <v>2810</v>
      </c>
      <c r="G5007" s="130">
        <v>30</v>
      </c>
      <c r="H5007" s="10">
        <v>870000</v>
      </c>
      <c r="I5007" s="10"/>
      <c r="J5007" s="79" t="e">
        <f t="shared" si="327"/>
        <v>#VALUE!</v>
      </c>
      <c r="K5007" s="106"/>
      <c r="L5007" s="141"/>
      <c r="M5007" s="132"/>
      <c r="N5007" s="133"/>
      <c r="O5007" s="4"/>
      <c r="P5007" s="4"/>
      <c r="Q5007" s="4"/>
      <c r="R5007" s="4"/>
      <c r="S5007" s="4"/>
      <c r="T5007" s="4"/>
      <c r="U5007" s="4"/>
      <c r="V5007" s="4"/>
      <c r="W5007" s="4"/>
      <c r="X5007" s="4"/>
    </row>
    <row r="5008" spans="1:24" ht="14.25" customHeight="1">
      <c r="A5008" s="4"/>
      <c r="B5008" s="125">
        <v>46176</v>
      </c>
      <c r="C5008" s="126" t="s">
        <v>2806</v>
      </c>
      <c r="D5008" s="15" t="s">
        <v>285</v>
      </c>
      <c r="E5008" s="10" t="str">
        <f>TRIM(VLOOKUP(D5008,TB!$B$9:$C$1500,2,FALSE))</f>
        <v>Misc Cash Purchase</v>
      </c>
      <c r="F5008" s="185" t="s">
        <v>2811</v>
      </c>
      <c r="G5008" s="130"/>
      <c r="H5008" s="10"/>
      <c r="I5008" s="10">
        <v>1028000</v>
      </c>
      <c r="J5008" s="79" t="e">
        <f t="shared" si="327"/>
        <v>#VALUE!</v>
      </c>
      <c r="K5008" s="106"/>
      <c r="L5008" s="141"/>
      <c r="M5008" s="132"/>
      <c r="N5008" s="133"/>
      <c r="O5008" s="4"/>
      <c r="P5008" s="4"/>
      <c r="Q5008" s="4"/>
      <c r="R5008" s="4"/>
      <c r="S5008" s="4"/>
      <c r="T5008" s="4"/>
      <c r="U5008" s="4"/>
      <c r="V5008" s="4"/>
      <c r="W5008" s="4"/>
      <c r="X5008" s="4"/>
    </row>
    <row r="5009" spans="1:24" ht="14.25" customHeight="1">
      <c r="A5009" s="4"/>
      <c r="B5009" s="125"/>
      <c r="C5009" s="126"/>
      <c r="D5009" s="68"/>
      <c r="E5009" s="10" t="e">
        <f>TRIM(VLOOKUP(D5009,TB!$B$9:$C$1500,2,FALSE))</f>
        <v>#N/A</v>
      </c>
      <c r="F5009" s="142"/>
      <c r="G5009" s="130"/>
      <c r="H5009" s="10"/>
      <c r="I5009" s="10"/>
      <c r="J5009" s="79" t="e">
        <f t="shared" si="327"/>
        <v>#VALUE!</v>
      </c>
      <c r="K5009" s="106"/>
      <c r="L5009" s="141"/>
      <c r="M5009" s="132"/>
      <c r="N5009" s="133"/>
      <c r="O5009" s="4"/>
      <c r="P5009" s="4"/>
      <c r="Q5009" s="4"/>
      <c r="R5009" s="4"/>
      <c r="S5009" s="4"/>
      <c r="T5009" s="4"/>
      <c r="U5009" s="4"/>
      <c r="V5009" s="4"/>
      <c r="W5009" s="4"/>
      <c r="X5009" s="4"/>
    </row>
    <row r="5010" spans="1:24" ht="14.25" customHeight="1">
      <c r="A5010" s="4"/>
      <c r="B5010" s="125">
        <v>46182</v>
      </c>
      <c r="C5010" s="126" t="s">
        <v>2812</v>
      </c>
      <c r="D5010" s="15" t="s">
        <v>2813</v>
      </c>
      <c r="E5010" s="10" t="str">
        <f>TRIM(VLOOKUP(D5010,TB!$B$9:$C$1500,2,FALSE))</f>
        <v>Udang/Prawn 25"</v>
      </c>
      <c r="F5010" s="185" t="s">
        <v>2814</v>
      </c>
      <c r="G5010" s="130">
        <v>3</v>
      </c>
      <c r="H5010" s="10">
        <v>480000</v>
      </c>
      <c r="I5010" s="10"/>
      <c r="J5010" s="79" t="e">
        <f t="shared" si="327"/>
        <v>#VALUE!</v>
      </c>
      <c r="K5010" s="106">
        <f>H5010/G5010</f>
        <v>160000</v>
      </c>
      <c r="L5010" s="141"/>
      <c r="M5010" s="132"/>
      <c r="N5010" s="133"/>
      <c r="O5010" s="4"/>
      <c r="P5010" s="4"/>
      <c r="Q5010" s="4"/>
      <c r="R5010" s="4"/>
      <c r="S5010" s="4"/>
      <c r="T5010" s="4"/>
      <c r="U5010" s="4"/>
      <c r="V5010" s="4"/>
      <c r="W5010" s="4"/>
      <c r="X5010" s="4"/>
    </row>
    <row r="5011" spans="1:24" ht="14.25" customHeight="1">
      <c r="A5011" s="4"/>
      <c r="B5011" s="125">
        <v>46182</v>
      </c>
      <c r="C5011" s="126" t="s">
        <v>2812</v>
      </c>
      <c r="D5011" s="199" t="s">
        <v>2809</v>
      </c>
      <c r="E5011" s="10" t="str">
        <f>TRIM(VLOOKUP(D5011,TB!$B$9:$C$1500,2,FALSE))</f>
        <v>French Fries / Straight Cut</v>
      </c>
      <c r="F5011" s="185" t="s">
        <v>2815</v>
      </c>
      <c r="G5011" s="130">
        <v>20</v>
      </c>
      <c r="H5011" s="10">
        <v>580000</v>
      </c>
      <c r="I5011" s="10"/>
      <c r="J5011" s="79" t="e">
        <f t="shared" si="327"/>
        <v>#VALUE!</v>
      </c>
      <c r="K5011" s="106"/>
      <c r="L5011" s="141"/>
      <c r="M5011" s="132"/>
      <c r="N5011" s="133"/>
      <c r="O5011" s="4"/>
      <c r="P5011" s="4"/>
      <c r="Q5011" s="4"/>
      <c r="R5011" s="4"/>
      <c r="S5011" s="4"/>
      <c r="T5011" s="4"/>
      <c r="U5011" s="4"/>
      <c r="V5011" s="4"/>
      <c r="W5011" s="4"/>
      <c r="X5011" s="4"/>
    </row>
    <row r="5012" spans="1:24" ht="14.25" customHeight="1">
      <c r="A5012" s="4"/>
      <c r="B5012" s="125">
        <v>46182</v>
      </c>
      <c r="C5012" s="126" t="s">
        <v>2812</v>
      </c>
      <c r="D5012" s="15" t="s">
        <v>285</v>
      </c>
      <c r="E5012" s="10" t="str">
        <f>TRIM(VLOOKUP(D5012,TB!$B$9:$C$1500,2,FALSE))</f>
        <v>Misc Cash Purchase</v>
      </c>
      <c r="F5012" s="185" t="s">
        <v>2816</v>
      </c>
      <c r="G5012" s="130"/>
      <c r="H5012" s="10"/>
      <c r="I5012" s="10">
        <v>1060000</v>
      </c>
      <c r="J5012" s="79" t="e">
        <f t="shared" si="327"/>
        <v>#VALUE!</v>
      </c>
      <c r="K5012" s="106"/>
      <c r="L5012" s="141"/>
      <c r="M5012" s="132"/>
      <c r="N5012" s="133"/>
      <c r="O5012" s="4"/>
      <c r="P5012" s="4"/>
      <c r="Q5012" s="4"/>
      <c r="R5012" s="4"/>
      <c r="S5012" s="4"/>
      <c r="T5012" s="4"/>
      <c r="U5012" s="4"/>
      <c r="V5012" s="4"/>
      <c r="W5012" s="4"/>
      <c r="X5012" s="4"/>
    </row>
    <row r="5013" spans="1:24" ht="14.25" customHeight="1">
      <c r="A5013" s="4"/>
      <c r="B5013" s="125"/>
      <c r="C5013" s="126"/>
      <c r="D5013" s="68"/>
      <c r="E5013" s="10" t="e">
        <f>TRIM(VLOOKUP(D5013,TB!$B$9:$C$1500,2,FALSE))</f>
        <v>#N/A</v>
      </c>
      <c r="F5013" s="142"/>
      <c r="G5013" s="130"/>
      <c r="H5013" s="10"/>
      <c r="I5013" s="10"/>
      <c r="J5013" s="79" t="e">
        <f t="shared" si="327"/>
        <v>#VALUE!</v>
      </c>
      <c r="K5013" s="106"/>
      <c r="L5013" s="141"/>
      <c r="M5013" s="132"/>
      <c r="N5013" s="133"/>
      <c r="O5013" s="4"/>
      <c r="P5013" s="4"/>
      <c r="Q5013" s="4"/>
      <c r="R5013" s="4"/>
      <c r="S5013" s="4"/>
      <c r="T5013" s="4"/>
      <c r="U5013" s="4"/>
      <c r="V5013" s="4"/>
      <c r="W5013" s="4"/>
      <c r="X5013" s="4"/>
    </row>
    <row r="5014" spans="1:24" ht="14.25" customHeight="1">
      <c r="A5014" s="4"/>
      <c r="B5014" s="125">
        <v>46182</v>
      </c>
      <c r="C5014" s="126" t="s">
        <v>2817</v>
      </c>
      <c r="D5014" s="15" t="s">
        <v>2813</v>
      </c>
      <c r="E5014" s="10" t="str">
        <f>TRIM(VLOOKUP(D5014,TB!$B$9:$C$1500,2,FALSE))</f>
        <v>Udang/Prawn 25"</v>
      </c>
      <c r="F5014" s="185" t="s">
        <v>2818</v>
      </c>
      <c r="G5014" s="130">
        <v>5</v>
      </c>
      <c r="H5014" s="10">
        <v>800000</v>
      </c>
      <c r="I5014" s="10"/>
      <c r="J5014" s="79" t="e">
        <f t="shared" si="327"/>
        <v>#VALUE!</v>
      </c>
      <c r="K5014" s="106">
        <f>H5014/G5014</f>
        <v>160000</v>
      </c>
      <c r="L5014" s="141"/>
      <c r="M5014" s="132"/>
      <c r="N5014" s="133"/>
      <c r="O5014" s="4"/>
      <c r="P5014" s="4"/>
      <c r="Q5014" s="4"/>
      <c r="R5014" s="4"/>
      <c r="S5014" s="4"/>
      <c r="T5014" s="4"/>
      <c r="U5014" s="4"/>
      <c r="V5014" s="4"/>
      <c r="W5014" s="4"/>
      <c r="X5014" s="4"/>
    </row>
    <row r="5015" spans="1:24" ht="14.25" customHeight="1">
      <c r="A5015" s="4"/>
      <c r="B5015" s="125">
        <v>46182</v>
      </c>
      <c r="C5015" s="126" t="s">
        <v>2817</v>
      </c>
      <c r="D5015" s="15" t="s">
        <v>285</v>
      </c>
      <c r="E5015" s="10" t="str">
        <f>TRIM(VLOOKUP(D5015,TB!$B$9:$C$1500,2,FALSE))</f>
        <v>Misc Cash Purchase</v>
      </c>
      <c r="F5015" s="185" t="s">
        <v>2819</v>
      </c>
      <c r="G5015" s="130"/>
      <c r="H5015" s="10"/>
      <c r="I5015" s="10">
        <v>800000</v>
      </c>
      <c r="J5015" s="79" t="e">
        <f t="shared" si="327"/>
        <v>#VALUE!</v>
      </c>
      <c r="K5015" s="106"/>
      <c r="L5015" s="141"/>
      <c r="M5015" s="132"/>
      <c r="N5015" s="133"/>
      <c r="O5015" s="4"/>
      <c r="P5015" s="4"/>
      <c r="Q5015" s="4"/>
      <c r="R5015" s="4"/>
      <c r="S5015" s="4"/>
      <c r="T5015" s="4"/>
      <c r="U5015" s="4"/>
      <c r="V5015" s="4"/>
      <c r="W5015" s="4"/>
      <c r="X5015" s="4"/>
    </row>
    <row r="5016" spans="1:24" ht="14.25" customHeight="1">
      <c r="A5016" s="4"/>
      <c r="B5016" s="125"/>
      <c r="C5016" s="126"/>
      <c r="D5016" s="68"/>
      <c r="E5016" s="10" t="e">
        <f>TRIM(VLOOKUP(D5016,TB!$B$9:$C$1500,2,FALSE))</f>
        <v>#N/A</v>
      </c>
      <c r="F5016" s="142"/>
      <c r="G5016" s="130"/>
      <c r="H5016" s="10"/>
      <c r="I5016" s="10"/>
      <c r="J5016" s="79" t="e">
        <f t="shared" si="327"/>
        <v>#VALUE!</v>
      </c>
      <c r="K5016" s="106"/>
      <c r="L5016" s="141"/>
      <c r="M5016" s="132"/>
      <c r="N5016" s="133"/>
      <c r="O5016" s="4"/>
      <c r="P5016" s="4"/>
      <c r="Q5016" s="4"/>
      <c r="R5016" s="4"/>
      <c r="S5016" s="4"/>
      <c r="T5016" s="4"/>
      <c r="U5016" s="4"/>
      <c r="V5016" s="4"/>
      <c r="W5016" s="4"/>
      <c r="X5016" s="4"/>
    </row>
    <row r="5017" spans="1:24" ht="14.25" customHeight="1">
      <c r="A5017" s="4"/>
      <c r="B5017" s="125">
        <v>46191</v>
      </c>
      <c r="C5017" s="126" t="s">
        <v>2820</v>
      </c>
      <c r="D5017" s="15" t="s">
        <v>2807</v>
      </c>
      <c r="E5017" s="10" t="str">
        <f>TRIM(VLOOKUP(D5017,TB!$B$9:$C$1500,2,FALSE))</f>
        <v>Cumi</v>
      </c>
      <c r="F5017" s="185" t="s">
        <v>2821</v>
      </c>
      <c r="G5017" s="130">
        <v>2</v>
      </c>
      <c r="H5017" s="10">
        <v>158000</v>
      </c>
      <c r="I5017" s="10"/>
      <c r="J5017" s="79" t="e">
        <f t="shared" si="327"/>
        <v>#VALUE!</v>
      </c>
      <c r="K5017" s="106"/>
      <c r="L5017" s="141"/>
      <c r="M5017" s="132"/>
      <c r="N5017" s="133"/>
      <c r="O5017" s="4"/>
      <c r="P5017" s="4"/>
      <c r="Q5017" s="4"/>
      <c r="R5017" s="4"/>
      <c r="S5017" s="4"/>
      <c r="T5017" s="4"/>
      <c r="U5017" s="4"/>
      <c r="V5017" s="4"/>
      <c r="W5017" s="4"/>
      <c r="X5017" s="4"/>
    </row>
    <row r="5018" spans="1:24" ht="14.25" customHeight="1">
      <c r="A5018" s="4"/>
      <c r="B5018" s="125">
        <v>46191</v>
      </c>
      <c r="C5018" s="126" t="s">
        <v>2820</v>
      </c>
      <c r="D5018" s="199" t="s">
        <v>2809</v>
      </c>
      <c r="E5018" s="10" t="str">
        <f>TRIM(VLOOKUP(D5018,TB!$B$9:$C$1500,2,FALSE))</f>
        <v>French Fries / Straight Cut</v>
      </c>
      <c r="F5018" s="185" t="s">
        <v>2822</v>
      </c>
      <c r="G5018" s="130">
        <v>20</v>
      </c>
      <c r="H5018" s="10">
        <v>580000</v>
      </c>
      <c r="I5018" s="10"/>
      <c r="J5018" s="79" t="e">
        <f t="shared" si="327"/>
        <v>#VALUE!</v>
      </c>
      <c r="K5018" s="106"/>
      <c r="L5018" s="141"/>
      <c r="M5018" s="132"/>
      <c r="N5018" s="133"/>
      <c r="O5018" s="4"/>
      <c r="P5018" s="4"/>
      <c r="Q5018" s="4"/>
      <c r="R5018" s="4"/>
      <c r="S5018" s="4"/>
      <c r="T5018" s="4"/>
      <c r="U5018" s="4"/>
      <c r="V5018" s="4"/>
      <c r="W5018" s="4"/>
      <c r="X5018" s="4"/>
    </row>
    <row r="5019" spans="1:24" ht="14.25" customHeight="1">
      <c r="A5019" s="4"/>
      <c r="B5019" s="125">
        <v>46191</v>
      </c>
      <c r="C5019" s="126" t="s">
        <v>2820</v>
      </c>
      <c r="D5019" s="15" t="s">
        <v>285</v>
      </c>
      <c r="E5019" s="10" t="str">
        <f>TRIM(VLOOKUP(D5019,TB!$B$9:$C$1500,2,FALSE))</f>
        <v>Misc Cash Purchase</v>
      </c>
      <c r="F5019" s="185" t="s">
        <v>2823</v>
      </c>
      <c r="G5019" s="130"/>
      <c r="H5019" s="10"/>
      <c r="I5019" s="10">
        <v>738000</v>
      </c>
      <c r="J5019" s="79" t="e">
        <f t="shared" si="327"/>
        <v>#VALUE!</v>
      </c>
      <c r="K5019" s="106"/>
      <c r="L5019" s="141"/>
      <c r="M5019" s="132"/>
      <c r="N5019" s="133"/>
      <c r="O5019" s="4"/>
      <c r="P5019" s="4"/>
      <c r="Q5019" s="4"/>
      <c r="R5019" s="4"/>
      <c r="S5019" s="4"/>
      <c r="T5019" s="4"/>
      <c r="U5019" s="4"/>
      <c r="V5019" s="4"/>
      <c r="W5019" s="4"/>
      <c r="X5019" s="4"/>
    </row>
    <row r="5020" spans="1:24" ht="14.25" customHeight="1">
      <c r="A5020" s="4"/>
      <c r="B5020" s="125"/>
      <c r="C5020" s="126"/>
      <c r="D5020" s="68"/>
      <c r="E5020" s="10" t="e">
        <f>TRIM(VLOOKUP(D5020,TB!$B$9:$C$1500,2,FALSE))</f>
        <v>#N/A</v>
      </c>
      <c r="F5020" s="142"/>
      <c r="G5020" s="130"/>
      <c r="H5020" s="10"/>
      <c r="I5020" s="10"/>
      <c r="J5020" s="79" t="e">
        <f t="shared" si="327"/>
        <v>#VALUE!</v>
      </c>
      <c r="K5020" s="106"/>
      <c r="L5020" s="141"/>
      <c r="M5020" s="132"/>
      <c r="N5020" s="133"/>
      <c r="O5020" s="4"/>
      <c r="P5020" s="4"/>
      <c r="Q5020" s="4"/>
      <c r="R5020" s="4"/>
      <c r="S5020" s="4"/>
      <c r="T5020" s="4"/>
      <c r="U5020" s="4"/>
      <c r="V5020" s="4"/>
      <c r="W5020" s="4"/>
      <c r="X5020" s="4"/>
    </row>
    <row r="5021" spans="1:24" ht="14.25" customHeight="1">
      <c r="A5021" s="4"/>
      <c r="B5021" s="125">
        <v>46196</v>
      </c>
      <c r="C5021" s="126" t="s">
        <v>2824</v>
      </c>
      <c r="D5021" s="15" t="s">
        <v>2825</v>
      </c>
      <c r="E5021" s="10" t="str">
        <f>TRIM(VLOOKUP(D5021,TB!$B$9:$C$1500,2,FALSE))</f>
        <v>Snapper Fillet</v>
      </c>
      <c r="F5021" s="185" t="s">
        <v>2826</v>
      </c>
      <c r="G5021" s="130">
        <v>3.3</v>
      </c>
      <c r="H5021" s="10">
        <v>396000</v>
      </c>
      <c r="I5021" s="10"/>
      <c r="J5021" s="79" t="e">
        <f t="shared" si="327"/>
        <v>#VALUE!</v>
      </c>
      <c r="K5021" s="106"/>
      <c r="L5021" s="141"/>
      <c r="M5021" s="132"/>
      <c r="N5021" s="133"/>
      <c r="O5021" s="4"/>
      <c r="P5021" s="4"/>
      <c r="Q5021" s="4"/>
      <c r="R5021" s="4"/>
      <c r="S5021" s="4"/>
      <c r="T5021" s="4"/>
      <c r="U5021" s="4"/>
      <c r="V5021" s="4"/>
      <c r="W5021" s="4"/>
      <c r="X5021" s="4"/>
    </row>
    <row r="5022" spans="1:24" ht="14.25" customHeight="1">
      <c r="A5022" s="4"/>
      <c r="B5022" s="125">
        <v>46196</v>
      </c>
      <c r="C5022" s="126" t="s">
        <v>2824</v>
      </c>
      <c r="D5022" s="15" t="s">
        <v>2807</v>
      </c>
      <c r="E5022" s="10" t="str">
        <f>TRIM(VLOOKUP(D5022,TB!$B$9:$C$1500,2,FALSE))</f>
        <v>Cumi</v>
      </c>
      <c r="F5022" s="185" t="s">
        <v>2827</v>
      </c>
      <c r="G5022" s="130">
        <v>5</v>
      </c>
      <c r="H5022" s="10">
        <v>395000</v>
      </c>
      <c r="I5022" s="10"/>
      <c r="J5022" s="79" t="e">
        <f t="shared" si="327"/>
        <v>#VALUE!</v>
      </c>
      <c r="K5022" s="106"/>
      <c r="L5022" s="141"/>
      <c r="M5022" s="132"/>
      <c r="N5022" s="133"/>
      <c r="O5022" s="4"/>
      <c r="P5022" s="4"/>
      <c r="Q5022" s="4"/>
      <c r="R5022" s="4"/>
      <c r="S5022" s="4"/>
      <c r="T5022" s="4"/>
      <c r="U5022" s="4"/>
      <c r="V5022" s="4"/>
      <c r="W5022" s="4"/>
      <c r="X5022" s="4"/>
    </row>
    <row r="5023" spans="1:24" ht="14.25" customHeight="1">
      <c r="A5023" s="4"/>
      <c r="B5023" s="125">
        <v>46196</v>
      </c>
      <c r="C5023" s="126" t="s">
        <v>2824</v>
      </c>
      <c r="D5023" s="199" t="s">
        <v>2809</v>
      </c>
      <c r="E5023" s="10" t="str">
        <f>TRIM(VLOOKUP(D5023,TB!$B$9:$C$1500,2,FALSE))</f>
        <v>French Fries / Straight Cut</v>
      </c>
      <c r="F5023" s="185" t="s">
        <v>2828</v>
      </c>
      <c r="G5023" s="130">
        <v>30</v>
      </c>
      <c r="H5023" s="10">
        <v>870000</v>
      </c>
      <c r="I5023" s="10"/>
      <c r="J5023" s="79" t="e">
        <f t="shared" si="327"/>
        <v>#VALUE!</v>
      </c>
      <c r="K5023" s="106"/>
      <c r="L5023" s="141"/>
      <c r="M5023" s="132"/>
      <c r="N5023" s="133"/>
      <c r="O5023" s="4"/>
      <c r="P5023" s="4"/>
      <c r="Q5023" s="4"/>
      <c r="R5023" s="4"/>
      <c r="S5023" s="4"/>
      <c r="T5023" s="4"/>
      <c r="U5023" s="4"/>
      <c r="V5023" s="4"/>
      <c r="W5023" s="4"/>
      <c r="X5023" s="4"/>
    </row>
    <row r="5024" spans="1:24" ht="14.25" customHeight="1">
      <c r="A5024" s="4"/>
      <c r="B5024" s="125">
        <v>46196</v>
      </c>
      <c r="C5024" s="126" t="s">
        <v>2824</v>
      </c>
      <c r="D5024" s="15" t="s">
        <v>285</v>
      </c>
      <c r="E5024" s="10" t="str">
        <f>TRIM(VLOOKUP(D5024,TB!$B$9:$C$1500,2,FALSE))</f>
        <v>Misc Cash Purchase</v>
      </c>
      <c r="F5024" s="185" t="s">
        <v>2829</v>
      </c>
      <c r="G5024" s="130"/>
      <c r="H5024" s="10"/>
      <c r="I5024" s="10">
        <v>1661000</v>
      </c>
      <c r="J5024" s="79" t="e">
        <f t="shared" si="327"/>
        <v>#VALUE!</v>
      </c>
      <c r="K5024" s="106"/>
      <c r="L5024" s="141"/>
      <c r="M5024" s="132"/>
      <c r="N5024" s="133"/>
      <c r="O5024" s="4"/>
      <c r="P5024" s="4"/>
      <c r="Q5024" s="4"/>
      <c r="R5024" s="4"/>
      <c r="S5024" s="4"/>
      <c r="T5024" s="4"/>
      <c r="U5024" s="4"/>
      <c r="V5024" s="4"/>
      <c r="W5024" s="4"/>
      <c r="X5024" s="4"/>
    </row>
    <row r="5025" spans="1:24" ht="14.25" customHeight="1">
      <c r="A5025" s="4"/>
      <c r="B5025" s="125"/>
      <c r="C5025" s="126"/>
      <c r="D5025" s="15"/>
      <c r="E5025" s="10" t="e">
        <f>TRIM(VLOOKUP(D5025,TB!$B$9:$C$1500,2,FALSE))</f>
        <v>#N/A</v>
      </c>
      <c r="F5025" s="185"/>
      <c r="G5025" s="130"/>
      <c r="H5025" s="10"/>
      <c r="I5025" s="10"/>
      <c r="J5025" s="79" t="e">
        <f t="shared" si="327"/>
        <v>#VALUE!</v>
      </c>
      <c r="K5025" s="106"/>
      <c r="L5025" s="141"/>
      <c r="M5025" s="132"/>
      <c r="N5025" s="133"/>
      <c r="O5025" s="4"/>
      <c r="P5025" s="4"/>
      <c r="Q5025" s="4"/>
      <c r="R5025" s="4"/>
      <c r="S5025" s="4"/>
      <c r="T5025" s="4"/>
      <c r="U5025" s="4"/>
      <c r="V5025" s="4"/>
      <c r="W5025" s="4"/>
      <c r="X5025" s="4"/>
    </row>
    <row r="5026" spans="1:24" ht="14.25" customHeight="1">
      <c r="A5026" s="4"/>
      <c r="B5026" s="125">
        <v>46203</v>
      </c>
      <c r="C5026" s="126" t="s">
        <v>2830</v>
      </c>
      <c r="D5026" s="199" t="s">
        <v>2809</v>
      </c>
      <c r="E5026" s="10" t="str">
        <f>TRIM(VLOOKUP(D5026,TB!$B$9:$C$1500,2,FALSE))</f>
        <v>French Fries / Straight Cut</v>
      </c>
      <c r="F5026" s="142" t="s">
        <v>2831</v>
      </c>
      <c r="G5026" s="130">
        <v>20</v>
      </c>
      <c r="H5026" s="10">
        <v>580000</v>
      </c>
      <c r="I5026" s="10"/>
      <c r="J5026" s="79" t="e">
        <f t="shared" si="327"/>
        <v>#VALUE!</v>
      </c>
      <c r="K5026" s="106"/>
      <c r="L5026" s="141"/>
      <c r="M5026" s="132"/>
      <c r="N5026" s="133"/>
      <c r="O5026" s="4"/>
      <c r="P5026" s="4"/>
      <c r="Q5026" s="4"/>
      <c r="R5026" s="4"/>
      <c r="S5026" s="4"/>
      <c r="T5026" s="4"/>
      <c r="U5026" s="4"/>
      <c r="V5026" s="4"/>
      <c r="W5026" s="4"/>
      <c r="X5026" s="4"/>
    </row>
    <row r="5027" spans="1:24" ht="14.25" customHeight="1">
      <c r="A5027" s="4"/>
      <c r="B5027" s="125">
        <v>46203</v>
      </c>
      <c r="C5027" s="126" t="s">
        <v>2830</v>
      </c>
      <c r="D5027" s="15" t="s">
        <v>285</v>
      </c>
      <c r="E5027" s="10" t="str">
        <f>TRIM(VLOOKUP(D5027,TB!$B$9:$C$1500,2,FALSE))</f>
        <v>Misc Cash Purchase</v>
      </c>
      <c r="F5027" s="142" t="s">
        <v>2832</v>
      </c>
      <c r="G5027" s="130"/>
      <c r="H5027" s="10"/>
      <c r="I5027" s="10">
        <v>580000</v>
      </c>
      <c r="J5027" s="79" t="e">
        <f t="shared" si="327"/>
        <v>#VALUE!</v>
      </c>
      <c r="K5027" s="106"/>
      <c r="L5027" s="141"/>
      <c r="M5027" s="132"/>
      <c r="N5027" s="133"/>
      <c r="O5027" s="4"/>
      <c r="P5027" s="4"/>
      <c r="Q5027" s="4"/>
      <c r="R5027" s="4"/>
      <c r="S5027" s="4"/>
      <c r="T5027" s="4"/>
      <c r="U5027" s="4"/>
      <c r="V5027" s="4"/>
      <c r="W5027" s="4"/>
      <c r="X5027" s="4"/>
    </row>
    <row r="5028" spans="1:24" ht="14.25" customHeight="1">
      <c r="A5028" s="4"/>
      <c r="B5028" s="125"/>
      <c r="C5028" s="126"/>
      <c r="D5028" s="15"/>
      <c r="E5028" s="10" t="e">
        <f>TRIM(VLOOKUP(D5028,TB!$B$9:$C$1500,2,FALSE))</f>
        <v>#N/A</v>
      </c>
      <c r="F5028" s="185"/>
      <c r="G5028" s="130"/>
      <c r="H5028" s="10"/>
      <c r="I5028" s="10"/>
      <c r="J5028" s="79" t="e">
        <f t="shared" si="327"/>
        <v>#VALUE!</v>
      </c>
      <c r="K5028" s="106"/>
      <c r="L5028" s="141"/>
      <c r="M5028" s="132"/>
      <c r="N5028" s="133"/>
      <c r="O5028" s="4"/>
      <c r="P5028" s="4"/>
      <c r="Q5028" s="4"/>
      <c r="R5028" s="4"/>
      <c r="S5028" s="4"/>
      <c r="T5028" s="4"/>
      <c r="U5028" s="4"/>
      <c r="V5028" s="4"/>
      <c r="W5028" s="4"/>
      <c r="X5028" s="4"/>
    </row>
    <row r="5029" spans="1:24" ht="14.25" customHeight="1">
      <c r="A5029" s="4"/>
      <c r="B5029" s="125">
        <v>46178</v>
      </c>
      <c r="C5029" s="126" t="s">
        <v>2833</v>
      </c>
      <c r="D5029" s="15" t="s">
        <v>2834</v>
      </c>
      <c r="E5029" s="10" t="str">
        <f>TRIM(VLOOKUP(D5029,TB!$B$9:$C$1500,2,FALSE))</f>
        <v>Beef Cuberoll (Rib Eye)</v>
      </c>
      <c r="F5029" s="185" t="s">
        <v>2835</v>
      </c>
      <c r="G5029" s="130">
        <v>2.68</v>
      </c>
      <c r="H5029" s="10">
        <v>725851</v>
      </c>
      <c r="I5029" s="10"/>
      <c r="J5029" s="79" t="e">
        <f t="shared" si="327"/>
        <v>#VALUE!</v>
      </c>
      <c r="K5029" s="106">
        <f>H5029/G5029</f>
        <v>270839.92537313432</v>
      </c>
      <c r="L5029" s="141"/>
      <c r="M5029" s="132"/>
      <c r="N5029" s="133"/>
      <c r="O5029" s="4"/>
      <c r="P5029" s="4"/>
      <c r="Q5029" s="4"/>
      <c r="R5029" s="4"/>
      <c r="S5029" s="4"/>
      <c r="T5029" s="4"/>
      <c r="U5029" s="4"/>
      <c r="V5029" s="4"/>
      <c r="W5029" s="4"/>
      <c r="X5029" s="4"/>
    </row>
    <row r="5030" spans="1:24" ht="14.25" customHeight="1">
      <c r="A5030" s="4"/>
      <c r="B5030" s="125">
        <v>46178</v>
      </c>
      <c r="C5030" s="126" t="s">
        <v>2833</v>
      </c>
      <c r="D5030" s="15" t="s">
        <v>285</v>
      </c>
      <c r="E5030" s="10" t="str">
        <f>TRIM(VLOOKUP(D5030,TB!$B$9:$C$1500,2,FALSE))</f>
        <v>Misc Cash Purchase</v>
      </c>
      <c r="F5030" s="185" t="s">
        <v>2836</v>
      </c>
      <c r="G5030" s="130"/>
      <c r="H5030" s="10"/>
      <c r="I5030" s="10">
        <v>725851</v>
      </c>
      <c r="J5030" s="79" t="e">
        <f t="shared" si="327"/>
        <v>#VALUE!</v>
      </c>
      <c r="K5030" s="106"/>
      <c r="L5030" s="141"/>
      <c r="M5030" s="132"/>
      <c r="N5030" s="133"/>
      <c r="O5030" s="4"/>
      <c r="P5030" s="4"/>
      <c r="Q5030" s="4"/>
      <c r="R5030" s="4"/>
      <c r="S5030" s="4"/>
      <c r="T5030" s="4"/>
      <c r="U5030" s="4"/>
      <c r="V5030" s="4"/>
      <c r="W5030" s="4"/>
      <c r="X5030" s="4"/>
    </row>
    <row r="5031" spans="1:24" ht="14.25" customHeight="1">
      <c r="A5031" s="4"/>
      <c r="B5031" s="125"/>
      <c r="C5031" s="126"/>
      <c r="D5031" s="68"/>
      <c r="E5031" s="10" t="e">
        <f>TRIM(VLOOKUP(D5031,TB!$B$9:$C$1500,2,FALSE))</f>
        <v>#N/A</v>
      </c>
      <c r="F5031" s="142"/>
      <c r="G5031" s="130"/>
      <c r="H5031" s="10"/>
      <c r="I5031" s="10"/>
      <c r="J5031" s="79" t="e">
        <f t="shared" si="327"/>
        <v>#VALUE!</v>
      </c>
      <c r="K5031" s="106"/>
      <c r="L5031" s="141"/>
      <c r="M5031" s="132"/>
      <c r="N5031" s="133"/>
      <c r="O5031" s="4"/>
      <c r="P5031" s="4"/>
      <c r="Q5031" s="4"/>
      <c r="R5031" s="4"/>
      <c r="S5031" s="4"/>
      <c r="T5031" s="4"/>
      <c r="U5031" s="4"/>
      <c r="V5031" s="4"/>
      <c r="W5031" s="4"/>
      <c r="X5031" s="4"/>
    </row>
    <row r="5032" spans="1:24" ht="14.25" customHeight="1">
      <c r="A5032" s="4"/>
      <c r="B5032" s="125">
        <v>46203</v>
      </c>
      <c r="C5032" s="126" t="s">
        <v>2837</v>
      </c>
      <c r="D5032" s="15" t="s">
        <v>2834</v>
      </c>
      <c r="E5032" s="10" t="str">
        <f>TRIM(VLOOKUP(D5032,TB!$B$9:$C$1500,2,FALSE))</f>
        <v>Beef Cuberoll (Rib Eye)</v>
      </c>
      <c r="F5032" s="142" t="s">
        <v>2838</v>
      </c>
      <c r="G5032" s="130">
        <v>4.46</v>
      </c>
      <c r="H5032" s="10">
        <v>1318197</v>
      </c>
      <c r="I5032" s="10"/>
      <c r="J5032" s="79" t="e">
        <f t="shared" si="327"/>
        <v>#VALUE!</v>
      </c>
      <c r="K5032" s="106">
        <f>H5032/G5032</f>
        <v>295559.865470852</v>
      </c>
      <c r="L5032" s="141"/>
      <c r="M5032" s="132"/>
      <c r="N5032" s="133"/>
      <c r="O5032" s="4"/>
      <c r="P5032" s="4"/>
      <c r="Q5032" s="4"/>
      <c r="R5032" s="4"/>
      <c r="S5032" s="4"/>
      <c r="T5032" s="4"/>
      <c r="U5032" s="4"/>
      <c r="V5032" s="4"/>
      <c r="W5032" s="4"/>
      <c r="X5032" s="4"/>
    </row>
    <row r="5033" spans="1:24" ht="14.25" customHeight="1">
      <c r="A5033" s="4"/>
      <c r="B5033" s="125">
        <v>46203</v>
      </c>
      <c r="C5033" s="126" t="s">
        <v>2837</v>
      </c>
      <c r="D5033" s="15" t="s">
        <v>285</v>
      </c>
      <c r="E5033" s="10" t="str">
        <f>TRIM(VLOOKUP(D5033,TB!$B$9:$C$1500,2,FALSE))</f>
        <v>Misc Cash Purchase</v>
      </c>
      <c r="F5033" s="142" t="s">
        <v>2839</v>
      </c>
      <c r="G5033" s="130"/>
      <c r="H5033" s="10"/>
      <c r="I5033" s="10">
        <v>1318197</v>
      </c>
      <c r="J5033" s="79" t="e">
        <f t="shared" si="327"/>
        <v>#VALUE!</v>
      </c>
      <c r="K5033" s="106"/>
      <c r="L5033" s="141"/>
      <c r="M5033" s="132"/>
      <c r="N5033" s="133"/>
      <c r="O5033" s="4"/>
      <c r="P5033" s="4"/>
      <c r="Q5033" s="4"/>
      <c r="R5033" s="4"/>
      <c r="S5033" s="4"/>
      <c r="T5033" s="4"/>
      <c r="U5033" s="4"/>
      <c r="V5033" s="4"/>
      <c r="W5033" s="4"/>
      <c r="X5033" s="4"/>
    </row>
    <row r="5034" spans="1:24" ht="14.25" customHeight="1">
      <c r="A5034" s="4"/>
      <c r="B5034" s="125"/>
      <c r="C5034" s="126"/>
      <c r="D5034" s="15"/>
      <c r="E5034" s="10" t="e">
        <f>TRIM(VLOOKUP(D5034,TB!$B$9:$C$1500,2,FALSE))</f>
        <v>#N/A</v>
      </c>
      <c r="F5034" s="142"/>
      <c r="G5034" s="130"/>
      <c r="H5034" s="10"/>
      <c r="I5034" s="10"/>
      <c r="J5034" s="79" t="e">
        <f t="shared" si="327"/>
        <v>#VALUE!</v>
      </c>
      <c r="K5034" s="106"/>
      <c r="L5034" s="141"/>
      <c r="M5034" s="132"/>
      <c r="N5034" s="133"/>
      <c r="O5034" s="4"/>
      <c r="P5034" s="4"/>
      <c r="Q5034" s="4"/>
      <c r="R5034" s="4"/>
      <c r="S5034" s="4"/>
      <c r="T5034" s="4"/>
      <c r="U5034" s="4"/>
      <c r="V5034" s="4"/>
      <c r="W5034" s="4"/>
      <c r="X5034" s="4"/>
    </row>
    <row r="5035" spans="1:24" ht="14.25" customHeight="1">
      <c r="A5035" s="4"/>
      <c r="B5035" s="125">
        <v>46177</v>
      </c>
      <c r="C5035" s="126" t="s">
        <v>2840</v>
      </c>
      <c r="D5035" s="15" t="s">
        <v>2581</v>
      </c>
      <c r="E5035" s="10" t="str">
        <f>TRIM(VLOOKUP(D5035,TB!$B$9:$C$1500,2,FALSE))</f>
        <v>Belvedere</v>
      </c>
      <c r="F5035" s="142" t="s">
        <v>2841</v>
      </c>
      <c r="G5035" s="130">
        <v>6</v>
      </c>
      <c r="H5035" s="10">
        <v>3600000</v>
      </c>
      <c r="I5035" s="10"/>
      <c r="J5035" s="79" t="e">
        <f t="shared" si="327"/>
        <v>#VALUE!</v>
      </c>
      <c r="K5035" s="106">
        <f t="shared" ref="K5035:K5037" si="340">H5035/G5035</f>
        <v>600000</v>
      </c>
      <c r="L5035" s="141"/>
      <c r="M5035" s="132"/>
      <c r="N5035" s="133"/>
      <c r="O5035" s="4"/>
      <c r="P5035" s="4"/>
      <c r="Q5035" s="4"/>
      <c r="R5035" s="4"/>
      <c r="S5035" s="4"/>
      <c r="T5035" s="4"/>
      <c r="U5035" s="4"/>
      <c r="V5035" s="4"/>
      <c r="W5035" s="4"/>
      <c r="X5035" s="4"/>
    </row>
    <row r="5036" spans="1:24" ht="14.25" customHeight="1">
      <c r="A5036" s="4"/>
      <c r="B5036" s="125">
        <v>46177</v>
      </c>
      <c r="C5036" s="126" t="s">
        <v>2840</v>
      </c>
      <c r="D5036" s="15" t="s">
        <v>2842</v>
      </c>
      <c r="E5036" s="10" t="str">
        <f>TRIM(VLOOKUP(D5036,TB!$B$9:$C$1500,2,FALSE))</f>
        <v>Hendricks Gin</v>
      </c>
      <c r="F5036" s="142" t="s">
        <v>2843</v>
      </c>
      <c r="G5036" s="130">
        <v>4</v>
      </c>
      <c r="H5036" s="10">
        <v>2350000</v>
      </c>
      <c r="I5036" s="10"/>
      <c r="J5036" s="79" t="e">
        <f t="shared" si="327"/>
        <v>#VALUE!</v>
      </c>
      <c r="K5036" s="106">
        <f t="shared" si="340"/>
        <v>587500</v>
      </c>
      <c r="L5036" s="141"/>
      <c r="M5036" s="132"/>
      <c r="N5036" s="133"/>
      <c r="O5036" s="4"/>
      <c r="P5036" s="4"/>
      <c r="Q5036" s="4"/>
      <c r="R5036" s="4"/>
      <c r="S5036" s="4"/>
      <c r="T5036" s="4"/>
      <c r="U5036" s="4"/>
      <c r="V5036" s="4"/>
      <c r="W5036" s="4"/>
      <c r="X5036" s="4"/>
    </row>
    <row r="5037" spans="1:24" ht="14.25" customHeight="1">
      <c r="A5037" s="4"/>
      <c r="B5037" s="125">
        <v>46177</v>
      </c>
      <c r="C5037" s="126" t="s">
        <v>2840</v>
      </c>
      <c r="D5037" s="15" t="s">
        <v>2844</v>
      </c>
      <c r="E5037" s="10" t="str">
        <f>TRIM(VLOOKUP(D5037,TB!$B$9:$C$1500,2,FALSE))</f>
        <v>Tanguray</v>
      </c>
      <c r="F5037" s="142" t="s">
        <v>2845</v>
      </c>
      <c r="G5037" s="130">
        <v>2</v>
      </c>
      <c r="H5037" s="10">
        <v>743333</v>
      </c>
      <c r="I5037" s="10"/>
      <c r="J5037" s="79" t="e">
        <f t="shared" si="327"/>
        <v>#VALUE!</v>
      </c>
      <c r="K5037" s="106">
        <f t="shared" si="340"/>
        <v>371666.5</v>
      </c>
      <c r="L5037" s="141"/>
      <c r="M5037" s="132"/>
      <c r="N5037" s="133"/>
      <c r="O5037" s="4"/>
      <c r="P5037" s="4"/>
      <c r="Q5037" s="4"/>
      <c r="R5037" s="4"/>
      <c r="S5037" s="4"/>
      <c r="T5037" s="4"/>
      <c r="U5037" s="4"/>
      <c r="V5037" s="4"/>
      <c r="W5037" s="4"/>
      <c r="X5037" s="4"/>
    </row>
    <row r="5038" spans="1:24" ht="14.25" customHeight="1">
      <c r="A5038" s="4"/>
      <c r="B5038" s="125">
        <v>46177</v>
      </c>
      <c r="C5038" s="126" t="s">
        <v>2840</v>
      </c>
      <c r="D5038" s="15" t="s">
        <v>2846</v>
      </c>
      <c r="E5038" s="10" t="str">
        <f>TRIM(VLOOKUP(D5038,TB!$B$9:$C$1500,2,FALSE))</f>
        <v>Jim Beam</v>
      </c>
      <c r="F5038" s="142" t="s">
        <v>2847</v>
      </c>
      <c r="G5038" s="130">
        <v>4</v>
      </c>
      <c r="H5038" s="10">
        <v>1363336</v>
      </c>
      <c r="I5038" s="10"/>
      <c r="J5038" s="79" t="e">
        <f t="shared" si="327"/>
        <v>#VALUE!</v>
      </c>
      <c r="K5038" s="106"/>
      <c r="L5038" s="141"/>
      <c r="M5038" s="132"/>
      <c r="N5038" s="133"/>
      <c r="O5038" s="4"/>
      <c r="P5038" s="4"/>
      <c r="Q5038" s="4"/>
      <c r="R5038" s="4"/>
      <c r="S5038" s="4"/>
      <c r="T5038" s="4"/>
      <c r="U5038" s="4"/>
      <c r="V5038" s="4"/>
      <c r="W5038" s="4"/>
      <c r="X5038" s="4"/>
    </row>
    <row r="5039" spans="1:24" ht="14.25" customHeight="1">
      <c r="A5039" s="4"/>
      <c r="B5039" s="125">
        <v>46177</v>
      </c>
      <c r="C5039" s="126" t="s">
        <v>2840</v>
      </c>
      <c r="D5039" s="15" t="s">
        <v>2848</v>
      </c>
      <c r="E5039" s="10" t="str">
        <f>TRIM(VLOOKUP(D5039,TB!$B$9:$C$1500,2,FALSE))</f>
        <v>Aperol</v>
      </c>
      <c r="F5039" s="142" t="s">
        <v>2849</v>
      </c>
      <c r="G5039" s="130">
        <v>3</v>
      </c>
      <c r="H5039" s="10">
        <v>1130001</v>
      </c>
      <c r="I5039" s="10"/>
      <c r="J5039" s="79" t="e">
        <f t="shared" si="327"/>
        <v>#VALUE!</v>
      </c>
      <c r="K5039" s="106"/>
      <c r="L5039" s="141"/>
      <c r="M5039" s="132"/>
      <c r="N5039" s="133"/>
      <c r="O5039" s="4"/>
      <c r="P5039" s="4"/>
      <c r="Q5039" s="4"/>
      <c r="R5039" s="4"/>
      <c r="S5039" s="4"/>
      <c r="T5039" s="4"/>
      <c r="U5039" s="4"/>
      <c r="V5039" s="4"/>
      <c r="W5039" s="4"/>
      <c r="X5039" s="4"/>
    </row>
    <row r="5040" spans="1:24" ht="14.25" customHeight="1">
      <c r="A5040" s="4"/>
      <c r="B5040" s="125">
        <v>46177</v>
      </c>
      <c r="C5040" s="126" t="s">
        <v>2840</v>
      </c>
      <c r="D5040" s="15" t="s">
        <v>2850</v>
      </c>
      <c r="E5040" s="10" t="str">
        <f>TRIM(VLOOKUP(D5040,TB!$B$9:$C$1500,2,FALSE))</f>
        <v>Amareco Disaronno/Amerto</v>
      </c>
      <c r="F5040" s="142" t="s">
        <v>2851</v>
      </c>
      <c r="G5040" s="130">
        <v>2</v>
      </c>
      <c r="H5040" s="10">
        <v>983334</v>
      </c>
      <c r="I5040" s="10"/>
      <c r="J5040" s="79" t="e">
        <f t="shared" si="327"/>
        <v>#VALUE!</v>
      </c>
      <c r="K5040" s="106"/>
      <c r="L5040" s="141"/>
      <c r="M5040" s="132"/>
      <c r="N5040" s="133"/>
      <c r="O5040" s="4"/>
      <c r="P5040" s="4"/>
      <c r="Q5040" s="4"/>
      <c r="R5040" s="4"/>
      <c r="S5040" s="4"/>
      <c r="T5040" s="4"/>
      <c r="U5040" s="4"/>
      <c r="V5040" s="4"/>
      <c r="W5040" s="4"/>
      <c r="X5040" s="4"/>
    </row>
    <row r="5041" spans="1:24" ht="14.25" customHeight="1">
      <c r="A5041" s="4"/>
      <c r="B5041" s="125">
        <v>46177</v>
      </c>
      <c r="C5041" s="126" t="s">
        <v>2840</v>
      </c>
      <c r="D5041" s="15" t="s">
        <v>2852</v>
      </c>
      <c r="E5041" s="10" t="str">
        <f>TRIM(VLOOKUP(D5041,TB!$B$9:$C$1500,2,FALSE))</f>
        <v>Maccallan 12 Yo</v>
      </c>
      <c r="F5041" s="142" t="s">
        <v>2853</v>
      </c>
      <c r="G5041" s="130">
        <v>1</v>
      </c>
      <c r="H5041" s="10">
        <v>1675000</v>
      </c>
      <c r="I5041" s="10"/>
      <c r="J5041" s="79" t="e">
        <f t="shared" si="327"/>
        <v>#VALUE!</v>
      </c>
      <c r="K5041" s="106"/>
      <c r="L5041" s="141"/>
      <c r="M5041" s="132"/>
      <c r="N5041" s="133"/>
      <c r="O5041" s="4"/>
      <c r="P5041" s="4"/>
      <c r="Q5041" s="4"/>
      <c r="R5041" s="4"/>
      <c r="S5041" s="4"/>
      <c r="T5041" s="4"/>
      <c r="U5041" s="4"/>
      <c r="V5041" s="4"/>
      <c r="W5041" s="4"/>
      <c r="X5041" s="4"/>
    </row>
    <row r="5042" spans="1:24" ht="14.25" customHeight="1">
      <c r="A5042" s="4"/>
      <c r="B5042" s="125">
        <v>46177</v>
      </c>
      <c r="C5042" s="126" t="s">
        <v>2840</v>
      </c>
      <c r="D5042" s="15" t="s">
        <v>2854</v>
      </c>
      <c r="E5042" s="10" t="str">
        <f>TRIM(VLOOKUP(D5042,TB!$B$9:$C$1500,2,FALSE))</f>
        <v>Singleton 12Yo Glen Ord</v>
      </c>
      <c r="F5042" s="142" t="s">
        <v>2855</v>
      </c>
      <c r="G5042" s="130">
        <v>2</v>
      </c>
      <c r="H5042" s="10">
        <v>1150000</v>
      </c>
      <c r="I5042" s="10"/>
      <c r="J5042" s="79" t="e">
        <f t="shared" si="327"/>
        <v>#VALUE!</v>
      </c>
      <c r="K5042" s="106"/>
      <c r="L5042" s="141"/>
      <c r="M5042" s="132"/>
      <c r="N5042" s="133"/>
      <c r="O5042" s="4"/>
      <c r="P5042" s="4"/>
      <c r="Q5042" s="4"/>
      <c r="R5042" s="4"/>
      <c r="S5042" s="4"/>
      <c r="T5042" s="4"/>
      <c r="U5042" s="4"/>
      <c r="V5042" s="4"/>
      <c r="W5042" s="4"/>
      <c r="X5042" s="4"/>
    </row>
    <row r="5043" spans="1:24" ht="14.25" customHeight="1">
      <c r="A5043" s="4"/>
      <c r="B5043" s="125">
        <v>46177</v>
      </c>
      <c r="C5043" s="126" t="s">
        <v>2840</v>
      </c>
      <c r="D5043" s="15" t="s">
        <v>285</v>
      </c>
      <c r="E5043" s="10" t="str">
        <f>TRIM(VLOOKUP(D5043,TB!$B$9:$C$1500,2,FALSE))</f>
        <v>Misc Cash Purchase</v>
      </c>
      <c r="F5043" s="142" t="s">
        <v>2856</v>
      </c>
      <c r="G5043" s="130"/>
      <c r="H5043" s="10"/>
      <c r="I5043" s="10">
        <v>12995005</v>
      </c>
      <c r="J5043" s="79" t="e">
        <f t="shared" si="327"/>
        <v>#VALUE!</v>
      </c>
      <c r="K5043" s="106"/>
      <c r="L5043" s="141"/>
      <c r="M5043" s="132"/>
      <c r="N5043" s="133"/>
      <c r="O5043" s="4"/>
      <c r="P5043" s="4"/>
      <c r="Q5043" s="4"/>
      <c r="R5043" s="4"/>
      <c r="S5043" s="4"/>
      <c r="T5043" s="4"/>
      <c r="U5043" s="4"/>
      <c r="V5043" s="4"/>
      <c r="W5043" s="4"/>
      <c r="X5043" s="4"/>
    </row>
    <row r="5044" spans="1:24" ht="14.25" customHeight="1">
      <c r="A5044" s="4"/>
      <c r="B5044" s="125"/>
      <c r="C5044" s="126"/>
      <c r="D5044" s="68"/>
      <c r="E5044" s="10" t="e">
        <f>TRIM(VLOOKUP(D5044,TB!$B$9:$C$1500,2,FALSE))</f>
        <v>#N/A</v>
      </c>
      <c r="F5044" s="142"/>
      <c r="G5044" s="130"/>
      <c r="H5044" s="10"/>
      <c r="I5044" s="10"/>
      <c r="J5044" s="79" t="e">
        <f t="shared" si="327"/>
        <v>#VALUE!</v>
      </c>
      <c r="K5044" s="106"/>
      <c r="L5044" s="141"/>
      <c r="M5044" s="132"/>
      <c r="N5044" s="133"/>
      <c r="O5044" s="4"/>
      <c r="P5044" s="4"/>
      <c r="Q5044" s="4"/>
      <c r="R5044" s="4"/>
      <c r="S5044" s="4"/>
      <c r="T5044" s="4"/>
      <c r="U5044" s="4"/>
      <c r="V5044" s="4"/>
      <c r="W5044" s="4"/>
      <c r="X5044" s="4"/>
    </row>
    <row r="5045" spans="1:24" ht="14.25" customHeight="1">
      <c r="A5045" s="4"/>
      <c r="B5045" s="125">
        <v>46176</v>
      </c>
      <c r="C5045" s="126" t="s">
        <v>2857</v>
      </c>
      <c r="D5045" s="15" t="s">
        <v>2858</v>
      </c>
      <c r="E5045" s="10" t="str">
        <f>TRIM(VLOOKUP(D5045,TB!$B$9:$C$1500,2,FALSE))</f>
        <v>Grey Goose Vodka</v>
      </c>
      <c r="F5045" s="142" t="s">
        <v>2859</v>
      </c>
      <c r="G5045" s="130">
        <v>24</v>
      </c>
      <c r="H5045" s="10">
        <v>13560000</v>
      </c>
      <c r="I5045" s="10"/>
      <c r="J5045" s="79" t="e">
        <f t="shared" si="327"/>
        <v>#VALUE!</v>
      </c>
      <c r="K5045" s="106">
        <f>H5045/G5045</f>
        <v>565000</v>
      </c>
      <c r="L5045" s="141"/>
      <c r="M5045" s="132"/>
      <c r="N5045" s="133"/>
      <c r="O5045" s="4"/>
      <c r="P5045" s="4"/>
      <c r="Q5045" s="4"/>
      <c r="R5045" s="4"/>
      <c r="S5045" s="4"/>
      <c r="T5045" s="4"/>
      <c r="U5045" s="4"/>
      <c r="V5045" s="4"/>
      <c r="W5045" s="4"/>
      <c r="X5045" s="4"/>
    </row>
    <row r="5046" spans="1:24" ht="14.25" customHeight="1">
      <c r="A5046" s="4"/>
      <c r="B5046" s="125">
        <v>46176</v>
      </c>
      <c r="C5046" s="126" t="s">
        <v>2857</v>
      </c>
      <c r="D5046" s="15" t="s">
        <v>285</v>
      </c>
      <c r="E5046" s="10" t="str">
        <f>TRIM(VLOOKUP(D5046,TB!$B$9:$C$1500,2,FALSE))</f>
        <v>Misc Cash Purchase</v>
      </c>
      <c r="F5046" s="142" t="s">
        <v>2860</v>
      </c>
      <c r="G5046" s="130"/>
      <c r="H5046" s="10"/>
      <c r="I5046" s="10">
        <v>13560000</v>
      </c>
      <c r="J5046" s="79" t="e">
        <f t="shared" si="327"/>
        <v>#VALUE!</v>
      </c>
      <c r="K5046" s="106"/>
      <c r="L5046" s="141"/>
      <c r="M5046" s="132"/>
      <c r="N5046" s="133"/>
      <c r="O5046" s="4"/>
      <c r="P5046" s="4"/>
      <c r="Q5046" s="4"/>
      <c r="R5046" s="4"/>
      <c r="S5046" s="4"/>
      <c r="T5046" s="4"/>
      <c r="U5046" s="4"/>
      <c r="V5046" s="4"/>
      <c r="W5046" s="4"/>
      <c r="X5046" s="4"/>
    </row>
    <row r="5047" spans="1:24" ht="14.25" customHeight="1">
      <c r="A5047" s="4"/>
      <c r="B5047" s="125"/>
      <c r="C5047" s="126"/>
      <c r="D5047" s="68"/>
      <c r="E5047" s="10" t="e">
        <f>TRIM(VLOOKUP(D5047,TB!$B$9:$C$1500,2,FALSE))</f>
        <v>#N/A</v>
      </c>
      <c r="F5047" s="142"/>
      <c r="G5047" s="130"/>
      <c r="H5047" s="10"/>
      <c r="I5047" s="10"/>
      <c r="J5047" s="79" t="e">
        <f t="shared" si="327"/>
        <v>#VALUE!</v>
      </c>
      <c r="K5047" s="106"/>
      <c r="L5047" s="141"/>
      <c r="M5047" s="132"/>
      <c r="N5047" s="133"/>
      <c r="O5047" s="4"/>
      <c r="P5047" s="4"/>
      <c r="Q5047" s="4"/>
      <c r="R5047" s="4"/>
      <c r="S5047" s="4"/>
      <c r="T5047" s="4"/>
      <c r="U5047" s="4"/>
      <c r="V5047" s="4"/>
      <c r="W5047" s="4"/>
      <c r="X5047" s="4"/>
    </row>
    <row r="5048" spans="1:24" ht="14.25" customHeight="1">
      <c r="A5048" s="4"/>
      <c r="B5048" s="125">
        <v>46183</v>
      </c>
      <c r="C5048" s="126" t="s">
        <v>2861</v>
      </c>
      <c r="D5048" s="15" t="s">
        <v>2858</v>
      </c>
      <c r="E5048" s="10" t="str">
        <f>TRIM(VLOOKUP(D5048,TB!$B$9:$C$1500,2,FALSE))</f>
        <v>Grey Goose Vodka</v>
      </c>
      <c r="F5048" s="142" t="s">
        <v>2862</v>
      </c>
      <c r="G5048" s="130">
        <v>12</v>
      </c>
      <c r="H5048" s="10">
        <v>6780000</v>
      </c>
      <c r="I5048" s="10"/>
      <c r="J5048" s="79" t="e">
        <f t="shared" si="327"/>
        <v>#VALUE!</v>
      </c>
      <c r="K5048" s="106">
        <f>H5048/G5048</f>
        <v>565000</v>
      </c>
      <c r="L5048" s="141"/>
      <c r="M5048" s="132"/>
      <c r="N5048" s="133"/>
      <c r="O5048" s="4"/>
      <c r="P5048" s="4"/>
      <c r="Q5048" s="4"/>
      <c r="R5048" s="4"/>
      <c r="S5048" s="4"/>
      <c r="T5048" s="4"/>
      <c r="U5048" s="4"/>
      <c r="V5048" s="4"/>
      <c r="W5048" s="4"/>
      <c r="X5048" s="4"/>
    </row>
    <row r="5049" spans="1:24" ht="14.25" customHeight="1">
      <c r="A5049" s="4"/>
      <c r="B5049" s="125">
        <v>46183</v>
      </c>
      <c r="C5049" s="126" t="s">
        <v>2861</v>
      </c>
      <c r="D5049" s="15" t="s">
        <v>2741</v>
      </c>
      <c r="E5049" s="10" t="str">
        <f>TRIM(VLOOKUP(D5049,TB!$B$9:$C$1500,2,FALSE))</f>
        <v>Absolute Blue Vodka</v>
      </c>
      <c r="F5049" s="142" t="s">
        <v>2863</v>
      </c>
      <c r="G5049" s="130">
        <v>5</v>
      </c>
      <c r="H5049" s="10">
        <v>1500000</v>
      </c>
      <c r="I5049" s="10"/>
      <c r="J5049" s="79" t="e">
        <f t="shared" si="327"/>
        <v>#VALUE!</v>
      </c>
      <c r="K5049" s="106"/>
      <c r="L5049" s="141"/>
      <c r="M5049" s="132"/>
      <c r="N5049" s="133"/>
      <c r="O5049" s="4"/>
      <c r="P5049" s="4"/>
      <c r="Q5049" s="4"/>
      <c r="R5049" s="4"/>
      <c r="S5049" s="4"/>
      <c r="T5049" s="4"/>
      <c r="U5049" s="4"/>
      <c r="V5049" s="4"/>
      <c r="W5049" s="4"/>
      <c r="X5049" s="4"/>
    </row>
    <row r="5050" spans="1:24" ht="14.25" customHeight="1">
      <c r="A5050" s="4"/>
      <c r="B5050" s="125">
        <v>46183</v>
      </c>
      <c r="C5050" s="126" t="s">
        <v>2861</v>
      </c>
      <c r="D5050" s="15" t="s">
        <v>2842</v>
      </c>
      <c r="E5050" s="10" t="str">
        <f>TRIM(VLOOKUP(D5050,TB!$B$9:$C$1500,2,FALSE))</f>
        <v>Hendricks Gin</v>
      </c>
      <c r="F5050" s="142" t="s">
        <v>2864</v>
      </c>
      <c r="G5050" s="130">
        <v>6</v>
      </c>
      <c r="H5050" s="10">
        <v>3525000</v>
      </c>
      <c r="I5050" s="10"/>
      <c r="J5050" s="79" t="e">
        <f t="shared" si="327"/>
        <v>#VALUE!</v>
      </c>
      <c r="K5050" s="106">
        <f>H5050/G5050</f>
        <v>587500</v>
      </c>
      <c r="L5050" s="141"/>
      <c r="M5050" s="132"/>
      <c r="N5050" s="133"/>
      <c r="O5050" s="4"/>
      <c r="P5050" s="4"/>
      <c r="Q5050" s="4"/>
      <c r="R5050" s="4"/>
      <c r="S5050" s="4"/>
      <c r="T5050" s="4"/>
      <c r="U5050" s="4"/>
      <c r="V5050" s="4"/>
      <c r="W5050" s="4"/>
      <c r="X5050" s="4"/>
    </row>
    <row r="5051" spans="1:24" ht="14.25" customHeight="1">
      <c r="A5051" s="4"/>
      <c r="B5051" s="125">
        <v>46183</v>
      </c>
      <c r="C5051" s="126" t="s">
        <v>2861</v>
      </c>
      <c r="D5051" s="15" t="s">
        <v>2865</v>
      </c>
      <c r="E5051" s="10" t="str">
        <f>TRIM(VLOOKUP(D5051,TB!$B$9:$C$1500,2,FALSE))</f>
        <v>Jack Daniel</v>
      </c>
      <c r="F5051" s="142" t="s">
        <v>2866</v>
      </c>
      <c r="G5051" s="130">
        <v>5</v>
      </c>
      <c r="H5051" s="10">
        <v>2390000</v>
      </c>
      <c r="I5051" s="10"/>
      <c r="J5051" s="79" t="e">
        <f t="shared" si="327"/>
        <v>#VALUE!</v>
      </c>
      <c r="K5051" s="106"/>
      <c r="L5051" s="141"/>
      <c r="M5051" s="132"/>
      <c r="N5051" s="133"/>
      <c r="O5051" s="4"/>
      <c r="P5051" s="4"/>
      <c r="Q5051" s="4"/>
      <c r="R5051" s="4"/>
      <c r="S5051" s="4"/>
      <c r="T5051" s="4"/>
      <c r="U5051" s="4"/>
      <c r="V5051" s="4"/>
      <c r="W5051" s="4"/>
      <c r="X5051" s="4"/>
    </row>
    <row r="5052" spans="1:24" ht="14.25" customHeight="1">
      <c r="A5052" s="4"/>
      <c r="B5052" s="125">
        <v>46183</v>
      </c>
      <c r="C5052" s="126" t="s">
        <v>2861</v>
      </c>
      <c r="D5052" s="15" t="s">
        <v>2846</v>
      </c>
      <c r="E5052" s="10" t="str">
        <f>TRIM(VLOOKUP(D5052,TB!$B$9:$C$1500,2,FALSE))</f>
        <v>Jim Beam</v>
      </c>
      <c r="F5052" s="142" t="s">
        <v>2867</v>
      </c>
      <c r="G5052" s="130">
        <v>3</v>
      </c>
      <c r="H5052" s="10">
        <v>1022502</v>
      </c>
      <c r="I5052" s="10"/>
      <c r="J5052" s="79" t="e">
        <f t="shared" si="327"/>
        <v>#VALUE!</v>
      </c>
      <c r="K5052" s="106"/>
      <c r="L5052" s="141"/>
      <c r="M5052" s="132"/>
      <c r="N5052" s="133"/>
      <c r="O5052" s="4"/>
      <c r="P5052" s="4"/>
      <c r="Q5052" s="4"/>
      <c r="R5052" s="4"/>
      <c r="S5052" s="4"/>
      <c r="T5052" s="4"/>
      <c r="U5052" s="4"/>
      <c r="V5052" s="4"/>
      <c r="W5052" s="4"/>
      <c r="X5052" s="4"/>
    </row>
    <row r="5053" spans="1:24" ht="14.25" customHeight="1">
      <c r="A5053" s="4"/>
      <c r="B5053" s="125">
        <v>46183</v>
      </c>
      <c r="C5053" s="126" t="s">
        <v>2861</v>
      </c>
      <c r="D5053" s="15" t="s">
        <v>2561</v>
      </c>
      <c r="E5053" s="10" t="str">
        <f>TRIM(VLOOKUP(D5053,TB!$B$9:$C$1500,2,FALSE))</f>
        <v>Jagermeister</v>
      </c>
      <c r="F5053" s="142" t="s">
        <v>2868</v>
      </c>
      <c r="G5053" s="130">
        <v>4</v>
      </c>
      <c r="H5053" s="10">
        <v>1420000</v>
      </c>
      <c r="I5053" s="10"/>
      <c r="J5053" s="79" t="e">
        <f t="shared" si="327"/>
        <v>#VALUE!</v>
      </c>
      <c r="K5053" s="106"/>
      <c r="L5053" s="141"/>
      <c r="M5053" s="132"/>
      <c r="N5053" s="133"/>
      <c r="O5053" s="4"/>
      <c r="P5053" s="4"/>
      <c r="Q5053" s="4"/>
      <c r="R5053" s="4"/>
      <c r="S5053" s="4"/>
      <c r="T5053" s="4"/>
      <c r="U5053" s="4"/>
      <c r="V5053" s="4"/>
      <c r="W5053" s="4"/>
      <c r="X5053" s="4"/>
    </row>
    <row r="5054" spans="1:24" ht="14.25" customHeight="1">
      <c r="A5054" s="4"/>
      <c r="B5054" s="125">
        <v>46183</v>
      </c>
      <c r="C5054" s="126" t="s">
        <v>2861</v>
      </c>
      <c r="D5054" s="15" t="s">
        <v>2722</v>
      </c>
      <c r="E5054" s="10" t="str">
        <f>TRIM(VLOOKUP(D5054,TB!$B$9:$C$1500,2,FALSE))</f>
        <v>Ballantines Finest</v>
      </c>
      <c r="F5054" s="142" t="s">
        <v>2869</v>
      </c>
      <c r="G5054" s="130">
        <v>6</v>
      </c>
      <c r="H5054" s="10">
        <v>2550000</v>
      </c>
      <c r="I5054" s="10"/>
      <c r="J5054" s="79" t="e">
        <f t="shared" si="327"/>
        <v>#VALUE!</v>
      </c>
      <c r="K5054" s="106"/>
      <c r="L5054" s="141"/>
      <c r="M5054" s="132"/>
      <c r="N5054" s="133"/>
      <c r="O5054" s="4"/>
      <c r="P5054" s="4"/>
      <c r="Q5054" s="4"/>
      <c r="R5054" s="4"/>
      <c r="S5054" s="4"/>
      <c r="T5054" s="4"/>
      <c r="U5054" s="4"/>
      <c r="V5054" s="4"/>
      <c r="W5054" s="4"/>
      <c r="X5054" s="4"/>
    </row>
    <row r="5055" spans="1:24" ht="14.25" customHeight="1">
      <c r="A5055" s="4"/>
      <c r="B5055" s="125">
        <v>46183</v>
      </c>
      <c r="C5055" s="126" t="s">
        <v>2861</v>
      </c>
      <c r="D5055" s="15" t="s">
        <v>2870</v>
      </c>
      <c r="E5055" s="10" t="str">
        <f>TRIM(VLOOKUP(D5055,TB!$B$9:$C$1500,2,FALSE))</f>
        <v>Singleton 15Yo Glen Ord</v>
      </c>
      <c r="F5055" s="142" t="s">
        <v>2871</v>
      </c>
      <c r="G5055" s="130">
        <v>2</v>
      </c>
      <c r="H5055" s="10">
        <v>2500000</v>
      </c>
      <c r="I5055" s="10"/>
      <c r="J5055" s="79" t="e">
        <f t="shared" si="327"/>
        <v>#VALUE!</v>
      </c>
      <c r="K5055" s="106"/>
      <c r="L5055" s="141"/>
      <c r="M5055" s="132"/>
      <c r="N5055" s="133"/>
      <c r="O5055" s="4"/>
      <c r="P5055" s="4"/>
      <c r="Q5055" s="4"/>
      <c r="R5055" s="4"/>
      <c r="S5055" s="4"/>
      <c r="T5055" s="4"/>
      <c r="U5055" s="4"/>
      <c r="V5055" s="4"/>
      <c r="W5055" s="4"/>
      <c r="X5055" s="4"/>
    </row>
    <row r="5056" spans="1:24" ht="14.25" customHeight="1">
      <c r="A5056" s="4"/>
      <c r="B5056" s="125">
        <v>46183</v>
      </c>
      <c r="C5056" s="126" t="s">
        <v>2861</v>
      </c>
      <c r="D5056" s="15" t="s">
        <v>285</v>
      </c>
      <c r="E5056" s="10" t="str">
        <f>TRIM(VLOOKUP(D5056,TB!$B$9:$C$1500,2,FALSE))</f>
        <v>Misc Cash Purchase</v>
      </c>
      <c r="F5056" s="142" t="s">
        <v>2872</v>
      </c>
      <c r="G5056" s="130"/>
      <c r="H5056" s="10"/>
      <c r="I5056" s="10">
        <v>21687502</v>
      </c>
      <c r="J5056" s="79" t="e">
        <f t="shared" si="327"/>
        <v>#VALUE!</v>
      </c>
      <c r="K5056" s="106"/>
      <c r="L5056" s="141"/>
      <c r="M5056" s="132"/>
      <c r="N5056" s="133"/>
      <c r="O5056" s="4"/>
      <c r="P5056" s="4"/>
      <c r="Q5056" s="4"/>
      <c r="R5056" s="4"/>
      <c r="S5056" s="4"/>
      <c r="T5056" s="4"/>
      <c r="U5056" s="4"/>
      <c r="V5056" s="4"/>
      <c r="W5056" s="4"/>
      <c r="X5056" s="4"/>
    </row>
    <row r="5057" spans="1:24" ht="14.25" customHeight="1">
      <c r="A5057" s="4"/>
      <c r="B5057" s="125"/>
      <c r="C5057" s="126"/>
      <c r="D5057" s="68"/>
      <c r="E5057" s="10" t="e">
        <f>TRIM(VLOOKUP(D5057,TB!$B$9:$C$1500,2,FALSE))</f>
        <v>#N/A</v>
      </c>
      <c r="F5057" s="142"/>
      <c r="G5057" s="130"/>
      <c r="H5057" s="10"/>
      <c r="I5057" s="10"/>
      <c r="J5057" s="79" t="e">
        <f t="shared" si="327"/>
        <v>#VALUE!</v>
      </c>
      <c r="K5057" s="106"/>
      <c r="L5057" s="141"/>
      <c r="M5057" s="132"/>
      <c r="N5057" s="133"/>
      <c r="O5057" s="4"/>
      <c r="P5057" s="4"/>
      <c r="Q5057" s="4"/>
      <c r="R5057" s="4"/>
      <c r="S5057" s="4"/>
      <c r="T5057" s="4"/>
      <c r="U5057" s="4"/>
      <c r="V5057" s="4"/>
      <c r="W5057" s="4"/>
      <c r="X5057" s="4"/>
    </row>
    <row r="5058" spans="1:24" ht="14.25" customHeight="1">
      <c r="A5058" s="4"/>
      <c r="B5058" s="125">
        <v>46176</v>
      </c>
      <c r="C5058" s="126" t="s">
        <v>2873</v>
      </c>
      <c r="D5058" s="15" t="s">
        <v>2813</v>
      </c>
      <c r="E5058" s="10" t="str">
        <f>TRIM(VLOOKUP(D5058,TB!$B$9:$C$1500,2,FALSE))</f>
        <v>Udang/Prawn 25"</v>
      </c>
      <c r="F5058" s="142" t="s">
        <v>2874</v>
      </c>
      <c r="G5058" s="130">
        <v>7</v>
      </c>
      <c r="H5058" s="10">
        <f>165000*7</f>
        <v>1155000</v>
      </c>
      <c r="I5058" s="10"/>
      <c r="J5058" s="79" t="e">
        <f t="shared" si="327"/>
        <v>#VALUE!</v>
      </c>
      <c r="K5058" s="106">
        <f>H5058/G5058</f>
        <v>165000</v>
      </c>
      <c r="L5058" s="141"/>
      <c r="M5058" s="132"/>
      <c r="N5058" s="133"/>
      <c r="O5058" s="4"/>
      <c r="P5058" s="4"/>
      <c r="Q5058" s="4"/>
      <c r="R5058" s="4"/>
      <c r="S5058" s="4"/>
      <c r="T5058" s="4"/>
      <c r="U5058" s="4"/>
      <c r="V5058" s="4"/>
      <c r="W5058" s="4"/>
      <c r="X5058" s="4"/>
    </row>
    <row r="5059" spans="1:24" ht="14.25" customHeight="1">
      <c r="A5059" s="4"/>
      <c r="B5059" s="125">
        <v>46176</v>
      </c>
      <c r="C5059" s="126" t="s">
        <v>2873</v>
      </c>
      <c r="D5059" s="15" t="s">
        <v>285</v>
      </c>
      <c r="E5059" s="10" t="str">
        <f>TRIM(VLOOKUP(D5059,TB!$B$9:$C$1500,2,FALSE))</f>
        <v>Misc Cash Purchase</v>
      </c>
      <c r="F5059" s="142" t="s">
        <v>2875</v>
      </c>
      <c r="G5059" s="130"/>
      <c r="H5059" s="10"/>
      <c r="I5059" s="10">
        <f>165000*7</f>
        <v>1155000</v>
      </c>
      <c r="J5059" s="79" t="e">
        <f t="shared" si="327"/>
        <v>#VALUE!</v>
      </c>
      <c r="K5059" s="106"/>
      <c r="L5059" s="141"/>
      <c r="M5059" s="132"/>
      <c r="N5059" s="133"/>
      <c r="O5059" s="4"/>
      <c r="P5059" s="4"/>
      <c r="Q5059" s="4"/>
      <c r="R5059" s="4"/>
      <c r="S5059" s="4"/>
      <c r="T5059" s="4"/>
      <c r="U5059" s="4"/>
      <c r="V5059" s="4"/>
      <c r="W5059" s="4"/>
      <c r="X5059" s="4"/>
    </row>
    <row r="5060" spans="1:24" ht="14.25" customHeight="1">
      <c r="A5060" s="4"/>
      <c r="B5060" s="125"/>
      <c r="C5060" s="126"/>
      <c r="D5060" s="68"/>
      <c r="E5060" s="10" t="e">
        <f>TRIM(VLOOKUP(D5060,TB!$B$9:$C$1500,2,FALSE))</f>
        <v>#N/A</v>
      </c>
      <c r="F5060" s="142"/>
      <c r="G5060" s="130"/>
      <c r="H5060" s="10"/>
      <c r="I5060" s="10"/>
      <c r="J5060" s="79" t="e">
        <f t="shared" si="327"/>
        <v>#VALUE!</v>
      </c>
      <c r="K5060" s="106"/>
      <c r="L5060" s="141"/>
      <c r="M5060" s="132"/>
      <c r="N5060" s="133"/>
      <c r="O5060" s="4"/>
      <c r="P5060" s="4"/>
      <c r="Q5060" s="4"/>
      <c r="R5060" s="4"/>
      <c r="S5060" s="4"/>
      <c r="T5060" s="4"/>
      <c r="U5060" s="4"/>
      <c r="V5060" s="4"/>
      <c r="W5060" s="4"/>
      <c r="X5060" s="4"/>
    </row>
    <row r="5061" spans="1:24" ht="14.25" customHeight="1">
      <c r="A5061" s="4"/>
      <c r="B5061" s="125">
        <v>46179</v>
      </c>
      <c r="C5061" s="126" t="s">
        <v>2876</v>
      </c>
      <c r="D5061" s="15" t="s">
        <v>2813</v>
      </c>
      <c r="E5061" s="10" t="str">
        <f>TRIM(VLOOKUP(D5061,TB!$B$9:$C$1500,2,FALSE))</f>
        <v>Udang/Prawn 25"</v>
      </c>
      <c r="F5061" s="185" t="s">
        <v>2877</v>
      </c>
      <c r="G5061" s="130">
        <v>3</v>
      </c>
      <c r="H5061" s="10">
        <v>495000</v>
      </c>
      <c r="I5061" s="10"/>
      <c r="J5061" s="79" t="e">
        <f t="shared" si="327"/>
        <v>#VALUE!</v>
      </c>
      <c r="K5061" s="106">
        <f>H5061/G5061</f>
        <v>165000</v>
      </c>
      <c r="L5061" s="141"/>
      <c r="M5061" s="132"/>
      <c r="N5061" s="133"/>
      <c r="O5061" s="4"/>
      <c r="P5061" s="4"/>
      <c r="Q5061" s="4"/>
      <c r="R5061" s="4"/>
      <c r="S5061" s="4"/>
      <c r="T5061" s="4"/>
      <c r="U5061" s="4"/>
      <c r="V5061" s="4"/>
      <c r="W5061" s="4"/>
      <c r="X5061" s="4"/>
    </row>
    <row r="5062" spans="1:24" ht="14.25" customHeight="1">
      <c r="A5062" s="4"/>
      <c r="B5062" s="125">
        <v>46179</v>
      </c>
      <c r="C5062" s="126" t="s">
        <v>2876</v>
      </c>
      <c r="D5062" s="15" t="s">
        <v>285</v>
      </c>
      <c r="E5062" s="10" t="str">
        <f>TRIM(VLOOKUP(D5062,TB!$B$9:$C$1500,2,FALSE))</f>
        <v>Misc Cash Purchase</v>
      </c>
      <c r="F5062" s="185" t="s">
        <v>2878</v>
      </c>
      <c r="G5062" s="130"/>
      <c r="H5062" s="10"/>
      <c r="I5062" s="10">
        <v>495000</v>
      </c>
      <c r="J5062" s="79" t="e">
        <f t="shared" si="327"/>
        <v>#VALUE!</v>
      </c>
      <c r="K5062" s="106"/>
      <c r="L5062" s="141"/>
      <c r="M5062" s="132"/>
      <c r="N5062" s="133"/>
      <c r="O5062" s="4"/>
      <c r="P5062" s="4"/>
      <c r="Q5062" s="4"/>
      <c r="R5062" s="4"/>
      <c r="S5062" s="4"/>
      <c r="T5062" s="4"/>
      <c r="U5062" s="4"/>
      <c r="V5062" s="4"/>
      <c r="W5062" s="4"/>
      <c r="X5062" s="4"/>
    </row>
    <row r="5063" spans="1:24" ht="14.25" customHeight="1">
      <c r="A5063" s="4"/>
      <c r="B5063" s="125"/>
      <c r="C5063" s="126"/>
      <c r="D5063" s="68"/>
      <c r="E5063" s="10" t="e">
        <f>TRIM(VLOOKUP(D5063,TB!$B$9:$C$1500,2,FALSE))</f>
        <v>#N/A</v>
      </c>
      <c r="F5063" s="142"/>
      <c r="G5063" s="130"/>
      <c r="H5063" s="10"/>
      <c r="I5063" s="10"/>
      <c r="J5063" s="79" t="e">
        <f t="shared" si="327"/>
        <v>#VALUE!</v>
      </c>
      <c r="K5063" s="106"/>
      <c r="L5063" s="141"/>
      <c r="M5063" s="132"/>
      <c r="N5063" s="133"/>
      <c r="O5063" s="4"/>
      <c r="P5063" s="4"/>
      <c r="Q5063" s="4"/>
      <c r="R5063" s="4"/>
      <c r="S5063" s="4"/>
      <c r="T5063" s="4"/>
      <c r="U5063" s="4"/>
      <c r="V5063" s="4"/>
      <c r="W5063" s="4"/>
      <c r="X5063" s="4"/>
    </row>
    <row r="5064" spans="1:24" ht="14.25" customHeight="1">
      <c r="A5064" s="4"/>
      <c r="B5064" s="125">
        <v>46176</v>
      </c>
      <c r="C5064" s="126" t="s">
        <v>2879</v>
      </c>
      <c r="D5064" s="15" t="s">
        <v>2880</v>
      </c>
      <c r="E5064" s="10" t="str">
        <f>TRIM(VLOOKUP(D5064,TB!$B$9:$C$1500,2,FALSE))</f>
        <v>Salmon Steak</v>
      </c>
      <c r="F5064" s="185" t="s">
        <v>2881</v>
      </c>
      <c r="G5064" s="130">
        <v>2</v>
      </c>
      <c r="H5064" s="10">
        <v>530000</v>
      </c>
      <c r="I5064" s="10"/>
      <c r="J5064" s="79" t="e">
        <f t="shared" si="327"/>
        <v>#VALUE!</v>
      </c>
      <c r="K5064" s="106">
        <f>H5064/G5064</f>
        <v>265000</v>
      </c>
      <c r="L5064" s="141"/>
      <c r="M5064" s="132"/>
      <c r="N5064" s="133"/>
      <c r="O5064" s="4"/>
      <c r="P5064" s="4"/>
      <c r="Q5064" s="4"/>
      <c r="R5064" s="4"/>
      <c r="S5064" s="4"/>
      <c r="T5064" s="4"/>
      <c r="U5064" s="4"/>
      <c r="V5064" s="4"/>
      <c r="W5064" s="4"/>
      <c r="X5064" s="4"/>
    </row>
    <row r="5065" spans="1:24" ht="14.25" customHeight="1">
      <c r="A5065" s="4"/>
      <c r="B5065" s="125">
        <v>46176</v>
      </c>
      <c r="C5065" s="126" t="s">
        <v>2879</v>
      </c>
      <c r="D5065" s="15" t="s">
        <v>285</v>
      </c>
      <c r="E5065" s="10" t="str">
        <f>TRIM(VLOOKUP(D5065,TB!$B$9:$C$1500,2,FALSE))</f>
        <v>Misc Cash Purchase</v>
      </c>
      <c r="F5065" s="185" t="s">
        <v>2882</v>
      </c>
      <c r="G5065" s="130"/>
      <c r="H5065" s="10"/>
      <c r="I5065" s="10">
        <v>530000</v>
      </c>
      <c r="J5065" s="79" t="e">
        <f t="shared" si="327"/>
        <v>#VALUE!</v>
      </c>
      <c r="K5065" s="106"/>
      <c r="L5065" s="141"/>
      <c r="M5065" s="132"/>
      <c r="N5065" s="133"/>
      <c r="O5065" s="4"/>
      <c r="P5065" s="4"/>
      <c r="Q5065" s="4"/>
      <c r="R5065" s="4"/>
      <c r="S5065" s="4"/>
      <c r="T5065" s="4"/>
      <c r="U5065" s="4"/>
      <c r="V5065" s="4"/>
      <c r="W5065" s="4"/>
      <c r="X5065" s="4"/>
    </row>
    <row r="5066" spans="1:24" ht="14.25" customHeight="1">
      <c r="A5066" s="4"/>
      <c r="B5066" s="125"/>
      <c r="C5066" s="126"/>
      <c r="D5066" s="68"/>
      <c r="E5066" s="10" t="e">
        <f>TRIM(VLOOKUP(D5066,TB!$B$9:$C$1500,2,FALSE))</f>
        <v>#N/A</v>
      </c>
      <c r="F5066" s="142"/>
      <c r="G5066" s="130"/>
      <c r="H5066" s="10"/>
      <c r="I5066" s="10"/>
      <c r="J5066" s="79" t="e">
        <f t="shared" si="327"/>
        <v>#VALUE!</v>
      </c>
      <c r="K5066" s="106"/>
      <c r="L5066" s="141"/>
      <c r="M5066" s="132"/>
      <c r="N5066" s="133"/>
      <c r="O5066" s="4"/>
      <c r="P5066" s="4"/>
      <c r="Q5066" s="4"/>
      <c r="R5066" s="4"/>
      <c r="S5066" s="4"/>
      <c r="T5066" s="4"/>
      <c r="U5066" s="4"/>
      <c r="V5066" s="4"/>
      <c r="W5066" s="4"/>
      <c r="X5066" s="4"/>
    </row>
    <row r="5067" spans="1:24" ht="14.25" customHeight="1">
      <c r="A5067" s="4"/>
      <c r="B5067" s="125">
        <v>46189</v>
      </c>
      <c r="C5067" s="126" t="s">
        <v>2883</v>
      </c>
      <c r="D5067" s="15" t="s">
        <v>2813</v>
      </c>
      <c r="E5067" s="10" t="str">
        <f>TRIM(VLOOKUP(D5067,TB!$B$9:$C$1500,2,FALSE))</f>
        <v>Udang/Prawn 25"</v>
      </c>
      <c r="F5067" s="185" t="s">
        <v>2884</v>
      </c>
      <c r="G5067" s="130">
        <v>5</v>
      </c>
      <c r="H5067" s="10">
        <v>800000</v>
      </c>
      <c r="I5067" s="10"/>
      <c r="J5067" s="79" t="e">
        <f t="shared" si="327"/>
        <v>#VALUE!</v>
      </c>
      <c r="K5067" s="106">
        <f>H5067/G5067</f>
        <v>160000</v>
      </c>
      <c r="L5067" s="141"/>
      <c r="M5067" s="132"/>
      <c r="N5067" s="133"/>
      <c r="O5067" s="4"/>
      <c r="P5067" s="4"/>
      <c r="Q5067" s="4"/>
      <c r="R5067" s="4"/>
      <c r="S5067" s="4"/>
      <c r="T5067" s="4"/>
      <c r="U5067" s="4"/>
      <c r="V5067" s="4"/>
      <c r="W5067" s="4"/>
      <c r="X5067" s="4"/>
    </row>
    <row r="5068" spans="1:24" ht="14.25" customHeight="1">
      <c r="A5068" s="4"/>
      <c r="B5068" s="125">
        <v>46189</v>
      </c>
      <c r="C5068" s="126" t="s">
        <v>2883</v>
      </c>
      <c r="D5068" s="15" t="s">
        <v>285</v>
      </c>
      <c r="E5068" s="10" t="str">
        <f>TRIM(VLOOKUP(D5068,TB!$B$9:$C$1500,2,FALSE))</f>
        <v>Misc Cash Purchase</v>
      </c>
      <c r="F5068" s="185" t="s">
        <v>2885</v>
      </c>
      <c r="G5068" s="130"/>
      <c r="H5068" s="10"/>
      <c r="I5068" s="10">
        <v>800000</v>
      </c>
      <c r="J5068" s="79" t="e">
        <f t="shared" si="327"/>
        <v>#VALUE!</v>
      </c>
      <c r="K5068" s="106"/>
      <c r="L5068" s="141"/>
      <c r="M5068" s="132"/>
      <c r="N5068" s="133"/>
      <c r="O5068" s="4"/>
      <c r="P5068" s="4"/>
      <c r="Q5068" s="4"/>
      <c r="R5068" s="4"/>
      <c r="S5068" s="4"/>
      <c r="T5068" s="4"/>
      <c r="U5068" s="4"/>
      <c r="V5068" s="4"/>
      <c r="W5068" s="4"/>
      <c r="X5068" s="4"/>
    </row>
    <row r="5069" spans="1:24" ht="14.25" customHeight="1">
      <c r="A5069" s="4"/>
      <c r="B5069" s="125"/>
      <c r="C5069" s="126"/>
      <c r="D5069" s="68"/>
      <c r="E5069" s="10" t="e">
        <f>TRIM(VLOOKUP(D5069,TB!$B$9:$C$1500,2,FALSE))</f>
        <v>#N/A</v>
      </c>
      <c r="F5069" s="142"/>
      <c r="G5069" s="130"/>
      <c r="H5069" s="10"/>
      <c r="I5069" s="10"/>
      <c r="J5069" s="79" t="e">
        <f t="shared" si="327"/>
        <v>#VALUE!</v>
      </c>
      <c r="K5069" s="106"/>
      <c r="L5069" s="141"/>
      <c r="M5069" s="132"/>
      <c r="N5069" s="133"/>
      <c r="O5069" s="4"/>
      <c r="P5069" s="4"/>
      <c r="Q5069" s="4"/>
      <c r="R5069" s="4"/>
      <c r="S5069" s="4"/>
      <c r="T5069" s="4"/>
      <c r="U5069" s="4"/>
      <c r="V5069" s="4"/>
      <c r="W5069" s="4"/>
      <c r="X5069" s="4"/>
    </row>
    <row r="5070" spans="1:24" ht="14.25" customHeight="1">
      <c r="A5070" s="4"/>
      <c r="B5070" s="125">
        <v>46193</v>
      </c>
      <c r="C5070" s="126" t="s">
        <v>2886</v>
      </c>
      <c r="D5070" s="15" t="s">
        <v>2813</v>
      </c>
      <c r="E5070" s="10" t="str">
        <f>TRIM(VLOOKUP(D5070,TB!$B$9:$C$1500,2,FALSE))</f>
        <v>Udang/Prawn 25"</v>
      </c>
      <c r="F5070" s="186" t="s">
        <v>2887</v>
      </c>
      <c r="G5070" s="130">
        <v>5</v>
      </c>
      <c r="H5070" s="10">
        <v>800000</v>
      </c>
      <c r="I5070" s="10"/>
      <c r="J5070" s="79" t="e">
        <f t="shared" si="327"/>
        <v>#VALUE!</v>
      </c>
      <c r="K5070" s="106">
        <f>H5070/G5070</f>
        <v>160000</v>
      </c>
      <c r="L5070" s="141"/>
      <c r="M5070" s="132"/>
      <c r="N5070" s="133"/>
      <c r="O5070" s="4"/>
      <c r="P5070" s="4"/>
      <c r="Q5070" s="4"/>
      <c r="R5070" s="4"/>
      <c r="S5070" s="4"/>
      <c r="T5070" s="4"/>
      <c r="U5070" s="4"/>
      <c r="V5070" s="4"/>
      <c r="W5070" s="4"/>
      <c r="X5070" s="4"/>
    </row>
    <row r="5071" spans="1:24" ht="14.25" customHeight="1">
      <c r="A5071" s="4"/>
      <c r="B5071" s="125">
        <v>46193</v>
      </c>
      <c r="C5071" s="126" t="s">
        <v>2886</v>
      </c>
      <c r="D5071" s="15" t="s">
        <v>285</v>
      </c>
      <c r="E5071" s="10" t="str">
        <f>TRIM(VLOOKUP(D5071,TB!$B$9:$C$1500,2,FALSE))</f>
        <v>Misc Cash Purchase</v>
      </c>
      <c r="F5071" s="186" t="s">
        <v>2888</v>
      </c>
      <c r="G5071" s="130"/>
      <c r="H5071" s="10"/>
      <c r="I5071" s="10">
        <v>800000</v>
      </c>
      <c r="J5071" s="79" t="e">
        <f t="shared" si="327"/>
        <v>#VALUE!</v>
      </c>
      <c r="K5071" s="106"/>
      <c r="L5071" s="141"/>
      <c r="M5071" s="132"/>
      <c r="N5071" s="133"/>
      <c r="O5071" s="4"/>
      <c r="P5071" s="4"/>
      <c r="Q5071" s="4"/>
      <c r="R5071" s="4"/>
      <c r="S5071" s="4"/>
      <c r="T5071" s="4"/>
      <c r="U5071" s="4"/>
      <c r="V5071" s="4"/>
      <c r="W5071" s="4"/>
      <c r="X5071" s="4"/>
    </row>
    <row r="5072" spans="1:24" ht="14.25" customHeight="1">
      <c r="A5072" s="4"/>
      <c r="B5072" s="125"/>
      <c r="C5072" s="126"/>
      <c r="D5072" s="15"/>
      <c r="E5072" s="10" t="e">
        <f>TRIM(VLOOKUP(D5072,TB!$B$9:$C$1500,2,FALSE))</f>
        <v>#N/A</v>
      </c>
      <c r="F5072" s="142"/>
      <c r="G5072" s="130"/>
      <c r="H5072" s="10"/>
      <c r="I5072" s="10"/>
      <c r="J5072" s="79" t="e">
        <f t="shared" si="327"/>
        <v>#VALUE!</v>
      </c>
      <c r="K5072" s="106"/>
      <c r="L5072" s="141"/>
      <c r="M5072" s="132"/>
      <c r="N5072" s="133"/>
      <c r="O5072" s="4"/>
      <c r="P5072" s="4"/>
      <c r="Q5072" s="4"/>
      <c r="R5072" s="4"/>
      <c r="S5072" s="4"/>
      <c r="T5072" s="4"/>
      <c r="U5072" s="4"/>
      <c r="V5072" s="4"/>
      <c r="W5072" s="4"/>
      <c r="X5072" s="4"/>
    </row>
    <row r="5073" spans="1:24" ht="14.25" customHeight="1">
      <c r="A5073" s="4"/>
      <c r="B5073" s="125">
        <v>46196</v>
      </c>
      <c r="C5073" s="126" t="s">
        <v>2889</v>
      </c>
      <c r="D5073" s="15" t="s">
        <v>2813</v>
      </c>
      <c r="E5073" s="10" t="str">
        <f>TRIM(VLOOKUP(D5073,TB!$B$9:$C$1500,2,FALSE))</f>
        <v>Udang/Prawn 25"</v>
      </c>
      <c r="F5073" s="186" t="s">
        <v>2890</v>
      </c>
      <c r="G5073" s="130">
        <v>7</v>
      </c>
      <c r="H5073" s="10">
        <v>1120000</v>
      </c>
      <c r="I5073" s="10"/>
      <c r="J5073" s="79" t="e">
        <f t="shared" si="327"/>
        <v>#VALUE!</v>
      </c>
      <c r="K5073" s="106">
        <f>H5073/G5073</f>
        <v>160000</v>
      </c>
      <c r="L5073" s="141"/>
      <c r="M5073" s="132"/>
      <c r="N5073" s="133"/>
      <c r="O5073" s="4"/>
      <c r="P5073" s="4"/>
      <c r="Q5073" s="4"/>
      <c r="R5073" s="4"/>
      <c r="S5073" s="4"/>
      <c r="T5073" s="4"/>
      <c r="U5073" s="4"/>
      <c r="V5073" s="4"/>
      <c r="W5073" s="4"/>
      <c r="X5073" s="4"/>
    </row>
    <row r="5074" spans="1:24" ht="14.25" customHeight="1">
      <c r="A5074" s="4"/>
      <c r="B5074" s="125">
        <v>46196</v>
      </c>
      <c r="C5074" s="126" t="s">
        <v>2889</v>
      </c>
      <c r="D5074" s="15" t="s">
        <v>285</v>
      </c>
      <c r="E5074" s="10" t="str">
        <f>TRIM(VLOOKUP(D5074,TB!$B$9:$C$1500,2,FALSE))</f>
        <v>Misc Cash Purchase</v>
      </c>
      <c r="F5074" s="186" t="s">
        <v>2891</v>
      </c>
      <c r="G5074" s="130"/>
      <c r="H5074" s="10"/>
      <c r="I5074" s="10">
        <v>1120000</v>
      </c>
      <c r="J5074" s="79" t="e">
        <f t="shared" si="327"/>
        <v>#VALUE!</v>
      </c>
      <c r="K5074" s="106"/>
      <c r="L5074" s="141"/>
      <c r="M5074" s="132"/>
      <c r="N5074" s="133"/>
      <c r="O5074" s="4"/>
      <c r="P5074" s="4"/>
      <c r="Q5074" s="4"/>
      <c r="R5074" s="4"/>
      <c r="S5074" s="4"/>
      <c r="T5074" s="4"/>
      <c r="U5074" s="4"/>
      <c r="V5074" s="4"/>
      <c r="W5074" s="4"/>
      <c r="X5074" s="4"/>
    </row>
    <row r="5075" spans="1:24" ht="14.25" customHeight="1">
      <c r="A5075" s="4"/>
      <c r="B5075" s="125"/>
      <c r="C5075" s="126"/>
      <c r="D5075" s="15"/>
      <c r="E5075" s="10" t="e">
        <f>TRIM(VLOOKUP(D5075,TB!$B$9:$C$1500,2,FALSE))</f>
        <v>#N/A</v>
      </c>
      <c r="F5075" s="142"/>
      <c r="G5075" s="130"/>
      <c r="H5075" s="10"/>
      <c r="I5075" s="10"/>
      <c r="J5075" s="79" t="e">
        <f t="shared" si="327"/>
        <v>#VALUE!</v>
      </c>
      <c r="K5075" s="106"/>
      <c r="L5075" s="141"/>
      <c r="M5075" s="132"/>
      <c r="N5075" s="133"/>
      <c r="O5075" s="4"/>
      <c r="P5075" s="4"/>
      <c r="Q5075" s="4"/>
      <c r="R5075" s="4"/>
      <c r="S5075" s="4"/>
      <c r="T5075" s="4"/>
      <c r="U5075" s="4"/>
      <c r="V5075" s="4"/>
      <c r="W5075" s="4"/>
      <c r="X5075" s="4"/>
    </row>
    <row r="5076" spans="1:24" ht="14.25" customHeight="1">
      <c r="A5076" s="4"/>
      <c r="B5076" s="125">
        <v>46203</v>
      </c>
      <c r="C5076" s="126" t="s">
        <v>2892</v>
      </c>
      <c r="D5076" s="15" t="s">
        <v>2813</v>
      </c>
      <c r="E5076" s="10" t="str">
        <f>TRIM(VLOOKUP(D5076,TB!$B$9:$C$1500,2,FALSE))</f>
        <v>Udang/Prawn 25"</v>
      </c>
      <c r="F5076" s="142" t="s">
        <v>2893</v>
      </c>
      <c r="G5076" s="130">
        <v>5</v>
      </c>
      <c r="H5076" s="10">
        <v>800000</v>
      </c>
      <c r="I5076" s="10"/>
      <c r="J5076" s="79" t="e">
        <f t="shared" si="327"/>
        <v>#VALUE!</v>
      </c>
      <c r="K5076" s="106">
        <f>H5076/G5076</f>
        <v>160000</v>
      </c>
      <c r="L5076" s="141"/>
      <c r="M5076" s="132"/>
      <c r="N5076" s="133"/>
      <c r="O5076" s="4"/>
      <c r="P5076" s="4"/>
      <c r="Q5076" s="4"/>
      <c r="R5076" s="4"/>
      <c r="S5076" s="4"/>
      <c r="T5076" s="4"/>
      <c r="U5076" s="4"/>
      <c r="V5076" s="4"/>
      <c r="W5076" s="4"/>
      <c r="X5076" s="4"/>
    </row>
    <row r="5077" spans="1:24" ht="14.25" customHeight="1">
      <c r="A5077" s="4"/>
      <c r="B5077" s="125">
        <v>46203</v>
      </c>
      <c r="C5077" s="126" t="s">
        <v>2892</v>
      </c>
      <c r="D5077" s="15" t="s">
        <v>285</v>
      </c>
      <c r="E5077" s="10" t="str">
        <f>TRIM(VLOOKUP(D5077,TB!$B$9:$C$1500,2,FALSE))</f>
        <v>Misc Cash Purchase</v>
      </c>
      <c r="F5077" s="142" t="s">
        <v>2894</v>
      </c>
      <c r="G5077" s="130"/>
      <c r="H5077" s="10"/>
      <c r="I5077" s="10">
        <v>800000</v>
      </c>
      <c r="J5077" s="79" t="e">
        <f t="shared" si="327"/>
        <v>#VALUE!</v>
      </c>
      <c r="K5077" s="106"/>
      <c r="L5077" s="141"/>
      <c r="M5077" s="132"/>
      <c r="N5077" s="133"/>
      <c r="O5077" s="4"/>
      <c r="P5077" s="4"/>
      <c r="Q5077" s="4"/>
      <c r="R5077" s="4"/>
      <c r="S5077" s="4"/>
      <c r="T5077" s="4"/>
      <c r="U5077" s="4"/>
      <c r="V5077" s="4"/>
      <c r="W5077" s="4"/>
      <c r="X5077" s="4"/>
    </row>
    <row r="5078" spans="1:24" ht="14.25" customHeight="1">
      <c r="A5078" s="4"/>
      <c r="B5078" s="125"/>
      <c r="C5078" s="126"/>
      <c r="D5078" s="15"/>
      <c r="E5078" s="10" t="e">
        <f>TRIM(VLOOKUP(D5078,TB!$B$9:$C$1500,2,FALSE))</f>
        <v>#N/A</v>
      </c>
      <c r="F5078" s="142"/>
      <c r="G5078" s="130"/>
      <c r="H5078" s="10"/>
      <c r="I5078" s="10"/>
      <c r="J5078" s="79" t="e">
        <f t="shared" si="327"/>
        <v>#VALUE!</v>
      </c>
      <c r="K5078" s="106"/>
      <c r="L5078" s="141"/>
      <c r="M5078" s="132"/>
      <c r="N5078" s="133"/>
      <c r="O5078" s="4"/>
      <c r="P5078" s="4"/>
      <c r="Q5078" s="4"/>
      <c r="R5078" s="4"/>
      <c r="S5078" s="4"/>
      <c r="T5078" s="4"/>
      <c r="U5078" s="4"/>
      <c r="V5078" s="4"/>
      <c r="W5078" s="4"/>
      <c r="X5078" s="4"/>
    </row>
    <row r="5079" spans="1:24" ht="14.25" customHeight="1">
      <c r="A5079" s="4"/>
      <c r="B5079" s="125">
        <v>46176</v>
      </c>
      <c r="C5079" s="126" t="s">
        <v>2895</v>
      </c>
      <c r="D5079" s="15" t="s">
        <v>617</v>
      </c>
      <c r="E5079" s="10" t="str">
        <f>TRIM(VLOOKUP(D5079,TB!$B$9:$C$1500,2,FALSE))</f>
        <v>Cleaning Supplies &amp; Expenses</v>
      </c>
      <c r="F5079" s="142" t="s">
        <v>2896</v>
      </c>
      <c r="G5079" s="130"/>
      <c r="H5079" s="10">
        <v>1748000</v>
      </c>
      <c r="I5079" s="10"/>
      <c r="J5079" s="79" t="e">
        <f t="shared" si="327"/>
        <v>#VALUE!</v>
      </c>
      <c r="K5079" s="106"/>
      <c r="L5079" s="141"/>
      <c r="M5079" s="132"/>
      <c r="N5079" s="133"/>
      <c r="O5079" s="4"/>
      <c r="P5079" s="4"/>
      <c r="Q5079" s="4"/>
      <c r="R5079" s="4"/>
      <c r="S5079" s="4"/>
      <c r="T5079" s="4"/>
      <c r="U5079" s="4"/>
      <c r="V5079" s="4"/>
      <c r="W5079" s="4"/>
      <c r="X5079" s="4"/>
    </row>
    <row r="5080" spans="1:24" ht="14.25" customHeight="1">
      <c r="A5080" s="4"/>
      <c r="B5080" s="125">
        <v>46176</v>
      </c>
      <c r="C5080" s="126" t="s">
        <v>2895</v>
      </c>
      <c r="D5080" s="15" t="s">
        <v>285</v>
      </c>
      <c r="E5080" s="10" t="str">
        <f>TRIM(VLOOKUP(D5080,TB!$B$9:$C$1500,2,FALSE))</f>
        <v>Misc Cash Purchase</v>
      </c>
      <c r="F5080" s="142" t="s">
        <v>2897</v>
      </c>
      <c r="G5080" s="130"/>
      <c r="H5080" s="10"/>
      <c r="I5080" s="10">
        <v>1748000</v>
      </c>
      <c r="J5080" s="79" t="e">
        <f t="shared" si="327"/>
        <v>#VALUE!</v>
      </c>
      <c r="K5080" s="106"/>
      <c r="L5080" s="141"/>
      <c r="M5080" s="132"/>
      <c r="N5080" s="133"/>
      <c r="O5080" s="4"/>
      <c r="P5080" s="4"/>
      <c r="Q5080" s="4"/>
      <c r="R5080" s="4"/>
      <c r="S5080" s="4"/>
      <c r="T5080" s="4"/>
      <c r="U5080" s="4"/>
      <c r="V5080" s="4"/>
      <c r="W5080" s="4"/>
      <c r="X5080" s="4"/>
    </row>
    <row r="5081" spans="1:24" ht="14.25" customHeight="1">
      <c r="A5081" s="4"/>
      <c r="B5081" s="125"/>
      <c r="C5081" s="126"/>
      <c r="D5081" s="68"/>
      <c r="E5081" s="10" t="e">
        <f>TRIM(VLOOKUP(D5081,TB!$B$9:$C$1500,2,FALSE))</f>
        <v>#N/A</v>
      </c>
      <c r="F5081" s="142"/>
      <c r="G5081" s="130"/>
      <c r="H5081" s="10"/>
      <c r="I5081" s="10"/>
      <c r="J5081" s="79" t="e">
        <f t="shared" si="327"/>
        <v>#VALUE!</v>
      </c>
      <c r="K5081" s="106"/>
      <c r="L5081" s="141"/>
      <c r="M5081" s="132"/>
      <c r="N5081" s="133"/>
      <c r="O5081" s="4"/>
      <c r="P5081" s="4"/>
      <c r="Q5081" s="4"/>
      <c r="R5081" s="4"/>
      <c r="S5081" s="4"/>
      <c r="T5081" s="4"/>
      <c r="U5081" s="4"/>
      <c r="V5081" s="4"/>
      <c r="W5081" s="4"/>
      <c r="X5081" s="4"/>
    </row>
    <row r="5082" spans="1:24" ht="14.25" customHeight="1">
      <c r="A5082" s="4"/>
      <c r="B5082" s="125">
        <v>46176</v>
      </c>
      <c r="C5082" s="126" t="s">
        <v>2898</v>
      </c>
      <c r="D5082" s="15" t="s">
        <v>1155</v>
      </c>
      <c r="E5082" s="10" t="str">
        <f>TRIM(VLOOKUP(D5082,TB!$B$9:$C$1500,2,FALSE))</f>
        <v>Kitchen Supplies</v>
      </c>
      <c r="F5082" s="142" t="s">
        <v>2899</v>
      </c>
      <c r="G5082" s="130">
        <f>2*100</f>
        <v>200</v>
      </c>
      <c r="H5082" s="10">
        <v>122000</v>
      </c>
      <c r="I5082" s="10"/>
      <c r="J5082" s="79" t="e">
        <f t="shared" si="327"/>
        <v>#VALUE!</v>
      </c>
      <c r="K5082" s="106"/>
      <c r="L5082" s="141"/>
      <c r="M5082" s="132"/>
      <c r="N5082" s="133"/>
      <c r="O5082" s="4"/>
      <c r="P5082" s="4"/>
      <c r="Q5082" s="4"/>
      <c r="R5082" s="4"/>
      <c r="S5082" s="4"/>
      <c r="T5082" s="4"/>
      <c r="U5082" s="4"/>
      <c r="V5082" s="4"/>
      <c r="W5082" s="4"/>
      <c r="X5082" s="4"/>
    </row>
    <row r="5083" spans="1:24" ht="14.25" customHeight="1">
      <c r="A5083" s="4"/>
      <c r="B5083" s="125">
        <v>46176</v>
      </c>
      <c r="C5083" s="126" t="s">
        <v>2898</v>
      </c>
      <c r="D5083" s="15" t="s">
        <v>285</v>
      </c>
      <c r="E5083" s="10" t="str">
        <f>TRIM(VLOOKUP(D5083,TB!$B$9:$C$1500,2,FALSE))</f>
        <v>Misc Cash Purchase</v>
      </c>
      <c r="F5083" s="142" t="s">
        <v>2900</v>
      </c>
      <c r="G5083" s="130"/>
      <c r="H5083" s="10"/>
      <c r="I5083" s="10">
        <v>122000</v>
      </c>
      <c r="J5083" s="79" t="e">
        <f t="shared" si="327"/>
        <v>#VALUE!</v>
      </c>
      <c r="K5083" s="106"/>
      <c r="L5083" s="141"/>
      <c r="M5083" s="132"/>
      <c r="N5083" s="133"/>
      <c r="O5083" s="4"/>
      <c r="P5083" s="4"/>
      <c r="Q5083" s="4"/>
      <c r="R5083" s="4"/>
      <c r="S5083" s="4"/>
      <c r="T5083" s="4"/>
      <c r="U5083" s="4"/>
      <c r="V5083" s="4"/>
      <c r="W5083" s="4"/>
      <c r="X5083" s="4"/>
    </row>
    <row r="5084" spans="1:24" ht="14.25" customHeight="1">
      <c r="A5084" s="4"/>
      <c r="B5084" s="125"/>
      <c r="C5084" s="126"/>
      <c r="D5084" s="68"/>
      <c r="E5084" s="10" t="e">
        <f>TRIM(VLOOKUP(D5084,TB!$B$9:$C$1500,2,FALSE))</f>
        <v>#N/A</v>
      </c>
      <c r="F5084" s="142"/>
      <c r="G5084" s="130"/>
      <c r="H5084" s="10"/>
      <c r="I5084" s="10"/>
      <c r="J5084" s="79" t="e">
        <f t="shared" si="327"/>
        <v>#VALUE!</v>
      </c>
      <c r="K5084" s="106"/>
      <c r="L5084" s="141"/>
      <c r="M5084" s="132"/>
      <c r="N5084" s="133"/>
      <c r="O5084" s="4"/>
      <c r="P5084" s="4"/>
      <c r="Q5084" s="4"/>
      <c r="R5084" s="4"/>
      <c r="S5084" s="4"/>
      <c r="T5084" s="4"/>
      <c r="U5084" s="4"/>
      <c r="V5084" s="4"/>
      <c r="W5084" s="4"/>
      <c r="X5084" s="4"/>
    </row>
    <row r="5085" spans="1:24" ht="14.25" customHeight="1">
      <c r="A5085" s="4"/>
      <c r="B5085" s="125">
        <v>46178</v>
      </c>
      <c r="C5085" s="126" t="s">
        <v>2901</v>
      </c>
      <c r="D5085" s="15" t="s">
        <v>1155</v>
      </c>
      <c r="E5085" s="10" t="str">
        <f>TRIM(VLOOKUP(D5085,TB!$B$9:$C$1500,2,FALSE))</f>
        <v>Kitchen Supplies</v>
      </c>
      <c r="F5085" s="185" t="s">
        <v>2902</v>
      </c>
      <c r="G5085" s="130">
        <v>2</v>
      </c>
      <c r="H5085" s="10">
        <v>57000</v>
      </c>
      <c r="I5085" s="10"/>
      <c r="J5085" s="79" t="e">
        <f t="shared" si="327"/>
        <v>#VALUE!</v>
      </c>
      <c r="K5085" s="106"/>
      <c r="L5085" s="141"/>
      <c r="M5085" s="132"/>
      <c r="N5085" s="133"/>
      <c r="O5085" s="4"/>
      <c r="P5085" s="4"/>
      <c r="Q5085" s="4"/>
      <c r="R5085" s="4"/>
      <c r="S5085" s="4"/>
      <c r="T5085" s="4"/>
      <c r="U5085" s="4"/>
      <c r="V5085" s="4"/>
      <c r="W5085" s="4"/>
      <c r="X5085" s="4"/>
    </row>
    <row r="5086" spans="1:24" ht="14.25" customHeight="1">
      <c r="A5086" s="4"/>
      <c r="B5086" s="125">
        <v>46178</v>
      </c>
      <c r="C5086" s="126" t="s">
        <v>2901</v>
      </c>
      <c r="D5086" s="15" t="s">
        <v>1155</v>
      </c>
      <c r="E5086" s="10" t="str">
        <f>TRIM(VLOOKUP(D5086,TB!$B$9:$C$1500,2,FALSE))</f>
        <v>Kitchen Supplies</v>
      </c>
      <c r="F5086" s="185" t="s">
        <v>2903</v>
      </c>
      <c r="G5086" s="130">
        <v>1</v>
      </c>
      <c r="H5086" s="10">
        <v>33500</v>
      </c>
      <c r="I5086" s="10"/>
      <c r="J5086" s="79" t="e">
        <f t="shared" si="327"/>
        <v>#VALUE!</v>
      </c>
      <c r="K5086" s="106"/>
      <c r="L5086" s="141"/>
      <c r="M5086" s="132"/>
      <c r="N5086" s="133"/>
      <c r="O5086" s="4"/>
      <c r="P5086" s="4"/>
      <c r="Q5086" s="4"/>
      <c r="R5086" s="4"/>
      <c r="S5086" s="4"/>
      <c r="T5086" s="4"/>
      <c r="U5086" s="4"/>
      <c r="V5086" s="4"/>
      <c r="W5086" s="4"/>
      <c r="X5086" s="4"/>
    </row>
    <row r="5087" spans="1:24" ht="14.25" customHeight="1">
      <c r="A5087" s="4"/>
      <c r="B5087" s="125">
        <v>46178</v>
      </c>
      <c r="C5087" s="126" t="s">
        <v>2901</v>
      </c>
      <c r="D5087" s="15" t="s">
        <v>1921</v>
      </c>
      <c r="E5087" s="10" t="str">
        <f>TRIM(VLOOKUP(D5087,TB!$B$9:$C$1500,2,FALSE))</f>
        <v>Bar Supplies &amp; Laundry</v>
      </c>
      <c r="F5087" s="185" t="s">
        <v>2904</v>
      </c>
      <c r="G5087" s="130">
        <v>40</v>
      </c>
      <c r="H5087" s="10">
        <v>430000</v>
      </c>
      <c r="I5087" s="10"/>
      <c r="J5087" s="79" t="e">
        <f t="shared" si="327"/>
        <v>#VALUE!</v>
      </c>
      <c r="K5087" s="106"/>
      <c r="L5087" s="141"/>
      <c r="M5087" s="132"/>
      <c r="N5087" s="133"/>
      <c r="O5087" s="4"/>
      <c r="P5087" s="4"/>
      <c r="Q5087" s="4"/>
      <c r="R5087" s="4"/>
      <c r="S5087" s="4"/>
      <c r="T5087" s="4"/>
      <c r="U5087" s="4"/>
      <c r="V5087" s="4"/>
      <c r="W5087" s="4"/>
      <c r="X5087" s="4"/>
    </row>
    <row r="5088" spans="1:24" ht="14.25" customHeight="1">
      <c r="A5088" s="4"/>
      <c r="B5088" s="125">
        <v>46178</v>
      </c>
      <c r="C5088" s="126" t="s">
        <v>2901</v>
      </c>
      <c r="D5088" s="15" t="s">
        <v>285</v>
      </c>
      <c r="E5088" s="10" t="str">
        <f>TRIM(VLOOKUP(D5088,TB!$B$9:$C$1500,2,FALSE))</f>
        <v>Misc Cash Purchase</v>
      </c>
      <c r="F5088" s="185" t="s">
        <v>2905</v>
      </c>
      <c r="G5088" s="130"/>
      <c r="H5088" s="10"/>
      <c r="I5088" s="10">
        <v>520500</v>
      </c>
      <c r="J5088" s="79" t="e">
        <f t="shared" si="327"/>
        <v>#VALUE!</v>
      </c>
      <c r="K5088" s="106"/>
      <c r="L5088" s="141"/>
      <c r="M5088" s="132"/>
      <c r="N5088" s="133"/>
      <c r="O5088" s="4"/>
      <c r="P5088" s="4"/>
      <c r="Q5088" s="4"/>
      <c r="R5088" s="4"/>
      <c r="S5088" s="4"/>
      <c r="T5088" s="4"/>
      <c r="U5088" s="4"/>
      <c r="V5088" s="4"/>
      <c r="W5088" s="4"/>
      <c r="X5088" s="4"/>
    </row>
    <row r="5089" spans="1:24" ht="14.25" customHeight="1">
      <c r="A5089" s="4"/>
      <c r="B5089" s="125"/>
      <c r="C5089" s="126"/>
      <c r="D5089" s="68"/>
      <c r="E5089" s="10" t="e">
        <f>TRIM(VLOOKUP(D5089,TB!$B$9:$C$1500,2,FALSE))</f>
        <v>#N/A</v>
      </c>
      <c r="F5089" s="142"/>
      <c r="G5089" s="130"/>
      <c r="H5089" s="10"/>
      <c r="I5089" s="10"/>
      <c r="J5089" s="79" t="e">
        <f t="shared" si="327"/>
        <v>#VALUE!</v>
      </c>
      <c r="K5089" s="106"/>
      <c r="L5089" s="141"/>
      <c r="M5089" s="132"/>
      <c r="N5089" s="133"/>
      <c r="O5089" s="4"/>
      <c r="P5089" s="4"/>
      <c r="Q5089" s="4"/>
      <c r="R5089" s="4"/>
      <c r="S5089" s="4"/>
      <c r="T5089" s="4"/>
      <c r="U5089" s="4"/>
      <c r="V5089" s="4"/>
      <c r="W5089" s="4"/>
      <c r="X5089" s="4"/>
    </row>
    <row r="5090" spans="1:24" ht="14.25" customHeight="1">
      <c r="A5090" s="4"/>
      <c r="B5090" s="125">
        <v>46179</v>
      </c>
      <c r="C5090" s="126" t="s">
        <v>2906</v>
      </c>
      <c r="D5090" s="15" t="s">
        <v>2907</v>
      </c>
      <c r="E5090" s="10" t="str">
        <f>TRIM(VLOOKUP(D5090,TB!$B$9:$C$1500,2,FALSE))</f>
        <v>Mie Fresh/Mie Burung Dara</v>
      </c>
      <c r="F5090" s="185" t="s">
        <v>2908</v>
      </c>
      <c r="G5090" s="130">
        <v>36</v>
      </c>
      <c r="H5090" s="10">
        <v>120000</v>
      </c>
      <c r="I5090" s="10"/>
      <c r="J5090" s="79" t="e">
        <f t="shared" si="327"/>
        <v>#VALUE!</v>
      </c>
      <c r="K5090" s="106"/>
      <c r="L5090" s="141"/>
      <c r="M5090" s="132"/>
      <c r="N5090" s="133"/>
      <c r="O5090" s="4"/>
      <c r="P5090" s="4"/>
      <c r="Q5090" s="4"/>
      <c r="R5090" s="4"/>
      <c r="S5090" s="4"/>
      <c r="T5090" s="4"/>
      <c r="U5090" s="4"/>
      <c r="V5090" s="4"/>
      <c r="W5090" s="4"/>
      <c r="X5090" s="4"/>
    </row>
    <row r="5091" spans="1:24" ht="14.25" customHeight="1">
      <c r="A5091" s="4"/>
      <c r="B5091" s="125">
        <v>46179</v>
      </c>
      <c r="C5091" s="126" t="s">
        <v>2906</v>
      </c>
      <c r="D5091" s="15" t="s">
        <v>617</v>
      </c>
      <c r="E5091" s="10" t="str">
        <f>TRIM(VLOOKUP(D5091,TB!$B$9:$C$1500,2,FALSE))</f>
        <v>Cleaning Supplies &amp; Expenses</v>
      </c>
      <c r="F5091" s="185" t="s">
        <v>2909</v>
      </c>
      <c r="G5091" s="130">
        <v>3</v>
      </c>
      <c r="H5091" s="10">
        <v>204000</v>
      </c>
      <c r="I5091" s="10"/>
      <c r="J5091" s="79" t="e">
        <f t="shared" si="327"/>
        <v>#VALUE!</v>
      </c>
      <c r="K5091" s="106"/>
      <c r="L5091" s="141"/>
      <c r="M5091" s="132"/>
      <c r="N5091" s="133"/>
      <c r="O5091" s="4"/>
      <c r="P5091" s="4"/>
      <c r="Q5091" s="4"/>
      <c r="R5091" s="4"/>
      <c r="S5091" s="4"/>
      <c r="T5091" s="4"/>
      <c r="U5091" s="4"/>
      <c r="V5091" s="4"/>
      <c r="W5091" s="4"/>
      <c r="X5091" s="4"/>
    </row>
    <row r="5092" spans="1:24" ht="14.25" customHeight="1">
      <c r="A5092" s="4"/>
      <c r="B5092" s="125">
        <v>46179</v>
      </c>
      <c r="C5092" s="126" t="s">
        <v>2906</v>
      </c>
      <c r="D5092" s="15" t="s">
        <v>285</v>
      </c>
      <c r="E5092" s="10" t="str">
        <f>TRIM(VLOOKUP(D5092,TB!$B$9:$C$1500,2,FALSE))</f>
        <v>Misc Cash Purchase</v>
      </c>
      <c r="F5092" s="185" t="s">
        <v>2910</v>
      </c>
      <c r="G5092" s="130"/>
      <c r="H5092" s="10"/>
      <c r="I5092" s="10">
        <v>324000</v>
      </c>
      <c r="J5092" s="79" t="e">
        <f t="shared" si="327"/>
        <v>#VALUE!</v>
      </c>
      <c r="K5092" s="106"/>
      <c r="L5092" s="141"/>
      <c r="M5092" s="132"/>
      <c r="N5092" s="133"/>
      <c r="O5092" s="4"/>
      <c r="P5092" s="4"/>
      <c r="Q5092" s="4"/>
      <c r="R5092" s="4"/>
      <c r="S5092" s="4"/>
      <c r="T5092" s="4"/>
      <c r="U5092" s="4"/>
      <c r="V5092" s="4"/>
      <c r="W5092" s="4"/>
      <c r="X5092" s="4"/>
    </row>
    <row r="5093" spans="1:24" ht="14.25" customHeight="1">
      <c r="A5093" s="4"/>
      <c r="B5093" s="125"/>
      <c r="C5093" s="126"/>
      <c r="D5093" s="68"/>
      <c r="E5093" s="10" t="e">
        <f>TRIM(VLOOKUP(D5093,TB!$B$9:$C$1500,2,FALSE))</f>
        <v>#N/A</v>
      </c>
      <c r="F5093" s="142"/>
      <c r="G5093" s="130"/>
      <c r="H5093" s="10"/>
      <c r="I5093" s="10"/>
      <c r="J5093" s="79" t="e">
        <f t="shared" si="327"/>
        <v>#VALUE!</v>
      </c>
      <c r="K5093" s="106"/>
      <c r="L5093" s="141"/>
      <c r="M5093" s="132"/>
      <c r="N5093" s="133"/>
      <c r="O5093" s="4"/>
      <c r="P5093" s="4"/>
      <c r="Q5093" s="4"/>
      <c r="R5093" s="4"/>
      <c r="S5093" s="4"/>
      <c r="T5093" s="4"/>
      <c r="U5093" s="4"/>
      <c r="V5093" s="4"/>
      <c r="W5093" s="4"/>
      <c r="X5093" s="4"/>
    </row>
    <row r="5094" spans="1:24" ht="14.25" customHeight="1">
      <c r="A5094" s="4"/>
      <c r="B5094" s="125">
        <v>46182</v>
      </c>
      <c r="C5094" s="126" t="s">
        <v>2911</v>
      </c>
      <c r="D5094" s="15" t="s">
        <v>617</v>
      </c>
      <c r="E5094" s="10" t="str">
        <f>TRIM(VLOOKUP(D5094,TB!$B$9:$C$1500,2,FALSE))</f>
        <v>Cleaning Supplies &amp; Expenses</v>
      </c>
      <c r="F5094" s="185" t="s">
        <v>2912</v>
      </c>
      <c r="G5094" s="130"/>
      <c r="H5094" s="10">
        <v>609000</v>
      </c>
      <c r="I5094" s="10"/>
      <c r="J5094" s="79" t="e">
        <f t="shared" si="327"/>
        <v>#VALUE!</v>
      </c>
      <c r="K5094" s="106"/>
      <c r="L5094" s="141"/>
      <c r="M5094" s="132"/>
      <c r="N5094" s="133"/>
      <c r="O5094" s="4"/>
      <c r="P5094" s="4"/>
      <c r="Q5094" s="4"/>
      <c r="R5094" s="4"/>
      <c r="S5094" s="4"/>
      <c r="T5094" s="4"/>
      <c r="U5094" s="4"/>
      <c r="V5094" s="4"/>
      <c r="W5094" s="4"/>
      <c r="X5094" s="4"/>
    </row>
    <row r="5095" spans="1:24" ht="14.25" customHeight="1">
      <c r="A5095" s="4"/>
      <c r="B5095" s="125">
        <v>46182</v>
      </c>
      <c r="C5095" s="126" t="s">
        <v>2911</v>
      </c>
      <c r="D5095" s="15" t="s">
        <v>2913</v>
      </c>
      <c r="E5095" s="10" t="str">
        <f>TRIM(VLOOKUP(D5095,TB!$B$9:$C$1500,2,FALSE))</f>
        <v>Chesse Powder</v>
      </c>
      <c r="F5095" s="185" t="s">
        <v>2914</v>
      </c>
      <c r="G5095" s="130">
        <v>2</v>
      </c>
      <c r="H5095" s="10">
        <v>420000</v>
      </c>
      <c r="I5095" s="10"/>
      <c r="J5095" s="79" t="e">
        <f t="shared" si="327"/>
        <v>#VALUE!</v>
      </c>
      <c r="K5095" s="106"/>
      <c r="L5095" s="141"/>
      <c r="M5095" s="132"/>
      <c r="N5095" s="133"/>
      <c r="O5095" s="4"/>
      <c r="P5095" s="4"/>
      <c r="Q5095" s="4"/>
      <c r="R5095" s="4"/>
      <c r="S5095" s="4"/>
      <c r="T5095" s="4"/>
      <c r="U5095" s="4"/>
      <c r="V5095" s="4"/>
      <c r="W5095" s="4"/>
      <c r="X5095" s="4"/>
    </row>
    <row r="5096" spans="1:24" ht="14.25" customHeight="1">
      <c r="A5096" s="4"/>
      <c r="B5096" s="125">
        <v>46182</v>
      </c>
      <c r="C5096" s="126" t="s">
        <v>2911</v>
      </c>
      <c r="D5096" s="195" t="s">
        <v>2915</v>
      </c>
      <c r="E5096" s="10" t="str">
        <f>TRIM(VLOOKUP(D5096,TB!$B$9:$C$1500,2,FALSE))</f>
        <v>Maple Syrup ( Country Kitchen)</v>
      </c>
      <c r="F5096" s="185" t="s">
        <v>2916</v>
      </c>
      <c r="G5096" s="130">
        <v>1</v>
      </c>
      <c r="H5096" s="10">
        <v>87000</v>
      </c>
      <c r="I5096" s="10"/>
      <c r="J5096" s="79" t="e">
        <f t="shared" si="327"/>
        <v>#VALUE!</v>
      </c>
      <c r="K5096" s="106"/>
      <c r="L5096" s="141"/>
      <c r="M5096" s="132"/>
      <c r="N5096" s="133"/>
      <c r="O5096" s="4"/>
      <c r="P5096" s="4"/>
      <c r="Q5096" s="4"/>
      <c r="R5096" s="4"/>
      <c r="S5096" s="4"/>
      <c r="T5096" s="4"/>
      <c r="U5096" s="4"/>
      <c r="V5096" s="4"/>
      <c r="W5096" s="4"/>
      <c r="X5096" s="4"/>
    </row>
    <row r="5097" spans="1:24" ht="14.25" customHeight="1">
      <c r="A5097" s="4"/>
      <c r="B5097" s="125">
        <v>46182</v>
      </c>
      <c r="C5097" s="126" t="s">
        <v>2911</v>
      </c>
      <c r="D5097" s="15" t="s">
        <v>2917</v>
      </c>
      <c r="E5097" s="10" t="str">
        <f>TRIM(VLOOKUP(D5097,TB!$B$9:$C$1500,2,FALSE))</f>
        <v>Lea &amp; Perrins (Kecap Inggris)</v>
      </c>
      <c r="F5097" s="185" t="s">
        <v>2918</v>
      </c>
      <c r="G5097" s="130">
        <v>1</v>
      </c>
      <c r="H5097" s="10">
        <v>21000</v>
      </c>
      <c r="I5097" s="10"/>
      <c r="J5097" s="79" t="e">
        <f t="shared" si="327"/>
        <v>#VALUE!</v>
      </c>
      <c r="K5097" s="106"/>
      <c r="L5097" s="141"/>
      <c r="M5097" s="132"/>
      <c r="N5097" s="133"/>
      <c r="O5097" s="4"/>
      <c r="P5097" s="4"/>
      <c r="Q5097" s="4"/>
      <c r="R5097" s="4"/>
      <c r="S5097" s="4"/>
      <c r="T5097" s="4"/>
      <c r="U5097" s="4"/>
      <c r="V5097" s="4"/>
      <c r="W5097" s="4"/>
      <c r="X5097" s="4"/>
    </row>
    <row r="5098" spans="1:24" ht="14.25" customHeight="1">
      <c r="A5098" s="4"/>
      <c r="B5098" s="125">
        <v>46182</v>
      </c>
      <c r="C5098" s="126" t="s">
        <v>2911</v>
      </c>
      <c r="D5098" s="195" t="s">
        <v>2919</v>
      </c>
      <c r="E5098" s="10" t="str">
        <f>TRIM(VLOOKUP(D5098,TB!$B$9:$C$1500,2,FALSE))</f>
        <v>Fisch Sauce @ 660Ml</v>
      </c>
      <c r="F5098" s="185" t="s">
        <v>2920</v>
      </c>
      <c r="G5098" s="130">
        <v>2</v>
      </c>
      <c r="H5098" s="10">
        <v>68000</v>
      </c>
      <c r="I5098" s="10"/>
      <c r="J5098" s="79" t="e">
        <f t="shared" si="327"/>
        <v>#VALUE!</v>
      </c>
      <c r="K5098" s="106"/>
      <c r="L5098" s="141"/>
      <c r="M5098" s="132"/>
      <c r="N5098" s="133"/>
      <c r="O5098" s="4"/>
      <c r="P5098" s="4"/>
      <c r="Q5098" s="4"/>
      <c r="R5098" s="4"/>
      <c r="S5098" s="4"/>
      <c r="T5098" s="4"/>
      <c r="U5098" s="4"/>
      <c r="V5098" s="4"/>
      <c r="W5098" s="4"/>
      <c r="X5098" s="4"/>
    </row>
    <row r="5099" spans="1:24" ht="14.25" customHeight="1">
      <c r="A5099" s="4"/>
      <c r="B5099" s="125">
        <v>46182</v>
      </c>
      <c r="C5099" s="126" t="s">
        <v>2911</v>
      </c>
      <c r="D5099" s="195" t="s">
        <v>2921</v>
      </c>
      <c r="E5099" s="10" t="str">
        <f>TRIM(VLOOKUP(D5099,TB!$B$9:$C$1500,2,FALSE))</f>
        <v>Raja Rasa Saus @ 600Ml</v>
      </c>
      <c r="F5099" s="185" t="s">
        <v>2922</v>
      </c>
      <c r="G5099" s="130">
        <v>2</v>
      </c>
      <c r="H5099" s="10">
        <v>84000</v>
      </c>
      <c r="I5099" s="10"/>
      <c r="J5099" s="79" t="e">
        <f t="shared" si="327"/>
        <v>#VALUE!</v>
      </c>
      <c r="K5099" s="106"/>
      <c r="L5099" s="141"/>
      <c r="M5099" s="132"/>
      <c r="N5099" s="133"/>
      <c r="O5099" s="4"/>
      <c r="P5099" s="4"/>
      <c r="Q5099" s="4"/>
      <c r="R5099" s="4"/>
      <c r="S5099" s="4"/>
      <c r="T5099" s="4"/>
      <c r="U5099" s="4"/>
      <c r="V5099" s="4"/>
      <c r="W5099" s="4"/>
      <c r="X5099" s="4"/>
    </row>
    <row r="5100" spans="1:24" ht="14.25" customHeight="1">
      <c r="A5100" s="4"/>
      <c r="B5100" s="125">
        <v>46182</v>
      </c>
      <c r="C5100" s="126" t="s">
        <v>2911</v>
      </c>
      <c r="D5100" s="15" t="s">
        <v>1855</v>
      </c>
      <c r="E5100" s="10" t="str">
        <f>TRIM(VLOOKUP(D5100,TB!$B$9:$C$1500,2,FALSE))</f>
        <v>Sambal Kethcup</v>
      </c>
      <c r="F5100" s="185" t="s">
        <v>2923</v>
      </c>
      <c r="G5100" s="130">
        <v>2</v>
      </c>
      <c r="H5100" s="10">
        <v>72000</v>
      </c>
      <c r="I5100" s="10"/>
      <c r="J5100" s="79" t="e">
        <f t="shared" si="327"/>
        <v>#VALUE!</v>
      </c>
      <c r="K5100" s="106"/>
      <c r="L5100" s="141"/>
      <c r="M5100" s="132"/>
      <c r="N5100" s="133"/>
      <c r="O5100" s="4"/>
      <c r="P5100" s="4"/>
      <c r="Q5100" s="4"/>
      <c r="R5100" s="4"/>
      <c r="S5100" s="4"/>
      <c r="T5100" s="4"/>
      <c r="U5100" s="4"/>
      <c r="V5100" s="4"/>
      <c r="W5100" s="4"/>
      <c r="X5100" s="4"/>
    </row>
    <row r="5101" spans="1:24" ht="14.25" customHeight="1">
      <c r="A5101" s="4"/>
      <c r="B5101" s="125">
        <v>46182</v>
      </c>
      <c r="C5101" s="126" t="s">
        <v>2911</v>
      </c>
      <c r="D5101" s="15" t="s">
        <v>2924</v>
      </c>
      <c r="E5101" s="10" t="str">
        <f>TRIM(VLOOKUP(D5101,TB!$B$9:$C$1500,2,FALSE))</f>
        <v>Sesame Oil</v>
      </c>
      <c r="F5101" s="185" t="s">
        <v>2925</v>
      </c>
      <c r="G5101" s="130">
        <v>1</v>
      </c>
      <c r="H5101" s="10">
        <v>44000</v>
      </c>
      <c r="I5101" s="10"/>
      <c r="J5101" s="79" t="e">
        <f t="shared" si="327"/>
        <v>#VALUE!</v>
      </c>
      <c r="K5101" s="106"/>
      <c r="L5101" s="141"/>
      <c r="M5101" s="132"/>
      <c r="N5101" s="133"/>
      <c r="O5101" s="4"/>
      <c r="P5101" s="4"/>
      <c r="Q5101" s="4"/>
      <c r="R5101" s="4"/>
      <c r="S5101" s="4"/>
      <c r="T5101" s="4"/>
      <c r="U5101" s="4"/>
      <c r="V5101" s="4"/>
      <c r="W5101" s="4"/>
      <c r="X5101" s="4"/>
    </row>
    <row r="5102" spans="1:24" ht="14.25" customHeight="1">
      <c r="A5102" s="4"/>
      <c r="B5102" s="125">
        <v>46182</v>
      </c>
      <c r="C5102" s="126" t="s">
        <v>2911</v>
      </c>
      <c r="D5102" s="15" t="s">
        <v>2146</v>
      </c>
      <c r="E5102" s="10" t="str">
        <f>TRIM(VLOOKUP(D5102,TB!$B$9:$C$1500,2,FALSE))</f>
        <v>Raising Flour @400 Gr</v>
      </c>
      <c r="F5102" s="185" t="s">
        <v>2926</v>
      </c>
      <c r="G5102" s="130">
        <v>5</v>
      </c>
      <c r="H5102" s="10">
        <v>100000</v>
      </c>
      <c r="I5102" s="10"/>
      <c r="J5102" s="79" t="e">
        <f t="shared" si="327"/>
        <v>#VALUE!</v>
      </c>
      <c r="K5102" s="106">
        <f>H5102/G5102</f>
        <v>20000</v>
      </c>
      <c r="L5102" s="141"/>
      <c r="M5102" s="132"/>
      <c r="N5102" s="133"/>
      <c r="O5102" s="4"/>
      <c r="P5102" s="4"/>
      <c r="Q5102" s="4"/>
      <c r="R5102" s="4"/>
      <c r="S5102" s="4"/>
      <c r="T5102" s="4"/>
      <c r="U5102" s="4"/>
      <c r="V5102" s="4"/>
      <c r="W5102" s="4"/>
      <c r="X5102" s="4"/>
    </row>
    <row r="5103" spans="1:24" ht="14.25" customHeight="1">
      <c r="A5103" s="4"/>
      <c r="B5103" s="125">
        <v>46182</v>
      </c>
      <c r="C5103" s="126" t="s">
        <v>2911</v>
      </c>
      <c r="D5103" s="15" t="s">
        <v>285</v>
      </c>
      <c r="E5103" s="10" t="str">
        <f>TRIM(VLOOKUP(D5103,TB!$B$9:$C$1500,2,FALSE))</f>
        <v>Misc Cash Purchase</v>
      </c>
      <c r="F5103" s="185" t="s">
        <v>2927</v>
      </c>
      <c r="G5103" s="130"/>
      <c r="H5103" s="10"/>
      <c r="I5103" s="10">
        <v>1505000</v>
      </c>
      <c r="J5103" s="79" t="e">
        <f t="shared" si="327"/>
        <v>#VALUE!</v>
      </c>
      <c r="K5103" s="106"/>
      <c r="L5103" s="141"/>
      <c r="M5103" s="132"/>
      <c r="N5103" s="133"/>
      <c r="O5103" s="4"/>
      <c r="P5103" s="4"/>
      <c r="Q5103" s="4"/>
      <c r="R5103" s="4"/>
      <c r="S5103" s="4"/>
      <c r="T5103" s="4"/>
      <c r="U5103" s="4"/>
      <c r="V5103" s="4"/>
      <c r="W5103" s="4"/>
      <c r="X5103" s="4"/>
    </row>
    <row r="5104" spans="1:24" ht="14.25" customHeight="1">
      <c r="A5104" s="4"/>
      <c r="B5104" s="125"/>
      <c r="C5104" s="126"/>
      <c r="D5104" s="68"/>
      <c r="E5104" s="10" t="e">
        <f>TRIM(VLOOKUP(D5104,TB!$B$9:$C$1500,2,FALSE))</f>
        <v>#N/A</v>
      </c>
      <c r="F5104" s="185"/>
      <c r="G5104" s="130"/>
      <c r="H5104" s="10"/>
      <c r="I5104" s="10"/>
      <c r="J5104" s="79" t="e">
        <f t="shared" si="327"/>
        <v>#VALUE!</v>
      </c>
      <c r="K5104" s="106"/>
      <c r="L5104" s="141"/>
      <c r="M5104" s="132"/>
      <c r="N5104" s="133"/>
      <c r="O5104" s="4"/>
      <c r="P5104" s="4"/>
      <c r="Q5104" s="4"/>
      <c r="R5104" s="4"/>
      <c r="S5104" s="4"/>
      <c r="T5104" s="4"/>
      <c r="U5104" s="4"/>
      <c r="V5104" s="4"/>
      <c r="W5104" s="4"/>
      <c r="X5104" s="4"/>
    </row>
    <row r="5105" spans="1:24" ht="14.25" customHeight="1">
      <c r="A5105" s="4"/>
      <c r="B5105" s="125">
        <v>46189</v>
      </c>
      <c r="C5105" s="126" t="s">
        <v>2928</v>
      </c>
      <c r="D5105" s="15" t="s">
        <v>2929</v>
      </c>
      <c r="E5105" s="10" t="str">
        <f>TRIM(VLOOKUP(D5105,TB!$B$9:$C$1500,2,FALSE))</f>
        <v>Bumbu Green Curry/Kalasan</v>
      </c>
      <c r="F5105" s="185" t="s">
        <v>2930</v>
      </c>
      <c r="G5105" s="130">
        <v>10</v>
      </c>
      <c r="H5105" s="10">
        <v>45000</v>
      </c>
      <c r="I5105" s="10"/>
      <c r="J5105" s="79" t="e">
        <f t="shared" si="327"/>
        <v>#VALUE!</v>
      </c>
      <c r="K5105" s="106"/>
      <c r="L5105" s="141"/>
      <c r="M5105" s="132"/>
      <c r="N5105" s="133"/>
      <c r="O5105" s="4"/>
      <c r="P5105" s="4"/>
      <c r="Q5105" s="4"/>
      <c r="R5105" s="4"/>
      <c r="S5105" s="4"/>
      <c r="T5105" s="4"/>
      <c r="U5105" s="4"/>
      <c r="V5105" s="4"/>
      <c r="W5105" s="4"/>
      <c r="X5105" s="4"/>
    </row>
    <row r="5106" spans="1:24" ht="14.25" customHeight="1">
      <c r="A5106" s="4"/>
      <c r="B5106" s="125">
        <v>46189</v>
      </c>
      <c r="C5106" s="126" t="s">
        <v>2928</v>
      </c>
      <c r="D5106" s="15" t="s">
        <v>1155</v>
      </c>
      <c r="E5106" s="10" t="str">
        <f>TRIM(VLOOKUP(D5106,TB!$B$9:$C$1500,2,FALSE))</f>
        <v>Kitchen Supplies</v>
      </c>
      <c r="F5106" s="185" t="s">
        <v>2931</v>
      </c>
      <c r="G5106" s="130">
        <v>1</v>
      </c>
      <c r="H5106" s="10">
        <v>190000</v>
      </c>
      <c r="I5106" s="10"/>
      <c r="J5106" s="79" t="e">
        <f t="shared" si="327"/>
        <v>#VALUE!</v>
      </c>
      <c r="K5106" s="106"/>
      <c r="L5106" s="141"/>
      <c r="M5106" s="132"/>
      <c r="N5106" s="133"/>
      <c r="O5106" s="4"/>
      <c r="P5106" s="4"/>
      <c r="Q5106" s="4"/>
      <c r="R5106" s="4"/>
      <c r="S5106" s="4"/>
      <c r="T5106" s="4"/>
      <c r="U5106" s="4"/>
      <c r="V5106" s="4"/>
      <c r="W5106" s="4"/>
      <c r="X5106" s="4"/>
    </row>
    <row r="5107" spans="1:24" ht="14.25" customHeight="1">
      <c r="A5107" s="4"/>
      <c r="B5107" s="125">
        <v>46189</v>
      </c>
      <c r="C5107" s="126" t="s">
        <v>2928</v>
      </c>
      <c r="D5107" s="15" t="s">
        <v>285</v>
      </c>
      <c r="E5107" s="10" t="str">
        <f>TRIM(VLOOKUP(D5107,TB!$B$9:$C$1500,2,FALSE))</f>
        <v>Misc Cash Purchase</v>
      </c>
      <c r="F5107" s="185" t="s">
        <v>2932</v>
      </c>
      <c r="G5107" s="130"/>
      <c r="H5107" s="10"/>
      <c r="I5107" s="10">
        <v>235000</v>
      </c>
      <c r="J5107" s="79" t="e">
        <f t="shared" si="327"/>
        <v>#VALUE!</v>
      </c>
      <c r="K5107" s="106"/>
      <c r="L5107" s="141"/>
      <c r="M5107" s="132"/>
      <c r="N5107" s="133"/>
      <c r="O5107" s="4"/>
      <c r="P5107" s="4"/>
      <c r="Q5107" s="4"/>
      <c r="R5107" s="4"/>
      <c r="S5107" s="4"/>
      <c r="T5107" s="4"/>
      <c r="U5107" s="4"/>
      <c r="V5107" s="4"/>
      <c r="W5107" s="4"/>
      <c r="X5107" s="4"/>
    </row>
    <row r="5108" spans="1:24" ht="14.25" customHeight="1">
      <c r="A5108" s="4"/>
      <c r="B5108" s="125"/>
      <c r="C5108" s="126"/>
      <c r="D5108" s="68"/>
      <c r="E5108" s="10" t="e">
        <f>TRIM(VLOOKUP(D5108,TB!$B$9:$C$1500,2,FALSE))</f>
        <v>#N/A</v>
      </c>
      <c r="F5108" s="185"/>
      <c r="G5108" s="130"/>
      <c r="H5108" s="10"/>
      <c r="I5108" s="10"/>
      <c r="J5108" s="79" t="e">
        <f t="shared" si="327"/>
        <v>#VALUE!</v>
      </c>
      <c r="K5108" s="106"/>
      <c r="L5108" s="141"/>
      <c r="M5108" s="132"/>
      <c r="N5108" s="133"/>
      <c r="O5108" s="4"/>
      <c r="P5108" s="4"/>
      <c r="Q5108" s="4"/>
      <c r="R5108" s="4"/>
      <c r="S5108" s="4"/>
      <c r="T5108" s="4"/>
      <c r="U5108" s="4"/>
      <c r="V5108" s="4"/>
      <c r="W5108" s="4"/>
      <c r="X5108" s="4"/>
    </row>
    <row r="5109" spans="1:24" ht="14.25" customHeight="1">
      <c r="A5109" s="4"/>
      <c r="B5109" s="125">
        <v>46196</v>
      </c>
      <c r="C5109" s="126" t="s">
        <v>2933</v>
      </c>
      <c r="D5109" s="15" t="s">
        <v>617</v>
      </c>
      <c r="E5109" s="10" t="str">
        <f>TRIM(VLOOKUP(D5109,TB!$B$9:$C$1500,2,FALSE))</f>
        <v>Cleaning Supplies &amp; Expenses</v>
      </c>
      <c r="F5109" s="142" t="s">
        <v>2934</v>
      </c>
      <c r="G5109" s="130"/>
      <c r="H5109" s="10">
        <v>1297000</v>
      </c>
      <c r="I5109" s="10"/>
      <c r="J5109" s="79" t="e">
        <f t="shared" si="327"/>
        <v>#VALUE!</v>
      </c>
      <c r="K5109" s="106"/>
      <c r="L5109" s="141"/>
      <c r="M5109" s="132"/>
      <c r="N5109" s="133"/>
      <c r="O5109" s="4"/>
      <c r="P5109" s="4"/>
      <c r="Q5109" s="4"/>
      <c r="R5109" s="4"/>
      <c r="S5109" s="4"/>
      <c r="T5109" s="4"/>
      <c r="U5109" s="4"/>
      <c r="V5109" s="4"/>
      <c r="W5109" s="4"/>
      <c r="X5109" s="4"/>
    </row>
    <row r="5110" spans="1:24" ht="14.25" customHeight="1">
      <c r="A5110" s="4"/>
      <c r="B5110" s="125">
        <v>46196</v>
      </c>
      <c r="C5110" s="126" t="s">
        <v>2933</v>
      </c>
      <c r="D5110" s="15" t="s">
        <v>285</v>
      </c>
      <c r="E5110" s="10" t="str">
        <f>TRIM(VLOOKUP(D5110,TB!$B$9:$C$1500,2,FALSE))</f>
        <v>Misc Cash Purchase</v>
      </c>
      <c r="F5110" s="142" t="s">
        <v>2935</v>
      </c>
      <c r="G5110" s="130"/>
      <c r="H5110" s="10"/>
      <c r="I5110" s="10">
        <v>1297000</v>
      </c>
      <c r="J5110" s="79" t="e">
        <f t="shared" si="327"/>
        <v>#VALUE!</v>
      </c>
      <c r="K5110" s="106"/>
      <c r="L5110" s="141"/>
      <c r="M5110" s="132"/>
      <c r="N5110" s="133"/>
      <c r="O5110" s="4"/>
      <c r="P5110" s="4"/>
      <c r="Q5110" s="4"/>
      <c r="R5110" s="4"/>
      <c r="S5110" s="4"/>
      <c r="T5110" s="4"/>
      <c r="U5110" s="4"/>
      <c r="V5110" s="4"/>
      <c r="W5110" s="4"/>
      <c r="X5110" s="4"/>
    </row>
    <row r="5111" spans="1:24" ht="14.25" customHeight="1">
      <c r="A5111" s="4"/>
      <c r="B5111" s="125"/>
      <c r="C5111" s="126"/>
      <c r="D5111" s="15"/>
      <c r="E5111" s="10" t="e">
        <f>TRIM(VLOOKUP(D5111,TB!$B$9:$C$1500,2,FALSE))</f>
        <v>#N/A</v>
      </c>
      <c r="F5111" s="185"/>
      <c r="G5111" s="130"/>
      <c r="H5111" s="10"/>
      <c r="I5111" s="10"/>
      <c r="J5111" s="79" t="e">
        <f t="shared" si="327"/>
        <v>#VALUE!</v>
      </c>
      <c r="K5111" s="106"/>
      <c r="L5111" s="141"/>
      <c r="M5111" s="132"/>
      <c r="N5111" s="133"/>
      <c r="O5111" s="4"/>
      <c r="P5111" s="4"/>
      <c r="Q5111" s="4"/>
      <c r="R5111" s="4"/>
      <c r="S5111" s="4"/>
      <c r="T5111" s="4"/>
      <c r="U5111" s="4"/>
      <c r="V5111" s="4"/>
      <c r="W5111" s="4"/>
      <c r="X5111" s="4"/>
    </row>
    <row r="5112" spans="1:24" ht="14.25" customHeight="1">
      <c r="A5112" s="4"/>
      <c r="B5112" s="125">
        <v>46196</v>
      </c>
      <c r="C5112" s="126" t="s">
        <v>2936</v>
      </c>
      <c r="D5112" s="15" t="s">
        <v>2937</v>
      </c>
      <c r="E5112" s="10" t="str">
        <f>TRIM(VLOOKUP(D5112,TB!$B$9:$C$1500,2,FALSE))</f>
        <v>Bread Crumb Yellow</v>
      </c>
      <c r="F5112" s="142" t="s">
        <v>2938</v>
      </c>
      <c r="G5112" s="130">
        <v>10</v>
      </c>
      <c r="H5112" s="10">
        <v>165000</v>
      </c>
      <c r="I5112" s="10"/>
      <c r="J5112" s="79" t="e">
        <f t="shared" si="327"/>
        <v>#VALUE!</v>
      </c>
      <c r="K5112" s="106"/>
      <c r="L5112" s="141"/>
      <c r="M5112" s="132"/>
      <c r="N5112" s="133"/>
      <c r="O5112" s="4"/>
      <c r="P5112" s="4"/>
      <c r="Q5112" s="4"/>
      <c r="R5112" s="4"/>
      <c r="S5112" s="4"/>
      <c r="T5112" s="4"/>
      <c r="U5112" s="4"/>
      <c r="V5112" s="4"/>
      <c r="W5112" s="4"/>
      <c r="X5112" s="4"/>
    </row>
    <row r="5113" spans="1:24" ht="14.25" customHeight="1">
      <c r="A5113" s="4"/>
      <c r="B5113" s="125">
        <v>46196</v>
      </c>
      <c r="C5113" s="126" t="s">
        <v>2936</v>
      </c>
      <c r="D5113" s="15" t="s">
        <v>2289</v>
      </c>
      <c r="E5113" s="10" t="str">
        <f>TRIM(VLOOKUP(D5113,TB!$B$9:$C$1500,2,FALSE))</f>
        <v>Demi Glass</v>
      </c>
      <c r="F5113" s="142" t="s">
        <v>2939</v>
      </c>
      <c r="G5113" s="130">
        <v>1</v>
      </c>
      <c r="H5113" s="10">
        <v>172000</v>
      </c>
      <c r="I5113" s="10"/>
      <c r="J5113" s="79" t="e">
        <f t="shared" si="327"/>
        <v>#VALUE!</v>
      </c>
      <c r="K5113" s="106"/>
      <c r="L5113" s="141"/>
      <c r="M5113" s="132"/>
      <c r="N5113" s="133"/>
      <c r="O5113" s="4"/>
      <c r="P5113" s="4"/>
      <c r="Q5113" s="4"/>
      <c r="R5113" s="4"/>
      <c r="S5113" s="4"/>
      <c r="T5113" s="4"/>
      <c r="U5113" s="4"/>
      <c r="V5113" s="4"/>
      <c r="W5113" s="4"/>
      <c r="X5113" s="4"/>
    </row>
    <row r="5114" spans="1:24" ht="14.25" customHeight="1">
      <c r="A5114" s="4"/>
      <c r="B5114" s="125">
        <v>46196</v>
      </c>
      <c r="C5114" s="126" t="s">
        <v>2936</v>
      </c>
      <c r="D5114" s="15" t="s">
        <v>2191</v>
      </c>
      <c r="E5114" s="10" t="str">
        <f>TRIM(VLOOKUP(D5114,TB!$B$9:$C$1500,2,FALSE))</f>
        <v>Honey/Madu</v>
      </c>
      <c r="F5114" s="142" t="s">
        <v>2940</v>
      </c>
      <c r="G5114" s="130">
        <v>0.625</v>
      </c>
      <c r="H5114" s="10">
        <v>36000</v>
      </c>
      <c r="I5114" s="10"/>
      <c r="J5114" s="79" t="e">
        <f t="shared" si="327"/>
        <v>#VALUE!</v>
      </c>
      <c r="K5114" s="106">
        <f>H5114/G5114</f>
        <v>57600</v>
      </c>
      <c r="L5114" s="141"/>
      <c r="M5114" s="132"/>
      <c r="N5114" s="133"/>
      <c r="O5114" s="4"/>
      <c r="P5114" s="4"/>
      <c r="Q5114" s="4"/>
      <c r="R5114" s="4"/>
      <c r="S5114" s="4"/>
      <c r="T5114" s="4"/>
      <c r="U5114" s="4"/>
      <c r="V5114" s="4"/>
      <c r="W5114" s="4"/>
      <c r="X5114" s="4"/>
    </row>
    <row r="5115" spans="1:24" ht="14.25" customHeight="1">
      <c r="A5115" s="4"/>
      <c r="B5115" s="125">
        <v>46196</v>
      </c>
      <c r="C5115" s="126" t="s">
        <v>2936</v>
      </c>
      <c r="D5115" s="15" t="s">
        <v>2917</v>
      </c>
      <c r="E5115" s="10" t="str">
        <f>TRIM(VLOOKUP(D5115,TB!$B$9:$C$1500,2,FALSE))</f>
        <v>Lea &amp; Perrins (Kecap Inggris)</v>
      </c>
      <c r="F5115" s="142" t="s">
        <v>2941</v>
      </c>
      <c r="G5115" s="130">
        <v>1</v>
      </c>
      <c r="H5115" s="10">
        <v>47000</v>
      </c>
      <c r="I5115" s="10"/>
      <c r="J5115" s="79" t="e">
        <f t="shared" si="327"/>
        <v>#VALUE!</v>
      </c>
      <c r="K5115" s="106"/>
      <c r="L5115" s="141"/>
      <c r="M5115" s="132"/>
      <c r="N5115" s="133"/>
      <c r="O5115" s="4"/>
      <c r="P5115" s="4"/>
      <c r="Q5115" s="4"/>
      <c r="R5115" s="4"/>
      <c r="S5115" s="4"/>
      <c r="T5115" s="4"/>
      <c r="U5115" s="4"/>
      <c r="V5115" s="4"/>
      <c r="W5115" s="4"/>
      <c r="X5115" s="4"/>
    </row>
    <row r="5116" spans="1:24" ht="14.25" customHeight="1">
      <c r="A5116" s="4"/>
      <c r="B5116" s="125">
        <v>46196</v>
      </c>
      <c r="C5116" s="126" t="s">
        <v>2936</v>
      </c>
      <c r="D5116" s="15" t="s">
        <v>1155</v>
      </c>
      <c r="E5116" s="10" t="str">
        <f>TRIM(VLOOKUP(D5116,TB!$B$9:$C$1500,2,FALSE))</f>
        <v>Kitchen Supplies</v>
      </c>
      <c r="F5116" s="142" t="s">
        <v>2942</v>
      </c>
      <c r="G5116" s="130">
        <v>100</v>
      </c>
      <c r="H5116" s="10">
        <v>61000</v>
      </c>
      <c r="I5116" s="10"/>
      <c r="J5116" s="79" t="e">
        <f t="shared" si="327"/>
        <v>#VALUE!</v>
      </c>
      <c r="K5116" s="106"/>
      <c r="L5116" s="141"/>
      <c r="M5116" s="132"/>
      <c r="N5116" s="133"/>
      <c r="O5116" s="4"/>
      <c r="P5116" s="4"/>
      <c r="Q5116" s="4"/>
      <c r="R5116" s="4"/>
      <c r="S5116" s="4"/>
      <c r="T5116" s="4"/>
      <c r="U5116" s="4"/>
      <c r="V5116" s="4"/>
      <c r="W5116" s="4"/>
      <c r="X5116" s="4"/>
    </row>
    <row r="5117" spans="1:24" ht="14.25" customHeight="1">
      <c r="A5117" s="4"/>
      <c r="B5117" s="125">
        <v>46196</v>
      </c>
      <c r="C5117" s="126" t="s">
        <v>2936</v>
      </c>
      <c r="D5117" s="15" t="s">
        <v>2924</v>
      </c>
      <c r="E5117" s="10" t="str">
        <f>TRIM(VLOOKUP(D5117,TB!$B$9:$C$1500,2,FALSE))</f>
        <v>Sesame Oil</v>
      </c>
      <c r="F5117" s="142" t="s">
        <v>2943</v>
      </c>
      <c r="G5117" s="130">
        <v>1</v>
      </c>
      <c r="H5117" s="10">
        <v>44000</v>
      </c>
      <c r="I5117" s="10"/>
      <c r="J5117" s="79" t="e">
        <f t="shared" si="327"/>
        <v>#VALUE!</v>
      </c>
      <c r="K5117" s="106"/>
      <c r="L5117" s="141"/>
      <c r="M5117" s="132"/>
      <c r="N5117" s="133"/>
      <c r="O5117" s="4"/>
      <c r="P5117" s="4"/>
      <c r="Q5117" s="4"/>
      <c r="R5117" s="4"/>
      <c r="S5117" s="4"/>
      <c r="T5117" s="4"/>
      <c r="U5117" s="4"/>
      <c r="V5117" s="4"/>
      <c r="W5117" s="4"/>
      <c r="X5117" s="4"/>
    </row>
    <row r="5118" spans="1:24" ht="14.25" customHeight="1">
      <c r="A5118" s="4"/>
      <c r="B5118" s="125">
        <v>46196</v>
      </c>
      <c r="C5118" s="126" t="s">
        <v>2936</v>
      </c>
      <c r="D5118" s="15" t="s">
        <v>2944</v>
      </c>
      <c r="E5118" s="10" t="str">
        <f>TRIM(VLOOKUP(D5118,TB!$B$9:$C$1500,2,FALSE))</f>
        <v>Tepung Roti</v>
      </c>
      <c r="F5118" s="142" t="s">
        <v>2945</v>
      </c>
      <c r="G5118" s="130">
        <v>5</v>
      </c>
      <c r="H5118" s="10">
        <v>70000</v>
      </c>
      <c r="I5118" s="10"/>
      <c r="J5118" s="79" t="e">
        <f t="shared" si="327"/>
        <v>#VALUE!</v>
      </c>
      <c r="K5118" s="106"/>
      <c r="L5118" s="141"/>
      <c r="M5118" s="132"/>
      <c r="N5118" s="133"/>
      <c r="O5118" s="4"/>
      <c r="P5118" s="4"/>
      <c r="Q5118" s="4"/>
      <c r="R5118" s="4"/>
      <c r="S5118" s="4"/>
      <c r="T5118" s="4"/>
      <c r="U5118" s="4"/>
      <c r="V5118" s="4"/>
      <c r="W5118" s="4"/>
      <c r="X5118" s="4"/>
    </row>
    <row r="5119" spans="1:24" ht="14.25" customHeight="1">
      <c r="A5119" s="4"/>
      <c r="B5119" s="125">
        <v>46196</v>
      </c>
      <c r="C5119" s="126" t="s">
        <v>2936</v>
      </c>
      <c r="D5119" s="15" t="s">
        <v>2292</v>
      </c>
      <c r="E5119" s="10" t="str">
        <f>TRIM(VLOOKUP(D5119,TB!$B$9:$C$1500,2,FALSE))</f>
        <v>Tepung Maizena</v>
      </c>
      <c r="F5119" s="142" t="s">
        <v>2946</v>
      </c>
      <c r="G5119" s="130">
        <v>1</v>
      </c>
      <c r="H5119" s="10">
        <v>25000</v>
      </c>
      <c r="I5119" s="10"/>
      <c r="J5119" s="79" t="e">
        <f t="shared" si="327"/>
        <v>#VALUE!</v>
      </c>
      <c r="K5119" s="106"/>
      <c r="L5119" s="141"/>
      <c r="M5119" s="132"/>
      <c r="N5119" s="133"/>
      <c r="O5119" s="4"/>
      <c r="P5119" s="4"/>
      <c r="Q5119" s="4"/>
      <c r="R5119" s="4"/>
      <c r="S5119" s="4"/>
      <c r="T5119" s="4"/>
      <c r="U5119" s="4"/>
      <c r="V5119" s="4"/>
      <c r="W5119" s="4"/>
      <c r="X5119" s="4"/>
    </row>
    <row r="5120" spans="1:24" ht="14.25" customHeight="1">
      <c r="A5120" s="4"/>
      <c r="B5120" s="125">
        <v>46196</v>
      </c>
      <c r="C5120" s="126" t="s">
        <v>2936</v>
      </c>
      <c r="D5120" s="15" t="s">
        <v>2146</v>
      </c>
      <c r="E5120" s="10" t="str">
        <f>TRIM(VLOOKUP(D5120,TB!$B$9:$C$1500,2,FALSE))</f>
        <v>Raising Flour @400 Gr</v>
      </c>
      <c r="F5120" s="142" t="s">
        <v>2947</v>
      </c>
      <c r="G5120" s="130">
        <v>4</v>
      </c>
      <c r="H5120" s="10">
        <v>80000</v>
      </c>
      <c r="I5120" s="10"/>
      <c r="J5120" s="79" t="e">
        <f t="shared" si="327"/>
        <v>#VALUE!</v>
      </c>
      <c r="K5120" s="106">
        <f>H5120/G5120</f>
        <v>20000</v>
      </c>
      <c r="L5120" s="141"/>
      <c r="M5120" s="132"/>
      <c r="N5120" s="133"/>
      <c r="O5120" s="4"/>
      <c r="P5120" s="4"/>
      <c r="Q5120" s="4"/>
      <c r="R5120" s="4"/>
      <c r="S5120" s="4"/>
      <c r="T5120" s="4"/>
      <c r="U5120" s="4"/>
      <c r="V5120" s="4"/>
      <c r="W5120" s="4"/>
      <c r="X5120" s="4"/>
    </row>
    <row r="5121" spans="1:24" ht="14.25" customHeight="1">
      <c r="A5121" s="4"/>
      <c r="B5121" s="125">
        <v>46196</v>
      </c>
      <c r="C5121" s="126" t="s">
        <v>2936</v>
      </c>
      <c r="D5121" s="15" t="s">
        <v>285</v>
      </c>
      <c r="E5121" s="10" t="str">
        <f>TRIM(VLOOKUP(D5121,TB!$B$9:$C$1500,2,FALSE))</f>
        <v>Misc Cash Purchase</v>
      </c>
      <c r="F5121" s="142" t="s">
        <v>2948</v>
      </c>
      <c r="G5121" s="130"/>
      <c r="H5121" s="10"/>
      <c r="I5121" s="10">
        <v>700000</v>
      </c>
      <c r="J5121" s="79" t="e">
        <f t="shared" si="327"/>
        <v>#VALUE!</v>
      </c>
      <c r="K5121" s="106"/>
      <c r="L5121" s="141"/>
      <c r="M5121" s="132"/>
      <c r="N5121" s="133"/>
      <c r="O5121" s="4"/>
      <c r="P5121" s="4"/>
      <c r="Q5121" s="4"/>
      <c r="R5121" s="4"/>
      <c r="S5121" s="4"/>
      <c r="T5121" s="4"/>
      <c r="U5121" s="4"/>
      <c r="V5121" s="4"/>
      <c r="W5121" s="4"/>
      <c r="X5121" s="4"/>
    </row>
    <row r="5122" spans="1:24" ht="14.25" customHeight="1">
      <c r="A5122" s="4"/>
      <c r="B5122" s="125"/>
      <c r="C5122" s="126"/>
      <c r="D5122" s="15"/>
      <c r="E5122" s="10" t="e">
        <f>TRIM(VLOOKUP(D5122,TB!$B$9:$C$1500,2,FALSE))</f>
        <v>#N/A</v>
      </c>
      <c r="F5122" s="185"/>
      <c r="G5122" s="130"/>
      <c r="H5122" s="10"/>
      <c r="I5122" s="10"/>
      <c r="J5122" s="79" t="e">
        <f t="shared" si="327"/>
        <v>#VALUE!</v>
      </c>
      <c r="K5122" s="106"/>
      <c r="L5122" s="141"/>
      <c r="M5122" s="132"/>
      <c r="N5122" s="133"/>
      <c r="O5122" s="4"/>
      <c r="P5122" s="4"/>
      <c r="Q5122" s="4"/>
      <c r="R5122" s="4"/>
      <c r="S5122" s="4"/>
      <c r="T5122" s="4"/>
      <c r="U5122" s="4"/>
      <c r="V5122" s="4"/>
      <c r="W5122" s="4"/>
      <c r="X5122" s="4"/>
    </row>
    <row r="5123" spans="1:24" ht="14.25" customHeight="1">
      <c r="A5123" s="4"/>
      <c r="B5123" s="125">
        <v>46199</v>
      </c>
      <c r="C5123" s="126" t="s">
        <v>2949</v>
      </c>
      <c r="D5123" s="15" t="s">
        <v>1155</v>
      </c>
      <c r="E5123" s="10" t="str">
        <f>TRIM(VLOOKUP(D5123,TB!$B$9:$C$1500,2,FALSE))</f>
        <v>Kitchen Supplies</v>
      </c>
      <c r="F5123" s="142" t="s">
        <v>2950</v>
      </c>
      <c r="G5123" s="130"/>
      <c r="H5123" s="10">
        <v>199000</v>
      </c>
      <c r="I5123" s="10"/>
      <c r="J5123" s="79" t="e">
        <f t="shared" si="327"/>
        <v>#VALUE!</v>
      </c>
      <c r="K5123" s="106"/>
      <c r="L5123" s="141"/>
      <c r="M5123" s="132"/>
      <c r="N5123" s="133"/>
      <c r="O5123" s="4"/>
      <c r="P5123" s="4"/>
      <c r="Q5123" s="4"/>
      <c r="R5123" s="4"/>
      <c r="S5123" s="4"/>
      <c r="T5123" s="4"/>
      <c r="U5123" s="4"/>
      <c r="V5123" s="4"/>
      <c r="W5123" s="4"/>
      <c r="X5123" s="4"/>
    </row>
    <row r="5124" spans="1:24" ht="14.25" customHeight="1">
      <c r="A5124" s="4"/>
      <c r="B5124" s="125">
        <v>46199</v>
      </c>
      <c r="C5124" s="126" t="s">
        <v>2949</v>
      </c>
      <c r="D5124" s="15" t="s">
        <v>285</v>
      </c>
      <c r="E5124" s="10" t="str">
        <f>TRIM(VLOOKUP(D5124,TB!$B$9:$C$1500,2,FALSE))</f>
        <v>Misc Cash Purchase</v>
      </c>
      <c r="F5124" s="142" t="s">
        <v>2950</v>
      </c>
      <c r="G5124" s="130"/>
      <c r="H5124" s="10"/>
      <c r="I5124" s="10">
        <v>199000</v>
      </c>
      <c r="J5124" s="79" t="e">
        <f t="shared" si="327"/>
        <v>#VALUE!</v>
      </c>
      <c r="K5124" s="106"/>
      <c r="L5124" s="141"/>
      <c r="M5124" s="132"/>
      <c r="N5124" s="133"/>
      <c r="O5124" s="4"/>
      <c r="P5124" s="4"/>
      <c r="Q5124" s="4"/>
      <c r="R5124" s="4"/>
      <c r="S5124" s="4"/>
      <c r="T5124" s="4"/>
      <c r="U5124" s="4"/>
      <c r="V5124" s="4"/>
      <c r="W5124" s="4"/>
      <c r="X5124" s="4"/>
    </row>
    <row r="5125" spans="1:24" ht="14.25" customHeight="1">
      <c r="A5125" s="4"/>
      <c r="B5125" s="125"/>
      <c r="C5125" s="126"/>
      <c r="D5125" s="15"/>
      <c r="E5125" s="10" t="e">
        <f>TRIM(VLOOKUP(D5125,TB!$B$9:$C$1500,2,FALSE))</f>
        <v>#N/A</v>
      </c>
      <c r="F5125" s="186"/>
      <c r="G5125" s="130"/>
      <c r="H5125" s="10"/>
      <c r="I5125" s="10"/>
      <c r="J5125" s="79" t="e">
        <f t="shared" si="327"/>
        <v>#VALUE!</v>
      </c>
      <c r="K5125" s="106"/>
      <c r="L5125" s="141"/>
      <c r="M5125" s="132"/>
      <c r="N5125" s="133"/>
      <c r="O5125" s="4"/>
      <c r="P5125" s="4"/>
      <c r="Q5125" s="4"/>
      <c r="R5125" s="4"/>
      <c r="S5125" s="4"/>
      <c r="T5125" s="4"/>
      <c r="U5125" s="4"/>
      <c r="V5125" s="4"/>
      <c r="W5125" s="4"/>
      <c r="X5125" s="4"/>
    </row>
    <row r="5126" spans="1:24" ht="14.25" customHeight="1">
      <c r="A5126" s="4"/>
      <c r="B5126" s="125">
        <v>46203</v>
      </c>
      <c r="C5126" s="126" t="s">
        <v>2951</v>
      </c>
      <c r="D5126" s="15" t="s">
        <v>1155</v>
      </c>
      <c r="E5126" s="10" t="str">
        <f>TRIM(VLOOKUP(D5126,TB!$B$9:$C$1500,2,FALSE))</f>
        <v>Kitchen Supplies</v>
      </c>
      <c r="F5126" s="185" t="s">
        <v>2952</v>
      </c>
      <c r="G5126" s="130"/>
      <c r="H5126" s="10">
        <v>265000</v>
      </c>
      <c r="I5126" s="10"/>
      <c r="J5126" s="79" t="e">
        <f t="shared" ref="J5126:J5380" si="341">J5125+H5126-I5126</f>
        <v>#VALUE!</v>
      </c>
      <c r="K5126" s="106"/>
      <c r="L5126" s="141"/>
      <c r="M5126" s="132"/>
      <c r="N5126" s="133"/>
      <c r="O5126" s="4"/>
      <c r="P5126" s="4"/>
      <c r="Q5126" s="4"/>
      <c r="R5126" s="4"/>
      <c r="S5126" s="4"/>
      <c r="T5126" s="4"/>
      <c r="U5126" s="4"/>
      <c r="V5126" s="4"/>
      <c r="W5126" s="4"/>
      <c r="X5126" s="4"/>
    </row>
    <row r="5127" spans="1:24" ht="14.25" customHeight="1">
      <c r="A5127" s="4"/>
      <c r="B5127" s="125">
        <v>46203</v>
      </c>
      <c r="C5127" s="126" t="s">
        <v>2951</v>
      </c>
      <c r="D5127" s="15" t="s">
        <v>285</v>
      </c>
      <c r="E5127" s="10" t="str">
        <f>TRIM(VLOOKUP(D5127,TB!$B$9:$C$1500,2,FALSE))</f>
        <v>Misc Cash Purchase</v>
      </c>
      <c r="F5127" s="185" t="s">
        <v>2953</v>
      </c>
      <c r="G5127" s="130"/>
      <c r="H5127" s="10"/>
      <c r="I5127" s="10">
        <v>265000</v>
      </c>
      <c r="J5127" s="79" t="e">
        <f t="shared" si="341"/>
        <v>#VALUE!</v>
      </c>
      <c r="K5127" s="106"/>
      <c r="L5127" s="141"/>
      <c r="M5127" s="132"/>
      <c r="N5127" s="133"/>
      <c r="O5127" s="4"/>
      <c r="P5127" s="4"/>
      <c r="Q5127" s="4"/>
      <c r="R5127" s="4"/>
      <c r="S5127" s="4"/>
      <c r="T5127" s="4"/>
      <c r="U5127" s="4"/>
      <c r="V5127" s="4"/>
      <c r="W5127" s="4"/>
      <c r="X5127" s="4"/>
    </row>
    <row r="5128" spans="1:24" ht="14.25" customHeight="1">
      <c r="A5128" s="4"/>
      <c r="B5128" s="125"/>
      <c r="C5128" s="126"/>
      <c r="D5128" s="15"/>
      <c r="E5128" s="10" t="e">
        <f>TRIM(VLOOKUP(D5128,TB!$B$9:$C$1500,2,FALSE))</f>
        <v>#N/A</v>
      </c>
      <c r="F5128" s="186"/>
      <c r="G5128" s="130"/>
      <c r="H5128" s="10"/>
      <c r="I5128" s="10"/>
      <c r="J5128" s="79" t="e">
        <f t="shared" si="341"/>
        <v>#VALUE!</v>
      </c>
      <c r="K5128" s="106"/>
      <c r="L5128" s="141"/>
      <c r="M5128" s="132"/>
      <c r="N5128" s="133"/>
      <c r="O5128" s="4"/>
      <c r="P5128" s="4"/>
      <c r="Q5128" s="4"/>
      <c r="R5128" s="4"/>
      <c r="S5128" s="4"/>
      <c r="T5128" s="4"/>
      <c r="U5128" s="4"/>
      <c r="V5128" s="4"/>
      <c r="W5128" s="4"/>
      <c r="X5128" s="4"/>
    </row>
    <row r="5129" spans="1:24" ht="14.25" customHeight="1">
      <c r="A5129" s="4"/>
      <c r="B5129" s="125">
        <v>46186</v>
      </c>
      <c r="C5129" s="126" t="s">
        <v>2954</v>
      </c>
      <c r="D5129" s="15" t="s">
        <v>2880</v>
      </c>
      <c r="E5129" s="10" t="str">
        <f>TRIM(VLOOKUP(D5129,TB!$B$9:$C$1500,2,FALSE))</f>
        <v>Salmon Steak</v>
      </c>
      <c r="F5129" s="186" t="s">
        <v>2955</v>
      </c>
      <c r="G5129" s="130">
        <v>3</v>
      </c>
      <c r="H5129" s="10">
        <v>915000</v>
      </c>
      <c r="I5129" s="10"/>
      <c r="J5129" s="79" t="e">
        <f t="shared" si="341"/>
        <v>#VALUE!</v>
      </c>
      <c r="K5129" s="106">
        <f>H5129/G5129</f>
        <v>305000</v>
      </c>
      <c r="L5129" s="141"/>
      <c r="M5129" s="132"/>
      <c r="N5129" s="133"/>
      <c r="O5129" s="4"/>
      <c r="P5129" s="4"/>
      <c r="Q5129" s="4"/>
      <c r="R5129" s="4"/>
      <c r="S5129" s="4"/>
      <c r="T5129" s="4"/>
      <c r="U5129" s="4"/>
      <c r="V5129" s="4"/>
      <c r="W5129" s="4"/>
      <c r="X5129" s="4"/>
    </row>
    <row r="5130" spans="1:24" ht="14.25" customHeight="1">
      <c r="A5130" s="4"/>
      <c r="B5130" s="125">
        <v>46186</v>
      </c>
      <c r="C5130" s="126" t="s">
        <v>2954</v>
      </c>
      <c r="D5130" s="15" t="s">
        <v>285</v>
      </c>
      <c r="E5130" s="10" t="str">
        <f>TRIM(VLOOKUP(D5130,TB!$B$9:$C$1500,2,FALSE))</f>
        <v>Misc Cash Purchase</v>
      </c>
      <c r="F5130" s="186" t="s">
        <v>2956</v>
      </c>
      <c r="G5130" s="130"/>
      <c r="H5130" s="10"/>
      <c r="I5130" s="10">
        <v>915000</v>
      </c>
      <c r="J5130" s="79" t="e">
        <f t="shared" si="341"/>
        <v>#VALUE!</v>
      </c>
      <c r="K5130" s="106"/>
      <c r="L5130" s="141"/>
      <c r="M5130" s="132"/>
      <c r="N5130" s="133"/>
      <c r="O5130" s="4"/>
      <c r="P5130" s="4"/>
      <c r="Q5130" s="4"/>
      <c r="R5130" s="4"/>
      <c r="S5130" s="4"/>
      <c r="T5130" s="4"/>
      <c r="U5130" s="4"/>
      <c r="V5130" s="4"/>
      <c r="W5130" s="4"/>
      <c r="X5130" s="4"/>
    </row>
    <row r="5131" spans="1:24" ht="14.25" customHeight="1">
      <c r="A5131" s="4"/>
      <c r="B5131" s="125"/>
      <c r="C5131" s="126"/>
      <c r="D5131" s="68"/>
      <c r="E5131" s="10" t="e">
        <f>TRIM(VLOOKUP(D5131,TB!$B$9:$C$1500,2,FALSE))</f>
        <v>#N/A</v>
      </c>
      <c r="F5131" s="185"/>
      <c r="G5131" s="130"/>
      <c r="H5131" s="10"/>
      <c r="I5131" s="10"/>
      <c r="J5131" s="79" t="e">
        <f t="shared" si="341"/>
        <v>#VALUE!</v>
      </c>
      <c r="K5131" s="106"/>
      <c r="L5131" s="141"/>
      <c r="M5131" s="132"/>
      <c r="N5131" s="133"/>
      <c r="O5131" s="4"/>
      <c r="P5131" s="4"/>
      <c r="Q5131" s="4"/>
      <c r="R5131" s="4"/>
      <c r="S5131" s="4"/>
      <c r="T5131" s="4"/>
      <c r="U5131" s="4"/>
      <c r="V5131" s="4"/>
      <c r="W5131" s="4"/>
      <c r="X5131" s="4"/>
    </row>
    <row r="5132" spans="1:24" ht="14.25" customHeight="1">
      <c r="A5132" s="4"/>
      <c r="B5132" s="125">
        <v>46182</v>
      </c>
      <c r="C5132" s="126" t="s">
        <v>2957</v>
      </c>
      <c r="D5132" s="15" t="s">
        <v>2958</v>
      </c>
      <c r="E5132" s="10" t="str">
        <f>TRIM(VLOOKUP(D5132,TB!$B$9:$C$1500,2,FALSE))</f>
        <v>Beef Bacon</v>
      </c>
      <c r="F5132" s="185" t="s">
        <v>2959</v>
      </c>
      <c r="G5132" s="130">
        <v>2</v>
      </c>
      <c r="H5132" s="10">
        <v>366300</v>
      </c>
      <c r="I5132" s="10"/>
      <c r="J5132" s="79" t="e">
        <f t="shared" si="341"/>
        <v>#VALUE!</v>
      </c>
      <c r="K5132" s="106">
        <f>H5132/G5132</f>
        <v>183150</v>
      </c>
      <c r="L5132" s="141"/>
      <c r="M5132" s="132"/>
      <c r="N5132" s="133"/>
      <c r="O5132" s="4"/>
      <c r="P5132" s="4"/>
      <c r="Q5132" s="4"/>
      <c r="R5132" s="4"/>
      <c r="S5132" s="4"/>
      <c r="T5132" s="4"/>
      <c r="U5132" s="4"/>
      <c r="V5132" s="4"/>
      <c r="W5132" s="4"/>
      <c r="X5132" s="4"/>
    </row>
    <row r="5133" spans="1:24" ht="14.25" customHeight="1">
      <c r="A5133" s="4"/>
      <c r="B5133" s="125">
        <v>46182</v>
      </c>
      <c r="C5133" s="126" t="s">
        <v>2957</v>
      </c>
      <c r="D5133" s="15" t="s">
        <v>285</v>
      </c>
      <c r="E5133" s="10" t="str">
        <f>TRIM(VLOOKUP(D5133,TB!$B$9:$C$1500,2,FALSE))</f>
        <v>Misc Cash Purchase</v>
      </c>
      <c r="F5133" s="185" t="s">
        <v>2960</v>
      </c>
      <c r="G5133" s="130"/>
      <c r="H5133" s="10"/>
      <c r="I5133" s="10">
        <v>366300</v>
      </c>
      <c r="J5133" s="79" t="e">
        <f t="shared" si="341"/>
        <v>#VALUE!</v>
      </c>
      <c r="K5133" s="106"/>
      <c r="L5133" s="141"/>
      <c r="M5133" s="132"/>
      <c r="N5133" s="133"/>
      <c r="O5133" s="4"/>
      <c r="P5133" s="4"/>
      <c r="Q5133" s="4"/>
      <c r="R5133" s="4"/>
      <c r="S5133" s="4"/>
      <c r="T5133" s="4"/>
      <c r="U5133" s="4"/>
      <c r="V5133" s="4"/>
      <c r="W5133" s="4"/>
      <c r="X5133" s="4"/>
    </row>
    <row r="5134" spans="1:24" ht="14.25" customHeight="1">
      <c r="A5134" s="4"/>
      <c r="B5134" s="125"/>
      <c r="C5134" s="126"/>
      <c r="D5134" s="68"/>
      <c r="E5134" s="10" t="e">
        <f>TRIM(VLOOKUP(D5134,TB!$B$9:$C$1500,2,FALSE))</f>
        <v>#N/A</v>
      </c>
      <c r="F5134" s="142"/>
      <c r="G5134" s="130"/>
      <c r="H5134" s="10"/>
      <c r="I5134" s="10"/>
      <c r="J5134" s="79" t="e">
        <f t="shared" si="341"/>
        <v>#VALUE!</v>
      </c>
      <c r="K5134" s="106"/>
      <c r="L5134" s="141"/>
      <c r="M5134" s="132"/>
      <c r="N5134" s="133"/>
      <c r="O5134" s="4"/>
      <c r="P5134" s="4"/>
      <c r="Q5134" s="4"/>
      <c r="R5134" s="4"/>
      <c r="S5134" s="4"/>
      <c r="T5134" s="4"/>
      <c r="U5134" s="4"/>
      <c r="V5134" s="4"/>
      <c r="W5134" s="4"/>
      <c r="X5134" s="4"/>
    </row>
    <row r="5135" spans="1:24" ht="14.25" customHeight="1">
      <c r="A5135" s="4"/>
      <c r="B5135" s="125">
        <v>46182</v>
      </c>
      <c r="C5135" s="126" t="s">
        <v>2961</v>
      </c>
      <c r="D5135" s="15" t="s">
        <v>2962</v>
      </c>
      <c r="E5135" s="10" t="str">
        <f>TRIM(VLOOKUP(D5135,TB!$B$9:$C$1500,2,FALSE))</f>
        <v>Oyster Sauce @ 510Ltr</v>
      </c>
      <c r="F5135" s="186" t="s">
        <v>2963</v>
      </c>
      <c r="G5135" s="130">
        <f>((2.2*2)/0.51)</f>
        <v>8.6274509803921582</v>
      </c>
      <c r="H5135" s="155">
        <v>218914</v>
      </c>
      <c r="I5135" s="10"/>
      <c r="J5135" s="79" t="e">
        <f t="shared" si="341"/>
        <v>#VALUE!</v>
      </c>
      <c r="K5135" s="106">
        <f>H5135*11%</f>
        <v>24080.54</v>
      </c>
      <c r="L5135" s="141">
        <f t="shared" ref="L5135:L5138" si="342">H5135+K5135</f>
        <v>242994.54</v>
      </c>
      <c r="M5135" s="132"/>
      <c r="N5135" s="133"/>
      <c r="O5135" s="4"/>
      <c r="P5135" s="4"/>
      <c r="Q5135" s="4"/>
      <c r="R5135" s="4"/>
      <c r="S5135" s="4"/>
      <c r="T5135" s="4"/>
      <c r="U5135" s="4"/>
      <c r="V5135" s="4"/>
      <c r="W5135" s="4"/>
      <c r="X5135" s="4"/>
    </row>
    <row r="5136" spans="1:24" ht="14.25" customHeight="1">
      <c r="A5136" s="4"/>
      <c r="B5136" s="125">
        <v>46182</v>
      </c>
      <c r="C5136" s="126" t="s">
        <v>2961</v>
      </c>
      <c r="D5136" s="15" t="s">
        <v>1787</v>
      </c>
      <c r="E5136" s="10" t="str">
        <f>TRIM(VLOOKUP(D5136,TB!$B$9:$C$1500,2,FALSE))</f>
        <v>Milk Fresh</v>
      </c>
      <c r="F5136" s="186" t="s">
        <v>2964</v>
      </c>
      <c r="G5136" s="130">
        <f>12*2</f>
        <v>24</v>
      </c>
      <c r="H5136" s="155">
        <v>450458</v>
      </c>
      <c r="I5136" s="10"/>
      <c r="J5136" s="79" t="e">
        <f t="shared" si="341"/>
        <v>#VALUE!</v>
      </c>
      <c r="K5136" s="106">
        <f>H5136/G5136</f>
        <v>18769.083333333332</v>
      </c>
      <c r="L5136" s="141">
        <f t="shared" si="342"/>
        <v>469227.08333333331</v>
      </c>
      <c r="M5136" s="132"/>
      <c r="N5136" s="133"/>
      <c r="O5136" s="4"/>
      <c r="P5136" s="4"/>
      <c r="Q5136" s="4"/>
      <c r="R5136" s="4"/>
      <c r="S5136" s="4"/>
      <c r="T5136" s="4"/>
      <c r="U5136" s="4"/>
      <c r="V5136" s="4"/>
      <c r="W5136" s="4"/>
      <c r="X5136" s="4"/>
    </row>
    <row r="5137" spans="1:24" ht="14.25" customHeight="1">
      <c r="A5137" s="4"/>
      <c r="B5137" s="125">
        <v>46182</v>
      </c>
      <c r="C5137" s="126" t="s">
        <v>2961</v>
      </c>
      <c r="D5137" s="15" t="s">
        <v>2965</v>
      </c>
      <c r="E5137" s="10" t="str">
        <f>TRIM(VLOOKUP(D5137,TB!$B$9:$C$1500,2,FALSE))</f>
        <v>Cheese Mozzarella</v>
      </c>
      <c r="F5137" s="186" t="s">
        <v>2966</v>
      </c>
      <c r="G5137" s="130">
        <v>50.6</v>
      </c>
      <c r="H5137" s="155">
        <v>7357746</v>
      </c>
      <c r="I5137" s="10"/>
      <c r="J5137" s="79" t="e">
        <f t="shared" si="341"/>
        <v>#VALUE!</v>
      </c>
      <c r="K5137" s="106">
        <f t="shared" ref="K5137:K5138" si="343">H5137*11%</f>
        <v>809352.06</v>
      </c>
      <c r="L5137" s="141">
        <f t="shared" si="342"/>
        <v>8167098.0600000005</v>
      </c>
      <c r="M5137" s="132"/>
      <c r="N5137" s="133"/>
      <c r="O5137" s="4"/>
      <c r="P5137" s="4"/>
      <c r="Q5137" s="4"/>
      <c r="R5137" s="4"/>
      <c r="S5137" s="4"/>
      <c r="T5137" s="4"/>
      <c r="U5137" s="4"/>
      <c r="V5137" s="4"/>
      <c r="W5137" s="4"/>
      <c r="X5137" s="4"/>
    </row>
    <row r="5138" spans="1:24" ht="14.25" customHeight="1">
      <c r="A5138" s="4"/>
      <c r="B5138" s="125">
        <v>46182</v>
      </c>
      <c r="C5138" s="126" t="s">
        <v>2961</v>
      </c>
      <c r="D5138" s="15" t="s">
        <v>2967</v>
      </c>
      <c r="E5138" s="10" t="str">
        <f>TRIM(VLOOKUP(D5138,TB!$B$9:$C$1500,2,FALSE))</f>
        <v>Cooking Cream</v>
      </c>
      <c r="F5138" s="186" t="s">
        <v>2968</v>
      </c>
      <c r="G5138" s="130">
        <v>12</v>
      </c>
      <c r="H5138" s="155">
        <v>1912752</v>
      </c>
      <c r="I5138" s="10"/>
      <c r="J5138" s="79" t="e">
        <f t="shared" si="341"/>
        <v>#VALUE!</v>
      </c>
      <c r="K5138" s="106">
        <f t="shared" si="343"/>
        <v>210402.72</v>
      </c>
      <c r="L5138" s="141">
        <f t="shared" si="342"/>
        <v>2123154.7200000002</v>
      </c>
      <c r="M5138" s="132"/>
      <c r="N5138" s="133"/>
      <c r="O5138" s="4"/>
      <c r="P5138" s="4"/>
      <c r="Q5138" s="4"/>
      <c r="R5138" s="4"/>
      <c r="S5138" s="4"/>
      <c r="T5138" s="4"/>
      <c r="U5138" s="4"/>
      <c r="V5138" s="4"/>
      <c r="W5138" s="4"/>
      <c r="X5138" s="4"/>
    </row>
    <row r="5139" spans="1:24" ht="14.25" customHeight="1">
      <c r="A5139" s="4"/>
      <c r="B5139" s="125">
        <v>46182</v>
      </c>
      <c r="C5139" s="126" t="s">
        <v>2961</v>
      </c>
      <c r="D5139" s="15" t="s">
        <v>285</v>
      </c>
      <c r="E5139" s="10" t="str">
        <f>TRIM(VLOOKUP(D5139,TB!$B$9:$C$1500,2,FALSE))</f>
        <v>Misc Cash Purchase</v>
      </c>
      <c r="F5139" s="186" t="s">
        <v>2969</v>
      </c>
      <c r="G5139" s="130"/>
      <c r="H5139" s="10"/>
      <c r="I5139" s="10">
        <v>9939870</v>
      </c>
      <c r="J5139" s="79" t="e">
        <f t="shared" si="341"/>
        <v>#VALUE!</v>
      </c>
      <c r="K5139" s="106"/>
      <c r="L5139" s="141"/>
      <c r="M5139" s="132"/>
      <c r="N5139" s="133"/>
      <c r="O5139" s="4"/>
      <c r="P5139" s="4"/>
      <c r="Q5139" s="4"/>
      <c r="R5139" s="4"/>
      <c r="S5139" s="4"/>
      <c r="T5139" s="4"/>
      <c r="U5139" s="4"/>
      <c r="V5139" s="4"/>
      <c r="W5139" s="4"/>
      <c r="X5139" s="4"/>
    </row>
    <row r="5140" spans="1:24" ht="14.25" customHeight="1">
      <c r="A5140" s="4"/>
      <c r="B5140" s="125"/>
      <c r="C5140" s="126"/>
      <c r="D5140" s="68"/>
      <c r="E5140" s="10" t="e">
        <f>TRIM(VLOOKUP(D5140,TB!$B$9:$C$1500,2,FALSE))</f>
        <v>#N/A</v>
      </c>
      <c r="F5140" s="186"/>
      <c r="G5140" s="130"/>
      <c r="H5140" s="10"/>
      <c r="I5140" s="10"/>
      <c r="J5140" s="79" t="e">
        <f t="shared" si="341"/>
        <v>#VALUE!</v>
      </c>
      <c r="K5140" s="106"/>
      <c r="L5140" s="141"/>
      <c r="M5140" s="132"/>
      <c r="N5140" s="133"/>
      <c r="O5140" s="4"/>
      <c r="P5140" s="4"/>
      <c r="Q5140" s="4"/>
      <c r="R5140" s="4"/>
      <c r="S5140" s="4"/>
      <c r="T5140" s="4"/>
      <c r="U5140" s="4"/>
      <c r="V5140" s="4"/>
      <c r="W5140" s="4"/>
      <c r="X5140" s="4"/>
    </row>
    <row r="5141" spans="1:24" ht="14.25" customHeight="1">
      <c r="A5141" s="4"/>
      <c r="B5141" s="125">
        <v>46181</v>
      </c>
      <c r="C5141" s="126" t="s">
        <v>2970</v>
      </c>
      <c r="D5141" s="15" t="s">
        <v>2971</v>
      </c>
      <c r="E5141" s="10" t="str">
        <f>TRIM(VLOOKUP(D5141,TB!$B$9:$C$1500,2,FALSE))</f>
        <v>Red Bull</v>
      </c>
      <c r="F5141" s="185" t="s">
        <v>2972</v>
      </c>
      <c r="G5141" s="130">
        <v>2400</v>
      </c>
      <c r="H5141" s="10">
        <v>52800000</v>
      </c>
      <c r="I5141" s="10"/>
      <c r="J5141" s="79" t="e">
        <f t="shared" si="341"/>
        <v>#VALUE!</v>
      </c>
      <c r="K5141" s="106"/>
      <c r="L5141" s="141"/>
      <c r="M5141" s="132"/>
      <c r="N5141" s="133"/>
      <c r="O5141" s="4"/>
      <c r="P5141" s="4"/>
      <c r="Q5141" s="4"/>
      <c r="R5141" s="4"/>
      <c r="S5141" s="4"/>
      <c r="T5141" s="4"/>
      <c r="U5141" s="4"/>
      <c r="V5141" s="4"/>
      <c r="W5141" s="4"/>
      <c r="X5141" s="4"/>
    </row>
    <row r="5142" spans="1:24" ht="14.25" customHeight="1">
      <c r="A5142" s="4"/>
      <c r="B5142" s="125">
        <v>46181</v>
      </c>
      <c r="C5142" s="126" t="s">
        <v>2970</v>
      </c>
      <c r="D5142" s="15" t="s">
        <v>285</v>
      </c>
      <c r="E5142" s="10" t="str">
        <f>TRIM(VLOOKUP(D5142,TB!$B$9:$C$1500,2,FALSE))</f>
        <v>Misc Cash Purchase</v>
      </c>
      <c r="F5142" s="185" t="s">
        <v>2973</v>
      </c>
      <c r="G5142" s="130"/>
      <c r="H5142" s="10"/>
      <c r="I5142" s="10">
        <v>52800000</v>
      </c>
      <c r="J5142" s="79" t="e">
        <f t="shared" si="341"/>
        <v>#VALUE!</v>
      </c>
      <c r="K5142" s="106"/>
      <c r="L5142" s="141"/>
      <c r="M5142" s="132"/>
      <c r="N5142" s="133"/>
      <c r="O5142" s="4"/>
      <c r="P5142" s="4"/>
      <c r="Q5142" s="4"/>
      <c r="R5142" s="4"/>
      <c r="S5142" s="4"/>
      <c r="T5142" s="4"/>
      <c r="U5142" s="4"/>
      <c r="V5142" s="4"/>
      <c r="W5142" s="4"/>
      <c r="X5142" s="4"/>
    </row>
    <row r="5143" spans="1:24" ht="14.25" customHeight="1">
      <c r="A5143" s="4"/>
      <c r="B5143" s="125"/>
      <c r="C5143" s="126"/>
      <c r="D5143" s="68"/>
      <c r="E5143" s="10" t="e">
        <f>TRIM(VLOOKUP(D5143,TB!$B$9:$C$1500,2,FALSE))</f>
        <v>#N/A</v>
      </c>
      <c r="F5143" s="142"/>
      <c r="G5143" s="130"/>
      <c r="H5143" s="10"/>
      <c r="I5143" s="10"/>
      <c r="J5143" s="79" t="e">
        <f t="shared" si="341"/>
        <v>#VALUE!</v>
      </c>
      <c r="K5143" s="106"/>
      <c r="L5143" s="141"/>
      <c r="M5143" s="132"/>
      <c r="N5143" s="133"/>
      <c r="O5143" s="4"/>
      <c r="P5143" s="4"/>
      <c r="Q5143" s="4"/>
      <c r="R5143" s="4"/>
      <c r="S5143" s="4"/>
      <c r="T5143" s="4"/>
      <c r="U5143" s="4"/>
      <c r="V5143" s="4"/>
      <c r="W5143" s="4"/>
      <c r="X5143" s="4"/>
    </row>
    <row r="5144" spans="1:24" ht="14.25" customHeight="1">
      <c r="A5144" s="4"/>
      <c r="B5144" s="125">
        <v>46196</v>
      </c>
      <c r="C5144" s="126" t="s">
        <v>2974</v>
      </c>
      <c r="D5144" s="15" t="s">
        <v>2975</v>
      </c>
      <c r="E5144" s="10" t="str">
        <f>TRIM(VLOOKUP(D5144,TB!$B$9:$C$1500,2,FALSE))</f>
        <v>Butter</v>
      </c>
      <c r="F5144" s="142" t="s">
        <v>2976</v>
      </c>
      <c r="G5144" s="130">
        <f>25*0.2</f>
        <v>5</v>
      </c>
      <c r="H5144" s="10">
        <v>1282216</v>
      </c>
      <c r="I5144" s="10"/>
      <c r="J5144" s="79" t="e">
        <f t="shared" si="341"/>
        <v>#VALUE!</v>
      </c>
      <c r="K5144" s="106">
        <f>H5144/G5144</f>
        <v>256443.2</v>
      </c>
      <c r="L5144" s="141"/>
      <c r="M5144" s="132"/>
      <c r="N5144" s="133"/>
      <c r="O5144" s="4"/>
      <c r="P5144" s="4"/>
      <c r="Q5144" s="4"/>
      <c r="R5144" s="4"/>
      <c r="S5144" s="4"/>
      <c r="T5144" s="4"/>
      <c r="U5144" s="4"/>
      <c r="V5144" s="4"/>
      <c r="W5144" s="4"/>
      <c r="X5144" s="4"/>
    </row>
    <row r="5145" spans="1:24" ht="14.25" customHeight="1">
      <c r="A5145" s="4"/>
      <c r="B5145" s="125">
        <v>46196</v>
      </c>
      <c r="C5145" s="126" t="s">
        <v>2974</v>
      </c>
      <c r="D5145" s="15" t="s">
        <v>285</v>
      </c>
      <c r="E5145" s="10" t="str">
        <f>TRIM(VLOOKUP(D5145,TB!$B$9:$C$1500,2,FALSE))</f>
        <v>Misc Cash Purchase</v>
      </c>
      <c r="F5145" s="142" t="s">
        <v>2977</v>
      </c>
      <c r="G5145" s="130"/>
      <c r="H5145" s="10"/>
      <c r="I5145" s="10">
        <v>1282216</v>
      </c>
      <c r="J5145" s="79" t="e">
        <f t="shared" si="341"/>
        <v>#VALUE!</v>
      </c>
      <c r="K5145" s="106"/>
      <c r="L5145" s="141"/>
      <c r="M5145" s="132"/>
      <c r="N5145" s="133"/>
      <c r="O5145" s="4"/>
      <c r="P5145" s="4"/>
      <c r="Q5145" s="4"/>
      <c r="R5145" s="4"/>
      <c r="S5145" s="4"/>
      <c r="T5145" s="4"/>
      <c r="U5145" s="4"/>
      <c r="V5145" s="4"/>
      <c r="W5145" s="4"/>
      <c r="X5145" s="4"/>
    </row>
    <row r="5146" spans="1:24" ht="14.25" customHeight="1">
      <c r="A5146" s="4"/>
      <c r="B5146" s="125"/>
      <c r="C5146" s="126"/>
      <c r="D5146" s="68"/>
      <c r="E5146" s="10" t="e">
        <f>TRIM(VLOOKUP(D5146,TB!$B$9:$C$1500,2,FALSE))</f>
        <v>#N/A</v>
      </c>
      <c r="F5146" s="142"/>
      <c r="G5146" s="130"/>
      <c r="H5146" s="10"/>
      <c r="I5146" s="10"/>
      <c r="J5146" s="79" t="e">
        <f t="shared" si="341"/>
        <v>#VALUE!</v>
      </c>
      <c r="K5146" s="106"/>
      <c r="L5146" s="141"/>
      <c r="M5146" s="132"/>
      <c r="N5146" s="133"/>
      <c r="O5146" s="4"/>
      <c r="P5146" s="4"/>
      <c r="Q5146" s="4"/>
      <c r="R5146" s="4"/>
      <c r="S5146" s="4"/>
      <c r="T5146" s="4"/>
      <c r="U5146" s="4"/>
      <c r="V5146" s="4"/>
      <c r="W5146" s="4"/>
      <c r="X5146" s="4"/>
    </row>
    <row r="5147" spans="1:24" ht="14.25" customHeight="1">
      <c r="A5147" s="4"/>
      <c r="B5147" s="125">
        <v>46196</v>
      </c>
      <c r="C5147" s="126" t="s">
        <v>2978</v>
      </c>
      <c r="D5147" s="15" t="s">
        <v>2979</v>
      </c>
      <c r="E5147" s="10" t="str">
        <f>TRIM(VLOOKUP(D5147,TB!$B$9:$C$1500,2,FALSE))</f>
        <v>Banrock Sav Blank</v>
      </c>
      <c r="F5147" s="186" t="s">
        <v>2980</v>
      </c>
      <c r="G5147" s="130">
        <v>3</v>
      </c>
      <c r="H5147" s="10">
        <v>747000</v>
      </c>
      <c r="I5147" s="10"/>
      <c r="J5147" s="79" t="e">
        <f t="shared" si="341"/>
        <v>#VALUE!</v>
      </c>
      <c r="K5147" s="106">
        <f>H5147*11%</f>
        <v>82170</v>
      </c>
      <c r="L5147" s="141">
        <f>H5147+K5147</f>
        <v>829170</v>
      </c>
      <c r="M5147" s="132"/>
      <c r="N5147" s="133"/>
      <c r="O5147" s="4"/>
      <c r="P5147" s="4"/>
      <c r="Q5147" s="4"/>
      <c r="R5147" s="4"/>
      <c r="S5147" s="4"/>
      <c r="T5147" s="4"/>
      <c r="U5147" s="4"/>
      <c r="V5147" s="4"/>
      <c r="W5147" s="4"/>
      <c r="X5147" s="4"/>
    </row>
    <row r="5148" spans="1:24" ht="14.25" customHeight="1">
      <c r="A5148" s="4"/>
      <c r="B5148" s="125">
        <v>46196</v>
      </c>
      <c r="C5148" s="126" t="s">
        <v>2978</v>
      </c>
      <c r="D5148" s="15" t="s">
        <v>2981</v>
      </c>
      <c r="E5148" s="10" t="str">
        <f>TRIM(VLOOKUP(D5148,TB!$B$9:$C$1500,2,FALSE))</f>
        <v>Banrock Merlot</v>
      </c>
      <c r="F5148" s="186" t="s">
        <v>2982</v>
      </c>
      <c r="G5148" s="130">
        <v>3</v>
      </c>
      <c r="H5148" s="10">
        <v>747000</v>
      </c>
      <c r="I5148" s="10"/>
      <c r="J5148" s="79" t="e">
        <f t="shared" si="341"/>
        <v>#VALUE!</v>
      </c>
      <c r="K5148" s="106"/>
      <c r="L5148" s="141"/>
      <c r="M5148" s="132"/>
      <c r="N5148" s="133"/>
      <c r="O5148" s="4"/>
      <c r="P5148" s="4"/>
      <c r="Q5148" s="4"/>
      <c r="R5148" s="4"/>
      <c r="S5148" s="4"/>
      <c r="T5148" s="4"/>
      <c r="U5148" s="4"/>
      <c r="V5148" s="4"/>
      <c r="W5148" s="4"/>
      <c r="X5148" s="4"/>
    </row>
    <row r="5149" spans="1:24" ht="14.25" customHeight="1">
      <c r="A5149" s="4"/>
      <c r="B5149" s="125">
        <v>46196</v>
      </c>
      <c r="C5149" s="126" t="s">
        <v>2978</v>
      </c>
      <c r="D5149" s="15" t="s">
        <v>2983</v>
      </c>
      <c r="E5149" s="10" t="str">
        <f>TRIM(VLOOKUP(D5149,TB!$B$9:$C$1500,2,FALSE))</f>
        <v>Banrock Chardonay</v>
      </c>
      <c r="F5149" s="186" t="s">
        <v>2984</v>
      </c>
      <c r="G5149" s="130">
        <v>3</v>
      </c>
      <c r="H5149" s="10">
        <v>747000</v>
      </c>
      <c r="I5149" s="10"/>
      <c r="J5149" s="79" t="e">
        <f t="shared" si="341"/>
        <v>#VALUE!</v>
      </c>
      <c r="K5149" s="106"/>
      <c r="L5149" s="141"/>
      <c r="M5149" s="132"/>
      <c r="N5149" s="133"/>
      <c r="O5149" s="4"/>
      <c r="P5149" s="4"/>
      <c r="Q5149" s="4"/>
      <c r="R5149" s="4"/>
      <c r="S5149" s="4"/>
      <c r="T5149" s="4"/>
      <c r="U5149" s="4"/>
      <c r="V5149" s="4"/>
      <c r="W5149" s="4"/>
      <c r="X5149" s="4"/>
    </row>
    <row r="5150" spans="1:24" ht="14.25" customHeight="1">
      <c r="A5150" s="4"/>
      <c r="B5150" s="125">
        <v>46196</v>
      </c>
      <c r="C5150" s="126" t="s">
        <v>2978</v>
      </c>
      <c r="D5150" s="15" t="s">
        <v>2985</v>
      </c>
      <c r="E5150" s="10" t="str">
        <f>TRIM(VLOOKUP(D5150,TB!$B$9:$C$1500,2,FALSE))</f>
        <v>Banrock Shiraz</v>
      </c>
      <c r="F5150" s="186" t="s">
        <v>2986</v>
      </c>
      <c r="G5150" s="130">
        <v>3</v>
      </c>
      <c r="H5150" s="10">
        <v>747000</v>
      </c>
      <c r="I5150" s="10"/>
      <c r="J5150" s="79" t="e">
        <f t="shared" si="341"/>
        <v>#VALUE!</v>
      </c>
      <c r="K5150" s="106"/>
      <c r="L5150" s="141"/>
      <c r="M5150" s="132"/>
      <c r="N5150" s="133"/>
      <c r="O5150" s="4"/>
      <c r="P5150" s="4"/>
      <c r="Q5150" s="4"/>
      <c r="R5150" s="4"/>
      <c r="S5150" s="4"/>
      <c r="T5150" s="4"/>
      <c r="U5150" s="4"/>
      <c r="V5150" s="4"/>
      <c r="W5150" s="4"/>
      <c r="X5150" s="4"/>
    </row>
    <row r="5151" spans="1:24" ht="14.25" customHeight="1">
      <c r="A5151" s="4"/>
      <c r="B5151" s="125">
        <v>46196</v>
      </c>
      <c r="C5151" s="126" t="s">
        <v>2978</v>
      </c>
      <c r="D5151" s="15" t="s">
        <v>285</v>
      </c>
      <c r="E5151" s="10" t="str">
        <f>TRIM(VLOOKUP(D5151,TB!$B$9:$C$1500,2,FALSE))</f>
        <v>Misc Cash Purchase</v>
      </c>
      <c r="F5151" s="186" t="s">
        <v>2987</v>
      </c>
      <c r="G5151" s="130"/>
      <c r="H5151" s="10"/>
      <c r="I5151" s="10">
        <v>2987999</v>
      </c>
      <c r="J5151" s="79" t="e">
        <f t="shared" si="341"/>
        <v>#VALUE!</v>
      </c>
      <c r="K5151" s="106"/>
      <c r="L5151" s="141"/>
      <c r="M5151" s="132"/>
      <c r="N5151" s="133"/>
      <c r="O5151" s="4"/>
      <c r="P5151" s="4"/>
      <c r="Q5151" s="4"/>
      <c r="R5151" s="4"/>
      <c r="S5151" s="4"/>
      <c r="T5151" s="4"/>
      <c r="U5151" s="4"/>
      <c r="V5151" s="4"/>
      <c r="W5151" s="4"/>
      <c r="X5151" s="4"/>
    </row>
    <row r="5152" spans="1:24" ht="14.25" customHeight="1">
      <c r="A5152" s="4"/>
      <c r="B5152" s="125"/>
      <c r="C5152" s="126"/>
      <c r="D5152" s="68"/>
      <c r="E5152" s="10" t="e">
        <f>TRIM(VLOOKUP(D5152,TB!$B$9:$C$1500,2,FALSE))</f>
        <v>#N/A</v>
      </c>
      <c r="F5152" s="142"/>
      <c r="G5152" s="130"/>
      <c r="H5152" s="10"/>
      <c r="I5152" s="10"/>
      <c r="J5152" s="79" t="e">
        <f t="shared" si="341"/>
        <v>#VALUE!</v>
      </c>
      <c r="K5152" s="106"/>
      <c r="L5152" s="141"/>
      <c r="M5152" s="132"/>
      <c r="N5152" s="133"/>
      <c r="O5152" s="4"/>
      <c r="P5152" s="4"/>
      <c r="Q5152" s="4"/>
      <c r="R5152" s="4"/>
      <c r="S5152" s="4"/>
      <c r="T5152" s="4"/>
      <c r="U5152" s="4"/>
      <c r="V5152" s="4"/>
      <c r="W5152" s="4"/>
      <c r="X5152" s="4"/>
    </row>
    <row r="5153" spans="1:24" ht="14.25" customHeight="1">
      <c r="A5153" s="4"/>
      <c r="B5153" s="125">
        <v>46196</v>
      </c>
      <c r="C5153" s="126" t="s">
        <v>2988</v>
      </c>
      <c r="D5153" s="15" t="s">
        <v>2989</v>
      </c>
      <c r="E5153" s="10" t="str">
        <f>TRIM(VLOOKUP(D5153,TB!$B$9:$C$1500,2,FALSE))</f>
        <v>Monkey Shoulder</v>
      </c>
      <c r="F5153" s="142" t="s">
        <v>2990</v>
      </c>
      <c r="G5153" s="130">
        <v>2</v>
      </c>
      <c r="H5153" s="10">
        <v>1380000</v>
      </c>
      <c r="I5153" s="10"/>
      <c r="J5153" s="79" t="e">
        <f t="shared" si="341"/>
        <v>#VALUE!</v>
      </c>
      <c r="K5153" s="106"/>
      <c r="L5153" s="141"/>
      <c r="M5153" s="132"/>
      <c r="N5153" s="133"/>
      <c r="O5153" s="4"/>
      <c r="P5153" s="4"/>
      <c r="Q5153" s="4"/>
      <c r="R5153" s="4"/>
      <c r="S5153" s="4"/>
      <c r="T5153" s="4"/>
      <c r="U5153" s="4"/>
      <c r="V5153" s="4"/>
      <c r="W5153" s="4"/>
      <c r="X5153" s="4"/>
    </row>
    <row r="5154" spans="1:24" ht="14.25" customHeight="1">
      <c r="A5154" s="4"/>
      <c r="B5154" s="125">
        <v>46196</v>
      </c>
      <c r="C5154" s="126" t="s">
        <v>2988</v>
      </c>
      <c r="D5154" s="15" t="s">
        <v>285</v>
      </c>
      <c r="E5154" s="10" t="str">
        <f>TRIM(VLOOKUP(D5154,TB!$B$9:$C$1500,2,FALSE))</f>
        <v>Misc Cash Purchase</v>
      </c>
      <c r="F5154" s="142" t="s">
        <v>2991</v>
      </c>
      <c r="G5154" s="130"/>
      <c r="H5154" s="10"/>
      <c r="I5154" s="10">
        <v>1380000</v>
      </c>
      <c r="J5154" s="79" t="e">
        <f t="shared" si="341"/>
        <v>#VALUE!</v>
      </c>
      <c r="K5154" s="106"/>
      <c r="L5154" s="141"/>
      <c r="M5154" s="132"/>
      <c r="N5154" s="133"/>
      <c r="O5154" s="4"/>
      <c r="P5154" s="4"/>
      <c r="Q5154" s="4"/>
      <c r="R5154" s="4"/>
      <c r="S5154" s="4"/>
      <c r="T5154" s="4"/>
      <c r="U5154" s="4"/>
      <c r="V5154" s="4"/>
      <c r="W5154" s="4"/>
      <c r="X5154" s="4"/>
    </row>
    <row r="5155" spans="1:24" ht="14.25" customHeight="1">
      <c r="A5155" s="4"/>
      <c r="B5155" s="125"/>
      <c r="C5155" s="126"/>
      <c r="D5155" s="68"/>
      <c r="E5155" s="10" t="e">
        <f>TRIM(VLOOKUP(D5155,TB!$B$9:$C$1500,2,FALSE))</f>
        <v>#N/A</v>
      </c>
      <c r="F5155" s="142"/>
      <c r="G5155" s="130"/>
      <c r="H5155" s="10"/>
      <c r="I5155" s="10"/>
      <c r="J5155" s="79" t="e">
        <f t="shared" si="341"/>
        <v>#VALUE!</v>
      </c>
      <c r="K5155" s="106"/>
      <c r="L5155" s="141"/>
      <c r="M5155" s="132"/>
      <c r="N5155" s="133"/>
      <c r="O5155" s="4"/>
      <c r="P5155" s="4"/>
      <c r="Q5155" s="4"/>
      <c r="R5155" s="4"/>
      <c r="S5155" s="4"/>
      <c r="T5155" s="4"/>
      <c r="U5155" s="4"/>
      <c r="V5155" s="4"/>
      <c r="W5155" s="4"/>
      <c r="X5155" s="4"/>
    </row>
    <row r="5156" spans="1:24" ht="14.25" customHeight="1">
      <c r="A5156" s="4"/>
      <c r="B5156" s="125">
        <v>46196</v>
      </c>
      <c r="C5156" s="126" t="s">
        <v>2992</v>
      </c>
      <c r="D5156" s="15" t="s">
        <v>2993</v>
      </c>
      <c r="E5156" s="10" t="str">
        <f>TRIM(VLOOKUP(D5156,TB!$B$9:$C$1500,2,FALSE))</f>
        <v>Nachos Chips @500 Gr</v>
      </c>
      <c r="F5156" s="185" t="s">
        <v>2994</v>
      </c>
      <c r="G5156" s="130">
        <v>6</v>
      </c>
      <c r="H5156" s="10">
        <v>306360</v>
      </c>
      <c r="I5156" s="10"/>
      <c r="J5156" s="79" t="e">
        <f t="shared" si="341"/>
        <v>#VALUE!</v>
      </c>
      <c r="K5156" s="106"/>
      <c r="L5156" s="141"/>
      <c r="M5156" s="132"/>
      <c r="N5156" s="133"/>
      <c r="O5156" s="4"/>
      <c r="P5156" s="4"/>
      <c r="Q5156" s="4"/>
      <c r="R5156" s="4"/>
      <c r="S5156" s="4"/>
      <c r="T5156" s="4"/>
      <c r="U5156" s="4"/>
      <c r="V5156" s="4"/>
      <c r="W5156" s="4"/>
      <c r="X5156" s="4"/>
    </row>
    <row r="5157" spans="1:24" ht="14.25" customHeight="1">
      <c r="A5157" s="4"/>
      <c r="B5157" s="125">
        <v>46196</v>
      </c>
      <c r="C5157" s="126" t="s">
        <v>2992</v>
      </c>
      <c r="D5157" s="15" t="s">
        <v>285</v>
      </c>
      <c r="E5157" s="10" t="str">
        <f>TRIM(VLOOKUP(D5157,TB!$B$9:$C$1500,2,FALSE))</f>
        <v>Misc Cash Purchase</v>
      </c>
      <c r="F5157" s="185" t="s">
        <v>2995</v>
      </c>
      <c r="G5157" s="130"/>
      <c r="H5157" s="10"/>
      <c r="I5157" s="10">
        <v>306360</v>
      </c>
      <c r="J5157" s="79" t="e">
        <f t="shared" si="341"/>
        <v>#VALUE!</v>
      </c>
      <c r="K5157" s="106"/>
      <c r="L5157" s="141"/>
      <c r="M5157" s="132"/>
      <c r="N5157" s="133"/>
      <c r="O5157" s="4"/>
      <c r="P5157" s="4"/>
      <c r="Q5157" s="4"/>
      <c r="R5157" s="4"/>
      <c r="S5157" s="4"/>
      <c r="T5157" s="4"/>
      <c r="U5157" s="4"/>
      <c r="V5157" s="4"/>
      <c r="W5157" s="4"/>
      <c r="X5157" s="4"/>
    </row>
    <row r="5158" spans="1:24" ht="14.25" customHeight="1">
      <c r="A5158" s="4"/>
      <c r="B5158" s="125"/>
      <c r="C5158" s="126"/>
      <c r="D5158" s="68"/>
      <c r="E5158" s="10" t="e">
        <f>TRIM(VLOOKUP(D5158,TB!$B$9:$C$1500,2,FALSE))</f>
        <v>#N/A</v>
      </c>
      <c r="F5158" s="142"/>
      <c r="G5158" s="130"/>
      <c r="H5158" s="10"/>
      <c r="I5158" s="10"/>
      <c r="J5158" s="79" t="e">
        <f t="shared" si="341"/>
        <v>#VALUE!</v>
      </c>
      <c r="K5158" s="106"/>
      <c r="L5158" s="141"/>
      <c r="M5158" s="132"/>
      <c r="N5158" s="133"/>
      <c r="O5158" s="4"/>
      <c r="P5158" s="4"/>
      <c r="Q5158" s="4"/>
      <c r="R5158" s="4"/>
      <c r="S5158" s="4"/>
      <c r="T5158" s="4"/>
      <c r="U5158" s="4"/>
      <c r="V5158" s="4"/>
      <c r="W5158" s="4"/>
      <c r="X5158" s="4"/>
    </row>
    <row r="5159" spans="1:24" ht="14.25" customHeight="1">
      <c r="A5159" s="4"/>
      <c r="B5159" s="125">
        <v>46197</v>
      </c>
      <c r="C5159" s="126" t="s">
        <v>2996</v>
      </c>
      <c r="D5159" s="15" t="s">
        <v>1155</v>
      </c>
      <c r="E5159" s="10" t="str">
        <f>TRIM(VLOOKUP(D5159,TB!$B$9:$C$1500,2,FALSE))</f>
        <v>Kitchen Supplies</v>
      </c>
      <c r="F5159" s="186" t="s">
        <v>2997</v>
      </c>
      <c r="G5159" s="130"/>
      <c r="H5159" s="10">
        <v>400000</v>
      </c>
      <c r="I5159" s="10"/>
      <c r="J5159" s="79" t="e">
        <f t="shared" si="341"/>
        <v>#VALUE!</v>
      </c>
      <c r="K5159" s="106"/>
      <c r="L5159" s="141"/>
      <c r="M5159" s="132"/>
      <c r="N5159" s="133"/>
      <c r="O5159" s="4"/>
      <c r="P5159" s="4"/>
      <c r="Q5159" s="4"/>
      <c r="R5159" s="4"/>
      <c r="S5159" s="4"/>
      <c r="T5159" s="4"/>
      <c r="U5159" s="4"/>
      <c r="V5159" s="4"/>
      <c r="W5159" s="4"/>
      <c r="X5159" s="4"/>
    </row>
    <row r="5160" spans="1:24" ht="14.25" customHeight="1">
      <c r="A5160" s="4"/>
      <c r="B5160" s="125">
        <v>46197</v>
      </c>
      <c r="C5160" s="126" t="s">
        <v>2996</v>
      </c>
      <c r="D5160" s="15" t="s">
        <v>285</v>
      </c>
      <c r="E5160" s="10" t="str">
        <f>TRIM(VLOOKUP(D5160,TB!$B$9:$C$1500,2,FALSE))</f>
        <v>Misc Cash Purchase</v>
      </c>
      <c r="F5160" s="186" t="s">
        <v>2997</v>
      </c>
      <c r="G5160" s="130"/>
      <c r="H5160" s="10"/>
      <c r="I5160" s="10">
        <v>400000</v>
      </c>
      <c r="J5160" s="79" t="e">
        <f t="shared" si="341"/>
        <v>#VALUE!</v>
      </c>
      <c r="K5160" s="106"/>
      <c r="L5160" s="141"/>
      <c r="M5160" s="132"/>
      <c r="N5160" s="133"/>
      <c r="O5160" s="4"/>
      <c r="P5160" s="4"/>
      <c r="Q5160" s="4"/>
      <c r="R5160" s="4"/>
      <c r="S5160" s="4"/>
      <c r="T5160" s="4"/>
      <c r="U5160" s="4"/>
      <c r="V5160" s="4"/>
      <c r="W5160" s="4"/>
      <c r="X5160" s="4"/>
    </row>
    <row r="5161" spans="1:24" ht="14.25" customHeight="1">
      <c r="A5161" s="4"/>
      <c r="B5161" s="125"/>
      <c r="C5161" s="126"/>
      <c r="D5161" s="15"/>
      <c r="E5161" s="10" t="e">
        <f>TRIM(VLOOKUP(D5161,TB!$B$9:$C$1500,2,FALSE))</f>
        <v>#N/A</v>
      </c>
      <c r="F5161" s="142"/>
      <c r="G5161" s="130"/>
      <c r="H5161" s="10"/>
      <c r="I5161" s="10"/>
      <c r="J5161" s="79" t="e">
        <f t="shared" si="341"/>
        <v>#VALUE!</v>
      </c>
      <c r="K5161" s="106"/>
      <c r="L5161" s="141"/>
      <c r="M5161" s="132"/>
      <c r="N5161" s="133"/>
      <c r="O5161" s="4"/>
      <c r="P5161" s="4"/>
      <c r="Q5161" s="4"/>
      <c r="R5161" s="4"/>
      <c r="S5161" s="4"/>
      <c r="T5161" s="4"/>
      <c r="U5161" s="4"/>
      <c r="V5161" s="4"/>
      <c r="W5161" s="4"/>
      <c r="X5161" s="4"/>
    </row>
    <row r="5162" spans="1:24" ht="14.25" customHeight="1">
      <c r="A5162" s="4"/>
      <c r="B5162" s="125">
        <v>46197</v>
      </c>
      <c r="C5162" s="126" t="s">
        <v>2998</v>
      </c>
      <c r="D5162" s="15" t="s">
        <v>617</v>
      </c>
      <c r="E5162" s="10" t="str">
        <f>TRIM(VLOOKUP(D5162,TB!$B$9:$C$1500,2,FALSE))</f>
        <v>Cleaning Supplies &amp; Expenses</v>
      </c>
      <c r="F5162" s="142" t="s">
        <v>2999</v>
      </c>
      <c r="G5162" s="130"/>
      <c r="H5162" s="10">
        <v>6490569</v>
      </c>
      <c r="I5162" s="10"/>
      <c r="J5162" s="79" t="e">
        <f t="shared" si="341"/>
        <v>#VALUE!</v>
      </c>
      <c r="K5162" s="106"/>
      <c r="L5162" s="141"/>
      <c r="M5162" s="132"/>
      <c r="N5162" s="133"/>
      <c r="O5162" s="4"/>
      <c r="P5162" s="4"/>
      <c r="Q5162" s="4"/>
      <c r="R5162" s="4"/>
      <c r="S5162" s="4"/>
      <c r="T5162" s="4"/>
      <c r="U5162" s="4"/>
      <c r="V5162" s="4"/>
      <c r="W5162" s="4"/>
      <c r="X5162" s="4"/>
    </row>
    <row r="5163" spans="1:24" ht="14.25" customHeight="1">
      <c r="A5163" s="4"/>
      <c r="B5163" s="125">
        <v>46197</v>
      </c>
      <c r="C5163" s="126" t="s">
        <v>2998</v>
      </c>
      <c r="D5163" s="15" t="s">
        <v>285</v>
      </c>
      <c r="E5163" s="10" t="str">
        <f>TRIM(VLOOKUP(D5163,TB!$B$9:$C$1500,2,FALSE))</f>
        <v>Misc Cash Purchase</v>
      </c>
      <c r="F5163" s="142" t="s">
        <v>3000</v>
      </c>
      <c r="G5163" s="130"/>
      <c r="H5163" s="10"/>
      <c r="I5163" s="10">
        <v>6490569</v>
      </c>
      <c r="J5163" s="79" t="e">
        <f t="shared" si="341"/>
        <v>#VALUE!</v>
      </c>
      <c r="K5163" s="106"/>
      <c r="L5163" s="141"/>
      <c r="M5163" s="132"/>
      <c r="N5163" s="133"/>
      <c r="O5163" s="4"/>
      <c r="P5163" s="4"/>
      <c r="Q5163" s="4"/>
      <c r="R5163" s="4"/>
      <c r="S5163" s="4"/>
      <c r="T5163" s="4"/>
      <c r="U5163" s="4"/>
      <c r="V5163" s="4"/>
      <c r="W5163" s="4"/>
      <c r="X5163" s="4"/>
    </row>
    <row r="5164" spans="1:24" ht="14.25" customHeight="1">
      <c r="A5164" s="4"/>
      <c r="B5164" s="125"/>
      <c r="C5164" s="126"/>
      <c r="D5164" s="68"/>
      <c r="E5164" s="10" t="e">
        <f>TRIM(VLOOKUP(D5164,TB!$B$9:$C$1500,2,FALSE))</f>
        <v>#N/A</v>
      </c>
      <c r="F5164" s="142"/>
      <c r="G5164" s="130"/>
      <c r="H5164" s="10"/>
      <c r="I5164" s="10"/>
      <c r="J5164" s="79" t="e">
        <f t="shared" si="341"/>
        <v>#VALUE!</v>
      </c>
      <c r="K5164" s="106"/>
      <c r="L5164" s="141"/>
      <c r="M5164" s="132"/>
      <c r="N5164" s="133"/>
      <c r="O5164" s="4"/>
      <c r="P5164" s="4"/>
      <c r="Q5164" s="4"/>
      <c r="R5164" s="4"/>
      <c r="S5164" s="4"/>
      <c r="T5164" s="4"/>
      <c r="U5164" s="4"/>
      <c r="V5164" s="4"/>
      <c r="W5164" s="4"/>
      <c r="X5164" s="4"/>
    </row>
    <row r="5165" spans="1:24" ht="14.25" customHeight="1">
      <c r="A5165" s="4"/>
      <c r="B5165" s="125">
        <v>46197</v>
      </c>
      <c r="C5165" s="126" t="s">
        <v>3001</v>
      </c>
      <c r="D5165" s="15" t="s">
        <v>3002</v>
      </c>
      <c r="E5165" s="10" t="str">
        <f>TRIM(VLOOKUP(D5165,TB!$B$9:$C$1500,2,FALSE))</f>
        <v>Bombay Shapire</v>
      </c>
      <c r="F5165" s="186" t="s">
        <v>3003</v>
      </c>
      <c r="G5165" s="130">
        <v>4</v>
      </c>
      <c r="H5165" s="10">
        <v>1540000</v>
      </c>
      <c r="I5165" s="10"/>
      <c r="J5165" s="79" t="e">
        <f t="shared" si="341"/>
        <v>#VALUE!</v>
      </c>
      <c r="K5165" s="106">
        <f t="shared" ref="K5165:K5166" si="344">H5165/G5165</f>
        <v>385000</v>
      </c>
      <c r="L5165" s="141"/>
      <c r="M5165" s="132"/>
      <c r="N5165" s="133"/>
      <c r="O5165" s="4"/>
      <c r="P5165" s="4"/>
      <c r="Q5165" s="4"/>
      <c r="R5165" s="4"/>
      <c r="S5165" s="4"/>
      <c r="T5165" s="4"/>
      <c r="U5165" s="4"/>
      <c r="V5165" s="4"/>
      <c r="W5165" s="4"/>
      <c r="X5165" s="4"/>
    </row>
    <row r="5166" spans="1:24" ht="14.25" customHeight="1">
      <c r="A5166" s="4"/>
      <c r="B5166" s="125">
        <v>46197</v>
      </c>
      <c r="C5166" s="126" t="s">
        <v>3001</v>
      </c>
      <c r="D5166" s="15" t="s">
        <v>2844</v>
      </c>
      <c r="E5166" s="10" t="str">
        <f>TRIM(VLOOKUP(D5166,TB!$B$9:$C$1500,2,FALSE))</f>
        <v>Tanguray</v>
      </c>
      <c r="F5166" s="186" t="s">
        <v>3004</v>
      </c>
      <c r="G5166" s="130">
        <v>2</v>
      </c>
      <c r="H5166" s="10">
        <v>770000</v>
      </c>
      <c r="I5166" s="10"/>
      <c r="J5166" s="79" t="e">
        <f t="shared" si="341"/>
        <v>#VALUE!</v>
      </c>
      <c r="K5166" s="106">
        <f t="shared" si="344"/>
        <v>385000</v>
      </c>
      <c r="L5166" s="141"/>
      <c r="M5166" s="132"/>
      <c r="N5166" s="133"/>
      <c r="O5166" s="4"/>
      <c r="P5166" s="4"/>
      <c r="Q5166" s="4"/>
      <c r="R5166" s="4"/>
      <c r="S5166" s="4"/>
      <c r="T5166" s="4"/>
      <c r="U5166" s="4"/>
      <c r="V5166" s="4"/>
      <c r="W5166" s="4"/>
      <c r="X5166" s="4"/>
    </row>
    <row r="5167" spans="1:24" ht="14.25" customHeight="1">
      <c r="A5167" s="4"/>
      <c r="B5167" s="125">
        <v>46197</v>
      </c>
      <c r="C5167" s="126" t="s">
        <v>3001</v>
      </c>
      <c r="D5167" s="15" t="s">
        <v>3005</v>
      </c>
      <c r="E5167" s="10" t="str">
        <f>TRIM(VLOOKUP(D5167,TB!$B$9:$C$1500,2,FALSE))</f>
        <v>Chivas Regal 12</v>
      </c>
      <c r="F5167" s="186" t="s">
        <v>3006</v>
      </c>
      <c r="G5167" s="130">
        <v>2</v>
      </c>
      <c r="H5167" s="10">
        <v>930000</v>
      </c>
      <c r="I5167" s="10"/>
      <c r="J5167" s="79" t="e">
        <f t="shared" si="341"/>
        <v>#VALUE!</v>
      </c>
      <c r="K5167" s="106"/>
      <c r="L5167" s="141"/>
      <c r="M5167" s="132"/>
      <c r="N5167" s="133"/>
      <c r="O5167" s="4"/>
      <c r="P5167" s="4"/>
      <c r="Q5167" s="4"/>
      <c r="R5167" s="4"/>
      <c r="S5167" s="4"/>
      <c r="T5167" s="4"/>
      <c r="U5167" s="4"/>
      <c r="V5167" s="4"/>
      <c r="W5167" s="4"/>
      <c r="X5167" s="4"/>
    </row>
    <row r="5168" spans="1:24" ht="14.25" customHeight="1">
      <c r="A5168" s="4"/>
      <c r="B5168" s="125">
        <v>46197</v>
      </c>
      <c r="C5168" s="126" t="s">
        <v>3001</v>
      </c>
      <c r="D5168" s="15" t="s">
        <v>2865</v>
      </c>
      <c r="E5168" s="10" t="str">
        <f>TRIM(VLOOKUP(D5168,TB!$B$9:$C$1500,2,FALSE))</f>
        <v>Jack Daniel</v>
      </c>
      <c r="F5168" s="186" t="s">
        <v>3007</v>
      </c>
      <c r="G5168" s="130">
        <v>3</v>
      </c>
      <c r="H5168" s="10">
        <v>1245000</v>
      </c>
      <c r="I5168" s="10"/>
      <c r="J5168" s="79" t="e">
        <f t="shared" si="341"/>
        <v>#VALUE!</v>
      </c>
      <c r="K5168" s="106"/>
      <c r="L5168" s="141"/>
      <c r="M5168" s="132"/>
      <c r="N5168" s="133"/>
      <c r="O5168" s="4"/>
      <c r="P5168" s="4"/>
      <c r="Q5168" s="4"/>
      <c r="R5168" s="4"/>
      <c r="S5168" s="4"/>
      <c r="T5168" s="4"/>
      <c r="U5168" s="4"/>
      <c r="V5168" s="4"/>
      <c r="W5168" s="4"/>
      <c r="X5168" s="4"/>
    </row>
    <row r="5169" spans="1:24" ht="14.25" customHeight="1">
      <c r="A5169" s="4"/>
      <c r="B5169" s="125">
        <v>46197</v>
      </c>
      <c r="C5169" s="126" t="s">
        <v>3001</v>
      </c>
      <c r="D5169" s="15" t="s">
        <v>3008</v>
      </c>
      <c r="E5169" s="10" t="str">
        <f>TRIM(VLOOKUP(D5169,TB!$B$9:$C$1500,2,FALSE))</f>
        <v>Jw Black Label</v>
      </c>
      <c r="F5169" s="186" t="s">
        <v>3009</v>
      </c>
      <c r="G5169" s="130">
        <v>3</v>
      </c>
      <c r="H5169" s="10">
        <v>1335000</v>
      </c>
      <c r="I5169" s="10"/>
      <c r="J5169" s="79" t="e">
        <f t="shared" si="341"/>
        <v>#VALUE!</v>
      </c>
      <c r="K5169" s="106"/>
      <c r="L5169" s="141"/>
      <c r="M5169" s="132"/>
      <c r="N5169" s="133"/>
      <c r="O5169" s="4"/>
      <c r="P5169" s="4"/>
      <c r="Q5169" s="4"/>
      <c r="R5169" s="4"/>
      <c r="S5169" s="4"/>
      <c r="T5169" s="4"/>
      <c r="U5169" s="4"/>
      <c r="V5169" s="4"/>
      <c r="W5169" s="4"/>
      <c r="X5169" s="4"/>
    </row>
    <row r="5170" spans="1:24" ht="14.25" customHeight="1">
      <c r="A5170" s="4"/>
      <c r="B5170" s="125">
        <v>46197</v>
      </c>
      <c r="C5170" s="126" t="s">
        <v>3001</v>
      </c>
      <c r="D5170" s="15" t="s">
        <v>2561</v>
      </c>
      <c r="E5170" s="10" t="str">
        <f>TRIM(VLOOKUP(D5170,TB!$B$9:$C$1500,2,FALSE))</f>
        <v>Jagermeister</v>
      </c>
      <c r="F5170" s="186" t="s">
        <v>3010</v>
      </c>
      <c r="G5170" s="130">
        <v>12</v>
      </c>
      <c r="H5170" s="10">
        <v>3780000</v>
      </c>
      <c r="I5170" s="10"/>
      <c r="J5170" s="79" t="e">
        <f t="shared" si="341"/>
        <v>#VALUE!</v>
      </c>
      <c r="K5170" s="106"/>
      <c r="L5170" s="141"/>
      <c r="M5170" s="132"/>
      <c r="N5170" s="133"/>
      <c r="O5170" s="4"/>
      <c r="P5170" s="4"/>
      <c r="Q5170" s="4"/>
      <c r="R5170" s="4"/>
      <c r="S5170" s="4"/>
      <c r="T5170" s="4"/>
      <c r="U5170" s="4"/>
      <c r="V5170" s="4"/>
      <c r="W5170" s="4"/>
      <c r="X5170" s="4"/>
    </row>
    <row r="5171" spans="1:24" ht="14.25" customHeight="1">
      <c r="A5171" s="4"/>
      <c r="B5171" s="125">
        <v>46197</v>
      </c>
      <c r="C5171" s="126" t="s">
        <v>3001</v>
      </c>
      <c r="D5171" s="15" t="s">
        <v>3011</v>
      </c>
      <c r="E5171" s="10" t="str">
        <f>TRIM(VLOOKUP(D5171,TB!$B$9:$C$1500,2,FALSE))</f>
        <v>Cointreau</v>
      </c>
      <c r="F5171" s="186" t="s">
        <v>3012</v>
      </c>
      <c r="G5171" s="130">
        <v>2</v>
      </c>
      <c r="H5171" s="10">
        <v>770000</v>
      </c>
      <c r="I5171" s="10"/>
      <c r="J5171" s="79" t="e">
        <f t="shared" si="341"/>
        <v>#VALUE!</v>
      </c>
      <c r="K5171" s="106"/>
      <c r="L5171" s="141"/>
      <c r="M5171" s="132"/>
      <c r="N5171" s="133"/>
      <c r="O5171" s="4"/>
      <c r="P5171" s="4"/>
      <c r="Q5171" s="4"/>
      <c r="R5171" s="4"/>
      <c r="S5171" s="4"/>
      <c r="T5171" s="4"/>
      <c r="U5171" s="4"/>
      <c r="V5171" s="4"/>
      <c r="W5171" s="4"/>
      <c r="X5171" s="4"/>
    </row>
    <row r="5172" spans="1:24" ht="14.25" customHeight="1">
      <c r="A5172" s="4"/>
      <c r="B5172" s="125">
        <v>46197</v>
      </c>
      <c r="C5172" s="126" t="s">
        <v>3001</v>
      </c>
      <c r="D5172" s="15" t="s">
        <v>3013</v>
      </c>
      <c r="E5172" s="10" t="str">
        <f>TRIM(VLOOKUP(D5172,TB!$B$9:$C$1500,2,FALSE))</f>
        <v>Baileys</v>
      </c>
      <c r="F5172" s="186" t="s">
        <v>3014</v>
      </c>
      <c r="G5172" s="130">
        <v>3</v>
      </c>
      <c r="H5172" s="10">
        <v>1125000</v>
      </c>
      <c r="I5172" s="10"/>
      <c r="J5172" s="79" t="e">
        <f t="shared" si="341"/>
        <v>#VALUE!</v>
      </c>
      <c r="K5172" s="106"/>
      <c r="L5172" s="141"/>
      <c r="M5172" s="132"/>
      <c r="N5172" s="133"/>
      <c r="O5172" s="4"/>
      <c r="P5172" s="4"/>
      <c r="Q5172" s="4"/>
      <c r="R5172" s="4"/>
      <c r="S5172" s="4"/>
      <c r="T5172" s="4"/>
      <c r="U5172" s="4"/>
      <c r="V5172" s="4"/>
      <c r="W5172" s="4"/>
      <c r="X5172" s="4"/>
    </row>
    <row r="5173" spans="1:24" ht="14.25" customHeight="1">
      <c r="A5173" s="4"/>
      <c r="B5173" s="125">
        <v>46197</v>
      </c>
      <c r="C5173" s="126" t="s">
        <v>3001</v>
      </c>
      <c r="D5173" s="15" t="s">
        <v>3015</v>
      </c>
      <c r="E5173" s="10" t="str">
        <f>TRIM(VLOOKUP(D5173,TB!$B$9:$C$1500,2,FALSE))</f>
        <v>Vacari Sambuca</v>
      </c>
      <c r="F5173" s="186" t="s">
        <v>3016</v>
      </c>
      <c r="G5173" s="130">
        <v>3</v>
      </c>
      <c r="H5173" s="10">
        <v>1185000</v>
      </c>
      <c r="I5173" s="10"/>
      <c r="J5173" s="79" t="e">
        <f t="shared" si="341"/>
        <v>#VALUE!</v>
      </c>
      <c r="K5173" s="106"/>
      <c r="L5173" s="141"/>
      <c r="M5173" s="132"/>
      <c r="N5173" s="133"/>
      <c r="O5173" s="4"/>
      <c r="P5173" s="4"/>
      <c r="Q5173" s="4"/>
      <c r="R5173" s="4"/>
      <c r="S5173" s="4"/>
      <c r="T5173" s="4"/>
      <c r="U5173" s="4"/>
      <c r="V5173" s="4"/>
      <c r="W5173" s="4"/>
      <c r="X5173" s="4"/>
    </row>
    <row r="5174" spans="1:24" ht="14.25" customHeight="1">
      <c r="A5174" s="4"/>
      <c r="B5174" s="125">
        <v>46197</v>
      </c>
      <c r="C5174" s="126" t="s">
        <v>3001</v>
      </c>
      <c r="D5174" s="15" t="s">
        <v>285</v>
      </c>
      <c r="E5174" s="10" t="str">
        <f>TRIM(VLOOKUP(D5174,TB!$B$9:$C$1500,2,FALSE))</f>
        <v>Misc Cash Purchase</v>
      </c>
      <c r="F5174" s="186" t="s">
        <v>3017</v>
      </c>
      <c r="G5174" s="130"/>
      <c r="H5174" s="10"/>
      <c r="I5174" s="10">
        <v>12680000</v>
      </c>
      <c r="J5174" s="79" t="e">
        <f t="shared" si="341"/>
        <v>#VALUE!</v>
      </c>
      <c r="K5174" s="106"/>
      <c r="L5174" s="141"/>
      <c r="M5174" s="132"/>
      <c r="N5174" s="133"/>
      <c r="O5174" s="4"/>
      <c r="P5174" s="4"/>
      <c r="Q5174" s="4"/>
      <c r="R5174" s="4"/>
      <c r="S5174" s="4"/>
      <c r="T5174" s="4"/>
      <c r="U5174" s="4"/>
      <c r="V5174" s="4"/>
      <c r="W5174" s="4"/>
      <c r="X5174" s="4"/>
    </row>
    <row r="5175" spans="1:24" ht="14.25" customHeight="1">
      <c r="A5175" s="4"/>
      <c r="B5175" s="125"/>
      <c r="C5175" s="126"/>
      <c r="D5175" s="68"/>
      <c r="E5175" s="10" t="e">
        <f>TRIM(VLOOKUP(D5175,TB!$B$9:$C$1500,2,FALSE))</f>
        <v>#N/A</v>
      </c>
      <c r="F5175" s="142"/>
      <c r="G5175" s="130"/>
      <c r="H5175" s="10"/>
      <c r="I5175" s="10"/>
      <c r="J5175" s="79" t="e">
        <f t="shared" si="341"/>
        <v>#VALUE!</v>
      </c>
      <c r="K5175" s="106"/>
      <c r="L5175" s="141"/>
      <c r="M5175" s="132"/>
      <c r="N5175" s="133"/>
      <c r="O5175" s="4"/>
      <c r="P5175" s="4"/>
      <c r="Q5175" s="4"/>
      <c r="R5175" s="4"/>
      <c r="S5175" s="4"/>
      <c r="T5175" s="4"/>
      <c r="U5175" s="4"/>
      <c r="V5175" s="4"/>
      <c r="W5175" s="4"/>
      <c r="X5175" s="4"/>
    </row>
    <row r="5176" spans="1:24" ht="14.25" customHeight="1">
      <c r="A5176" s="4"/>
      <c r="B5176" s="125">
        <v>46197</v>
      </c>
      <c r="C5176" s="126" t="s">
        <v>3018</v>
      </c>
      <c r="D5176" s="15" t="s">
        <v>2858</v>
      </c>
      <c r="E5176" s="10" t="str">
        <f>TRIM(VLOOKUP(D5176,TB!$B$9:$C$1500,2,FALSE))</f>
        <v>Grey Goose Vodka</v>
      </c>
      <c r="F5176" s="186" t="s">
        <v>3019</v>
      </c>
      <c r="G5176" s="130">
        <v>24</v>
      </c>
      <c r="H5176" s="10">
        <v>12600000</v>
      </c>
      <c r="I5176" s="10"/>
      <c r="J5176" s="79" t="e">
        <f t="shared" si="341"/>
        <v>#VALUE!</v>
      </c>
      <c r="K5176" s="106">
        <f t="shared" ref="K5176:K5177" si="345">H5176/G5176</f>
        <v>525000</v>
      </c>
      <c r="L5176" s="141"/>
      <c r="M5176" s="132"/>
      <c r="N5176" s="133"/>
      <c r="O5176" s="4"/>
      <c r="P5176" s="4"/>
      <c r="Q5176" s="4"/>
      <c r="R5176" s="4"/>
      <c r="S5176" s="4"/>
      <c r="T5176" s="4"/>
      <c r="U5176" s="4"/>
      <c r="V5176" s="4"/>
      <c r="W5176" s="4"/>
      <c r="X5176" s="4"/>
    </row>
    <row r="5177" spans="1:24" ht="14.25" customHeight="1">
      <c r="A5177" s="4"/>
      <c r="B5177" s="125">
        <v>46197</v>
      </c>
      <c r="C5177" s="126" t="s">
        <v>3018</v>
      </c>
      <c r="D5177" s="15" t="s">
        <v>2842</v>
      </c>
      <c r="E5177" s="10" t="str">
        <f>TRIM(VLOOKUP(D5177,TB!$B$9:$C$1500,2,FALSE))</f>
        <v>Hendricks Gin</v>
      </c>
      <c r="F5177" s="186" t="s">
        <v>3020</v>
      </c>
      <c r="G5177" s="130">
        <v>6</v>
      </c>
      <c r="H5177" s="10">
        <v>3540000</v>
      </c>
      <c r="I5177" s="10"/>
      <c r="J5177" s="79" t="e">
        <f t="shared" si="341"/>
        <v>#VALUE!</v>
      </c>
      <c r="K5177" s="106">
        <f t="shared" si="345"/>
        <v>590000</v>
      </c>
      <c r="L5177" s="141"/>
      <c r="M5177" s="132"/>
      <c r="N5177" s="133"/>
      <c r="O5177" s="4"/>
      <c r="P5177" s="4"/>
      <c r="Q5177" s="4"/>
      <c r="R5177" s="4"/>
      <c r="S5177" s="4"/>
      <c r="T5177" s="4"/>
      <c r="U5177" s="4"/>
      <c r="V5177" s="4"/>
      <c r="W5177" s="4"/>
      <c r="X5177" s="4"/>
    </row>
    <row r="5178" spans="1:24" ht="14.25" customHeight="1">
      <c r="A5178" s="4"/>
      <c r="B5178" s="125">
        <v>46197</v>
      </c>
      <c r="C5178" s="126" t="s">
        <v>3018</v>
      </c>
      <c r="D5178" s="15" t="s">
        <v>3021</v>
      </c>
      <c r="E5178" s="10" t="str">
        <f>TRIM(VLOOKUP(D5178,TB!$B$9:$C$1500,2,FALSE))</f>
        <v>Malibu Caribean - 750 Ml</v>
      </c>
      <c r="F5178" s="186" t="s">
        <v>3022</v>
      </c>
      <c r="G5178" s="130">
        <v>2</v>
      </c>
      <c r="H5178" s="10">
        <v>790000</v>
      </c>
      <c r="I5178" s="10"/>
      <c r="J5178" s="79" t="e">
        <f t="shared" si="341"/>
        <v>#VALUE!</v>
      </c>
      <c r="K5178" s="106"/>
      <c r="L5178" s="141"/>
      <c r="M5178" s="132"/>
      <c r="N5178" s="133"/>
      <c r="O5178" s="4"/>
      <c r="P5178" s="4"/>
      <c r="Q5178" s="4"/>
      <c r="R5178" s="4"/>
      <c r="S5178" s="4"/>
      <c r="T5178" s="4"/>
      <c r="U5178" s="4"/>
      <c r="V5178" s="4"/>
      <c r="W5178" s="4"/>
      <c r="X5178" s="4"/>
    </row>
    <row r="5179" spans="1:24" ht="14.25" customHeight="1">
      <c r="A5179" s="4"/>
      <c r="B5179" s="125">
        <v>46197</v>
      </c>
      <c r="C5179" s="126" t="s">
        <v>3018</v>
      </c>
      <c r="D5179" s="15" t="s">
        <v>2854</v>
      </c>
      <c r="E5179" s="10" t="str">
        <f>TRIM(VLOOKUP(D5179,TB!$B$9:$C$1500,2,FALSE))</f>
        <v>Singleton 12Yo Glen Ord</v>
      </c>
      <c r="F5179" s="186" t="s">
        <v>3023</v>
      </c>
      <c r="G5179" s="130">
        <v>2</v>
      </c>
      <c r="H5179" s="10">
        <v>1180000</v>
      </c>
      <c r="I5179" s="10"/>
      <c r="J5179" s="79" t="e">
        <f t="shared" si="341"/>
        <v>#VALUE!</v>
      </c>
      <c r="K5179" s="106"/>
      <c r="L5179" s="141"/>
      <c r="M5179" s="132"/>
      <c r="N5179" s="133"/>
      <c r="O5179" s="4"/>
      <c r="P5179" s="4"/>
      <c r="Q5179" s="4"/>
      <c r="R5179" s="4"/>
      <c r="S5179" s="4"/>
      <c r="T5179" s="4"/>
      <c r="U5179" s="4"/>
      <c r="V5179" s="4"/>
      <c r="W5179" s="4"/>
      <c r="X5179" s="4"/>
    </row>
    <row r="5180" spans="1:24" ht="14.25" customHeight="1">
      <c r="A5180" s="4"/>
      <c r="B5180" s="125">
        <v>46197</v>
      </c>
      <c r="C5180" s="126" t="s">
        <v>3018</v>
      </c>
      <c r="D5180" s="15" t="s">
        <v>285</v>
      </c>
      <c r="E5180" s="10" t="str">
        <f>TRIM(VLOOKUP(D5180,TB!$B$9:$C$1500,2,FALSE))</f>
        <v>Misc Cash Purchase</v>
      </c>
      <c r="F5180" s="186" t="s">
        <v>3024</v>
      </c>
      <c r="G5180" s="130"/>
      <c r="H5180" s="10"/>
      <c r="I5180" s="10">
        <v>18110000</v>
      </c>
      <c r="J5180" s="79" t="e">
        <f t="shared" si="341"/>
        <v>#VALUE!</v>
      </c>
      <c r="K5180" s="106"/>
      <c r="L5180" s="141"/>
      <c r="M5180" s="132"/>
      <c r="N5180" s="133"/>
      <c r="O5180" s="4"/>
      <c r="P5180" s="4"/>
      <c r="Q5180" s="4"/>
      <c r="R5180" s="4"/>
      <c r="S5180" s="4"/>
      <c r="T5180" s="4"/>
      <c r="U5180" s="4"/>
      <c r="V5180" s="4"/>
      <c r="W5180" s="4"/>
      <c r="X5180" s="4"/>
    </row>
    <row r="5181" spans="1:24" ht="14.25" customHeight="1">
      <c r="A5181" s="4"/>
      <c r="B5181" s="125"/>
      <c r="C5181" s="126"/>
      <c r="D5181" s="68"/>
      <c r="E5181" s="10" t="e">
        <f>TRIM(VLOOKUP(D5181,TB!$B$9:$C$1500,2,FALSE))</f>
        <v>#N/A</v>
      </c>
      <c r="F5181" s="142"/>
      <c r="G5181" s="130"/>
      <c r="H5181" s="10"/>
      <c r="I5181" s="10"/>
      <c r="J5181" s="79" t="e">
        <f t="shared" si="341"/>
        <v>#VALUE!</v>
      </c>
      <c r="K5181" s="106"/>
      <c r="L5181" s="141"/>
      <c r="M5181" s="132"/>
      <c r="N5181" s="133"/>
      <c r="O5181" s="4"/>
      <c r="P5181" s="4"/>
      <c r="Q5181" s="4"/>
      <c r="R5181" s="4"/>
      <c r="S5181" s="4"/>
      <c r="T5181" s="4"/>
      <c r="U5181" s="4"/>
      <c r="V5181" s="4"/>
      <c r="W5181" s="4"/>
      <c r="X5181" s="4"/>
    </row>
    <row r="5182" spans="1:24" ht="14.25" customHeight="1">
      <c r="A5182" s="4"/>
      <c r="B5182" s="125">
        <v>46203</v>
      </c>
      <c r="C5182" s="126" t="s">
        <v>3025</v>
      </c>
      <c r="D5182" s="15" t="s">
        <v>2870</v>
      </c>
      <c r="E5182" s="10" t="str">
        <f>TRIM(VLOOKUP(D5182,TB!$B$9:$C$1500,2,FALSE))</f>
        <v>Singleton 15Yo Glen Ord</v>
      </c>
      <c r="F5182" s="142" t="s">
        <v>3026</v>
      </c>
      <c r="G5182" s="130">
        <v>2</v>
      </c>
      <c r="H5182" s="10">
        <v>2100000</v>
      </c>
      <c r="I5182" s="10"/>
      <c r="J5182" s="79" t="e">
        <f t="shared" si="341"/>
        <v>#VALUE!</v>
      </c>
      <c r="K5182" s="106"/>
      <c r="L5182" s="141"/>
      <c r="M5182" s="132"/>
      <c r="N5182" s="133"/>
      <c r="O5182" s="4"/>
      <c r="P5182" s="4"/>
      <c r="Q5182" s="4"/>
      <c r="R5182" s="4"/>
      <c r="S5182" s="4"/>
      <c r="T5182" s="4"/>
      <c r="U5182" s="4"/>
      <c r="V5182" s="4"/>
      <c r="W5182" s="4"/>
      <c r="X5182" s="4"/>
    </row>
    <row r="5183" spans="1:24" ht="14.25" customHeight="1">
      <c r="A5183" s="4"/>
      <c r="B5183" s="125">
        <v>46203</v>
      </c>
      <c r="C5183" s="126" t="s">
        <v>3025</v>
      </c>
      <c r="D5183" s="15" t="s">
        <v>285</v>
      </c>
      <c r="E5183" s="10" t="str">
        <f>TRIM(VLOOKUP(D5183,TB!$B$9:$C$1500,2,FALSE))</f>
        <v>Misc Cash Purchase</v>
      </c>
      <c r="F5183" s="142" t="s">
        <v>3027</v>
      </c>
      <c r="G5183" s="130"/>
      <c r="H5183" s="10"/>
      <c r="I5183" s="10">
        <v>2100000</v>
      </c>
      <c r="J5183" s="79" t="e">
        <f t="shared" si="341"/>
        <v>#VALUE!</v>
      </c>
      <c r="K5183" s="106"/>
      <c r="L5183" s="141"/>
      <c r="M5183" s="132"/>
      <c r="N5183" s="133"/>
      <c r="O5183" s="4"/>
      <c r="P5183" s="4"/>
      <c r="Q5183" s="4"/>
      <c r="R5183" s="4"/>
      <c r="S5183" s="4"/>
      <c r="T5183" s="4"/>
      <c r="U5183" s="4"/>
      <c r="V5183" s="4"/>
      <c r="W5183" s="4"/>
      <c r="X5183" s="4"/>
    </row>
    <row r="5184" spans="1:24" ht="14.25" customHeight="1">
      <c r="A5184" s="4"/>
      <c r="B5184" s="125"/>
      <c r="C5184" s="126"/>
      <c r="D5184" s="15"/>
      <c r="E5184" s="10" t="e">
        <f>TRIM(VLOOKUP(D5184,TB!$B$9:$C$1500,2,FALSE))</f>
        <v>#N/A</v>
      </c>
      <c r="F5184" s="186"/>
      <c r="G5184" s="130"/>
      <c r="H5184" s="10"/>
      <c r="I5184" s="10"/>
      <c r="J5184" s="79" t="e">
        <f t="shared" si="341"/>
        <v>#VALUE!</v>
      </c>
      <c r="K5184" s="106"/>
      <c r="L5184" s="141"/>
      <c r="M5184" s="132"/>
      <c r="N5184" s="133"/>
      <c r="O5184" s="4"/>
      <c r="P5184" s="4"/>
      <c r="Q5184" s="4"/>
      <c r="R5184" s="4"/>
      <c r="S5184" s="4"/>
      <c r="T5184" s="4"/>
      <c r="U5184" s="4"/>
      <c r="V5184" s="4"/>
      <c r="W5184" s="4"/>
      <c r="X5184" s="4"/>
    </row>
    <row r="5185" spans="1:24" ht="14.25" customHeight="1">
      <c r="A5185" s="4"/>
      <c r="B5185" s="125">
        <v>46196</v>
      </c>
      <c r="C5185" s="126" t="s">
        <v>3028</v>
      </c>
      <c r="D5185" s="15" t="s">
        <v>1404</v>
      </c>
      <c r="E5185" s="10" t="str">
        <f>TRIM(VLOOKUP(D5185,TB!$B$9:$C$1500,2,FALSE))</f>
        <v>Stationary &amp; Office Supplies</v>
      </c>
      <c r="F5185" s="198" t="s">
        <v>3029</v>
      </c>
      <c r="G5185" s="130"/>
      <c r="H5185" s="10">
        <v>521100</v>
      </c>
      <c r="I5185" s="10"/>
      <c r="J5185" s="79" t="e">
        <f t="shared" si="341"/>
        <v>#VALUE!</v>
      </c>
      <c r="K5185" s="106"/>
      <c r="L5185" s="141"/>
      <c r="M5185" s="132"/>
      <c r="N5185" s="133"/>
      <c r="O5185" s="4"/>
      <c r="P5185" s="4"/>
      <c r="Q5185" s="4"/>
      <c r="R5185" s="4"/>
      <c r="S5185" s="4"/>
      <c r="T5185" s="4"/>
      <c r="U5185" s="4"/>
      <c r="V5185" s="4"/>
      <c r="W5185" s="4"/>
      <c r="X5185" s="4"/>
    </row>
    <row r="5186" spans="1:24" ht="14.25" customHeight="1">
      <c r="A5186" s="4"/>
      <c r="B5186" s="125">
        <v>46196</v>
      </c>
      <c r="C5186" s="126" t="s">
        <v>3028</v>
      </c>
      <c r="D5186" s="15" t="s">
        <v>285</v>
      </c>
      <c r="E5186" s="10" t="str">
        <f>TRIM(VLOOKUP(D5186,TB!$B$9:$C$1500,2,FALSE))</f>
        <v>Misc Cash Purchase</v>
      </c>
      <c r="F5186" s="198" t="s">
        <v>1147</v>
      </c>
      <c r="G5186" s="130"/>
      <c r="H5186" s="10"/>
      <c r="I5186" s="10">
        <v>521100</v>
      </c>
      <c r="J5186" s="79" t="e">
        <f t="shared" si="341"/>
        <v>#VALUE!</v>
      </c>
      <c r="K5186" s="106"/>
      <c r="L5186" s="141"/>
      <c r="M5186" s="132"/>
      <c r="N5186" s="133"/>
      <c r="O5186" s="4"/>
      <c r="P5186" s="4"/>
      <c r="Q5186" s="4"/>
      <c r="R5186" s="4"/>
      <c r="S5186" s="4"/>
      <c r="T5186" s="4"/>
      <c r="U5186" s="4"/>
      <c r="V5186" s="4"/>
      <c r="W5186" s="4"/>
      <c r="X5186" s="4"/>
    </row>
    <row r="5187" spans="1:24" ht="14.25" customHeight="1">
      <c r="A5187" s="4"/>
      <c r="B5187" s="125"/>
      <c r="C5187" s="126"/>
      <c r="D5187" s="68"/>
      <c r="E5187" s="10" t="e">
        <f>TRIM(VLOOKUP(D5187,TB!$B$9:$C$1500,2,FALSE))</f>
        <v>#N/A</v>
      </c>
      <c r="F5187" s="142"/>
      <c r="G5187" s="130"/>
      <c r="H5187" s="10"/>
      <c r="I5187" s="10"/>
      <c r="J5187" s="79" t="e">
        <f t="shared" si="341"/>
        <v>#VALUE!</v>
      </c>
      <c r="K5187" s="106"/>
      <c r="L5187" s="141"/>
      <c r="M5187" s="132"/>
      <c r="N5187" s="133"/>
      <c r="O5187" s="4"/>
      <c r="P5187" s="4"/>
      <c r="Q5187" s="4"/>
      <c r="R5187" s="4"/>
      <c r="S5187" s="4"/>
      <c r="T5187" s="4"/>
      <c r="U5187" s="4"/>
      <c r="V5187" s="4"/>
      <c r="W5187" s="4"/>
      <c r="X5187" s="4"/>
    </row>
    <row r="5188" spans="1:24" ht="14.25" customHeight="1">
      <c r="A5188" s="4"/>
      <c r="B5188" s="125">
        <v>46198</v>
      </c>
      <c r="C5188" s="126" t="s">
        <v>3030</v>
      </c>
      <c r="D5188" s="15" t="s">
        <v>3031</v>
      </c>
      <c r="E5188" s="10" t="str">
        <f>TRIM(VLOOKUP(D5188,TB!$B$9:$C$1500,2,FALSE))</f>
        <v>San Miguel Light</v>
      </c>
      <c r="F5188" s="198" t="s">
        <v>3032</v>
      </c>
      <c r="G5188" s="130">
        <f>120</f>
        <v>120</v>
      </c>
      <c r="H5188" s="10">
        <v>2905000</v>
      </c>
      <c r="I5188" s="10"/>
      <c r="J5188" s="79" t="e">
        <f t="shared" si="341"/>
        <v>#VALUE!</v>
      </c>
      <c r="K5188" s="106"/>
      <c r="L5188" s="141"/>
      <c r="M5188" s="132"/>
      <c r="N5188" s="133"/>
      <c r="O5188" s="4"/>
      <c r="P5188" s="4"/>
      <c r="Q5188" s="4"/>
      <c r="R5188" s="4"/>
      <c r="S5188" s="4"/>
      <c r="T5188" s="4"/>
      <c r="U5188" s="4"/>
      <c r="V5188" s="4"/>
      <c r="W5188" s="4"/>
      <c r="X5188" s="4"/>
    </row>
    <row r="5189" spans="1:24" ht="14.25" customHeight="1">
      <c r="A5189" s="4"/>
      <c r="B5189" s="125">
        <v>46198</v>
      </c>
      <c r="C5189" s="126" t="s">
        <v>3030</v>
      </c>
      <c r="D5189" s="15" t="s">
        <v>1921</v>
      </c>
      <c r="E5189" s="10" t="str">
        <f>TRIM(VLOOKUP(D5189,TB!$B$9:$C$1500,2,FALSE))</f>
        <v>Bar Supplies &amp; Laundry</v>
      </c>
      <c r="F5189" s="198" t="s">
        <v>3033</v>
      </c>
      <c r="G5189" s="130"/>
      <c r="H5189" s="10"/>
      <c r="I5189" s="10">
        <v>60000</v>
      </c>
      <c r="J5189" s="79" t="e">
        <f t="shared" si="341"/>
        <v>#VALUE!</v>
      </c>
      <c r="K5189" s="106"/>
      <c r="L5189" s="141"/>
      <c r="M5189" s="132"/>
      <c r="N5189" s="133"/>
      <c r="O5189" s="4"/>
      <c r="P5189" s="4"/>
      <c r="Q5189" s="4"/>
      <c r="R5189" s="4"/>
      <c r="S5189" s="4"/>
      <c r="T5189" s="4"/>
      <c r="U5189" s="4"/>
      <c r="V5189" s="4"/>
      <c r="W5189" s="4"/>
      <c r="X5189" s="4"/>
    </row>
    <row r="5190" spans="1:24" ht="14.25" customHeight="1">
      <c r="A5190" s="4"/>
      <c r="B5190" s="125">
        <v>46198</v>
      </c>
      <c r="C5190" s="126" t="s">
        <v>3030</v>
      </c>
      <c r="D5190" s="15" t="s">
        <v>285</v>
      </c>
      <c r="E5190" s="10" t="str">
        <f>TRIM(VLOOKUP(D5190,TB!$B$9:$C$1500,2,FALSE))</f>
        <v>Misc Cash Purchase</v>
      </c>
      <c r="F5190" s="198" t="s">
        <v>3033</v>
      </c>
      <c r="G5190" s="130"/>
      <c r="H5190" s="10"/>
      <c r="I5190" s="10">
        <v>2845000</v>
      </c>
      <c r="J5190" s="79" t="e">
        <f t="shared" si="341"/>
        <v>#VALUE!</v>
      </c>
      <c r="K5190" s="106"/>
      <c r="L5190" s="141"/>
      <c r="M5190" s="132"/>
      <c r="N5190" s="133"/>
      <c r="O5190" s="4"/>
      <c r="P5190" s="4"/>
      <c r="Q5190" s="4"/>
      <c r="R5190" s="4"/>
      <c r="S5190" s="4"/>
      <c r="T5190" s="4"/>
      <c r="U5190" s="4"/>
      <c r="V5190" s="4"/>
      <c r="W5190" s="4"/>
      <c r="X5190" s="4"/>
    </row>
    <row r="5191" spans="1:24" ht="14.25" customHeight="1">
      <c r="A5191" s="4"/>
      <c r="B5191" s="125"/>
      <c r="C5191" s="126"/>
      <c r="D5191" s="68"/>
      <c r="E5191" s="10" t="e">
        <f>TRIM(VLOOKUP(D5191,TB!$B$9:$C$1500,2,FALSE))</f>
        <v>#N/A</v>
      </c>
      <c r="F5191" s="142"/>
      <c r="G5191" s="130"/>
      <c r="H5191" s="10"/>
      <c r="I5191" s="10"/>
      <c r="J5191" s="79" t="e">
        <f t="shared" si="341"/>
        <v>#VALUE!</v>
      </c>
      <c r="K5191" s="106" t="str">
        <f>PROPER(F5191)</f>
        <v/>
      </c>
      <c r="L5191" s="141"/>
      <c r="M5191" s="132"/>
      <c r="N5191" s="133"/>
      <c r="O5191" s="4"/>
      <c r="P5191" s="4"/>
      <c r="Q5191" s="4"/>
      <c r="R5191" s="4"/>
      <c r="S5191" s="4"/>
      <c r="T5191" s="4"/>
      <c r="U5191" s="4"/>
      <c r="V5191" s="4"/>
      <c r="W5191" s="4"/>
      <c r="X5191" s="4"/>
    </row>
    <row r="5192" spans="1:24" ht="14.25" customHeight="1">
      <c r="A5192" s="4"/>
      <c r="B5192" s="125">
        <v>46198</v>
      </c>
      <c r="C5192" s="126" t="s">
        <v>3034</v>
      </c>
      <c r="D5192" s="15" t="s">
        <v>2834</v>
      </c>
      <c r="E5192" s="10" t="str">
        <f>TRIM(VLOOKUP(D5192,TB!$B$9:$C$1500,2,FALSE))</f>
        <v>Beef Cuberoll (Rib Eye)</v>
      </c>
      <c r="F5192" s="142" t="s">
        <v>3035</v>
      </c>
      <c r="G5192" s="130">
        <v>2</v>
      </c>
      <c r="H5192" s="10">
        <v>500000</v>
      </c>
      <c r="I5192" s="10"/>
      <c r="J5192" s="79" t="e">
        <f t="shared" si="341"/>
        <v>#VALUE!</v>
      </c>
      <c r="K5192" s="106">
        <f>H5192/G5192</f>
        <v>250000</v>
      </c>
      <c r="L5192" s="141"/>
      <c r="M5192" s="132"/>
      <c r="N5192" s="133"/>
      <c r="O5192" s="4"/>
      <c r="P5192" s="4"/>
      <c r="Q5192" s="4"/>
      <c r="R5192" s="4"/>
      <c r="S5192" s="4"/>
      <c r="T5192" s="4"/>
      <c r="U5192" s="4"/>
      <c r="V5192" s="4"/>
      <c r="W5192" s="4"/>
      <c r="X5192" s="4"/>
    </row>
    <row r="5193" spans="1:24" ht="14.25" customHeight="1">
      <c r="A5193" s="4"/>
      <c r="B5193" s="125">
        <v>46198</v>
      </c>
      <c r="C5193" s="126" t="s">
        <v>3034</v>
      </c>
      <c r="D5193" s="15" t="s">
        <v>285</v>
      </c>
      <c r="E5193" s="10" t="str">
        <f>TRIM(VLOOKUP(D5193,TB!$B$9:$C$1500,2,FALSE))</f>
        <v>Misc Cash Purchase</v>
      </c>
      <c r="F5193" s="142" t="s">
        <v>3036</v>
      </c>
      <c r="G5193" s="130"/>
      <c r="H5193" s="10"/>
      <c r="I5193" s="10">
        <v>500000</v>
      </c>
      <c r="J5193" s="79" t="e">
        <f t="shared" si="341"/>
        <v>#VALUE!</v>
      </c>
      <c r="K5193" s="106"/>
      <c r="L5193" s="141"/>
      <c r="M5193" s="132"/>
      <c r="N5193" s="133"/>
      <c r="O5193" s="4"/>
      <c r="P5193" s="4"/>
      <c r="Q5193" s="4"/>
      <c r="R5193" s="4"/>
      <c r="S5193" s="4"/>
      <c r="T5193" s="4"/>
      <c r="U5193" s="4"/>
      <c r="V5193" s="4"/>
      <c r="W5193" s="4"/>
      <c r="X5193" s="4"/>
    </row>
    <row r="5194" spans="1:24" ht="14.25" customHeight="1">
      <c r="A5194" s="4"/>
      <c r="B5194" s="125"/>
      <c r="C5194" s="126"/>
      <c r="D5194" s="68"/>
      <c r="E5194" s="10" t="e">
        <f>TRIM(VLOOKUP(D5194,TB!$B$9:$C$1500,2,FALSE))</f>
        <v>#N/A</v>
      </c>
      <c r="F5194" s="142"/>
      <c r="G5194" s="130"/>
      <c r="H5194" s="10"/>
      <c r="I5194" s="10"/>
      <c r="J5194" s="79" t="e">
        <f t="shared" si="341"/>
        <v>#VALUE!</v>
      </c>
      <c r="K5194" s="106"/>
      <c r="L5194" s="141"/>
      <c r="M5194" s="132"/>
      <c r="N5194" s="133"/>
      <c r="O5194" s="4"/>
      <c r="P5194" s="4"/>
      <c r="Q5194" s="4"/>
      <c r="R5194" s="4"/>
      <c r="S5194" s="4"/>
      <c r="T5194" s="4"/>
      <c r="U5194" s="4"/>
      <c r="V5194" s="4"/>
      <c r="W5194" s="4"/>
      <c r="X5194" s="4"/>
    </row>
    <row r="5195" spans="1:24" ht="14.25" customHeight="1">
      <c r="A5195" s="4"/>
      <c r="B5195" s="125">
        <v>46198</v>
      </c>
      <c r="C5195" s="126" t="s">
        <v>3037</v>
      </c>
      <c r="D5195" s="15" t="s">
        <v>3038</v>
      </c>
      <c r="E5195" s="10" t="str">
        <f>TRIM(VLOOKUP(D5195,TB!$B$9:$C$1500,2,FALSE))</f>
        <v>Beer Bintang Small</v>
      </c>
      <c r="F5195" s="198" t="s">
        <v>3039</v>
      </c>
      <c r="G5195" s="130">
        <f>100*24</f>
        <v>2400</v>
      </c>
      <c r="H5195" s="10">
        <v>46420000</v>
      </c>
      <c r="I5195" s="10"/>
      <c r="J5195" s="79" t="e">
        <f t="shared" si="341"/>
        <v>#VALUE!</v>
      </c>
      <c r="K5195" s="106"/>
      <c r="L5195" s="141"/>
      <c r="M5195" s="132"/>
      <c r="N5195" s="133"/>
      <c r="O5195" s="4"/>
      <c r="P5195" s="4"/>
      <c r="Q5195" s="4"/>
      <c r="R5195" s="4"/>
      <c r="S5195" s="4"/>
      <c r="T5195" s="4"/>
      <c r="U5195" s="4"/>
      <c r="V5195" s="4"/>
      <c r="W5195" s="4"/>
      <c r="X5195" s="4"/>
    </row>
    <row r="5196" spans="1:24" ht="14.25" customHeight="1">
      <c r="A5196" s="4"/>
      <c r="B5196" s="125">
        <v>46198</v>
      </c>
      <c r="C5196" s="126" t="s">
        <v>3037</v>
      </c>
      <c r="D5196" s="15" t="s">
        <v>3040</v>
      </c>
      <c r="E5196" s="10" t="str">
        <f>TRIM(VLOOKUP(D5196,TB!$B$9:$C$1500,2,FALSE))</f>
        <v>Heineken Draught 20 Ltr</v>
      </c>
      <c r="F5196" s="198" t="s">
        <v>3041</v>
      </c>
      <c r="G5196" s="130">
        <f>1</f>
        <v>1</v>
      </c>
      <c r="H5196" s="10">
        <v>1640200</v>
      </c>
      <c r="I5196" s="10"/>
      <c r="J5196" s="79" t="e">
        <f t="shared" si="341"/>
        <v>#VALUE!</v>
      </c>
      <c r="K5196" s="106"/>
      <c r="L5196" s="141"/>
      <c r="M5196" s="132"/>
      <c r="N5196" s="133"/>
      <c r="O5196" s="4"/>
      <c r="P5196" s="4"/>
      <c r="Q5196" s="4"/>
      <c r="R5196" s="4"/>
      <c r="S5196" s="4"/>
      <c r="T5196" s="4"/>
      <c r="U5196" s="4"/>
      <c r="V5196" s="4"/>
      <c r="W5196" s="4"/>
      <c r="X5196" s="4"/>
    </row>
    <row r="5197" spans="1:24" ht="14.25" customHeight="1">
      <c r="A5197" s="4"/>
      <c r="B5197" s="125">
        <v>46198</v>
      </c>
      <c r="C5197" s="126" t="s">
        <v>3037</v>
      </c>
      <c r="D5197" s="15" t="s">
        <v>3042</v>
      </c>
      <c r="E5197" s="10" t="str">
        <f>TRIM(VLOOKUP(D5197,TB!$B$9:$C$1500,2,FALSE))</f>
        <v>Radler Pint</v>
      </c>
      <c r="F5197" s="198" t="s">
        <v>3043</v>
      </c>
      <c r="G5197" s="130">
        <f>14*24</f>
        <v>336</v>
      </c>
      <c r="H5197" s="10">
        <v>6526800</v>
      </c>
      <c r="I5197" s="10"/>
      <c r="J5197" s="79" t="e">
        <f t="shared" si="341"/>
        <v>#VALUE!</v>
      </c>
      <c r="K5197" s="106"/>
      <c r="L5197" s="141"/>
      <c r="M5197" s="132"/>
      <c r="N5197" s="133"/>
      <c r="O5197" s="4"/>
      <c r="P5197" s="4"/>
      <c r="Q5197" s="4"/>
      <c r="R5197" s="4"/>
      <c r="S5197" s="4"/>
      <c r="T5197" s="4"/>
      <c r="U5197" s="4"/>
      <c r="V5197" s="4"/>
      <c r="W5197" s="4"/>
      <c r="X5197" s="4"/>
    </row>
    <row r="5198" spans="1:24" ht="14.25" customHeight="1">
      <c r="A5198" s="4"/>
      <c r="B5198" s="125">
        <v>46198</v>
      </c>
      <c r="C5198" s="126" t="s">
        <v>3037</v>
      </c>
      <c r="D5198" s="15" t="s">
        <v>3044</v>
      </c>
      <c r="E5198" s="10" t="str">
        <f>TRIM(VLOOKUP(D5198,TB!$B$9:$C$1500,2,FALSE))</f>
        <v>Heineken Beer</v>
      </c>
      <c r="F5198" s="198" t="s">
        <v>3045</v>
      </c>
      <c r="G5198" s="130">
        <f>15*24</f>
        <v>360</v>
      </c>
      <c r="H5198" s="10">
        <v>8808000</v>
      </c>
      <c r="I5198" s="10"/>
      <c r="J5198" s="79" t="e">
        <f t="shared" si="341"/>
        <v>#VALUE!</v>
      </c>
      <c r="K5198" s="106"/>
      <c r="L5198" s="141"/>
      <c r="M5198" s="132"/>
      <c r="N5198" s="133"/>
      <c r="O5198" s="4"/>
      <c r="P5198" s="4"/>
      <c r="Q5198" s="4"/>
      <c r="R5198" s="4"/>
      <c r="S5198" s="4"/>
      <c r="T5198" s="4"/>
      <c r="U5198" s="4"/>
      <c r="V5198" s="4"/>
      <c r="W5198" s="4"/>
      <c r="X5198" s="4"/>
    </row>
    <row r="5199" spans="1:24" ht="14.25" customHeight="1">
      <c r="A5199" s="4"/>
      <c r="B5199" s="125">
        <v>46198</v>
      </c>
      <c r="C5199" s="126" t="s">
        <v>3037</v>
      </c>
      <c r="D5199" s="15" t="s">
        <v>3046</v>
      </c>
      <c r="E5199" s="10" t="str">
        <f>TRIM(VLOOKUP(D5199,TB!$B$9:$C$1500,2,FALSE))</f>
        <v>Crystal Beer</v>
      </c>
      <c r="F5199" s="198" t="s">
        <v>3047</v>
      </c>
      <c r="G5199" s="130">
        <f>10*24</f>
        <v>240</v>
      </c>
      <c r="H5199" s="10">
        <v>5092000</v>
      </c>
      <c r="I5199" s="10"/>
      <c r="J5199" s="79" t="e">
        <f t="shared" si="341"/>
        <v>#VALUE!</v>
      </c>
      <c r="K5199" s="106"/>
      <c r="L5199" s="141"/>
      <c r="M5199" s="132"/>
      <c r="N5199" s="133"/>
      <c r="O5199" s="4"/>
      <c r="P5199" s="4"/>
      <c r="Q5199" s="4"/>
      <c r="R5199" s="4"/>
      <c r="S5199" s="4"/>
      <c r="T5199" s="4"/>
      <c r="U5199" s="4"/>
      <c r="V5199" s="4"/>
      <c r="W5199" s="4"/>
      <c r="X5199" s="4"/>
    </row>
    <row r="5200" spans="1:24" ht="14.25" customHeight="1">
      <c r="A5200" s="4"/>
      <c r="B5200" s="125">
        <v>46198</v>
      </c>
      <c r="C5200" s="126" t="s">
        <v>3037</v>
      </c>
      <c r="D5200" s="15" t="s">
        <v>1921</v>
      </c>
      <c r="E5200" s="10" t="str">
        <f>TRIM(VLOOKUP(D5200,TB!$B$9:$C$1500,2,FALSE))</f>
        <v>Bar Supplies &amp; Laundry</v>
      </c>
      <c r="F5200" s="198" t="s">
        <v>3048</v>
      </c>
      <c r="G5200" s="130"/>
      <c r="H5200" s="10">
        <f>6930400-5311200-93600</f>
        <v>1525600</v>
      </c>
      <c r="I5200" s="10"/>
      <c r="J5200" s="79" t="e">
        <f t="shared" si="341"/>
        <v>#VALUE!</v>
      </c>
      <c r="K5200" s="106"/>
      <c r="L5200" s="141"/>
      <c r="M5200" s="132"/>
      <c r="N5200" s="133"/>
      <c r="O5200" s="4"/>
      <c r="P5200" s="4"/>
      <c r="Q5200" s="4"/>
      <c r="R5200" s="4"/>
      <c r="S5200" s="4"/>
      <c r="T5200" s="4"/>
      <c r="U5200" s="4"/>
      <c r="V5200" s="4"/>
      <c r="W5200" s="4"/>
      <c r="X5200" s="4"/>
    </row>
    <row r="5201" spans="1:24" ht="14.25" customHeight="1">
      <c r="A5201" s="4"/>
      <c r="B5201" s="125">
        <v>46198</v>
      </c>
      <c r="C5201" s="126" t="s">
        <v>3037</v>
      </c>
      <c r="D5201" s="15" t="s">
        <v>285</v>
      </c>
      <c r="E5201" s="10" t="str">
        <f>TRIM(VLOOKUP(D5201,TB!$B$9:$C$1500,2,FALSE))</f>
        <v>Misc Cash Purchase</v>
      </c>
      <c r="F5201" s="198" t="s">
        <v>3049</v>
      </c>
      <c r="G5201" s="130"/>
      <c r="H5201" s="10"/>
      <c r="I5201" s="10">
        <v>70012600</v>
      </c>
      <c r="J5201" s="79" t="e">
        <f t="shared" si="341"/>
        <v>#VALUE!</v>
      </c>
      <c r="K5201" s="106"/>
      <c r="L5201" s="141"/>
      <c r="M5201" s="132"/>
      <c r="N5201" s="133"/>
      <c r="O5201" s="4"/>
      <c r="P5201" s="4"/>
      <c r="Q5201" s="4"/>
      <c r="R5201" s="4"/>
      <c r="S5201" s="4"/>
      <c r="T5201" s="4"/>
      <c r="U5201" s="4"/>
      <c r="V5201" s="4"/>
      <c r="W5201" s="4"/>
      <c r="X5201" s="4"/>
    </row>
    <row r="5202" spans="1:24" ht="14.25" customHeight="1">
      <c r="A5202" s="4"/>
      <c r="B5202" s="125"/>
      <c r="C5202" s="126"/>
      <c r="D5202" s="68"/>
      <c r="E5202" s="10" t="e">
        <f>TRIM(VLOOKUP(D5202,TB!$B$9:$C$1500,2,FALSE))</f>
        <v>#N/A</v>
      </c>
      <c r="F5202" s="142"/>
      <c r="G5202" s="130"/>
      <c r="H5202" s="10"/>
      <c r="I5202" s="10"/>
      <c r="J5202" s="79" t="e">
        <f t="shared" si="341"/>
        <v>#VALUE!</v>
      </c>
      <c r="K5202" s="106"/>
      <c r="L5202" s="141"/>
      <c r="M5202" s="132"/>
      <c r="N5202" s="133"/>
      <c r="O5202" s="4"/>
      <c r="P5202" s="4"/>
      <c r="Q5202" s="4"/>
      <c r="R5202" s="4"/>
      <c r="S5202" s="4"/>
      <c r="T5202" s="4"/>
      <c r="U5202" s="4"/>
      <c r="V5202" s="4"/>
      <c r="W5202" s="4"/>
      <c r="X5202" s="4"/>
    </row>
    <row r="5203" spans="1:24" ht="14.25" customHeight="1">
      <c r="A5203" s="4"/>
      <c r="B5203" s="125">
        <v>46174</v>
      </c>
      <c r="C5203" s="126" t="s">
        <v>3050</v>
      </c>
      <c r="D5203" s="15" t="s">
        <v>659</v>
      </c>
      <c r="E5203" s="10" t="str">
        <f>TRIM(VLOOKUP(D5203,TB!$B$9:$C$1500,2,FALSE))</f>
        <v>COS - Entertainment</v>
      </c>
      <c r="F5203" s="142" t="s">
        <v>1611</v>
      </c>
      <c r="G5203" s="130"/>
      <c r="H5203" s="10">
        <v>1500000</v>
      </c>
      <c r="I5203" s="10"/>
      <c r="J5203" s="79" t="e">
        <f t="shared" si="341"/>
        <v>#VALUE!</v>
      </c>
      <c r="K5203" s="106"/>
      <c r="L5203" s="141"/>
      <c r="M5203" s="132"/>
      <c r="N5203" s="133"/>
      <c r="O5203" s="4"/>
      <c r="P5203" s="4"/>
      <c r="Q5203" s="4"/>
      <c r="R5203" s="4"/>
      <c r="S5203" s="4"/>
      <c r="T5203" s="4"/>
      <c r="U5203" s="4"/>
      <c r="V5203" s="4"/>
      <c r="W5203" s="4"/>
      <c r="X5203" s="4"/>
    </row>
    <row r="5204" spans="1:24" ht="14.25" customHeight="1">
      <c r="A5204" s="4"/>
      <c r="B5204" s="125">
        <v>46174</v>
      </c>
      <c r="C5204" s="126" t="s">
        <v>3051</v>
      </c>
      <c r="D5204" s="15" t="s">
        <v>659</v>
      </c>
      <c r="E5204" s="10" t="str">
        <f>TRIM(VLOOKUP(D5204,TB!$B$9:$C$1500,2,FALSE))</f>
        <v>COS - Entertainment</v>
      </c>
      <c r="F5204" s="142" t="s">
        <v>1002</v>
      </c>
      <c r="G5204" s="130"/>
      <c r="H5204" s="10">
        <v>1500000</v>
      </c>
      <c r="I5204" s="10"/>
      <c r="J5204" s="79" t="e">
        <f t="shared" si="341"/>
        <v>#VALUE!</v>
      </c>
      <c r="K5204" s="106"/>
      <c r="L5204" s="141"/>
      <c r="M5204" s="132"/>
      <c r="N5204" s="133"/>
      <c r="O5204" s="4"/>
      <c r="P5204" s="4"/>
      <c r="Q5204" s="4"/>
      <c r="R5204" s="4"/>
      <c r="S5204" s="4"/>
      <c r="T5204" s="4"/>
      <c r="U5204" s="4"/>
      <c r="V5204" s="4"/>
      <c r="W5204" s="4"/>
      <c r="X5204" s="4"/>
    </row>
    <row r="5205" spans="1:24" ht="14.25" customHeight="1">
      <c r="A5205" s="4"/>
      <c r="B5205" s="125">
        <v>46174</v>
      </c>
      <c r="C5205" s="126" t="s">
        <v>3052</v>
      </c>
      <c r="D5205" s="15" t="s">
        <v>659</v>
      </c>
      <c r="E5205" s="10" t="str">
        <f>TRIM(VLOOKUP(D5205,TB!$B$9:$C$1500,2,FALSE))</f>
        <v>COS - Entertainment</v>
      </c>
      <c r="F5205" s="142" t="s">
        <v>3053</v>
      </c>
      <c r="G5205" s="130"/>
      <c r="H5205" s="10">
        <v>1500000</v>
      </c>
      <c r="I5205" s="10"/>
      <c r="J5205" s="79" t="e">
        <f t="shared" si="341"/>
        <v>#VALUE!</v>
      </c>
      <c r="K5205" s="106"/>
      <c r="L5205" s="141"/>
      <c r="M5205" s="132"/>
      <c r="N5205" s="133"/>
      <c r="O5205" s="4"/>
      <c r="P5205" s="4"/>
      <c r="Q5205" s="4"/>
      <c r="R5205" s="4"/>
      <c r="S5205" s="4"/>
      <c r="T5205" s="4"/>
      <c r="U5205" s="4"/>
      <c r="V5205" s="4"/>
      <c r="W5205" s="4"/>
      <c r="X5205" s="4"/>
    </row>
    <row r="5206" spans="1:24" ht="14.25" customHeight="1">
      <c r="A5206" s="4"/>
      <c r="B5206" s="125">
        <v>46174</v>
      </c>
      <c r="C5206" s="126" t="s">
        <v>3054</v>
      </c>
      <c r="D5206" s="15" t="s">
        <v>659</v>
      </c>
      <c r="E5206" s="10" t="str">
        <f>TRIM(VLOOKUP(D5206,TB!$B$9:$C$1500,2,FALSE))</f>
        <v>COS - Entertainment</v>
      </c>
      <c r="F5206" s="142" t="s">
        <v>1613</v>
      </c>
      <c r="G5206" s="130"/>
      <c r="H5206" s="10">
        <v>2000000</v>
      </c>
      <c r="I5206" s="10"/>
      <c r="J5206" s="79" t="e">
        <f t="shared" si="341"/>
        <v>#VALUE!</v>
      </c>
      <c r="K5206" s="106"/>
      <c r="L5206" s="141"/>
      <c r="M5206" s="132"/>
      <c r="N5206" s="133"/>
      <c r="O5206" s="4"/>
      <c r="P5206" s="4"/>
      <c r="Q5206" s="4"/>
      <c r="R5206" s="4"/>
      <c r="S5206" s="4"/>
      <c r="T5206" s="4"/>
      <c r="U5206" s="4"/>
      <c r="V5206" s="4"/>
      <c r="W5206" s="4"/>
      <c r="X5206" s="4"/>
    </row>
    <row r="5207" spans="1:24" ht="14.25" customHeight="1">
      <c r="A5207" s="4"/>
      <c r="B5207" s="125">
        <v>46174</v>
      </c>
      <c r="C5207" s="126" t="s">
        <v>3055</v>
      </c>
      <c r="D5207" s="15" t="s">
        <v>659</v>
      </c>
      <c r="E5207" s="10" t="str">
        <f>TRIM(VLOOKUP(D5207,TB!$B$9:$C$1500,2,FALSE))</f>
        <v>COS - Entertainment</v>
      </c>
      <c r="F5207" s="142" t="s">
        <v>1006</v>
      </c>
      <c r="G5207" s="130"/>
      <c r="H5207" s="10">
        <v>2000000</v>
      </c>
      <c r="I5207" s="10"/>
      <c r="J5207" s="79" t="e">
        <f t="shared" si="341"/>
        <v>#VALUE!</v>
      </c>
      <c r="K5207" s="106"/>
      <c r="L5207" s="141"/>
      <c r="M5207" s="132"/>
      <c r="N5207" s="133"/>
      <c r="O5207" s="4"/>
      <c r="P5207" s="4"/>
      <c r="Q5207" s="4"/>
      <c r="R5207" s="4"/>
      <c r="S5207" s="4"/>
      <c r="T5207" s="4"/>
      <c r="U5207" s="4"/>
      <c r="V5207" s="4"/>
      <c r="W5207" s="4"/>
      <c r="X5207" s="4"/>
    </row>
    <row r="5208" spans="1:24" ht="14.25" customHeight="1">
      <c r="A5208" s="4"/>
      <c r="B5208" s="125">
        <v>46174</v>
      </c>
      <c r="C5208" s="126" t="s">
        <v>3056</v>
      </c>
      <c r="D5208" s="15" t="s">
        <v>659</v>
      </c>
      <c r="E5208" s="10" t="str">
        <f>TRIM(VLOOKUP(D5208,TB!$B$9:$C$1500,2,FALSE))</f>
        <v>COS - Entertainment</v>
      </c>
      <c r="F5208" s="142" t="s">
        <v>1008</v>
      </c>
      <c r="G5208" s="130"/>
      <c r="H5208" s="10">
        <v>2000000</v>
      </c>
      <c r="I5208" s="10"/>
      <c r="J5208" s="79" t="e">
        <f t="shared" si="341"/>
        <v>#VALUE!</v>
      </c>
      <c r="K5208" s="106"/>
      <c r="L5208" s="141"/>
      <c r="M5208" s="132"/>
      <c r="N5208" s="133"/>
      <c r="O5208" s="4"/>
      <c r="P5208" s="4"/>
      <c r="Q5208" s="4"/>
      <c r="R5208" s="4"/>
      <c r="S5208" s="4"/>
      <c r="T5208" s="4"/>
      <c r="U5208" s="4"/>
      <c r="V5208" s="4"/>
      <c r="W5208" s="4"/>
      <c r="X5208" s="4"/>
    </row>
    <row r="5209" spans="1:24" ht="14.25" customHeight="1">
      <c r="A5209" s="4"/>
      <c r="B5209" s="125">
        <v>46174</v>
      </c>
      <c r="C5209" s="126" t="s">
        <v>3057</v>
      </c>
      <c r="D5209" s="15" t="s">
        <v>659</v>
      </c>
      <c r="E5209" s="10" t="str">
        <f>TRIM(VLOOKUP(D5209,TB!$B$9:$C$1500,2,FALSE))</f>
        <v>COS - Entertainment</v>
      </c>
      <c r="F5209" s="142" t="s">
        <v>1010</v>
      </c>
      <c r="G5209" s="130"/>
      <c r="H5209" s="10">
        <v>2000000</v>
      </c>
      <c r="I5209" s="10"/>
      <c r="J5209" s="79" t="e">
        <f t="shared" si="341"/>
        <v>#VALUE!</v>
      </c>
      <c r="K5209" s="106"/>
      <c r="L5209" s="141"/>
      <c r="M5209" s="132"/>
      <c r="N5209" s="133"/>
      <c r="O5209" s="4"/>
      <c r="P5209" s="4"/>
      <c r="Q5209" s="4"/>
      <c r="R5209" s="4"/>
      <c r="S5209" s="4"/>
      <c r="T5209" s="4"/>
      <c r="U5209" s="4"/>
      <c r="V5209" s="4"/>
      <c r="W5209" s="4"/>
      <c r="X5209" s="4"/>
    </row>
    <row r="5210" spans="1:24" ht="14.25" customHeight="1">
      <c r="A5210" s="110"/>
      <c r="B5210" s="125">
        <v>46174</v>
      </c>
      <c r="C5210" s="126" t="s">
        <v>3058</v>
      </c>
      <c r="D5210" s="15" t="s">
        <v>659</v>
      </c>
      <c r="E5210" s="10" t="str">
        <f>TRIM(VLOOKUP(D5210,TB!$B$9:$C$1500,2,FALSE))</f>
        <v>COS - Entertainment</v>
      </c>
      <c r="F5210" s="142" t="s">
        <v>1012</v>
      </c>
      <c r="G5210" s="130"/>
      <c r="H5210" s="10">
        <v>2000000</v>
      </c>
      <c r="I5210" s="10"/>
      <c r="J5210" s="79" t="e">
        <f t="shared" si="341"/>
        <v>#VALUE!</v>
      </c>
      <c r="K5210" s="106"/>
      <c r="L5210" s="107"/>
      <c r="M5210" s="106"/>
      <c r="N5210" s="106"/>
      <c r="O5210" s="108"/>
      <c r="P5210" s="108"/>
      <c r="Q5210" s="108"/>
      <c r="R5210" s="109"/>
      <c r="S5210" s="109"/>
      <c r="T5210" s="108"/>
      <c r="U5210" s="110"/>
      <c r="V5210" s="110"/>
      <c r="W5210" s="110"/>
      <c r="X5210" s="110"/>
    </row>
    <row r="5211" spans="1:24" ht="14.25" customHeight="1">
      <c r="A5211" s="110"/>
      <c r="B5211" s="125">
        <v>46174</v>
      </c>
      <c r="C5211" s="126" t="s">
        <v>3059</v>
      </c>
      <c r="D5211" s="15" t="s">
        <v>659</v>
      </c>
      <c r="E5211" s="10" t="str">
        <f>TRIM(VLOOKUP(D5211,TB!$B$9:$C$1500,2,FALSE))</f>
        <v>COS - Entertainment</v>
      </c>
      <c r="F5211" s="142" t="s">
        <v>3060</v>
      </c>
      <c r="G5211" s="130"/>
      <c r="H5211" s="10">
        <v>2000000</v>
      </c>
      <c r="I5211" s="10"/>
      <c r="J5211" s="79" t="e">
        <f t="shared" si="341"/>
        <v>#VALUE!</v>
      </c>
      <c r="K5211" s="106"/>
      <c r="L5211" s="107"/>
      <c r="M5211" s="106"/>
      <c r="N5211" s="106"/>
      <c r="O5211" s="108"/>
      <c r="P5211" s="108"/>
      <c r="Q5211" s="108"/>
      <c r="R5211" s="109"/>
      <c r="S5211" s="109"/>
      <c r="T5211" s="108"/>
      <c r="U5211" s="110"/>
      <c r="V5211" s="110"/>
      <c r="W5211" s="110"/>
      <c r="X5211" s="110"/>
    </row>
    <row r="5212" spans="1:24" ht="14.25" customHeight="1">
      <c r="A5212" s="110"/>
      <c r="B5212" s="125">
        <v>46174</v>
      </c>
      <c r="C5212" s="126" t="s">
        <v>3061</v>
      </c>
      <c r="D5212" s="15" t="s">
        <v>659</v>
      </c>
      <c r="E5212" s="10" t="str">
        <f>TRIM(VLOOKUP(D5212,TB!$B$9:$C$1500,2,FALSE))</f>
        <v>COS - Entertainment</v>
      </c>
      <c r="F5212" s="142" t="s">
        <v>3062</v>
      </c>
      <c r="G5212" s="130"/>
      <c r="H5212" s="10">
        <v>2000000</v>
      </c>
      <c r="I5212" s="10"/>
      <c r="J5212" s="79" t="e">
        <f t="shared" si="341"/>
        <v>#VALUE!</v>
      </c>
      <c r="K5212" s="106"/>
      <c r="L5212" s="107"/>
      <c r="M5212" s="106"/>
      <c r="N5212" s="106"/>
      <c r="O5212" s="108"/>
      <c r="P5212" s="108"/>
      <c r="Q5212" s="108"/>
      <c r="R5212" s="109"/>
      <c r="S5212" s="109"/>
      <c r="T5212" s="108"/>
      <c r="U5212" s="110"/>
      <c r="V5212" s="110"/>
      <c r="W5212" s="110"/>
      <c r="X5212" s="110"/>
    </row>
    <row r="5213" spans="1:24" ht="14.25" customHeight="1">
      <c r="A5213" s="110"/>
      <c r="B5213" s="125">
        <v>46174</v>
      </c>
      <c r="C5213" s="126" t="s">
        <v>3063</v>
      </c>
      <c r="D5213" s="15" t="s">
        <v>659</v>
      </c>
      <c r="E5213" s="10" t="str">
        <f>TRIM(VLOOKUP(D5213,TB!$B$9:$C$1500,2,FALSE))</f>
        <v>COS - Entertainment</v>
      </c>
      <c r="F5213" s="142" t="s">
        <v>3064</v>
      </c>
      <c r="G5213" s="130"/>
      <c r="H5213" s="10">
        <v>2000000</v>
      </c>
      <c r="I5213" s="10"/>
      <c r="J5213" s="79" t="e">
        <f t="shared" si="341"/>
        <v>#VALUE!</v>
      </c>
      <c r="K5213" s="106"/>
      <c r="L5213" s="107"/>
      <c r="M5213" s="106"/>
      <c r="N5213" s="106"/>
      <c r="O5213" s="108"/>
      <c r="P5213" s="108"/>
      <c r="Q5213" s="108"/>
      <c r="R5213" s="109"/>
      <c r="S5213" s="109"/>
      <c r="T5213" s="108"/>
      <c r="U5213" s="110"/>
      <c r="V5213" s="110"/>
      <c r="W5213" s="110"/>
      <c r="X5213" s="110"/>
    </row>
    <row r="5214" spans="1:24" ht="14.25" customHeight="1">
      <c r="A5214" s="110"/>
      <c r="B5214" s="125">
        <v>46174</v>
      </c>
      <c r="C5214" s="126" t="s">
        <v>3065</v>
      </c>
      <c r="D5214" s="15" t="s">
        <v>659</v>
      </c>
      <c r="E5214" s="10" t="str">
        <f>TRIM(VLOOKUP(D5214,TB!$B$9:$C$1500,2,FALSE))</f>
        <v>COS - Entertainment</v>
      </c>
      <c r="F5214" s="142" t="s">
        <v>3066</v>
      </c>
      <c r="G5214" s="130"/>
      <c r="H5214" s="10">
        <v>2000000</v>
      </c>
      <c r="I5214" s="10"/>
      <c r="J5214" s="79" t="e">
        <f t="shared" si="341"/>
        <v>#VALUE!</v>
      </c>
      <c r="K5214" s="106"/>
      <c r="L5214" s="107"/>
      <c r="M5214" s="106"/>
      <c r="N5214" s="106"/>
      <c r="O5214" s="108"/>
      <c r="P5214" s="108"/>
      <c r="Q5214" s="108"/>
      <c r="R5214" s="109"/>
      <c r="S5214" s="109"/>
      <c r="T5214" s="108"/>
      <c r="U5214" s="110"/>
      <c r="V5214" s="110"/>
      <c r="W5214" s="110"/>
      <c r="X5214" s="110"/>
    </row>
    <row r="5215" spans="1:24" ht="14.25" customHeight="1">
      <c r="A5215" s="110"/>
      <c r="B5215" s="125">
        <v>46174</v>
      </c>
      <c r="C5215" s="126" t="s">
        <v>3067</v>
      </c>
      <c r="D5215" s="15" t="s">
        <v>659</v>
      </c>
      <c r="E5215" s="10" t="str">
        <f>TRIM(VLOOKUP(D5215,TB!$B$9:$C$1500,2,FALSE))</f>
        <v>COS - Entertainment</v>
      </c>
      <c r="F5215" s="142" t="s">
        <v>1018</v>
      </c>
      <c r="G5215" s="130"/>
      <c r="H5215" s="10">
        <v>3000000</v>
      </c>
      <c r="I5215" s="10"/>
      <c r="J5215" s="79" t="e">
        <f t="shared" si="341"/>
        <v>#VALUE!</v>
      </c>
      <c r="K5215" s="106"/>
      <c r="L5215" s="107"/>
      <c r="M5215" s="106"/>
      <c r="N5215" s="106"/>
      <c r="O5215" s="108"/>
      <c r="P5215" s="108"/>
      <c r="Q5215" s="108"/>
      <c r="R5215" s="109"/>
      <c r="S5215" s="109"/>
      <c r="T5215" s="108"/>
      <c r="U5215" s="110"/>
      <c r="V5215" s="110"/>
      <c r="W5215" s="110"/>
      <c r="X5215" s="110"/>
    </row>
    <row r="5216" spans="1:24" ht="14.25" customHeight="1">
      <c r="A5216" s="110"/>
      <c r="B5216" s="125">
        <v>46174</v>
      </c>
      <c r="C5216" s="126" t="s">
        <v>3068</v>
      </c>
      <c r="D5216" s="15" t="s">
        <v>659</v>
      </c>
      <c r="E5216" s="10" t="str">
        <f>TRIM(VLOOKUP(D5216,TB!$B$9:$C$1500,2,FALSE))</f>
        <v>COS - Entertainment</v>
      </c>
      <c r="F5216" s="142" t="s">
        <v>3069</v>
      </c>
      <c r="G5216" s="130"/>
      <c r="H5216" s="10">
        <v>2000000</v>
      </c>
      <c r="I5216" s="10"/>
      <c r="J5216" s="79" t="e">
        <f t="shared" si="341"/>
        <v>#VALUE!</v>
      </c>
      <c r="K5216" s="106"/>
      <c r="L5216" s="107"/>
      <c r="M5216" s="106"/>
      <c r="N5216" s="106"/>
      <c r="O5216" s="108"/>
      <c r="P5216" s="108"/>
      <c r="Q5216" s="108"/>
      <c r="R5216" s="109"/>
      <c r="S5216" s="109"/>
      <c r="T5216" s="108"/>
      <c r="U5216" s="110"/>
      <c r="V5216" s="110"/>
      <c r="W5216" s="110"/>
      <c r="X5216" s="110"/>
    </row>
    <row r="5217" spans="1:24" ht="14.25" customHeight="1">
      <c r="A5217" s="110"/>
      <c r="B5217" s="125">
        <v>46181</v>
      </c>
      <c r="C5217" s="126" t="s">
        <v>3070</v>
      </c>
      <c r="D5217" s="15" t="s">
        <v>659</v>
      </c>
      <c r="E5217" s="10" t="str">
        <f>TRIM(VLOOKUP(D5217,TB!$B$9:$C$1500,2,FALSE))</f>
        <v>COS - Entertainment</v>
      </c>
      <c r="F5217" s="142" t="s">
        <v>3071</v>
      </c>
      <c r="G5217" s="130"/>
      <c r="H5217" s="10">
        <v>1500000</v>
      </c>
      <c r="I5217" s="10"/>
      <c r="J5217" s="79" t="e">
        <f t="shared" si="341"/>
        <v>#VALUE!</v>
      </c>
      <c r="K5217" s="106"/>
      <c r="L5217" s="107"/>
      <c r="M5217" s="106"/>
      <c r="N5217" s="106"/>
      <c r="O5217" s="108"/>
      <c r="P5217" s="108"/>
      <c r="Q5217" s="108"/>
      <c r="R5217" s="109"/>
      <c r="S5217" s="109"/>
      <c r="T5217" s="108"/>
      <c r="U5217" s="110"/>
      <c r="V5217" s="110"/>
      <c r="W5217" s="110"/>
      <c r="X5217" s="110"/>
    </row>
    <row r="5218" spans="1:24" ht="14.25" customHeight="1">
      <c r="A5218" s="110"/>
      <c r="B5218" s="125">
        <v>46181</v>
      </c>
      <c r="C5218" s="126" t="s">
        <v>3072</v>
      </c>
      <c r="D5218" s="15" t="s">
        <v>659</v>
      </c>
      <c r="E5218" s="10" t="str">
        <f>TRIM(VLOOKUP(D5218,TB!$B$9:$C$1500,2,FALSE))</f>
        <v>COS - Entertainment</v>
      </c>
      <c r="F5218" s="142" t="s">
        <v>1104</v>
      </c>
      <c r="G5218" s="130"/>
      <c r="H5218" s="10">
        <v>1500000</v>
      </c>
      <c r="I5218" s="10"/>
      <c r="J5218" s="79" t="e">
        <f t="shared" si="341"/>
        <v>#VALUE!</v>
      </c>
      <c r="K5218" s="106"/>
      <c r="L5218" s="107"/>
      <c r="M5218" s="106"/>
      <c r="N5218" s="106"/>
      <c r="O5218" s="108"/>
      <c r="P5218" s="108"/>
      <c r="Q5218" s="108"/>
      <c r="R5218" s="109"/>
      <c r="S5218" s="109"/>
      <c r="T5218" s="108"/>
      <c r="U5218" s="110"/>
      <c r="V5218" s="110"/>
      <c r="W5218" s="110"/>
      <c r="X5218" s="110"/>
    </row>
    <row r="5219" spans="1:24" ht="14.25" customHeight="1">
      <c r="A5219" s="110"/>
      <c r="B5219" s="125">
        <v>46181</v>
      </c>
      <c r="C5219" s="126" t="s">
        <v>3073</v>
      </c>
      <c r="D5219" s="15" t="s">
        <v>659</v>
      </c>
      <c r="E5219" s="10" t="str">
        <f>TRIM(VLOOKUP(D5219,TB!$B$9:$C$1500,2,FALSE))</f>
        <v>COS - Entertainment</v>
      </c>
      <c r="F5219" s="142" t="s">
        <v>3074</v>
      </c>
      <c r="G5219" s="130"/>
      <c r="H5219" s="10">
        <v>1000000</v>
      </c>
      <c r="I5219" s="10"/>
      <c r="J5219" s="79" t="e">
        <f t="shared" si="341"/>
        <v>#VALUE!</v>
      </c>
      <c r="K5219" s="106"/>
      <c r="L5219" s="107"/>
      <c r="M5219" s="106"/>
      <c r="N5219" s="106"/>
      <c r="O5219" s="108"/>
      <c r="P5219" s="108"/>
      <c r="Q5219" s="108"/>
      <c r="R5219" s="109"/>
      <c r="S5219" s="109"/>
      <c r="T5219" s="108"/>
      <c r="U5219" s="110"/>
      <c r="V5219" s="110"/>
      <c r="W5219" s="110"/>
      <c r="X5219" s="110"/>
    </row>
    <row r="5220" spans="1:24" ht="14.25" customHeight="1">
      <c r="A5220" s="110"/>
      <c r="B5220" s="125">
        <v>46181</v>
      </c>
      <c r="C5220" s="126" t="s">
        <v>3075</v>
      </c>
      <c r="D5220" s="15" t="s">
        <v>659</v>
      </c>
      <c r="E5220" s="10" t="str">
        <f>TRIM(VLOOKUP(D5220,TB!$B$9:$C$1500,2,FALSE))</f>
        <v>COS - Entertainment</v>
      </c>
      <c r="F5220" s="142" t="s">
        <v>1106</v>
      </c>
      <c r="G5220" s="130"/>
      <c r="H5220" s="10">
        <v>1500000</v>
      </c>
      <c r="I5220" s="10"/>
      <c r="J5220" s="79" t="e">
        <f t="shared" si="341"/>
        <v>#VALUE!</v>
      </c>
      <c r="K5220" s="106"/>
      <c r="L5220" s="107"/>
      <c r="M5220" s="106"/>
      <c r="N5220" s="106"/>
      <c r="O5220" s="108"/>
      <c r="P5220" s="108"/>
      <c r="Q5220" s="108"/>
      <c r="R5220" s="109"/>
      <c r="S5220" s="109"/>
      <c r="T5220" s="108"/>
      <c r="U5220" s="110"/>
      <c r="V5220" s="110"/>
      <c r="W5220" s="110"/>
      <c r="X5220" s="110"/>
    </row>
    <row r="5221" spans="1:24" ht="14.25" customHeight="1">
      <c r="A5221" s="110"/>
      <c r="B5221" s="125">
        <v>46181</v>
      </c>
      <c r="C5221" s="126" t="s">
        <v>3076</v>
      </c>
      <c r="D5221" s="15" t="s">
        <v>659</v>
      </c>
      <c r="E5221" s="10" t="str">
        <f>TRIM(VLOOKUP(D5221,TB!$B$9:$C$1500,2,FALSE))</f>
        <v>COS - Entertainment</v>
      </c>
      <c r="F5221" s="142" t="s">
        <v>3077</v>
      </c>
      <c r="G5221" s="130"/>
      <c r="H5221" s="10">
        <v>1500000</v>
      </c>
      <c r="I5221" s="10"/>
      <c r="J5221" s="79" t="e">
        <f t="shared" si="341"/>
        <v>#VALUE!</v>
      </c>
      <c r="K5221" s="106"/>
      <c r="L5221" s="107"/>
      <c r="M5221" s="106"/>
      <c r="N5221" s="106"/>
      <c r="O5221" s="108"/>
      <c r="P5221" s="108"/>
      <c r="Q5221" s="108"/>
      <c r="R5221" s="109"/>
      <c r="S5221" s="109"/>
      <c r="T5221" s="108"/>
      <c r="U5221" s="110"/>
      <c r="V5221" s="110"/>
      <c r="W5221" s="110"/>
      <c r="X5221" s="110"/>
    </row>
    <row r="5222" spans="1:24" ht="14.25" customHeight="1">
      <c r="A5222" s="110"/>
      <c r="B5222" s="125">
        <v>46181</v>
      </c>
      <c r="C5222" s="126" t="s">
        <v>3078</v>
      </c>
      <c r="D5222" s="15" t="s">
        <v>659</v>
      </c>
      <c r="E5222" s="10" t="str">
        <f>TRIM(VLOOKUP(D5222,TB!$B$9:$C$1500,2,FALSE))</f>
        <v>COS - Entertainment</v>
      </c>
      <c r="F5222" s="142" t="s">
        <v>1110</v>
      </c>
      <c r="G5222" s="130"/>
      <c r="H5222" s="10">
        <v>2000000</v>
      </c>
      <c r="I5222" s="10"/>
      <c r="J5222" s="79" t="e">
        <f t="shared" si="341"/>
        <v>#VALUE!</v>
      </c>
      <c r="K5222" s="106"/>
      <c r="L5222" s="107"/>
      <c r="M5222" s="106"/>
      <c r="N5222" s="106"/>
      <c r="O5222" s="108"/>
      <c r="P5222" s="108"/>
      <c r="Q5222" s="108"/>
      <c r="R5222" s="109"/>
      <c r="S5222" s="109"/>
      <c r="T5222" s="108"/>
      <c r="U5222" s="110"/>
      <c r="V5222" s="110"/>
      <c r="W5222" s="110"/>
      <c r="X5222" s="110"/>
    </row>
    <row r="5223" spans="1:24" ht="14.25" customHeight="1">
      <c r="A5223" s="110"/>
      <c r="B5223" s="125">
        <v>46181</v>
      </c>
      <c r="C5223" s="126" t="s">
        <v>3079</v>
      </c>
      <c r="D5223" s="15" t="s">
        <v>659</v>
      </c>
      <c r="E5223" s="10" t="str">
        <f>TRIM(VLOOKUP(D5223,TB!$B$9:$C$1500,2,FALSE))</f>
        <v>COS - Entertainment</v>
      </c>
      <c r="F5223" s="142" t="s">
        <v>1112</v>
      </c>
      <c r="G5223" s="130"/>
      <c r="H5223" s="10">
        <v>2000000</v>
      </c>
      <c r="I5223" s="10"/>
      <c r="J5223" s="79" t="e">
        <f t="shared" si="341"/>
        <v>#VALUE!</v>
      </c>
      <c r="K5223" s="106"/>
      <c r="L5223" s="107"/>
      <c r="M5223" s="106"/>
      <c r="N5223" s="106"/>
      <c r="O5223" s="108"/>
      <c r="P5223" s="108"/>
      <c r="Q5223" s="108"/>
      <c r="R5223" s="109"/>
      <c r="S5223" s="109"/>
      <c r="T5223" s="108"/>
      <c r="U5223" s="110"/>
      <c r="V5223" s="110"/>
      <c r="W5223" s="110"/>
      <c r="X5223" s="110"/>
    </row>
    <row r="5224" spans="1:24" ht="14.25" customHeight="1">
      <c r="A5224" s="110"/>
      <c r="B5224" s="125">
        <v>46181</v>
      </c>
      <c r="C5224" s="126" t="s">
        <v>3080</v>
      </c>
      <c r="D5224" s="15" t="s">
        <v>659</v>
      </c>
      <c r="E5224" s="10" t="str">
        <f>TRIM(VLOOKUP(D5224,TB!$B$9:$C$1500,2,FALSE))</f>
        <v>COS - Entertainment</v>
      </c>
      <c r="F5224" s="142" t="s">
        <v>1114</v>
      </c>
      <c r="G5224" s="130"/>
      <c r="H5224" s="10">
        <v>2000000</v>
      </c>
      <c r="I5224" s="10"/>
      <c r="J5224" s="79" t="e">
        <f t="shared" si="341"/>
        <v>#VALUE!</v>
      </c>
      <c r="K5224" s="106"/>
      <c r="L5224" s="107"/>
      <c r="M5224" s="106"/>
      <c r="N5224" s="106"/>
      <c r="O5224" s="108"/>
      <c r="P5224" s="108"/>
      <c r="Q5224" s="108"/>
      <c r="R5224" s="109"/>
      <c r="S5224" s="109"/>
      <c r="T5224" s="108"/>
      <c r="U5224" s="110"/>
      <c r="V5224" s="110"/>
      <c r="W5224" s="110"/>
      <c r="X5224" s="110"/>
    </row>
    <row r="5225" spans="1:24" ht="14.25" customHeight="1">
      <c r="A5225" s="110"/>
      <c r="B5225" s="125">
        <v>46181</v>
      </c>
      <c r="C5225" s="126" t="s">
        <v>3081</v>
      </c>
      <c r="D5225" s="15" t="s">
        <v>659</v>
      </c>
      <c r="E5225" s="10" t="str">
        <f>TRIM(VLOOKUP(D5225,TB!$B$9:$C$1500,2,FALSE))</f>
        <v>COS - Entertainment</v>
      </c>
      <c r="F5225" s="142" t="s">
        <v>1116</v>
      </c>
      <c r="G5225" s="130"/>
      <c r="H5225" s="10">
        <v>2000000</v>
      </c>
      <c r="I5225" s="10"/>
      <c r="J5225" s="79" t="e">
        <f t="shared" si="341"/>
        <v>#VALUE!</v>
      </c>
      <c r="K5225" s="106"/>
      <c r="L5225" s="107"/>
      <c r="M5225" s="106"/>
      <c r="N5225" s="106"/>
      <c r="O5225" s="108"/>
      <c r="P5225" s="108"/>
      <c r="Q5225" s="108"/>
      <c r="R5225" s="109"/>
      <c r="S5225" s="109"/>
      <c r="T5225" s="108"/>
      <c r="U5225" s="110"/>
      <c r="V5225" s="110"/>
      <c r="W5225" s="110"/>
      <c r="X5225" s="110"/>
    </row>
    <row r="5226" spans="1:24" ht="14.25" customHeight="1">
      <c r="A5226" s="110"/>
      <c r="B5226" s="125">
        <v>46181</v>
      </c>
      <c r="C5226" s="126" t="s">
        <v>3082</v>
      </c>
      <c r="D5226" s="15" t="s">
        <v>659</v>
      </c>
      <c r="E5226" s="10" t="str">
        <f>TRIM(VLOOKUP(D5226,TB!$B$9:$C$1500,2,FALSE))</f>
        <v>COS - Entertainment</v>
      </c>
      <c r="F5226" s="142" t="s">
        <v>1118</v>
      </c>
      <c r="G5226" s="130"/>
      <c r="H5226" s="10">
        <v>2000000</v>
      </c>
      <c r="I5226" s="10"/>
      <c r="J5226" s="79" t="e">
        <f t="shared" si="341"/>
        <v>#VALUE!</v>
      </c>
      <c r="K5226" s="106"/>
      <c r="L5226" s="107"/>
      <c r="M5226" s="106"/>
      <c r="N5226" s="106"/>
      <c r="O5226" s="108"/>
      <c r="P5226" s="108"/>
      <c r="Q5226" s="108"/>
      <c r="R5226" s="109"/>
      <c r="S5226" s="109"/>
      <c r="T5226" s="108"/>
      <c r="U5226" s="110"/>
      <c r="V5226" s="110"/>
      <c r="W5226" s="110"/>
      <c r="X5226" s="110"/>
    </row>
    <row r="5227" spans="1:24" ht="14.25" customHeight="1">
      <c r="A5227" s="110"/>
      <c r="B5227" s="125">
        <v>46181</v>
      </c>
      <c r="C5227" s="126" t="s">
        <v>3083</v>
      </c>
      <c r="D5227" s="15" t="s">
        <v>659</v>
      </c>
      <c r="E5227" s="10" t="str">
        <f>TRIM(VLOOKUP(D5227,TB!$B$9:$C$1500,2,FALSE))</f>
        <v>COS - Entertainment</v>
      </c>
      <c r="F5227" s="142" t="s">
        <v>3084</v>
      </c>
      <c r="G5227" s="130"/>
      <c r="H5227" s="10">
        <v>1000000</v>
      </c>
      <c r="I5227" s="10"/>
      <c r="J5227" s="79" t="e">
        <f t="shared" si="341"/>
        <v>#VALUE!</v>
      </c>
      <c r="K5227" s="106"/>
      <c r="L5227" s="107"/>
      <c r="M5227" s="106"/>
      <c r="N5227" s="106"/>
      <c r="O5227" s="108"/>
      <c r="P5227" s="108"/>
      <c r="Q5227" s="108"/>
      <c r="R5227" s="109"/>
      <c r="S5227" s="109"/>
      <c r="T5227" s="108"/>
      <c r="U5227" s="110"/>
      <c r="V5227" s="110"/>
      <c r="W5227" s="110"/>
      <c r="X5227" s="110"/>
    </row>
    <row r="5228" spans="1:24" ht="14.25" customHeight="1">
      <c r="A5228" s="110"/>
      <c r="B5228" s="125">
        <v>46181</v>
      </c>
      <c r="C5228" s="126" t="s">
        <v>3085</v>
      </c>
      <c r="D5228" s="15" t="s">
        <v>659</v>
      </c>
      <c r="E5228" s="10" t="str">
        <f>TRIM(VLOOKUP(D5228,TB!$B$9:$C$1500,2,FALSE))</f>
        <v>COS - Entertainment</v>
      </c>
      <c r="F5228" s="142" t="s">
        <v>3086</v>
      </c>
      <c r="G5228" s="130"/>
      <c r="H5228" s="10">
        <v>2000000</v>
      </c>
      <c r="I5228" s="10"/>
      <c r="J5228" s="79" t="e">
        <f t="shared" si="341"/>
        <v>#VALUE!</v>
      </c>
      <c r="K5228" s="106"/>
      <c r="L5228" s="107"/>
      <c r="M5228" s="106"/>
      <c r="N5228" s="106"/>
      <c r="O5228" s="108"/>
      <c r="P5228" s="108"/>
      <c r="Q5228" s="108"/>
      <c r="R5228" s="109"/>
      <c r="S5228" s="109"/>
      <c r="T5228" s="108"/>
      <c r="U5228" s="110"/>
      <c r="V5228" s="110"/>
      <c r="W5228" s="110"/>
      <c r="X5228" s="110"/>
    </row>
    <row r="5229" spans="1:24" ht="14.25" customHeight="1">
      <c r="A5229" s="110"/>
      <c r="B5229" s="125">
        <v>46181</v>
      </c>
      <c r="C5229" s="126" t="s">
        <v>3087</v>
      </c>
      <c r="D5229" s="15" t="s">
        <v>659</v>
      </c>
      <c r="E5229" s="10" t="str">
        <f>TRIM(VLOOKUP(D5229,TB!$B$9:$C$1500,2,FALSE))</f>
        <v>COS - Entertainment</v>
      </c>
      <c r="F5229" s="142" t="s">
        <v>1122</v>
      </c>
      <c r="G5229" s="130"/>
      <c r="H5229" s="10">
        <v>6000000</v>
      </c>
      <c r="I5229" s="10"/>
      <c r="J5229" s="79" t="e">
        <f t="shared" si="341"/>
        <v>#VALUE!</v>
      </c>
      <c r="K5229" s="106"/>
      <c r="L5229" s="107"/>
      <c r="M5229" s="106"/>
      <c r="N5229" s="106"/>
      <c r="O5229" s="108"/>
      <c r="P5229" s="108"/>
      <c r="Q5229" s="108"/>
      <c r="R5229" s="109"/>
      <c r="S5229" s="109"/>
      <c r="T5229" s="108"/>
      <c r="U5229" s="110"/>
      <c r="V5229" s="110"/>
      <c r="W5229" s="110"/>
      <c r="X5229" s="110"/>
    </row>
    <row r="5230" spans="1:24" ht="14.25" customHeight="1">
      <c r="A5230" s="110"/>
      <c r="B5230" s="125">
        <v>46181</v>
      </c>
      <c r="C5230" s="126" t="s">
        <v>3088</v>
      </c>
      <c r="D5230" s="15" t="s">
        <v>659</v>
      </c>
      <c r="E5230" s="10" t="str">
        <f>TRIM(VLOOKUP(D5230,TB!$B$9:$C$1500,2,FALSE))</f>
        <v>COS - Entertainment</v>
      </c>
      <c r="F5230" s="142" t="s">
        <v>3089</v>
      </c>
      <c r="G5230" s="130"/>
      <c r="H5230" s="10">
        <v>2000000</v>
      </c>
      <c r="I5230" s="10"/>
      <c r="J5230" s="79" t="e">
        <f t="shared" si="341"/>
        <v>#VALUE!</v>
      </c>
      <c r="K5230" s="106"/>
      <c r="L5230" s="107"/>
      <c r="M5230" s="106"/>
      <c r="N5230" s="106"/>
      <c r="O5230" s="108"/>
      <c r="P5230" s="108"/>
      <c r="Q5230" s="108"/>
      <c r="R5230" s="109"/>
      <c r="S5230" s="109"/>
      <c r="T5230" s="108"/>
      <c r="U5230" s="110"/>
      <c r="V5230" s="110"/>
      <c r="W5230" s="110"/>
      <c r="X5230" s="110"/>
    </row>
    <row r="5231" spans="1:24" ht="14.25" customHeight="1">
      <c r="A5231" s="110"/>
      <c r="B5231" s="125">
        <v>46181</v>
      </c>
      <c r="C5231" s="126" t="s">
        <v>3090</v>
      </c>
      <c r="D5231" s="15" t="s">
        <v>659</v>
      </c>
      <c r="E5231" s="10" t="str">
        <f>TRIM(VLOOKUP(D5231,TB!$B$9:$C$1500,2,FALSE))</f>
        <v>COS - Entertainment</v>
      </c>
      <c r="F5231" s="142" t="s">
        <v>1124</v>
      </c>
      <c r="G5231" s="130"/>
      <c r="H5231" s="10">
        <v>2000000</v>
      </c>
      <c r="I5231" s="10"/>
      <c r="J5231" s="79" t="e">
        <f t="shared" si="341"/>
        <v>#VALUE!</v>
      </c>
      <c r="K5231" s="106"/>
      <c r="L5231" s="107"/>
      <c r="M5231" s="106"/>
      <c r="N5231" s="106"/>
      <c r="O5231" s="108"/>
      <c r="P5231" s="108"/>
      <c r="Q5231" s="108"/>
      <c r="R5231" s="109"/>
      <c r="S5231" s="109"/>
      <c r="T5231" s="108"/>
      <c r="U5231" s="110"/>
      <c r="V5231" s="110"/>
      <c r="W5231" s="110"/>
      <c r="X5231" s="110"/>
    </row>
    <row r="5232" spans="1:24" ht="14.25" customHeight="1">
      <c r="A5232" s="110"/>
      <c r="B5232" s="125">
        <v>46181</v>
      </c>
      <c r="C5232" s="126" t="s">
        <v>3091</v>
      </c>
      <c r="D5232" s="15" t="s">
        <v>659</v>
      </c>
      <c r="E5232" s="10" t="str">
        <f>TRIM(VLOOKUP(D5232,TB!$B$9:$C$1500,2,FALSE))</f>
        <v>COS - Entertainment</v>
      </c>
      <c r="F5232" s="142" t="s">
        <v>1126</v>
      </c>
      <c r="G5232" s="130"/>
      <c r="H5232" s="10">
        <v>2000000</v>
      </c>
      <c r="I5232" s="10"/>
      <c r="J5232" s="79" t="e">
        <f t="shared" si="341"/>
        <v>#VALUE!</v>
      </c>
      <c r="K5232" s="106"/>
      <c r="L5232" s="107"/>
      <c r="M5232" s="106"/>
      <c r="N5232" s="106"/>
      <c r="O5232" s="108"/>
      <c r="P5232" s="108"/>
      <c r="Q5232" s="108"/>
      <c r="R5232" s="109"/>
      <c r="S5232" s="109"/>
      <c r="T5232" s="108"/>
      <c r="U5232" s="110"/>
      <c r="V5232" s="110"/>
      <c r="W5232" s="110"/>
      <c r="X5232" s="110"/>
    </row>
    <row r="5233" spans="1:24" ht="14.25" customHeight="1">
      <c r="A5233" s="110"/>
      <c r="B5233" s="125">
        <v>46181</v>
      </c>
      <c r="C5233" s="126" t="s">
        <v>3092</v>
      </c>
      <c r="D5233" s="15" t="s">
        <v>659</v>
      </c>
      <c r="E5233" s="10" t="str">
        <f>TRIM(VLOOKUP(D5233,TB!$B$9:$C$1500,2,FALSE))</f>
        <v>COS - Entertainment</v>
      </c>
      <c r="F5233" s="142" t="s">
        <v>1680</v>
      </c>
      <c r="G5233" s="130"/>
      <c r="H5233" s="10">
        <v>2000000</v>
      </c>
      <c r="I5233" s="10"/>
      <c r="J5233" s="79" t="e">
        <f t="shared" si="341"/>
        <v>#VALUE!</v>
      </c>
      <c r="K5233" s="106"/>
      <c r="L5233" s="107"/>
      <c r="M5233" s="106"/>
      <c r="N5233" s="106"/>
      <c r="O5233" s="108"/>
      <c r="P5233" s="108"/>
      <c r="Q5233" s="108"/>
      <c r="R5233" s="109"/>
      <c r="S5233" s="109"/>
      <c r="T5233" s="108"/>
      <c r="U5233" s="110"/>
      <c r="V5233" s="110"/>
      <c r="W5233" s="110"/>
      <c r="X5233" s="110"/>
    </row>
    <row r="5234" spans="1:24" ht="14.25" customHeight="1">
      <c r="A5234" s="110"/>
      <c r="B5234" s="125">
        <v>46181</v>
      </c>
      <c r="C5234" s="126" t="s">
        <v>3093</v>
      </c>
      <c r="D5234" s="15" t="s">
        <v>659</v>
      </c>
      <c r="E5234" s="10" t="str">
        <f>TRIM(VLOOKUP(D5234,TB!$B$9:$C$1500,2,FALSE))</f>
        <v>COS - Entertainment</v>
      </c>
      <c r="F5234" s="142" t="s">
        <v>1128</v>
      </c>
      <c r="G5234" s="130"/>
      <c r="H5234" s="10">
        <v>2000000</v>
      </c>
      <c r="I5234" s="10"/>
      <c r="J5234" s="79" t="e">
        <f t="shared" si="341"/>
        <v>#VALUE!</v>
      </c>
      <c r="K5234" s="106"/>
      <c r="L5234" s="107"/>
      <c r="M5234" s="106"/>
      <c r="N5234" s="106"/>
      <c r="O5234" s="108"/>
      <c r="P5234" s="108"/>
      <c r="Q5234" s="108"/>
      <c r="R5234" s="109"/>
      <c r="S5234" s="109"/>
      <c r="T5234" s="108"/>
      <c r="U5234" s="110"/>
      <c r="V5234" s="110"/>
      <c r="W5234" s="110"/>
      <c r="X5234" s="110"/>
    </row>
    <row r="5235" spans="1:24" ht="14.25" customHeight="1">
      <c r="A5235" s="110"/>
      <c r="B5235" s="125">
        <v>46181</v>
      </c>
      <c r="C5235" s="126" t="s">
        <v>3094</v>
      </c>
      <c r="D5235" s="15" t="s">
        <v>659</v>
      </c>
      <c r="E5235" s="10" t="str">
        <f>TRIM(VLOOKUP(D5235,TB!$B$9:$C$1500,2,FALSE))</f>
        <v>COS - Entertainment</v>
      </c>
      <c r="F5235" s="142" t="s">
        <v>3095</v>
      </c>
      <c r="G5235" s="130"/>
      <c r="H5235" s="10">
        <v>2000000</v>
      </c>
      <c r="I5235" s="10"/>
      <c r="J5235" s="79" t="e">
        <f t="shared" si="341"/>
        <v>#VALUE!</v>
      </c>
      <c r="K5235" s="106"/>
      <c r="L5235" s="107"/>
      <c r="M5235" s="106"/>
      <c r="N5235" s="106"/>
      <c r="O5235" s="108"/>
      <c r="P5235" s="108"/>
      <c r="Q5235" s="108"/>
      <c r="R5235" s="109"/>
      <c r="S5235" s="109"/>
      <c r="T5235" s="108"/>
      <c r="U5235" s="110"/>
      <c r="V5235" s="110"/>
      <c r="W5235" s="110"/>
      <c r="X5235" s="110"/>
    </row>
    <row r="5236" spans="1:24" ht="14.25" customHeight="1">
      <c r="A5236" s="110"/>
      <c r="B5236" s="125">
        <v>46174</v>
      </c>
      <c r="C5236" s="126" t="s">
        <v>3050</v>
      </c>
      <c r="D5236" s="68" t="s">
        <v>285</v>
      </c>
      <c r="E5236" s="10" t="str">
        <f>TRIM(VLOOKUP(D5236,TB!$B$9:$C$1500,2,FALSE))</f>
        <v>Misc Cash Purchase</v>
      </c>
      <c r="F5236" s="142" t="s">
        <v>1611</v>
      </c>
      <c r="G5236" s="130"/>
      <c r="H5236" s="10"/>
      <c r="I5236" s="10">
        <v>1500000</v>
      </c>
      <c r="J5236" s="79" t="e">
        <f t="shared" si="341"/>
        <v>#VALUE!</v>
      </c>
      <c r="K5236" s="106"/>
      <c r="L5236" s="107"/>
      <c r="M5236" s="106"/>
      <c r="N5236" s="106"/>
      <c r="O5236" s="108"/>
      <c r="P5236" s="108"/>
      <c r="Q5236" s="108"/>
      <c r="R5236" s="109"/>
      <c r="S5236" s="109"/>
      <c r="T5236" s="108"/>
      <c r="U5236" s="110"/>
      <c r="V5236" s="110"/>
      <c r="W5236" s="110"/>
      <c r="X5236" s="110"/>
    </row>
    <row r="5237" spans="1:24" ht="14.25" customHeight="1">
      <c r="A5237" s="110"/>
      <c r="B5237" s="125">
        <v>46174</v>
      </c>
      <c r="C5237" s="126" t="s">
        <v>3051</v>
      </c>
      <c r="D5237" s="68" t="s">
        <v>285</v>
      </c>
      <c r="E5237" s="10" t="str">
        <f>TRIM(VLOOKUP(D5237,TB!$B$9:$C$1500,2,FALSE))</f>
        <v>Misc Cash Purchase</v>
      </c>
      <c r="F5237" s="142" t="s">
        <v>1002</v>
      </c>
      <c r="G5237" s="130"/>
      <c r="H5237" s="10"/>
      <c r="I5237" s="10">
        <v>1500000</v>
      </c>
      <c r="J5237" s="79" t="e">
        <f t="shared" si="341"/>
        <v>#VALUE!</v>
      </c>
      <c r="K5237" s="106"/>
      <c r="L5237" s="107"/>
      <c r="M5237" s="106"/>
      <c r="N5237" s="106"/>
      <c r="O5237" s="108"/>
      <c r="P5237" s="108"/>
      <c r="Q5237" s="108"/>
      <c r="R5237" s="109"/>
      <c r="S5237" s="109"/>
      <c r="T5237" s="108"/>
      <c r="U5237" s="110"/>
      <c r="V5237" s="110"/>
      <c r="W5237" s="110"/>
      <c r="X5237" s="110"/>
    </row>
    <row r="5238" spans="1:24" ht="14.25" customHeight="1">
      <c r="A5238" s="110"/>
      <c r="B5238" s="125">
        <v>46174</v>
      </c>
      <c r="C5238" s="126" t="s">
        <v>3052</v>
      </c>
      <c r="D5238" s="68" t="s">
        <v>285</v>
      </c>
      <c r="E5238" s="10" t="str">
        <f>TRIM(VLOOKUP(D5238,TB!$B$9:$C$1500,2,FALSE))</f>
        <v>Misc Cash Purchase</v>
      </c>
      <c r="F5238" s="142" t="s">
        <v>3053</v>
      </c>
      <c r="G5238" s="130"/>
      <c r="H5238" s="10"/>
      <c r="I5238" s="10">
        <v>1500000</v>
      </c>
      <c r="J5238" s="79" t="e">
        <f t="shared" si="341"/>
        <v>#VALUE!</v>
      </c>
      <c r="K5238" s="106"/>
      <c r="L5238" s="107"/>
      <c r="M5238" s="106"/>
      <c r="N5238" s="106"/>
      <c r="O5238" s="108"/>
      <c r="P5238" s="108"/>
      <c r="Q5238" s="108"/>
      <c r="R5238" s="109"/>
      <c r="S5238" s="109"/>
      <c r="T5238" s="108"/>
      <c r="U5238" s="110"/>
      <c r="V5238" s="110"/>
      <c r="W5238" s="110"/>
      <c r="X5238" s="110"/>
    </row>
    <row r="5239" spans="1:24" ht="14.25" customHeight="1">
      <c r="A5239" s="110"/>
      <c r="B5239" s="125">
        <v>46174</v>
      </c>
      <c r="C5239" s="126" t="s">
        <v>3054</v>
      </c>
      <c r="D5239" s="68" t="s">
        <v>285</v>
      </c>
      <c r="E5239" s="10" t="str">
        <f>TRIM(VLOOKUP(D5239,TB!$B$9:$C$1500,2,FALSE))</f>
        <v>Misc Cash Purchase</v>
      </c>
      <c r="F5239" s="142" t="s">
        <v>1613</v>
      </c>
      <c r="G5239" s="130"/>
      <c r="H5239" s="10"/>
      <c r="I5239" s="10">
        <v>2000000</v>
      </c>
      <c r="J5239" s="79" t="e">
        <f t="shared" si="341"/>
        <v>#VALUE!</v>
      </c>
      <c r="K5239" s="106"/>
      <c r="L5239" s="107"/>
      <c r="M5239" s="106"/>
      <c r="N5239" s="106"/>
      <c r="O5239" s="108"/>
      <c r="P5239" s="108"/>
      <c r="Q5239" s="108"/>
      <c r="R5239" s="109"/>
      <c r="S5239" s="109"/>
      <c r="T5239" s="108"/>
      <c r="U5239" s="110"/>
      <c r="V5239" s="110"/>
      <c r="W5239" s="110"/>
      <c r="X5239" s="110"/>
    </row>
    <row r="5240" spans="1:24" ht="14.25" customHeight="1">
      <c r="A5240" s="110"/>
      <c r="B5240" s="125">
        <v>46174</v>
      </c>
      <c r="C5240" s="126" t="s">
        <v>3055</v>
      </c>
      <c r="D5240" s="68" t="s">
        <v>285</v>
      </c>
      <c r="E5240" s="10" t="str">
        <f>TRIM(VLOOKUP(D5240,TB!$B$9:$C$1500,2,FALSE))</f>
        <v>Misc Cash Purchase</v>
      </c>
      <c r="F5240" s="142" t="s">
        <v>1006</v>
      </c>
      <c r="G5240" s="130"/>
      <c r="H5240" s="10"/>
      <c r="I5240" s="10">
        <v>2000000</v>
      </c>
      <c r="J5240" s="79" t="e">
        <f t="shared" si="341"/>
        <v>#VALUE!</v>
      </c>
      <c r="K5240" s="106"/>
      <c r="L5240" s="107"/>
      <c r="M5240" s="106"/>
      <c r="N5240" s="106"/>
      <c r="O5240" s="108"/>
      <c r="P5240" s="108"/>
      <c r="Q5240" s="108"/>
      <c r="R5240" s="109"/>
      <c r="S5240" s="109"/>
      <c r="T5240" s="108"/>
      <c r="U5240" s="110"/>
      <c r="V5240" s="110"/>
      <c r="W5240" s="110"/>
      <c r="X5240" s="110"/>
    </row>
    <row r="5241" spans="1:24" ht="14.25" customHeight="1">
      <c r="A5241" s="110"/>
      <c r="B5241" s="125">
        <v>46174</v>
      </c>
      <c r="C5241" s="126" t="s">
        <v>3056</v>
      </c>
      <c r="D5241" s="68" t="s">
        <v>285</v>
      </c>
      <c r="E5241" s="10" t="str">
        <f>TRIM(VLOOKUP(D5241,TB!$B$9:$C$1500,2,FALSE))</f>
        <v>Misc Cash Purchase</v>
      </c>
      <c r="F5241" s="142" t="s">
        <v>1008</v>
      </c>
      <c r="G5241" s="130"/>
      <c r="H5241" s="10"/>
      <c r="I5241" s="10">
        <v>2000000</v>
      </c>
      <c r="J5241" s="79" t="e">
        <f t="shared" si="341"/>
        <v>#VALUE!</v>
      </c>
      <c r="K5241" s="106"/>
      <c r="L5241" s="107"/>
      <c r="M5241" s="106"/>
      <c r="N5241" s="106"/>
      <c r="O5241" s="108"/>
      <c r="P5241" s="108"/>
      <c r="Q5241" s="108"/>
      <c r="R5241" s="109"/>
      <c r="S5241" s="109"/>
      <c r="T5241" s="108"/>
      <c r="U5241" s="110"/>
      <c r="V5241" s="110"/>
      <c r="W5241" s="110"/>
      <c r="X5241" s="110"/>
    </row>
    <row r="5242" spans="1:24" ht="14.25" customHeight="1">
      <c r="A5242" s="110"/>
      <c r="B5242" s="125">
        <v>46174</v>
      </c>
      <c r="C5242" s="126" t="s">
        <v>3057</v>
      </c>
      <c r="D5242" s="68" t="s">
        <v>285</v>
      </c>
      <c r="E5242" s="10" t="str">
        <f>TRIM(VLOOKUP(D5242,TB!$B$9:$C$1500,2,FALSE))</f>
        <v>Misc Cash Purchase</v>
      </c>
      <c r="F5242" s="142" t="s">
        <v>1010</v>
      </c>
      <c r="G5242" s="130"/>
      <c r="H5242" s="10"/>
      <c r="I5242" s="10">
        <v>2000000</v>
      </c>
      <c r="J5242" s="79" t="e">
        <f t="shared" si="341"/>
        <v>#VALUE!</v>
      </c>
      <c r="K5242" s="106"/>
      <c r="L5242" s="107"/>
      <c r="M5242" s="106"/>
      <c r="N5242" s="106"/>
      <c r="O5242" s="108"/>
      <c r="P5242" s="108"/>
      <c r="Q5242" s="108"/>
      <c r="R5242" s="109"/>
      <c r="S5242" s="109"/>
      <c r="T5242" s="108"/>
      <c r="U5242" s="110"/>
      <c r="V5242" s="110"/>
      <c r="W5242" s="110"/>
      <c r="X5242" s="110"/>
    </row>
    <row r="5243" spans="1:24" ht="14.25" customHeight="1">
      <c r="A5243" s="110"/>
      <c r="B5243" s="125">
        <v>46174</v>
      </c>
      <c r="C5243" s="126" t="s">
        <v>3058</v>
      </c>
      <c r="D5243" s="68" t="s">
        <v>285</v>
      </c>
      <c r="E5243" s="10" t="str">
        <f>TRIM(VLOOKUP(D5243,TB!$B$9:$C$1500,2,FALSE))</f>
        <v>Misc Cash Purchase</v>
      </c>
      <c r="F5243" s="142" t="s">
        <v>1012</v>
      </c>
      <c r="G5243" s="130"/>
      <c r="H5243" s="10"/>
      <c r="I5243" s="10">
        <v>2000000</v>
      </c>
      <c r="J5243" s="79" t="e">
        <f t="shared" si="341"/>
        <v>#VALUE!</v>
      </c>
      <c r="K5243" s="106"/>
      <c r="L5243" s="107"/>
      <c r="M5243" s="106"/>
      <c r="N5243" s="106"/>
      <c r="O5243" s="108"/>
      <c r="P5243" s="108"/>
      <c r="Q5243" s="108"/>
      <c r="R5243" s="109"/>
      <c r="S5243" s="109"/>
      <c r="T5243" s="108"/>
      <c r="U5243" s="110"/>
      <c r="V5243" s="110"/>
      <c r="W5243" s="110"/>
      <c r="X5243" s="110"/>
    </row>
    <row r="5244" spans="1:24" ht="14.25" customHeight="1">
      <c r="A5244" s="110"/>
      <c r="B5244" s="125">
        <v>46174</v>
      </c>
      <c r="C5244" s="126" t="s">
        <v>3059</v>
      </c>
      <c r="D5244" s="68" t="s">
        <v>285</v>
      </c>
      <c r="E5244" s="10" t="str">
        <f>TRIM(VLOOKUP(D5244,TB!$B$9:$C$1500,2,FALSE))</f>
        <v>Misc Cash Purchase</v>
      </c>
      <c r="F5244" s="142" t="s">
        <v>3060</v>
      </c>
      <c r="G5244" s="130"/>
      <c r="H5244" s="10"/>
      <c r="I5244" s="10">
        <v>2000000</v>
      </c>
      <c r="J5244" s="79" t="e">
        <f t="shared" si="341"/>
        <v>#VALUE!</v>
      </c>
      <c r="K5244" s="106"/>
      <c r="L5244" s="107"/>
      <c r="M5244" s="106"/>
      <c r="N5244" s="106"/>
      <c r="O5244" s="108"/>
      <c r="P5244" s="108"/>
      <c r="Q5244" s="108"/>
      <c r="R5244" s="109"/>
      <c r="S5244" s="109"/>
      <c r="T5244" s="108"/>
      <c r="U5244" s="110"/>
      <c r="V5244" s="110"/>
      <c r="W5244" s="110"/>
      <c r="X5244" s="110"/>
    </row>
    <row r="5245" spans="1:24" ht="14.25" customHeight="1">
      <c r="A5245" s="110"/>
      <c r="B5245" s="125">
        <v>46174</v>
      </c>
      <c r="C5245" s="126" t="s">
        <v>3061</v>
      </c>
      <c r="D5245" s="68" t="s">
        <v>285</v>
      </c>
      <c r="E5245" s="10" t="str">
        <f>TRIM(VLOOKUP(D5245,TB!$B$9:$C$1500,2,FALSE))</f>
        <v>Misc Cash Purchase</v>
      </c>
      <c r="F5245" s="142" t="s">
        <v>3062</v>
      </c>
      <c r="G5245" s="130"/>
      <c r="H5245" s="10"/>
      <c r="I5245" s="10">
        <v>2000000</v>
      </c>
      <c r="J5245" s="79" t="e">
        <f t="shared" si="341"/>
        <v>#VALUE!</v>
      </c>
      <c r="K5245" s="106"/>
      <c r="L5245" s="107"/>
      <c r="M5245" s="106"/>
      <c r="N5245" s="106"/>
      <c r="O5245" s="108"/>
      <c r="P5245" s="108"/>
      <c r="Q5245" s="108"/>
      <c r="R5245" s="109"/>
      <c r="S5245" s="109"/>
      <c r="T5245" s="108"/>
      <c r="U5245" s="110"/>
      <c r="V5245" s="110"/>
      <c r="W5245" s="110"/>
      <c r="X5245" s="110"/>
    </row>
    <row r="5246" spans="1:24" ht="14.25" customHeight="1">
      <c r="A5246" s="110"/>
      <c r="B5246" s="125">
        <v>46174</v>
      </c>
      <c r="C5246" s="126" t="s">
        <v>3063</v>
      </c>
      <c r="D5246" s="68" t="s">
        <v>285</v>
      </c>
      <c r="E5246" s="10" t="str">
        <f>TRIM(VLOOKUP(D5246,TB!$B$9:$C$1500,2,FALSE))</f>
        <v>Misc Cash Purchase</v>
      </c>
      <c r="F5246" s="142" t="s">
        <v>3064</v>
      </c>
      <c r="G5246" s="130"/>
      <c r="H5246" s="10"/>
      <c r="I5246" s="10">
        <v>2000000</v>
      </c>
      <c r="J5246" s="79" t="e">
        <f t="shared" si="341"/>
        <v>#VALUE!</v>
      </c>
      <c r="K5246" s="106"/>
      <c r="L5246" s="107"/>
      <c r="M5246" s="106"/>
      <c r="N5246" s="106"/>
      <c r="O5246" s="108"/>
      <c r="P5246" s="108"/>
      <c r="Q5246" s="108"/>
      <c r="R5246" s="109"/>
      <c r="S5246" s="109"/>
      <c r="T5246" s="108"/>
      <c r="U5246" s="110"/>
      <c r="V5246" s="110"/>
      <c r="W5246" s="110"/>
      <c r="X5246" s="110"/>
    </row>
    <row r="5247" spans="1:24" ht="14.25" customHeight="1">
      <c r="A5247" s="110"/>
      <c r="B5247" s="125">
        <v>46174</v>
      </c>
      <c r="C5247" s="126" t="s">
        <v>3065</v>
      </c>
      <c r="D5247" s="68" t="s">
        <v>285</v>
      </c>
      <c r="E5247" s="10" t="str">
        <f>TRIM(VLOOKUP(D5247,TB!$B$9:$C$1500,2,FALSE))</f>
        <v>Misc Cash Purchase</v>
      </c>
      <c r="F5247" s="142" t="s">
        <v>3066</v>
      </c>
      <c r="G5247" s="130"/>
      <c r="H5247" s="10"/>
      <c r="I5247" s="10">
        <v>2000000</v>
      </c>
      <c r="J5247" s="79" t="e">
        <f t="shared" si="341"/>
        <v>#VALUE!</v>
      </c>
      <c r="K5247" s="106"/>
      <c r="L5247" s="107"/>
      <c r="M5247" s="106"/>
      <c r="N5247" s="106"/>
      <c r="O5247" s="108"/>
      <c r="P5247" s="108"/>
      <c r="Q5247" s="108"/>
      <c r="R5247" s="109"/>
      <c r="S5247" s="109"/>
      <c r="T5247" s="108"/>
      <c r="U5247" s="110"/>
      <c r="V5247" s="110"/>
      <c r="W5247" s="110"/>
      <c r="X5247" s="110"/>
    </row>
    <row r="5248" spans="1:24" ht="14.25" customHeight="1">
      <c r="A5248" s="110"/>
      <c r="B5248" s="125">
        <v>46174</v>
      </c>
      <c r="C5248" s="126" t="s">
        <v>3067</v>
      </c>
      <c r="D5248" s="68" t="s">
        <v>285</v>
      </c>
      <c r="E5248" s="10" t="str">
        <f>TRIM(VLOOKUP(D5248,TB!$B$9:$C$1500,2,FALSE))</f>
        <v>Misc Cash Purchase</v>
      </c>
      <c r="F5248" s="142" t="s">
        <v>1018</v>
      </c>
      <c r="G5248" s="130"/>
      <c r="H5248" s="10"/>
      <c r="I5248" s="10">
        <v>3000000</v>
      </c>
      <c r="J5248" s="79" t="e">
        <f t="shared" si="341"/>
        <v>#VALUE!</v>
      </c>
      <c r="K5248" s="106"/>
      <c r="L5248" s="107"/>
      <c r="M5248" s="106"/>
      <c r="N5248" s="106"/>
      <c r="O5248" s="108"/>
      <c r="P5248" s="108"/>
      <c r="Q5248" s="108"/>
      <c r="R5248" s="109"/>
      <c r="S5248" s="109"/>
      <c r="T5248" s="108"/>
      <c r="U5248" s="110"/>
      <c r="V5248" s="110"/>
      <c r="W5248" s="110"/>
      <c r="X5248" s="110"/>
    </row>
    <row r="5249" spans="1:24" ht="14.25" customHeight="1">
      <c r="A5249" s="110"/>
      <c r="B5249" s="125">
        <v>46174</v>
      </c>
      <c r="C5249" s="126" t="s">
        <v>3068</v>
      </c>
      <c r="D5249" s="68" t="s">
        <v>285</v>
      </c>
      <c r="E5249" s="10" t="str">
        <f>TRIM(VLOOKUP(D5249,TB!$B$9:$C$1500,2,FALSE))</f>
        <v>Misc Cash Purchase</v>
      </c>
      <c r="F5249" s="142" t="s">
        <v>3069</v>
      </c>
      <c r="G5249" s="130"/>
      <c r="H5249" s="10"/>
      <c r="I5249" s="10">
        <v>2000000</v>
      </c>
      <c r="J5249" s="79" t="e">
        <f t="shared" si="341"/>
        <v>#VALUE!</v>
      </c>
      <c r="K5249" s="106"/>
      <c r="L5249" s="107"/>
      <c r="M5249" s="106"/>
      <c r="N5249" s="106"/>
      <c r="O5249" s="108"/>
      <c r="P5249" s="108"/>
      <c r="Q5249" s="108"/>
      <c r="R5249" s="109"/>
      <c r="S5249" s="109"/>
      <c r="T5249" s="108"/>
      <c r="U5249" s="110"/>
      <c r="V5249" s="110"/>
      <c r="W5249" s="110"/>
      <c r="X5249" s="110"/>
    </row>
    <row r="5250" spans="1:24" ht="14.25" customHeight="1">
      <c r="A5250" s="110"/>
      <c r="B5250" s="125">
        <v>46181</v>
      </c>
      <c r="C5250" s="126" t="s">
        <v>3070</v>
      </c>
      <c r="D5250" s="68" t="s">
        <v>285</v>
      </c>
      <c r="E5250" s="10" t="str">
        <f>TRIM(VLOOKUP(D5250,TB!$B$9:$C$1500,2,FALSE))</f>
        <v>Misc Cash Purchase</v>
      </c>
      <c r="F5250" s="142" t="s">
        <v>3071</v>
      </c>
      <c r="G5250" s="130"/>
      <c r="H5250" s="10"/>
      <c r="I5250" s="10">
        <v>1500000</v>
      </c>
      <c r="J5250" s="79" t="e">
        <f t="shared" si="341"/>
        <v>#VALUE!</v>
      </c>
      <c r="K5250" s="106"/>
      <c r="L5250" s="107"/>
      <c r="M5250" s="106"/>
      <c r="N5250" s="106"/>
      <c r="O5250" s="108"/>
      <c r="P5250" s="108"/>
      <c r="Q5250" s="108"/>
      <c r="R5250" s="109"/>
      <c r="S5250" s="109"/>
      <c r="T5250" s="108"/>
      <c r="U5250" s="110"/>
      <c r="V5250" s="110"/>
      <c r="W5250" s="110"/>
      <c r="X5250" s="110"/>
    </row>
    <row r="5251" spans="1:24" ht="14.25" customHeight="1">
      <c r="A5251" s="110"/>
      <c r="B5251" s="125">
        <v>46181</v>
      </c>
      <c r="C5251" s="126" t="s">
        <v>3072</v>
      </c>
      <c r="D5251" s="68" t="s">
        <v>285</v>
      </c>
      <c r="E5251" s="10" t="str">
        <f>TRIM(VLOOKUP(D5251,TB!$B$9:$C$1500,2,FALSE))</f>
        <v>Misc Cash Purchase</v>
      </c>
      <c r="F5251" s="142" t="s">
        <v>1104</v>
      </c>
      <c r="G5251" s="130"/>
      <c r="H5251" s="10"/>
      <c r="I5251" s="10">
        <v>1500000</v>
      </c>
      <c r="J5251" s="79" t="e">
        <f t="shared" si="341"/>
        <v>#VALUE!</v>
      </c>
      <c r="K5251" s="106"/>
      <c r="L5251" s="107"/>
      <c r="M5251" s="106"/>
      <c r="N5251" s="106"/>
      <c r="O5251" s="108"/>
      <c r="P5251" s="108"/>
      <c r="Q5251" s="108"/>
      <c r="R5251" s="109"/>
      <c r="S5251" s="109"/>
      <c r="T5251" s="108"/>
      <c r="U5251" s="110"/>
      <c r="V5251" s="110"/>
      <c r="W5251" s="110"/>
      <c r="X5251" s="110"/>
    </row>
    <row r="5252" spans="1:24" ht="14.25" customHeight="1">
      <c r="A5252" s="110"/>
      <c r="B5252" s="125">
        <v>46181</v>
      </c>
      <c r="C5252" s="126" t="s">
        <v>3073</v>
      </c>
      <c r="D5252" s="68" t="s">
        <v>285</v>
      </c>
      <c r="E5252" s="10" t="str">
        <f>TRIM(VLOOKUP(D5252,TB!$B$9:$C$1500,2,FALSE))</f>
        <v>Misc Cash Purchase</v>
      </c>
      <c r="F5252" s="142" t="s">
        <v>3074</v>
      </c>
      <c r="G5252" s="130"/>
      <c r="H5252" s="10"/>
      <c r="I5252" s="10">
        <v>1000000</v>
      </c>
      <c r="J5252" s="79" t="e">
        <f t="shared" si="341"/>
        <v>#VALUE!</v>
      </c>
      <c r="K5252" s="106"/>
      <c r="L5252" s="107"/>
      <c r="M5252" s="106"/>
      <c r="N5252" s="106"/>
      <c r="O5252" s="108"/>
      <c r="P5252" s="108"/>
      <c r="Q5252" s="108"/>
      <c r="R5252" s="109"/>
      <c r="S5252" s="109"/>
      <c r="T5252" s="108"/>
      <c r="U5252" s="110"/>
      <c r="V5252" s="110"/>
      <c r="W5252" s="110"/>
      <c r="X5252" s="110"/>
    </row>
    <row r="5253" spans="1:24" ht="14.25" customHeight="1">
      <c r="A5253" s="110"/>
      <c r="B5253" s="125">
        <v>46181</v>
      </c>
      <c r="C5253" s="126" t="s">
        <v>3075</v>
      </c>
      <c r="D5253" s="68" t="s">
        <v>285</v>
      </c>
      <c r="E5253" s="10" t="str">
        <f>TRIM(VLOOKUP(D5253,TB!$B$9:$C$1500,2,FALSE))</f>
        <v>Misc Cash Purchase</v>
      </c>
      <c r="F5253" s="142" t="s">
        <v>1106</v>
      </c>
      <c r="G5253" s="130"/>
      <c r="H5253" s="10"/>
      <c r="I5253" s="10">
        <v>1500000</v>
      </c>
      <c r="J5253" s="79" t="e">
        <f t="shared" si="341"/>
        <v>#VALUE!</v>
      </c>
      <c r="K5253" s="106"/>
      <c r="L5253" s="107"/>
      <c r="M5253" s="106"/>
      <c r="N5253" s="106"/>
      <c r="O5253" s="108"/>
      <c r="P5253" s="108"/>
      <c r="Q5253" s="108"/>
      <c r="R5253" s="109"/>
      <c r="S5253" s="109"/>
      <c r="T5253" s="108"/>
      <c r="U5253" s="110"/>
      <c r="V5253" s="110"/>
      <c r="W5253" s="110"/>
      <c r="X5253" s="110"/>
    </row>
    <row r="5254" spans="1:24" ht="14.25" customHeight="1">
      <c r="A5254" s="110"/>
      <c r="B5254" s="125">
        <v>46181</v>
      </c>
      <c r="C5254" s="126" t="s">
        <v>3076</v>
      </c>
      <c r="D5254" s="68" t="s">
        <v>285</v>
      </c>
      <c r="E5254" s="10" t="str">
        <f>TRIM(VLOOKUP(D5254,TB!$B$9:$C$1500,2,FALSE))</f>
        <v>Misc Cash Purchase</v>
      </c>
      <c r="F5254" s="142" t="s">
        <v>3077</v>
      </c>
      <c r="G5254" s="130"/>
      <c r="H5254" s="10"/>
      <c r="I5254" s="10">
        <v>1500000</v>
      </c>
      <c r="J5254" s="79" t="e">
        <f t="shared" si="341"/>
        <v>#VALUE!</v>
      </c>
      <c r="K5254" s="106"/>
      <c r="L5254" s="107"/>
      <c r="M5254" s="106"/>
      <c r="N5254" s="106"/>
      <c r="O5254" s="108"/>
      <c r="P5254" s="108"/>
      <c r="Q5254" s="108"/>
      <c r="R5254" s="109"/>
      <c r="S5254" s="109"/>
      <c r="T5254" s="108"/>
      <c r="U5254" s="110"/>
      <c r="V5254" s="110"/>
      <c r="W5254" s="110"/>
      <c r="X5254" s="110"/>
    </row>
    <row r="5255" spans="1:24" ht="14.25" customHeight="1">
      <c r="A5255" s="110"/>
      <c r="B5255" s="125">
        <v>46181</v>
      </c>
      <c r="C5255" s="126" t="s">
        <v>3078</v>
      </c>
      <c r="D5255" s="68" t="s">
        <v>285</v>
      </c>
      <c r="E5255" s="10" t="str">
        <f>TRIM(VLOOKUP(D5255,TB!$B$9:$C$1500,2,FALSE))</f>
        <v>Misc Cash Purchase</v>
      </c>
      <c r="F5255" s="142" t="s">
        <v>1110</v>
      </c>
      <c r="G5255" s="130"/>
      <c r="H5255" s="10"/>
      <c r="I5255" s="10">
        <v>2000000</v>
      </c>
      <c r="J5255" s="79" t="e">
        <f t="shared" si="341"/>
        <v>#VALUE!</v>
      </c>
      <c r="K5255" s="106"/>
      <c r="L5255" s="107"/>
      <c r="M5255" s="106"/>
      <c r="N5255" s="106"/>
      <c r="O5255" s="108"/>
      <c r="P5255" s="108"/>
      <c r="Q5255" s="108"/>
      <c r="R5255" s="109"/>
      <c r="S5255" s="109"/>
      <c r="T5255" s="108"/>
      <c r="U5255" s="110"/>
      <c r="V5255" s="110"/>
      <c r="W5255" s="110"/>
      <c r="X5255" s="110"/>
    </row>
    <row r="5256" spans="1:24" ht="14.25" customHeight="1">
      <c r="A5256" s="110"/>
      <c r="B5256" s="125">
        <v>46181</v>
      </c>
      <c r="C5256" s="126" t="s">
        <v>3079</v>
      </c>
      <c r="D5256" s="68" t="s">
        <v>285</v>
      </c>
      <c r="E5256" s="10" t="str">
        <f>TRIM(VLOOKUP(D5256,TB!$B$9:$C$1500,2,FALSE))</f>
        <v>Misc Cash Purchase</v>
      </c>
      <c r="F5256" s="142" t="s">
        <v>1112</v>
      </c>
      <c r="G5256" s="130"/>
      <c r="H5256" s="10"/>
      <c r="I5256" s="10">
        <v>2000000</v>
      </c>
      <c r="J5256" s="79" t="e">
        <f t="shared" si="341"/>
        <v>#VALUE!</v>
      </c>
      <c r="K5256" s="106"/>
      <c r="L5256" s="107"/>
      <c r="M5256" s="106"/>
      <c r="N5256" s="106"/>
      <c r="O5256" s="108"/>
      <c r="P5256" s="108"/>
      <c r="Q5256" s="108"/>
      <c r="R5256" s="109"/>
      <c r="S5256" s="109"/>
      <c r="T5256" s="108"/>
      <c r="U5256" s="110"/>
      <c r="V5256" s="110"/>
      <c r="W5256" s="110"/>
      <c r="X5256" s="110"/>
    </row>
    <row r="5257" spans="1:24" ht="14.25" customHeight="1">
      <c r="A5257" s="110"/>
      <c r="B5257" s="125">
        <v>46181</v>
      </c>
      <c r="C5257" s="126" t="s">
        <v>3080</v>
      </c>
      <c r="D5257" s="68" t="s">
        <v>285</v>
      </c>
      <c r="E5257" s="10" t="str">
        <f>TRIM(VLOOKUP(D5257,TB!$B$9:$C$1500,2,FALSE))</f>
        <v>Misc Cash Purchase</v>
      </c>
      <c r="F5257" s="142" t="s">
        <v>1114</v>
      </c>
      <c r="G5257" s="130"/>
      <c r="H5257" s="10"/>
      <c r="I5257" s="10">
        <v>2000000</v>
      </c>
      <c r="J5257" s="79" t="e">
        <f t="shared" si="341"/>
        <v>#VALUE!</v>
      </c>
      <c r="K5257" s="106"/>
      <c r="L5257" s="107"/>
      <c r="M5257" s="106"/>
      <c r="N5257" s="106"/>
      <c r="O5257" s="108"/>
      <c r="P5257" s="108"/>
      <c r="Q5257" s="108"/>
      <c r="R5257" s="109"/>
      <c r="S5257" s="109"/>
      <c r="T5257" s="108"/>
      <c r="U5257" s="110"/>
      <c r="V5257" s="110"/>
      <c r="W5257" s="110"/>
      <c r="X5257" s="110"/>
    </row>
    <row r="5258" spans="1:24" ht="14.25" customHeight="1">
      <c r="A5258" s="110"/>
      <c r="B5258" s="125">
        <v>46181</v>
      </c>
      <c r="C5258" s="126" t="s">
        <v>3081</v>
      </c>
      <c r="D5258" s="68" t="s">
        <v>285</v>
      </c>
      <c r="E5258" s="10" t="str">
        <f>TRIM(VLOOKUP(D5258,TB!$B$9:$C$1500,2,FALSE))</f>
        <v>Misc Cash Purchase</v>
      </c>
      <c r="F5258" s="142" t="s">
        <v>1116</v>
      </c>
      <c r="G5258" s="130"/>
      <c r="H5258" s="10"/>
      <c r="I5258" s="10">
        <v>2000000</v>
      </c>
      <c r="J5258" s="79" t="e">
        <f t="shared" si="341"/>
        <v>#VALUE!</v>
      </c>
      <c r="K5258" s="106"/>
      <c r="L5258" s="107"/>
      <c r="M5258" s="106"/>
      <c r="N5258" s="106"/>
      <c r="O5258" s="108"/>
      <c r="P5258" s="108"/>
      <c r="Q5258" s="108"/>
      <c r="R5258" s="109"/>
      <c r="S5258" s="109"/>
      <c r="T5258" s="108"/>
      <c r="U5258" s="110"/>
      <c r="V5258" s="110"/>
      <c r="W5258" s="110"/>
      <c r="X5258" s="110"/>
    </row>
    <row r="5259" spans="1:24" ht="14.25" customHeight="1">
      <c r="A5259" s="110"/>
      <c r="B5259" s="125">
        <v>46181</v>
      </c>
      <c r="C5259" s="126" t="s">
        <v>3082</v>
      </c>
      <c r="D5259" s="68" t="s">
        <v>285</v>
      </c>
      <c r="E5259" s="10" t="str">
        <f>TRIM(VLOOKUP(D5259,TB!$B$9:$C$1500,2,FALSE))</f>
        <v>Misc Cash Purchase</v>
      </c>
      <c r="F5259" s="142" t="s">
        <v>1118</v>
      </c>
      <c r="G5259" s="130"/>
      <c r="H5259" s="10"/>
      <c r="I5259" s="10">
        <v>2000000</v>
      </c>
      <c r="J5259" s="79" t="e">
        <f t="shared" si="341"/>
        <v>#VALUE!</v>
      </c>
      <c r="K5259" s="106"/>
      <c r="L5259" s="107"/>
      <c r="M5259" s="106"/>
      <c r="N5259" s="106"/>
      <c r="O5259" s="108"/>
      <c r="P5259" s="108"/>
      <c r="Q5259" s="108"/>
      <c r="R5259" s="109"/>
      <c r="S5259" s="109"/>
      <c r="T5259" s="108"/>
      <c r="U5259" s="110"/>
      <c r="V5259" s="110"/>
      <c r="W5259" s="110"/>
      <c r="X5259" s="110"/>
    </row>
    <row r="5260" spans="1:24" ht="14.25" customHeight="1">
      <c r="A5260" s="110"/>
      <c r="B5260" s="125">
        <v>46181</v>
      </c>
      <c r="C5260" s="126" t="s">
        <v>3083</v>
      </c>
      <c r="D5260" s="68" t="s">
        <v>285</v>
      </c>
      <c r="E5260" s="10" t="str">
        <f>TRIM(VLOOKUP(D5260,TB!$B$9:$C$1500,2,FALSE))</f>
        <v>Misc Cash Purchase</v>
      </c>
      <c r="F5260" s="142" t="s">
        <v>3084</v>
      </c>
      <c r="G5260" s="130"/>
      <c r="H5260" s="10"/>
      <c r="I5260" s="10">
        <v>1000000</v>
      </c>
      <c r="J5260" s="79" t="e">
        <f t="shared" si="341"/>
        <v>#VALUE!</v>
      </c>
      <c r="K5260" s="106"/>
      <c r="L5260" s="107"/>
      <c r="M5260" s="106"/>
      <c r="N5260" s="106"/>
      <c r="O5260" s="108"/>
      <c r="P5260" s="108"/>
      <c r="Q5260" s="108"/>
      <c r="R5260" s="109"/>
      <c r="S5260" s="109"/>
      <c r="T5260" s="108"/>
      <c r="U5260" s="110"/>
      <c r="V5260" s="110"/>
      <c r="W5260" s="110"/>
      <c r="X5260" s="110"/>
    </row>
    <row r="5261" spans="1:24" ht="14.25" customHeight="1">
      <c r="A5261" s="110"/>
      <c r="B5261" s="125">
        <v>46181</v>
      </c>
      <c r="C5261" s="126" t="s">
        <v>3085</v>
      </c>
      <c r="D5261" s="68" t="s">
        <v>285</v>
      </c>
      <c r="E5261" s="10" t="str">
        <f>TRIM(VLOOKUP(D5261,TB!$B$9:$C$1500,2,FALSE))</f>
        <v>Misc Cash Purchase</v>
      </c>
      <c r="F5261" s="142" t="s">
        <v>3086</v>
      </c>
      <c r="G5261" s="130"/>
      <c r="H5261" s="10"/>
      <c r="I5261" s="10">
        <v>2000000</v>
      </c>
      <c r="J5261" s="79" t="e">
        <f t="shared" si="341"/>
        <v>#VALUE!</v>
      </c>
      <c r="K5261" s="106"/>
      <c r="L5261" s="107"/>
      <c r="M5261" s="106"/>
      <c r="N5261" s="106"/>
      <c r="O5261" s="108"/>
      <c r="P5261" s="108"/>
      <c r="Q5261" s="108"/>
      <c r="R5261" s="109"/>
      <c r="S5261" s="109"/>
      <c r="T5261" s="108"/>
      <c r="U5261" s="110"/>
      <c r="V5261" s="110"/>
      <c r="W5261" s="110"/>
      <c r="X5261" s="110"/>
    </row>
    <row r="5262" spans="1:24" ht="14.25" customHeight="1">
      <c r="A5262" s="110"/>
      <c r="B5262" s="125">
        <v>46181</v>
      </c>
      <c r="C5262" s="126" t="s">
        <v>3087</v>
      </c>
      <c r="D5262" s="68" t="s">
        <v>285</v>
      </c>
      <c r="E5262" s="10" t="str">
        <f>TRIM(VLOOKUP(D5262,TB!$B$9:$C$1500,2,FALSE))</f>
        <v>Misc Cash Purchase</v>
      </c>
      <c r="F5262" s="142" t="s">
        <v>1122</v>
      </c>
      <c r="G5262" s="130"/>
      <c r="H5262" s="10"/>
      <c r="I5262" s="10">
        <v>6000000</v>
      </c>
      <c r="J5262" s="79" t="e">
        <f t="shared" si="341"/>
        <v>#VALUE!</v>
      </c>
      <c r="K5262" s="106"/>
      <c r="L5262" s="107"/>
      <c r="M5262" s="106"/>
      <c r="N5262" s="106"/>
      <c r="O5262" s="108"/>
      <c r="P5262" s="108"/>
      <c r="Q5262" s="108"/>
      <c r="R5262" s="109"/>
      <c r="S5262" s="109"/>
      <c r="T5262" s="108"/>
      <c r="U5262" s="110"/>
      <c r="V5262" s="110"/>
      <c r="W5262" s="110"/>
      <c r="X5262" s="110"/>
    </row>
    <row r="5263" spans="1:24" ht="14.25" customHeight="1">
      <c r="A5263" s="110"/>
      <c r="B5263" s="125">
        <v>46181</v>
      </c>
      <c r="C5263" s="126" t="s">
        <v>3088</v>
      </c>
      <c r="D5263" s="68" t="s">
        <v>285</v>
      </c>
      <c r="E5263" s="10" t="str">
        <f>TRIM(VLOOKUP(D5263,TB!$B$9:$C$1500,2,FALSE))</f>
        <v>Misc Cash Purchase</v>
      </c>
      <c r="F5263" s="142" t="s">
        <v>3089</v>
      </c>
      <c r="G5263" s="130"/>
      <c r="H5263" s="10"/>
      <c r="I5263" s="10">
        <v>2000000</v>
      </c>
      <c r="J5263" s="79" t="e">
        <f t="shared" si="341"/>
        <v>#VALUE!</v>
      </c>
      <c r="K5263" s="106"/>
      <c r="L5263" s="107"/>
      <c r="M5263" s="106"/>
      <c r="N5263" s="106"/>
      <c r="O5263" s="108"/>
      <c r="P5263" s="108"/>
      <c r="Q5263" s="108"/>
      <c r="R5263" s="109"/>
      <c r="S5263" s="109"/>
      <c r="T5263" s="108"/>
      <c r="U5263" s="110"/>
      <c r="V5263" s="110"/>
      <c r="W5263" s="110"/>
      <c r="X5263" s="110"/>
    </row>
    <row r="5264" spans="1:24" ht="14.25" customHeight="1">
      <c r="A5264" s="110"/>
      <c r="B5264" s="125">
        <v>46181</v>
      </c>
      <c r="C5264" s="126" t="s">
        <v>3090</v>
      </c>
      <c r="D5264" s="68" t="s">
        <v>285</v>
      </c>
      <c r="E5264" s="10" t="str">
        <f>TRIM(VLOOKUP(D5264,TB!$B$9:$C$1500,2,FALSE))</f>
        <v>Misc Cash Purchase</v>
      </c>
      <c r="F5264" s="142" t="s">
        <v>1124</v>
      </c>
      <c r="G5264" s="130"/>
      <c r="H5264" s="10"/>
      <c r="I5264" s="10">
        <v>2000000</v>
      </c>
      <c r="J5264" s="79" t="e">
        <f t="shared" si="341"/>
        <v>#VALUE!</v>
      </c>
      <c r="K5264" s="106"/>
      <c r="L5264" s="107"/>
      <c r="M5264" s="106"/>
      <c r="N5264" s="106"/>
      <c r="O5264" s="108"/>
      <c r="P5264" s="108"/>
      <c r="Q5264" s="108"/>
      <c r="R5264" s="109"/>
      <c r="S5264" s="109"/>
      <c r="T5264" s="108"/>
      <c r="U5264" s="110"/>
      <c r="V5264" s="110"/>
      <c r="W5264" s="110"/>
      <c r="X5264" s="110"/>
    </row>
    <row r="5265" spans="1:24" ht="14.25" customHeight="1">
      <c r="A5265" s="110"/>
      <c r="B5265" s="125">
        <v>46181</v>
      </c>
      <c r="C5265" s="126" t="s">
        <v>3091</v>
      </c>
      <c r="D5265" s="68" t="s">
        <v>285</v>
      </c>
      <c r="E5265" s="10" t="str">
        <f>TRIM(VLOOKUP(D5265,TB!$B$9:$C$1500,2,FALSE))</f>
        <v>Misc Cash Purchase</v>
      </c>
      <c r="F5265" s="142" t="s">
        <v>1126</v>
      </c>
      <c r="G5265" s="130"/>
      <c r="H5265" s="10"/>
      <c r="I5265" s="10">
        <v>2000000</v>
      </c>
      <c r="J5265" s="79" t="e">
        <f t="shared" si="341"/>
        <v>#VALUE!</v>
      </c>
      <c r="K5265" s="106"/>
      <c r="L5265" s="107"/>
      <c r="M5265" s="106"/>
      <c r="N5265" s="106"/>
      <c r="O5265" s="108"/>
      <c r="P5265" s="108"/>
      <c r="Q5265" s="108"/>
      <c r="R5265" s="109"/>
      <c r="S5265" s="109"/>
      <c r="T5265" s="108"/>
      <c r="U5265" s="110"/>
      <c r="V5265" s="110"/>
      <c r="W5265" s="110"/>
      <c r="X5265" s="110"/>
    </row>
    <row r="5266" spans="1:24" ht="14.25" customHeight="1">
      <c r="A5266" s="110"/>
      <c r="B5266" s="125">
        <v>46181</v>
      </c>
      <c r="C5266" s="126" t="s">
        <v>3092</v>
      </c>
      <c r="D5266" s="68" t="s">
        <v>285</v>
      </c>
      <c r="E5266" s="10" t="str">
        <f>TRIM(VLOOKUP(D5266,TB!$B$9:$C$1500,2,FALSE))</f>
        <v>Misc Cash Purchase</v>
      </c>
      <c r="F5266" s="142" t="s">
        <v>1680</v>
      </c>
      <c r="G5266" s="130"/>
      <c r="H5266" s="10"/>
      <c r="I5266" s="10">
        <v>2000000</v>
      </c>
      <c r="J5266" s="79" t="e">
        <f t="shared" si="341"/>
        <v>#VALUE!</v>
      </c>
      <c r="K5266" s="106"/>
      <c r="L5266" s="107"/>
      <c r="M5266" s="106"/>
      <c r="N5266" s="106"/>
      <c r="O5266" s="108"/>
      <c r="P5266" s="108"/>
      <c r="Q5266" s="108"/>
      <c r="R5266" s="109"/>
      <c r="S5266" s="109"/>
      <c r="T5266" s="108"/>
      <c r="U5266" s="110"/>
      <c r="V5266" s="110"/>
      <c r="W5266" s="110"/>
      <c r="X5266" s="110"/>
    </row>
    <row r="5267" spans="1:24" ht="14.25" customHeight="1">
      <c r="A5267" s="110"/>
      <c r="B5267" s="125">
        <v>46181</v>
      </c>
      <c r="C5267" s="126" t="s">
        <v>3093</v>
      </c>
      <c r="D5267" s="68" t="s">
        <v>285</v>
      </c>
      <c r="E5267" s="10" t="str">
        <f>TRIM(VLOOKUP(D5267,TB!$B$9:$C$1500,2,FALSE))</f>
        <v>Misc Cash Purchase</v>
      </c>
      <c r="F5267" s="142" t="s">
        <v>1128</v>
      </c>
      <c r="G5267" s="130"/>
      <c r="H5267" s="10"/>
      <c r="I5267" s="10">
        <v>2000000</v>
      </c>
      <c r="J5267" s="79" t="e">
        <f t="shared" si="341"/>
        <v>#VALUE!</v>
      </c>
      <c r="K5267" s="106"/>
      <c r="L5267" s="107"/>
      <c r="M5267" s="106"/>
      <c r="N5267" s="106"/>
      <c r="O5267" s="108"/>
      <c r="P5267" s="108"/>
      <c r="Q5267" s="108"/>
      <c r="R5267" s="109"/>
      <c r="S5267" s="109"/>
      <c r="T5267" s="108"/>
      <c r="U5267" s="110"/>
      <c r="V5267" s="110"/>
      <c r="W5267" s="110"/>
      <c r="X5267" s="110"/>
    </row>
    <row r="5268" spans="1:24" ht="14.25" customHeight="1">
      <c r="A5268" s="110"/>
      <c r="B5268" s="125">
        <v>46181</v>
      </c>
      <c r="C5268" s="126" t="s">
        <v>3094</v>
      </c>
      <c r="D5268" s="68" t="s">
        <v>285</v>
      </c>
      <c r="E5268" s="10" t="str">
        <f>TRIM(VLOOKUP(D5268,TB!$B$9:$C$1500,2,FALSE))</f>
        <v>Misc Cash Purchase</v>
      </c>
      <c r="F5268" s="142" t="s">
        <v>3095</v>
      </c>
      <c r="G5268" s="130"/>
      <c r="H5268" s="10"/>
      <c r="I5268" s="10">
        <v>2000000</v>
      </c>
      <c r="J5268" s="79" t="e">
        <f t="shared" si="341"/>
        <v>#VALUE!</v>
      </c>
      <c r="K5268" s="106"/>
      <c r="L5268" s="107"/>
      <c r="M5268" s="106"/>
      <c r="N5268" s="106"/>
      <c r="O5268" s="108"/>
      <c r="P5268" s="108"/>
      <c r="Q5268" s="108"/>
      <c r="R5268" s="109"/>
      <c r="S5268" s="109"/>
      <c r="T5268" s="108"/>
      <c r="U5268" s="110"/>
      <c r="V5268" s="110"/>
      <c r="W5268" s="110"/>
      <c r="X5268" s="110"/>
    </row>
    <row r="5269" spans="1:24" ht="14.25" customHeight="1">
      <c r="A5269" s="110"/>
      <c r="B5269" s="125"/>
      <c r="C5269" s="126"/>
      <c r="D5269" s="159"/>
      <c r="E5269" s="10" t="e">
        <f>TRIM(VLOOKUP(D5269,TB!$B$9:$C$1500,2,FALSE))</f>
        <v>#N/A</v>
      </c>
      <c r="F5269" s="142"/>
      <c r="G5269" s="130"/>
      <c r="H5269" s="10"/>
      <c r="I5269" s="10"/>
      <c r="J5269" s="79" t="e">
        <f t="shared" si="341"/>
        <v>#VALUE!</v>
      </c>
      <c r="K5269" s="106"/>
      <c r="L5269" s="107"/>
      <c r="M5269" s="106"/>
      <c r="N5269" s="106"/>
      <c r="O5269" s="108"/>
      <c r="P5269" s="108"/>
      <c r="Q5269" s="108"/>
      <c r="R5269" s="109"/>
      <c r="S5269" s="109"/>
      <c r="T5269" s="108"/>
      <c r="U5269" s="110"/>
      <c r="V5269" s="110"/>
      <c r="W5269" s="110"/>
      <c r="X5269" s="110"/>
    </row>
    <row r="5270" spans="1:24" ht="14.25" customHeight="1">
      <c r="A5270" s="110"/>
      <c r="B5270" s="125">
        <v>46177</v>
      </c>
      <c r="C5270" s="126" t="s">
        <v>2429</v>
      </c>
      <c r="D5270" s="15" t="s">
        <v>659</v>
      </c>
      <c r="E5270" s="10" t="str">
        <f>TRIM(VLOOKUP(D5270,TB!$B$9:$C$1500,2,FALSE))</f>
        <v>COS - Entertainment</v>
      </c>
      <c r="F5270" s="142" t="s">
        <v>890</v>
      </c>
      <c r="G5270" s="130"/>
      <c r="H5270" s="10">
        <v>1400000</v>
      </c>
      <c r="I5270" s="10"/>
      <c r="J5270" s="79" t="e">
        <f t="shared" si="341"/>
        <v>#VALUE!</v>
      </c>
      <c r="K5270" s="106"/>
      <c r="L5270" s="107"/>
      <c r="M5270" s="106"/>
      <c r="N5270" s="106"/>
      <c r="O5270" s="108"/>
      <c r="P5270" s="108"/>
      <c r="Q5270" s="108"/>
      <c r="R5270" s="109"/>
      <c r="S5270" s="109"/>
      <c r="T5270" s="108"/>
      <c r="U5270" s="110"/>
      <c r="V5270" s="110"/>
      <c r="W5270" s="110"/>
      <c r="X5270" s="110"/>
    </row>
    <row r="5271" spans="1:24" ht="14.25" customHeight="1">
      <c r="A5271" s="110"/>
      <c r="B5271" s="125">
        <v>46184</v>
      </c>
      <c r="C5271" s="126" t="s">
        <v>2434</v>
      </c>
      <c r="D5271" s="15" t="s">
        <v>659</v>
      </c>
      <c r="E5271" s="10" t="str">
        <f>TRIM(VLOOKUP(D5271,TB!$B$9:$C$1500,2,FALSE))</f>
        <v>COS - Entertainment</v>
      </c>
      <c r="F5271" s="142" t="s">
        <v>968</v>
      </c>
      <c r="G5271" s="130"/>
      <c r="H5271" s="10">
        <v>1400000</v>
      </c>
      <c r="I5271" s="10"/>
      <c r="J5271" s="79" t="e">
        <f t="shared" si="341"/>
        <v>#VALUE!</v>
      </c>
      <c r="K5271" s="106"/>
      <c r="L5271" s="107"/>
      <c r="M5271" s="106"/>
      <c r="N5271" s="106"/>
      <c r="O5271" s="108"/>
      <c r="P5271" s="108"/>
      <c r="Q5271" s="108"/>
      <c r="R5271" s="109"/>
      <c r="S5271" s="109"/>
      <c r="T5271" s="108"/>
      <c r="U5271" s="110"/>
      <c r="V5271" s="110"/>
      <c r="W5271" s="110"/>
      <c r="X5271" s="110"/>
    </row>
    <row r="5272" spans="1:24" ht="14.25" customHeight="1">
      <c r="A5272" s="110"/>
      <c r="B5272" s="125">
        <v>46191</v>
      </c>
      <c r="C5272" s="126" t="s">
        <v>3096</v>
      </c>
      <c r="D5272" s="15" t="s">
        <v>659</v>
      </c>
      <c r="E5272" s="10" t="str">
        <f>TRIM(VLOOKUP(D5272,TB!$B$9:$C$1500,2,FALSE))</f>
        <v>COS - Entertainment</v>
      </c>
      <c r="F5272" s="142" t="s">
        <v>1133</v>
      </c>
      <c r="G5272" s="130"/>
      <c r="H5272" s="10">
        <v>1400000</v>
      </c>
      <c r="I5272" s="10"/>
      <c r="J5272" s="79" t="e">
        <f t="shared" si="341"/>
        <v>#VALUE!</v>
      </c>
      <c r="K5272" s="106"/>
      <c r="L5272" s="107"/>
      <c r="M5272" s="106"/>
      <c r="N5272" s="106"/>
      <c r="O5272" s="108"/>
      <c r="P5272" s="108"/>
      <c r="Q5272" s="108"/>
      <c r="R5272" s="109"/>
      <c r="S5272" s="109"/>
      <c r="T5272" s="108"/>
      <c r="U5272" s="110"/>
      <c r="V5272" s="110"/>
      <c r="W5272" s="110"/>
      <c r="X5272" s="110"/>
    </row>
    <row r="5273" spans="1:24" ht="14.25" customHeight="1">
      <c r="A5273" s="110"/>
      <c r="B5273" s="125">
        <v>46198</v>
      </c>
      <c r="C5273" s="126" t="s">
        <v>3097</v>
      </c>
      <c r="D5273" s="15" t="s">
        <v>659</v>
      </c>
      <c r="E5273" s="10" t="str">
        <f>TRIM(VLOOKUP(D5273,TB!$B$9:$C$1500,2,FALSE))</f>
        <v>COS - Entertainment</v>
      </c>
      <c r="F5273" s="142" t="s">
        <v>3098</v>
      </c>
      <c r="G5273" s="130"/>
      <c r="H5273" s="10">
        <v>1400000</v>
      </c>
      <c r="I5273" s="10"/>
      <c r="J5273" s="79" t="e">
        <f t="shared" si="341"/>
        <v>#VALUE!</v>
      </c>
      <c r="K5273" s="106"/>
      <c r="L5273" s="107"/>
      <c r="M5273" s="106"/>
      <c r="N5273" s="106"/>
      <c r="O5273" s="108"/>
      <c r="P5273" s="108"/>
      <c r="Q5273" s="108"/>
      <c r="R5273" s="109"/>
      <c r="S5273" s="109"/>
      <c r="T5273" s="108"/>
      <c r="U5273" s="110"/>
      <c r="V5273" s="110"/>
      <c r="W5273" s="110"/>
      <c r="X5273" s="110"/>
    </row>
    <row r="5274" spans="1:24" ht="14.25" customHeight="1">
      <c r="A5274" s="110"/>
      <c r="B5274" s="125">
        <v>46177</v>
      </c>
      <c r="C5274" s="126" t="s">
        <v>2429</v>
      </c>
      <c r="D5274" s="68" t="s">
        <v>285</v>
      </c>
      <c r="E5274" s="10" t="str">
        <f>TRIM(VLOOKUP(D5274,TB!$B$9:$C$1500,2,FALSE))</f>
        <v>Misc Cash Purchase</v>
      </c>
      <c r="F5274" s="142" t="s">
        <v>890</v>
      </c>
      <c r="G5274" s="130"/>
      <c r="H5274" s="10"/>
      <c r="I5274" s="10">
        <v>1400000</v>
      </c>
      <c r="J5274" s="79" t="e">
        <f t="shared" si="341"/>
        <v>#VALUE!</v>
      </c>
      <c r="K5274" s="106"/>
      <c r="L5274" s="107"/>
      <c r="M5274" s="106"/>
      <c r="N5274" s="106"/>
      <c r="O5274" s="108"/>
      <c r="P5274" s="108"/>
      <c r="Q5274" s="108"/>
      <c r="R5274" s="109"/>
      <c r="S5274" s="109"/>
      <c r="T5274" s="108"/>
      <c r="U5274" s="110"/>
      <c r="V5274" s="110"/>
      <c r="W5274" s="110"/>
      <c r="X5274" s="110"/>
    </row>
    <row r="5275" spans="1:24" ht="14.25" customHeight="1">
      <c r="A5275" s="110"/>
      <c r="B5275" s="125">
        <v>46184</v>
      </c>
      <c r="C5275" s="126" t="s">
        <v>2434</v>
      </c>
      <c r="D5275" s="68" t="s">
        <v>285</v>
      </c>
      <c r="E5275" s="10" t="str">
        <f>TRIM(VLOOKUP(D5275,TB!$B$9:$C$1500,2,FALSE))</f>
        <v>Misc Cash Purchase</v>
      </c>
      <c r="F5275" s="142" t="s">
        <v>968</v>
      </c>
      <c r="G5275" s="130"/>
      <c r="H5275" s="10"/>
      <c r="I5275" s="10">
        <v>1400000</v>
      </c>
      <c r="J5275" s="79" t="e">
        <f t="shared" si="341"/>
        <v>#VALUE!</v>
      </c>
      <c r="K5275" s="106"/>
      <c r="L5275" s="107"/>
      <c r="M5275" s="106"/>
      <c r="N5275" s="106"/>
      <c r="O5275" s="108"/>
      <c r="P5275" s="108"/>
      <c r="Q5275" s="108"/>
      <c r="R5275" s="109"/>
      <c r="S5275" s="109"/>
      <c r="T5275" s="108"/>
      <c r="U5275" s="110"/>
      <c r="V5275" s="110"/>
      <c r="W5275" s="110"/>
      <c r="X5275" s="110"/>
    </row>
    <row r="5276" spans="1:24" ht="14.25" customHeight="1">
      <c r="A5276" s="110"/>
      <c r="B5276" s="125">
        <v>46191</v>
      </c>
      <c r="C5276" s="126" t="s">
        <v>3096</v>
      </c>
      <c r="D5276" s="68" t="s">
        <v>285</v>
      </c>
      <c r="E5276" s="10" t="str">
        <f>TRIM(VLOOKUP(D5276,TB!$B$9:$C$1500,2,FALSE))</f>
        <v>Misc Cash Purchase</v>
      </c>
      <c r="F5276" s="142" t="s">
        <v>1133</v>
      </c>
      <c r="G5276" s="130"/>
      <c r="H5276" s="10"/>
      <c r="I5276" s="10">
        <v>1400000</v>
      </c>
      <c r="J5276" s="79" t="e">
        <f t="shared" si="341"/>
        <v>#VALUE!</v>
      </c>
      <c r="K5276" s="106"/>
      <c r="L5276" s="107"/>
      <c r="M5276" s="106"/>
      <c r="N5276" s="106"/>
      <c r="O5276" s="108"/>
      <c r="P5276" s="108"/>
      <c r="Q5276" s="108"/>
      <c r="R5276" s="109"/>
      <c r="S5276" s="109"/>
      <c r="T5276" s="108"/>
      <c r="U5276" s="110"/>
      <c r="V5276" s="110"/>
      <c r="W5276" s="110"/>
      <c r="X5276" s="110"/>
    </row>
    <row r="5277" spans="1:24" ht="14.25" customHeight="1">
      <c r="A5277" s="110"/>
      <c r="B5277" s="125">
        <v>46198</v>
      </c>
      <c r="C5277" s="126" t="s">
        <v>3097</v>
      </c>
      <c r="D5277" s="68" t="s">
        <v>285</v>
      </c>
      <c r="E5277" s="10" t="str">
        <f>TRIM(VLOOKUP(D5277,TB!$B$9:$C$1500,2,FALSE))</f>
        <v>Misc Cash Purchase</v>
      </c>
      <c r="F5277" s="142" t="s">
        <v>3098</v>
      </c>
      <c r="G5277" s="130"/>
      <c r="H5277" s="10"/>
      <c r="I5277" s="10">
        <v>1400000</v>
      </c>
      <c r="J5277" s="79" t="e">
        <f t="shared" si="341"/>
        <v>#VALUE!</v>
      </c>
      <c r="K5277" s="106"/>
      <c r="L5277" s="107"/>
      <c r="M5277" s="106"/>
      <c r="N5277" s="106"/>
      <c r="O5277" s="108"/>
      <c r="P5277" s="108"/>
      <c r="Q5277" s="108"/>
      <c r="R5277" s="109"/>
      <c r="S5277" s="109"/>
      <c r="T5277" s="108"/>
      <c r="U5277" s="110"/>
      <c r="V5277" s="110"/>
      <c r="W5277" s="110"/>
      <c r="X5277" s="110"/>
    </row>
    <row r="5278" spans="1:24" ht="14.25" customHeight="1">
      <c r="A5278" s="110"/>
      <c r="B5278" s="125"/>
      <c r="C5278" s="126"/>
      <c r="D5278" s="159"/>
      <c r="E5278" s="10" t="e">
        <f>TRIM(VLOOKUP(D5278,TB!$B$9:$C$1500,2,FALSE))</f>
        <v>#N/A</v>
      </c>
      <c r="F5278" s="142"/>
      <c r="G5278" s="130"/>
      <c r="H5278" s="10"/>
      <c r="I5278" s="10"/>
      <c r="J5278" s="79" t="e">
        <f t="shared" si="341"/>
        <v>#VALUE!</v>
      </c>
      <c r="K5278" s="106"/>
      <c r="L5278" s="107"/>
      <c r="M5278" s="106"/>
      <c r="N5278" s="106"/>
      <c r="O5278" s="108"/>
      <c r="P5278" s="108"/>
      <c r="Q5278" s="108"/>
      <c r="R5278" s="109"/>
      <c r="S5278" s="109"/>
      <c r="T5278" s="108"/>
      <c r="U5278" s="110"/>
      <c r="V5278" s="110"/>
      <c r="W5278" s="110"/>
      <c r="X5278" s="110"/>
    </row>
    <row r="5279" spans="1:24" ht="14.25" customHeight="1">
      <c r="A5279" s="110"/>
      <c r="B5279" s="125">
        <v>46203</v>
      </c>
      <c r="C5279" s="126" t="s">
        <v>2437</v>
      </c>
      <c r="D5279" s="15" t="s">
        <v>617</v>
      </c>
      <c r="E5279" s="10" t="str">
        <f>TRIM(VLOOKUP(D5279,TB!$B$9:$C$1500,2,FALSE))</f>
        <v>Cleaning Supplies &amp; Expenses</v>
      </c>
      <c r="F5279" s="142" t="s">
        <v>3099</v>
      </c>
      <c r="G5279" s="130"/>
      <c r="H5279" s="10">
        <v>850000</v>
      </c>
      <c r="I5279" s="10"/>
      <c r="J5279" s="79" t="e">
        <f t="shared" si="341"/>
        <v>#VALUE!</v>
      </c>
      <c r="K5279" s="106"/>
      <c r="L5279" s="107"/>
      <c r="M5279" s="106"/>
      <c r="N5279" s="106"/>
      <c r="O5279" s="108"/>
      <c r="P5279" s="108"/>
      <c r="Q5279" s="108"/>
      <c r="R5279" s="109"/>
      <c r="S5279" s="109"/>
      <c r="T5279" s="108"/>
      <c r="U5279" s="110"/>
      <c r="V5279" s="110"/>
      <c r="W5279" s="110"/>
      <c r="X5279" s="110"/>
    </row>
    <row r="5280" spans="1:24" ht="14.25" customHeight="1">
      <c r="A5280" s="110"/>
      <c r="B5280" s="125">
        <v>46203</v>
      </c>
      <c r="C5280" s="126" t="s">
        <v>2437</v>
      </c>
      <c r="D5280" s="68" t="s">
        <v>285</v>
      </c>
      <c r="E5280" s="10" t="str">
        <f>TRIM(VLOOKUP(D5280,TB!$B$9:$C$1500,2,FALSE))</f>
        <v>Misc Cash Purchase</v>
      </c>
      <c r="F5280" s="142" t="s">
        <v>3099</v>
      </c>
      <c r="G5280" s="130"/>
      <c r="H5280" s="10"/>
      <c r="I5280" s="10">
        <v>850000</v>
      </c>
      <c r="J5280" s="79" t="e">
        <f t="shared" si="341"/>
        <v>#VALUE!</v>
      </c>
      <c r="K5280" s="106"/>
      <c r="L5280" s="107"/>
      <c r="M5280" s="106"/>
      <c r="N5280" s="106"/>
      <c r="O5280" s="108"/>
      <c r="P5280" s="108"/>
      <c r="Q5280" s="108"/>
      <c r="R5280" s="109"/>
      <c r="S5280" s="109"/>
      <c r="T5280" s="108"/>
      <c r="U5280" s="110"/>
      <c r="V5280" s="110"/>
      <c r="W5280" s="110"/>
      <c r="X5280" s="110"/>
    </row>
    <row r="5281" spans="1:24" ht="14.25" customHeight="1">
      <c r="A5281" s="110"/>
      <c r="B5281" s="125"/>
      <c r="C5281" s="126"/>
      <c r="D5281" s="159"/>
      <c r="E5281" s="10" t="e">
        <f>TRIM(VLOOKUP(D5281,TB!$B$9:$C$1500,2,FALSE))</f>
        <v>#N/A</v>
      </c>
      <c r="F5281" s="142"/>
      <c r="G5281" s="130"/>
      <c r="H5281" s="10"/>
      <c r="I5281" s="10"/>
      <c r="J5281" s="79" t="e">
        <f t="shared" si="341"/>
        <v>#VALUE!</v>
      </c>
      <c r="K5281" s="106"/>
      <c r="L5281" s="107"/>
      <c r="M5281" s="106"/>
      <c r="N5281" s="106"/>
      <c r="O5281" s="108"/>
      <c r="P5281" s="108"/>
      <c r="Q5281" s="108"/>
      <c r="R5281" s="109"/>
      <c r="S5281" s="109"/>
      <c r="T5281" s="108"/>
      <c r="U5281" s="110"/>
      <c r="V5281" s="110"/>
      <c r="W5281" s="110"/>
      <c r="X5281" s="110"/>
    </row>
    <row r="5282" spans="1:24" ht="14.25" customHeight="1">
      <c r="A5282" s="110"/>
      <c r="B5282" s="125">
        <v>46203</v>
      </c>
      <c r="C5282" s="126" t="s">
        <v>2445</v>
      </c>
      <c r="D5282" s="15" t="s">
        <v>1404</v>
      </c>
      <c r="E5282" s="10" t="str">
        <f>TRIM(VLOOKUP(D5282,TB!$B$9:$C$1500,2,FALSE))</f>
        <v>Stationary &amp; Office Supplies</v>
      </c>
      <c r="F5282" s="142" t="s">
        <v>3100</v>
      </c>
      <c r="G5282" s="130"/>
      <c r="H5282" s="10">
        <v>1500000</v>
      </c>
      <c r="I5282" s="10"/>
      <c r="J5282" s="79" t="e">
        <f t="shared" si="341"/>
        <v>#VALUE!</v>
      </c>
      <c r="K5282" s="106"/>
      <c r="L5282" s="107"/>
      <c r="M5282" s="106"/>
      <c r="N5282" s="106"/>
      <c r="O5282" s="108"/>
      <c r="P5282" s="108"/>
      <c r="Q5282" s="108"/>
      <c r="R5282" s="109"/>
      <c r="S5282" s="109"/>
      <c r="T5282" s="108"/>
      <c r="U5282" s="110"/>
      <c r="V5282" s="110"/>
      <c r="W5282" s="110"/>
      <c r="X5282" s="110"/>
    </row>
    <row r="5283" spans="1:24" ht="14.25" customHeight="1">
      <c r="A5283" s="110"/>
      <c r="B5283" s="125">
        <v>46203</v>
      </c>
      <c r="C5283" s="126" t="s">
        <v>2445</v>
      </c>
      <c r="D5283" s="68" t="s">
        <v>285</v>
      </c>
      <c r="E5283" s="10" t="str">
        <f>TRIM(VLOOKUP(D5283,TB!$B$9:$C$1500,2,FALSE))</f>
        <v>Misc Cash Purchase</v>
      </c>
      <c r="F5283" s="142" t="s">
        <v>3100</v>
      </c>
      <c r="G5283" s="130"/>
      <c r="H5283" s="10"/>
      <c r="I5283" s="10">
        <v>1500000</v>
      </c>
      <c r="J5283" s="79" t="e">
        <f t="shared" si="341"/>
        <v>#VALUE!</v>
      </c>
      <c r="K5283" s="106"/>
      <c r="L5283" s="107"/>
      <c r="M5283" s="106"/>
      <c r="N5283" s="106"/>
      <c r="O5283" s="108"/>
      <c r="P5283" s="108"/>
      <c r="Q5283" s="108"/>
      <c r="R5283" s="109"/>
      <c r="S5283" s="109"/>
      <c r="T5283" s="108"/>
      <c r="U5283" s="110"/>
      <c r="V5283" s="110"/>
      <c r="W5283" s="110"/>
      <c r="X5283" s="110"/>
    </row>
    <row r="5284" spans="1:24" ht="14.25" customHeight="1">
      <c r="A5284" s="110"/>
      <c r="B5284" s="125"/>
      <c r="C5284" s="126"/>
      <c r="D5284" s="159"/>
      <c r="E5284" s="10" t="e">
        <f>TRIM(VLOOKUP(D5284,TB!$B$9:$C$1500,2,FALSE))</f>
        <v>#N/A</v>
      </c>
      <c r="F5284" s="142"/>
      <c r="G5284" s="130"/>
      <c r="H5284" s="10"/>
      <c r="I5284" s="10"/>
      <c r="J5284" s="79" t="e">
        <f t="shared" si="341"/>
        <v>#VALUE!</v>
      </c>
      <c r="K5284" s="106"/>
      <c r="L5284" s="107"/>
      <c r="M5284" s="106"/>
      <c r="N5284" s="106"/>
      <c r="O5284" s="108"/>
      <c r="P5284" s="108"/>
      <c r="Q5284" s="108"/>
      <c r="R5284" s="109"/>
      <c r="S5284" s="109"/>
      <c r="T5284" s="108"/>
      <c r="U5284" s="110"/>
      <c r="V5284" s="110"/>
      <c r="W5284" s="110"/>
      <c r="X5284" s="110"/>
    </row>
    <row r="5285" spans="1:24" ht="14.25" customHeight="1">
      <c r="A5285" s="110"/>
      <c r="B5285" s="125">
        <v>46203</v>
      </c>
      <c r="C5285" s="126" t="s">
        <v>2451</v>
      </c>
      <c r="D5285" s="15" t="s">
        <v>188</v>
      </c>
      <c r="E5285" s="10" t="str">
        <f>TRIM(VLOOKUP(D5285,TB!$B$9:$C$1500,2,FALSE))</f>
        <v>Advertising Costs</v>
      </c>
      <c r="F5285" s="142" t="s">
        <v>3101</v>
      </c>
      <c r="G5285" s="130"/>
      <c r="H5285" s="10">
        <v>12000000</v>
      </c>
      <c r="I5285" s="10"/>
      <c r="J5285" s="79" t="e">
        <f t="shared" si="341"/>
        <v>#VALUE!</v>
      </c>
      <c r="K5285" s="106"/>
      <c r="L5285" s="107"/>
      <c r="M5285" s="106"/>
      <c r="N5285" s="106"/>
      <c r="O5285" s="108"/>
      <c r="P5285" s="108"/>
      <c r="Q5285" s="108"/>
      <c r="R5285" s="109"/>
      <c r="S5285" s="109"/>
      <c r="T5285" s="108"/>
      <c r="U5285" s="110"/>
      <c r="V5285" s="110"/>
      <c r="W5285" s="110"/>
      <c r="X5285" s="110"/>
    </row>
    <row r="5286" spans="1:24" ht="14.25" customHeight="1">
      <c r="A5286" s="110"/>
      <c r="B5286" s="125">
        <v>46203</v>
      </c>
      <c r="C5286" s="126" t="s">
        <v>2451</v>
      </c>
      <c r="D5286" s="68" t="s">
        <v>285</v>
      </c>
      <c r="E5286" s="10" t="str">
        <f>TRIM(VLOOKUP(D5286,TB!$B$9:$C$1500,2,FALSE))</f>
        <v>Misc Cash Purchase</v>
      </c>
      <c r="F5286" s="142" t="s">
        <v>3101</v>
      </c>
      <c r="G5286" s="130"/>
      <c r="H5286" s="10"/>
      <c r="I5286" s="10">
        <v>12000000</v>
      </c>
      <c r="J5286" s="79" t="e">
        <f t="shared" si="341"/>
        <v>#VALUE!</v>
      </c>
      <c r="K5286" s="106"/>
      <c r="L5286" s="107"/>
      <c r="M5286" s="106"/>
      <c r="N5286" s="106"/>
      <c r="O5286" s="108"/>
      <c r="P5286" s="108"/>
      <c r="Q5286" s="108"/>
      <c r="R5286" s="109"/>
      <c r="S5286" s="109"/>
      <c r="T5286" s="108"/>
      <c r="U5286" s="110"/>
      <c r="V5286" s="110"/>
      <c r="W5286" s="110"/>
      <c r="X5286" s="110"/>
    </row>
    <row r="5287" spans="1:24" ht="14.25" customHeight="1">
      <c r="A5287" s="110"/>
      <c r="B5287" s="125"/>
      <c r="C5287" s="126"/>
      <c r="D5287" s="159"/>
      <c r="E5287" s="10" t="e">
        <f>TRIM(VLOOKUP(D5287,TB!$B$9:$C$1500,2,FALSE))</f>
        <v>#N/A</v>
      </c>
      <c r="F5287" s="142"/>
      <c r="G5287" s="130"/>
      <c r="H5287" s="10"/>
      <c r="I5287" s="10"/>
      <c r="J5287" s="79" t="e">
        <f t="shared" si="341"/>
        <v>#VALUE!</v>
      </c>
      <c r="K5287" s="106"/>
      <c r="L5287" s="107"/>
      <c r="M5287" s="106"/>
      <c r="N5287" s="106"/>
      <c r="O5287" s="108"/>
      <c r="P5287" s="108"/>
      <c r="Q5287" s="108"/>
      <c r="R5287" s="109"/>
      <c r="S5287" s="109"/>
      <c r="T5287" s="108"/>
      <c r="U5287" s="110"/>
      <c r="V5287" s="110"/>
      <c r="W5287" s="110"/>
      <c r="X5287" s="110"/>
    </row>
    <row r="5288" spans="1:24" ht="14.25" customHeight="1">
      <c r="A5288" s="110"/>
      <c r="B5288" s="125">
        <v>46203</v>
      </c>
      <c r="C5288" s="126" t="s">
        <v>2469</v>
      </c>
      <c r="D5288" s="15" t="s">
        <v>188</v>
      </c>
      <c r="E5288" s="10" t="str">
        <f>TRIM(VLOOKUP(D5288,TB!$B$9:$C$1500,2,FALSE))</f>
        <v>Advertising Costs</v>
      </c>
      <c r="F5288" s="142" t="s">
        <v>3102</v>
      </c>
      <c r="G5288" s="130"/>
      <c r="H5288" s="10">
        <v>1000000</v>
      </c>
      <c r="I5288" s="10"/>
      <c r="J5288" s="79" t="e">
        <f t="shared" si="341"/>
        <v>#VALUE!</v>
      </c>
      <c r="K5288" s="106"/>
      <c r="L5288" s="107"/>
      <c r="M5288" s="106"/>
      <c r="N5288" s="106"/>
      <c r="O5288" s="108"/>
      <c r="P5288" s="108"/>
      <c r="Q5288" s="108"/>
      <c r="R5288" s="109"/>
      <c r="S5288" s="109"/>
      <c r="T5288" s="108"/>
      <c r="U5288" s="110"/>
      <c r="V5288" s="110"/>
      <c r="W5288" s="110"/>
      <c r="X5288" s="110"/>
    </row>
    <row r="5289" spans="1:24" ht="14.25" customHeight="1">
      <c r="A5289" s="110"/>
      <c r="B5289" s="125">
        <v>46203</v>
      </c>
      <c r="C5289" s="126" t="s">
        <v>2469</v>
      </c>
      <c r="D5289" s="68" t="s">
        <v>285</v>
      </c>
      <c r="E5289" s="10" t="str">
        <f>TRIM(VLOOKUP(D5289,TB!$B$9:$C$1500,2,FALSE))</f>
        <v>Misc Cash Purchase</v>
      </c>
      <c r="F5289" s="142" t="s">
        <v>3102</v>
      </c>
      <c r="G5289" s="130"/>
      <c r="H5289" s="10"/>
      <c r="I5289" s="10">
        <v>1000000</v>
      </c>
      <c r="J5289" s="79" t="e">
        <f t="shared" si="341"/>
        <v>#VALUE!</v>
      </c>
      <c r="K5289" s="106"/>
      <c r="L5289" s="107"/>
      <c r="M5289" s="106"/>
      <c r="N5289" s="106"/>
      <c r="O5289" s="108"/>
      <c r="P5289" s="108"/>
      <c r="Q5289" s="108"/>
      <c r="R5289" s="109"/>
      <c r="S5289" s="109"/>
      <c r="T5289" s="108"/>
      <c r="U5289" s="110"/>
      <c r="V5289" s="110"/>
      <c r="W5289" s="110"/>
      <c r="X5289" s="110"/>
    </row>
    <row r="5290" spans="1:24" ht="14.25" customHeight="1">
      <c r="A5290" s="110"/>
      <c r="B5290" s="125"/>
      <c r="C5290" s="126"/>
      <c r="D5290" s="159"/>
      <c r="E5290" s="10" t="e">
        <f>TRIM(VLOOKUP(D5290,TB!$B$9:$C$1500,2,FALSE))</f>
        <v>#N/A</v>
      </c>
      <c r="F5290" s="142"/>
      <c r="G5290" s="130"/>
      <c r="H5290" s="10"/>
      <c r="I5290" s="10"/>
      <c r="J5290" s="79" t="e">
        <f t="shared" si="341"/>
        <v>#VALUE!</v>
      </c>
      <c r="K5290" s="106"/>
      <c r="L5290" s="107"/>
      <c r="M5290" s="106"/>
      <c r="N5290" s="106"/>
      <c r="O5290" s="108"/>
      <c r="P5290" s="108"/>
      <c r="Q5290" s="108"/>
      <c r="R5290" s="109"/>
      <c r="S5290" s="109"/>
      <c r="T5290" s="108"/>
      <c r="U5290" s="110"/>
      <c r="V5290" s="110"/>
      <c r="W5290" s="110"/>
      <c r="X5290" s="110"/>
    </row>
    <row r="5291" spans="1:24" ht="14.25" customHeight="1">
      <c r="A5291" s="110"/>
      <c r="B5291" s="125">
        <v>46203</v>
      </c>
      <c r="C5291" s="126" t="s">
        <v>2479</v>
      </c>
      <c r="D5291" s="15" t="s">
        <v>3103</v>
      </c>
      <c r="E5291" s="10" t="str">
        <f>TRIM(VLOOKUP(D5291,TB!$B$9:$C$1500,2,FALSE))</f>
        <v>Print Media/Beat Magazine</v>
      </c>
      <c r="F5291" s="142" t="s">
        <v>3104</v>
      </c>
      <c r="G5291" s="130"/>
      <c r="H5291" s="10">
        <v>2000000</v>
      </c>
      <c r="I5291" s="10"/>
      <c r="J5291" s="79" t="e">
        <f t="shared" si="341"/>
        <v>#VALUE!</v>
      </c>
      <c r="K5291" s="106"/>
      <c r="L5291" s="107"/>
      <c r="M5291" s="106"/>
      <c r="N5291" s="106"/>
      <c r="O5291" s="108"/>
      <c r="P5291" s="108"/>
      <c r="Q5291" s="108"/>
      <c r="R5291" s="109"/>
      <c r="S5291" s="109"/>
      <c r="T5291" s="108"/>
      <c r="U5291" s="110"/>
      <c r="V5291" s="110"/>
      <c r="W5291" s="110"/>
      <c r="X5291" s="110"/>
    </row>
    <row r="5292" spans="1:24" ht="14.25" customHeight="1">
      <c r="A5292" s="110"/>
      <c r="B5292" s="125">
        <v>46203</v>
      </c>
      <c r="C5292" s="126" t="s">
        <v>2479</v>
      </c>
      <c r="D5292" s="68" t="s">
        <v>285</v>
      </c>
      <c r="E5292" s="10" t="str">
        <f>TRIM(VLOOKUP(D5292,TB!$B$9:$C$1500,2,FALSE))</f>
        <v>Misc Cash Purchase</v>
      </c>
      <c r="F5292" s="142" t="s">
        <v>3104</v>
      </c>
      <c r="G5292" s="130"/>
      <c r="H5292" s="10"/>
      <c r="I5292" s="10">
        <v>2000000</v>
      </c>
      <c r="J5292" s="79" t="e">
        <f t="shared" si="341"/>
        <v>#VALUE!</v>
      </c>
      <c r="K5292" s="106"/>
      <c r="L5292" s="107"/>
      <c r="M5292" s="106"/>
      <c r="N5292" s="106"/>
      <c r="O5292" s="108"/>
      <c r="P5292" s="108"/>
      <c r="Q5292" s="108"/>
      <c r="R5292" s="109"/>
      <c r="S5292" s="109"/>
      <c r="T5292" s="108"/>
      <c r="U5292" s="110"/>
      <c r="V5292" s="110"/>
      <c r="W5292" s="110"/>
      <c r="X5292" s="110"/>
    </row>
    <row r="5293" spans="1:24" ht="14.25" customHeight="1">
      <c r="A5293" s="110"/>
      <c r="B5293" s="125"/>
      <c r="C5293" s="126"/>
      <c r="D5293" s="159"/>
      <c r="E5293" s="10" t="e">
        <f>TRIM(VLOOKUP(D5293,TB!$B$9:$C$1500,2,FALSE))</f>
        <v>#N/A</v>
      </c>
      <c r="F5293" s="142"/>
      <c r="G5293" s="130"/>
      <c r="H5293" s="10"/>
      <c r="I5293" s="10"/>
      <c r="J5293" s="79" t="e">
        <f t="shared" si="341"/>
        <v>#VALUE!</v>
      </c>
      <c r="K5293" s="106"/>
      <c r="L5293" s="107"/>
      <c r="M5293" s="106"/>
      <c r="N5293" s="106"/>
      <c r="O5293" s="108"/>
      <c r="P5293" s="108"/>
      <c r="Q5293" s="108"/>
      <c r="R5293" s="109"/>
      <c r="S5293" s="109"/>
      <c r="T5293" s="108"/>
      <c r="U5293" s="110"/>
      <c r="V5293" s="110"/>
      <c r="W5293" s="110"/>
      <c r="X5293" s="110"/>
    </row>
    <row r="5294" spans="1:24" ht="14.25" customHeight="1">
      <c r="A5294" s="110"/>
      <c r="B5294" s="125">
        <v>46203</v>
      </c>
      <c r="C5294" s="126" t="s">
        <v>2485</v>
      </c>
      <c r="D5294" s="15" t="s">
        <v>3105</v>
      </c>
      <c r="E5294" s="10" t="str">
        <f>TRIM(VLOOKUP(D5294,TB!$B$9:$C$1500,2,FALSE))</f>
        <v>Tax consultant</v>
      </c>
      <c r="F5294" s="142" t="s">
        <v>3106</v>
      </c>
      <c r="G5294" s="130"/>
      <c r="H5294" s="10">
        <v>2250000</v>
      </c>
      <c r="I5294" s="10"/>
      <c r="J5294" s="79" t="e">
        <f t="shared" si="341"/>
        <v>#VALUE!</v>
      </c>
      <c r="K5294" s="106"/>
      <c r="L5294" s="107"/>
      <c r="M5294" s="106"/>
      <c r="N5294" s="106"/>
      <c r="O5294" s="108"/>
      <c r="P5294" s="108"/>
      <c r="Q5294" s="108"/>
      <c r="R5294" s="109"/>
      <c r="S5294" s="109"/>
      <c r="T5294" s="108"/>
      <c r="U5294" s="110"/>
      <c r="V5294" s="110"/>
      <c r="W5294" s="110"/>
      <c r="X5294" s="110"/>
    </row>
    <row r="5295" spans="1:24" ht="14.25" customHeight="1">
      <c r="A5295" s="110"/>
      <c r="B5295" s="125">
        <v>46203</v>
      </c>
      <c r="C5295" s="126" t="s">
        <v>2485</v>
      </c>
      <c r="D5295" s="68" t="s">
        <v>285</v>
      </c>
      <c r="E5295" s="10" t="str">
        <f>TRIM(VLOOKUP(D5295,TB!$B$9:$C$1500,2,FALSE))</f>
        <v>Misc Cash Purchase</v>
      </c>
      <c r="F5295" s="142" t="s">
        <v>3106</v>
      </c>
      <c r="G5295" s="130"/>
      <c r="H5295" s="10"/>
      <c r="I5295" s="10">
        <v>2250000</v>
      </c>
      <c r="J5295" s="79" t="e">
        <f t="shared" si="341"/>
        <v>#VALUE!</v>
      </c>
      <c r="K5295" s="106"/>
      <c r="L5295" s="107"/>
      <c r="M5295" s="106"/>
      <c r="N5295" s="106"/>
      <c r="O5295" s="108"/>
      <c r="P5295" s="108"/>
      <c r="Q5295" s="108"/>
      <c r="R5295" s="109"/>
      <c r="S5295" s="109"/>
      <c r="T5295" s="108"/>
      <c r="U5295" s="110"/>
      <c r="V5295" s="110"/>
      <c r="W5295" s="110"/>
      <c r="X5295" s="110"/>
    </row>
    <row r="5296" spans="1:24" ht="14.25" customHeight="1">
      <c r="A5296" s="110"/>
      <c r="B5296" s="125"/>
      <c r="C5296" s="126"/>
      <c r="D5296" s="159"/>
      <c r="E5296" s="10" t="e">
        <f>TRIM(VLOOKUP(D5296,TB!$B$9:$C$1500,2,FALSE))</f>
        <v>#N/A</v>
      </c>
      <c r="F5296" s="142"/>
      <c r="G5296" s="130"/>
      <c r="H5296" s="10"/>
      <c r="I5296" s="10"/>
      <c r="J5296" s="79" t="e">
        <f t="shared" si="341"/>
        <v>#VALUE!</v>
      </c>
      <c r="K5296" s="106"/>
      <c r="L5296" s="107"/>
      <c r="M5296" s="106"/>
      <c r="N5296" s="106"/>
      <c r="O5296" s="108"/>
      <c r="P5296" s="108"/>
      <c r="Q5296" s="108"/>
      <c r="R5296" s="109"/>
      <c r="S5296" s="109"/>
      <c r="T5296" s="108"/>
      <c r="U5296" s="110"/>
      <c r="V5296" s="110"/>
      <c r="W5296" s="110"/>
      <c r="X5296" s="110"/>
    </row>
    <row r="5297" spans="1:24" ht="14.25" customHeight="1">
      <c r="A5297" s="110"/>
      <c r="B5297" s="125">
        <v>46174</v>
      </c>
      <c r="C5297" s="126" t="s">
        <v>3107</v>
      </c>
      <c r="D5297" s="15" t="s">
        <v>3108</v>
      </c>
      <c r="E5297" s="10" t="str">
        <f>TRIM(VLOOKUP(D5297,TB!$B$9:$C$1500,2,FALSE))</f>
        <v>Promotional Costs</v>
      </c>
      <c r="F5297" s="142" t="s">
        <v>3109</v>
      </c>
      <c r="G5297" s="130"/>
      <c r="H5297" s="10">
        <v>500000</v>
      </c>
      <c r="I5297" s="10"/>
      <c r="J5297" s="79" t="e">
        <f t="shared" si="341"/>
        <v>#VALUE!</v>
      </c>
      <c r="K5297" s="106"/>
      <c r="L5297" s="107"/>
      <c r="M5297" s="106"/>
      <c r="N5297" s="106"/>
      <c r="O5297" s="108"/>
      <c r="P5297" s="108"/>
      <c r="Q5297" s="108"/>
      <c r="R5297" s="109"/>
      <c r="S5297" s="109"/>
      <c r="T5297" s="108"/>
      <c r="U5297" s="110"/>
      <c r="V5297" s="110"/>
      <c r="W5297" s="110"/>
      <c r="X5297" s="110"/>
    </row>
    <row r="5298" spans="1:24" ht="14.25" customHeight="1">
      <c r="A5298" s="110"/>
      <c r="B5298" s="125">
        <v>46174</v>
      </c>
      <c r="C5298" s="126" t="s">
        <v>3110</v>
      </c>
      <c r="D5298" s="15" t="s">
        <v>3108</v>
      </c>
      <c r="E5298" s="10" t="str">
        <f>TRIM(VLOOKUP(D5298,TB!$B$9:$C$1500,2,FALSE))</f>
        <v>Promotional Costs</v>
      </c>
      <c r="F5298" s="142" t="s">
        <v>3111</v>
      </c>
      <c r="G5298" s="130"/>
      <c r="H5298" s="10">
        <v>250000</v>
      </c>
      <c r="I5298" s="10"/>
      <c r="J5298" s="79" t="e">
        <f t="shared" si="341"/>
        <v>#VALUE!</v>
      </c>
      <c r="K5298" s="106"/>
      <c r="L5298" s="107"/>
      <c r="M5298" s="106"/>
      <c r="N5298" s="106"/>
      <c r="O5298" s="108"/>
      <c r="P5298" s="108"/>
      <c r="Q5298" s="108"/>
      <c r="R5298" s="109"/>
      <c r="S5298" s="109"/>
      <c r="T5298" s="108"/>
      <c r="U5298" s="110"/>
      <c r="V5298" s="110"/>
      <c r="W5298" s="110"/>
      <c r="X5298" s="110"/>
    </row>
    <row r="5299" spans="1:24" ht="14.25" customHeight="1">
      <c r="A5299" s="110"/>
      <c r="B5299" s="125">
        <v>46174</v>
      </c>
      <c r="C5299" s="126" t="s">
        <v>3112</v>
      </c>
      <c r="D5299" s="15" t="s">
        <v>3108</v>
      </c>
      <c r="E5299" s="10" t="str">
        <f>TRIM(VLOOKUP(D5299,TB!$B$9:$C$1500,2,FALSE))</f>
        <v>Promotional Costs</v>
      </c>
      <c r="F5299" s="142" t="s">
        <v>3113</v>
      </c>
      <c r="G5299" s="130"/>
      <c r="H5299" s="10">
        <v>500000</v>
      </c>
      <c r="I5299" s="10"/>
      <c r="J5299" s="79" t="e">
        <f t="shared" si="341"/>
        <v>#VALUE!</v>
      </c>
      <c r="K5299" s="106"/>
      <c r="L5299" s="107"/>
      <c r="M5299" s="106"/>
      <c r="N5299" s="106"/>
      <c r="O5299" s="108"/>
      <c r="P5299" s="108"/>
      <c r="Q5299" s="108"/>
      <c r="R5299" s="109"/>
      <c r="S5299" s="109"/>
      <c r="T5299" s="108"/>
      <c r="U5299" s="110"/>
      <c r="V5299" s="110"/>
      <c r="W5299" s="110"/>
      <c r="X5299" s="110"/>
    </row>
    <row r="5300" spans="1:24" ht="14.25" customHeight="1">
      <c r="A5300" s="110"/>
      <c r="B5300" s="125">
        <v>46174</v>
      </c>
      <c r="C5300" s="126" t="s">
        <v>3114</v>
      </c>
      <c r="D5300" s="15" t="s">
        <v>3108</v>
      </c>
      <c r="E5300" s="10" t="str">
        <f>TRIM(VLOOKUP(D5300,TB!$B$9:$C$1500,2,FALSE))</f>
        <v>Promotional Costs</v>
      </c>
      <c r="F5300" s="142" t="s">
        <v>3115</v>
      </c>
      <c r="G5300" s="130"/>
      <c r="H5300" s="10">
        <v>250000</v>
      </c>
      <c r="I5300" s="10"/>
      <c r="J5300" s="79" t="e">
        <f t="shared" si="341"/>
        <v>#VALUE!</v>
      </c>
      <c r="K5300" s="106"/>
      <c r="L5300" s="107"/>
      <c r="M5300" s="106"/>
      <c r="N5300" s="106"/>
      <c r="O5300" s="108"/>
      <c r="P5300" s="108"/>
      <c r="Q5300" s="108"/>
      <c r="R5300" s="109"/>
      <c r="S5300" s="109"/>
      <c r="T5300" s="108"/>
      <c r="U5300" s="110"/>
      <c r="V5300" s="110"/>
      <c r="W5300" s="110"/>
      <c r="X5300" s="110"/>
    </row>
    <row r="5301" spans="1:24" ht="14.25" customHeight="1">
      <c r="A5301" s="110"/>
      <c r="B5301" s="125">
        <v>46174</v>
      </c>
      <c r="C5301" s="126" t="s">
        <v>3116</v>
      </c>
      <c r="D5301" s="15" t="s">
        <v>3108</v>
      </c>
      <c r="E5301" s="10" t="str">
        <f>TRIM(VLOOKUP(D5301,TB!$B$9:$C$1500,2,FALSE))</f>
        <v>Promotional Costs</v>
      </c>
      <c r="F5301" s="142" t="s">
        <v>3117</v>
      </c>
      <c r="G5301" s="130"/>
      <c r="H5301" s="10">
        <v>250000</v>
      </c>
      <c r="I5301" s="10"/>
      <c r="J5301" s="79" t="e">
        <f t="shared" si="341"/>
        <v>#VALUE!</v>
      </c>
      <c r="K5301" s="106"/>
      <c r="L5301" s="107"/>
      <c r="M5301" s="106"/>
      <c r="N5301" s="106"/>
      <c r="O5301" s="108"/>
      <c r="P5301" s="108"/>
      <c r="Q5301" s="108"/>
      <c r="R5301" s="109"/>
      <c r="S5301" s="109"/>
      <c r="T5301" s="108"/>
      <c r="U5301" s="110"/>
      <c r="V5301" s="110"/>
      <c r="W5301" s="110"/>
      <c r="X5301" s="110"/>
    </row>
    <row r="5302" spans="1:24" ht="14.25" customHeight="1">
      <c r="A5302" s="110"/>
      <c r="B5302" s="125">
        <v>46174</v>
      </c>
      <c r="C5302" s="126" t="s">
        <v>3118</v>
      </c>
      <c r="D5302" s="15" t="s">
        <v>3108</v>
      </c>
      <c r="E5302" s="10" t="str">
        <f>TRIM(VLOOKUP(D5302,TB!$B$9:$C$1500,2,FALSE))</f>
        <v>Promotional Costs</v>
      </c>
      <c r="F5302" s="142" t="s">
        <v>3119</v>
      </c>
      <c r="G5302" s="130"/>
      <c r="H5302" s="10">
        <v>500000</v>
      </c>
      <c r="I5302" s="10"/>
      <c r="J5302" s="79" t="e">
        <f t="shared" si="341"/>
        <v>#VALUE!</v>
      </c>
      <c r="K5302" s="106"/>
      <c r="L5302" s="107"/>
      <c r="M5302" s="106"/>
      <c r="N5302" s="106"/>
      <c r="O5302" s="108"/>
      <c r="P5302" s="108"/>
      <c r="Q5302" s="108"/>
      <c r="R5302" s="109"/>
      <c r="S5302" s="109"/>
      <c r="T5302" s="108"/>
      <c r="U5302" s="110"/>
      <c r="V5302" s="110"/>
      <c r="W5302" s="110"/>
      <c r="X5302" s="110"/>
    </row>
    <row r="5303" spans="1:24" ht="14.25" customHeight="1">
      <c r="A5303" s="110"/>
      <c r="B5303" s="125">
        <v>46174</v>
      </c>
      <c r="C5303" s="126" t="s">
        <v>3120</v>
      </c>
      <c r="D5303" s="15" t="s">
        <v>3108</v>
      </c>
      <c r="E5303" s="10" t="str">
        <f>TRIM(VLOOKUP(D5303,TB!$B$9:$C$1500,2,FALSE))</f>
        <v>Promotional Costs</v>
      </c>
      <c r="F5303" s="142" t="s">
        <v>3121</v>
      </c>
      <c r="G5303" s="130"/>
      <c r="H5303" s="10">
        <v>250000</v>
      </c>
      <c r="I5303" s="10"/>
      <c r="J5303" s="79" t="e">
        <f t="shared" si="341"/>
        <v>#VALUE!</v>
      </c>
      <c r="K5303" s="106"/>
      <c r="L5303" s="107"/>
      <c r="M5303" s="106"/>
      <c r="N5303" s="106"/>
      <c r="O5303" s="108"/>
      <c r="P5303" s="108"/>
      <c r="Q5303" s="108"/>
      <c r="R5303" s="109"/>
      <c r="S5303" s="109"/>
      <c r="T5303" s="108"/>
      <c r="U5303" s="110"/>
      <c r="V5303" s="110"/>
      <c r="W5303" s="110"/>
      <c r="X5303" s="110"/>
    </row>
    <row r="5304" spans="1:24" ht="14.25" customHeight="1">
      <c r="A5304" s="110"/>
      <c r="B5304" s="125">
        <v>46174</v>
      </c>
      <c r="C5304" s="126" t="s">
        <v>3122</v>
      </c>
      <c r="D5304" s="15" t="s">
        <v>3108</v>
      </c>
      <c r="E5304" s="10" t="str">
        <f>TRIM(VLOOKUP(D5304,TB!$B$9:$C$1500,2,FALSE))</f>
        <v>Promotional Costs</v>
      </c>
      <c r="F5304" s="142" t="s">
        <v>3123</v>
      </c>
      <c r="G5304" s="130"/>
      <c r="H5304" s="10">
        <v>250000</v>
      </c>
      <c r="I5304" s="10"/>
      <c r="J5304" s="79" t="e">
        <f t="shared" si="341"/>
        <v>#VALUE!</v>
      </c>
      <c r="K5304" s="106"/>
      <c r="L5304" s="107"/>
      <c r="M5304" s="106"/>
      <c r="N5304" s="106"/>
      <c r="O5304" s="108"/>
      <c r="P5304" s="108"/>
      <c r="Q5304" s="108"/>
      <c r="R5304" s="109"/>
      <c r="S5304" s="109"/>
      <c r="T5304" s="108"/>
      <c r="U5304" s="110"/>
      <c r="V5304" s="110"/>
      <c r="W5304" s="110"/>
      <c r="X5304" s="110"/>
    </row>
    <row r="5305" spans="1:24" ht="14.25" customHeight="1">
      <c r="A5305" s="110"/>
      <c r="B5305" s="125">
        <v>46174</v>
      </c>
      <c r="C5305" s="126" t="s">
        <v>3124</v>
      </c>
      <c r="D5305" s="15" t="s">
        <v>3108</v>
      </c>
      <c r="E5305" s="10" t="str">
        <f>TRIM(VLOOKUP(D5305,TB!$B$9:$C$1500,2,FALSE))</f>
        <v>Promotional Costs</v>
      </c>
      <c r="F5305" s="142" t="s">
        <v>3125</v>
      </c>
      <c r="G5305" s="130"/>
      <c r="H5305" s="10">
        <v>250000</v>
      </c>
      <c r="I5305" s="10"/>
      <c r="J5305" s="79" t="e">
        <f t="shared" si="341"/>
        <v>#VALUE!</v>
      </c>
      <c r="K5305" s="106"/>
      <c r="L5305" s="107"/>
      <c r="M5305" s="106"/>
      <c r="N5305" s="106"/>
      <c r="O5305" s="108"/>
      <c r="P5305" s="108"/>
      <c r="Q5305" s="108"/>
      <c r="R5305" s="109"/>
      <c r="S5305" s="109"/>
      <c r="T5305" s="108"/>
      <c r="U5305" s="110"/>
      <c r="V5305" s="110"/>
      <c r="W5305" s="110"/>
      <c r="X5305" s="110"/>
    </row>
    <row r="5306" spans="1:24" ht="14.25" customHeight="1">
      <c r="A5306" s="110"/>
      <c r="B5306" s="125">
        <v>46174</v>
      </c>
      <c r="C5306" s="126" t="s">
        <v>3126</v>
      </c>
      <c r="D5306" s="15" t="s">
        <v>3108</v>
      </c>
      <c r="E5306" s="10" t="str">
        <f>TRIM(VLOOKUP(D5306,TB!$B$9:$C$1500,2,FALSE))</f>
        <v>Promotional Costs</v>
      </c>
      <c r="F5306" s="142" t="s">
        <v>3127</v>
      </c>
      <c r="G5306" s="130"/>
      <c r="H5306" s="10">
        <v>500000</v>
      </c>
      <c r="I5306" s="10"/>
      <c r="J5306" s="79" t="e">
        <f t="shared" si="341"/>
        <v>#VALUE!</v>
      </c>
      <c r="K5306" s="106"/>
      <c r="L5306" s="107"/>
      <c r="M5306" s="106"/>
      <c r="N5306" s="106"/>
      <c r="O5306" s="108"/>
      <c r="P5306" s="108"/>
      <c r="Q5306" s="108"/>
      <c r="R5306" s="109"/>
      <c r="S5306" s="109"/>
      <c r="T5306" s="108"/>
      <c r="U5306" s="110"/>
      <c r="V5306" s="110"/>
      <c r="W5306" s="110"/>
      <c r="X5306" s="110"/>
    </row>
    <row r="5307" spans="1:24" ht="14.25" customHeight="1">
      <c r="A5307" s="110"/>
      <c r="B5307" s="125">
        <v>46174</v>
      </c>
      <c r="C5307" s="126" t="s">
        <v>3128</v>
      </c>
      <c r="D5307" s="15" t="s">
        <v>3108</v>
      </c>
      <c r="E5307" s="10" t="str">
        <f>TRIM(VLOOKUP(D5307,TB!$B$9:$C$1500,2,FALSE))</f>
        <v>Promotional Costs</v>
      </c>
      <c r="F5307" s="142" t="s">
        <v>3129</v>
      </c>
      <c r="G5307" s="130"/>
      <c r="H5307" s="10">
        <v>250000</v>
      </c>
      <c r="I5307" s="10"/>
      <c r="J5307" s="79" t="e">
        <f t="shared" si="341"/>
        <v>#VALUE!</v>
      </c>
      <c r="K5307" s="106"/>
      <c r="L5307" s="107"/>
      <c r="M5307" s="106"/>
      <c r="N5307" s="106"/>
      <c r="O5307" s="108"/>
      <c r="P5307" s="108"/>
      <c r="Q5307" s="108"/>
      <c r="R5307" s="109"/>
      <c r="S5307" s="109"/>
      <c r="T5307" s="108"/>
      <c r="U5307" s="110"/>
      <c r="V5307" s="110"/>
      <c r="W5307" s="110"/>
      <c r="X5307" s="110"/>
    </row>
    <row r="5308" spans="1:24" ht="14.25" customHeight="1">
      <c r="A5308" s="110"/>
      <c r="B5308" s="125">
        <v>46174</v>
      </c>
      <c r="C5308" s="126" t="s">
        <v>3130</v>
      </c>
      <c r="D5308" s="15" t="s">
        <v>3108</v>
      </c>
      <c r="E5308" s="10" t="str">
        <f>TRIM(VLOOKUP(D5308,TB!$B$9:$C$1500,2,FALSE))</f>
        <v>Promotional Costs</v>
      </c>
      <c r="F5308" s="142" t="s">
        <v>3131</v>
      </c>
      <c r="G5308" s="130"/>
      <c r="H5308" s="10">
        <v>4250000</v>
      </c>
      <c r="I5308" s="10"/>
      <c r="J5308" s="79" t="e">
        <f t="shared" si="341"/>
        <v>#VALUE!</v>
      </c>
      <c r="K5308" s="106"/>
      <c r="L5308" s="107"/>
      <c r="M5308" s="106"/>
      <c r="N5308" s="106"/>
      <c r="O5308" s="108"/>
      <c r="P5308" s="108"/>
      <c r="Q5308" s="108"/>
      <c r="R5308" s="109"/>
      <c r="S5308" s="109"/>
      <c r="T5308" s="108"/>
      <c r="U5308" s="110"/>
      <c r="V5308" s="110"/>
      <c r="W5308" s="110"/>
      <c r="X5308" s="110"/>
    </row>
    <row r="5309" spans="1:24" ht="14.25" customHeight="1">
      <c r="A5309" s="110"/>
      <c r="B5309" s="125">
        <v>46174</v>
      </c>
      <c r="C5309" s="126" t="s">
        <v>3132</v>
      </c>
      <c r="D5309" s="15" t="s">
        <v>3108</v>
      </c>
      <c r="E5309" s="10" t="str">
        <f>TRIM(VLOOKUP(D5309,TB!$B$9:$C$1500,2,FALSE))</f>
        <v>Promotional Costs</v>
      </c>
      <c r="F5309" s="142" t="s">
        <v>3133</v>
      </c>
      <c r="G5309" s="130"/>
      <c r="H5309" s="10">
        <v>4000000</v>
      </c>
      <c r="I5309" s="10"/>
      <c r="J5309" s="79" t="e">
        <f t="shared" si="341"/>
        <v>#VALUE!</v>
      </c>
      <c r="K5309" s="106"/>
      <c r="L5309" s="107"/>
      <c r="M5309" s="106"/>
      <c r="N5309" s="106"/>
      <c r="O5309" s="108"/>
      <c r="P5309" s="108"/>
      <c r="Q5309" s="108"/>
      <c r="R5309" s="109"/>
      <c r="S5309" s="109"/>
      <c r="T5309" s="108"/>
      <c r="U5309" s="110"/>
      <c r="V5309" s="110"/>
      <c r="W5309" s="110"/>
      <c r="X5309" s="110"/>
    </row>
    <row r="5310" spans="1:24" ht="14.25" customHeight="1">
      <c r="A5310" s="110"/>
      <c r="B5310" s="125">
        <v>46174</v>
      </c>
      <c r="C5310" s="126" t="s">
        <v>3132</v>
      </c>
      <c r="D5310" s="15" t="s">
        <v>221</v>
      </c>
      <c r="E5310" s="10" t="str">
        <f>TRIM(VLOOKUP(D5310,TB!$B$9:$C$1500,2,FALSE))</f>
        <v>COS - Promotor Fees Other</v>
      </c>
      <c r="F5310" s="142" t="s">
        <v>3134</v>
      </c>
      <c r="G5310" s="130"/>
      <c r="H5310" s="10">
        <v>580000</v>
      </c>
      <c r="I5310" s="10"/>
      <c r="J5310" s="79" t="e">
        <f t="shared" si="341"/>
        <v>#VALUE!</v>
      </c>
      <c r="K5310" s="106"/>
      <c r="L5310" s="107"/>
      <c r="M5310" s="106"/>
      <c r="N5310" s="106"/>
      <c r="O5310" s="108"/>
      <c r="P5310" s="108"/>
      <c r="Q5310" s="108"/>
      <c r="R5310" s="109"/>
      <c r="S5310" s="109"/>
      <c r="T5310" s="108"/>
      <c r="U5310" s="110"/>
      <c r="V5310" s="110"/>
      <c r="W5310" s="110"/>
      <c r="X5310" s="110"/>
    </row>
    <row r="5311" spans="1:24" ht="14.25" customHeight="1">
      <c r="A5311" s="110"/>
      <c r="B5311" s="125">
        <v>46174</v>
      </c>
      <c r="C5311" s="126" t="s">
        <v>3107</v>
      </c>
      <c r="D5311" s="68" t="s">
        <v>285</v>
      </c>
      <c r="E5311" s="10" t="str">
        <f>TRIM(VLOOKUP(D5311,TB!$B$9:$C$1500,2,FALSE))</f>
        <v>Misc Cash Purchase</v>
      </c>
      <c r="F5311" s="142" t="s">
        <v>3109</v>
      </c>
      <c r="G5311" s="130"/>
      <c r="H5311" s="10"/>
      <c r="I5311" s="10">
        <v>500000</v>
      </c>
      <c r="J5311" s="79" t="e">
        <f t="shared" si="341"/>
        <v>#VALUE!</v>
      </c>
      <c r="K5311" s="106"/>
      <c r="L5311" s="107"/>
      <c r="M5311" s="106"/>
      <c r="N5311" s="106"/>
      <c r="O5311" s="108"/>
      <c r="P5311" s="108"/>
      <c r="Q5311" s="108"/>
      <c r="R5311" s="109"/>
      <c r="S5311" s="109"/>
      <c r="T5311" s="108"/>
      <c r="U5311" s="110"/>
      <c r="V5311" s="110"/>
      <c r="W5311" s="110"/>
      <c r="X5311" s="110"/>
    </row>
    <row r="5312" spans="1:24" ht="14.25" customHeight="1">
      <c r="A5312" s="110"/>
      <c r="B5312" s="125">
        <v>46174</v>
      </c>
      <c r="C5312" s="126" t="s">
        <v>3110</v>
      </c>
      <c r="D5312" s="68" t="s">
        <v>285</v>
      </c>
      <c r="E5312" s="10" t="str">
        <f>TRIM(VLOOKUP(D5312,TB!$B$9:$C$1500,2,FALSE))</f>
        <v>Misc Cash Purchase</v>
      </c>
      <c r="F5312" s="142" t="s">
        <v>3111</v>
      </c>
      <c r="G5312" s="130"/>
      <c r="H5312" s="10"/>
      <c r="I5312" s="10">
        <v>250000</v>
      </c>
      <c r="J5312" s="79" t="e">
        <f t="shared" si="341"/>
        <v>#VALUE!</v>
      </c>
      <c r="K5312" s="106"/>
      <c r="L5312" s="107"/>
      <c r="M5312" s="106"/>
      <c r="N5312" s="106"/>
      <c r="O5312" s="108"/>
      <c r="P5312" s="108"/>
      <c r="Q5312" s="108"/>
      <c r="R5312" s="109"/>
      <c r="S5312" s="109"/>
      <c r="T5312" s="108"/>
      <c r="U5312" s="110"/>
      <c r="V5312" s="110"/>
      <c r="W5312" s="110"/>
      <c r="X5312" s="110"/>
    </row>
    <row r="5313" spans="1:24" ht="14.25" customHeight="1">
      <c r="A5313" s="110"/>
      <c r="B5313" s="125">
        <v>46174</v>
      </c>
      <c r="C5313" s="126" t="s">
        <v>3112</v>
      </c>
      <c r="D5313" s="68" t="s">
        <v>285</v>
      </c>
      <c r="E5313" s="10" t="str">
        <f>TRIM(VLOOKUP(D5313,TB!$B$9:$C$1500,2,FALSE))</f>
        <v>Misc Cash Purchase</v>
      </c>
      <c r="F5313" s="142" t="s">
        <v>3113</v>
      </c>
      <c r="G5313" s="130"/>
      <c r="H5313" s="10"/>
      <c r="I5313" s="10">
        <v>500000</v>
      </c>
      <c r="J5313" s="79" t="e">
        <f t="shared" si="341"/>
        <v>#VALUE!</v>
      </c>
      <c r="K5313" s="106"/>
      <c r="L5313" s="107"/>
      <c r="M5313" s="106"/>
      <c r="N5313" s="106"/>
      <c r="O5313" s="108"/>
      <c r="P5313" s="108"/>
      <c r="Q5313" s="108"/>
      <c r="R5313" s="109"/>
      <c r="S5313" s="109"/>
      <c r="T5313" s="108"/>
      <c r="U5313" s="110"/>
      <c r="V5313" s="110"/>
      <c r="W5313" s="110"/>
      <c r="X5313" s="110"/>
    </row>
    <row r="5314" spans="1:24" ht="14.25" customHeight="1">
      <c r="A5314" s="110"/>
      <c r="B5314" s="125">
        <v>46174</v>
      </c>
      <c r="C5314" s="126" t="s">
        <v>3114</v>
      </c>
      <c r="D5314" s="68" t="s">
        <v>285</v>
      </c>
      <c r="E5314" s="10" t="str">
        <f>TRIM(VLOOKUP(D5314,TB!$B$9:$C$1500,2,FALSE))</f>
        <v>Misc Cash Purchase</v>
      </c>
      <c r="F5314" s="142" t="s">
        <v>3115</v>
      </c>
      <c r="G5314" s="130"/>
      <c r="H5314" s="10"/>
      <c r="I5314" s="10">
        <v>250000</v>
      </c>
      <c r="J5314" s="79" t="e">
        <f t="shared" si="341"/>
        <v>#VALUE!</v>
      </c>
      <c r="K5314" s="106"/>
      <c r="L5314" s="107"/>
      <c r="M5314" s="106"/>
      <c r="N5314" s="106"/>
      <c r="O5314" s="108"/>
      <c r="P5314" s="108"/>
      <c r="Q5314" s="108"/>
      <c r="R5314" s="109"/>
      <c r="S5314" s="109"/>
      <c r="T5314" s="108"/>
      <c r="U5314" s="110"/>
      <c r="V5314" s="110"/>
      <c r="W5314" s="110"/>
      <c r="X5314" s="110"/>
    </row>
    <row r="5315" spans="1:24" ht="14.25" customHeight="1">
      <c r="A5315" s="110"/>
      <c r="B5315" s="125">
        <v>46174</v>
      </c>
      <c r="C5315" s="126" t="s">
        <v>3116</v>
      </c>
      <c r="D5315" s="68" t="s">
        <v>285</v>
      </c>
      <c r="E5315" s="10" t="str">
        <f>TRIM(VLOOKUP(D5315,TB!$B$9:$C$1500,2,FALSE))</f>
        <v>Misc Cash Purchase</v>
      </c>
      <c r="F5315" s="142" t="s">
        <v>3117</v>
      </c>
      <c r="G5315" s="130"/>
      <c r="H5315" s="10"/>
      <c r="I5315" s="10">
        <v>250000</v>
      </c>
      <c r="J5315" s="79" t="e">
        <f t="shared" si="341"/>
        <v>#VALUE!</v>
      </c>
      <c r="K5315" s="106"/>
      <c r="L5315" s="107"/>
      <c r="M5315" s="106"/>
      <c r="N5315" s="106"/>
      <c r="O5315" s="108"/>
      <c r="P5315" s="108"/>
      <c r="Q5315" s="108"/>
      <c r="R5315" s="109"/>
      <c r="S5315" s="109"/>
      <c r="T5315" s="108"/>
      <c r="U5315" s="110"/>
      <c r="V5315" s="110"/>
      <c r="W5315" s="110"/>
      <c r="X5315" s="110"/>
    </row>
    <row r="5316" spans="1:24" ht="14.25" customHeight="1">
      <c r="A5316" s="110"/>
      <c r="B5316" s="125">
        <v>46174</v>
      </c>
      <c r="C5316" s="126" t="s">
        <v>3118</v>
      </c>
      <c r="D5316" s="68" t="s">
        <v>285</v>
      </c>
      <c r="E5316" s="10" t="str">
        <f>TRIM(VLOOKUP(D5316,TB!$B$9:$C$1500,2,FALSE))</f>
        <v>Misc Cash Purchase</v>
      </c>
      <c r="F5316" s="142" t="s">
        <v>3119</v>
      </c>
      <c r="G5316" s="130"/>
      <c r="H5316" s="10"/>
      <c r="I5316" s="10">
        <v>500000</v>
      </c>
      <c r="J5316" s="79" t="e">
        <f t="shared" si="341"/>
        <v>#VALUE!</v>
      </c>
      <c r="K5316" s="106"/>
      <c r="L5316" s="107"/>
      <c r="M5316" s="106"/>
      <c r="N5316" s="106"/>
      <c r="O5316" s="108"/>
      <c r="P5316" s="108"/>
      <c r="Q5316" s="108"/>
      <c r="R5316" s="109"/>
      <c r="S5316" s="109"/>
      <c r="T5316" s="108"/>
      <c r="U5316" s="110"/>
      <c r="V5316" s="110"/>
      <c r="W5316" s="110"/>
      <c r="X5316" s="110"/>
    </row>
    <row r="5317" spans="1:24" ht="14.25" customHeight="1">
      <c r="A5317" s="110"/>
      <c r="B5317" s="125">
        <v>46174</v>
      </c>
      <c r="C5317" s="126" t="s">
        <v>3120</v>
      </c>
      <c r="D5317" s="68" t="s">
        <v>285</v>
      </c>
      <c r="E5317" s="10" t="str">
        <f>TRIM(VLOOKUP(D5317,TB!$B$9:$C$1500,2,FALSE))</f>
        <v>Misc Cash Purchase</v>
      </c>
      <c r="F5317" s="142" t="s">
        <v>3121</v>
      </c>
      <c r="G5317" s="130"/>
      <c r="H5317" s="10"/>
      <c r="I5317" s="10">
        <v>250000</v>
      </c>
      <c r="J5317" s="79" t="e">
        <f t="shared" si="341"/>
        <v>#VALUE!</v>
      </c>
      <c r="K5317" s="106"/>
      <c r="L5317" s="107"/>
      <c r="M5317" s="106"/>
      <c r="N5317" s="106"/>
      <c r="O5317" s="108"/>
      <c r="P5317" s="108"/>
      <c r="Q5317" s="108"/>
      <c r="R5317" s="109"/>
      <c r="S5317" s="109"/>
      <c r="T5317" s="108"/>
      <c r="U5317" s="110"/>
      <c r="V5317" s="110"/>
      <c r="W5317" s="110"/>
      <c r="X5317" s="110"/>
    </row>
    <row r="5318" spans="1:24" ht="14.25" customHeight="1">
      <c r="A5318" s="110"/>
      <c r="B5318" s="125">
        <v>46174</v>
      </c>
      <c r="C5318" s="126" t="s">
        <v>3122</v>
      </c>
      <c r="D5318" s="68" t="s">
        <v>285</v>
      </c>
      <c r="E5318" s="10" t="str">
        <f>TRIM(VLOOKUP(D5318,TB!$B$9:$C$1500,2,FALSE))</f>
        <v>Misc Cash Purchase</v>
      </c>
      <c r="F5318" s="142" t="s">
        <v>3123</v>
      </c>
      <c r="G5318" s="130"/>
      <c r="H5318" s="10"/>
      <c r="I5318" s="10">
        <v>250000</v>
      </c>
      <c r="J5318" s="79" t="e">
        <f t="shared" si="341"/>
        <v>#VALUE!</v>
      </c>
      <c r="K5318" s="106"/>
      <c r="L5318" s="107"/>
      <c r="M5318" s="106"/>
      <c r="N5318" s="106"/>
      <c r="O5318" s="108"/>
      <c r="P5318" s="108"/>
      <c r="Q5318" s="108"/>
      <c r="R5318" s="109"/>
      <c r="S5318" s="109"/>
      <c r="T5318" s="108"/>
      <c r="U5318" s="110"/>
      <c r="V5318" s="110"/>
      <c r="W5318" s="110"/>
      <c r="X5318" s="110"/>
    </row>
    <row r="5319" spans="1:24" ht="14.25" customHeight="1">
      <c r="A5319" s="110"/>
      <c r="B5319" s="125">
        <v>46174</v>
      </c>
      <c r="C5319" s="126" t="s">
        <v>3124</v>
      </c>
      <c r="D5319" s="68" t="s">
        <v>285</v>
      </c>
      <c r="E5319" s="10" t="str">
        <f>TRIM(VLOOKUP(D5319,TB!$B$9:$C$1500,2,FALSE))</f>
        <v>Misc Cash Purchase</v>
      </c>
      <c r="F5319" s="142" t="s">
        <v>3125</v>
      </c>
      <c r="G5319" s="130"/>
      <c r="H5319" s="10"/>
      <c r="I5319" s="10">
        <v>250000</v>
      </c>
      <c r="J5319" s="79" t="e">
        <f t="shared" si="341"/>
        <v>#VALUE!</v>
      </c>
      <c r="K5319" s="106"/>
      <c r="L5319" s="107"/>
      <c r="M5319" s="106"/>
      <c r="N5319" s="106"/>
      <c r="O5319" s="108"/>
      <c r="P5319" s="108"/>
      <c r="Q5319" s="108"/>
      <c r="R5319" s="109"/>
      <c r="S5319" s="109"/>
      <c r="T5319" s="108"/>
      <c r="U5319" s="110"/>
      <c r="V5319" s="110"/>
      <c r="W5319" s="110"/>
      <c r="X5319" s="110"/>
    </row>
    <row r="5320" spans="1:24" ht="14.25" customHeight="1">
      <c r="A5320" s="110"/>
      <c r="B5320" s="125">
        <v>46174</v>
      </c>
      <c r="C5320" s="126" t="s">
        <v>3126</v>
      </c>
      <c r="D5320" s="68" t="s">
        <v>285</v>
      </c>
      <c r="E5320" s="10" t="str">
        <f>TRIM(VLOOKUP(D5320,TB!$B$9:$C$1500,2,FALSE))</f>
        <v>Misc Cash Purchase</v>
      </c>
      <c r="F5320" s="142" t="s">
        <v>3127</v>
      </c>
      <c r="G5320" s="130"/>
      <c r="H5320" s="10"/>
      <c r="I5320" s="10">
        <v>500000</v>
      </c>
      <c r="J5320" s="79" t="e">
        <f t="shared" si="341"/>
        <v>#VALUE!</v>
      </c>
      <c r="K5320" s="106"/>
      <c r="L5320" s="107"/>
      <c r="M5320" s="106"/>
      <c r="N5320" s="106"/>
      <c r="O5320" s="108"/>
      <c r="P5320" s="108"/>
      <c r="Q5320" s="108"/>
      <c r="R5320" s="109"/>
      <c r="S5320" s="109"/>
      <c r="T5320" s="108"/>
      <c r="U5320" s="110"/>
      <c r="V5320" s="110"/>
      <c r="W5320" s="110"/>
      <c r="X5320" s="110"/>
    </row>
    <row r="5321" spans="1:24" ht="14.25" customHeight="1">
      <c r="A5321" s="110"/>
      <c r="B5321" s="125">
        <v>46174</v>
      </c>
      <c r="C5321" s="126" t="s">
        <v>3128</v>
      </c>
      <c r="D5321" s="68" t="s">
        <v>285</v>
      </c>
      <c r="E5321" s="10" t="str">
        <f>TRIM(VLOOKUP(D5321,TB!$B$9:$C$1500,2,FALSE))</f>
        <v>Misc Cash Purchase</v>
      </c>
      <c r="F5321" s="142" t="s">
        <v>3129</v>
      </c>
      <c r="G5321" s="130"/>
      <c r="H5321" s="10"/>
      <c r="I5321" s="10">
        <v>250000</v>
      </c>
      <c r="J5321" s="79" t="e">
        <f t="shared" si="341"/>
        <v>#VALUE!</v>
      </c>
      <c r="K5321" s="106"/>
      <c r="L5321" s="107"/>
      <c r="M5321" s="106"/>
      <c r="N5321" s="106"/>
      <c r="O5321" s="108"/>
      <c r="P5321" s="108"/>
      <c r="Q5321" s="108"/>
      <c r="R5321" s="109"/>
      <c r="S5321" s="109"/>
      <c r="T5321" s="108"/>
      <c r="U5321" s="110"/>
      <c r="V5321" s="110"/>
      <c r="W5321" s="110"/>
      <c r="X5321" s="110"/>
    </row>
    <row r="5322" spans="1:24" ht="14.25" customHeight="1">
      <c r="A5322" s="110"/>
      <c r="B5322" s="125">
        <v>46174</v>
      </c>
      <c r="C5322" s="126" t="s">
        <v>3130</v>
      </c>
      <c r="D5322" s="68" t="s">
        <v>285</v>
      </c>
      <c r="E5322" s="10" t="str">
        <f>TRIM(VLOOKUP(D5322,TB!$B$9:$C$1500,2,FALSE))</f>
        <v>Misc Cash Purchase</v>
      </c>
      <c r="F5322" s="142" t="s">
        <v>3131</v>
      </c>
      <c r="G5322" s="130"/>
      <c r="H5322" s="10"/>
      <c r="I5322" s="10">
        <v>4250000</v>
      </c>
      <c r="J5322" s="79" t="e">
        <f t="shared" si="341"/>
        <v>#VALUE!</v>
      </c>
      <c r="K5322" s="106"/>
      <c r="L5322" s="107"/>
      <c r="M5322" s="106"/>
      <c r="N5322" s="106"/>
      <c r="O5322" s="108"/>
      <c r="P5322" s="108"/>
      <c r="Q5322" s="108"/>
      <c r="R5322" s="109"/>
      <c r="S5322" s="109"/>
      <c r="T5322" s="108"/>
      <c r="U5322" s="110"/>
      <c r="V5322" s="110"/>
      <c r="W5322" s="110"/>
      <c r="X5322" s="110"/>
    </row>
    <row r="5323" spans="1:24" ht="14.25" customHeight="1">
      <c r="A5323" s="110"/>
      <c r="B5323" s="125">
        <v>46174</v>
      </c>
      <c r="C5323" s="126" t="s">
        <v>3132</v>
      </c>
      <c r="D5323" s="68" t="s">
        <v>285</v>
      </c>
      <c r="E5323" s="10" t="str">
        <f>TRIM(VLOOKUP(D5323,TB!$B$9:$C$1500,2,FALSE))</f>
        <v>Misc Cash Purchase</v>
      </c>
      <c r="F5323" s="142" t="s">
        <v>3135</v>
      </c>
      <c r="G5323" s="130"/>
      <c r="H5323" s="10"/>
      <c r="I5323" s="10">
        <v>4580000</v>
      </c>
      <c r="J5323" s="79" t="e">
        <f t="shared" si="341"/>
        <v>#VALUE!</v>
      </c>
      <c r="K5323" s="106"/>
      <c r="L5323" s="107"/>
      <c r="M5323" s="106"/>
      <c r="N5323" s="106"/>
      <c r="O5323" s="108"/>
      <c r="P5323" s="108"/>
      <c r="Q5323" s="108"/>
      <c r="R5323" s="109"/>
      <c r="S5323" s="109"/>
      <c r="T5323" s="108"/>
      <c r="U5323" s="110"/>
      <c r="V5323" s="110"/>
      <c r="W5323" s="110"/>
      <c r="X5323" s="110"/>
    </row>
    <row r="5324" spans="1:24" ht="14.25" customHeight="1">
      <c r="A5324" s="110"/>
      <c r="B5324" s="125"/>
      <c r="C5324" s="126"/>
      <c r="D5324" s="159"/>
      <c r="E5324" s="10" t="e">
        <f>TRIM(VLOOKUP(D5324,TB!$B$9:$C$1500,2,FALSE))</f>
        <v>#N/A</v>
      </c>
      <c r="F5324" s="142"/>
      <c r="G5324" s="130"/>
      <c r="H5324" s="10"/>
      <c r="I5324" s="10"/>
      <c r="J5324" s="79" t="e">
        <f t="shared" si="341"/>
        <v>#VALUE!</v>
      </c>
      <c r="K5324" s="106"/>
      <c r="L5324" s="107"/>
      <c r="M5324" s="106"/>
      <c r="N5324" s="106"/>
      <c r="O5324" s="108"/>
      <c r="P5324" s="108"/>
      <c r="Q5324" s="108"/>
      <c r="R5324" s="109"/>
      <c r="S5324" s="109"/>
      <c r="T5324" s="108"/>
      <c r="U5324" s="110"/>
      <c r="V5324" s="110"/>
      <c r="W5324" s="110"/>
      <c r="X5324" s="110"/>
    </row>
    <row r="5325" spans="1:24" ht="14.25" customHeight="1">
      <c r="A5325" s="110"/>
      <c r="B5325" s="125">
        <v>46174</v>
      </c>
      <c r="C5325" s="126" t="s">
        <v>3136</v>
      </c>
      <c r="D5325" s="15" t="s">
        <v>659</v>
      </c>
      <c r="E5325" s="10" t="str">
        <f>TRIM(VLOOKUP(D5325,TB!$B$9:$C$1500,2,FALSE))</f>
        <v>COS - Entertainment</v>
      </c>
      <c r="F5325" s="142" t="s">
        <v>1040</v>
      </c>
      <c r="G5325" s="130"/>
      <c r="H5325" s="10">
        <v>2000000</v>
      </c>
      <c r="I5325" s="10"/>
      <c r="J5325" s="79" t="e">
        <f t="shared" si="341"/>
        <v>#VALUE!</v>
      </c>
      <c r="K5325" s="106"/>
      <c r="L5325" s="107"/>
      <c r="M5325" s="106"/>
      <c r="N5325" s="106"/>
      <c r="O5325" s="108"/>
      <c r="P5325" s="108"/>
      <c r="Q5325" s="108"/>
      <c r="R5325" s="109"/>
      <c r="S5325" s="109"/>
      <c r="T5325" s="108"/>
      <c r="U5325" s="110"/>
      <c r="V5325" s="110"/>
      <c r="W5325" s="110"/>
      <c r="X5325" s="110"/>
    </row>
    <row r="5326" spans="1:24" ht="14.25" customHeight="1">
      <c r="A5326" s="110"/>
      <c r="B5326" s="125">
        <v>46174</v>
      </c>
      <c r="C5326" s="126" t="s">
        <v>3136</v>
      </c>
      <c r="D5326" s="68" t="s">
        <v>63</v>
      </c>
      <c r="E5326" s="10" t="str">
        <f>TRIM(VLOOKUP(D5326,TB!$B$9:$C$1500,2,FALSE))</f>
        <v>City Ledger</v>
      </c>
      <c r="F5326" s="142" t="s">
        <v>1040</v>
      </c>
      <c r="G5326" s="130"/>
      <c r="H5326" s="10"/>
      <c r="I5326" s="10">
        <v>197736</v>
      </c>
      <c r="J5326" s="79" t="e">
        <f t="shared" si="341"/>
        <v>#VALUE!</v>
      </c>
      <c r="K5326" s="106"/>
      <c r="L5326" s="107"/>
      <c r="M5326" s="106"/>
      <c r="N5326" s="106"/>
      <c r="O5326" s="108"/>
      <c r="P5326" s="108"/>
      <c r="Q5326" s="108"/>
      <c r="R5326" s="109"/>
      <c r="S5326" s="109"/>
      <c r="T5326" s="108"/>
      <c r="U5326" s="110"/>
      <c r="V5326" s="110"/>
      <c r="W5326" s="110"/>
      <c r="X5326" s="110"/>
    </row>
    <row r="5327" spans="1:24" ht="14.25" customHeight="1">
      <c r="A5327" s="110"/>
      <c r="B5327" s="125">
        <v>46174</v>
      </c>
      <c r="C5327" s="126" t="s">
        <v>3136</v>
      </c>
      <c r="D5327" s="68" t="s">
        <v>285</v>
      </c>
      <c r="E5327" s="10" t="str">
        <f>TRIM(VLOOKUP(D5327,TB!$B$9:$C$1500,2,FALSE))</f>
        <v>Misc Cash Purchase</v>
      </c>
      <c r="F5327" s="142" t="s">
        <v>1040</v>
      </c>
      <c r="G5327" s="130"/>
      <c r="H5327" s="10"/>
      <c r="I5327" s="10">
        <v>1802264</v>
      </c>
      <c r="J5327" s="79" t="e">
        <f t="shared" si="341"/>
        <v>#VALUE!</v>
      </c>
      <c r="K5327" s="106"/>
      <c r="L5327" s="107"/>
      <c r="M5327" s="106"/>
      <c r="N5327" s="106"/>
      <c r="O5327" s="108"/>
      <c r="P5327" s="108"/>
      <c r="Q5327" s="108"/>
      <c r="R5327" s="109"/>
      <c r="S5327" s="109"/>
      <c r="T5327" s="108"/>
      <c r="U5327" s="110"/>
      <c r="V5327" s="110"/>
      <c r="W5327" s="110"/>
      <c r="X5327" s="110"/>
    </row>
    <row r="5328" spans="1:24" ht="14.25" customHeight="1">
      <c r="A5328" s="110"/>
      <c r="B5328" s="125"/>
      <c r="C5328" s="126"/>
      <c r="D5328" s="159"/>
      <c r="E5328" s="10" t="e">
        <f>TRIM(VLOOKUP(D5328,TB!$B$9:$C$1500,2,FALSE))</f>
        <v>#N/A</v>
      </c>
      <c r="F5328" s="142"/>
      <c r="G5328" s="130"/>
      <c r="H5328" s="10"/>
      <c r="I5328" s="10"/>
      <c r="J5328" s="79" t="e">
        <f t="shared" si="341"/>
        <v>#VALUE!</v>
      </c>
      <c r="K5328" s="106"/>
      <c r="L5328" s="107"/>
      <c r="M5328" s="106"/>
      <c r="N5328" s="106"/>
      <c r="O5328" s="108"/>
      <c r="P5328" s="108"/>
      <c r="Q5328" s="108"/>
      <c r="R5328" s="109"/>
      <c r="S5328" s="109"/>
      <c r="T5328" s="108"/>
      <c r="U5328" s="110"/>
      <c r="V5328" s="110"/>
      <c r="W5328" s="110"/>
      <c r="X5328" s="110"/>
    </row>
    <row r="5329" spans="1:24" ht="14.25" customHeight="1">
      <c r="A5329" s="110"/>
      <c r="B5329" s="125">
        <v>46174</v>
      </c>
      <c r="C5329" s="126" t="s">
        <v>3137</v>
      </c>
      <c r="D5329" s="15" t="s">
        <v>659</v>
      </c>
      <c r="E5329" s="10" t="str">
        <f>TRIM(VLOOKUP(D5329,TB!$B$9:$C$1500,2,FALSE))</f>
        <v>COS - Entertainment</v>
      </c>
      <c r="F5329" s="142" t="s">
        <v>1042</v>
      </c>
      <c r="G5329" s="130"/>
      <c r="H5329" s="10">
        <v>2000000</v>
      </c>
      <c r="I5329" s="10"/>
      <c r="J5329" s="79" t="e">
        <f t="shared" si="341"/>
        <v>#VALUE!</v>
      </c>
      <c r="K5329" s="106"/>
      <c r="L5329" s="107"/>
      <c r="M5329" s="106"/>
      <c r="N5329" s="106"/>
      <c r="O5329" s="108"/>
      <c r="P5329" s="108"/>
      <c r="Q5329" s="108"/>
      <c r="R5329" s="109"/>
      <c r="S5329" s="109"/>
      <c r="T5329" s="108"/>
      <c r="U5329" s="110"/>
      <c r="V5329" s="110"/>
      <c r="W5329" s="110"/>
      <c r="X5329" s="110"/>
    </row>
    <row r="5330" spans="1:24" ht="14.25" customHeight="1">
      <c r="A5330" s="110"/>
      <c r="B5330" s="125">
        <v>46174</v>
      </c>
      <c r="C5330" s="126" t="s">
        <v>3137</v>
      </c>
      <c r="D5330" s="68" t="s">
        <v>63</v>
      </c>
      <c r="E5330" s="10" t="str">
        <f>TRIM(VLOOKUP(D5330,TB!$B$9:$C$1500,2,FALSE))</f>
        <v>City Ledger</v>
      </c>
      <c r="F5330" s="142" t="s">
        <v>1042</v>
      </c>
      <c r="G5330" s="130"/>
      <c r="H5330" s="10"/>
      <c r="I5330" s="10">
        <v>720324</v>
      </c>
      <c r="J5330" s="79" t="e">
        <f t="shared" si="341"/>
        <v>#VALUE!</v>
      </c>
      <c r="K5330" s="106"/>
      <c r="L5330" s="107"/>
      <c r="M5330" s="106"/>
      <c r="N5330" s="106"/>
      <c r="O5330" s="108"/>
      <c r="P5330" s="108"/>
      <c r="Q5330" s="108"/>
      <c r="R5330" s="109"/>
      <c r="S5330" s="109"/>
      <c r="T5330" s="108"/>
      <c r="U5330" s="110"/>
      <c r="V5330" s="110"/>
      <c r="W5330" s="110"/>
      <c r="X5330" s="110"/>
    </row>
    <row r="5331" spans="1:24" ht="14.25" customHeight="1">
      <c r="A5331" s="110"/>
      <c r="B5331" s="125">
        <v>46174</v>
      </c>
      <c r="C5331" s="126" t="s">
        <v>3137</v>
      </c>
      <c r="D5331" s="68" t="s">
        <v>285</v>
      </c>
      <c r="E5331" s="10" t="str">
        <f>TRIM(VLOOKUP(D5331,TB!$B$9:$C$1500,2,FALSE))</f>
        <v>Misc Cash Purchase</v>
      </c>
      <c r="F5331" s="142" t="s">
        <v>1042</v>
      </c>
      <c r="G5331" s="130"/>
      <c r="H5331" s="10"/>
      <c r="I5331" s="10">
        <v>1279676</v>
      </c>
      <c r="J5331" s="79" t="e">
        <f t="shared" si="341"/>
        <v>#VALUE!</v>
      </c>
      <c r="K5331" s="106"/>
      <c r="L5331" s="107"/>
      <c r="M5331" s="106"/>
      <c r="N5331" s="106"/>
      <c r="O5331" s="108"/>
      <c r="P5331" s="108"/>
      <c r="Q5331" s="108"/>
      <c r="R5331" s="109"/>
      <c r="S5331" s="109"/>
      <c r="T5331" s="108"/>
      <c r="U5331" s="110"/>
      <c r="V5331" s="110"/>
      <c r="W5331" s="110"/>
      <c r="X5331" s="110"/>
    </row>
    <row r="5332" spans="1:24" ht="14.25" customHeight="1">
      <c r="A5332" s="110"/>
      <c r="B5332" s="125"/>
      <c r="C5332" s="126"/>
      <c r="D5332" s="159"/>
      <c r="E5332" s="10" t="e">
        <f>TRIM(VLOOKUP(D5332,TB!$B$9:$C$1500,2,FALSE))</f>
        <v>#N/A</v>
      </c>
      <c r="F5332" s="142"/>
      <c r="G5332" s="130"/>
      <c r="H5332" s="10"/>
      <c r="I5332" s="10"/>
      <c r="J5332" s="79" t="e">
        <f t="shared" si="341"/>
        <v>#VALUE!</v>
      </c>
      <c r="K5332" s="106"/>
      <c r="L5332" s="107"/>
      <c r="M5332" s="106"/>
      <c r="N5332" s="106"/>
      <c r="O5332" s="108"/>
      <c r="P5332" s="108"/>
      <c r="Q5332" s="108"/>
      <c r="R5332" s="109"/>
      <c r="S5332" s="109"/>
      <c r="T5332" s="108"/>
      <c r="U5332" s="110"/>
      <c r="V5332" s="110"/>
      <c r="W5332" s="110"/>
      <c r="X5332" s="110"/>
    </row>
    <row r="5333" spans="1:24" ht="14.25" customHeight="1">
      <c r="A5333" s="110"/>
      <c r="B5333" s="125">
        <v>46174</v>
      </c>
      <c r="C5333" s="126" t="s">
        <v>3138</v>
      </c>
      <c r="D5333" s="15" t="s">
        <v>659</v>
      </c>
      <c r="E5333" s="10" t="str">
        <f>TRIM(VLOOKUP(D5333,TB!$B$9:$C$1500,2,FALSE))</f>
        <v>COS - Entertainment</v>
      </c>
      <c r="F5333" s="142" t="s">
        <v>1044</v>
      </c>
      <c r="G5333" s="130"/>
      <c r="H5333" s="10">
        <v>3000000</v>
      </c>
      <c r="I5333" s="10"/>
      <c r="J5333" s="79" t="e">
        <f t="shared" si="341"/>
        <v>#VALUE!</v>
      </c>
      <c r="K5333" s="106"/>
      <c r="L5333" s="107"/>
      <c r="M5333" s="106"/>
      <c r="N5333" s="106"/>
      <c r="O5333" s="108"/>
      <c r="P5333" s="108"/>
      <c r="Q5333" s="108"/>
      <c r="R5333" s="109"/>
      <c r="S5333" s="109"/>
      <c r="T5333" s="108"/>
      <c r="U5333" s="110"/>
      <c r="V5333" s="110"/>
      <c r="W5333" s="110"/>
      <c r="X5333" s="110"/>
    </row>
    <row r="5334" spans="1:24" ht="14.25" customHeight="1">
      <c r="A5334" s="110"/>
      <c r="B5334" s="125">
        <v>46174</v>
      </c>
      <c r="C5334" s="126" t="s">
        <v>3138</v>
      </c>
      <c r="D5334" s="68" t="s">
        <v>63</v>
      </c>
      <c r="E5334" s="10" t="str">
        <f>TRIM(VLOOKUP(D5334,TB!$B$9:$C$1500,2,FALSE))</f>
        <v>City Ledger</v>
      </c>
      <c r="F5334" s="142" t="s">
        <v>1044</v>
      </c>
      <c r="G5334" s="130"/>
      <c r="H5334" s="10"/>
      <c r="I5334" s="10">
        <v>94160</v>
      </c>
      <c r="J5334" s="79" t="e">
        <f t="shared" si="341"/>
        <v>#VALUE!</v>
      </c>
      <c r="K5334" s="106"/>
      <c r="L5334" s="107"/>
      <c r="M5334" s="106"/>
      <c r="N5334" s="106"/>
      <c r="O5334" s="108"/>
      <c r="P5334" s="108"/>
      <c r="Q5334" s="108"/>
      <c r="R5334" s="109"/>
      <c r="S5334" s="109"/>
      <c r="T5334" s="108"/>
      <c r="U5334" s="110"/>
      <c r="V5334" s="110"/>
      <c r="W5334" s="110"/>
      <c r="X5334" s="110"/>
    </row>
    <row r="5335" spans="1:24" ht="14.25" customHeight="1">
      <c r="A5335" s="110"/>
      <c r="B5335" s="125">
        <v>46174</v>
      </c>
      <c r="C5335" s="126" t="s">
        <v>3138</v>
      </c>
      <c r="D5335" s="68" t="s">
        <v>285</v>
      </c>
      <c r="E5335" s="10" t="str">
        <f>TRIM(VLOOKUP(D5335,TB!$B$9:$C$1500,2,FALSE))</f>
        <v>Misc Cash Purchase</v>
      </c>
      <c r="F5335" s="142" t="s">
        <v>1044</v>
      </c>
      <c r="G5335" s="130"/>
      <c r="H5335" s="10"/>
      <c r="I5335" s="10">
        <v>2905840</v>
      </c>
      <c r="J5335" s="79" t="e">
        <f t="shared" si="341"/>
        <v>#VALUE!</v>
      </c>
      <c r="K5335" s="106"/>
      <c r="L5335" s="107"/>
      <c r="M5335" s="106"/>
      <c r="N5335" s="106"/>
      <c r="O5335" s="108"/>
      <c r="P5335" s="108"/>
      <c r="Q5335" s="108"/>
      <c r="R5335" s="109"/>
      <c r="S5335" s="109"/>
      <c r="T5335" s="108"/>
      <c r="U5335" s="110"/>
      <c r="V5335" s="110"/>
      <c r="W5335" s="110"/>
      <c r="X5335" s="110"/>
    </row>
    <row r="5336" spans="1:24" ht="14.25" customHeight="1">
      <c r="A5336" s="110"/>
      <c r="B5336" s="125"/>
      <c r="C5336" s="126"/>
      <c r="D5336" s="159"/>
      <c r="E5336" s="10" t="e">
        <f>TRIM(VLOOKUP(D5336,TB!$B$9:$C$1500,2,FALSE))</f>
        <v>#N/A</v>
      </c>
      <c r="F5336" s="142"/>
      <c r="G5336" s="130"/>
      <c r="H5336" s="10"/>
      <c r="I5336" s="10"/>
      <c r="J5336" s="79" t="e">
        <f t="shared" si="341"/>
        <v>#VALUE!</v>
      </c>
      <c r="K5336" s="106"/>
      <c r="L5336" s="107"/>
      <c r="M5336" s="106"/>
      <c r="N5336" s="106"/>
      <c r="O5336" s="108"/>
      <c r="P5336" s="108"/>
      <c r="Q5336" s="108"/>
      <c r="R5336" s="109"/>
      <c r="S5336" s="109"/>
      <c r="T5336" s="108"/>
      <c r="U5336" s="110"/>
      <c r="V5336" s="110"/>
      <c r="W5336" s="110"/>
      <c r="X5336" s="110"/>
    </row>
    <row r="5337" spans="1:24" ht="14.25" customHeight="1">
      <c r="A5337" s="110"/>
      <c r="B5337" s="125">
        <v>46174</v>
      </c>
      <c r="C5337" s="126" t="s">
        <v>3139</v>
      </c>
      <c r="D5337" s="15" t="s">
        <v>3140</v>
      </c>
      <c r="E5337" s="10" t="str">
        <f>TRIM(VLOOKUP(D5337,TB!$B$9:$C$1500,2,FALSE))</f>
        <v>Pestcontrol</v>
      </c>
      <c r="F5337" s="142" t="s">
        <v>3141</v>
      </c>
      <c r="G5337" s="130"/>
      <c r="H5337" s="10">
        <v>1200000</v>
      </c>
      <c r="I5337" s="10"/>
      <c r="J5337" s="79" t="e">
        <f t="shared" si="341"/>
        <v>#VALUE!</v>
      </c>
      <c r="K5337" s="106"/>
      <c r="L5337" s="107"/>
      <c r="M5337" s="106"/>
      <c r="N5337" s="106"/>
      <c r="O5337" s="108"/>
      <c r="P5337" s="108"/>
      <c r="Q5337" s="108"/>
      <c r="R5337" s="109"/>
      <c r="S5337" s="109"/>
      <c r="T5337" s="108"/>
      <c r="U5337" s="110"/>
      <c r="V5337" s="110"/>
      <c r="W5337" s="110"/>
      <c r="X5337" s="110"/>
    </row>
    <row r="5338" spans="1:24" ht="14.25" customHeight="1">
      <c r="A5338" s="110"/>
      <c r="B5338" s="125">
        <v>46174</v>
      </c>
      <c r="C5338" s="126" t="s">
        <v>3139</v>
      </c>
      <c r="D5338" s="68" t="s">
        <v>285</v>
      </c>
      <c r="E5338" s="10" t="str">
        <f>TRIM(VLOOKUP(D5338,TB!$B$9:$C$1500,2,FALSE))</f>
        <v>Misc Cash Purchase</v>
      </c>
      <c r="F5338" s="142" t="s">
        <v>3141</v>
      </c>
      <c r="G5338" s="130"/>
      <c r="H5338" s="10"/>
      <c r="I5338" s="10">
        <v>1200000</v>
      </c>
      <c r="J5338" s="79" t="e">
        <f t="shared" si="341"/>
        <v>#VALUE!</v>
      </c>
      <c r="K5338" s="106"/>
      <c r="L5338" s="107"/>
      <c r="M5338" s="106"/>
      <c r="N5338" s="106"/>
      <c r="O5338" s="108"/>
      <c r="P5338" s="108"/>
      <c r="Q5338" s="108"/>
      <c r="R5338" s="109"/>
      <c r="S5338" s="109"/>
      <c r="T5338" s="108"/>
      <c r="U5338" s="110"/>
      <c r="V5338" s="110"/>
      <c r="W5338" s="110"/>
      <c r="X5338" s="110"/>
    </row>
    <row r="5339" spans="1:24" ht="14.25" customHeight="1">
      <c r="A5339" s="110"/>
      <c r="B5339" s="125"/>
      <c r="C5339" s="126"/>
      <c r="D5339" s="159"/>
      <c r="E5339" s="10" t="e">
        <f>TRIM(VLOOKUP(D5339,TB!$B$9:$C$1500,2,FALSE))</f>
        <v>#N/A</v>
      </c>
      <c r="F5339" s="142"/>
      <c r="G5339" s="130"/>
      <c r="H5339" s="10"/>
      <c r="I5339" s="10"/>
      <c r="J5339" s="79" t="e">
        <f t="shared" si="341"/>
        <v>#VALUE!</v>
      </c>
      <c r="K5339" s="106"/>
      <c r="L5339" s="107"/>
      <c r="M5339" s="106"/>
      <c r="N5339" s="106"/>
      <c r="O5339" s="108"/>
      <c r="P5339" s="108"/>
      <c r="Q5339" s="108"/>
      <c r="R5339" s="109"/>
      <c r="S5339" s="109"/>
      <c r="T5339" s="108"/>
      <c r="U5339" s="110"/>
      <c r="V5339" s="110"/>
      <c r="W5339" s="110"/>
      <c r="X5339" s="110"/>
    </row>
    <row r="5340" spans="1:24" ht="14.25" customHeight="1">
      <c r="A5340" s="110"/>
      <c r="B5340" s="125">
        <v>46174</v>
      </c>
      <c r="C5340" s="126" t="s">
        <v>3142</v>
      </c>
      <c r="D5340" s="15" t="s">
        <v>617</v>
      </c>
      <c r="E5340" s="10" t="str">
        <f>TRIM(VLOOKUP(D5340,TB!$B$9:$C$1500,2,FALSE))</f>
        <v>Cleaning Supplies &amp; Expenses</v>
      </c>
      <c r="F5340" s="142" t="s">
        <v>3143</v>
      </c>
      <c r="G5340" s="130"/>
      <c r="H5340" s="10">
        <v>10000000</v>
      </c>
      <c r="I5340" s="10"/>
      <c r="J5340" s="79" t="e">
        <f t="shared" si="341"/>
        <v>#VALUE!</v>
      </c>
      <c r="K5340" s="106"/>
      <c r="L5340" s="107"/>
      <c r="M5340" s="106"/>
      <c r="N5340" s="106"/>
      <c r="O5340" s="108"/>
      <c r="P5340" s="108"/>
      <c r="Q5340" s="108"/>
      <c r="R5340" s="109"/>
      <c r="S5340" s="109"/>
      <c r="T5340" s="108"/>
      <c r="U5340" s="110"/>
      <c r="V5340" s="110"/>
      <c r="W5340" s="110"/>
      <c r="X5340" s="110"/>
    </row>
    <row r="5341" spans="1:24" ht="14.25" customHeight="1">
      <c r="A5341" s="110"/>
      <c r="B5341" s="125">
        <v>46174</v>
      </c>
      <c r="C5341" s="126" t="s">
        <v>3142</v>
      </c>
      <c r="D5341" s="68" t="s">
        <v>285</v>
      </c>
      <c r="E5341" s="10" t="str">
        <f>TRIM(VLOOKUP(D5341,TB!$B$9:$C$1500,2,FALSE))</f>
        <v>Misc Cash Purchase</v>
      </c>
      <c r="F5341" s="142" t="s">
        <v>3143</v>
      </c>
      <c r="G5341" s="130"/>
      <c r="H5341" s="10"/>
      <c r="I5341" s="10">
        <v>10000000</v>
      </c>
      <c r="J5341" s="79" t="e">
        <f t="shared" si="341"/>
        <v>#VALUE!</v>
      </c>
      <c r="K5341" s="106"/>
      <c r="L5341" s="107"/>
      <c r="M5341" s="106"/>
      <c r="N5341" s="106"/>
      <c r="O5341" s="108"/>
      <c r="P5341" s="108"/>
      <c r="Q5341" s="108"/>
      <c r="R5341" s="109"/>
      <c r="S5341" s="109"/>
      <c r="T5341" s="108"/>
      <c r="U5341" s="110"/>
      <c r="V5341" s="110"/>
      <c r="W5341" s="110"/>
      <c r="X5341" s="110"/>
    </row>
    <row r="5342" spans="1:24" ht="14.25" customHeight="1">
      <c r="A5342" s="110"/>
      <c r="B5342" s="125"/>
      <c r="C5342" s="126"/>
      <c r="D5342" s="159"/>
      <c r="E5342" s="10" t="e">
        <f>TRIM(VLOOKUP(D5342,TB!$B$9:$C$1500,2,FALSE))</f>
        <v>#N/A</v>
      </c>
      <c r="F5342" s="142"/>
      <c r="G5342" s="130"/>
      <c r="H5342" s="10"/>
      <c r="I5342" s="10"/>
      <c r="J5342" s="79" t="e">
        <f t="shared" si="341"/>
        <v>#VALUE!</v>
      </c>
      <c r="K5342" s="106"/>
      <c r="L5342" s="107"/>
      <c r="M5342" s="106"/>
      <c r="N5342" s="106"/>
      <c r="O5342" s="108"/>
      <c r="P5342" s="108"/>
      <c r="Q5342" s="108"/>
      <c r="R5342" s="109"/>
      <c r="S5342" s="109"/>
      <c r="T5342" s="108"/>
      <c r="U5342" s="110"/>
      <c r="V5342" s="110"/>
      <c r="W5342" s="110"/>
      <c r="X5342" s="110"/>
    </row>
    <row r="5343" spans="1:24" ht="14.25" customHeight="1">
      <c r="A5343" s="110"/>
      <c r="B5343" s="125">
        <v>46203</v>
      </c>
      <c r="C5343" s="126" t="s">
        <v>3144</v>
      </c>
      <c r="D5343" s="15" t="s">
        <v>659</v>
      </c>
      <c r="E5343" s="10" t="str">
        <f>TRIM(VLOOKUP(D5343,TB!$B$9:$C$1500,2,FALSE))</f>
        <v>COS - Entertainment</v>
      </c>
      <c r="F5343" s="142" t="s">
        <v>3145</v>
      </c>
      <c r="G5343" s="130"/>
      <c r="H5343" s="10">
        <v>3702500</v>
      </c>
      <c r="I5343" s="10"/>
      <c r="J5343" s="79" t="e">
        <f t="shared" si="341"/>
        <v>#VALUE!</v>
      </c>
      <c r="K5343" s="106"/>
      <c r="L5343" s="107"/>
      <c r="M5343" s="106"/>
      <c r="N5343" s="106"/>
      <c r="O5343" s="108"/>
      <c r="P5343" s="108"/>
      <c r="Q5343" s="108"/>
      <c r="R5343" s="109"/>
      <c r="S5343" s="109"/>
      <c r="T5343" s="108"/>
      <c r="U5343" s="110"/>
      <c r="V5343" s="110"/>
      <c r="W5343" s="110"/>
      <c r="X5343" s="110"/>
    </row>
    <row r="5344" spans="1:24" ht="14.25" customHeight="1">
      <c r="A5344" s="110"/>
      <c r="B5344" s="125">
        <v>46203</v>
      </c>
      <c r="C5344" s="126" t="s">
        <v>3146</v>
      </c>
      <c r="D5344" s="15" t="s">
        <v>659</v>
      </c>
      <c r="E5344" s="10" t="str">
        <f>TRIM(VLOOKUP(D5344,TB!$B$9:$C$1500,2,FALSE))</f>
        <v>COS - Entertainment</v>
      </c>
      <c r="F5344" s="142" t="s">
        <v>3147</v>
      </c>
      <c r="G5344" s="130"/>
      <c r="H5344" s="10">
        <v>3617800</v>
      </c>
      <c r="I5344" s="10"/>
      <c r="J5344" s="79" t="e">
        <f t="shared" si="341"/>
        <v>#VALUE!</v>
      </c>
      <c r="K5344" s="106"/>
      <c r="L5344" s="107"/>
      <c r="M5344" s="106"/>
      <c r="N5344" s="106"/>
      <c r="O5344" s="108"/>
      <c r="P5344" s="108"/>
      <c r="Q5344" s="108"/>
      <c r="R5344" s="109"/>
      <c r="S5344" s="109"/>
      <c r="T5344" s="108"/>
      <c r="U5344" s="110"/>
      <c r="V5344" s="110"/>
      <c r="W5344" s="110"/>
      <c r="X5344" s="110"/>
    </row>
    <row r="5345" spans="1:24" ht="14.25" customHeight="1">
      <c r="A5345" s="110"/>
      <c r="B5345" s="125">
        <v>46203</v>
      </c>
      <c r="C5345" s="126" t="s">
        <v>3144</v>
      </c>
      <c r="D5345" s="68" t="s">
        <v>285</v>
      </c>
      <c r="E5345" s="10" t="str">
        <f>TRIM(VLOOKUP(D5345,TB!$B$9:$C$1500,2,FALSE))</f>
        <v>Misc Cash Purchase</v>
      </c>
      <c r="F5345" s="142" t="s">
        <v>3145</v>
      </c>
      <c r="G5345" s="130"/>
      <c r="H5345" s="10"/>
      <c r="I5345" s="10">
        <v>3702500</v>
      </c>
      <c r="J5345" s="79" t="e">
        <f t="shared" si="341"/>
        <v>#VALUE!</v>
      </c>
      <c r="K5345" s="106"/>
      <c r="L5345" s="107"/>
      <c r="M5345" s="106"/>
      <c r="N5345" s="106"/>
      <c r="O5345" s="108"/>
      <c r="P5345" s="108"/>
      <c r="Q5345" s="108"/>
      <c r="R5345" s="109"/>
      <c r="S5345" s="109"/>
      <c r="T5345" s="108"/>
      <c r="U5345" s="110"/>
      <c r="V5345" s="110"/>
      <c r="W5345" s="110"/>
      <c r="X5345" s="110"/>
    </row>
    <row r="5346" spans="1:24" ht="14.25" customHeight="1">
      <c r="A5346" s="110"/>
      <c r="B5346" s="125">
        <v>46203</v>
      </c>
      <c r="C5346" s="126" t="s">
        <v>3146</v>
      </c>
      <c r="D5346" s="68" t="s">
        <v>285</v>
      </c>
      <c r="E5346" s="10" t="str">
        <f>TRIM(VLOOKUP(D5346,TB!$B$9:$C$1500,2,FALSE))</f>
        <v>Misc Cash Purchase</v>
      </c>
      <c r="F5346" s="142" t="s">
        <v>3147</v>
      </c>
      <c r="G5346" s="130"/>
      <c r="H5346" s="10"/>
      <c r="I5346" s="10">
        <v>3617800</v>
      </c>
      <c r="J5346" s="79" t="e">
        <f t="shared" si="341"/>
        <v>#VALUE!</v>
      </c>
      <c r="K5346" s="106"/>
      <c r="L5346" s="107"/>
      <c r="M5346" s="106"/>
      <c r="N5346" s="106"/>
      <c r="O5346" s="108"/>
      <c r="P5346" s="108"/>
      <c r="Q5346" s="108"/>
      <c r="R5346" s="109"/>
      <c r="S5346" s="109"/>
      <c r="T5346" s="108"/>
      <c r="U5346" s="110"/>
      <c r="V5346" s="110"/>
      <c r="W5346" s="110"/>
      <c r="X5346" s="110"/>
    </row>
    <row r="5347" spans="1:24" ht="14.25" customHeight="1">
      <c r="A5347" s="110"/>
      <c r="B5347" s="125"/>
      <c r="C5347" s="126"/>
      <c r="D5347" s="159"/>
      <c r="E5347" s="10" t="e">
        <f>TRIM(VLOOKUP(D5347,TB!$B$9:$C$1500,2,FALSE))</f>
        <v>#N/A</v>
      </c>
      <c r="F5347" s="142"/>
      <c r="G5347" s="130"/>
      <c r="H5347" s="10"/>
      <c r="I5347" s="10"/>
      <c r="J5347" s="79" t="e">
        <f t="shared" si="341"/>
        <v>#VALUE!</v>
      </c>
      <c r="K5347" s="106"/>
      <c r="L5347" s="107"/>
      <c r="M5347" s="106"/>
      <c r="N5347" s="106"/>
      <c r="O5347" s="108"/>
      <c r="P5347" s="108"/>
      <c r="Q5347" s="108"/>
      <c r="R5347" s="109"/>
      <c r="S5347" s="109"/>
      <c r="T5347" s="108"/>
      <c r="U5347" s="110"/>
      <c r="V5347" s="110"/>
      <c r="W5347" s="110"/>
      <c r="X5347" s="110"/>
    </row>
    <row r="5348" spans="1:24" ht="14.25" customHeight="1">
      <c r="A5348" s="110"/>
      <c r="B5348" s="125">
        <v>46203</v>
      </c>
      <c r="C5348" s="126" t="s">
        <v>3148</v>
      </c>
      <c r="D5348" s="15" t="s">
        <v>3149</v>
      </c>
      <c r="E5348" s="10" t="str">
        <f>TRIM(VLOOKUP(D5348,TB!$B$9:$C$1500,2,FALSE))</f>
        <v>COS - Promotor Fees Internal</v>
      </c>
      <c r="F5348" s="142" t="s">
        <v>1145</v>
      </c>
      <c r="G5348" s="130"/>
      <c r="H5348" s="10">
        <v>300000</v>
      </c>
      <c r="I5348" s="10"/>
      <c r="J5348" s="79" t="e">
        <f t="shared" si="341"/>
        <v>#VALUE!</v>
      </c>
      <c r="K5348" s="106"/>
      <c r="L5348" s="107"/>
      <c r="M5348" s="106"/>
      <c r="N5348" s="106"/>
      <c r="O5348" s="108"/>
      <c r="P5348" s="108"/>
      <c r="Q5348" s="108"/>
      <c r="R5348" s="109"/>
      <c r="S5348" s="109"/>
      <c r="T5348" s="108"/>
      <c r="U5348" s="110"/>
      <c r="V5348" s="110"/>
      <c r="W5348" s="110"/>
      <c r="X5348" s="110"/>
    </row>
    <row r="5349" spans="1:24" ht="14.25" customHeight="1">
      <c r="A5349" s="110"/>
      <c r="B5349" s="125">
        <v>46203</v>
      </c>
      <c r="C5349" s="126" t="s">
        <v>3150</v>
      </c>
      <c r="D5349" s="15" t="s">
        <v>3149</v>
      </c>
      <c r="E5349" s="10" t="str">
        <f>TRIM(VLOOKUP(D5349,TB!$B$9:$C$1500,2,FALSE))</f>
        <v>COS - Promotor Fees Internal</v>
      </c>
      <c r="F5349" s="142" t="s">
        <v>1694</v>
      </c>
      <c r="G5349" s="130"/>
      <c r="H5349" s="10">
        <v>600000</v>
      </c>
      <c r="I5349" s="10"/>
      <c r="J5349" s="79" t="e">
        <f t="shared" si="341"/>
        <v>#VALUE!</v>
      </c>
      <c r="K5349" s="106"/>
      <c r="L5349" s="107"/>
      <c r="M5349" s="106"/>
      <c r="N5349" s="106"/>
      <c r="O5349" s="108"/>
      <c r="P5349" s="108"/>
      <c r="Q5349" s="108"/>
      <c r="R5349" s="109"/>
      <c r="S5349" s="109"/>
      <c r="T5349" s="108"/>
      <c r="U5349" s="110"/>
      <c r="V5349" s="110"/>
      <c r="W5349" s="110"/>
      <c r="X5349" s="110"/>
    </row>
    <row r="5350" spans="1:24" ht="14.25" customHeight="1">
      <c r="A5350" s="110"/>
      <c r="B5350" s="125">
        <v>46203</v>
      </c>
      <c r="C5350" s="126" t="s">
        <v>3151</v>
      </c>
      <c r="D5350" s="15" t="s">
        <v>3149</v>
      </c>
      <c r="E5350" s="10" t="str">
        <f>TRIM(VLOOKUP(D5350,TB!$B$9:$C$1500,2,FALSE))</f>
        <v>COS - Promotor Fees Internal</v>
      </c>
      <c r="F5350" s="142" t="s">
        <v>1696</v>
      </c>
      <c r="G5350" s="130"/>
      <c r="H5350" s="10">
        <v>300000</v>
      </c>
      <c r="I5350" s="10"/>
      <c r="J5350" s="79" t="e">
        <f t="shared" si="341"/>
        <v>#VALUE!</v>
      </c>
      <c r="K5350" s="106"/>
      <c r="L5350" s="107"/>
      <c r="M5350" s="106"/>
      <c r="N5350" s="106"/>
      <c r="O5350" s="108"/>
      <c r="P5350" s="108"/>
      <c r="Q5350" s="108"/>
      <c r="R5350" s="109"/>
      <c r="S5350" s="109"/>
      <c r="T5350" s="108"/>
      <c r="U5350" s="110"/>
      <c r="V5350" s="110"/>
      <c r="W5350" s="110"/>
      <c r="X5350" s="110"/>
    </row>
    <row r="5351" spans="1:24" ht="14.25" customHeight="1">
      <c r="A5351" s="110"/>
      <c r="B5351" s="125">
        <v>46203</v>
      </c>
      <c r="C5351" s="126" t="s">
        <v>3152</v>
      </c>
      <c r="D5351" s="15" t="s">
        <v>3149</v>
      </c>
      <c r="E5351" s="10" t="str">
        <f>TRIM(VLOOKUP(D5351,TB!$B$9:$C$1500,2,FALSE))</f>
        <v>COS - Promotor Fees Internal</v>
      </c>
      <c r="F5351" s="142" t="s">
        <v>1698</v>
      </c>
      <c r="G5351" s="130"/>
      <c r="H5351" s="10">
        <v>140000</v>
      </c>
      <c r="I5351" s="10"/>
      <c r="J5351" s="79" t="e">
        <f t="shared" si="341"/>
        <v>#VALUE!</v>
      </c>
      <c r="K5351" s="106"/>
      <c r="L5351" s="107"/>
      <c r="M5351" s="106"/>
      <c r="N5351" s="106"/>
      <c r="O5351" s="108"/>
      <c r="P5351" s="108"/>
      <c r="Q5351" s="108"/>
      <c r="R5351" s="109"/>
      <c r="S5351" s="109"/>
      <c r="T5351" s="108"/>
      <c r="U5351" s="110"/>
      <c r="V5351" s="110"/>
      <c r="W5351" s="110"/>
      <c r="X5351" s="110"/>
    </row>
    <row r="5352" spans="1:24" ht="14.25" customHeight="1">
      <c r="A5352" s="110"/>
      <c r="B5352" s="125">
        <v>46203</v>
      </c>
      <c r="C5352" s="126" t="s">
        <v>3148</v>
      </c>
      <c r="D5352" s="68" t="s">
        <v>285</v>
      </c>
      <c r="E5352" s="10" t="str">
        <f>TRIM(VLOOKUP(D5352,TB!$B$9:$C$1500,2,FALSE))</f>
        <v>Misc Cash Purchase</v>
      </c>
      <c r="F5352" s="142" t="s">
        <v>1145</v>
      </c>
      <c r="G5352" s="130"/>
      <c r="H5352" s="10"/>
      <c r="I5352" s="10">
        <v>300000</v>
      </c>
      <c r="J5352" s="79" t="e">
        <f t="shared" si="341"/>
        <v>#VALUE!</v>
      </c>
      <c r="K5352" s="106"/>
      <c r="L5352" s="107"/>
      <c r="M5352" s="106"/>
      <c r="N5352" s="106"/>
      <c r="O5352" s="108"/>
      <c r="P5352" s="108"/>
      <c r="Q5352" s="108"/>
      <c r="R5352" s="109"/>
      <c r="S5352" s="109"/>
      <c r="T5352" s="108"/>
      <c r="U5352" s="110"/>
      <c r="V5352" s="110"/>
      <c r="W5352" s="110"/>
      <c r="X5352" s="110"/>
    </row>
    <row r="5353" spans="1:24" ht="14.25" customHeight="1">
      <c r="A5353" s="110"/>
      <c r="B5353" s="125">
        <v>46203</v>
      </c>
      <c r="C5353" s="126" t="s">
        <v>3150</v>
      </c>
      <c r="D5353" s="68" t="s">
        <v>285</v>
      </c>
      <c r="E5353" s="10" t="str">
        <f>TRIM(VLOOKUP(D5353,TB!$B$9:$C$1500,2,FALSE))</f>
        <v>Misc Cash Purchase</v>
      </c>
      <c r="F5353" s="142" t="s">
        <v>1694</v>
      </c>
      <c r="G5353" s="130"/>
      <c r="H5353" s="10"/>
      <c r="I5353" s="10">
        <v>600000</v>
      </c>
      <c r="J5353" s="79" t="e">
        <f t="shared" si="341"/>
        <v>#VALUE!</v>
      </c>
      <c r="K5353" s="106"/>
      <c r="L5353" s="107"/>
      <c r="M5353" s="106"/>
      <c r="N5353" s="106"/>
      <c r="O5353" s="108"/>
      <c r="P5353" s="108"/>
      <c r="Q5353" s="108"/>
      <c r="R5353" s="109"/>
      <c r="S5353" s="109"/>
      <c r="T5353" s="108"/>
      <c r="U5353" s="110"/>
      <c r="V5353" s="110"/>
      <c r="W5353" s="110"/>
      <c r="X5353" s="110"/>
    </row>
    <row r="5354" spans="1:24" ht="14.25" customHeight="1">
      <c r="A5354" s="110"/>
      <c r="B5354" s="125">
        <v>46203</v>
      </c>
      <c r="C5354" s="126" t="s">
        <v>3151</v>
      </c>
      <c r="D5354" s="68" t="s">
        <v>285</v>
      </c>
      <c r="E5354" s="10" t="str">
        <f>TRIM(VLOOKUP(D5354,TB!$B$9:$C$1500,2,FALSE))</f>
        <v>Misc Cash Purchase</v>
      </c>
      <c r="F5354" s="142" t="s">
        <v>1696</v>
      </c>
      <c r="G5354" s="130"/>
      <c r="H5354" s="10"/>
      <c r="I5354" s="10">
        <v>300000</v>
      </c>
      <c r="J5354" s="79" t="e">
        <f t="shared" si="341"/>
        <v>#VALUE!</v>
      </c>
      <c r="K5354" s="106"/>
      <c r="L5354" s="107"/>
      <c r="M5354" s="106"/>
      <c r="N5354" s="106"/>
      <c r="O5354" s="108"/>
      <c r="P5354" s="108"/>
      <c r="Q5354" s="108"/>
      <c r="R5354" s="109"/>
      <c r="S5354" s="109"/>
      <c r="T5354" s="108"/>
      <c r="U5354" s="110"/>
      <c r="V5354" s="110"/>
      <c r="W5354" s="110"/>
      <c r="X5354" s="110"/>
    </row>
    <row r="5355" spans="1:24" ht="14.25" customHeight="1">
      <c r="A5355" s="110"/>
      <c r="B5355" s="125">
        <v>46203</v>
      </c>
      <c r="C5355" s="126" t="s">
        <v>3152</v>
      </c>
      <c r="D5355" s="68" t="s">
        <v>285</v>
      </c>
      <c r="E5355" s="10" t="str">
        <f>TRIM(VLOOKUP(D5355,TB!$B$9:$C$1500,2,FALSE))</f>
        <v>Misc Cash Purchase</v>
      </c>
      <c r="F5355" s="142" t="s">
        <v>1698</v>
      </c>
      <c r="G5355" s="130"/>
      <c r="H5355" s="10"/>
      <c r="I5355" s="10">
        <v>140000</v>
      </c>
      <c r="J5355" s="79" t="e">
        <f t="shared" si="341"/>
        <v>#VALUE!</v>
      </c>
      <c r="K5355" s="106"/>
      <c r="L5355" s="107"/>
      <c r="M5355" s="106"/>
      <c r="N5355" s="106"/>
      <c r="O5355" s="108"/>
      <c r="P5355" s="108"/>
      <c r="Q5355" s="108"/>
      <c r="R5355" s="109"/>
      <c r="S5355" s="109"/>
      <c r="T5355" s="108"/>
      <c r="U5355" s="110"/>
      <c r="V5355" s="110"/>
      <c r="W5355" s="110"/>
      <c r="X5355" s="110"/>
    </row>
    <row r="5356" spans="1:24" ht="14.25" customHeight="1">
      <c r="A5356" s="110"/>
      <c r="B5356" s="125"/>
      <c r="C5356" s="126"/>
      <c r="D5356" s="159"/>
      <c r="E5356" s="10" t="e">
        <f>TRIM(VLOOKUP(D5356,TB!$B$9:$C$1500,2,FALSE))</f>
        <v>#N/A</v>
      </c>
      <c r="F5356" s="142"/>
      <c r="G5356" s="130"/>
      <c r="H5356" s="10"/>
      <c r="I5356" s="10"/>
      <c r="J5356" s="79" t="e">
        <f t="shared" si="341"/>
        <v>#VALUE!</v>
      </c>
      <c r="K5356" s="106"/>
      <c r="L5356" s="107"/>
      <c r="M5356" s="106"/>
      <c r="N5356" s="106"/>
      <c r="O5356" s="108"/>
      <c r="P5356" s="108"/>
      <c r="Q5356" s="108"/>
      <c r="R5356" s="109"/>
      <c r="S5356" s="109"/>
      <c r="T5356" s="108"/>
      <c r="U5356" s="110"/>
      <c r="V5356" s="110"/>
      <c r="W5356" s="110"/>
      <c r="X5356" s="110"/>
    </row>
    <row r="5357" spans="1:24" ht="14.25" customHeight="1">
      <c r="A5357" s="110"/>
      <c r="B5357" s="125">
        <v>46203</v>
      </c>
      <c r="C5357" s="126" t="s">
        <v>3153</v>
      </c>
      <c r="D5357" s="15" t="s">
        <v>3108</v>
      </c>
      <c r="E5357" s="10" t="str">
        <f>TRIM(VLOOKUP(D5357,TB!$B$9:$C$1500,2,FALSE))</f>
        <v>Promotional Costs</v>
      </c>
      <c r="F5357" s="142" t="s">
        <v>3154</v>
      </c>
      <c r="G5357" s="130"/>
      <c r="H5357" s="10">
        <v>617000</v>
      </c>
      <c r="I5357" s="10"/>
      <c r="J5357" s="79" t="e">
        <f t="shared" si="341"/>
        <v>#VALUE!</v>
      </c>
      <c r="K5357" s="106"/>
      <c r="L5357" s="107"/>
      <c r="M5357" s="106"/>
      <c r="N5357" s="106"/>
      <c r="O5357" s="108"/>
      <c r="P5357" s="108"/>
      <c r="Q5357" s="108"/>
      <c r="R5357" s="109"/>
      <c r="S5357" s="109"/>
      <c r="T5357" s="108"/>
      <c r="U5357" s="110"/>
      <c r="V5357" s="110"/>
      <c r="W5357" s="110"/>
      <c r="X5357" s="110"/>
    </row>
    <row r="5358" spans="1:24" ht="14.25" customHeight="1">
      <c r="A5358" s="110"/>
      <c r="B5358" s="125">
        <v>46203</v>
      </c>
      <c r="C5358" s="126" t="s">
        <v>3153</v>
      </c>
      <c r="D5358" s="68" t="s">
        <v>285</v>
      </c>
      <c r="E5358" s="10" t="str">
        <f>TRIM(VLOOKUP(D5358,TB!$B$9:$C$1500,2,FALSE))</f>
        <v>Misc Cash Purchase</v>
      </c>
      <c r="F5358" s="142" t="s">
        <v>3154</v>
      </c>
      <c r="G5358" s="130"/>
      <c r="H5358" s="10"/>
      <c r="I5358" s="10">
        <v>617000</v>
      </c>
      <c r="J5358" s="79" t="e">
        <f t="shared" si="341"/>
        <v>#VALUE!</v>
      </c>
      <c r="K5358" s="106"/>
      <c r="L5358" s="107"/>
      <c r="M5358" s="106"/>
      <c r="N5358" s="106"/>
      <c r="O5358" s="108"/>
      <c r="P5358" s="108"/>
      <c r="Q5358" s="108"/>
      <c r="R5358" s="109"/>
      <c r="S5358" s="109"/>
      <c r="T5358" s="108"/>
      <c r="U5358" s="110"/>
      <c r="V5358" s="110"/>
      <c r="W5358" s="110"/>
      <c r="X5358" s="110"/>
    </row>
    <row r="5359" spans="1:24" ht="14.25" customHeight="1">
      <c r="A5359" s="110"/>
      <c r="B5359" s="125"/>
      <c r="C5359" s="126"/>
      <c r="D5359" s="159"/>
      <c r="E5359" s="10" t="e">
        <f>TRIM(VLOOKUP(D5359,TB!$B$9:$C$1500,2,FALSE))</f>
        <v>#N/A</v>
      </c>
      <c r="F5359" s="142"/>
      <c r="G5359" s="130"/>
      <c r="H5359" s="10"/>
      <c r="I5359" s="10"/>
      <c r="J5359" s="79" t="e">
        <f t="shared" si="341"/>
        <v>#VALUE!</v>
      </c>
      <c r="K5359" s="106"/>
      <c r="L5359" s="107"/>
      <c r="M5359" s="106"/>
      <c r="N5359" s="106"/>
      <c r="O5359" s="108"/>
      <c r="P5359" s="108"/>
      <c r="Q5359" s="108"/>
      <c r="R5359" s="109"/>
      <c r="S5359" s="109"/>
      <c r="T5359" s="108"/>
      <c r="U5359" s="110"/>
      <c r="V5359" s="110"/>
      <c r="W5359" s="110"/>
      <c r="X5359" s="110"/>
    </row>
    <row r="5360" spans="1:24" ht="14.25" customHeight="1">
      <c r="A5360" s="110"/>
      <c r="B5360" s="125">
        <v>46203</v>
      </c>
      <c r="C5360" s="126" t="s">
        <v>3155</v>
      </c>
      <c r="D5360" s="159" t="s">
        <v>3156</v>
      </c>
      <c r="E5360" s="10" t="str">
        <f>TRIM(VLOOKUP(D5360,TB!$B$9:$C$1500,2,FALSE))</f>
        <v>Equipment</v>
      </c>
      <c r="F5360" s="198" t="s">
        <v>3157</v>
      </c>
      <c r="G5360" s="130"/>
      <c r="H5360" s="10">
        <v>1049200</v>
      </c>
      <c r="I5360" s="10"/>
      <c r="J5360" s="79" t="e">
        <f t="shared" si="341"/>
        <v>#VALUE!</v>
      </c>
      <c r="K5360" s="106"/>
      <c r="L5360" s="107"/>
      <c r="M5360" s="106"/>
      <c r="N5360" s="106"/>
      <c r="O5360" s="108"/>
      <c r="P5360" s="108"/>
      <c r="Q5360" s="108"/>
      <c r="R5360" s="109"/>
      <c r="S5360" s="109"/>
      <c r="T5360" s="108"/>
      <c r="U5360" s="110"/>
      <c r="V5360" s="110"/>
      <c r="W5360" s="110"/>
      <c r="X5360" s="110"/>
    </row>
    <row r="5361" spans="1:24" ht="14.25" customHeight="1">
      <c r="A5361" s="110"/>
      <c r="B5361" s="125">
        <v>46203</v>
      </c>
      <c r="C5361" s="126" t="s">
        <v>3155</v>
      </c>
      <c r="D5361" s="15" t="s">
        <v>933</v>
      </c>
      <c r="E5361" s="10" t="str">
        <f>TRIM(VLOOKUP(D5361,TB!$B$9:$C$1500,2,FALSE))</f>
        <v>Other</v>
      </c>
      <c r="F5361" s="198" t="s">
        <v>3158</v>
      </c>
      <c r="G5361" s="130"/>
      <c r="H5361" s="10">
        <v>266000</v>
      </c>
      <c r="I5361" s="10"/>
      <c r="J5361" s="79" t="e">
        <f t="shared" si="341"/>
        <v>#VALUE!</v>
      </c>
      <c r="K5361" s="106"/>
      <c r="L5361" s="107"/>
      <c r="M5361" s="106"/>
      <c r="N5361" s="106"/>
      <c r="O5361" s="108"/>
      <c r="P5361" s="108"/>
      <c r="Q5361" s="108"/>
      <c r="R5361" s="109"/>
      <c r="S5361" s="109"/>
      <c r="T5361" s="108"/>
      <c r="U5361" s="110"/>
      <c r="V5361" s="110"/>
      <c r="W5361" s="110"/>
      <c r="X5361" s="110"/>
    </row>
    <row r="5362" spans="1:24" ht="14.25" customHeight="1">
      <c r="A5362" s="110"/>
      <c r="B5362" s="125">
        <v>46203</v>
      </c>
      <c r="C5362" s="126" t="s">
        <v>3155</v>
      </c>
      <c r="D5362" s="15" t="s">
        <v>3108</v>
      </c>
      <c r="E5362" s="10" t="str">
        <f>TRIM(VLOOKUP(D5362,TB!$B$9:$C$1500,2,FALSE))</f>
        <v>Promotional Costs</v>
      </c>
      <c r="F5362" s="198" t="s">
        <v>3159</v>
      </c>
      <c r="G5362" s="130"/>
      <c r="H5362" s="10">
        <v>303600</v>
      </c>
      <c r="I5362" s="10"/>
      <c r="J5362" s="79" t="e">
        <f t="shared" si="341"/>
        <v>#VALUE!</v>
      </c>
      <c r="K5362" s="106"/>
      <c r="L5362" s="107"/>
      <c r="M5362" s="106"/>
      <c r="N5362" s="106"/>
      <c r="O5362" s="108"/>
      <c r="P5362" s="108"/>
      <c r="Q5362" s="108"/>
      <c r="R5362" s="109"/>
      <c r="S5362" s="109"/>
      <c r="T5362" s="108"/>
      <c r="U5362" s="110"/>
      <c r="V5362" s="110"/>
      <c r="W5362" s="110"/>
      <c r="X5362" s="110"/>
    </row>
    <row r="5363" spans="1:24" ht="14.25" customHeight="1">
      <c r="A5363" s="110"/>
      <c r="B5363" s="125">
        <v>46203</v>
      </c>
      <c r="C5363" s="126" t="s">
        <v>3155</v>
      </c>
      <c r="D5363" s="15" t="s">
        <v>933</v>
      </c>
      <c r="E5363" s="10" t="str">
        <f>TRIM(VLOOKUP(D5363,TB!$B$9:$C$1500,2,FALSE))</f>
        <v>Other</v>
      </c>
      <c r="F5363" s="198" t="s">
        <v>3160</v>
      </c>
      <c r="G5363" s="130"/>
      <c r="H5363" s="10">
        <v>485220</v>
      </c>
      <c r="I5363" s="10"/>
      <c r="J5363" s="79" t="e">
        <f t="shared" si="341"/>
        <v>#VALUE!</v>
      </c>
      <c r="K5363" s="106"/>
      <c r="L5363" s="107"/>
      <c r="M5363" s="106"/>
      <c r="N5363" s="106"/>
      <c r="O5363" s="108"/>
      <c r="P5363" s="108"/>
      <c r="Q5363" s="108"/>
      <c r="R5363" s="109"/>
      <c r="S5363" s="109"/>
      <c r="T5363" s="108"/>
      <c r="U5363" s="110"/>
      <c r="V5363" s="110"/>
      <c r="W5363" s="110"/>
      <c r="X5363" s="110"/>
    </row>
    <row r="5364" spans="1:24" ht="14.25" customHeight="1">
      <c r="A5364" s="110"/>
      <c r="B5364" s="125">
        <v>46203</v>
      </c>
      <c r="C5364" s="126" t="s">
        <v>3155</v>
      </c>
      <c r="D5364" s="15" t="s">
        <v>3161</v>
      </c>
      <c r="E5364" s="10" t="str">
        <f>TRIM(VLOOKUP(D5364,TB!$B$9:$C$1500,2,FALSE))</f>
        <v>Decorations &amp; Florist</v>
      </c>
      <c r="F5364" s="198" t="s">
        <v>3162</v>
      </c>
      <c r="G5364" s="130"/>
      <c r="H5364" s="10">
        <v>245100</v>
      </c>
      <c r="I5364" s="10"/>
      <c r="J5364" s="79" t="e">
        <f t="shared" si="341"/>
        <v>#VALUE!</v>
      </c>
      <c r="K5364" s="106"/>
      <c r="L5364" s="107"/>
      <c r="M5364" s="106"/>
      <c r="N5364" s="106"/>
      <c r="O5364" s="108"/>
      <c r="P5364" s="108"/>
      <c r="Q5364" s="108"/>
      <c r="R5364" s="109"/>
      <c r="S5364" s="109"/>
      <c r="T5364" s="108"/>
      <c r="U5364" s="110"/>
      <c r="V5364" s="110"/>
      <c r="W5364" s="110"/>
      <c r="X5364" s="110"/>
    </row>
    <row r="5365" spans="1:24" ht="14.25" customHeight="1">
      <c r="A5365" s="110"/>
      <c r="B5365" s="125">
        <v>46203</v>
      </c>
      <c r="C5365" s="126" t="s">
        <v>3155</v>
      </c>
      <c r="D5365" s="15" t="s">
        <v>3161</v>
      </c>
      <c r="E5365" s="10" t="str">
        <f>TRIM(VLOOKUP(D5365,TB!$B$9:$C$1500,2,FALSE))</f>
        <v>Decorations &amp; Florist</v>
      </c>
      <c r="F5365" s="198" t="s">
        <v>3163</v>
      </c>
      <c r="G5365" s="130"/>
      <c r="H5365" s="10">
        <v>965000</v>
      </c>
      <c r="I5365" s="10"/>
      <c r="J5365" s="79" t="e">
        <f t="shared" si="341"/>
        <v>#VALUE!</v>
      </c>
      <c r="K5365" s="106"/>
      <c r="L5365" s="107"/>
      <c r="M5365" s="106"/>
      <c r="N5365" s="106"/>
      <c r="O5365" s="108"/>
      <c r="P5365" s="108"/>
      <c r="Q5365" s="108"/>
      <c r="R5365" s="109"/>
      <c r="S5365" s="109"/>
      <c r="T5365" s="108"/>
      <c r="U5365" s="110"/>
      <c r="V5365" s="110"/>
      <c r="W5365" s="110"/>
      <c r="X5365" s="110"/>
    </row>
    <row r="5366" spans="1:24" ht="14.25" customHeight="1">
      <c r="A5366" s="110"/>
      <c r="B5366" s="125">
        <v>46203</v>
      </c>
      <c r="C5366" s="126" t="s">
        <v>3155</v>
      </c>
      <c r="D5366" s="15" t="s">
        <v>3161</v>
      </c>
      <c r="E5366" s="10" t="str">
        <f>TRIM(VLOOKUP(D5366,TB!$B$9:$C$1500,2,FALSE))</f>
        <v>Decorations &amp; Florist</v>
      </c>
      <c r="F5366" s="198" t="s">
        <v>3164</v>
      </c>
      <c r="G5366" s="130"/>
      <c r="H5366" s="10">
        <v>465000</v>
      </c>
      <c r="I5366" s="10"/>
      <c r="J5366" s="79" t="e">
        <f t="shared" si="341"/>
        <v>#VALUE!</v>
      </c>
      <c r="K5366" s="106"/>
      <c r="L5366" s="107"/>
      <c r="M5366" s="106"/>
      <c r="N5366" s="106"/>
      <c r="O5366" s="108"/>
      <c r="P5366" s="108"/>
      <c r="Q5366" s="108"/>
      <c r="R5366" s="109"/>
      <c r="S5366" s="109"/>
      <c r="T5366" s="108"/>
      <c r="U5366" s="110"/>
      <c r="V5366" s="110"/>
      <c r="W5366" s="110"/>
      <c r="X5366" s="110"/>
    </row>
    <row r="5367" spans="1:24" ht="14.25" customHeight="1">
      <c r="A5367" s="110"/>
      <c r="B5367" s="125">
        <v>46203</v>
      </c>
      <c r="C5367" s="126" t="s">
        <v>3155</v>
      </c>
      <c r="D5367" s="15" t="s">
        <v>3161</v>
      </c>
      <c r="E5367" s="10" t="str">
        <f>TRIM(VLOOKUP(D5367,TB!$B$9:$C$1500,2,FALSE))</f>
        <v>Decorations &amp; Florist</v>
      </c>
      <c r="F5367" s="198" t="s">
        <v>3165</v>
      </c>
      <c r="G5367" s="130"/>
      <c r="H5367" s="10">
        <v>50000</v>
      </c>
      <c r="I5367" s="10"/>
      <c r="J5367" s="79" t="e">
        <f t="shared" si="341"/>
        <v>#VALUE!</v>
      </c>
      <c r="K5367" s="106"/>
      <c r="L5367" s="107"/>
      <c r="M5367" s="106"/>
      <c r="N5367" s="106"/>
      <c r="O5367" s="108"/>
      <c r="P5367" s="108"/>
      <c r="Q5367" s="108"/>
      <c r="R5367" s="109"/>
      <c r="S5367" s="109"/>
      <c r="T5367" s="108"/>
      <c r="U5367" s="110"/>
      <c r="V5367" s="110"/>
      <c r="W5367" s="110"/>
      <c r="X5367" s="110"/>
    </row>
    <row r="5368" spans="1:24" ht="14.25" customHeight="1">
      <c r="A5368" s="110"/>
      <c r="B5368" s="125">
        <v>46203</v>
      </c>
      <c r="C5368" s="126" t="s">
        <v>3155</v>
      </c>
      <c r="D5368" s="15" t="s">
        <v>3108</v>
      </c>
      <c r="E5368" s="10" t="str">
        <f>TRIM(VLOOKUP(D5368,TB!$B$9:$C$1500,2,FALSE))</f>
        <v>Promotional Costs</v>
      </c>
      <c r="F5368" s="198" t="s">
        <v>3166</v>
      </c>
      <c r="G5368" s="130"/>
      <c r="H5368" s="10">
        <v>110000</v>
      </c>
      <c r="I5368" s="10"/>
      <c r="J5368" s="79" t="e">
        <f t="shared" si="341"/>
        <v>#VALUE!</v>
      </c>
      <c r="K5368" s="106"/>
      <c r="L5368" s="107"/>
      <c r="M5368" s="106"/>
      <c r="N5368" s="106"/>
      <c r="O5368" s="108"/>
      <c r="P5368" s="108"/>
      <c r="Q5368" s="108"/>
      <c r="R5368" s="109"/>
      <c r="S5368" s="109"/>
      <c r="T5368" s="108"/>
      <c r="U5368" s="110"/>
      <c r="V5368" s="110"/>
      <c r="W5368" s="110"/>
      <c r="X5368" s="110"/>
    </row>
    <row r="5369" spans="1:24" ht="14.25" customHeight="1">
      <c r="A5369" s="110"/>
      <c r="B5369" s="125">
        <v>46203</v>
      </c>
      <c r="C5369" s="126" t="s">
        <v>3155</v>
      </c>
      <c r="D5369" s="15" t="s">
        <v>3108</v>
      </c>
      <c r="E5369" s="10" t="str">
        <f>TRIM(VLOOKUP(D5369,TB!$B$9:$C$1500,2,FALSE))</f>
        <v>Promotional Costs</v>
      </c>
      <c r="F5369" s="198" t="s">
        <v>3167</v>
      </c>
      <c r="G5369" s="130"/>
      <c r="H5369" s="10">
        <v>215000</v>
      </c>
      <c r="I5369" s="10"/>
      <c r="J5369" s="79" t="e">
        <f t="shared" si="341"/>
        <v>#VALUE!</v>
      </c>
      <c r="K5369" s="106"/>
      <c r="L5369" s="107"/>
      <c r="M5369" s="106"/>
      <c r="N5369" s="106"/>
      <c r="O5369" s="108"/>
      <c r="P5369" s="108"/>
      <c r="Q5369" s="108"/>
      <c r="R5369" s="109"/>
      <c r="S5369" s="109"/>
      <c r="T5369" s="108"/>
      <c r="U5369" s="110"/>
      <c r="V5369" s="110"/>
      <c r="W5369" s="110"/>
      <c r="X5369" s="110"/>
    </row>
    <row r="5370" spans="1:24" ht="14.25" customHeight="1">
      <c r="A5370" s="110"/>
      <c r="B5370" s="125">
        <v>46203</v>
      </c>
      <c r="C5370" s="126" t="s">
        <v>3155</v>
      </c>
      <c r="D5370" s="15" t="s">
        <v>438</v>
      </c>
      <c r="E5370" s="10" t="str">
        <f>TRIM(VLOOKUP(D5370,TB!$B$9:$C$1500,2,FALSE))</f>
        <v>Brochure Flyer Printing</v>
      </c>
      <c r="F5370" s="198" t="s">
        <v>3168</v>
      </c>
      <c r="G5370" s="130"/>
      <c r="H5370" s="10">
        <v>760000</v>
      </c>
      <c r="I5370" s="10"/>
      <c r="J5370" s="79" t="e">
        <f t="shared" si="341"/>
        <v>#VALUE!</v>
      </c>
      <c r="K5370" s="106"/>
      <c r="L5370" s="107"/>
      <c r="M5370" s="106"/>
      <c r="N5370" s="106"/>
      <c r="O5370" s="108"/>
      <c r="P5370" s="108"/>
      <c r="Q5370" s="108"/>
      <c r="R5370" s="109"/>
      <c r="S5370" s="109"/>
      <c r="T5370" s="108"/>
      <c r="U5370" s="110"/>
      <c r="V5370" s="110"/>
      <c r="W5370" s="110"/>
      <c r="X5370" s="110"/>
    </row>
    <row r="5371" spans="1:24" ht="14.25" customHeight="1">
      <c r="A5371" s="110"/>
      <c r="B5371" s="125">
        <v>46203</v>
      </c>
      <c r="C5371" s="126" t="s">
        <v>3155</v>
      </c>
      <c r="D5371" s="68" t="s">
        <v>285</v>
      </c>
      <c r="E5371" s="10" t="str">
        <f>TRIM(VLOOKUP(D5371,TB!$B$9:$C$1500,2,FALSE))</f>
        <v>Misc Cash Purchase</v>
      </c>
      <c r="F5371" s="142" t="s">
        <v>3169</v>
      </c>
      <c r="G5371" s="130"/>
      <c r="H5371" s="10"/>
      <c r="I5371" s="10">
        <f>SUM(H5360:H5370)</f>
        <v>4914120</v>
      </c>
      <c r="J5371" s="79" t="e">
        <f t="shared" si="341"/>
        <v>#VALUE!</v>
      </c>
      <c r="K5371" s="106"/>
      <c r="L5371" s="107"/>
      <c r="M5371" s="106"/>
      <c r="N5371" s="106"/>
      <c r="O5371" s="108"/>
      <c r="P5371" s="108"/>
      <c r="Q5371" s="108"/>
      <c r="R5371" s="109"/>
      <c r="S5371" s="109"/>
      <c r="T5371" s="108"/>
      <c r="U5371" s="110"/>
      <c r="V5371" s="110"/>
      <c r="W5371" s="110"/>
      <c r="X5371" s="110"/>
    </row>
    <row r="5372" spans="1:24" ht="14.25" customHeight="1">
      <c r="A5372" s="110"/>
      <c r="B5372" s="125"/>
      <c r="C5372" s="126"/>
      <c r="D5372" s="159"/>
      <c r="E5372" s="10" t="e">
        <f>TRIM(VLOOKUP(D5372,TB!$B$9:$C$1500,2,FALSE))</f>
        <v>#N/A</v>
      </c>
      <c r="F5372" s="142"/>
      <c r="G5372" s="130"/>
      <c r="H5372" s="10"/>
      <c r="I5372" s="10"/>
      <c r="J5372" s="79" t="e">
        <f t="shared" si="341"/>
        <v>#VALUE!</v>
      </c>
      <c r="K5372" s="106"/>
      <c r="L5372" s="107"/>
      <c r="M5372" s="106"/>
      <c r="N5372" s="106"/>
      <c r="O5372" s="108"/>
      <c r="P5372" s="108"/>
      <c r="Q5372" s="108"/>
      <c r="R5372" s="109"/>
      <c r="S5372" s="109"/>
      <c r="T5372" s="108"/>
      <c r="U5372" s="110"/>
      <c r="V5372" s="110"/>
      <c r="W5372" s="110"/>
      <c r="X5372" s="110"/>
    </row>
    <row r="5373" spans="1:24" ht="14.25" customHeight="1">
      <c r="A5373" s="110"/>
      <c r="B5373" s="125">
        <v>46203</v>
      </c>
      <c r="C5373" s="126" t="s">
        <v>3170</v>
      </c>
      <c r="D5373" s="15" t="s">
        <v>3171</v>
      </c>
      <c r="E5373" s="10" t="str">
        <f>TRIM(VLOOKUP(D5373,TB!$B$9:$C$1500,2,FALSE))</f>
        <v>Billboard/Mobile Billboard</v>
      </c>
      <c r="F5373" s="198" t="s">
        <v>3172</v>
      </c>
      <c r="G5373" s="130"/>
      <c r="H5373" s="10">
        <v>500000</v>
      </c>
      <c r="I5373" s="10"/>
      <c r="J5373" s="79" t="e">
        <f t="shared" si="341"/>
        <v>#VALUE!</v>
      </c>
      <c r="K5373" s="106"/>
      <c r="L5373" s="107"/>
      <c r="M5373" s="106"/>
      <c r="N5373" s="106"/>
      <c r="O5373" s="108"/>
      <c r="P5373" s="108"/>
      <c r="Q5373" s="108"/>
      <c r="R5373" s="109"/>
      <c r="S5373" s="109"/>
      <c r="T5373" s="108"/>
      <c r="U5373" s="110"/>
      <c r="V5373" s="110"/>
      <c r="W5373" s="110"/>
      <c r="X5373" s="110"/>
    </row>
    <row r="5374" spans="1:24" ht="14.25" customHeight="1">
      <c r="A5374" s="110"/>
      <c r="B5374" s="125">
        <v>46203</v>
      </c>
      <c r="C5374" s="126" t="s">
        <v>3170</v>
      </c>
      <c r="D5374" s="15" t="s">
        <v>3108</v>
      </c>
      <c r="E5374" s="10" t="str">
        <f>TRIM(VLOOKUP(D5374,TB!$B$9:$C$1500,2,FALSE))</f>
        <v>Promotional Costs</v>
      </c>
      <c r="F5374" s="198" t="s">
        <v>3173</v>
      </c>
      <c r="G5374" s="130"/>
      <c r="H5374" s="10">
        <v>245000</v>
      </c>
      <c r="I5374" s="10"/>
      <c r="J5374" s="79" t="e">
        <f t="shared" si="341"/>
        <v>#VALUE!</v>
      </c>
      <c r="K5374" s="106"/>
      <c r="L5374" s="107"/>
      <c r="M5374" s="106"/>
      <c r="N5374" s="106"/>
      <c r="O5374" s="108"/>
      <c r="P5374" s="108"/>
      <c r="Q5374" s="108"/>
      <c r="R5374" s="109"/>
      <c r="S5374" s="109"/>
      <c r="T5374" s="108"/>
      <c r="U5374" s="110"/>
      <c r="V5374" s="110"/>
      <c r="W5374" s="110"/>
      <c r="X5374" s="110"/>
    </row>
    <row r="5375" spans="1:24" ht="14.25" customHeight="1">
      <c r="A5375" s="110"/>
      <c r="B5375" s="125">
        <v>46203</v>
      </c>
      <c r="C5375" s="126" t="s">
        <v>3170</v>
      </c>
      <c r="D5375" s="15" t="s">
        <v>3108</v>
      </c>
      <c r="E5375" s="10" t="str">
        <f>TRIM(VLOOKUP(D5375,TB!$B$9:$C$1500,2,FALSE))</f>
        <v>Promotional Costs</v>
      </c>
      <c r="F5375" s="198" t="s">
        <v>3174</v>
      </c>
      <c r="G5375" s="130"/>
      <c r="H5375" s="10">
        <v>350000</v>
      </c>
      <c r="I5375" s="10"/>
      <c r="J5375" s="79" t="e">
        <f t="shared" si="341"/>
        <v>#VALUE!</v>
      </c>
      <c r="K5375" s="106"/>
      <c r="L5375" s="107"/>
      <c r="M5375" s="106"/>
      <c r="N5375" s="106"/>
      <c r="O5375" s="108"/>
      <c r="P5375" s="108"/>
      <c r="Q5375" s="108"/>
      <c r="R5375" s="109"/>
      <c r="S5375" s="109"/>
      <c r="T5375" s="108"/>
      <c r="U5375" s="110"/>
      <c r="V5375" s="110"/>
      <c r="W5375" s="110"/>
      <c r="X5375" s="110"/>
    </row>
    <row r="5376" spans="1:24" ht="14.25" customHeight="1">
      <c r="A5376" s="110"/>
      <c r="B5376" s="125">
        <v>46203</v>
      </c>
      <c r="C5376" s="126" t="s">
        <v>3170</v>
      </c>
      <c r="D5376" s="15" t="s">
        <v>3108</v>
      </c>
      <c r="E5376" s="10" t="str">
        <f>TRIM(VLOOKUP(D5376,TB!$B$9:$C$1500,2,FALSE))</f>
        <v>Promotional Costs</v>
      </c>
      <c r="F5376" s="198" t="s">
        <v>3175</v>
      </c>
      <c r="G5376" s="130"/>
      <c r="H5376" s="10">
        <v>300000</v>
      </c>
      <c r="I5376" s="10"/>
      <c r="J5376" s="79" t="e">
        <f t="shared" si="341"/>
        <v>#VALUE!</v>
      </c>
      <c r="K5376" s="106"/>
      <c r="L5376" s="107"/>
      <c r="M5376" s="106"/>
      <c r="N5376" s="106"/>
      <c r="O5376" s="108"/>
      <c r="P5376" s="108"/>
      <c r="Q5376" s="108"/>
      <c r="R5376" s="109"/>
      <c r="S5376" s="109"/>
      <c r="T5376" s="108"/>
      <c r="U5376" s="110"/>
      <c r="V5376" s="110"/>
      <c r="W5376" s="110"/>
      <c r="X5376" s="110"/>
    </row>
    <row r="5377" spans="1:24" ht="14.25" customHeight="1">
      <c r="A5377" s="110"/>
      <c r="B5377" s="125">
        <v>46203</v>
      </c>
      <c r="C5377" s="126" t="s">
        <v>3170</v>
      </c>
      <c r="D5377" s="15" t="s">
        <v>3161</v>
      </c>
      <c r="E5377" s="10" t="str">
        <f>TRIM(VLOOKUP(D5377,TB!$B$9:$C$1500,2,FALSE))</f>
        <v>Decorations &amp; Florist</v>
      </c>
      <c r="F5377" s="198" t="s">
        <v>3176</v>
      </c>
      <c r="G5377" s="130"/>
      <c r="H5377" s="10">
        <v>386342</v>
      </c>
      <c r="I5377" s="10"/>
      <c r="J5377" s="79" t="e">
        <f t="shared" si="341"/>
        <v>#VALUE!</v>
      </c>
      <c r="K5377" s="106"/>
      <c r="L5377" s="107"/>
      <c r="M5377" s="106"/>
      <c r="N5377" s="106"/>
      <c r="O5377" s="108"/>
      <c r="P5377" s="108"/>
      <c r="Q5377" s="108"/>
      <c r="R5377" s="109"/>
      <c r="S5377" s="109"/>
      <c r="T5377" s="108"/>
      <c r="U5377" s="110"/>
      <c r="V5377" s="110"/>
      <c r="W5377" s="110"/>
      <c r="X5377" s="110"/>
    </row>
    <row r="5378" spans="1:24" ht="14.25" customHeight="1">
      <c r="A5378" s="110"/>
      <c r="B5378" s="125">
        <v>46203</v>
      </c>
      <c r="C5378" s="126" t="s">
        <v>3170</v>
      </c>
      <c r="D5378" s="15" t="s">
        <v>3108</v>
      </c>
      <c r="E5378" s="10" t="str">
        <f>TRIM(VLOOKUP(D5378,TB!$B$9:$C$1500,2,FALSE))</f>
        <v>Promotional Costs</v>
      </c>
      <c r="F5378" s="198" t="s">
        <v>3177</v>
      </c>
      <c r="G5378" s="130"/>
      <c r="H5378" s="10">
        <v>191910</v>
      </c>
      <c r="I5378" s="10"/>
      <c r="J5378" s="79" t="e">
        <f t="shared" si="341"/>
        <v>#VALUE!</v>
      </c>
      <c r="K5378" s="106"/>
      <c r="L5378" s="107"/>
      <c r="M5378" s="106"/>
      <c r="N5378" s="106"/>
      <c r="O5378" s="108"/>
      <c r="P5378" s="108"/>
      <c r="Q5378" s="108"/>
      <c r="R5378" s="109"/>
      <c r="S5378" s="109"/>
      <c r="T5378" s="108"/>
      <c r="U5378" s="110"/>
      <c r="V5378" s="110"/>
      <c r="W5378" s="110"/>
      <c r="X5378" s="110"/>
    </row>
    <row r="5379" spans="1:24" ht="14.25" customHeight="1">
      <c r="A5379" s="110"/>
      <c r="B5379" s="125">
        <v>46203</v>
      </c>
      <c r="C5379" s="126" t="s">
        <v>3170</v>
      </c>
      <c r="D5379" s="68" t="s">
        <v>285</v>
      </c>
      <c r="E5379" s="10" t="str">
        <f>TRIM(VLOOKUP(D5379,TB!$B$9:$C$1500,2,FALSE))</f>
        <v>Misc Cash Purchase</v>
      </c>
      <c r="F5379" s="142" t="s">
        <v>3178</v>
      </c>
      <c r="G5379" s="130"/>
      <c r="H5379" s="10"/>
      <c r="I5379" s="10">
        <f>SUM(H5373:H5378)</f>
        <v>1973252</v>
      </c>
      <c r="J5379" s="79" t="e">
        <f t="shared" si="341"/>
        <v>#VALUE!</v>
      </c>
      <c r="K5379" s="106"/>
      <c r="L5379" s="107"/>
      <c r="M5379" s="106"/>
      <c r="N5379" s="106"/>
      <c r="O5379" s="108"/>
      <c r="P5379" s="108"/>
      <c r="Q5379" s="108"/>
      <c r="R5379" s="109"/>
      <c r="S5379" s="109"/>
      <c r="T5379" s="108"/>
      <c r="U5379" s="110"/>
      <c r="V5379" s="110"/>
      <c r="W5379" s="110"/>
      <c r="X5379" s="110"/>
    </row>
    <row r="5380" spans="1:24" ht="14.25" customHeight="1">
      <c r="A5380" s="110"/>
      <c r="B5380" s="125"/>
      <c r="C5380" s="126"/>
      <c r="D5380" s="159"/>
      <c r="E5380" s="10" t="e">
        <f>TRIM(VLOOKUP(D5380,TB!$B$9:$C$1500,2,FALSE))</f>
        <v>#N/A</v>
      </c>
      <c r="F5380" s="142"/>
      <c r="G5380" s="130"/>
      <c r="H5380" s="10"/>
      <c r="I5380" s="10"/>
      <c r="J5380" s="79" t="e">
        <f t="shared" si="341"/>
        <v>#VALUE!</v>
      </c>
      <c r="K5380" s="106"/>
      <c r="L5380" s="107"/>
      <c r="M5380" s="106"/>
      <c r="N5380" s="106"/>
      <c r="O5380" s="108"/>
      <c r="P5380" s="108"/>
      <c r="Q5380" s="108"/>
      <c r="R5380" s="109"/>
      <c r="S5380" s="109"/>
      <c r="T5380" s="108"/>
      <c r="U5380" s="110"/>
      <c r="V5380" s="110"/>
      <c r="W5380" s="110"/>
      <c r="X5380" s="110"/>
    </row>
    <row r="5381" spans="1:24" ht="14.25" customHeight="1">
      <c r="A5381" s="110"/>
      <c r="B5381" s="125">
        <v>46203</v>
      </c>
      <c r="C5381" s="126" t="s">
        <v>3179</v>
      </c>
      <c r="D5381" s="15" t="s">
        <v>3161</v>
      </c>
      <c r="E5381" s="10" t="str">
        <f>TRIM(VLOOKUP(D5381,TB!$B$9:$C$1500,2,FALSE))</f>
        <v>Decorations &amp; Florist</v>
      </c>
      <c r="F5381" s="142" t="s">
        <v>3180</v>
      </c>
      <c r="G5381" s="130"/>
      <c r="H5381" s="10">
        <v>80500</v>
      </c>
      <c r="I5381" s="10"/>
      <c r="J5381" s="79" t="e">
        <f t="shared" ref="J5381:J5635" si="346">J5380+H5381-I5381</f>
        <v>#VALUE!</v>
      </c>
      <c r="K5381" s="106"/>
      <c r="L5381" s="107"/>
      <c r="M5381" s="106"/>
      <c r="N5381" s="106"/>
      <c r="O5381" s="108"/>
      <c r="P5381" s="108"/>
      <c r="Q5381" s="108"/>
      <c r="R5381" s="109"/>
      <c r="S5381" s="109"/>
      <c r="T5381" s="108"/>
      <c r="U5381" s="110"/>
      <c r="V5381" s="110"/>
      <c r="W5381" s="110"/>
      <c r="X5381" s="110"/>
    </row>
    <row r="5382" spans="1:24" ht="14.25" customHeight="1">
      <c r="A5382" s="110"/>
      <c r="B5382" s="125">
        <v>46203</v>
      </c>
      <c r="C5382" s="126" t="s">
        <v>3179</v>
      </c>
      <c r="D5382" s="15" t="s">
        <v>3161</v>
      </c>
      <c r="E5382" s="10" t="str">
        <f>TRIM(VLOOKUP(D5382,TB!$B$9:$C$1500,2,FALSE))</f>
        <v>Decorations &amp; Florist</v>
      </c>
      <c r="F5382" s="142" t="s">
        <v>3181</v>
      </c>
      <c r="G5382" s="130"/>
      <c r="H5382" s="10">
        <v>1500000</v>
      </c>
      <c r="I5382" s="10"/>
      <c r="J5382" s="79" t="e">
        <f t="shared" si="346"/>
        <v>#VALUE!</v>
      </c>
      <c r="K5382" s="106"/>
      <c r="L5382" s="107"/>
      <c r="M5382" s="106"/>
      <c r="N5382" s="106"/>
      <c r="O5382" s="108"/>
      <c r="P5382" s="108"/>
      <c r="Q5382" s="108"/>
      <c r="R5382" s="109"/>
      <c r="S5382" s="109"/>
      <c r="T5382" s="108"/>
      <c r="U5382" s="110"/>
      <c r="V5382" s="110"/>
      <c r="W5382" s="110"/>
      <c r="X5382" s="110"/>
    </row>
    <row r="5383" spans="1:24" ht="14.25" customHeight="1">
      <c r="A5383" s="110"/>
      <c r="B5383" s="125">
        <v>46203</v>
      </c>
      <c r="C5383" s="126" t="s">
        <v>3179</v>
      </c>
      <c r="D5383" s="15" t="s">
        <v>3161</v>
      </c>
      <c r="E5383" s="10" t="str">
        <f>TRIM(VLOOKUP(D5383,TB!$B$9:$C$1500,2,FALSE))</f>
        <v>Decorations &amp; Florist</v>
      </c>
      <c r="F5383" s="142" t="s">
        <v>3182</v>
      </c>
      <c r="G5383" s="130"/>
      <c r="H5383" s="10">
        <v>140004</v>
      </c>
      <c r="I5383" s="10"/>
      <c r="J5383" s="79" t="e">
        <f t="shared" si="346"/>
        <v>#VALUE!</v>
      </c>
      <c r="K5383" s="106"/>
      <c r="L5383" s="107"/>
      <c r="M5383" s="106"/>
      <c r="N5383" s="106"/>
      <c r="O5383" s="108"/>
      <c r="P5383" s="108"/>
      <c r="Q5383" s="108"/>
      <c r="R5383" s="109"/>
      <c r="S5383" s="109"/>
      <c r="T5383" s="108"/>
      <c r="U5383" s="110"/>
      <c r="V5383" s="110"/>
      <c r="W5383" s="110"/>
      <c r="X5383" s="110"/>
    </row>
    <row r="5384" spans="1:24" ht="14.25" customHeight="1">
      <c r="A5384" s="110"/>
      <c r="B5384" s="125">
        <v>46203</v>
      </c>
      <c r="C5384" s="126" t="s">
        <v>3179</v>
      </c>
      <c r="D5384" s="15" t="s">
        <v>3161</v>
      </c>
      <c r="E5384" s="10" t="str">
        <f>TRIM(VLOOKUP(D5384,TB!$B$9:$C$1500,2,FALSE))</f>
        <v>Decorations &amp; Florist</v>
      </c>
      <c r="F5384" s="142" t="s">
        <v>3183</v>
      </c>
      <c r="G5384" s="130"/>
      <c r="H5384" s="10">
        <v>39100</v>
      </c>
      <c r="I5384" s="10"/>
      <c r="J5384" s="79" t="e">
        <f t="shared" si="346"/>
        <v>#VALUE!</v>
      </c>
      <c r="K5384" s="106"/>
      <c r="L5384" s="107"/>
      <c r="M5384" s="106"/>
      <c r="N5384" s="106"/>
      <c r="O5384" s="108"/>
      <c r="P5384" s="108"/>
      <c r="Q5384" s="108"/>
      <c r="R5384" s="109"/>
      <c r="S5384" s="109"/>
      <c r="T5384" s="108"/>
      <c r="U5384" s="110"/>
      <c r="V5384" s="110"/>
      <c r="W5384" s="110"/>
      <c r="X5384" s="110"/>
    </row>
    <row r="5385" spans="1:24" ht="14.25" customHeight="1">
      <c r="A5385" s="110"/>
      <c r="B5385" s="125">
        <v>46203</v>
      </c>
      <c r="C5385" s="126" t="s">
        <v>3179</v>
      </c>
      <c r="D5385" s="15" t="s">
        <v>3161</v>
      </c>
      <c r="E5385" s="10" t="str">
        <f>TRIM(VLOOKUP(D5385,TB!$B$9:$C$1500,2,FALSE))</f>
        <v>Decorations &amp; Florist</v>
      </c>
      <c r="F5385" s="142" t="s">
        <v>3184</v>
      </c>
      <c r="G5385" s="130"/>
      <c r="H5385" s="10">
        <v>52250</v>
      </c>
      <c r="I5385" s="10"/>
      <c r="J5385" s="79" t="e">
        <f t="shared" si="346"/>
        <v>#VALUE!</v>
      </c>
      <c r="K5385" s="106"/>
      <c r="L5385" s="107"/>
      <c r="M5385" s="106"/>
      <c r="N5385" s="106"/>
      <c r="O5385" s="108"/>
      <c r="P5385" s="108"/>
      <c r="Q5385" s="108"/>
      <c r="R5385" s="109"/>
      <c r="S5385" s="109"/>
      <c r="T5385" s="108"/>
      <c r="U5385" s="110"/>
      <c r="V5385" s="110"/>
      <c r="W5385" s="110"/>
      <c r="X5385" s="110"/>
    </row>
    <row r="5386" spans="1:24" ht="14.25" customHeight="1">
      <c r="A5386" s="110"/>
      <c r="B5386" s="125">
        <v>46203</v>
      </c>
      <c r="C5386" s="126" t="s">
        <v>3179</v>
      </c>
      <c r="D5386" s="15" t="s">
        <v>3161</v>
      </c>
      <c r="E5386" s="10" t="str">
        <f>TRIM(VLOOKUP(D5386,TB!$B$9:$C$1500,2,FALSE))</f>
        <v>Decorations &amp; Florist</v>
      </c>
      <c r="F5386" s="142" t="s">
        <v>3185</v>
      </c>
      <c r="G5386" s="130"/>
      <c r="H5386" s="10">
        <v>535000</v>
      </c>
      <c r="I5386" s="10"/>
      <c r="J5386" s="79" t="e">
        <f t="shared" si="346"/>
        <v>#VALUE!</v>
      </c>
      <c r="K5386" s="106"/>
      <c r="L5386" s="107"/>
      <c r="M5386" s="106"/>
      <c r="N5386" s="106"/>
      <c r="O5386" s="108"/>
      <c r="P5386" s="108"/>
      <c r="Q5386" s="108"/>
      <c r="R5386" s="109"/>
      <c r="S5386" s="109"/>
      <c r="T5386" s="108"/>
      <c r="U5386" s="110"/>
      <c r="V5386" s="110"/>
      <c r="W5386" s="110"/>
      <c r="X5386" s="110"/>
    </row>
    <row r="5387" spans="1:24" ht="14.25" customHeight="1">
      <c r="A5387" s="110"/>
      <c r="B5387" s="125">
        <v>46203</v>
      </c>
      <c r="C5387" s="126" t="s">
        <v>3179</v>
      </c>
      <c r="D5387" s="15" t="s">
        <v>3161</v>
      </c>
      <c r="E5387" s="10" t="str">
        <f>TRIM(VLOOKUP(D5387,TB!$B$9:$C$1500,2,FALSE))</f>
        <v>Decorations &amp; Florist</v>
      </c>
      <c r="F5387" s="142" t="s">
        <v>3186</v>
      </c>
      <c r="G5387" s="130"/>
      <c r="H5387" s="10">
        <v>500000</v>
      </c>
      <c r="I5387" s="10"/>
      <c r="J5387" s="79" t="e">
        <f t="shared" si="346"/>
        <v>#VALUE!</v>
      </c>
      <c r="K5387" s="106"/>
      <c r="L5387" s="107"/>
      <c r="M5387" s="106"/>
      <c r="N5387" s="106"/>
      <c r="O5387" s="108"/>
      <c r="P5387" s="108"/>
      <c r="Q5387" s="108"/>
      <c r="R5387" s="109"/>
      <c r="S5387" s="109"/>
      <c r="T5387" s="108"/>
      <c r="U5387" s="110"/>
      <c r="V5387" s="110"/>
      <c r="W5387" s="110"/>
      <c r="X5387" s="110"/>
    </row>
    <row r="5388" spans="1:24" ht="14.25" customHeight="1">
      <c r="A5388" s="110"/>
      <c r="B5388" s="125">
        <v>46203</v>
      </c>
      <c r="C5388" s="126" t="s">
        <v>3179</v>
      </c>
      <c r="D5388" s="15" t="s">
        <v>3171</v>
      </c>
      <c r="E5388" s="10" t="str">
        <f>TRIM(VLOOKUP(D5388,TB!$B$9:$C$1500,2,FALSE))</f>
        <v>Billboard/Mobile Billboard</v>
      </c>
      <c r="F5388" s="142" t="s">
        <v>3187</v>
      </c>
      <c r="G5388" s="130"/>
      <c r="H5388" s="10">
        <v>500000</v>
      </c>
      <c r="I5388" s="10"/>
      <c r="J5388" s="79" t="e">
        <f t="shared" si="346"/>
        <v>#VALUE!</v>
      </c>
      <c r="K5388" s="106"/>
      <c r="L5388" s="107"/>
      <c r="M5388" s="106"/>
      <c r="N5388" s="106"/>
      <c r="O5388" s="108"/>
      <c r="P5388" s="108"/>
      <c r="Q5388" s="108"/>
      <c r="R5388" s="109"/>
      <c r="S5388" s="109"/>
      <c r="T5388" s="108"/>
      <c r="U5388" s="110"/>
      <c r="V5388" s="110"/>
      <c r="W5388" s="110"/>
      <c r="X5388" s="110"/>
    </row>
    <row r="5389" spans="1:24" ht="14.25" customHeight="1">
      <c r="A5389" s="110"/>
      <c r="B5389" s="125">
        <v>46203</v>
      </c>
      <c r="C5389" s="126" t="s">
        <v>3179</v>
      </c>
      <c r="D5389" s="15" t="s">
        <v>3108</v>
      </c>
      <c r="E5389" s="10" t="str">
        <f>TRIM(VLOOKUP(D5389,TB!$B$9:$C$1500,2,FALSE))</f>
        <v>Promotional Costs</v>
      </c>
      <c r="F5389" s="142" t="s">
        <v>3188</v>
      </c>
      <c r="G5389" s="130"/>
      <c r="H5389" s="10">
        <v>269100</v>
      </c>
      <c r="I5389" s="10"/>
      <c r="J5389" s="79" t="e">
        <f t="shared" si="346"/>
        <v>#VALUE!</v>
      </c>
      <c r="K5389" s="106"/>
      <c r="L5389" s="107"/>
      <c r="M5389" s="106"/>
      <c r="N5389" s="106"/>
      <c r="O5389" s="108"/>
      <c r="P5389" s="108"/>
      <c r="Q5389" s="108"/>
      <c r="R5389" s="109"/>
      <c r="S5389" s="109"/>
      <c r="T5389" s="108"/>
      <c r="U5389" s="110"/>
      <c r="V5389" s="110"/>
      <c r="W5389" s="110"/>
      <c r="X5389" s="110"/>
    </row>
    <row r="5390" spans="1:24" ht="14.25" customHeight="1">
      <c r="A5390" s="110"/>
      <c r="B5390" s="125">
        <v>46203</v>
      </c>
      <c r="C5390" s="126" t="s">
        <v>3179</v>
      </c>
      <c r="D5390" s="68" t="s">
        <v>285</v>
      </c>
      <c r="E5390" s="10" t="str">
        <f>TRIM(VLOOKUP(D5390,TB!$B$9:$C$1500,2,FALSE))</f>
        <v>Misc Cash Purchase</v>
      </c>
      <c r="F5390" s="142" t="s">
        <v>3189</v>
      </c>
      <c r="G5390" s="130"/>
      <c r="H5390" s="10"/>
      <c r="I5390" s="10">
        <f>SUM(H5381:H5389)</f>
        <v>3615954</v>
      </c>
      <c r="J5390" s="79" t="e">
        <f t="shared" si="346"/>
        <v>#VALUE!</v>
      </c>
      <c r="K5390" s="106"/>
      <c r="L5390" s="107"/>
      <c r="M5390" s="106"/>
      <c r="N5390" s="106"/>
      <c r="O5390" s="108"/>
      <c r="P5390" s="108"/>
      <c r="Q5390" s="108"/>
      <c r="R5390" s="109"/>
      <c r="S5390" s="109"/>
      <c r="T5390" s="108"/>
      <c r="U5390" s="110"/>
      <c r="V5390" s="110"/>
      <c r="W5390" s="110"/>
      <c r="X5390" s="110"/>
    </row>
    <row r="5391" spans="1:24" ht="14.25" customHeight="1">
      <c r="A5391" s="110"/>
      <c r="B5391" s="125"/>
      <c r="C5391" s="126"/>
      <c r="D5391" s="159"/>
      <c r="E5391" s="10" t="e">
        <f>TRIM(VLOOKUP(D5391,TB!$B$9:$C$1500,2,FALSE))</f>
        <v>#N/A</v>
      </c>
      <c r="F5391" s="142"/>
      <c r="G5391" s="130"/>
      <c r="H5391" s="10"/>
      <c r="I5391" s="10"/>
      <c r="J5391" s="79" t="e">
        <f t="shared" si="346"/>
        <v>#VALUE!</v>
      </c>
      <c r="K5391" s="106"/>
      <c r="L5391" s="107"/>
      <c r="M5391" s="106"/>
      <c r="N5391" s="106"/>
      <c r="O5391" s="108"/>
      <c r="P5391" s="108"/>
      <c r="Q5391" s="108"/>
      <c r="R5391" s="109"/>
      <c r="S5391" s="109"/>
      <c r="T5391" s="108"/>
      <c r="U5391" s="110"/>
      <c r="V5391" s="110"/>
      <c r="W5391" s="110"/>
      <c r="X5391" s="110"/>
    </row>
    <row r="5392" spans="1:24" ht="14.25" customHeight="1">
      <c r="A5392" s="110"/>
      <c r="B5392" s="125">
        <v>46203</v>
      </c>
      <c r="C5392" s="126" t="s">
        <v>3190</v>
      </c>
      <c r="D5392" s="15" t="s">
        <v>403</v>
      </c>
      <c r="E5392" s="10" t="str">
        <f>TRIM(VLOOKUP(D5392,TB!$B$9:$C$1500,2,FALSE))</f>
        <v>Security/Police/Banjar Costs</v>
      </c>
      <c r="F5392" s="142" t="s">
        <v>3191</v>
      </c>
      <c r="G5392" s="130"/>
      <c r="H5392" s="10">
        <v>35000000</v>
      </c>
      <c r="I5392" s="10"/>
      <c r="J5392" s="79" t="e">
        <f t="shared" si="346"/>
        <v>#VALUE!</v>
      </c>
      <c r="K5392" s="106"/>
      <c r="L5392" s="107"/>
      <c r="M5392" s="106"/>
      <c r="N5392" s="106"/>
      <c r="O5392" s="108"/>
      <c r="P5392" s="108"/>
      <c r="Q5392" s="108"/>
      <c r="R5392" s="109"/>
      <c r="S5392" s="109"/>
      <c r="T5392" s="108"/>
      <c r="U5392" s="110"/>
      <c r="V5392" s="110"/>
      <c r="W5392" s="110"/>
      <c r="X5392" s="110"/>
    </row>
    <row r="5393" spans="1:24" ht="14.25" customHeight="1">
      <c r="A5393" s="110"/>
      <c r="B5393" s="125">
        <v>46203</v>
      </c>
      <c r="C5393" s="126" t="s">
        <v>3192</v>
      </c>
      <c r="D5393" s="15" t="s">
        <v>403</v>
      </c>
      <c r="E5393" s="10" t="str">
        <f>TRIM(VLOOKUP(D5393,TB!$B$9:$C$1500,2,FALSE))</f>
        <v>Security/Police/Banjar Costs</v>
      </c>
      <c r="F5393" s="142" t="s">
        <v>3193</v>
      </c>
      <c r="G5393" s="130"/>
      <c r="H5393" s="10">
        <v>2000000</v>
      </c>
      <c r="I5393" s="10"/>
      <c r="J5393" s="79" t="e">
        <f t="shared" si="346"/>
        <v>#VALUE!</v>
      </c>
      <c r="K5393" s="106"/>
      <c r="L5393" s="107"/>
      <c r="M5393" s="106"/>
      <c r="N5393" s="106"/>
      <c r="O5393" s="108"/>
      <c r="P5393" s="108"/>
      <c r="Q5393" s="108"/>
      <c r="R5393" s="109"/>
      <c r="S5393" s="109"/>
      <c r="T5393" s="108"/>
      <c r="U5393" s="110"/>
      <c r="V5393" s="110"/>
      <c r="W5393" s="110"/>
      <c r="X5393" s="110"/>
    </row>
    <row r="5394" spans="1:24" ht="14.25" customHeight="1">
      <c r="A5394" s="110"/>
      <c r="B5394" s="125">
        <v>46203</v>
      </c>
      <c r="C5394" s="126" t="s">
        <v>3190</v>
      </c>
      <c r="D5394" s="68" t="s">
        <v>285</v>
      </c>
      <c r="E5394" s="10" t="str">
        <f>TRIM(VLOOKUP(D5394,TB!$B$9:$C$1500,2,FALSE))</f>
        <v>Misc Cash Purchase</v>
      </c>
      <c r="F5394" s="142" t="s">
        <v>3191</v>
      </c>
      <c r="G5394" s="130"/>
      <c r="H5394" s="10"/>
      <c r="I5394" s="10">
        <v>35000000</v>
      </c>
      <c r="J5394" s="79" t="e">
        <f t="shared" si="346"/>
        <v>#VALUE!</v>
      </c>
      <c r="K5394" s="106"/>
      <c r="L5394" s="107"/>
      <c r="M5394" s="106"/>
      <c r="N5394" s="106"/>
      <c r="O5394" s="108"/>
      <c r="P5394" s="108"/>
      <c r="Q5394" s="108"/>
      <c r="R5394" s="109"/>
      <c r="S5394" s="109"/>
      <c r="T5394" s="108"/>
      <c r="U5394" s="110"/>
      <c r="V5394" s="110"/>
      <c r="W5394" s="110"/>
      <c r="X5394" s="110"/>
    </row>
    <row r="5395" spans="1:24" ht="14.25" customHeight="1">
      <c r="A5395" s="110"/>
      <c r="B5395" s="125">
        <v>46203</v>
      </c>
      <c r="C5395" s="126" t="s">
        <v>3192</v>
      </c>
      <c r="D5395" s="68" t="s">
        <v>285</v>
      </c>
      <c r="E5395" s="10" t="str">
        <f>TRIM(VLOOKUP(D5395,TB!$B$9:$C$1500,2,FALSE))</f>
        <v>Misc Cash Purchase</v>
      </c>
      <c r="F5395" s="142" t="s">
        <v>3193</v>
      </c>
      <c r="G5395" s="130"/>
      <c r="H5395" s="10"/>
      <c r="I5395" s="10">
        <v>2000000</v>
      </c>
      <c r="J5395" s="79" t="e">
        <f t="shared" si="346"/>
        <v>#VALUE!</v>
      </c>
      <c r="K5395" s="106"/>
      <c r="L5395" s="107"/>
      <c r="M5395" s="106"/>
      <c r="N5395" s="106"/>
      <c r="O5395" s="108"/>
      <c r="P5395" s="108"/>
      <c r="Q5395" s="108"/>
      <c r="R5395" s="109"/>
      <c r="S5395" s="109"/>
      <c r="T5395" s="108"/>
      <c r="U5395" s="110"/>
      <c r="V5395" s="110"/>
      <c r="W5395" s="110"/>
      <c r="X5395" s="110"/>
    </row>
    <row r="5396" spans="1:24" ht="14.25" customHeight="1">
      <c r="A5396" s="110"/>
      <c r="B5396" s="125"/>
      <c r="C5396" s="126"/>
      <c r="D5396" s="159"/>
      <c r="E5396" s="10" t="e">
        <f>TRIM(VLOOKUP(D5396,TB!$B$9:$C$1500,2,FALSE))</f>
        <v>#N/A</v>
      </c>
      <c r="F5396" s="142"/>
      <c r="G5396" s="130"/>
      <c r="H5396" s="10"/>
      <c r="I5396" s="10"/>
      <c r="J5396" s="79" t="e">
        <f t="shared" si="346"/>
        <v>#VALUE!</v>
      </c>
      <c r="K5396" s="106"/>
      <c r="L5396" s="107"/>
      <c r="M5396" s="106"/>
      <c r="N5396" s="106"/>
      <c r="O5396" s="108"/>
      <c r="P5396" s="108"/>
      <c r="Q5396" s="108"/>
      <c r="R5396" s="109"/>
      <c r="S5396" s="109"/>
      <c r="T5396" s="108"/>
      <c r="U5396" s="110"/>
      <c r="V5396" s="110"/>
      <c r="W5396" s="110"/>
      <c r="X5396" s="110"/>
    </row>
    <row r="5397" spans="1:24" ht="14.25" customHeight="1">
      <c r="A5397" s="110"/>
      <c r="B5397" s="125">
        <v>46203</v>
      </c>
      <c r="C5397" s="126" t="s">
        <v>3194</v>
      </c>
      <c r="D5397" s="15" t="s">
        <v>188</v>
      </c>
      <c r="E5397" s="10" t="str">
        <f>TRIM(VLOOKUP(D5397,TB!$B$9:$C$1500,2,FALSE))</f>
        <v>Advertising Costs</v>
      </c>
      <c r="F5397" s="142" t="s">
        <v>3195</v>
      </c>
      <c r="G5397" s="130"/>
      <c r="H5397" s="10">
        <v>288600</v>
      </c>
      <c r="I5397" s="10"/>
      <c r="J5397" s="79" t="e">
        <f t="shared" si="346"/>
        <v>#VALUE!</v>
      </c>
      <c r="K5397" s="106"/>
      <c r="L5397" s="107"/>
      <c r="M5397" s="106"/>
      <c r="N5397" s="106"/>
      <c r="O5397" s="108"/>
      <c r="P5397" s="108"/>
      <c r="Q5397" s="108"/>
      <c r="R5397" s="109"/>
      <c r="S5397" s="109"/>
      <c r="T5397" s="108"/>
      <c r="U5397" s="110"/>
      <c r="V5397" s="110"/>
      <c r="W5397" s="110"/>
      <c r="X5397" s="110"/>
    </row>
    <row r="5398" spans="1:24" ht="14.25" customHeight="1">
      <c r="A5398" s="110"/>
      <c r="B5398" s="125">
        <v>46203</v>
      </c>
      <c r="C5398" s="126" t="s">
        <v>3194</v>
      </c>
      <c r="D5398" s="15" t="s">
        <v>3196</v>
      </c>
      <c r="E5398" s="10" t="str">
        <f>TRIM(VLOOKUP(D5398,TB!$B$9:$C$1500,2,FALSE))</f>
        <v>Photography/video</v>
      </c>
      <c r="F5398" s="142" t="s">
        <v>3197</v>
      </c>
      <c r="G5398" s="130"/>
      <c r="H5398" s="10">
        <v>500000</v>
      </c>
      <c r="I5398" s="10"/>
      <c r="J5398" s="79" t="e">
        <f t="shared" si="346"/>
        <v>#VALUE!</v>
      </c>
      <c r="K5398" s="106"/>
      <c r="L5398" s="107"/>
      <c r="M5398" s="106"/>
      <c r="N5398" s="106"/>
      <c r="O5398" s="108"/>
      <c r="P5398" s="108"/>
      <c r="Q5398" s="108"/>
      <c r="R5398" s="109"/>
      <c r="S5398" s="109"/>
      <c r="T5398" s="108"/>
      <c r="U5398" s="110"/>
      <c r="V5398" s="110"/>
      <c r="W5398" s="110"/>
      <c r="X5398" s="110"/>
    </row>
    <row r="5399" spans="1:24" ht="14.25" customHeight="1">
      <c r="A5399" s="110"/>
      <c r="B5399" s="125">
        <v>46203</v>
      </c>
      <c r="C5399" s="126" t="s">
        <v>3194</v>
      </c>
      <c r="D5399" s="15" t="s">
        <v>3108</v>
      </c>
      <c r="E5399" s="10" t="str">
        <f>TRIM(VLOOKUP(D5399,TB!$B$9:$C$1500,2,FALSE))</f>
        <v>Promotional Costs</v>
      </c>
      <c r="F5399" s="142" t="s">
        <v>3198</v>
      </c>
      <c r="G5399" s="130"/>
      <c r="H5399" s="10">
        <v>300000</v>
      </c>
      <c r="I5399" s="10"/>
      <c r="J5399" s="79" t="e">
        <f t="shared" si="346"/>
        <v>#VALUE!</v>
      </c>
      <c r="K5399" s="106"/>
      <c r="L5399" s="107"/>
      <c r="M5399" s="106"/>
      <c r="N5399" s="106"/>
      <c r="O5399" s="108"/>
      <c r="P5399" s="108"/>
      <c r="Q5399" s="108"/>
      <c r="R5399" s="109"/>
      <c r="S5399" s="109"/>
      <c r="T5399" s="108"/>
      <c r="U5399" s="110"/>
      <c r="V5399" s="110"/>
      <c r="W5399" s="110"/>
      <c r="X5399" s="110"/>
    </row>
    <row r="5400" spans="1:24" ht="14.25" customHeight="1">
      <c r="A5400" s="110"/>
      <c r="B5400" s="125">
        <v>46203</v>
      </c>
      <c r="C5400" s="126" t="s">
        <v>3194</v>
      </c>
      <c r="D5400" s="15" t="s">
        <v>3108</v>
      </c>
      <c r="E5400" s="10" t="str">
        <f>TRIM(VLOOKUP(D5400,TB!$B$9:$C$1500,2,FALSE))</f>
        <v>Promotional Costs</v>
      </c>
      <c r="F5400" s="142" t="s">
        <v>3199</v>
      </c>
      <c r="G5400" s="130"/>
      <c r="H5400" s="10">
        <v>140796</v>
      </c>
      <c r="I5400" s="10"/>
      <c r="J5400" s="79" t="e">
        <f t="shared" si="346"/>
        <v>#VALUE!</v>
      </c>
      <c r="K5400" s="106"/>
      <c r="L5400" s="107"/>
      <c r="M5400" s="106"/>
      <c r="N5400" s="106"/>
      <c r="O5400" s="108"/>
      <c r="P5400" s="108"/>
      <c r="Q5400" s="108"/>
      <c r="R5400" s="109"/>
      <c r="S5400" s="109"/>
      <c r="T5400" s="108"/>
      <c r="U5400" s="110"/>
      <c r="V5400" s="110"/>
      <c r="W5400" s="110"/>
      <c r="X5400" s="110"/>
    </row>
    <row r="5401" spans="1:24" ht="14.25" customHeight="1">
      <c r="A5401" s="110"/>
      <c r="B5401" s="125">
        <v>46203</v>
      </c>
      <c r="C5401" s="126" t="s">
        <v>3194</v>
      </c>
      <c r="D5401" s="15" t="s">
        <v>3196</v>
      </c>
      <c r="E5401" s="10" t="str">
        <f>TRIM(VLOOKUP(D5401,TB!$B$9:$C$1500,2,FALSE))</f>
        <v>Photography/video</v>
      </c>
      <c r="F5401" s="142" t="s">
        <v>3200</v>
      </c>
      <c r="G5401" s="130"/>
      <c r="H5401" s="10">
        <v>350000</v>
      </c>
      <c r="I5401" s="10"/>
      <c r="J5401" s="79" t="e">
        <f t="shared" si="346"/>
        <v>#VALUE!</v>
      </c>
      <c r="K5401" s="106"/>
      <c r="L5401" s="107"/>
      <c r="M5401" s="106"/>
      <c r="N5401" s="106"/>
      <c r="O5401" s="108"/>
      <c r="P5401" s="108"/>
      <c r="Q5401" s="108"/>
      <c r="R5401" s="109"/>
      <c r="S5401" s="109"/>
      <c r="T5401" s="108"/>
      <c r="U5401" s="110"/>
      <c r="V5401" s="110"/>
      <c r="W5401" s="110"/>
      <c r="X5401" s="110"/>
    </row>
    <row r="5402" spans="1:24" ht="14.25" customHeight="1">
      <c r="A5402" s="110"/>
      <c r="B5402" s="125">
        <v>46203</v>
      </c>
      <c r="C5402" s="126" t="s">
        <v>3194</v>
      </c>
      <c r="D5402" s="15" t="s">
        <v>3196</v>
      </c>
      <c r="E5402" s="10" t="str">
        <f>TRIM(VLOOKUP(D5402,TB!$B$9:$C$1500,2,FALSE))</f>
        <v>Photography/video</v>
      </c>
      <c r="F5402" s="142" t="s">
        <v>3201</v>
      </c>
      <c r="G5402" s="130"/>
      <c r="H5402" s="10">
        <v>500000</v>
      </c>
      <c r="I5402" s="10"/>
      <c r="J5402" s="79" t="e">
        <f t="shared" si="346"/>
        <v>#VALUE!</v>
      </c>
      <c r="K5402" s="106"/>
      <c r="L5402" s="107"/>
      <c r="M5402" s="106"/>
      <c r="N5402" s="106"/>
      <c r="O5402" s="108"/>
      <c r="P5402" s="108"/>
      <c r="Q5402" s="108"/>
      <c r="R5402" s="109"/>
      <c r="S5402" s="109"/>
      <c r="T5402" s="108"/>
      <c r="U5402" s="110"/>
      <c r="V5402" s="110"/>
      <c r="W5402" s="110"/>
      <c r="X5402" s="110"/>
    </row>
    <row r="5403" spans="1:24" ht="14.25" customHeight="1">
      <c r="A5403" s="110"/>
      <c r="B5403" s="125">
        <v>46203</v>
      </c>
      <c r="C5403" s="126" t="s">
        <v>3194</v>
      </c>
      <c r="D5403" s="68" t="s">
        <v>285</v>
      </c>
      <c r="E5403" s="10" t="str">
        <f>TRIM(VLOOKUP(D5403,TB!$B$9:$C$1500,2,FALSE))</f>
        <v>Misc Cash Purchase</v>
      </c>
      <c r="F5403" s="142" t="s">
        <v>1162</v>
      </c>
      <c r="G5403" s="130"/>
      <c r="H5403" s="10"/>
      <c r="I5403" s="10">
        <v>2079396</v>
      </c>
      <c r="J5403" s="79" t="e">
        <f t="shared" si="346"/>
        <v>#VALUE!</v>
      </c>
      <c r="K5403" s="106"/>
      <c r="L5403" s="107"/>
      <c r="M5403" s="106"/>
      <c r="N5403" s="106"/>
      <c r="O5403" s="108"/>
      <c r="P5403" s="108"/>
      <c r="Q5403" s="108"/>
      <c r="R5403" s="109"/>
      <c r="S5403" s="109"/>
      <c r="T5403" s="108"/>
      <c r="U5403" s="110"/>
      <c r="V5403" s="110"/>
      <c r="W5403" s="110"/>
      <c r="X5403" s="110"/>
    </row>
    <row r="5404" spans="1:24" ht="14.25" customHeight="1">
      <c r="A5404" s="110"/>
      <c r="B5404" s="125"/>
      <c r="C5404" s="126"/>
      <c r="D5404" s="159"/>
      <c r="E5404" s="10" t="e">
        <f>TRIM(VLOOKUP(D5404,TB!$B$9:$C$1500,2,FALSE))</f>
        <v>#N/A</v>
      </c>
      <c r="F5404" s="142"/>
      <c r="G5404" s="130"/>
      <c r="H5404" s="10"/>
      <c r="I5404" s="10"/>
      <c r="J5404" s="79" t="e">
        <f t="shared" si="346"/>
        <v>#VALUE!</v>
      </c>
      <c r="K5404" s="106"/>
      <c r="L5404" s="107"/>
      <c r="M5404" s="106"/>
      <c r="N5404" s="106"/>
      <c r="O5404" s="108"/>
      <c r="P5404" s="108"/>
      <c r="Q5404" s="108"/>
      <c r="R5404" s="109"/>
      <c r="S5404" s="109"/>
      <c r="T5404" s="108"/>
      <c r="U5404" s="110"/>
      <c r="V5404" s="110"/>
      <c r="W5404" s="110"/>
      <c r="X5404" s="110"/>
    </row>
    <row r="5405" spans="1:24" ht="14.25" customHeight="1">
      <c r="A5405" s="110"/>
      <c r="B5405" s="125">
        <v>46203</v>
      </c>
      <c r="C5405" s="126" t="s">
        <v>3202</v>
      </c>
      <c r="D5405" s="15" t="s">
        <v>188</v>
      </c>
      <c r="E5405" s="10" t="str">
        <f>TRIM(VLOOKUP(D5405,TB!$B$9:$C$1500,2,FALSE))</f>
        <v>Advertising Costs</v>
      </c>
      <c r="F5405" s="142" t="s">
        <v>3203</v>
      </c>
      <c r="G5405" s="130"/>
      <c r="H5405" s="10">
        <v>292600</v>
      </c>
      <c r="I5405" s="10"/>
      <c r="J5405" s="79" t="e">
        <f t="shared" si="346"/>
        <v>#VALUE!</v>
      </c>
      <c r="K5405" s="106"/>
      <c r="L5405" s="107"/>
      <c r="M5405" s="106"/>
      <c r="N5405" s="106"/>
      <c r="O5405" s="108"/>
      <c r="P5405" s="108"/>
      <c r="Q5405" s="108"/>
      <c r="R5405" s="109"/>
      <c r="S5405" s="109"/>
      <c r="T5405" s="108"/>
      <c r="U5405" s="110"/>
      <c r="V5405" s="110"/>
      <c r="W5405" s="110"/>
      <c r="X5405" s="110"/>
    </row>
    <row r="5406" spans="1:24" ht="14.25" customHeight="1">
      <c r="A5406" s="110"/>
      <c r="B5406" s="125">
        <v>46203</v>
      </c>
      <c r="C5406" s="126" t="s">
        <v>3202</v>
      </c>
      <c r="D5406" s="15" t="s">
        <v>3196</v>
      </c>
      <c r="E5406" s="10" t="str">
        <f>TRIM(VLOOKUP(D5406,TB!$B$9:$C$1500,2,FALSE))</f>
        <v>Photography/video</v>
      </c>
      <c r="F5406" s="142" t="s">
        <v>3204</v>
      </c>
      <c r="G5406" s="130"/>
      <c r="H5406" s="10">
        <v>500000</v>
      </c>
      <c r="I5406" s="10"/>
      <c r="J5406" s="79" t="e">
        <f t="shared" si="346"/>
        <v>#VALUE!</v>
      </c>
      <c r="K5406" s="106"/>
      <c r="L5406" s="107"/>
      <c r="M5406" s="106"/>
      <c r="N5406" s="106"/>
      <c r="O5406" s="108"/>
      <c r="P5406" s="108"/>
      <c r="Q5406" s="108"/>
      <c r="R5406" s="109"/>
      <c r="S5406" s="109"/>
      <c r="T5406" s="108"/>
      <c r="U5406" s="110"/>
      <c r="V5406" s="110"/>
      <c r="W5406" s="110"/>
      <c r="X5406" s="110"/>
    </row>
    <row r="5407" spans="1:24" ht="14.25" customHeight="1">
      <c r="A5407" s="110"/>
      <c r="B5407" s="125">
        <v>46203</v>
      </c>
      <c r="C5407" s="126" t="s">
        <v>3202</v>
      </c>
      <c r="D5407" s="15" t="s">
        <v>3108</v>
      </c>
      <c r="E5407" s="10" t="str">
        <f>TRIM(VLOOKUP(D5407,TB!$B$9:$C$1500,2,FALSE))</f>
        <v>Promotional Costs</v>
      </c>
      <c r="F5407" s="142" t="s">
        <v>3205</v>
      </c>
      <c r="G5407" s="130"/>
      <c r="H5407" s="10">
        <v>300000</v>
      </c>
      <c r="I5407" s="10"/>
      <c r="J5407" s="79" t="e">
        <f t="shared" si="346"/>
        <v>#VALUE!</v>
      </c>
      <c r="K5407" s="106"/>
      <c r="L5407" s="107"/>
      <c r="M5407" s="106"/>
      <c r="N5407" s="106"/>
      <c r="O5407" s="108"/>
      <c r="P5407" s="108"/>
      <c r="Q5407" s="108"/>
      <c r="R5407" s="109"/>
      <c r="S5407" s="109"/>
      <c r="T5407" s="108"/>
      <c r="U5407" s="110"/>
      <c r="V5407" s="110"/>
      <c r="W5407" s="110"/>
      <c r="X5407" s="110"/>
    </row>
    <row r="5408" spans="1:24" ht="14.25" customHeight="1">
      <c r="A5408" s="110"/>
      <c r="B5408" s="125">
        <v>46203</v>
      </c>
      <c r="C5408" s="126" t="s">
        <v>3202</v>
      </c>
      <c r="D5408" s="15" t="s">
        <v>3108</v>
      </c>
      <c r="E5408" s="10" t="str">
        <f>TRIM(VLOOKUP(D5408,TB!$B$9:$C$1500,2,FALSE))</f>
        <v>Promotional Costs</v>
      </c>
      <c r="F5408" s="142" t="s">
        <v>3206</v>
      </c>
      <c r="G5408" s="130"/>
      <c r="H5408" s="10">
        <v>281592</v>
      </c>
      <c r="I5408" s="10"/>
      <c r="J5408" s="79" t="e">
        <f t="shared" si="346"/>
        <v>#VALUE!</v>
      </c>
      <c r="K5408" s="106"/>
      <c r="L5408" s="107"/>
      <c r="M5408" s="106"/>
      <c r="N5408" s="106"/>
      <c r="O5408" s="108"/>
      <c r="P5408" s="108"/>
      <c r="Q5408" s="108"/>
      <c r="R5408" s="109"/>
      <c r="S5408" s="109"/>
      <c r="T5408" s="108"/>
      <c r="U5408" s="110"/>
      <c r="V5408" s="110"/>
      <c r="W5408" s="110"/>
      <c r="X5408" s="110"/>
    </row>
    <row r="5409" spans="1:24" ht="14.25" customHeight="1">
      <c r="A5409" s="110"/>
      <c r="B5409" s="125">
        <v>46203</v>
      </c>
      <c r="C5409" s="126" t="s">
        <v>3202</v>
      </c>
      <c r="D5409" s="15" t="s">
        <v>3196</v>
      </c>
      <c r="E5409" s="10" t="str">
        <f>TRIM(VLOOKUP(D5409,TB!$B$9:$C$1500,2,FALSE))</f>
        <v>Photography/video</v>
      </c>
      <c r="F5409" s="142" t="s">
        <v>3207</v>
      </c>
      <c r="G5409" s="130"/>
      <c r="H5409" s="10">
        <v>250000</v>
      </c>
      <c r="I5409" s="10"/>
      <c r="J5409" s="79" t="e">
        <f t="shared" si="346"/>
        <v>#VALUE!</v>
      </c>
      <c r="K5409" s="106"/>
      <c r="L5409" s="107"/>
      <c r="M5409" s="106"/>
      <c r="N5409" s="106"/>
      <c r="O5409" s="108"/>
      <c r="P5409" s="108"/>
      <c r="Q5409" s="108"/>
      <c r="R5409" s="109"/>
      <c r="S5409" s="109"/>
      <c r="T5409" s="108"/>
      <c r="U5409" s="110"/>
      <c r="V5409" s="110"/>
      <c r="W5409" s="110"/>
      <c r="X5409" s="110"/>
    </row>
    <row r="5410" spans="1:24" ht="14.25" customHeight="1">
      <c r="A5410" s="110"/>
      <c r="B5410" s="125">
        <v>46203</v>
      </c>
      <c r="C5410" s="126" t="s">
        <v>3202</v>
      </c>
      <c r="D5410" s="15" t="s">
        <v>3196</v>
      </c>
      <c r="E5410" s="10" t="str">
        <f>TRIM(VLOOKUP(D5410,TB!$B$9:$C$1500,2,FALSE))</f>
        <v>Photography/video</v>
      </c>
      <c r="F5410" s="142" t="s">
        <v>3208</v>
      </c>
      <c r="G5410" s="130"/>
      <c r="H5410" s="10">
        <v>500000</v>
      </c>
      <c r="I5410" s="10"/>
      <c r="J5410" s="79" t="e">
        <f t="shared" si="346"/>
        <v>#VALUE!</v>
      </c>
      <c r="K5410" s="106"/>
      <c r="L5410" s="107"/>
      <c r="M5410" s="106"/>
      <c r="N5410" s="106"/>
      <c r="O5410" s="108"/>
      <c r="P5410" s="108"/>
      <c r="Q5410" s="108"/>
      <c r="R5410" s="109"/>
      <c r="S5410" s="109"/>
      <c r="T5410" s="108"/>
      <c r="U5410" s="110"/>
      <c r="V5410" s="110"/>
      <c r="W5410" s="110"/>
      <c r="X5410" s="110"/>
    </row>
    <row r="5411" spans="1:24" ht="14.25" customHeight="1">
      <c r="A5411" s="110"/>
      <c r="B5411" s="125">
        <v>46203</v>
      </c>
      <c r="C5411" s="126" t="s">
        <v>3202</v>
      </c>
      <c r="D5411" s="15" t="s">
        <v>3108</v>
      </c>
      <c r="E5411" s="10" t="str">
        <f>TRIM(VLOOKUP(D5411,TB!$B$9:$C$1500,2,FALSE))</f>
        <v>Promotional Costs</v>
      </c>
      <c r="F5411" s="142" t="s">
        <v>3209</v>
      </c>
      <c r="G5411" s="130"/>
      <c r="H5411" s="10">
        <v>1700000</v>
      </c>
      <c r="I5411" s="10"/>
      <c r="J5411" s="79" t="e">
        <f t="shared" si="346"/>
        <v>#VALUE!</v>
      </c>
      <c r="K5411" s="106"/>
      <c r="L5411" s="107"/>
      <c r="M5411" s="106"/>
      <c r="N5411" s="106"/>
      <c r="O5411" s="108"/>
      <c r="P5411" s="108"/>
      <c r="Q5411" s="108"/>
      <c r="R5411" s="109"/>
      <c r="S5411" s="109"/>
      <c r="T5411" s="108"/>
      <c r="U5411" s="110"/>
      <c r="V5411" s="110"/>
      <c r="W5411" s="110"/>
      <c r="X5411" s="110"/>
    </row>
    <row r="5412" spans="1:24" ht="14.25" customHeight="1">
      <c r="A5412" s="110"/>
      <c r="B5412" s="125">
        <v>46203</v>
      </c>
      <c r="C5412" s="126" t="s">
        <v>3202</v>
      </c>
      <c r="D5412" s="68" t="s">
        <v>285</v>
      </c>
      <c r="E5412" s="10" t="str">
        <f>TRIM(VLOOKUP(D5412,TB!$B$9:$C$1500,2,FALSE))</f>
        <v>Misc Cash Purchase</v>
      </c>
      <c r="F5412" s="142" t="s">
        <v>3210</v>
      </c>
      <c r="G5412" s="130"/>
      <c r="H5412" s="10"/>
      <c r="I5412" s="10">
        <v>3824192</v>
      </c>
      <c r="J5412" s="79" t="e">
        <f t="shared" si="346"/>
        <v>#VALUE!</v>
      </c>
      <c r="K5412" s="106"/>
      <c r="L5412" s="107"/>
      <c r="M5412" s="106"/>
      <c r="N5412" s="106"/>
      <c r="O5412" s="108"/>
      <c r="P5412" s="108"/>
      <c r="Q5412" s="108"/>
      <c r="R5412" s="109"/>
      <c r="S5412" s="109"/>
      <c r="T5412" s="108"/>
      <c r="U5412" s="110"/>
      <c r="V5412" s="110"/>
      <c r="W5412" s="110"/>
      <c r="X5412" s="110"/>
    </row>
    <row r="5413" spans="1:24" ht="14.25" customHeight="1">
      <c r="A5413" s="110"/>
      <c r="B5413" s="125"/>
      <c r="C5413" s="126"/>
      <c r="D5413" s="159"/>
      <c r="E5413" s="10" t="e">
        <f>TRIM(VLOOKUP(D5413,TB!$B$9:$C$1500,2,FALSE))</f>
        <v>#N/A</v>
      </c>
      <c r="F5413" s="142"/>
      <c r="G5413" s="130"/>
      <c r="H5413" s="10"/>
      <c r="I5413" s="10"/>
      <c r="J5413" s="79" t="e">
        <f t="shared" si="346"/>
        <v>#VALUE!</v>
      </c>
      <c r="K5413" s="106"/>
      <c r="L5413" s="107"/>
      <c r="M5413" s="106"/>
      <c r="N5413" s="106"/>
      <c r="O5413" s="108"/>
      <c r="P5413" s="108"/>
      <c r="Q5413" s="108"/>
      <c r="R5413" s="109"/>
      <c r="S5413" s="109"/>
      <c r="T5413" s="108"/>
      <c r="U5413" s="110"/>
      <c r="V5413" s="110"/>
      <c r="W5413" s="110"/>
      <c r="X5413" s="110"/>
    </row>
    <row r="5414" spans="1:24" ht="14.25" customHeight="1">
      <c r="A5414" s="110"/>
      <c r="B5414" s="125">
        <v>46203</v>
      </c>
      <c r="C5414" s="126" t="s">
        <v>3211</v>
      </c>
      <c r="D5414" s="15" t="s">
        <v>1608</v>
      </c>
      <c r="E5414" s="10" t="str">
        <f>TRIM(VLOOKUP(D5414,TB!$B$9:$C$1500,2,FALSE))</f>
        <v>Property Repair &amp; Maintenance</v>
      </c>
      <c r="F5414" s="142" t="s">
        <v>3212</v>
      </c>
      <c r="G5414" s="130"/>
      <c r="H5414" s="155">
        <v>17230000</v>
      </c>
      <c r="I5414" s="10"/>
      <c r="J5414" s="79" t="e">
        <f t="shared" si="346"/>
        <v>#VALUE!</v>
      </c>
      <c r="K5414" s="106"/>
      <c r="L5414" s="107"/>
      <c r="M5414" s="106"/>
      <c r="N5414" s="106"/>
      <c r="O5414" s="108"/>
      <c r="P5414" s="108"/>
      <c r="Q5414" s="108"/>
      <c r="R5414" s="109"/>
      <c r="S5414" s="109"/>
      <c r="T5414" s="108"/>
      <c r="U5414" s="110"/>
      <c r="V5414" s="110"/>
      <c r="W5414" s="110"/>
      <c r="X5414" s="110"/>
    </row>
    <row r="5415" spans="1:24" ht="14.25" customHeight="1">
      <c r="A5415" s="110"/>
      <c r="B5415" s="125">
        <v>46203</v>
      </c>
      <c r="C5415" s="126" t="s">
        <v>3211</v>
      </c>
      <c r="D5415" s="68" t="s">
        <v>285</v>
      </c>
      <c r="E5415" s="10" t="str">
        <f>TRIM(VLOOKUP(D5415,TB!$B$9:$C$1500,2,FALSE))</f>
        <v>Misc Cash Purchase</v>
      </c>
      <c r="F5415" s="142" t="s">
        <v>3212</v>
      </c>
      <c r="G5415" s="130"/>
      <c r="H5415" s="10"/>
      <c r="I5415" s="155">
        <v>17230000</v>
      </c>
      <c r="J5415" s="79" t="e">
        <f t="shared" si="346"/>
        <v>#VALUE!</v>
      </c>
      <c r="K5415" s="106"/>
      <c r="L5415" s="107"/>
      <c r="M5415" s="106"/>
      <c r="N5415" s="106"/>
      <c r="O5415" s="108"/>
      <c r="P5415" s="108"/>
      <c r="Q5415" s="108"/>
      <c r="R5415" s="109"/>
      <c r="S5415" s="109"/>
      <c r="T5415" s="108"/>
      <c r="U5415" s="110"/>
      <c r="V5415" s="110"/>
      <c r="W5415" s="110"/>
      <c r="X5415" s="110"/>
    </row>
    <row r="5416" spans="1:24" ht="14.25" customHeight="1">
      <c r="A5416" s="110"/>
      <c r="B5416" s="125"/>
      <c r="C5416" s="126"/>
      <c r="D5416" s="159"/>
      <c r="E5416" s="10" t="e">
        <f>TRIM(VLOOKUP(D5416,TB!$B$9:$C$1500,2,FALSE))</f>
        <v>#N/A</v>
      </c>
      <c r="F5416" s="142"/>
      <c r="G5416" s="130"/>
      <c r="H5416" s="10"/>
      <c r="I5416" s="10"/>
      <c r="J5416" s="79" t="e">
        <f t="shared" si="346"/>
        <v>#VALUE!</v>
      </c>
      <c r="K5416" s="106"/>
      <c r="L5416" s="107"/>
      <c r="M5416" s="106"/>
      <c r="N5416" s="106"/>
      <c r="O5416" s="108"/>
      <c r="P5416" s="108"/>
      <c r="Q5416" s="108"/>
      <c r="R5416" s="109"/>
      <c r="S5416" s="109"/>
      <c r="T5416" s="108"/>
      <c r="U5416" s="110"/>
      <c r="V5416" s="110"/>
      <c r="W5416" s="110"/>
      <c r="X5416" s="110"/>
    </row>
    <row r="5417" spans="1:24" ht="14.25" customHeight="1">
      <c r="A5417" s="110"/>
      <c r="B5417" s="125">
        <v>46203</v>
      </c>
      <c r="C5417" s="126" t="s">
        <v>3213</v>
      </c>
      <c r="D5417" s="15" t="s">
        <v>221</v>
      </c>
      <c r="E5417" s="10" t="str">
        <f>TRIM(VLOOKUP(D5417,TB!$B$9:$C$1500,2,FALSE))</f>
        <v>COS - Promotor Fees Other</v>
      </c>
      <c r="F5417" s="142" t="s">
        <v>3214</v>
      </c>
      <c r="G5417" s="130"/>
      <c r="H5417" s="10">
        <v>4431414</v>
      </c>
      <c r="I5417" s="10"/>
      <c r="J5417" s="79" t="e">
        <f t="shared" si="346"/>
        <v>#VALUE!</v>
      </c>
      <c r="K5417" s="106"/>
      <c r="L5417" s="107"/>
      <c r="M5417" s="106"/>
      <c r="N5417" s="106"/>
      <c r="O5417" s="108"/>
      <c r="P5417" s="108"/>
      <c r="Q5417" s="108"/>
      <c r="R5417" s="109"/>
      <c r="S5417" s="109"/>
      <c r="T5417" s="108"/>
      <c r="U5417" s="110"/>
      <c r="V5417" s="110"/>
      <c r="W5417" s="110"/>
      <c r="X5417" s="110"/>
    </row>
    <row r="5418" spans="1:24" ht="14.25" customHeight="1">
      <c r="A5418" s="110"/>
      <c r="B5418" s="125">
        <v>46203</v>
      </c>
      <c r="C5418" s="126" t="s">
        <v>3213</v>
      </c>
      <c r="D5418" s="15" t="s">
        <v>659</v>
      </c>
      <c r="E5418" s="10" t="str">
        <f>TRIM(VLOOKUP(D5418,TB!$B$9:$C$1500,2,FALSE))</f>
        <v>COS - Entertainment</v>
      </c>
      <c r="F5418" s="142" t="s">
        <v>3215</v>
      </c>
      <c r="G5418" s="130"/>
      <c r="H5418" s="10">
        <v>7000000</v>
      </c>
      <c r="I5418" s="10"/>
      <c r="J5418" s="79" t="e">
        <f t="shared" si="346"/>
        <v>#VALUE!</v>
      </c>
      <c r="K5418" s="106"/>
      <c r="L5418" s="107"/>
      <c r="M5418" s="106"/>
      <c r="N5418" s="106"/>
      <c r="O5418" s="108"/>
      <c r="P5418" s="108"/>
      <c r="Q5418" s="108"/>
      <c r="R5418" s="109"/>
      <c r="S5418" s="109"/>
      <c r="T5418" s="108"/>
      <c r="U5418" s="110"/>
      <c r="V5418" s="110"/>
      <c r="W5418" s="110"/>
      <c r="X5418" s="110"/>
    </row>
    <row r="5419" spans="1:24" ht="14.25" customHeight="1">
      <c r="A5419" s="110"/>
      <c r="B5419" s="125">
        <v>46203</v>
      </c>
      <c r="C5419" s="126" t="s">
        <v>3213</v>
      </c>
      <c r="D5419" s="15" t="s">
        <v>3108</v>
      </c>
      <c r="E5419" s="10" t="str">
        <f>TRIM(VLOOKUP(D5419,TB!$B$9:$C$1500,2,FALSE))</f>
        <v>Promotional Costs</v>
      </c>
      <c r="F5419" s="142" t="s">
        <v>3216</v>
      </c>
      <c r="G5419" s="130"/>
      <c r="H5419" s="10">
        <v>180000</v>
      </c>
      <c r="I5419" s="10"/>
      <c r="J5419" s="79" t="e">
        <f t="shared" si="346"/>
        <v>#VALUE!</v>
      </c>
      <c r="K5419" s="106"/>
      <c r="L5419" s="107"/>
      <c r="M5419" s="106"/>
      <c r="N5419" s="106"/>
      <c r="O5419" s="108"/>
      <c r="P5419" s="108"/>
      <c r="Q5419" s="108"/>
      <c r="R5419" s="109"/>
      <c r="S5419" s="109"/>
      <c r="T5419" s="108"/>
      <c r="U5419" s="110"/>
      <c r="V5419" s="110"/>
      <c r="W5419" s="110"/>
      <c r="X5419" s="110"/>
    </row>
    <row r="5420" spans="1:24" ht="14.25" customHeight="1">
      <c r="A5420" s="110"/>
      <c r="B5420" s="125">
        <v>46203</v>
      </c>
      <c r="C5420" s="126" t="s">
        <v>3213</v>
      </c>
      <c r="D5420" s="68" t="s">
        <v>285</v>
      </c>
      <c r="E5420" s="10" t="str">
        <f>TRIM(VLOOKUP(D5420,TB!$B$9:$C$1500,2,FALSE))</f>
        <v>Misc Cash Purchase</v>
      </c>
      <c r="F5420" s="142" t="s">
        <v>1172</v>
      </c>
      <c r="G5420" s="130"/>
      <c r="H5420" s="10"/>
      <c r="I5420" s="10">
        <v>11611414</v>
      </c>
      <c r="J5420" s="79" t="e">
        <f t="shared" si="346"/>
        <v>#VALUE!</v>
      </c>
      <c r="K5420" s="106"/>
      <c r="L5420" s="107"/>
      <c r="M5420" s="106"/>
      <c r="N5420" s="106"/>
      <c r="O5420" s="108"/>
      <c r="P5420" s="108"/>
      <c r="Q5420" s="108"/>
      <c r="R5420" s="109"/>
      <c r="S5420" s="109"/>
      <c r="T5420" s="108"/>
      <c r="U5420" s="110"/>
      <c r="V5420" s="110"/>
      <c r="W5420" s="110"/>
      <c r="X5420" s="110"/>
    </row>
    <row r="5421" spans="1:24" ht="14.25" customHeight="1">
      <c r="A5421" s="110"/>
      <c r="B5421" s="125"/>
      <c r="C5421" s="126"/>
      <c r="D5421" s="159"/>
      <c r="E5421" s="10" t="e">
        <f>TRIM(VLOOKUP(D5421,TB!$B$9:$C$1500,2,FALSE))</f>
        <v>#N/A</v>
      </c>
      <c r="F5421" s="142"/>
      <c r="G5421" s="130"/>
      <c r="H5421" s="10"/>
      <c r="I5421" s="10"/>
      <c r="J5421" s="79" t="e">
        <f t="shared" si="346"/>
        <v>#VALUE!</v>
      </c>
      <c r="K5421" s="106"/>
      <c r="L5421" s="107"/>
      <c r="M5421" s="106"/>
      <c r="N5421" s="106"/>
      <c r="O5421" s="108"/>
      <c r="P5421" s="108"/>
      <c r="Q5421" s="108"/>
      <c r="R5421" s="109"/>
      <c r="S5421" s="109"/>
      <c r="T5421" s="108"/>
      <c r="U5421" s="110"/>
      <c r="V5421" s="110"/>
      <c r="W5421" s="110"/>
      <c r="X5421" s="110"/>
    </row>
    <row r="5422" spans="1:24" ht="14.25" customHeight="1">
      <c r="A5422" s="110"/>
      <c r="B5422" s="125">
        <v>46203</v>
      </c>
      <c r="C5422" s="126" t="s">
        <v>3217</v>
      </c>
      <c r="D5422" s="15" t="s">
        <v>659</v>
      </c>
      <c r="E5422" s="10" t="str">
        <f>TRIM(VLOOKUP(D5422,TB!$B$9:$C$1500,2,FALSE))</f>
        <v>COS - Entertainment</v>
      </c>
      <c r="F5422" s="142" t="s">
        <v>3218</v>
      </c>
      <c r="G5422" s="130"/>
      <c r="H5422" s="10">
        <v>1500000</v>
      </c>
      <c r="I5422" s="10"/>
      <c r="J5422" s="79" t="e">
        <f t="shared" si="346"/>
        <v>#VALUE!</v>
      </c>
      <c r="K5422" s="106"/>
      <c r="L5422" s="107"/>
      <c r="M5422" s="106"/>
      <c r="N5422" s="106"/>
      <c r="O5422" s="108"/>
      <c r="P5422" s="108"/>
      <c r="Q5422" s="108"/>
      <c r="R5422" s="109"/>
      <c r="S5422" s="109"/>
      <c r="T5422" s="108"/>
      <c r="U5422" s="110"/>
      <c r="V5422" s="110"/>
      <c r="W5422" s="110"/>
      <c r="X5422" s="110"/>
    </row>
    <row r="5423" spans="1:24" ht="14.25" customHeight="1">
      <c r="A5423" s="110"/>
      <c r="B5423" s="125">
        <v>46203</v>
      </c>
      <c r="C5423" s="126" t="s">
        <v>3219</v>
      </c>
      <c r="D5423" s="15" t="s">
        <v>659</v>
      </c>
      <c r="E5423" s="10" t="str">
        <f>TRIM(VLOOKUP(D5423,TB!$B$9:$C$1500,2,FALSE))</f>
        <v>COS - Entertainment</v>
      </c>
      <c r="F5423" s="142" t="s">
        <v>3220</v>
      </c>
      <c r="G5423" s="130"/>
      <c r="H5423" s="10">
        <v>1500000</v>
      </c>
      <c r="I5423" s="10"/>
      <c r="J5423" s="79" t="e">
        <f t="shared" si="346"/>
        <v>#VALUE!</v>
      </c>
      <c r="K5423" s="106"/>
      <c r="L5423" s="107"/>
      <c r="M5423" s="106"/>
      <c r="N5423" s="106"/>
      <c r="O5423" s="108"/>
      <c r="P5423" s="108"/>
      <c r="Q5423" s="108"/>
      <c r="R5423" s="109"/>
      <c r="S5423" s="109"/>
      <c r="T5423" s="108"/>
      <c r="U5423" s="110"/>
      <c r="V5423" s="110"/>
      <c r="W5423" s="110"/>
      <c r="X5423" s="110"/>
    </row>
    <row r="5424" spans="1:24" ht="14.25" customHeight="1">
      <c r="A5424" s="110"/>
      <c r="B5424" s="125">
        <v>46203</v>
      </c>
      <c r="C5424" s="126" t="s">
        <v>3221</v>
      </c>
      <c r="D5424" s="15" t="s">
        <v>659</v>
      </c>
      <c r="E5424" s="10" t="str">
        <f>TRIM(VLOOKUP(D5424,TB!$B$9:$C$1500,2,FALSE))</f>
        <v>COS - Entertainment</v>
      </c>
      <c r="F5424" s="142" t="s">
        <v>3222</v>
      </c>
      <c r="G5424" s="130"/>
      <c r="H5424" s="10">
        <v>1500000</v>
      </c>
      <c r="I5424" s="10"/>
      <c r="J5424" s="79" t="e">
        <f t="shared" si="346"/>
        <v>#VALUE!</v>
      </c>
      <c r="K5424" s="106"/>
      <c r="L5424" s="107"/>
      <c r="M5424" s="106"/>
      <c r="N5424" s="106"/>
      <c r="O5424" s="108"/>
      <c r="P5424" s="108"/>
      <c r="Q5424" s="108"/>
      <c r="R5424" s="109"/>
      <c r="S5424" s="109"/>
      <c r="T5424" s="108"/>
      <c r="U5424" s="110"/>
      <c r="V5424" s="110"/>
      <c r="W5424" s="110"/>
      <c r="X5424" s="110"/>
    </row>
    <row r="5425" spans="1:24" ht="14.25" customHeight="1">
      <c r="A5425" s="110"/>
      <c r="B5425" s="125">
        <v>46203</v>
      </c>
      <c r="C5425" s="126" t="s">
        <v>3223</v>
      </c>
      <c r="D5425" s="15" t="s">
        <v>659</v>
      </c>
      <c r="E5425" s="10" t="str">
        <f>TRIM(VLOOKUP(D5425,TB!$B$9:$C$1500,2,FALSE))</f>
        <v>COS - Entertainment</v>
      </c>
      <c r="F5425" s="142" t="s">
        <v>3224</v>
      </c>
      <c r="G5425" s="130"/>
      <c r="H5425" s="10">
        <v>1500000</v>
      </c>
      <c r="I5425" s="10"/>
      <c r="J5425" s="79" t="e">
        <f t="shared" si="346"/>
        <v>#VALUE!</v>
      </c>
      <c r="K5425" s="106"/>
      <c r="L5425" s="107"/>
      <c r="M5425" s="106"/>
      <c r="N5425" s="106"/>
      <c r="O5425" s="108"/>
      <c r="P5425" s="108"/>
      <c r="Q5425" s="108"/>
      <c r="R5425" s="109"/>
      <c r="S5425" s="109"/>
      <c r="T5425" s="108"/>
      <c r="U5425" s="110"/>
      <c r="V5425" s="110"/>
      <c r="W5425" s="110"/>
      <c r="X5425" s="110"/>
    </row>
    <row r="5426" spans="1:24" ht="14.25" customHeight="1">
      <c r="A5426" s="110"/>
      <c r="B5426" s="125">
        <v>46203</v>
      </c>
      <c r="C5426" s="126" t="s">
        <v>3225</v>
      </c>
      <c r="D5426" s="15" t="s">
        <v>659</v>
      </c>
      <c r="E5426" s="10" t="str">
        <f>TRIM(VLOOKUP(D5426,TB!$B$9:$C$1500,2,FALSE))</f>
        <v>COS - Entertainment</v>
      </c>
      <c r="F5426" s="142" t="s">
        <v>3226</v>
      </c>
      <c r="G5426" s="130"/>
      <c r="H5426" s="10">
        <v>1500000</v>
      </c>
      <c r="I5426" s="10"/>
      <c r="J5426" s="79" t="e">
        <f t="shared" si="346"/>
        <v>#VALUE!</v>
      </c>
      <c r="K5426" s="106"/>
      <c r="L5426" s="107"/>
      <c r="M5426" s="106"/>
      <c r="N5426" s="106"/>
      <c r="O5426" s="108"/>
      <c r="P5426" s="108"/>
      <c r="Q5426" s="108"/>
      <c r="R5426" s="109"/>
      <c r="S5426" s="109"/>
      <c r="T5426" s="108"/>
      <c r="U5426" s="110"/>
      <c r="V5426" s="110"/>
      <c r="W5426" s="110"/>
      <c r="X5426" s="110"/>
    </row>
    <row r="5427" spans="1:24" ht="14.25" customHeight="1">
      <c r="A5427" s="110"/>
      <c r="B5427" s="125">
        <v>46203</v>
      </c>
      <c r="C5427" s="126" t="s">
        <v>3227</v>
      </c>
      <c r="D5427" s="15" t="s">
        <v>659</v>
      </c>
      <c r="E5427" s="10" t="str">
        <f>TRIM(VLOOKUP(D5427,TB!$B$9:$C$1500,2,FALSE))</f>
        <v>COS - Entertainment</v>
      </c>
      <c r="F5427" s="142" t="s">
        <v>3228</v>
      </c>
      <c r="G5427" s="130"/>
      <c r="H5427" s="10">
        <v>1500000</v>
      </c>
      <c r="I5427" s="10"/>
      <c r="J5427" s="79" t="e">
        <f t="shared" si="346"/>
        <v>#VALUE!</v>
      </c>
      <c r="K5427" s="106"/>
      <c r="L5427" s="107"/>
      <c r="M5427" s="106"/>
      <c r="N5427" s="106"/>
      <c r="O5427" s="108"/>
      <c r="P5427" s="108"/>
      <c r="Q5427" s="108"/>
      <c r="R5427" s="109"/>
      <c r="S5427" s="109"/>
      <c r="T5427" s="108"/>
      <c r="U5427" s="110"/>
      <c r="V5427" s="110"/>
      <c r="W5427" s="110"/>
      <c r="X5427" s="110"/>
    </row>
    <row r="5428" spans="1:24" ht="14.25" customHeight="1">
      <c r="A5428" s="110"/>
      <c r="B5428" s="125">
        <v>46203</v>
      </c>
      <c r="C5428" s="126" t="s">
        <v>3229</v>
      </c>
      <c r="D5428" s="15" t="s">
        <v>659</v>
      </c>
      <c r="E5428" s="10" t="str">
        <f>TRIM(VLOOKUP(D5428,TB!$B$9:$C$1500,2,FALSE))</f>
        <v>COS - Entertainment</v>
      </c>
      <c r="F5428" s="142" t="s">
        <v>3230</v>
      </c>
      <c r="G5428" s="130"/>
      <c r="H5428" s="10">
        <v>7000000</v>
      </c>
      <c r="I5428" s="10"/>
      <c r="J5428" s="79" t="e">
        <f t="shared" si="346"/>
        <v>#VALUE!</v>
      </c>
      <c r="K5428" s="106"/>
      <c r="L5428" s="107"/>
      <c r="M5428" s="106"/>
      <c r="N5428" s="106"/>
      <c r="O5428" s="108"/>
      <c r="P5428" s="108"/>
      <c r="Q5428" s="108"/>
      <c r="R5428" s="109"/>
      <c r="S5428" s="109"/>
      <c r="T5428" s="108"/>
      <c r="U5428" s="110"/>
      <c r="V5428" s="110"/>
      <c r="W5428" s="110"/>
      <c r="X5428" s="110"/>
    </row>
    <row r="5429" spans="1:24" ht="14.25" customHeight="1">
      <c r="A5429" s="110"/>
      <c r="B5429" s="125">
        <v>46203</v>
      </c>
      <c r="C5429" s="126" t="s">
        <v>3231</v>
      </c>
      <c r="D5429" s="15" t="s">
        <v>659</v>
      </c>
      <c r="E5429" s="10" t="str">
        <f>TRIM(VLOOKUP(D5429,TB!$B$9:$C$1500,2,FALSE))</f>
        <v>COS - Entertainment</v>
      </c>
      <c r="F5429" s="142" t="s">
        <v>3232</v>
      </c>
      <c r="G5429" s="130"/>
      <c r="H5429" s="10">
        <v>2000000</v>
      </c>
      <c r="I5429" s="10"/>
      <c r="J5429" s="79" t="e">
        <f t="shared" si="346"/>
        <v>#VALUE!</v>
      </c>
      <c r="K5429" s="106"/>
      <c r="L5429" s="107"/>
      <c r="M5429" s="106"/>
      <c r="N5429" s="106"/>
      <c r="O5429" s="108"/>
      <c r="P5429" s="108"/>
      <c r="Q5429" s="108"/>
      <c r="R5429" s="109"/>
      <c r="S5429" s="109"/>
      <c r="T5429" s="108"/>
      <c r="U5429" s="110"/>
      <c r="V5429" s="110"/>
      <c r="W5429" s="110"/>
      <c r="X5429" s="110"/>
    </row>
    <row r="5430" spans="1:24" ht="14.25" customHeight="1">
      <c r="A5430" s="110"/>
      <c r="B5430" s="125">
        <v>46203</v>
      </c>
      <c r="C5430" s="126" t="s">
        <v>3233</v>
      </c>
      <c r="D5430" s="15" t="s">
        <v>659</v>
      </c>
      <c r="E5430" s="10" t="str">
        <f>TRIM(VLOOKUP(D5430,TB!$B$9:$C$1500,2,FALSE))</f>
        <v>COS - Entertainment</v>
      </c>
      <c r="F5430" s="142" t="s">
        <v>3234</v>
      </c>
      <c r="G5430" s="130"/>
      <c r="H5430" s="10">
        <v>2000000</v>
      </c>
      <c r="I5430" s="10"/>
      <c r="J5430" s="79" t="e">
        <f t="shared" si="346"/>
        <v>#VALUE!</v>
      </c>
      <c r="K5430" s="106"/>
      <c r="L5430" s="107"/>
      <c r="M5430" s="106"/>
      <c r="N5430" s="106"/>
      <c r="O5430" s="108"/>
      <c r="P5430" s="108"/>
      <c r="Q5430" s="108"/>
      <c r="R5430" s="109"/>
      <c r="S5430" s="109"/>
      <c r="T5430" s="108"/>
      <c r="U5430" s="110"/>
      <c r="V5430" s="110"/>
      <c r="W5430" s="110"/>
      <c r="X5430" s="110"/>
    </row>
    <row r="5431" spans="1:24" ht="14.25" customHeight="1">
      <c r="A5431" s="110"/>
      <c r="B5431" s="125">
        <v>46203</v>
      </c>
      <c r="C5431" s="126" t="s">
        <v>3235</v>
      </c>
      <c r="D5431" s="15" t="s">
        <v>659</v>
      </c>
      <c r="E5431" s="10" t="str">
        <f>TRIM(VLOOKUP(D5431,TB!$B$9:$C$1500,2,FALSE))</f>
        <v>COS - Entertainment</v>
      </c>
      <c r="F5431" s="142" t="s">
        <v>3236</v>
      </c>
      <c r="G5431" s="130"/>
      <c r="H5431" s="10">
        <v>2000000</v>
      </c>
      <c r="I5431" s="10"/>
      <c r="J5431" s="79" t="e">
        <f t="shared" si="346"/>
        <v>#VALUE!</v>
      </c>
      <c r="K5431" s="106"/>
      <c r="L5431" s="107"/>
      <c r="M5431" s="106"/>
      <c r="N5431" s="106"/>
      <c r="O5431" s="108"/>
      <c r="P5431" s="108"/>
      <c r="Q5431" s="108"/>
      <c r="R5431" s="109"/>
      <c r="S5431" s="109"/>
      <c r="T5431" s="108"/>
      <c r="U5431" s="110"/>
      <c r="V5431" s="110"/>
      <c r="W5431" s="110"/>
      <c r="X5431" s="110"/>
    </row>
    <row r="5432" spans="1:24" ht="14.25" customHeight="1">
      <c r="A5432" s="110"/>
      <c r="B5432" s="125">
        <v>46203</v>
      </c>
      <c r="C5432" s="126" t="s">
        <v>3237</v>
      </c>
      <c r="D5432" s="15" t="s">
        <v>659</v>
      </c>
      <c r="E5432" s="10" t="str">
        <f>TRIM(VLOOKUP(D5432,TB!$B$9:$C$1500,2,FALSE))</f>
        <v>COS - Entertainment</v>
      </c>
      <c r="F5432" s="142" t="s">
        <v>3238</v>
      </c>
      <c r="G5432" s="130"/>
      <c r="H5432" s="10">
        <v>2000000</v>
      </c>
      <c r="I5432" s="10"/>
      <c r="J5432" s="79" t="e">
        <f t="shared" si="346"/>
        <v>#VALUE!</v>
      </c>
      <c r="K5432" s="106"/>
      <c r="L5432" s="107"/>
      <c r="M5432" s="106"/>
      <c r="N5432" s="106"/>
      <c r="O5432" s="108"/>
      <c r="P5432" s="108"/>
      <c r="Q5432" s="108"/>
      <c r="R5432" s="109"/>
      <c r="S5432" s="109"/>
      <c r="T5432" s="108"/>
      <c r="U5432" s="110"/>
      <c r="V5432" s="110"/>
      <c r="W5432" s="110"/>
      <c r="X5432" s="110"/>
    </row>
    <row r="5433" spans="1:24" ht="14.25" customHeight="1">
      <c r="A5433" s="110"/>
      <c r="B5433" s="125">
        <v>46203</v>
      </c>
      <c r="C5433" s="126" t="s">
        <v>3239</v>
      </c>
      <c r="D5433" s="15" t="s">
        <v>659</v>
      </c>
      <c r="E5433" s="10" t="str">
        <f>TRIM(VLOOKUP(D5433,TB!$B$9:$C$1500,2,FALSE))</f>
        <v>COS - Entertainment</v>
      </c>
      <c r="F5433" s="142" t="s">
        <v>3240</v>
      </c>
      <c r="G5433" s="130"/>
      <c r="H5433" s="10">
        <v>2000000</v>
      </c>
      <c r="I5433" s="10"/>
      <c r="J5433" s="79" t="e">
        <f t="shared" si="346"/>
        <v>#VALUE!</v>
      </c>
      <c r="K5433" s="106"/>
      <c r="L5433" s="107"/>
      <c r="M5433" s="106"/>
      <c r="N5433" s="106"/>
      <c r="O5433" s="108"/>
      <c r="P5433" s="108"/>
      <c r="Q5433" s="108"/>
      <c r="R5433" s="109"/>
      <c r="S5433" s="109"/>
      <c r="T5433" s="108"/>
      <c r="U5433" s="110"/>
      <c r="V5433" s="110"/>
      <c r="W5433" s="110"/>
      <c r="X5433" s="110"/>
    </row>
    <row r="5434" spans="1:24" ht="14.25" customHeight="1">
      <c r="A5434" s="110"/>
      <c r="B5434" s="125">
        <v>46203</v>
      </c>
      <c r="C5434" s="126" t="s">
        <v>3241</v>
      </c>
      <c r="D5434" s="15" t="s">
        <v>659</v>
      </c>
      <c r="E5434" s="10" t="str">
        <f>TRIM(VLOOKUP(D5434,TB!$B$9:$C$1500,2,FALSE))</f>
        <v>COS - Entertainment</v>
      </c>
      <c r="F5434" s="142" t="s">
        <v>3242</v>
      </c>
      <c r="G5434" s="130"/>
      <c r="H5434" s="10">
        <v>2000000</v>
      </c>
      <c r="I5434" s="10"/>
      <c r="J5434" s="79" t="e">
        <f t="shared" si="346"/>
        <v>#VALUE!</v>
      </c>
      <c r="K5434" s="106"/>
      <c r="L5434" s="107"/>
      <c r="M5434" s="106"/>
      <c r="N5434" s="106"/>
      <c r="O5434" s="108"/>
      <c r="P5434" s="108"/>
      <c r="Q5434" s="108"/>
      <c r="R5434" s="109"/>
      <c r="S5434" s="109"/>
      <c r="T5434" s="108"/>
      <c r="U5434" s="110"/>
      <c r="V5434" s="110"/>
      <c r="W5434" s="110"/>
      <c r="X5434" s="110"/>
    </row>
    <row r="5435" spans="1:24" ht="14.25" customHeight="1">
      <c r="A5435" s="110"/>
      <c r="B5435" s="125">
        <v>46203</v>
      </c>
      <c r="C5435" s="126" t="s">
        <v>3243</v>
      </c>
      <c r="D5435" s="15" t="s">
        <v>659</v>
      </c>
      <c r="E5435" s="10" t="str">
        <f>TRIM(VLOOKUP(D5435,TB!$B$9:$C$1500,2,FALSE))</f>
        <v>COS - Entertainment</v>
      </c>
      <c r="F5435" s="142" t="s">
        <v>3244</v>
      </c>
      <c r="G5435" s="130"/>
      <c r="H5435" s="10">
        <v>3000000</v>
      </c>
      <c r="I5435" s="10"/>
      <c r="J5435" s="79" t="e">
        <f t="shared" si="346"/>
        <v>#VALUE!</v>
      </c>
      <c r="K5435" s="106"/>
      <c r="L5435" s="107"/>
      <c r="M5435" s="106"/>
      <c r="N5435" s="106"/>
      <c r="O5435" s="108"/>
      <c r="P5435" s="108"/>
      <c r="Q5435" s="108"/>
      <c r="R5435" s="109"/>
      <c r="S5435" s="109"/>
      <c r="T5435" s="108"/>
      <c r="U5435" s="110"/>
      <c r="V5435" s="110"/>
      <c r="W5435" s="110"/>
      <c r="X5435" s="110"/>
    </row>
    <row r="5436" spans="1:24" ht="14.25" customHeight="1">
      <c r="A5436" s="110"/>
      <c r="B5436" s="125">
        <v>46203</v>
      </c>
      <c r="C5436" s="126" t="s">
        <v>3245</v>
      </c>
      <c r="D5436" s="15" t="s">
        <v>659</v>
      </c>
      <c r="E5436" s="10" t="str">
        <f>TRIM(VLOOKUP(D5436,TB!$B$9:$C$1500,2,FALSE))</f>
        <v>COS - Entertainment</v>
      </c>
      <c r="F5436" s="142" t="s">
        <v>3246</v>
      </c>
      <c r="G5436" s="130"/>
      <c r="H5436" s="10">
        <v>2000000</v>
      </c>
      <c r="I5436" s="10"/>
      <c r="J5436" s="79" t="e">
        <f t="shared" si="346"/>
        <v>#VALUE!</v>
      </c>
      <c r="K5436" s="106"/>
      <c r="L5436" s="107"/>
      <c r="M5436" s="106"/>
      <c r="N5436" s="106"/>
      <c r="O5436" s="108"/>
      <c r="P5436" s="108"/>
      <c r="Q5436" s="108"/>
      <c r="R5436" s="109"/>
      <c r="S5436" s="109"/>
      <c r="T5436" s="108"/>
      <c r="U5436" s="110"/>
      <c r="V5436" s="110"/>
      <c r="W5436" s="110"/>
      <c r="X5436" s="110"/>
    </row>
    <row r="5437" spans="1:24" ht="14.25" customHeight="1">
      <c r="A5437" s="110"/>
      <c r="B5437" s="125">
        <v>46203</v>
      </c>
      <c r="C5437" s="126" t="s">
        <v>3217</v>
      </c>
      <c r="D5437" s="68" t="s">
        <v>285</v>
      </c>
      <c r="E5437" s="10" t="str">
        <f>TRIM(VLOOKUP(D5437,TB!$B$9:$C$1500,2,FALSE))</f>
        <v>Misc Cash Purchase</v>
      </c>
      <c r="F5437" s="142" t="s">
        <v>3218</v>
      </c>
      <c r="G5437" s="130"/>
      <c r="H5437" s="10"/>
      <c r="I5437" s="10">
        <v>1500000</v>
      </c>
      <c r="J5437" s="79" t="e">
        <f t="shared" si="346"/>
        <v>#VALUE!</v>
      </c>
      <c r="K5437" s="106"/>
      <c r="L5437" s="107"/>
      <c r="M5437" s="106"/>
      <c r="N5437" s="106"/>
      <c r="O5437" s="108"/>
      <c r="P5437" s="108"/>
      <c r="Q5437" s="108"/>
      <c r="R5437" s="109"/>
      <c r="S5437" s="109"/>
      <c r="T5437" s="108"/>
      <c r="U5437" s="110"/>
      <c r="V5437" s="110"/>
      <c r="W5437" s="110"/>
      <c r="X5437" s="110"/>
    </row>
    <row r="5438" spans="1:24" ht="14.25" customHeight="1">
      <c r="A5438" s="110"/>
      <c r="B5438" s="125">
        <v>46203</v>
      </c>
      <c r="C5438" s="126" t="s">
        <v>3219</v>
      </c>
      <c r="D5438" s="68" t="s">
        <v>285</v>
      </c>
      <c r="E5438" s="10" t="str">
        <f>TRIM(VLOOKUP(D5438,TB!$B$9:$C$1500,2,FALSE))</f>
        <v>Misc Cash Purchase</v>
      </c>
      <c r="F5438" s="142" t="s">
        <v>3220</v>
      </c>
      <c r="G5438" s="130"/>
      <c r="H5438" s="10"/>
      <c r="I5438" s="10">
        <v>1500000</v>
      </c>
      <c r="J5438" s="79" t="e">
        <f t="shared" si="346"/>
        <v>#VALUE!</v>
      </c>
      <c r="K5438" s="106"/>
      <c r="L5438" s="107"/>
      <c r="M5438" s="106"/>
      <c r="N5438" s="106"/>
      <c r="O5438" s="108"/>
      <c r="P5438" s="108"/>
      <c r="Q5438" s="108"/>
      <c r="R5438" s="109"/>
      <c r="S5438" s="109"/>
      <c r="T5438" s="108"/>
      <c r="U5438" s="110"/>
      <c r="V5438" s="110"/>
      <c r="W5438" s="110"/>
      <c r="X5438" s="110"/>
    </row>
    <row r="5439" spans="1:24" ht="14.25" customHeight="1">
      <c r="A5439" s="110"/>
      <c r="B5439" s="125">
        <v>46203</v>
      </c>
      <c r="C5439" s="126" t="s">
        <v>3221</v>
      </c>
      <c r="D5439" s="68" t="s">
        <v>285</v>
      </c>
      <c r="E5439" s="10" t="str">
        <f>TRIM(VLOOKUP(D5439,TB!$B$9:$C$1500,2,FALSE))</f>
        <v>Misc Cash Purchase</v>
      </c>
      <c r="F5439" s="142" t="s">
        <v>3222</v>
      </c>
      <c r="G5439" s="130"/>
      <c r="H5439" s="10"/>
      <c r="I5439" s="10">
        <v>1500000</v>
      </c>
      <c r="J5439" s="79" t="e">
        <f t="shared" si="346"/>
        <v>#VALUE!</v>
      </c>
      <c r="K5439" s="106"/>
      <c r="L5439" s="107"/>
      <c r="M5439" s="106"/>
      <c r="N5439" s="106"/>
      <c r="O5439" s="108"/>
      <c r="P5439" s="108"/>
      <c r="Q5439" s="108"/>
      <c r="R5439" s="109"/>
      <c r="S5439" s="109"/>
      <c r="T5439" s="108"/>
      <c r="U5439" s="110"/>
      <c r="V5439" s="110"/>
      <c r="W5439" s="110"/>
      <c r="X5439" s="110"/>
    </row>
    <row r="5440" spans="1:24" ht="14.25" customHeight="1">
      <c r="A5440" s="110"/>
      <c r="B5440" s="125">
        <v>46203</v>
      </c>
      <c r="C5440" s="126" t="s">
        <v>3223</v>
      </c>
      <c r="D5440" s="68" t="s">
        <v>285</v>
      </c>
      <c r="E5440" s="10" t="str">
        <f>TRIM(VLOOKUP(D5440,TB!$B$9:$C$1500,2,FALSE))</f>
        <v>Misc Cash Purchase</v>
      </c>
      <c r="F5440" s="142" t="s">
        <v>3224</v>
      </c>
      <c r="G5440" s="130"/>
      <c r="H5440" s="10"/>
      <c r="I5440" s="10">
        <v>1500000</v>
      </c>
      <c r="J5440" s="79" t="e">
        <f t="shared" si="346"/>
        <v>#VALUE!</v>
      </c>
      <c r="K5440" s="106"/>
      <c r="L5440" s="107"/>
      <c r="M5440" s="106"/>
      <c r="N5440" s="106"/>
      <c r="O5440" s="108"/>
      <c r="P5440" s="108"/>
      <c r="Q5440" s="108"/>
      <c r="R5440" s="109"/>
      <c r="S5440" s="109"/>
      <c r="T5440" s="108"/>
      <c r="U5440" s="110"/>
      <c r="V5440" s="110"/>
      <c r="W5440" s="110"/>
      <c r="X5440" s="110"/>
    </row>
    <row r="5441" spans="1:24" ht="14.25" customHeight="1">
      <c r="A5441" s="110"/>
      <c r="B5441" s="125">
        <v>46203</v>
      </c>
      <c r="C5441" s="126" t="s">
        <v>3225</v>
      </c>
      <c r="D5441" s="68" t="s">
        <v>285</v>
      </c>
      <c r="E5441" s="10" t="str">
        <f>TRIM(VLOOKUP(D5441,TB!$B$9:$C$1500,2,FALSE))</f>
        <v>Misc Cash Purchase</v>
      </c>
      <c r="F5441" s="142" t="s">
        <v>3226</v>
      </c>
      <c r="G5441" s="130"/>
      <c r="H5441" s="10"/>
      <c r="I5441" s="10">
        <v>1500000</v>
      </c>
      <c r="J5441" s="79" t="e">
        <f t="shared" si="346"/>
        <v>#VALUE!</v>
      </c>
      <c r="K5441" s="106"/>
      <c r="L5441" s="107"/>
      <c r="M5441" s="106"/>
      <c r="N5441" s="106"/>
      <c r="O5441" s="108"/>
      <c r="P5441" s="108"/>
      <c r="Q5441" s="108"/>
      <c r="R5441" s="109"/>
      <c r="S5441" s="109"/>
      <c r="T5441" s="108"/>
      <c r="U5441" s="110"/>
      <c r="V5441" s="110"/>
      <c r="W5441" s="110"/>
      <c r="X5441" s="110"/>
    </row>
    <row r="5442" spans="1:24" ht="14.25" customHeight="1">
      <c r="A5442" s="110"/>
      <c r="B5442" s="125">
        <v>46203</v>
      </c>
      <c r="C5442" s="126" t="s">
        <v>3227</v>
      </c>
      <c r="D5442" s="68" t="s">
        <v>285</v>
      </c>
      <c r="E5442" s="10" t="str">
        <f>TRIM(VLOOKUP(D5442,TB!$B$9:$C$1500,2,FALSE))</f>
        <v>Misc Cash Purchase</v>
      </c>
      <c r="F5442" s="142" t="s">
        <v>3228</v>
      </c>
      <c r="G5442" s="130"/>
      <c r="H5442" s="10"/>
      <c r="I5442" s="10">
        <v>1500000</v>
      </c>
      <c r="J5442" s="79" t="e">
        <f t="shared" si="346"/>
        <v>#VALUE!</v>
      </c>
      <c r="K5442" s="106"/>
      <c r="L5442" s="107"/>
      <c r="M5442" s="106"/>
      <c r="N5442" s="106"/>
      <c r="O5442" s="108"/>
      <c r="P5442" s="108"/>
      <c r="Q5442" s="108"/>
      <c r="R5442" s="109"/>
      <c r="S5442" s="109"/>
      <c r="T5442" s="108"/>
      <c r="U5442" s="110"/>
      <c r="V5442" s="110"/>
      <c r="W5442" s="110"/>
      <c r="X5442" s="110"/>
    </row>
    <row r="5443" spans="1:24" ht="14.25" customHeight="1">
      <c r="A5443" s="110"/>
      <c r="B5443" s="125">
        <v>46203</v>
      </c>
      <c r="C5443" s="126" t="s">
        <v>3229</v>
      </c>
      <c r="D5443" s="68" t="s">
        <v>285</v>
      </c>
      <c r="E5443" s="10" t="str">
        <f>TRIM(VLOOKUP(D5443,TB!$B$9:$C$1500,2,FALSE))</f>
        <v>Misc Cash Purchase</v>
      </c>
      <c r="F5443" s="142" t="s">
        <v>3230</v>
      </c>
      <c r="G5443" s="130"/>
      <c r="H5443" s="10"/>
      <c r="I5443" s="10">
        <v>7000000</v>
      </c>
      <c r="J5443" s="79" t="e">
        <f t="shared" si="346"/>
        <v>#VALUE!</v>
      </c>
      <c r="K5443" s="106"/>
      <c r="L5443" s="107"/>
      <c r="M5443" s="106"/>
      <c r="N5443" s="106"/>
      <c r="O5443" s="108"/>
      <c r="P5443" s="108"/>
      <c r="Q5443" s="108"/>
      <c r="R5443" s="109"/>
      <c r="S5443" s="109"/>
      <c r="T5443" s="108"/>
      <c r="U5443" s="110"/>
      <c r="V5443" s="110"/>
      <c r="W5443" s="110"/>
      <c r="X5443" s="110"/>
    </row>
    <row r="5444" spans="1:24" ht="14.25" customHeight="1">
      <c r="A5444" s="110"/>
      <c r="B5444" s="125">
        <v>46203</v>
      </c>
      <c r="C5444" s="126" t="s">
        <v>3231</v>
      </c>
      <c r="D5444" s="68" t="s">
        <v>285</v>
      </c>
      <c r="E5444" s="10" t="str">
        <f>TRIM(VLOOKUP(D5444,TB!$B$9:$C$1500,2,FALSE))</f>
        <v>Misc Cash Purchase</v>
      </c>
      <c r="F5444" s="142" t="s">
        <v>3232</v>
      </c>
      <c r="G5444" s="130"/>
      <c r="H5444" s="10"/>
      <c r="I5444" s="10">
        <v>2000000</v>
      </c>
      <c r="J5444" s="79" t="e">
        <f t="shared" si="346"/>
        <v>#VALUE!</v>
      </c>
      <c r="K5444" s="106"/>
      <c r="L5444" s="107"/>
      <c r="M5444" s="106"/>
      <c r="N5444" s="106"/>
      <c r="O5444" s="108"/>
      <c r="P5444" s="108"/>
      <c r="Q5444" s="108"/>
      <c r="R5444" s="109"/>
      <c r="S5444" s="109"/>
      <c r="T5444" s="108"/>
      <c r="U5444" s="110"/>
      <c r="V5444" s="110"/>
      <c r="W5444" s="110"/>
      <c r="X5444" s="110"/>
    </row>
    <row r="5445" spans="1:24" ht="14.25" customHeight="1">
      <c r="A5445" s="110"/>
      <c r="B5445" s="125">
        <v>46203</v>
      </c>
      <c r="C5445" s="126" t="s">
        <v>3233</v>
      </c>
      <c r="D5445" s="68" t="s">
        <v>285</v>
      </c>
      <c r="E5445" s="10" t="str">
        <f>TRIM(VLOOKUP(D5445,TB!$B$9:$C$1500,2,FALSE))</f>
        <v>Misc Cash Purchase</v>
      </c>
      <c r="F5445" s="142" t="s">
        <v>3234</v>
      </c>
      <c r="G5445" s="130"/>
      <c r="H5445" s="10"/>
      <c r="I5445" s="10">
        <v>2000000</v>
      </c>
      <c r="J5445" s="79" t="e">
        <f t="shared" si="346"/>
        <v>#VALUE!</v>
      </c>
      <c r="K5445" s="106"/>
      <c r="L5445" s="107"/>
      <c r="M5445" s="106"/>
      <c r="N5445" s="106"/>
      <c r="O5445" s="108"/>
      <c r="P5445" s="108"/>
      <c r="Q5445" s="108"/>
      <c r="R5445" s="109"/>
      <c r="S5445" s="109"/>
      <c r="T5445" s="108"/>
      <c r="U5445" s="110"/>
      <c r="V5445" s="110"/>
      <c r="W5445" s="110"/>
      <c r="X5445" s="110"/>
    </row>
    <row r="5446" spans="1:24" ht="14.25" customHeight="1">
      <c r="A5446" s="110"/>
      <c r="B5446" s="125">
        <v>46203</v>
      </c>
      <c r="C5446" s="126" t="s">
        <v>3235</v>
      </c>
      <c r="D5446" s="68" t="s">
        <v>285</v>
      </c>
      <c r="E5446" s="10" t="str">
        <f>TRIM(VLOOKUP(D5446,TB!$B$9:$C$1500,2,FALSE))</f>
        <v>Misc Cash Purchase</v>
      </c>
      <c r="F5446" s="142" t="s">
        <v>3236</v>
      </c>
      <c r="G5446" s="130"/>
      <c r="H5446" s="10"/>
      <c r="I5446" s="10">
        <v>2000000</v>
      </c>
      <c r="J5446" s="79" t="e">
        <f t="shared" si="346"/>
        <v>#VALUE!</v>
      </c>
      <c r="K5446" s="106"/>
      <c r="L5446" s="107"/>
      <c r="M5446" s="106"/>
      <c r="N5446" s="106"/>
      <c r="O5446" s="108"/>
      <c r="P5446" s="108"/>
      <c r="Q5446" s="108"/>
      <c r="R5446" s="109"/>
      <c r="S5446" s="109"/>
      <c r="T5446" s="108"/>
      <c r="U5446" s="110"/>
      <c r="V5446" s="110"/>
      <c r="W5446" s="110"/>
      <c r="X5446" s="110"/>
    </row>
    <row r="5447" spans="1:24" ht="14.25" customHeight="1">
      <c r="A5447" s="110"/>
      <c r="B5447" s="125">
        <v>46203</v>
      </c>
      <c r="C5447" s="126" t="s">
        <v>3237</v>
      </c>
      <c r="D5447" s="68" t="s">
        <v>285</v>
      </c>
      <c r="E5447" s="10" t="str">
        <f>TRIM(VLOOKUP(D5447,TB!$B$9:$C$1500,2,FALSE))</f>
        <v>Misc Cash Purchase</v>
      </c>
      <c r="F5447" s="142" t="s">
        <v>3238</v>
      </c>
      <c r="G5447" s="130"/>
      <c r="H5447" s="10"/>
      <c r="I5447" s="10">
        <v>2000000</v>
      </c>
      <c r="J5447" s="79" t="e">
        <f t="shared" si="346"/>
        <v>#VALUE!</v>
      </c>
      <c r="K5447" s="106"/>
      <c r="L5447" s="107"/>
      <c r="M5447" s="106"/>
      <c r="N5447" s="106"/>
      <c r="O5447" s="108"/>
      <c r="P5447" s="108"/>
      <c r="Q5447" s="108"/>
      <c r="R5447" s="109"/>
      <c r="S5447" s="109"/>
      <c r="T5447" s="108"/>
      <c r="U5447" s="110"/>
      <c r="V5447" s="110"/>
      <c r="W5447" s="110"/>
      <c r="X5447" s="110"/>
    </row>
    <row r="5448" spans="1:24" ht="14.25" customHeight="1">
      <c r="A5448" s="110"/>
      <c r="B5448" s="125">
        <v>46203</v>
      </c>
      <c r="C5448" s="126" t="s">
        <v>3239</v>
      </c>
      <c r="D5448" s="68" t="s">
        <v>285</v>
      </c>
      <c r="E5448" s="10" t="str">
        <f>TRIM(VLOOKUP(D5448,TB!$B$9:$C$1500,2,FALSE))</f>
        <v>Misc Cash Purchase</v>
      </c>
      <c r="F5448" s="142" t="s">
        <v>3240</v>
      </c>
      <c r="G5448" s="130"/>
      <c r="H5448" s="10"/>
      <c r="I5448" s="10">
        <v>2000000</v>
      </c>
      <c r="J5448" s="79" t="e">
        <f t="shared" si="346"/>
        <v>#VALUE!</v>
      </c>
      <c r="K5448" s="106"/>
      <c r="L5448" s="107"/>
      <c r="M5448" s="106"/>
      <c r="N5448" s="106"/>
      <c r="O5448" s="108"/>
      <c r="P5448" s="108"/>
      <c r="Q5448" s="108"/>
      <c r="R5448" s="109"/>
      <c r="S5448" s="109"/>
      <c r="T5448" s="108"/>
      <c r="U5448" s="110"/>
      <c r="V5448" s="110"/>
      <c r="W5448" s="110"/>
      <c r="X5448" s="110"/>
    </row>
    <row r="5449" spans="1:24" ht="14.25" customHeight="1">
      <c r="A5449" s="110"/>
      <c r="B5449" s="125">
        <v>46203</v>
      </c>
      <c r="C5449" s="126" t="s">
        <v>3241</v>
      </c>
      <c r="D5449" s="68" t="s">
        <v>285</v>
      </c>
      <c r="E5449" s="10" t="str">
        <f>TRIM(VLOOKUP(D5449,TB!$B$9:$C$1500,2,FALSE))</f>
        <v>Misc Cash Purchase</v>
      </c>
      <c r="F5449" s="142" t="s">
        <v>3242</v>
      </c>
      <c r="G5449" s="130"/>
      <c r="H5449" s="10"/>
      <c r="I5449" s="10">
        <v>2000000</v>
      </c>
      <c r="J5449" s="79" t="e">
        <f t="shared" si="346"/>
        <v>#VALUE!</v>
      </c>
      <c r="K5449" s="106"/>
      <c r="L5449" s="107"/>
      <c r="M5449" s="106"/>
      <c r="N5449" s="106"/>
      <c r="O5449" s="108"/>
      <c r="P5449" s="108"/>
      <c r="Q5449" s="108"/>
      <c r="R5449" s="109"/>
      <c r="S5449" s="109"/>
      <c r="T5449" s="108"/>
      <c r="U5449" s="110"/>
      <c r="V5449" s="110"/>
      <c r="W5449" s="110"/>
      <c r="X5449" s="110"/>
    </row>
    <row r="5450" spans="1:24" ht="14.25" customHeight="1">
      <c r="A5450" s="110"/>
      <c r="B5450" s="125">
        <v>46203</v>
      </c>
      <c r="C5450" s="126" t="s">
        <v>3243</v>
      </c>
      <c r="D5450" s="68" t="s">
        <v>285</v>
      </c>
      <c r="E5450" s="10" t="str">
        <f>TRIM(VLOOKUP(D5450,TB!$B$9:$C$1500,2,FALSE))</f>
        <v>Misc Cash Purchase</v>
      </c>
      <c r="F5450" s="142" t="s">
        <v>3244</v>
      </c>
      <c r="G5450" s="130"/>
      <c r="H5450" s="10"/>
      <c r="I5450" s="10">
        <v>3000000</v>
      </c>
      <c r="J5450" s="79" t="e">
        <f t="shared" si="346"/>
        <v>#VALUE!</v>
      </c>
      <c r="K5450" s="106"/>
      <c r="L5450" s="107"/>
      <c r="M5450" s="106"/>
      <c r="N5450" s="106"/>
      <c r="O5450" s="108"/>
      <c r="P5450" s="108"/>
      <c r="Q5450" s="108"/>
      <c r="R5450" s="109"/>
      <c r="S5450" s="109"/>
      <c r="T5450" s="108"/>
      <c r="U5450" s="110"/>
      <c r="V5450" s="110"/>
      <c r="W5450" s="110"/>
      <c r="X5450" s="110"/>
    </row>
    <row r="5451" spans="1:24" ht="14.25" customHeight="1">
      <c r="A5451" s="110"/>
      <c r="B5451" s="125">
        <v>46203</v>
      </c>
      <c r="C5451" s="126" t="s">
        <v>3245</v>
      </c>
      <c r="D5451" s="68" t="s">
        <v>285</v>
      </c>
      <c r="E5451" s="10" t="str">
        <f>TRIM(VLOOKUP(D5451,TB!$B$9:$C$1500,2,FALSE))</f>
        <v>Misc Cash Purchase</v>
      </c>
      <c r="F5451" s="142" t="s">
        <v>3246</v>
      </c>
      <c r="G5451" s="130"/>
      <c r="H5451" s="10"/>
      <c r="I5451" s="10">
        <v>2000000</v>
      </c>
      <c r="J5451" s="79" t="e">
        <f t="shared" si="346"/>
        <v>#VALUE!</v>
      </c>
      <c r="K5451" s="106"/>
      <c r="L5451" s="107"/>
      <c r="M5451" s="106"/>
      <c r="N5451" s="106"/>
      <c r="O5451" s="108"/>
      <c r="P5451" s="108"/>
      <c r="Q5451" s="108"/>
      <c r="R5451" s="109"/>
      <c r="S5451" s="109"/>
      <c r="T5451" s="108"/>
      <c r="U5451" s="110"/>
      <c r="V5451" s="110"/>
      <c r="W5451" s="110"/>
      <c r="X5451" s="110"/>
    </row>
    <row r="5452" spans="1:24" ht="14.25" customHeight="1">
      <c r="A5452" s="110"/>
      <c r="B5452" s="125"/>
      <c r="C5452" s="126"/>
      <c r="D5452" s="159"/>
      <c r="E5452" s="10" t="e">
        <f>TRIM(VLOOKUP(D5452,TB!$B$9:$C$1500,2,FALSE))</f>
        <v>#N/A</v>
      </c>
      <c r="F5452" s="142"/>
      <c r="G5452" s="130"/>
      <c r="H5452" s="10"/>
      <c r="I5452" s="10"/>
      <c r="J5452" s="79" t="e">
        <f t="shared" si="346"/>
        <v>#VALUE!</v>
      </c>
      <c r="K5452" s="106"/>
      <c r="L5452" s="107"/>
      <c r="M5452" s="106"/>
      <c r="N5452" s="106"/>
      <c r="O5452" s="108"/>
      <c r="P5452" s="108"/>
      <c r="Q5452" s="108"/>
      <c r="R5452" s="109"/>
      <c r="S5452" s="109"/>
      <c r="T5452" s="108"/>
      <c r="U5452" s="110"/>
      <c r="V5452" s="110"/>
      <c r="W5452" s="110"/>
      <c r="X5452" s="110"/>
    </row>
    <row r="5453" spans="1:24" ht="14.25" customHeight="1">
      <c r="A5453" s="110"/>
      <c r="B5453" s="125">
        <v>46203</v>
      </c>
      <c r="C5453" s="126" t="s">
        <v>3247</v>
      </c>
      <c r="D5453" s="15" t="s">
        <v>659</v>
      </c>
      <c r="E5453" s="10" t="str">
        <f>TRIM(VLOOKUP(D5453,TB!$B$9:$C$1500,2,FALSE))</f>
        <v>COS - Entertainment</v>
      </c>
      <c r="F5453" s="142" t="s">
        <v>3248</v>
      </c>
      <c r="G5453" s="130"/>
      <c r="H5453" s="10">
        <v>2000000</v>
      </c>
      <c r="I5453" s="10"/>
      <c r="J5453" s="79" t="e">
        <f t="shared" si="346"/>
        <v>#VALUE!</v>
      </c>
      <c r="K5453" s="106"/>
      <c r="L5453" s="107"/>
      <c r="M5453" s="106"/>
      <c r="N5453" s="106"/>
      <c r="O5453" s="108"/>
      <c r="P5453" s="108"/>
      <c r="Q5453" s="108"/>
      <c r="R5453" s="109"/>
      <c r="S5453" s="109"/>
      <c r="T5453" s="108"/>
      <c r="U5453" s="110"/>
      <c r="V5453" s="110"/>
      <c r="W5453" s="110"/>
      <c r="X5453" s="110"/>
    </row>
    <row r="5454" spans="1:24" ht="14.25" customHeight="1">
      <c r="A5454" s="110"/>
      <c r="B5454" s="125">
        <v>46203</v>
      </c>
      <c r="C5454" s="126" t="s">
        <v>3247</v>
      </c>
      <c r="D5454" s="68" t="s">
        <v>63</v>
      </c>
      <c r="E5454" s="10" t="str">
        <f>TRIM(VLOOKUP(D5454,TB!$B$9:$C$1500,2,FALSE))</f>
        <v>City Ledger</v>
      </c>
      <c r="F5454" s="142" t="s">
        <v>3248</v>
      </c>
      <c r="G5454" s="130"/>
      <c r="H5454" s="10"/>
      <c r="I5454" s="10">
        <f>386056+433136</f>
        <v>819192</v>
      </c>
      <c r="J5454" s="79" t="e">
        <f t="shared" si="346"/>
        <v>#VALUE!</v>
      </c>
      <c r="K5454" s="106"/>
      <c r="L5454" s="107"/>
      <c r="M5454" s="106"/>
      <c r="N5454" s="106"/>
      <c r="O5454" s="108"/>
      <c r="P5454" s="108"/>
      <c r="Q5454" s="108"/>
      <c r="R5454" s="109"/>
      <c r="S5454" s="109"/>
      <c r="T5454" s="108"/>
      <c r="U5454" s="110"/>
      <c r="V5454" s="110"/>
      <c r="W5454" s="110"/>
      <c r="X5454" s="110"/>
    </row>
    <row r="5455" spans="1:24" ht="14.25" customHeight="1">
      <c r="A5455" s="110"/>
      <c r="B5455" s="125">
        <v>46203</v>
      </c>
      <c r="C5455" s="126" t="s">
        <v>3247</v>
      </c>
      <c r="D5455" s="68" t="s">
        <v>285</v>
      </c>
      <c r="E5455" s="10" t="str">
        <f>TRIM(VLOOKUP(D5455,TB!$B$9:$C$1500,2,FALSE))</f>
        <v>Misc Cash Purchase</v>
      </c>
      <c r="F5455" s="142" t="s">
        <v>3248</v>
      </c>
      <c r="G5455" s="130"/>
      <c r="H5455" s="10"/>
      <c r="I5455" s="10">
        <v>1180808</v>
      </c>
      <c r="J5455" s="79" t="e">
        <f t="shared" si="346"/>
        <v>#VALUE!</v>
      </c>
      <c r="K5455" s="106"/>
      <c r="L5455" s="107"/>
      <c r="M5455" s="106"/>
      <c r="N5455" s="106"/>
      <c r="O5455" s="108"/>
      <c r="P5455" s="108"/>
      <c r="Q5455" s="108"/>
      <c r="R5455" s="109"/>
      <c r="S5455" s="109"/>
      <c r="T5455" s="108"/>
      <c r="U5455" s="110"/>
      <c r="V5455" s="110"/>
      <c r="W5455" s="110"/>
      <c r="X5455" s="110"/>
    </row>
    <row r="5456" spans="1:24" ht="14.25" customHeight="1">
      <c r="A5456" s="110"/>
      <c r="B5456" s="125"/>
      <c r="C5456" s="126"/>
      <c r="D5456" s="159"/>
      <c r="E5456" s="10" t="e">
        <f>TRIM(VLOOKUP(D5456,TB!$B$9:$C$1500,2,FALSE))</f>
        <v>#N/A</v>
      </c>
      <c r="F5456" s="142"/>
      <c r="G5456" s="130"/>
      <c r="H5456" s="10"/>
      <c r="I5456" s="10"/>
      <c r="J5456" s="79" t="e">
        <f t="shared" si="346"/>
        <v>#VALUE!</v>
      </c>
      <c r="K5456" s="106"/>
      <c r="L5456" s="107"/>
      <c r="M5456" s="106"/>
      <c r="N5456" s="106"/>
      <c r="O5456" s="108"/>
      <c r="P5456" s="108"/>
      <c r="Q5456" s="108"/>
      <c r="R5456" s="109"/>
      <c r="S5456" s="109"/>
      <c r="T5456" s="108"/>
      <c r="U5456" s="110"/>
      <c r="V5456" s="110"/>
      <c r="W5456" s="110"/>
      <c r="X5456" s="110"/>
    </row>
    <row r="5457" spans="1:24" ht="14.25" customHeight="1">
      <c r="A5457" s="110"/>
      <c r="B5457" s="125">
        <v>46203</v>
      </c>
      <c r="C5457" s="126" t="s">
        <v>3249</v>
      </c>
      <c r="D5457" s="15" t="s">
        <v>659</v>
      </c>
      <c r="E5457" s="10" t="str">
        <f>TRIM(VLOOKUP(D5457,TB!$B$9:$C$1500,2,FALSE))</f>
        <v>COS - Entertainment</v>
      </c>
      <c r="F5457" s="142" t="s">
        <v>3250</v>
      </c>
      <c r="G5457" s="130"/>
      <c r="H5457" s="10">
        <v>2000000</v>
      </c>
      <c r="I5457" s="10"/>
      <c r="J5457" s="79" t="e">
        <f t="shared" si="346"/>
        <v>#VALUE!</v>
      </c>
      <c r="K5457" s="106"/>
      <c r="L5457" s="107"/>
      <c r="M5457" s="106"/>
      <c r="N5457" s="106"/>
      <c r="O5457" s="108"/>
      <c r="P5457" s="108"/>
      <c r="Q5457" s="108"/>
      <c r="R5457" s="109"/>
      <c r="S5457" s="109"/>
      <c r="T5457" s="108"/>
      <c r="U5457" s="110"/>
      <c r="V5457" s="110"/>
      <c r="W5457" s="110"/>
      <c r="X5457" s="110"/>
    </row>
    <row r="5458" spans="1:24" ht="14.25" customHeight="1">
      <c r="A5458" s="110"/>
      <c r="B5458" s="125">
        <v>46203</v>
      </c>
      <c r="C5458" s="126" t="s">
        <v>3249</v>
      </c>
      <c r="D5458" s="68" t="s">
        <v>63</v>
      </c>
      <c r="E5458" s="10" t="str">
        <f>TRIM(VLOOKUP(D5458,TB!$B$9:$C$1500,2,FALSE))</f>
        <v>City Ledger</v>
      </c>
      <c r="F5458" s="142" t="s">
        <v>3250</v>
      </c>
      <c r="G5458" s="130"/>
      <c r="H5458" s="10"/>
      <c r="I5458" s="10">
        <f>294250+273064</f>
        <v>567314</v>
      </c>
      <c r="J5458" s="79" t="e">
        <f t="shared" si="346"/>
        <v>#VALUE!</v>
      </c>
      <c r="K5458" s="106"/>
      <c r="L5458" s="107"/>
      <c r="M5458" s="106"/>
      <c r="N5458" s="106"/>
      <c r="O5458" s="108"/>
      <c r="P5458" s="108"/>
      <c r="Q5458" s="108"/>
      <c r="R5458" s="109"/>
      <c r="S5458" s="109"/>
      <c r="T5458" s="108"/>
      <c r="U5458" s="110"/>
      <c r="V5458" s="110"/>
      <c r="W5458" s="110"/>
      <c r="X5458" s="110"/>
    </row>
    <row r="5459" spans="1:24" ht="14.25" customHeight="1">
      <c r="A5459" s="110"/>
      <c r="B5459" s="125">
        <v>46203</v>
      </c>
      <c r="C5459" s="126" t="s">
        <v>3249</v>
      </c>
      <c r="D5459" s="68" t="s">
        <v>285</v>
      </c>
      <c r="E5459" s="10" t="str">
        <f>TRIM(VLOOKUP(D5459,TB!$B$9:$C$1500,2,FALSE))</f>
        <v>Misc Cash Purchase</v>
      </c>
      <c r="F5459" s="142" t="s">
        <v>3250</v>
      </c>
      <c r="G5459" s="130"/>
      <c r="H5459" s="10"/>
      <c r="I5459" s="10">
        <v>1432686</v>
      </c>
      <c r="J5459" s="79" t="e">
        <f t="shared" si="346"/>
        <v>#VALUE!</v>
      </c>
      <c r="K5459" s="106"/>
      <c r="L5459" s="107"/>
      <c r="M5459" s="106"/>
      <c r="N5459" s="106"/>
      <c r="O5459" s="108"/>
      <c r="P5459" s="108"/>
      <c r="Q5459" s="108"/>
      <c r="R5459" s="109"/>
      <c r="S5459" s="109"/>
      <c r="T5459" s="108"/>
      <c r="U5459" s="110"/>
      <c r="V5459" s="110"/>
      <c r="W5459" s="110"/>
      <c r="X5459" s="110"/>
    </row>
    <row r="5460" spans="1:24" ht="14.25" customHeight="1">
      <c r="A5460" s="110"/>
      <c r="B5460" s="125"/>
      <c r="C5460" s="126"/>
      <c r="D5460" s="159"/>
      <c r="E5460" s="10" t="e">
        <f>TRIM(VLOOKUP(D5460,TB!$B$9:$C$1500,2,FALSE))</f>
        <v>#N/A</v>
      </c>
      <c r="F5460" s="142"/>
      <c r="G5460" s="130"/>
      <c r="H5460" s="10"/>
      <c r="I5460" s="10"/>
      <c r="J5460" s="79" t="e">
        <f t="shared" si="346"/>
        <v>#VALUE!</v>
      </c>
      <c r="K5460" s="106"/>
      <c r="L5460" s="107"/>
      <c r="M5460" s="106"/>
      <c r="N5460" s="106"/>
      <c r="O5460" s="108"/>
      <c r="P5460" s="108"/>
      <c r="Q5460" s="108"/>
      <c r="R5460" s="109"/>
      <c r="S5460" s="109"/>
      <c r="T5460" s="108"/>
      <c r="U5460" s="110"/>
      <c r="V5460" s="110"/>
      <c r="W5460" s="110"/>
      <c r="X5460" s="110"/>
    </row>
    <row r="5461" spans="1:24" ht="14.25" customHeight="1">
      <c r="A5461" s="110"/>
      <c r="B5461" s="125">
        <v>46203</v>
      </c>
      <c r="C5461" s="126" t="s">
        <v>3251</v>
      </c>
      <c r="D5461" s="15" t="s">
        <v>659</v>
      </c>
      <c r="E5461" s="10" t="str">
        <f>TRIM(VLOOKUP(D5461,TB!$B$9:$C$1500,2,FALSE))</f>
        <v>COS - Entertainment</v>
      </c>
      <c r="F5461" s="142" t="s">
        <v>3252</v>
      </c>
      <c r="G5461" s="130"/>
      <c r="H5461" s="10">
        <v>6000000</v>
      </c>
      <c r="I5461" s="10"/>
      <c r="J5461" s="79" t="e">
        <f t="shared" si="346"/>
        <v>#VALUE!</v>
      </c>
      <c r="K5461" s="106"/>
      <c r="L5461" s="107"/>
      <c r="M5461" s="106"/>
      <c r="N5461" s="106"/>
      <c r="O5461" s="108"/>
      <c r="P5461" s="108"/>
      <c r="Q5461" s="108"/>
      <c r="R5461" s="109"/>
      <c r="S5461" s="109"/>
      <c r="T5461" s="108"/>
      <c r="U5461" s="110"/>
      <c r="V5461" s="110"/>
      <c r="W5461" s="110"/>
      <c r="X5461" s="110"/>
    </row>
    <row r="5462" spans="1:24" ht="14.25" customHeight="1">
      <c r="A5462" s="110"/>
      <c r="B5462" s="125">
        <v>46203</v>
      </c>
      <c r="C5462" s="126" t="s">
        <v>3251</v>
      </c>
      <c r="D5462" s="68" t="s">
        <v>63</v>
      </c>
      <c r="E5462" s="10" t="str">
        <f>TRIM(VLOOKUP(D5462,TB!$B$9:$C$1500,2,FALSE))</f>
        <v>City Ledger</v>
      </c>
      <c r="F5462" s="142" t="s">
        <v>3252</v>
      </c>
      <c r="G5462" s="130"/>
      <c r="H5462" s="10"/>
      <c r="I5462" s="10">
        <v>2073874</v>
      </c>
      <c r="J5462" s="79" t="e">
        <f t="shared" si="346"/>
        <v>#VALUE!</v>
      </c>
      <c r="K5462" s="106"/>
      <c r="L5462" s="107"/>
      <c r="M5462" s="106"/>
      <c r="N5462" s="106"/>
      <c r="O5462" s="108"/>
      <c r="P5462" s="108"/>
      <c r="Q5462" s="108"/>
      <c r="R5462" s="109"/>
      <c r="S5462" s="109"/>
      <c r="T5462" s="108"/>
      <c r="U5462" s="110"/>
      <c r="V5462" s="110"/>
      <c r="W5462" s="110"/>
      <c r="X5462" s="110"/>
    </row>
    <row r="5463" spans="1:24" ht="14.25" customHeight="1">
      <c r="A5463" s="110"/>
      <c r="B5463" s="125">
        <v>46203</v>
      </c>
      <c r="C5463" s="126" t="s">
        <v>3251</v>
      </c>
      <c r="D5463" s="68" t="s">
        <v>285</v>
      </c>
      <c r="E5463" s="10" t="str">
        <f>TRIM(VLOOKUP(D5463,TB!$B$9:$C$1500,2,FALSE))</f>
        <v>Misc Cash Purchase</v>
      </c>
      <c r="F5463" s="142" t="s">
        <v>3252</v>
      </c>
      <c r="G5463" s="130"/>
      <c r="H5463" s="10"/>
      <c r="I5463" s="10">
        <v>3926126</v>
      </c>
      <c r="J5463" s="79" t="e">
        <f t="shared" si="346"/>
        <v>#VALUE!</v>
      </c>
      <c r="K5463" s="106"/>
      <c r="L5463" s="107"/>
      <c r="M5463" s="106"/>
      <c r="N5463" s="106"/>
      <c r="O5463" s="108"/>
      <c r="P5463" s="108"/>
      <c r="Q5463" s="108"/>
      <c r="R5463" s="109"/>
      <c r="S5463" s="109"/>
      <c r="T5463" s="108"/>
      <c r="U5463" s="110"/>
      <c r="V5463" s="110"/>
      <c r="W5463" s="110"/>
      <c r="X5463" s="110"/>
    </row>
    <row r="5464" spans="1:24" ht="14.25" customHeight="1">
      <c r="A5464" s="110"/>
      <c r="B5464" s="125"/>
      <c r="C5464" s="126"/>
      <c r="D5464" s="159"/>
      <c r="E5464" s="10" t="e">
        <f>TRIM(VLOOKUP(D5464,TB!$B$9:$C$1500,2,FALSE))</f>
        <v>#N/A</v>
      </c>
      <c r="F5464" s="142"/>
      <c r="G5464" s="130"/>
      <c r="H5464" s="10"/>
      <c r="I5464" s="10"/>
      <c r="J5464" s="79" t="e">
        <f t="shared" si="346"/>
        <v>#VALUE!</v>
      </c>
      <c r="K5464" s="106"/>
      <c r="L5464" s="107"/>
      <c r="M5464" s="106"/>
      <c r="N5464" s="106"/>
      <c r="O5464" s="108"/>
      <c r="P5464" s="108"/>
      <c r="Q5464" s="108"/>
      <c r="R5464" s="109"/>
      <c r="S5464" s="109"/>
      <c r="T5464" s="108"/>
      <c r="U5464" s="110"/>
      <c r="V5464" s="110"/>
      <c r="W5464" s="110"/>
      <c r="X5464" s="110"/>
    </row>
    <row r="5465" spans="1:24" ht="14.25" customHeight="1">
      <c r="A5465" s="110"/>
      <c r="B5465" s="125">
        <v>46203</v>
      </c>
      <c r="C5465" s="126" t="s">
        <v>3253</v>
      </c>
      <c r="D5465" s="15" t="s">
        <v>659</v>
      </c>
      <c r="E5465" s="10" t="str">
        <f>TRIM(VLOOKUP(D5465,TB!$B$9:$C$1500,2,FALSE))</f>
        <v>COS - Entertainment</v>
      </c>
      <c r="F5465" s="200" t="s">
        <v>3254</v>
      </c>
      <c r="G5465" s="130"/>
      <c r="H5465" s="10">
        <v>2000000</v>
      </c>
      <c r="I5465" s="10"/>
      <c r="J5465" s="79" t="e">
        <f t="shared" si="346"/>
        <v>#VALUE!</v>
      </c>
      <c r="K5465" s="106"/>
      <c r="L5465" s="107"/>
      <c r="M5465" s="106"/>
      <c r="N5465" s="106"/>
      <c r="O5465" s="108"/>
      <c r="P5465" s="108"/>
      <c r="Q5465" s="108"/>
      <c r="R5465" s="109"/>
      <c r="S5465" s="109"/>
      <c r="T5465" s="108"/>
      <c r="U5465" s="110"/>
      <c r="V5465" s="110"/>
      <c r="W5465" s="110"/>
      <c r="X5465" s="110"/>
    </row>
    <row r="5466" spans="1:24" ht="14.25" customHeight="1">
      <c r="A5466" s="110"/>
      <c r="B5466" s="125">
        <v>46203</v>
      </c>
      <c r="C5466" s="126" t="s">
        <v>3253</v>
      </c>
      <c r="D5466" s="68" t="s">
        <v>63</v>
      </c>
      <c r="E5466" s="10" t="str">
        <f>TRIM(VLOOKUP(D5466,TB!$B$9:$C$1500,2,FALSE))</f>
        <v>City Ledger</v>
      </c>
      <c r="F5466" s="200" t="s">
        <v>3254</v>
      </c>
      <c r="G5466" s="130"/>
      <c r="H5466" s="10"/>
      <c r="I5466" s="10">
        <v>235400</v>
      </c>
      <c r="J5466" s="79" t="e">
        <f t="shared" si="346"/>
        <v>#VALUE!</v>
      </c>
      <c r="K5466" s="106"/>
      <c r="L5466" s="107"/>
      <c r="M5466" s="106"/>
      <c r="N5466" s="106"/>
      <c r="O5466" s="108"/>
      <c r="P5466" s="108"/>
      <c r="Q5466" s="108"/>
      <c r="R5466" s="109"/>
      <c r="S5466" s="109"/>
      <c r="T5466" s="108"/>
      <c r="U5466" s="110"/>
      <c r="V5466" s="110"/>
      <c r="W5466" s="110"/>
      <c r="X5466" s="110"/>
    </row>
    <row r="5467" spans="1:24" ht="14.25" customHeight="1">
      <c r="A5467" s="110"/>
      <c r="B5467" s="125">
        <v>46203</v>
      </c>
      <c r="C5467" s="126" t="s">
        <v>3253</v>
      </c>
      <c r="D5467" s="68" t="s">
        <v>285</v>
      </c>
      <c r="E5467" s="10" t="str">
        <f>TRIM(VLOOKUP(D5467,TB!$B$9:$C$1500,2,FALSE))</f>
        <v>Misc Cash Purchase</v>
      </c>
      <c r="F5467" s="200" t="s">
        <v>3254</v>
      </c>
      <c r="G5467" s="130"/>
      <c r="H5467" s="10"/>
      <c r="I5467" s="10">
        <v>1764600</v>
      </c>
      <c r="J5467" s="79" t="e">
        <f t="shared" si="346"/>
        <v>#VALUE!</v>
      </c>
      <c r="K5467" s="106"/>
      <c r="L5467" s="107"/>
      <c r="M5467" s="106"/>
      <c r="N5467" s="106"/>
      <c r="O5467" s="108"/>
      <c r="P5467" s="108"/>
      <c r="Q5467" s="108"/>
      <c r="R5467" s="109"/>
      <c r="S5467" s="109"/>
      <c r="T5467" s="108"/>
      <c r="U5467" s="110"/>
      <c r="V5467" s="110"/>
      <c r="W5467" s="110"/>
      <c r="X5467" s="110"/>
    </row>
    <row r="5468" spans="1:24" ht="14.25" customHeight="1">
      <c r="A5468" s="110"/>
      <c r="B5468" s="125"/>
      <c r="C5468" s="126"/>
      <c r="D5468" s="159"/>
      <c r="E5468" s="10" t="e">
        <f>TRIM(VLOOKUP(D5468,TB!$B$9:$C$1500,2,FALSE))</f>
        <v>#N/A</v>
      </c>
      <c r="F5468" s="142"/>
      <c r="G5468" s="130"/>
      <c r="H5468" s="10"/>
      <c r="I5468" s="10"/>
      <c r="J5468" s="79" t="e">
        <f t="shared" si="346"/>
        <v>#VALUE!</v>
      </c>
      <c r="K5468" s="106"/>
      <c r="L5468" s="107"/>
      <c r="M5468" s="106"/>
      <c r="N5468" s="106"/>
      <c r="O5468" s="108"/>
      <c r="P5468" s="108"/>
      <c r="Q5468" s="108"/>
      <c r="R5468" s="109"/>
      <c r="S5468" s="109"/>
      <c r="T5468" s="108"/>
      <c r="U5468" s="110"/>
      <c r="V5468" s="110"/>
      <c r="W5468" s="110"/>
      <c r="X5468" s="110"/>
    </row>
    <row r="5469" spans="1:24" ht="14.25" customHeight="1">
      <c r="A5469" s="110"/>
      <c r="B5469" s="125">
        <v>46203</v>
      </c>
      <c r="C5469" s="126" t="s">
        <v>3255</v>
      </c>
      <c r="D5469" s="15" t="s">
        <v>1404</v>
      </c>
      <c r="E5469" s="10" t="str">
        <f>TRIM(VLOOKUP(D5469,TB!$B$9:$C$1500,2,FALSE))</f>
        <v>Stationary &amp; Office Supplies</v>
      </c>
      <c r="F5469" s="142" t="s">
        <v>3256</v>
      </c>
      <c r="G5469" s="130"/>
      <c r="H5469" s="155">
        <f>850000*2</f>
        <v>1700000</v>
      </c>
      <c r="I5469" s="10"/>
      <c r="J5469" s="79" t="e">
        <f t="shared" si="346"/>
        <v>#VALUE!</v>
      </c>
      <c r="K5469" s="106"/>
      <c r="L5469" s="107"/>
      <c r="M5469" s="106"/>
      <c r="N5469" s="106"/>
      <c r="O5469" s="108"/>
      <c r="P5469" s="108"/>
      <c r="Q5469" s="108"/>
      <c r="R5469" s="109"/>
      <c r="S5469" s="109"/>
      <c r="T5469" s="108"/>
      <c r="U5469" s="110"/>
      <c r="V5469" s="110"/>
      <c r="W5469" s="110"/>
      <c r="X5469" s="110"/>
    </row>
    <row r="5470" spans="1:24" ht="14.25" customHeight="1">
      <c r="A5470" s="110"/>
      <c r="B5470" s="125">
        <v>46203</v>
      </c>
      <c r="C5470" s="126" t="s">
        <v>3255</v>
      </c>
      <c r="D5470" s="68" t="s">
        <v>285</v>
      </c>
      <c r="E5470" s="10" t="str">
        <f>TRIM(VLOOKUP(D5470,TB!$B$9:$C$1500,2,FALSE))</f>
        <v>Misc Cash Purchase</v>
      </c>
      <c r="F5470" s="142" t="s">
        <v>3257</v>
      </c>
      <c r="G5470" s="130"/>
      <c r="H5470" s="10"/>
      <c r="I5470" s="155">
        <v>1700000</v>
      </c>
      <c r="J5470" s="79" t="e">
        <f t="shared" si="346"/>
        <v>#VALUE!</v>
      </c>
      <c r="K5470" s="106"/>
      <c r="L5470" s="107"/>
      <c r="M5470" s="106"/>
      <c r="N5470" s="106"/>
      <c r="O5470" s="108"/>
      <c r="P5470" s="108"/>
      <c r="Q5470" s="108"/>
      <c r="R5470" s="109"/>
      <c r="S5470" s="109"/>
      <c r="T5470" s="108"/>
      <c r="U5470" s="110"/>
      <c r="V5470" s="110"/>
      <c r="W5470" s="110"/>
      <c r="X5470" s="110"/>
    </row>
    <row r="5471" spans="1:24" ht="14.25" customHeight="1">
      <c r="A5471" s="110"/>
      <c r="B5471" s="125"/>
      <c r="C5471" s="126"/>
      <c r="D5471" s="159"/>
      <c r="E5471" s="10" t="e">
        <f>TRIM(VLOOKUP(D5471,TB!$B$9:$C$1500,2,FALSE))</f>
        <v>#N/A</v>
      </c>
      <c r="F5471" s="142"/>
      <c r="G5471" s="130"/>
      <c r="H5471" s="10"/>
      <c r="I5471" s="10"/>
      <c r="J5471" s="79" t="e">
        <f t="shared" si="346"/>
        <v>#VALUE!</v>
      </c>
      <c r="K5471" s="106"/>
      <c r="L5471" s="107"/>
      <c r="M5471" s="106"/>
      <c r="N5471" s="106"/>
      <c r="O5471" s="108"/>
      <c r="P5471" s="108"/>
      <c r="Q5471" s="108"/>
      <c r="R5471" s="109"/>
      <c r="S5471" s="109"/>
      <c r="T5471" s="108"/>
      <c r="U5471" s="110"/>
      <c r="V5471" s="110"/>
      <c r="W5471" s="110"/>
      <c r="X5471" s="110"/>
    </row>
    <row r="5472" spans="1:24" ht="14.25" customHeight="1">
      <c r="A5472" s="110"/>
      <c r="B5472" s="125">
        <v>46203</v>
      </c>
      <c r="C5472" s="126" t="s">
        <v>3258</v>
      </c>
      <c r="D5472" s="15" t="s">
        <v>659</v>
      </c>
      <c r="E5472" s="10" t="str">
        <f>TRIM(VLOOKUP(D5472,TB!$B$9:$C$1500,2,FALSE))</f>
        <v>COS - Entertainment</v>
      </c>
      <c r="F5472" s="186" t="s">
        <v>3259</v>
      </c>
      <c r="G5472" s="130"/>
      <c r="H5472" s="155">
        <v>2000000</v>
      </c>
      <c r="I5472" s="10"/>
      <c r="J5472" s="79" t="e">
        <f t="shared" si="346"/>
        <v>#VALUE!</v>
      </c>
      <c r="K5472" s="106"/>
      <c r="L5472" s="107"/>
      <c r="M5472" s="106"/>
      <c r="N5472" s="106"/>
      <c r="O5472" s="108"/>
      <c r="P5472" s="108"/>
      <c r="Q5472" s="108"/>
      <c r="R5472" s="109"/>
      <c r="S5472" s="109"/>
      <c r="T5472" s="108"/>
      <c r="U5472" s="110"/>
      <c r="V5472" s="110"/>
      <c r="W5472" s="110"/>
      <c r="X5472" s="110"/>
    </row>
    <row r="5473" spans="1:24" ht="14.25" customHeight="1">
      <c r="A5473" s="110"/>
      <c r="B5473" s="125">
        <v>46203</v>
      </c>
      <c r="C5473" s="126" t="s">
        <v>3260</v>
      </c>
      <c r="D5473" s="15" t="s">
        <v>659</v>
      </c>
      <c r="E5473" s="10" t="str">
        <f>TRIM(VLOOKUP(D5473,TB!$B$9:$C$1500,2,FALSE))</f>
        <v>COS - Entertainment</v>
      </c>
      <c r="F5473" s="185" t="s">
        <v>3261</v>
      </c>
      <c r="G5473" s="130"/>
      <c r="H5473" s="155">
        <v>1500000</v>
      </c>
      <c r="I5473" s="10"/>
      <c r="J5473" s="79" t="e">
        <f t="shared" si="346"/>
        <v>#VALUE!</v>
      </c>
      <c r="K5473" s="106"/>
      <c r="L5473" s="107"/>
      <c r="M5473" s="106"/>
      <c r="N5473" s="106"/>
      <c r="O5473" s="108"/>
      <c r="P5473" s="108"/>
      <c r="Q5473" s="108"/>
      <c r="R5473" s="109"/>
      <c r="S5473" s="109"/>
      <c r="T5473" s="108"/>
      <c r="U5473" s="110"/>
      <c r="V5473" s="110"/>
      <c r="W5473" s="110"/>
      <c r="X5473" s="110"/>
    </row>
    <row r="5474" spans="1:24" ht="14.25" customHeight="1">
      <c r="A5474" s="110"/>
      <c r="B5474" s="125">
        <v>46203</v>
      </c>
      <c r="C5474" s="126" t="s">
        <v>3262</v>
      </c>
      <c r="D5474" s="15" t="s">
        <v>659</v>
      </c>
      <c r="E5474" s="10" t="str">
        <f>TRIM(VLOOKUP(D5474,TB!$B$9:$C$1500,2,FALSE))</f>
        <v>COS - Entertainment</v>
      </c>
      <c r="F5474" s="185" t="s">
        <v>3263</v>
      </c>
      <c r="G5474" s="130"/>
      <c r="H5474" s="155">
        <v>1500000</v>
      </c>
      <c r="I5474" s="10"/>
      <c r="J5474" s="79" t="e">
        <f t="shared" si="346"/>
        <v>#VALUE!</v>
      </c>
      <c r="K5474" s="106"/>
      <c r="L5474" s="107"/>
      <c r="M5474" s="106"/>
      <c r="N5474" s="106"/>
      <c r="O5474" s="108"/>
      <c r="P5474" s="108"/>
      <c r="Q5474" s="108"/>
      <c r="R5474" s="109"/>
      <c r="S5474" s="109"/>
      <c r="T5474" s="108"/>
      <c r="U5474" s="110"/>
      <c r="V5474" s="110"/>
      <c r="W5474" s="110"/>
      <c r="X5474" s="110"/>
    </row>
    <row r="5475" spans="1:24" ht="14.25" customHeight="1">
      <c r="A5475" s="110"/>
      <c r="B5475" s="125">
        <v>46203</v>
      </c>
      <c r="C5475" s="126" t="s">
        <v>3264</v>
      </c>
      <c r="D5475" s="15" t="s">
        <v>659</v>
      </c>
      <c r="E5475" s="10" t="str">
        <f>TRIM(VLOOKUP(D5475,TB!$B$9:$C$1500,2,FALSE))</f>
        <v>COS - Entertainment</v>
      </c>
      <c r="F5475" s="185" t="s">
        <v>3265</v>
      </c>
      <c r="G5475" s="130"/>
      <c r="H5475" s="155">
        <v>1000000</v>
      </c>
      <c r="I5475" s="10"/>
      <c r="J5475" s="79" t="e">
        <f t="shared" si="346"/>
        <v>#VALUE!</v>
      </c>
      <c r="K5475" s="106"/>
      <c r="L5475" s="107"/>
      <c r="M5475" s="106"/>
      <c r="N5475" s="106"/>
      <c r="O5475" s="108"/>
      <c r="P5475" s="108"/>
      <c r="Q5475" s="108"/>
      <c r="R5475" s="109"/>
      <c r="S5475" s="109"/>
      <c r="T5475" s="108"/>
      <c r="U5475" s="110"/>
      <c r="V5475" s="110"/>
      <c r="W5475" s="110"/>
      <c r="X5475" s="110"/>
    </row>
    <row r="5476" spans="1:24" ht="14.25" customHeight="1">
      <c r="A5476" s="110"/>
      <c r="B5476" s="125">
        <v>46203</v>
      </c>
      <c r="C5476" s="126" t="s">
        <v>3266</v>
      </c>
      <c r="D5476" s="15" t="s">
        <v>659</v>
      </c>
      <c r="E5476" s="10" t="str">
        <f>TRIM(VLOOKUP(D5476,TB!$B$9:$C$1500,2,FALSE))</f>
        <v>COS - Entertainment</v>
      </c>
      <c r="F5476" s="185" t="s">
        <v>3267</v>
      </c>
      <c r="G5476" s="130"/>
      <c r="H5476" s="155">
        <v>1500000</v>
      </c>
      <c r="I5476" s="10"/>
      <c r="J5476" s="79" t="e">
        <f t="shared" si="346"/>
        <v>#VALUE!</v>
      </c>
      <c r="K5476" s="106"/>
      <c r="L5476" s="107"/>
      <c r="M5476" s="106"/>
      <c r="N5476" s="106"/>
      <c r="O5476" s="108"/>
      <c r="P5476" s="108"/>
      <c r="Q5476" s="108"/>
      <c r="R5476" s="109"/>
      <c r="S5476" s="109"/>
      <c r="T5476" s="108"/>
      <c r="U5476" s="110"/>
      <c r="V5476" s="110"/>
      <c r="W5476" s="110"/>
      <c r="X5476" s="110"/>
    </row>
    <row r="5477" spans="1:24" ht="14.25" customHeight="1">
      <c r="A5477" s="110"/>
      <c r="B5477" s="125">
        <v>46203</v>
      </c>
      <c r="C5477" s="126" t="s">
        <v>3268</v>
      </c>
      <c r="D5477" s="15" t="s">
        <v>659</v>
      </c>
      <c r="E5477" s="10" t="str">
        <f>TRIM(VLOOKUP(D5477,TB!$B$9:$C$1500,2,FALSE))</f>
        <v>COS - Entertainment</v>
      </c>
      <c r="F5477" s="185" t="s">
        <v>3269</v>
      </c>
      <c r="G5477" s="130"/>
      <c r="H5477" s="155">
        <v>1500000</v>
      </c>
      <c r="I5477" s="10"/>
      <c r="J5477" s="79" t="e">
        <f t="shared" si="346"/>
        <v>#VALUE!</v>
      </c>
      <c r="K5477" s="106"/>
      <c r="L5477" s="107"/>
      <c r="M5477" s="106"/>
      <c r="N5477" s="106"/>
      <c r="O5477" s="108"/>
      <c r="P5477" s="108"/>
      <c r="Q5477" s="108"/>
      <c r="R5477" s="109"/>
      <c r="S5477" s="109"/>
      <c r="T5477" s="108"/>
      <c r="U5477" s="110"/>
      <c r="V5477" s="110"/>
      <c r="W5477" s="110"/>
      <c r="X5477" s="110"/>
    </row>
    <row r="5478" spans="1:24" ht="14.25" customHeight="1">
      <c r="A5478" s="110"/>
      <c r="B5478" s="125">
        <v>46203</v>
      </c>
      <c r="C5478" s="126" t="s">
        <v>3270</v>
      </c>
      <c r="D5478" s="15" t="s">
        <v>659</v>
      </c>
      <c r="E5478" s="10" t="str">
        <f>TRIM(VLOOKUP(D5478,TB!$B$9:$C$1500,2,FALSE))</f>
        <v>COS - Entertainment</v>
      </c>
      <c r="F5478" s="185" t="s">
        <v>3271</v>
      </c>
      <c r="G5478" s="130"/>
      <c r="H5478" s="155">
        <v>2000000</v>
      </c>
      <c r="I5478" s="10"/>
      <c r="J5478" s="79" t="e">
        <f t="shared" si="346"/>
        <v>#VALUE!</v>
      </c>
      <c r="K5478" s="106"/>
      <c r="L5478" s="107"/>
      <c r="M5478" s="106"/>
      <c r="N5478" s="106"/>
      <c r="O5478" s="108"/>
      <c r="P5478" s="108"/>
      <c r="Q5478" s="108"/>
      <c r="R5478" s="109"/>
      <c r="S5478" s="109"/>
      <c r="T5478" s="108"/>
      <c r="U5478" s="110"/>
      <c r="V5478" s="110"/>
      <c r="W5478" s="110"/>
      <c r="X5478" s="110"/>
    </row>
    <row r="5479" spans="1:24" ht="14.25" customHeight="1">
      <c r="A5479" s="110"/>
      <c r="B5479" s="125">
        <v>46203</v>
      </c>
      <c r="C5479" s="126" t="s">
        <v>3272</v>
      </c>
      <c r="D5479" s="15" t="s">
        <v>659</v>
      </c>
      <c r="E5479" s="10" t="str">
        <f>TRIM(VLOOKUP(D5479,TB!$B$9:$C$1500,2,FALSE))</f>
        <v>COS - Entertainment</v>
      </c>
      <c r="F5479" s="185" t="s">
        <v>3273</v>
      </c>
      <c r="G5479" s="130"/>
      <c r="H5479" s="155">
        <v>2000000</v>
      </c>
      <c r="I5479" s="10"/>
      <c r="J5479" s="79" t="e">
        <f t="shared" si="346"/>
        <v>#VALUE!</v>
      </c>
      <c r="K5479" s="106"/>
      <c r="L5479" s="107"/>
      <c r="M5479" s="106"/>
      <c r="N5479" s="106"/>
      <c r="O5479" s="108"/>
      <c r="P5479" s="108"/>
      <c r="Q5479" s="108"/>
      <c r="R5479" s="109"/>
      <c r="S5479" s="109"/>
      <c r="T5479" s="108"/>
      <c r="U5479" s="110"/>
      <c r="V5479" s="110"/>
      <c r="W5479" s="110"/>
      <c r="X5479" s="110"/>
    </row>
    <row r="5480" spans="1:24" ht="14.25" customHeight="1">
      <c r="A5480" s="110"/>
      <c r="B5480" s="125">
        <v>46203</v>
      </c>
      <c r="C5480" s="126" t="s">
        <v>3274</v>
      </c>
      <c r="D5480" s="15" t="s">
        <v>659</v>
      </c>
      <c r="E5480" s="10" t="str">
        <f>TRIM(VLOOKUP(D5480,TB!$B$9:$C$1500,2,FALSE))</f>
        <v>COS - Entertainment</v>
      </c>
      <c r="F5480" s="185" t="s">
        <v>3275</v>
      </c>
      <c r="G5480" s="130"/>
      <c r="H5480" s="155">
        <v>2000000</v>
      </c>
      <c r="I5480" s="10"/>
      <c r="J5480" s="79" t="e">
        <f t="shared" si="346"/>
        <v>#VALUE!</v>
      </c>
      <c r="K5480" s="106"/>
      <c r="L5480" s="107"/>
      <c r="M5480" s="106"/>
      <c r="N5480" s="106"/>
      <c r="O5480" s="108"/>
      <c r="P5480" s="108"/>
      <c r="Q5480" s="108"/>
      <c r="R5480" s="109"/>
      <c r="S5480" s="109"/>
      <c r="T5480" s="108"/>
      <c r="U5480" s="110"/>
      <c r="V5480" s="110"/>
      <c r="W5480" s="110"/>
      <c r="X5480" s="110"/>
    </row>
    <row r="5481" spans="1:24" ht="14.25" customHeight="1">
      <c r="A5481" s="110"/>
      <c r="B5481" s="125">
        <v>46203</v>
      </c>
      <c r="C5481" s="126" t="s">
        <v>3276</v>
      </c>
      <c r="D5481" s="15" t="s">
        <v>659</v>
      </c>
      <c r="E5481" s="10" t="str">
        <f>TRIM(VLOOKUP(D5481,TB!$B$9:$C$1500,2,FALSE))</f>
        <v>COS - Entertainment</v>
      </c>
      <c r="F5481" s="185" t="s">
        <v>3277</v>
      </c>
      <c r="G5481" s="130"/>
      <c r="H5481" s="155">
        <v>2000000</v>
      </c>
      <c r="I5481" s="10"/>
      <c r="J5481" s="79" t="e">
        <f t="shared" si="346"/>
        <v>#VALUE!</v>
      </c>
      <c r="K5481" s="106"/>
      <c r="L5481" s="107"/>
      <c r="M5481" s="106"/>
      <c r="N5481" s="106"/>
      <c r="O5481" s="108"/>
      <c r="P5481" s="108"/>
      <c r="Q5481" s="108"/>
      <c r="R5481" s="109"/>
      <c r="S5481" s="109"/>
      <c r="T5481" s="108"/>
      <c r="U5481" s="110"/>
      <c r="V5481" s="110"/>
      <c r="W5481" s="110"/>
      <c r="X5481" s="110"/>
    </row>
    <row r="5482" spans="1:24" ht="14.25" customHeight="1">
      <c r="A5482" s="110"/>
      <c r="B5482" s="125">
        <v>46203</v>
      </c>
      <c r="C5482" s="126" t="s">
        <v>3278</v>
      </c>
      <c r="D5482" s="15" t="s">
        <v>659</v>
      </c>
      <c r="E5482" s="10" t="str">
        <f>TRIM(VLOOKUP(D5482,TB!$B$9:$C$1500,2,FALSE))</f>
        <v>COS - Entertainment</v>
      </c>
      <c r="F5482" s="185" t="s">
        <v>3279</v>
      </c>
      <c r="G5482" s="130"/>
      <c r="H5482" s="155">
        <v>2000000</v>
      </c>
      <c r="I5482" s="10"/>
      <c r="J5482" s="79" t="e">
        <f t="shared" si="346"/>
        <v>#VALUE!</v>
      </c>
      <c r="K5482" s="106"/>
      <c r="L5482" s="107"/>
      <c r="M5482" s="106"/>
      <c r="N5482" s="106"/>
      <c r="O5482" s="108"/>
      <c r="P5482" s="108"/>
      <c r="Q5482" s="108"/>
      <c r="R5482" s="109"/>
      <c r="S5482" s="109"/>
      <c r="T5482" s="108"/>
      <c r="U5482" s="110"/>
      <c r="V5482" s="110"/>
      <c r="W5482" s="110"/>
      <c r="X5482" s="110"/>
    </row>
    <row r="5483" spans="1:24" ht="14.25" customHeight="1">
      <c r="A5483" s="110"/>
      <c r="B5483" s="125">
        <v>46203</v>
      </c>
      <c r="C5483" s="126" t="s">
        <v>3280</v>
      </c>
      <c r="D5483" s="15" t="s">
        <v>659</v>
      </c>
      <c r="E5483" s="10" t="str">
        <f>TRIM(VLOOKUP(D5483,TB!$B$9:$C$1500,2,FALSE))</f>
        <v>COS - Entertainment</v>
      </c>
      <c r="F5483" s="185" t="s">
        <v>3281</v>
      </c>
      <c r="G5483" s="130"/>
      <c r="H5483" s="155">
        <v>2000000</v>
      </c>
      <c r="I5483" s="10"/>
      <c r="J5483" s="79" t="e">
        <f t="shared" si="346"/>
        <v>#VALUE!</v>
      </c>
      <c r="K5483" s="106"/>
      <c r="L5483" s="107"/>
      <c r="M5483" s="106"/>
      <c r="N5483" s="106"/>
      <c r="O5483" s="108"/>
      <c r="P5483" s="108"/>
      <c r="Q5483" s="108"/>
      <c r="R5483" s="109"/>
      <c r="S5483" s="109"/>
      <c r="T5483" s="108"/>
      <c r="U5483" s="110"/>
      <c r="V5483" s="110"/>
      <c r="W5483" s="110"/>
      <c r="X5483" s="110"/>
    </row>
    <row r="5484" spans="1:24" ht="14.25" customHeight="1">
      <c r="A5484" s="110"/>
      <c r="B5484" s="125">
        <v>46203</v>
      </c>
      <c r="C5484" s="126" t="s">
        <v>3282</v>
      </c>
      <c r="D5484" s="15" t="s">
        <v>659</v>
      </c>
      <c r="E5484" s="10" t="str">
        <f>TRIM(VLOOKUP(D5484,TB!$B$9:$C$1500,2,FALSE))</f>
        <v>COS - Entertainment</v>
      </c>
      <c r="F5484" s="185" t="s">
        <v>3283</v>
      </c>
      <c r="G5484" s="130"/>
      <c r="H5484" s="155">
        <v>1000000</v>
      </c>
      <c r="I5484" s="10"/>
      <c r="J5484" s="79" t="e">
        <f t="shared" si="346"/>
        <v>#VALUE!</v>
      </c>
      <c r="K5484" s="106"/>
      <c r="L5484" s="107"/>
      <c r="M5484" s="106"/>
      <c r="N5484" s="106"/>
      <c r="O5484" s="108"/>
      <c r="P5484" s="108"/>
      <c r="Q5484" s="108"/>
      <c r="R5484" s="109"/>
      <c r="S5484" s="109"/>
      <c r="T5484" s="108"/>
      <c r="U5484" s="110"/>
      <c r="V5484" s="110"/>
      <c r="W5484" s="110"/>
      <c r="X5484" s="110"/>
    </row>
    <row r="5485" spans="1:24" ht="14.25" customHeight="1">
      <c r="A5485" s="110"/>
      <c r="B5485" s="125">
        <v>46203</v>
      </c>
      <c r="C5485" s="126" t="s">
        <v>3284</v>
      </c>
      <c r="D5485" s="15" t="s">
        <v>659</v>
      </c>
      <c r="E5485" s="10" t="str">
        <f>TRIM(VLOOKUP(D5485,TB!$B$9:$C$1500,2,FALSE))</f>
        <v>COS - Entertainment</v>
      </c>
      <c r="F5485" s="185" t="s">
        <v>3285</v>
      </c>
      <c r="G5485" s="130"/>
      <c r="H5485" s="155">
        <v>2000000</v>
      </c>
      <c r="I5485" s="10"/>
      <c r="J5485" s="79" t="e">
        <f t="shared" si="346"/>
        <v>#VALUE!</v>
      </c>
      <c r="K5485" s="106"/>
      <c r="L5485" s="107"/>
      <c r="M5485" s="106"/>
      <c r="N5485" s="106"/>
      <c r="O5485" s="108"/>
      <c r="P5485" s="108"/>
      <c r="Q5485" s="108"/>
      <c r="R5485" s="109"/>
      <c r="S5485" s="109"/>
      <c r="T5485" s="108"/>
      <c r="U5485" s="110"/>
      <c r="V5485" s="110"/>
      <c r="W5485" s="110"/>
      <c r="X5485" s="110"/>
    </row>
    <row r="5486" spans="1:24" ht="14.25" customHeight="1">
      <c r="A5486" s="110"/>
      <c r="B5486" s="125">
        <v>46203</v>
      </c>
      <c r="C5486" s="126" t="s">
        <v>3286</v>
      </c>
      <c r="D5486" s="15" t="s">
        <v>659</v>
      </c>
      <c r="E5486" s="10" t="str">
        <f>TRIM(VLOOKUP(D5486,TB!$B$9:$C$1500,2,FALSE))</f>
        <v>COS - Entertainment</v>
      </c>
      <c r="F5486" s="185" t="s">
        <v>3287</v>
      </c>
      <c r="G5486" s="130"/>
      <c r="H5486" s="155">
        <v>3000000</v>
      </c>
      <c r="I5486" s="10"/>
      <c r="J5486" s="79" t="e">
        <f t="shared" si="346"/>
        <v>#VALUE!</v>
      </c>
      <c r="K5486" s="106"/>
      <c r="L5486" s="107"/>
      <c r="M5486" s="106"/>
      <c r="N5486" s="106"/>
      <c r="O5486" s="108"/>
      <c r="P5486" s="108"/>
      <c r="Q5486" s="108"/>
      <c r="R5486" s="109"/>
      <c r="S5486" s="109"/>
      <c r="T5486" s="108"/>
      <c r="U5486" s="110"/>
      <c r="V5486" s="110"/>
      <c r="W5486" s="110"/>
      <c r="X5486" s="110"/>
    </row>
    <row r="5487" spans="1:24" ht="14.25" customHeight="1">
      <c r="A5487" s="110"/>
      <c r="B5487" s="125">
        <v>46203</v>
      </c>
      <c r="C5487" s="126" t="s">
        <v>3288</v>
      </c>
      <c r="D5487" s="15" t="s">
        <v>659</v>
      </c>
      <c r="E5487" s="10" t="str">
        <f>TRIM(VLOOKUP(D5487,TB!$B$9:$C$1500,2,FALSE))</f>
        <v>COS - Entertainment</v>
      </c>
      <c r="F5487" s="185" t="s">
        <v>3289</v>
      </c>
      <c r="G5487" s="130"/>
      <c r="H5487" s="155">
        <v>3000000</v>
      </c>
      <c r="I5487" s="10"/>
      <c r="J5487" s="79" t="e">
        <f t="shared" si="346"/>
        <v>#VALUE!</v>
      </c>
      <c r="K5487" s="106"/>
      <c r="L5487" s="107"/>
      <c r="M5487" s="106"/>
      <c r="N5487" s="106"/>
      <c r="O5487" s="108"/>
      <c r="P5487" s="108"/>
      <c r="Q5487" s="108"/>
      <c r="R5487" s="109"/>
      <c r="S5487" s="109"/>
      <c r="T5487" s="108"/>
      <c r="U5487" s="110"/>
      <c r="V5487" s="110"/>
      <c r="W5487" s="110"/>
      <c r="X5487" s="110"/>
    </row>
    <row r="5488" spans="1:24" ht="14.25" customHeight="1">
      <c r="A5488" s="110"/>
      <c r="B5488" s="125">
        <v>46203</v>
      </c>
      <c r="C5488" s="126" t="s">
        <v>3290</v>
      </c>
      <c r="D5488" s="15" t="s">
        <v>659</v>
      </c>
      <c r="E5488" s="10" t="str">
        <f>TRIM(VLOOKUP(D5488,TB!$B$9:$C$1500,2,FALSE))</f>
        <v>COS - Entertainment</v>
      </c>
      <c r="F5488" s="185" t="s">
        <v>3291</v>
      </c>
      <c r="G5488" s="130"/>
      <c r="H5488" s="155">
        <v>4000000</v>
      </c>
      <c r="I5488" s="10"/>
      <c r="J5488" s="79" t="e">
        <f t="shared" si="346"/>
        <v>#VALUE!</v>
      </c>
      <c r="K5488" s="106"/>
      <c r="L5488" s="107"/>
      <c r="M5488" s="106"/>
      <c r="N5488" s="106"/>
      <c r="O5488" s="108"/>
      <c r="P5488" s="108"/>
      <c r="Q5488" s="108"/>
      <c r="R5488" s="109"/>
      <c r="S5488" s="109"/>
      <c r="T5488" s="108"/>
      <c r="U5488" s="110"/>
      <c r="V5488" s="110"/>
      <c r="W5488" s="110"/>
      <c r="X5488" s="110"/>
    </row>
    <row r="5489" spans="1:24" ht="14.25" customHeight="1">
      <c r="A5489" s="110"/>
      <c r="B5489" s="125">
        <v>46203</v>
      </c>
      <c r="C5489" s="126" t="s">
        <v>3292</v>
      </c>
      <c r="D5489" s="15" t="s">
        <v>659</v>
      </c>
      <c r="E5489" s="10" t="str">
        <f>TRIM(VLOOKUP(D5489,TB!$B$9:$C$1500,2,FALSE))</f>
        <v>COS - Entertainment</v>
      </c>
      <c r="F5489" s="185" t="s">
        <v>3293</v>
      </c>
      <c r="G5489" s="130"/>
      <c r="H5489" s="155">
        <v>1000000</v>
      </c>
      <c r="I5489" s="10"/>
      <c r="J5489" s="79" t="e">
        <f t="shared" si="346"/>
        <v>#VALUE!</v>
      </c>
      <c r="K5489" s="106"/>
      <c r="L5489" s="107"/>
      <c r="M5489" s="106"/>
      <c r="N5489" s="106"/>
      <c r="O5489" s="108"/>
      <c r="P5489" s="108"/>
      <c r="Q5489" s="108"/>
      <c r="R5489" s="109"/>
      <c r="S5489" s="109"/>
      <c r="T5489" s="108"/>
      <c r="U5489" s="110"/>
      <c r="V5489" s="110"/>
      <c r="W5489" s="110"/>
      <c r="X5489" s="110"/>
    </row>
    <row r="5490" spans="1:24" ht="14.25" customHeight="1">
      <c r="A5490" s="110"/>
      <c r="B5490" s="125">
        <v>46203</v>
      </c>
      <c r="C5490" s="126" t="s">
        <v>3294</v>
      </c>
      <c r="D5490" s="15" t="s">
        <v>659</v>
      </c>
      <c r="E5490" s="10" t="str">
        <f>TRIM(VLOOKUP(D5490,TB!$B$9:$C$1500,2,FALSE))</f>
        <v>COS - Entertainment</v>
      </c>
      <c r="F5490" s="185" t="s">
        <v>3295</v>
      </c>
      <c r="G5490" s="130"/>
      <c r="H5490" s="155">
        <v>7000000</v>
      </c>
      <c r="I5490" s="10"/>
      <c r="J5490" s="79" t="e">
        <f t="shared" si="346"/>
        <v>#VALUE!</v>
      </c>
      <c r="K5490" s="106"/>
      <c r="L5490" s="107"/>
      <c r="M5490" s="106"/>
      <c r="N5490" s="106"/>
      <c r="O5490" s="108"/>
      <c r="P5490" s="108"/>
      <c r="Q5490" s="108"/>
      <c r="R5490" s="109"/>
      <c r="S5490" s="109"/>
      <c r="T5490" s="108"/>
      <c r="U5490" s="110"/>
      <c r="V5490" s="110"/>
      <c r="W5490" s="110"/>
      <c r="X5490" s="110"/>
    </row>
    <row r="5491" spans="1:24" ht="14.25" customHeight="1">
      <c r="A5491" s="110"/>
      <c r="B5491" s="125">
        <v>46203</v>
      </c>
      <c r="C5491" s="126" t="s">
        <v>3258</v>
      </c>
      <c r="D5491" s="68" t="s">
        <v>285</v>
      </c>
      <c r="E5491" s="10" t="str">
        <f>TRIM(VLOOKUP(D5491,TB!$B$9:$C$1500,2,FALSE))</f>
        <v>Misc Cash Purchase</v>
      </c>
      <c r="F5491" s="186" t="s">
        <v>3259</v>
      </c>
      <c r="G5491" s="130"/>
      <c r="H5491" s="10"/>
      <c r="I5491" s="155">
        <v>2000000</v>
      </c>
      <c r="J5491" s="79" t="e">
        <f t="shared" si="346"/>
        <v>#VALUE!</v>
      </c>
      <c r="K5491" s="106"/>
      <c r="L5491" s="107"/>
      <c r="M5491" s="106"/>
      <c r="N5491" s="106"/>
      <c r="O5491" s="108"/>
      <c r="P5491" s="108"/>
      <c r="Q5491" s="108"/>
      <c r="R5491" s="109"/>
      <c r="S5491" s="109"/>
      <c r="T5491" s="108"/>
      <c r="U5491" s="110"/>
      <c r="V5491" s="110"/>
      <c r="W5491" s="110"/>
      <c r="X5491" s="110"/>
    </row>
    <row r="5492" spans="1:24" ht="14.25" customHeight="1">
      <c r="A5492" s="110"/>
      <c r="B5492" s="125">
        <v>46203</v>
      </c>
      <c r="C5492" s="126" t="s">
        <v>3260</v>
      </c>
      <c r="D5492" s="68" t="s">
        <v>285</v>
      </c>
      <c r="E5492" s="10" t="str">
        <f>TRIM(VLOOKUP(D5492,TB!$B$9:$C$1500,2,FALSE))</f>
        <v>Misc Cash Purchase</v>
      </c>
      <c r="F5492" s="185" t="s">
        <v>3261</v>
      </c>
      <c r="G5492" s="130"/>
      <c r="H5492" s="10"/>
      <c r="I5492" s="155">
        <v>1500000</v>
      </c>
      <c r="J5492" s="79" t="e">
        <f t="shared" si="346"/>
        <v>#VALUE!</v>
      </c>
      <c r="K5492" s="106"/>
      <c r="L5492" s="107"/>
      <c r="M5492" s="106"/>
      <c r="N5492" s="106"/>
      <c r="O5492" s="108"/>
      <c r="P5492" s="108"/>
      <c r="Q5492" s="108"/>
      <c r="R5492" s="109"/>
      <c r="S5492" s="109"/>
      <c r="T5492" s="108"/>
      <c r="U5492" s="110"/>
      <c r="V5492" s="110"/>
      <c r="W5492" s="110"/>
      <c r="X5492" s="110"/>
    </row>
    <row r="5493" spans="1:24" ht="14.25" customHeight="1">
      <c r="A5493" s="110"/>
      <c r="B5493" s="125">
        <v>46203</v>
      </c>
      <c r="C5493" s="126" t="s">
        <v>3262</v>
      </c>
      <c r="D5493" s="68" t="s">
        <v>285</v>
      </c>
      <c r="E5493" s="10" t="str">
        <f>TRIM(VLOOKUP(D5493,TB!$B$9:$C$1500,2,FALSE))</f>
        <v>Misc Cash Purchase</v>
      </c>
      <c r="F5493" s="185" t="s">
        <v>3263</v>
      </c>
      <c r="G5493" s="130"/>
      <c r="H5493" s="10"/>
      <c r="I5493" s="155">
        <v>1500000</v>
      </c>
      <c r="J5493" s="79" t="e">
        <f t="shared" si="346"/>
        <v>#VALUE!</v>
      </c>
      <c r="K5493" s="106"/>
      <c r="L5493" s="107"/>
      <c r="M5493" s="106"/>
      <c r="N5493" s="106"/>
      <c r="O5493" s="108"/>
      <c r="P5493" s="108"/>
      <c r="Q5493" s="108"/>
      <c r="R5493" s="109"/>
      <c r="S5493" s="109"/>
      <c r="T5493" s="108"/>
      <c r="U5493" s="110"/>
      <c r="V5493" s="110"/>
      <c r="W5493" s="110"/>
      <c r="X5493" s="110"/>
    </row>
    <row r="5494" spans="1:24" ht="14.25" customHeight="1">
      <c r="A5494" s="110"/>
      <c r="B5494" s="125">
        <v>46203</v>
      </c>
      <c r="C5494" s="126" t="s">
        <v>3264</v>
      </c>
      <c r="D5494" s="68" t="s">
        <v>285</v>
      </c>
      <c r="E5494" s="10" t="str">
        <f>TRIM(VLOOKUP(D5494,TB!$B$9:$C$1500,2,FALSE))</f>
        <v>Misc Cash Purchase</v>
      </c>
      <c r="F5494" s="185" t="s">
        <v>3265</v>
      </c>
      <c r="G5494" s="130"/>
      <c r="H5494" s="10"/>
      <c r="I5494" s="155">
        <v>1000000</v>
      </c>
      <c r="J5494" s="79" t="e">
        <f t="shared" si="346"/>
        <v>#VALUE!</v>
      </c>
      <c r="K5494" s="106"/>
      <c r="L5494" s="107"/>
      <c r="M5494" s="106"/>
      <c r="N5494" s="106"/>
      <c r="O5494" s="108"/>
      <c r="P5494" s="108"/>
      <c r="Q5494" s="108"/>
      <c r="R5494" s="109"/>
      <c r="S5494" s="109"/>
      <c r="T5494" s="108"/>
      <c r="U5494" s="110"/>
      <c r="V5494" s="110"/>
      <c r="W5494" s="110"/>
      <c r="X5494" s="110"/>
    </row>
    <row r="5495" spans="1:24" ht="14.25" customHeight="1">
      <c r="A5495" s="110"/>
      <c r="B5495" s="125">
        <v>46203</v>
      </c>
      <c r="C5495" s="126" t="s">
        <v>3266</v>
      </c>
      <c r="D5495" s="68" t="s">
        <v>285</v>
      </c>
      <c r="E5495" s="10" t="str">
        <f>TRIM(VLOOKUP(D5495,TB!$B$9:$C$1500,2,FALSE))</f>
        <v>Misc Cash Purchase</v>
      </c>
      <c r="F5495" s="185" t="s">
        <v>3267</v>
      </c>
      <c r="G5495" s="130"/>
      <c r="H5495" s="10"/>
      <c r="I5495" s="155">
        <v>1500000</v>
      </c>
      <c r="J5495" s="79" t="e">
        <f t="shared" si="346"/>
        <v>#VALUE!</v>
      </c>
      <c r="K5495" s="106"/>
      <c r="L5495" s="107"/>
      <c r="M5495" s="106"/>
      <c r="N5495" s="106"/>
      <c r="O5495" s="108"/>
      <c r="P5495" s="108"/>
      <c r="Q5495" s="108"/>
      <c r="R5495" s="109"/>
      <c r="S5495" s="109"/>
      <c r="T5495" s="108"/>
      <c r="U5495" s="110"/>
      <c r="V5495" s="110"/>
      <c r="W5495" s="110"/>
      <c r="X5495" s="110"/>
    </row>
    <row r="5496" spans="1:24" ht="14.25" customHeight="1">
      <c r="A5496" s="110"/>
      <c r="B5496" s="125">
        <v>46203</v>
      </c>
      <c r="C5496" s="126" t="s">
        <v>3268</v>
      </c>
      <c r="D5496" s="68" t="s">
        <v>285</v>
      </c>
      <c r="E5496" s="10" t="str">
        <f>TRIM(VLOOKUP(D5496,TB!$B$9:$C$1500,2,FALSE))</f>
        <v>Misc Cash Purchase</v>
      </c>
      <c r="F5496" s="185" t="s">
        <v>3269</v>
      </c>
      <c r="G5496" s="130"/>
      <c r="H5496" s="10"/>
      <c r="I5496" s="155">
        <v>1500000</v>
      </c>
      <c r="J5496" s="79" t="e">
        <f t="shared" si="346"/>
        <v>#VALUE!</v>
      </c>
      <c r="K5496" s="106"/>
      <c r="L5496" s="107"/>
      <c r="M5496" s="106"/>
      <c r="N5496" s="106"/>
      <c r="O5496" s="108"/>
      <c r="P5496" s="108"/>
      <c r="Q5496" s="108"/>
      <c r="R5496" s="109"/>
      <c r="S5496" s="109"/>
      <c r="T5496" s="108"/>
      <c r="U5496" s="110"/>
      <c r="V5496" s="110"/>
      <c r="W5496" s="110"/>
      <c r="X5496" s="110"/>
    </row>
    <row r="5497" spans="1:24" ht="14.25" customHeight="1">
      <c r="A5497" s="110"/>
      <c r="B5497" s="125">
        <v>46203</v>
      </c>
      <c r="C5497" s="126" t="s">
        <v>3270</v>
      </c>
      <c r="D5497" s="68" t="s">
        <v>285</v>
      </c>
      <c r="E5497" s="10" t="str">
        <f>TRIM(VLOOKUP(D5497,TB!$B$9:$C$1500,2,FALSE))</f>
        <v>Misc Cash Purchase</v>
      </c>
      <c r="F5497" s="185" t="s">
        <v>3271</v>
      </c>
      <c r="G5497" s="130"/>
      <c r="H5497" s="10"/>
      <c r="I5497" s="155">
        <v>2000000</v>
      </c>
      <c r="J5497" s="79" t="e">
        <f t="shared" si="346"/>
        <v>#VALUE!</v>
      </c>
      <c r="K5497" s="106"/>
      <c r="L5497" s="107"/>
      <c r="M5497" s="106"/>
      <c r="N5497" s="106"/>
      <c r="O5497" s="108"/>
      <c r="P5497" s="108"/>
      <c r="Q5497" s="108"/>
      <c r="R5497" s="109"/>
      <c r="S5497" s="109"/>
      <c r="T5497" s="108"/>
      <c r="U5497" s="110"/>
      <c r="V5497" s="110"/>
      <c r="W5497" s="110"/>
      <c r="X5497" s="110"/>
    </row>
    <row r="5498" spans="1:24" ht="14.25" customHeight="1">
      <c r="A5498" s="110"/>
      <c r="B5498" s="125">
        <v>46203</v>
      </c>
      <c r="C5498" s="126" t="s">
        <v>3272</v>
      </c>
      <c r="D5498" s="68" t="s">
        <v>285</v>
      </c>
      <c r="E5498" s="10" t="str">
        <f>TRIM(VLOOKUP(D5498,TB!$B$9:$C$1500,2,FALSE))</f>
        <v>Misc Cash Purchase</v>
      </c>
      <c r="F5498" s="185" t="s">
        <v>3273</v>
      </c>
      <c r="G5498" s="130"/>
      <c r="H5498" s="10"/>
      <c r="I5498" s="155">
        <v>2000000</v>
      </c>
      <c r="J5498" s="79" t="e">
        <f t="shared" si="346"/>
        <v>#VALUE!</v>
      </c>
      <c r="K5498" s="106"/>
      <c r="L5498" s="107"/>
      <c r="M5498" s="106"/>
      <c r="N5498" s="106"/>
      <c r="O5498" s="108"/>
      <c r="P5498" s="108"/>
      <c r="Q5498" s="108"/>
      <c r="R5498" s="109"/>
      <c r="S5498" s="109"/>
      <c r="T5498" s="108"/>
      <c r="U5498" s="110"/>
      <c r="V5498" s="110"/>
      <c r="W5498" s="110"/>
      <c r="X5498" s="110"/>
    </row>
    <row r="5499" spans="1:24" ht="14.25" customHeight="1">
      <c r="A5499" s="110"/>
      <c r="B5499" s="125">
        <v>46203</v>
      </c>
      <c r="C5499" s="126" t="s">
        <v>3274</v>
      </c>
      <c r="D5499" s="68" t="s">
        <v>285</v>
      </c>
      <c r="E5499" s="10" t="str">
        <f>TRIM(VLOOKUP(D5499,TB!$B$9:$C$1500,2,FALSE))</f>
        <v>Misc Cash Purchase</v>
      </c>
      <c r="F5499" s="185" t="s">
        <v>3275</v>
      </c>
      <c r="G5499" s="130"/>
      <c r="H5499" s="10"/>
      <c r="I5499" s="155">
        <v>2000000</v>
      </c>
      <c r="J5499" s="79" t="e">
        <f t="shared" si="346"/>
        <v>#VALUE!</v>
      </c>
      <c r="K5499" s="106"/>
      <c r="L5499" s="107"/>
      <c r="M5499" s="106"/>
      <c r="N5499" s="106"/>
      <c r="O5499" s="108"/>
      <c r="P5499" s="108"/>
      <c r="Q5499" s="108"/>
      <c r="R5499" s="109"/>
      <c r="S5499" s="109"/>
      <c r="T5499" s="108"/>
      <c r="U5499" s="110"/>
      <c r="V5499" s="110"/>
      <c r="W5499" s="110"/>
      <c r="X5499" s="110"/>
    </row>
    <row r="5500" spans="1:24" ht="14.25" customHeight="1">
      <c r="A5500" s="110"/>
      <c r="B5500" s="125">
        <v>46203</v>
      </c>
      <c r="C5500" s="126" t="s">
        <v>3276</v>
      </c>
      <c r="D5500" s="68" t="s">
        <v>285</v>
      </c>
      <c r="E5500" s="10" t="str">
        <f>TRIM(VLOOKUP(D5500,TB!$B$9:$C$1500,2,FALSE))</f>
        <v>Misc Cash Purchase</v>
      </c>
      <c r="F5500" s="185" t="s">
        <v>3277</v>
      </c>
      <c r="G5500" s="130"/>
      <c r="H5500" s="10"/>
      <c r="I5500" s="155">
        <v>2000000</v>
      </c>
      <c r="J5500" s="79" t="e">
        <f t="shared" si="346"/>
        <v>#VALUE!</v>
      </c>
      <c r="K5500" s="106"/>
      <c r="L5500" s="107"/>
      <c r="M5500" s="106"/>
      <c r="N5500" s="106"/>
      <c r="O5500" s="108"/>
      <c r="P5500" s="108"/>
      <c r="Q5500" s="108"/>
      <c r="R5500" s="109"/>
      <c r="S5500" s="109"/>
      <c r="T5500" s="108"/>
      <c r="U5500" s="110"/>
      <c r="V5500" s="110"/>
      <c r="W5500" s="110"/>
      <c r="X5500" s="110"/>
    </row>
    <row r="5501" spans="1:24" ht="14.25" customHeight="1">
      <c r="A5501" s="110"/>
      <c r="B5501" s="125">
        <v>46203</v>
      </c>
      <c r="C5501" s="126" t="s">
        <v>3278</v>
      </c>
      <c r="D5501" s="68" t="s">
        <v>285</v>
      </c>
      <c r="E5501" s="10" t="str">
        <f>TRIM(VLOOKUP(D5501,TB!$B$9:$C$1500,2,FALSE))</f>
        <v>Misc Cash Purchase</v>
      </c>
      <c r="F5501" s="185" t="s">
        <v>3279</v>
      </c>
      <c r="G5501" s="130"/>
      <c r="H5501" s="10"/>
      <c r="I5501" s="155">
        <v>2000000</v>
      </c>
      <c r="J5501" s="79" t="e">
        <f t="shared" si="346"/>
        <v>#VALUE!</v>
      </c>
      <c r="K5501" s="106"/>
      <c r="L5501" s="107"/>
      <c r="M5501" s="106"/>
      <c r="N5501" s="106"/>
      <c r="O5501" s="108"/>
      <c r="P5501" s="108"/>
      <c r="Q5501" s="108"/>
      <c r="R5501" s="109"/>
      <c r="S5501" s="109"/>
      <c r="T5501" s="108"/>
      <c r="U5501" s="110"/>
      <c r="V5501" s="110"/>
      <c r="W5501" s="110"/>
      <c r="X5501" s="110"/>
    </row>
    <row r="5502" spans="1:24" ht="14.25" customHeight="1">
      <c r="A5502" s="110"/>
      <c r="B5502" s="125">
        <v>46203</v>
      </c>
      <c r="C5502" s="126" t="s">
        <v>3280</v>
      </c>
      <c r="D5502" s="68" t="s">
        <v>285</v>
      </c>
      <c r="E5502" s="10" t="str">
        <f>TRIM(VLOOKUP(D5502,TB!$B$9:$C$1500,2,FALSE))</f>
        <v>Misc Cash Purchase</v>
      </c>
      <c r="F5502" s="185" t="s">
        <v>3281</v>
      </c>
      <c r="G5502" s="130"/>
      <c r="H5502" s="10"/>
      <c r="I5502" s="155">
        <v>2000000</v>
      </c>
      <c r="J5502" s="79" t="e">
        <f t="shared" si="346"/>
        <v>#VALUE!</v>
      </c>
      <c r="K5502" s="106"/>
      <c r="L5502" s="107"/>
      <c r="M5502" s="106"/>
      <c r="N5502" s="106"/>
      <c r="O5502" s="108"/>
      <c r="P5502" s="108"/>
      <c r="Q5502" s="108"/>
      <c r="R5502" s="109"/>
      <c r="S5502" s="109"/>
      <c r="T5502" s="108"/>
      <c r="U5502" s="110"/>
      <c r="V5502" s="110"/>
      <c r="W5502" s="110"/>
      <c r="X5502" s="110"/>
    </row>
    <row r="5503" spans="1:24" ht="14.25" customHeight="1">
      <c r="A5503" s="110"/>
      <c r="B5503" s="125">
        <v>46203</v>
      </c>
      <c r="C5503" s="126" t="s">
        <v>3282</v>
      </c>
      <c r="D5503" s="68" t="s">
        <v>285</v>
      </c>
      <c r="E5503" s="10" t="str">
        <f>TRIM(VLOOKUP(D5503,TB!$B$9:$C$1500,2,FALSE))</f>
        <v>Misc Cash Purchase</v>
      </c>
      <c r="F5503" s="185" t="s">
        <v>3283</v>
      </c>
      <c r="G5503" s="130"/>
      <c r="H5503" s="10"/>
      <c r="I5503" s="155">
        <v>1000000</v>
      </c>
      <c r="J5503" s="79" t="e">
        <f t="shared" si="346"/>
        <v>#VALUE!</v>
      </c>
      <c r="K5503" s="106"/>
      <c r="L5503" s="107"/>
      <c r="M5503" s="106"/>
      <c r="N5503" s="106"/>
      <c r="O5503" s="108"/>
      <c r="P5503" s="108"/>
      <c r="Q5503" s="108"/>
      <c r="R5503" s="109"/>
      <c r="S5503" s="109"/>
      <c r="T5503" s="108"/>
      <c r="U5503" s="110"/>
      <c r="V5503" s="110"/>
      <c r="W5503" s="110"/>
      <c r="X5503" s="110"/>
    </row>
    <row r="5504" spans="1:24" ht="14.25" customHeight="1">
      <c r="A5504" s="110"/>
      <c r="B5504" s="125">
        <v>46203</v>
      </c>
      <c r="C5504" s="126" t="s">
        <v>3284</v>
      </c>
      <c r="D5504" s="68" t="s">
        <v>285</v>
      </c>
      <c r="E5504" s="10" t="str">
        <f>TRIM(VLOOKUP(D5504,TB!$B$9:$C$1500,2,FALSE))</f>
        <v>Misc Cash Purchase</v>
      </c>
      <c r="F5504" s="185" t="s">
        <v>3285</v>
      </c>
      <c r="G5504" s="130"/>
      <c r="H5504" s="10"/>
      <c r="I5504" s="155">
        <v>2000000</v>
      </c>
      <c r="J5504" s="79" t="e">
        <f t="shared" si="346"/>
        <v>#VALUE!</v>
      </c>
      <c r="K5504" s="106"/>
      <c r="L5504" s="107"/>
      <c r="M5504" s="106"/>
      <c r="N5504" s="106"/>
      <c r="O5504" s="108"/>
      <c r="P5504" s="108"/>
      <c r="Q5504" s="108"/>
      <c r="R5504" s="109"/>
      <c r="S5504" s="109"/>
      <c r="T5504" s="108"/>
      <c r="U5504" s="110"/>
      <c r="V5504" s="110"/>
      <c r="W5504" s="110"/>
      <c r="X5504" s="110"/>
    </row>
    <row r="5505" spans="1:24" ht="14.25" customHeight="1">
      <c r="A5505" s="110"/>
      <c r="B5505" s="125">
        <v>46203</v>
      </c>
      <c r="C5505" s="126" t="s">
        <v>3286</v>
      </c>
      <c r="D5505" s="68" t="s">
        <v>285</v>
      </c>
      <c r="E5505" s="10" t="str">
        <f>TRIM(VLOOKUP(D5505,TB!$B$9:$C$1500,2,FALSE))</f>
        <v>Misc Cash Purchase</v>
      </c>
      <c r="F5505" s="185" t="s">
        <v>3287</v>
      </c>
      <c r="G5505" s="130"/>
      <c r="H5505" s="10"/>
      <c r="I5505" s="155">
        <v>3000000</v>
      </c>
      <c r="J5505" s="79" t="e">
        <f t="shared" si="346"/>
        <v>#VALUE!</v>
      </c>
      <c r="K5505" s="106"/>
      <c r="L5505" s="107"/>
      <c r="M5505" s="106"/>
      <c r="N5505" s="106"/>
      <c r="O5505" s="108"/>
      <c r="P5505" s="108"/>
      <c r="Q5505" s="108"/>
      <c r="R5505" s="109"/>
      <c r="S5505" s="109"/>
      <c r="T5505" s="108"/>
      <c r="U5505" s="110"/>
      <c r="V5505" s="110"/>
      <c r="W5505" s="110"/>
      <c r="X5505" s="110"/>
    </row>
    <row r="5506" spans="1:24" ht="14.25" customHeight="1">
      <c r="A5506" s="110"/>
      <c r="B5506" s="125">
        <v>46203</v>
      </c>
      <c r="C5506" s="126" t="s">
        <v>3288</v>
      </c>
      <c r="D5506" s="68" t="s">
        <v>285</v>
      </c>
      <c r="E5506" s="10" t="str">
        <f>TRIM(VLOOKUP(D5506,TB!$B$9:$C$1500,2,FALSE))</f>
        <v>Misc Cash Purchase</v>
      </c>
      <c r="F5506" s="185" t="s">
        <v>3289</v>
      </c>
      <c r="G5506" s="130"/>
      <c r="H5506" s="10"/>
      <c r="I5506" s="155">
        <v>3000000</v>
      </c>
      <c r="J5506" s="79" t="e">
        <f t="shared" si="346"/>
        <v>#VALUE!</v>
      </c>
      <c r="K5506" s="106"/>
      <c r="L5506" s="107"/>
      <c r="M5506" s="106"/>
      <c r="N5506" s="106"/>
      <c r="O5506" s="108"/>
      <c r="P5506" s="108"/>
      <c r="Q5506" s="108"/>
      <c r="R5506" s="109"/>
      <c r="S5506" s="109"/>
      <c r="T5506" s="108"/>
      <c r="U5506" s="110"/>
      <c r="V5506" s="110"/>
      <c r="W5506" s="110"/>
      <c r="X5506" s="110"/>
    </row>
    <row r="5507" spans="1:24" ht="14.25" customHeight="1">
      <c r="A5507" s="110"/>
      <c r="B5507" s="125">
        <v>46203</v>
      </c>
      <c r="C5507" s="126" t="s">
        <v>3290</v>
      </c>
      <c r="D5507" s="68" t="s">
        <v>285</v>
      </c>
      <c r="E5507" s="10" t="str">
        <f>TRIM(VLOOKUP(D5507,TB!$B$9:$C$1500,2,FALSE))</f>
        <v>Misc Cash Purchase</v>
      </c>
      <c r="F5507" s="185" t="s">
        <v>3291</v>
      </c>
      <c r="G5507" s="130"/>
      <c r="H5507" s="10"/>
      <c r="I5507" s="155">
        <v>4000000</v>
      </c>
      <c r="J5507" s="79" t="e">
        <f t="shared" si="346"/>
        <v>#VALUE!</v>
      </c>
      <c r="K5507" s="106"/>
      <c r="L5507" s="107"/>
      <c r="M5507" s="106"/>
      <c r="N5507" s="106"/>
      <c r="O5507" s="108"/>
      <c r="P5507" s="108"/>
      <c r="Q5507" s="108"/>
      <c r="R5507" s="109"/>
      <c r="S5507" s="109"/>
      <c r="T5507" s="108"/>
      <c r="U5507" s="110"/>
      <c r="V5507" s="110"/>
      <c r="W5507" s="110"/>
      <c r="X5507" s="110"/>
    </row>
    <row r="5508" spans="1:24" ht="14.25" customHeight="1">
      <c r="A5508" s="110"/>
      <c r="B5508" s="125">
        <v>46203</v>
      </c>
      <c r="C5508" s="126" t="s">
        <v>3292</v>
      </c>
      <c r="D5508" s="68" t="s">
        <v>285</v>
      </c>
      <c r="E5508" s="10" t="str">
        <f>TRIM(VLOOKUP(D5508,TB!$B$9:$C$1500,2,FALSE))</f>
        <v>Misc Cash Purchase</v>
      </c>
      <c r="F5508" s="185" t="s">
        <v>3293</v>
      </c>
      <c r="G5508" s="130"/>
      <c r="H5508" s="10"/>
      <c r="I5508" s="155">
        <v>1000000</v>
      </c>
      <c r="J5508" s="79" t="e">
        <f t="shared" si="346"/>
        <v>#VALUE!</v>
      </c>
      <c r="K5508" s="106"/>
      <c r="L5508" s="107"/>
      <c r="M5508" s="106"/>
      <c r="N5508" s="106"/>
      <c r="O5508" s="108"/>
      <c r="P5508" s="108"/>
      <c r="Q5508" s="108"/>
      <c r="R5508" s="109"/>
      <c r="S5508" s="109"/>
      <c r="T5508" s="108"/>
      <c r="U5508" s="110"/>
      <c r="V5508" s="110"/>
      <c r="W5508" s="110"/>
      <c r="X5508" s="110"/>
    </row>
    <row r="5509" spans="1:24" ht="14.25" customHeight="1">
      <c r="A5509" s="110"/>
      <c r="B5509" s="125">
        <v>46203</v>
      </c>
      <c r="C5509" s="126" t="s">
        <v>3294</v>
      </c>
      <c r="D5509" s="68" t="s">
        <v>285</v>
      </c>
      <c r="E5509" s="10" t="str">
        <f>TRIM(VLOOKUP(D5509,TB!$B$9:$C$1500,2,FALSE))</f>
        <v>Misc Cash Purchase</v>
      </c>
      <c r="F5509" s="185" t="s">
        <v>3295</v>
      </c>
      <c r="G5509" s="130"/>
      <c r="H5509" s="10"/>
      <c r="I5509" s="155">
        <v>7000000</v>
      </c>
      <c r="J5509" s="79" t="e">
        <f t="shared" si="346"/>
        <v>#VALUE!</v>
      </c>
      <c r="K5509" s="106"/>
      <c r="L5509" s="107"/>
      <c r="M5509" s="106"/>
      <c r="N5509" s="106"/>
      <c r="O5509" s="108"/>
      <c r="P5509" s="108"/>
      <c r="Q5509" s="108"/>
      <c r="R5509" s="109"/>
      <c r="S5509" s="109"/>
      <c r="T5509" s="108"/>
      <c r="U5509" s="110"/>
      <c r="V5509" s="110"/>
      <c r="W5509" s="110"/>
      <c r="X5509" s="110"/>
    </row>
    <row r="5510" spans="1:24" ht="14.25" customHeight="1">
      <c r="A5510" s="110"/>
      <c r="B5510" s="125"/>
      <c r="C5510" s="126"/>
      <c r="D5510" s="159"/>
      <c r="E5510" s="10" t="e">
        <f>TRIM(VLOOKUP(D5510,TB!$B$9:$C$1500,2,FALSE))</f>
        <v>#N/A</v>
      </c>
      <c r="F5510" s="142"/>
      <c r="G5510" s="130"/>
      <c r="H5510" s="10"/>
      <c r="I5510" s="10"/>
      <c r="J5510" s="79" t="e">
        <f t="shared" si="346"/>
        <v>#VALUE!</v>
      </c>
      <c r="K5510" s="106"/>
      <c r="L5510" s="107"/>
      <c r="M5510" s="106"/>
      <c r="N5510" s="106"/>
      <c r="O5510" s="108"/>
      <c r="P5510" s="108"/>
      <c r="Q5510" s="108"/>
      <c r="R5510" s="109"/>
      <c r="S5510" s="109"/>
      <c r="T5510" s="108"/>
      <c r="U5510" s="110"/>
      <c r="V5510" s="110"/>
      <c r="W5510" s="110"/>
      <c r="X5510" s="110"/>
    </row>
    <row r="5511" spans="1:24" ht="14.25" customHeight="1">
      <c r="A5511" s="110"/>
      <c r="B5511" s="125">
        <v>46203</v>
      </c>
      <c r="C5511" s="126" t="s">
        <v>3296</v>
      </c>
      <c r="D5511" s="15" t="s">
        <v>659</v>
      </c>
      <c r="E5511" s="10" t="str">
        <f>TRIM(VLOOKUP(D5511,TB!$B$9:$C$1500,2,FALSE))</f>
        <v>COS - Entertainment</v>
      </c>
      <c r="F5511" s="185" t="s">
        <v>3297</v>
      </c>
      <c r="G5511" s="130"/>
      <c r="H5511" s="155">
        <f>823000+1177000</f>
        <v>2000000</v>
      </c>
      <c r="I5511" s="10"/>
      <c r="J5511" s="79" t="e">
        <f t="shared" si="346"/>
        <v>#VALUE!</v>
      </c>
      <c r="K5511" s="106"/>
      <c r="L5511" s="107"/>
      <c r="M5511" s="106"/>
      <c r="N5511" s="106"/>
      <c r="O5511" s="108"/>
      <c r="P5511" s="108"/>
      <c r="Q5511" s="108"/>
      <c r="R5511" s="109"/>
      <c r="S5511" s="109"/>
      <c r="T5511" s="108"/>
      <c r="U5511" s="110"/>
      <c r="V5511" s="110"/>
      <c r="W5511" s="110"/>
      <c r="X5511" s="110"/>
    </row>
    <row r="5512" spans="1:24" ht="14.25" customHeight="1">
      <c r="A5512" s="110"/>
      <c r="B5512" s="125">
        <v>46203</v>
      </c>
      <c r="C5512" s="126" t="s">
        <v>3296</v>
      </c>
      <c r="D5512" s="68" t="s">
        <v>63</v>
      </c>
      <c r="E5512" s="10" t="str">
        <f>TRIM(VLOOKUP(D5512,TB!$B$9:$C$1500,2,FALSE))</f>
        <v>City Ledger</v>
      </c>
      <c r="F5512" s="185" t="s">
        <v>3297</v>
      </c>
      <c r="G5512" s="130"/>
      <c r="H5512" s="10"/>
      <c r="I5512" s="155">
        <v>1177000</v>
      </c>
      <c r="J5512" s="79" t="e">
        <f t="shared" si="346"/>
        <v>#VALUE!</v>
      </c>
      <c r="K5512" s="106"/>
      <c r="L5512" s="107"/>
      <c r="M5512" s="106"/>
      <c r="N5512" s="106"/>
      <c r="O5512" s="108"/>
      <c r="P5512" s="108"/>
      <c r="Q5512" s="108"/>
      <c r="R5512" s="109"/>
      <c r="S5512" s="109"/>
      <c r="T5512" s="108"/>
      <c r="U5512" s="110"/>
      <c r="V5512" s="110"/>
      <c r="W5512" s="110"/>
      <c r="X5512" s="110"/>
    </row>
    <row r="5513" spans="1:24" ht="14.25" customHeight="1">
      <c r="A5513" s="110"/>
      <c r="B5513" s="125">
        <v>46203</v>
      </c>
      <c r="C5513" s="126" t="s">
        <v>3296</v>
      </c>
      <c r="D5513" s="68" t="s">
        <v>285</v>
      </c>
      <c r="E5513" s="10" t="str">
        <f>TRIM(VLOOKUP(D5513,TB!$B$9:$C$1500,2,FALSE))</f>
        <v>Misc Cash Purchase</v>
      </c>
      <c r="F5513" s="185" t="s">
        <v>3297</v>
      </c>
      <c r="G5513" s="130"/>
      <c r="H5513" s="10"/>
      <c r="I5513" s="155">
        <v>823000</v>
      </c>
      <c r="J5513" s="79" t="e">
        <f t="shared" si="346"/>
        <v>#VALUE!</v>
      </c>
      <c r="K5513" s="106"/>
      <c r="L5513" s="107"/>
      <c r="M5513" s="106"/>
      <c r="N5513" s="106"/>
      <c r="O5513" s="108"/>
      <c r="P5513" s="108"/>
      <c r="Q5513" s="108"/>
      <c r="R5513" s="109"/>
      <c r="S5513" s="109"/>
      <c r="T5513" s="108"/>
      <c r="U5513" s="110"/>
      <c r="V5513" s="110"/>
      <c r="W5513" s="110"/>
      <c r="X5513" s="110"/>
    </row>
    <row r="5514" spans="1:24" ht="14.25" customHeight="1">
      <c r="A5514" s="110"/>
      <c r="B5514" s="125"/>
      <c r="C5514" s="126"/>
      <c r="D5514" s="159"/>
      <c r="E5514" s="10" t="e">
        <f>TRIM(VLOOKUP(D5514,TB!$B$9:$C$1500,2,FALSE))</f>
        <v>#N/A</v>
      </c>
      <c r="F5514" s="142"/>
      <c r="G5514" s="130"/>
      <c r="H5514" s="10"/>
      <c r="I5514" s="10"/>
      <c r="J5514" s="79" t="e">
        <f t="shared" si="346"/>
        <v>#VALUE!</v>
      </c>
      <c r="K5514" s="106"/>
      <c r="L5514" s="107"/>
      <c r="M5514" s="106"/>
      <c r="N5514" s="106"/>
      <c r="O5514" s="108"/>
      <c r="P5514" s="108"/>
      <c r="Q5514" s="108"/>
      <c r="R5514" s="109"/>
      <c r="S5514" s="109"/>
      <c r="T5514" s="108"/>
      <c r="U5514" s="110"/>
      <c r="V5514" s="110"/>
      <c r="W5514" s="110"/>
      <c r="X5514" s="110"/>
    </row>
    <row r="5515" spans="1:24" ht="14.25" customHeight="1">
      <c r="A5515" s="110"/>
      <c r="B5515" s="125">
        <v>46203</v>
      </c>
      <c r="C5515" s="126" t="s">
        <v>3298</v>
      </c>
      <c r="D5515" s="15" t="s">
        <v>815</v>
      </c>
      <c r="E5515" s="10" t="str">
        <f>TRIM(VLOOKUP(D5515,TB!$B$9:$C$1500,2,FALSE))</f>
        <v>Other staff expenses</v>
      </c>
      <c r="F5515" s="142" t="s">
        <v>3299</v>
      </c>
      <c r="G5515" s="130"/>
      <c r="H5515" s="10">
        <v>800000</v>
      </c>
      <c r="I5515" s="10"/>
      <c r="J5515" s="79" t="e">
        <f t="shared" si="346"/>
        <v>#VALUE!</v>
      </c>
      <c r="K5515" s="106"/>
      <c r="L5515" s="107"/>
      <c r="M5515" s="106"/>
      <c r="N5515" s="106"/>
      <c r="O5515" s="108"/>
      <c r="P5515" s="108"/>
      <c r="Q5515" s="108"/>
      <c r="R5515" s="109"/>
      <c r="S5515" s="109"/>
      <c r="T5515" s="108"/>
      <c r="U5515" s="110"/>
      <c r="V5515" s="110"/>
      <c r="W5515" s="110"/>
      <c r="X5515" s="110"/>
    </row>
    <row r="5516" spans="1:24" ht="14.25" customHeight="1">
      <c r="A5516" s="110"/>
      <c r="B5516" s="125">
        <v>46203</v>
      </c>
      <c r="C5516" s="126" t="s">
        <v>3298</v>
      </c>
      <c r="D5516" s="68" t="s">
        <v>285</v>
      </c>
      <c r="E5516" s="10" t="str">
        <f>TRIM(VLOOKUP(D5516,TB!$B$9:$C$1500,2,FALSE))</f>
        <v>Misc Cash Purchase</v>
      </c>
      <c r="F5516" s="142" t="s">
        <v>3299</v>
      </c>
      <c r="G5516" s="130"/>
      <c r="H5516" s="10"/>
      <c r="I5516" s="10">
        <v>800000</v>
      </c>
      <c r="J5516" s="79" t="e">
        <f t="shared" si="346"/>
        <v>#VALUE!</v>
      </c>
      <c r="K5516" s="106"/>
      <c r="L5516" s="107"/>
      <c r="M5516" s="106"/>
      <c r="N5516" s="106"/>
      <c r="O5516" s="108"/>
      <c r="P5516" s="108"/>
      <c r="Q5516" s="108"/>
      <c r="R5516" s="109"/>
      <c r="S5516" s="109"/>
      <c r="T5516" s="108"/>
      <c r="U5516" s="110"/>
      <c r="V5516" s="110"/>
      <c r="W5516" s="110"/>
      <c r="X5516" s="110"/>
    </row>
    <row r="5517" spans="1:24" ht="14.25" customHeight="1">
      <c r="A5517" s="110"/>
      <c r="B5517" s="125"/>
      <c r="C5517" s="126"/>
      <c r="D5517" s="159"/>
      <c r="E5517" s="10" t="e">
        <f>TRIM(VLOOKUP(D5517,TB!$B$9:$C$1500,2,FALSE))</f>
        <v>#N/A</v>
      </c>
      <c r="F5517" s="142"/>
      <c r="G5517" s="130"/>
      <c r="H5517" s="10"/>
      <c r="I5517" s="10"/>
      <c r="J5517" s="79" t="e">
        <f t="shared" si="346"/>
        <v>#VALUE!</v>
      </c>
      <c r="K5517" s="106"/>
      <c r="L5517" s="107"/>
      <c r="M5517" s="106"/>
      <c r="N5517" s="106"/>
      <c r="O5517" s="108"/>
      <c r="P5517" s="108"/>
      <c r="Q5517" s="108"/>
      <c r="R5517" s="109"/>
      <c r="S5517" s="109"/>
      <c r="T5517" s="108"/>
      <c r="U5517" s="110"/>
      <c r="V5517" s="110"/>
      <c r="W5517" s="110"/>
      <c r="X5517" s="110"/>
    </row>
    <row r="5518" spans="1:24" ht="14.25" customHeight="1">
      <c r="A5518" s="110"/>
      <c r="B5518" s="125">
        <v>46187</v>
      </c>
      <c r="C5518" s="126" t="s">
        <v>3300</v>
      </c>
      <c r="D5518" s="15" t="s">
        <v>3108</v>
      </c>
      <c r="E5518" s="10" t="str">
        <f>TRIM(VLOOKUP(D5518,TB!$B$9:$C$1500,2,FALSE))</f>
        <v>Promotional Costs</v>
      </c>
      <c r="F5518" s="142" t="s">
        <v>3301</v>
      </c>
      <c r="G5518" s="130"/>
      <c r="H5518" s="155">
        <v>250000</v>
      </c>
      <c r="I5518" s="10"/>
      <c r="J5518" s="79" t="e">
        <f t="shared" si="346"/>
        <v>#VALUE!</v>
      </c>
      <c r="K5518" s="106"/>
      <c r="L5518" s="107"/>
      <c r="M5518" s="106"/>
      <c r="N5518" s="106"/>
      <c r="O5518" s="108"/>
      <c r="P5518" s="108"/>
      <c r="Q5518" s="108"/>
      <c r="R5518" s="109"/>
      <c r="S5518" s="109"/>
      <c r="T5518" s="108"/>
      <c r="U5518" s="110"/>
      <c r="V5518" s="110"/>
      <c r="W5518" s="110"/>
      <c r="X5518" s="110"/>
    </row>
    <row r="5519" spans="1:24" ht="14.25" customHeight="1">
      <c r="A5519" s="110"/>
      <c r="B5519" s="125">
        <v>46187</v>
      </c>
      <c r="C5519" s="126" t="s">
        <v>3302</v>
      </c>
      <c r="D5519" s="15" t="s">
        <v>3108</v>
      </c>
      <c r="E5519" s="10" t="str">
        <f>TRIM(VLOOKUP(D5519,TB!$B$9:$C$1500,2,FALSE))</f>
        <v>Promotional Costs</v>
      </c>
      <c r="F5519" s="142" t="s">
        <v>3303</v>
      </c>
      <c r="G5519" s="130"/>
      <c r="H5519" s="155">
        <v>500000</v>
      </c>
      <c r="I5519" s="10"/>
      <c r="J5519" s="79" t="e">
        <f t="shared" si="346"/>
        <v>#VALUE!</v>
      </c>
      <c r="K5519" s="106"/>
      <c r="L5519" s="107"/>
      <c r="M5519" s="106"/>
      <c r="N5519" s="106"/>
      <c r="O5519" s="108"/>
      <c r="P5519" s="108"/>
      <c r="Q5519" s="108"/>
      <c r="R5519" s="109"/>
      <c r="S5519" s="109"/>
      <c r="T5519" s="108"/>
      <c r="U5519" s="110"/>
      <c r="V5519" s="110"/>
      <c r="W5519" s="110"/>
      <c r="X5519" s="110"/>
    </row>
    <row r="5520" spans="1:24" ht="14.25" customHeight="1">
      <c r="A5520" s="110"/>
      <c r="B5520" s="125">
        <v>46187</v>
      </c>
      <c r="C5520" s="126" t="s">
        <v>3304</v>
      </c>
      <c r="D5520" s="15" t="s">
        <v>3108</v>
      </c>
      <c r="E5520" s="10" t="str">
        <f>TRIM(VLOOKUP(D5520,TB!$B$9:$C$1500,2,FALSE))</f>
        <v>Promotional Costs</v>
      </c>
      <c r="F5520" s="142" t="s">
        <v>3305</v>
      </c>
      <c r="G5520" s="130"/>
      <c r="H5520" s="155">
        <v>750000</v>
      </c>
      <c r="I5520" s="10"/>
      <c r="J5520" s="79" t="e">
        <f t="shared" si="346"/>
        <v>#VALUE!</v>
      </c>
      <c r="K5520" s="106"/>
      <c r="L5520" s="107"/>
      <c r="M5520" s="106"/>
      <c r="N5520" s="106"/>
      <c r="O5520" s="108"/>
      <c r="P5520" s="108"/>
      <c r="Q5520" s="108"/>
      <c r="R5520" s="109"/>
      <c r="S5520" s="109"/>
      <c r="T5520" s="108"/>
      <c r="U5520" s="110"/>
      <c r="V5520" s="110"/>
      <c r="W5520" s="110"/>
      <c r="X5520" s="110"/>
    </row>
    <row r="5521" spans="1:24" ht="14.25" customHeight="1">
      <c r="A5521" s="110"/>
      <c r="B5521" s="125">
        <v>46187</v>
      </c>
      <c r="C5521" s="126" t="s">
        <v>3306</v>
      </c>
      <c r="D5521" s="15" t="s">
        <v>3108</v>
      </c>
      <c r="E5521" s="10" t="str">
        <f>TRIM(VLOOKUP(D5521,TB!$B$9:$C$1500,2,FALSE))</f>
        <v>Promotional Costs</v>
      </c>
      <c r="F5521" s="142" t="s">
        <v>3307</v>
      </c>
      <c r="G5521" s="130"/>
      <c r="H5521" s="155">
        <v>500000</v>
      </c>
      <c r="I5521" s="10"/>
      <c r="J5521" s="79" t="e">
        <f t="shared" si="346"/>
        <v>#VALUE!</v>
      </c>
      <c r="K5521" s="106"/>
      <c r="L5521" s="107"/>
      <c r="M5521" s="106"/>
      <c r="N5521" s="106"/>
      <c r="O5521" s="108"/>
      <c r="P5521" s="108"/>
      <c r="Q5521" s="108"/>
      <c r="R5521" s="109"/>
      <c r="S5521" s="109"/>
      <c r="T5521" s="108"/>
      <c r="U5521" s="110"/>
      <c r="V5521" s="110"/>
      <c r="W5521" s="110"/>
      <c r="X5521" s="110"/>
    </row>
    <row r="5522" spans="1:24" ht="14.25" customHeight="1">
      <c r="A5522" s="110"/>
      <c r="B5522" s="125">
        <v>46187</v>
      </c>
      <c r="C5522" s="126" t="s">
        <v>3308</v>
      </c>
      <c r="D5522" s="15" t="s">
        <v>3108</v>
      </c>
      <c r="E5522" s="10" t="str">
        <f>TRIM(VLOOKUP(D5522,TB!$B$9:$C$1500,2,FALSE))</f>
        <v>Promotional Costs</v>
      </c>
      <c r="F5522" s="142" t="s">
        <v>3309</v>
      </c>
      <c r="G5522" s="130"/>
      <c r="H5522" s="155">
        <v>500000</v>
      </c>
      <c r="I5522" s="10"/>
      <c r="J5522" s="79" t="e">
        <f t="shared" si="346"/>
        <v>#VALUE!</v>
      </c>
      <c r="K5522" s="106"/>
      <c r="L5522" s="107"/>
      <c r="M5522" s="106"/>
      <c r="N5522" s="106"/>
      <c r="O5522" s="108"/>
      <c r="P5522" s="108"/>
      <c r="Q5522" s="108"/>
      <c r="R5522" s="109"/>
      <c r="S5522" s="109"/>
      <c r="T5522" s="108"/>
      <c r="U5522" s="110"/>
      <c r="V5522" s="110"/>
      <c r="W5522" s="110"/>
      <c r="X5522" s="110"/>
    </row>
    <row r="5523" spans="1:24" ht="14.25" customHeight="1">
      <c r="A5523" s="110"/>
      <c r="B5523" s="125">
        <v>46187</v>
      </c>
      <c r="C5523" s="126" t="s">
        <v>3310</v>
      </c>
      <c r="D5523" s="15" t="s">
        <v>3108</v>
      </c>
      <c r="E5523" s="10" t="str">
        <f>TRIM(VLOOKUP(D5523,TB!$B$9:$C$1500,2,FALSE))</f>
        <v>Promotional Costs</v>
      </c>
      <c r="F5523" s="142" t="s">
        <v>3311</v>
      </c>
      <c r="G5523" s="130"/>
      <c r="H5523" s="155">
        <v>250000</v>
      </c>
      <c r="I5523" s="10"/>
      <c r="J5523" s="79" t="e">
        <f t="shared" si="346"/>
        <v>#VALUE!</v>
      </c>
      <c r="K5523" s="106"/>
      <c r="L5523" s="107"/>
      <c r="M5523" s="106"/>
      <c r="N5523" s="106"/>
      <c r="O5523" s="108"/>
      <c r="P5523" s="108"/>
      <c r="Q5523" s="108"/>
      <c r="R5523" s="109"/>
      <c r="S5523" s="109"/>
      <c r="T5523" s="108"/>
      <c r="U5523" s="110"/>
      <c r="V5523" s="110"/>
      <c r="W5523" s="110"/>
      <c r="X5523" s="110"/>
    </row>
    <row r="5524" spans="1:24" ht="14.25" customHeight="1">
      <c r="A5524" s="110"/>
      <c r="B5524" s="125">
        <v>46187</v>
      </c>
      <c r="C5524" s="126" t="s">
        <v>3312</v>
      </c>
      <c r="D5524" s="15" t="s">
        <v>3108</v>
      </c>
      <c r="E5524" s="10" t="str">
        <f>TRIM(VLOOKUP(D5524,TB!$B$9:$C$1500,2,FALSE))</f>
        <v>Promotional Costs</v>
      </c>
      <c r="F5524" s="142" t="s">
        <v>3313</v>
      </c>
      <c r="G5524" s="130"/>
      <c r="H5524" s="155">
        <v>250000</v>
      </c>
      <c r="I5524" s="10"/>
      <c r="J5524" s="79" t="e">
        <f t="shared" si="346"/>
        <v>#VALUE!</v>
      </c>
      <c r="K5524" s="106"/>
      <c r="L5524" s="107"/>
      <c r="M5524" s="106"/>
      <c r="N5524" s="106"/>
      <c r="O5524" s="108"/>
      <c r="P5524" s="108"/>
      <c r="Q5524" s="108"/>
      <c r="R5524" s="109"/>
      <c r="S5524" s="109"/>
      <c r="T5524" s="108"/>
      <c r="U5524" s="110"/>
      <c r="V5524" s="110"/>
      <c r="W5524" s="110"/>
      <c r="X5524" s="110"/>
    </row>
    <row r="5525" spans="1:24" ht="14.25" customHeight="1">
      <c r="A5525" s="110"/>
      <c r="B5525" s="125">
        <v>46187</v>
      </c>
      <c r="C5525" s="126" t="s">
        <v>3314</v>
      </c>
      <c r="D5525" s="15" t="s">
        <v>3108</v>
      </c>
      <c r="E5525" s="10" t="str">
        <f>TRIM(VLOOKUP(D5525,TB!$B$9:$C$1500,2,FALSE))</f>
        <v>Promotional Costs</v>
      </c>
      <c r="F5525" s="142" t="s">
        <v>3315</v>
      </c>
      <c r="G5525" s="130"/>
      <c r="H5525" s="155">
        <v>250000</v>
      </c>
      <c r="I5525" s="10"/>
      <c r="J5525" s="79" t="e">
        <f t="shared" si="346"/>
        <v>#VALUE!</v>
      </c>
      <c r="K5525" s="106"/>
      <c r="L5525" s="107"/>
      <c r="M5525" s="106"/>
      <c r="N5525" s="106"/>
      <c r="O5525" s="108"/>
      <c r="P5525" s="108"/>
      <c r="Q5525" s="108"/>
      <c r="R5525" s="109"/>
      <c r="S5525" s="109"/>
      <c r="T5525" s="108"/>
      <c r="U5525" s="110"/>
      <c r="V5525" s="110"/>
      <c r="W5525" s="110"/>
      <c r="X5525" s="110"/>
    </row>
    <row r="5526" spans="1:24" ht="14.25" customHeight="1">
      <c r="A5526" s="110"/>
      <c r="B5526" s="125">
        <v>46187</v>
      </c>
      <c r="C5526" s="126" t="s">
        <v>3316</v>
      </c>
      <c r="D5526" s="15" t="s">
        <v>3108</v>
      </c>
      <c r="E5526" s="10" t="str">
        <f>TRIM(VLOOKUP(D5526,TB!$B$9:$C$1500,2,FALSE))</f>
        <v>Promotional Costs</v>
      </c>
      <c r="F5526" s="142" t="s">
        <v>3317</v>
      </c>
      <c r="G5526" s="130"/>
      <c r="H5526" s="155">
        <v>500000</v>
      </c>
      <c r="I5526" s="10"/>
      <c r="J5526" s="79" t="e">
        <f t="shared" si="346"/>
        <v>#VALUE!</v>
      </c>
      <c r="K5526" s="106"/>
      <c r="L5526" s="107"/>
      <c r="M5526" s="106"/>
      <c r="N5526" s="106"/>
      <c r="O5526" s="108"/>
      <c r="P5526" s="108"/>
      <c r="Q5526" s="108"/>
      <c r="R5526" s="109"/>
      <c r="S5526" s="109"/>
      <c r="T5526" s="108"/>
      <c r="U5526" s="110"/>
      <c r="V5526" s="110"/>
      <c r="W5526" s="110"/>
      <c r="X5526" s="110"/>
    </row>
    <row r="5527" spans="1:24" ht="14.25" customHeight="1">
      <c r="A5527" s="110"/>
      <c r="B5527" s="125">
        <v>46187</v>
      </c>
      <c r="C5527" s="126" t="s">
        <v>3300</v>
      </c>
      <c r="D5527" s="68" t="s">
        <v>285</v>
      </c>
      <c r="E5527" s="10" t="str">
        <f>TRIM(VLOOKUP(D5527,TB!$B$9:$C$1500,2,FALSE))</f>
        <v>Misc Cash Purchase</v>
      </c>
      <c r="F5527" s="142" t="s">
        <v>3301</v>
      </c>
      <c r="G5527" s="130"/>
      <c r="H5527" s="10"/>
      <c r="I5527" s="155">
        <v>250000</v>
      </c>
      <c r="J5527" s="79" t="e">
        <f t="shared" si="346"/>
        <v>#VALUE!</v>
      </c>
      <c r="K5527" s="106"/>
      <c r="L5527" s="107"/>
      <c r="M5527" s="106"/>
      <c r="N5527" s="106"/>
      <c r="O5527" s="108"/>
      <c r="P5527" s="108"/>
      <c r="Q5527" s="108"/>
      <c r="R5527" s="109"/>
      <c r="S5527" s="109"/>
      <c r="T5527" s="108"/>
      <c r="U5527" s="110"/>
      <c r="V5527" s="110"/>
      <c r="W5527" s="110"/>
      <c r="X5527" s="110"/>
    </row>
    <row r="5528" spans="1:24" ht="14.25" customHeight="1">
      <c r="A5528" s="110"/>
      <c r="B5528" s="125">
        <v>46187</v>
      </c>
      <c r="C5528" s="126" t="s">
        <v>3302</v>
      </c>
      <c r="D5528" s="68" t="s">
        <v>285</v>
      </c>
      <c r="E5528" s="10" t="str">
        <f>TRIM(VLOOKUP(D5528,TB!$B$9:$C$1500,2,FALSE))</f>
        <v>Misc Cash Purchase</v>
      </c>
      <c r="F5528" s="142" t="s">
        <v>3303</v>
      </c>
      <c r="G5528" s="130"/>
      <c r="H5528" s="10"/>
      <c r="I5528" s="155">
        <v>500000</v>
      </c>
      <c r="J5528" s="79" t="e">
        <f t="shared" si="346"/>
        <v>#VALUE!</v>
      </c>
      <c r="K5528" s="106"/>
      <c r="L5528" s="107"/>
      <c r="M5528" s="106"/>
      <c r="N5528" s="106"/>
      <c r="O5528" s="108"/>
      <c r="P5528" s="108"/>
      <c r="Q5528" s="108"/>
      <c r="R5528" s="109"/>
      <c r="S5528" s="109"/>
      <c r="T5528" s="108"/>
      <c r="U5528" s="110"/>
      <c r="V5528" s="110"/>
      <c r="W5528" s="110"/>
      <c r="X5528" s="110"/>
    </row>
    <row r="5529" spans="1:24" ht="14.25" customHeight="1">
      <c r="A5529" s="110"/>
      <c r="B5529" s="125">
        <v>46187</v>
      </c>
      <c r="C5529" s="126" t="s">
        <v>3304</v>
      </c>
      <c r="D5529" s="68" t="s">
        <v>285</v>
      </c>
      <c r="E5529" s="10" t="str">
        <f>TRIM(VLOOKUP(D5529,TB!$B$9:$C$1500,2,FALSE))</f>
        <v>Misc Cash Purchase</v>
      </c>
      <c r="F5529" s="142" t="s">
        <v>3305</v>
      </c>
      <c r="G5529" s="130"/>
      <c r="H5529" s="10"/>
      <c r="I5529" s="155">
        <v>750000</v>
      </c>
      <c r="J5529" s="79" t="e">
        <f t="shared" si="346"/>
        <v>#VALUE!</v>
      </c>
      <c r="K5529" s="106"/>
      <c r="L5529" s="107"/>
      <c r="M5529" s="106"/>
      <c r="N5529" s="106"/>
      <c r="O5529" s="108"/>
      <c r="P5529" s="108"/>
      <c r="Q5529" s="108"/>
      <c r="R5529" s="109"/>
      <c r="S5529" s="109"/>
      <c r="T5529" s="108"/>
      <c r="U5529" s="110"/>
      <c r="V5529" s="110"/>
      <c r="W5529" s="110"/>
      <c r="X5529" s="110"/>
    </row>
    <row r="5530" spans="1:24" ht="14.25" customHeight="1">
      <c r="A5530" s="110"/>
      <c r="B5530" s="125">
        <v>46187</v>
      </c>
      <c r="C5530" s="126" t="s">
        <v>3306</v>
      </c>
      <c r="D5530" s="68" t="s">
        <v>285</v>
      </c>
      <c r="E5530" s="10" t="str">
        <f>TRIM(VLOOKUP(D5530,TB!$B$9:$C$1500,2,FALSE))</f>
        <v>Misc Cash Purchase</v>
      </c>
      <c r="F5530" s="142" t="s">
        <v>3307</v>
      </c>
      <c r="G5530" s="130"/>
      <c r="H5530" s="10"/>
      <c r="I5530" s="155">
        <v>500000</v>
      </c>
      <c r="J5530" s="79" t="e">
        <f t="shared" si="346"/>
        <v>#VALUE!</v>
      </c>
      <c r="K5530" s="106"/>
      <c r="L5530" s="107"/>
      <c r="M5530" s="106"/>
      <c r="N5530" s="106"/>
      <c r="O5530" s="108"/>
      <c r="P5530" s="108"/>
      <c r="Q5530" s="108"/>
      <c r="R5530" s="109"/>
      <c r="S5530" s="109"/>
      <c r="T5530" s="108"/>
      <c r="U5530" s="110"/>
      <c r="V5530" s="110"/>
      <c r="W5530" s="110"/>
      <c r="X5530" s="110"/>
    </row>
    <row r="5531" spans="1:24" ht="14.25" customHeight="1">
      <c r="A5531" s="110"/>
      <c r="B5531" s="125">
        <v>46187</v>
      </c>
      <c r="C5531" s="126" t="s">
        <v>3308</v>
      </c>
      <c r="D5531" s="68" t="s">
        <v>285</v>
      </c>
      <c r="E5531" s="10" t="str">
        <f>TRIM(VLOOKUP(D5531,TB!$B$9:$C$1500,2,FALSE))</f>
        <v>Misc Cash Purchase</v>
      </c>
      <c r="F5531" s="142" t="s">
        <v>3309</v>
      </c>
      <c r="G5531" s="130"/>
      <c r="H5531" s="10"/>
      <c r="I5531" s="155">
        <v>500000</v>
      </c>
      <c r="J5531" s="79" t="e">
        <f t="shared" si="346"/>
        <v>#VALUE!</v>
      </c>
      <c r="K5531" s="106"/>
      <c r="L5531" s="107"/>
      <c r="M5531" s="106"/>
      <c r="N5531" s="106"/>
      <c r="O5531" s="108"/>
      <c r="P5531" s="108"/>
      <c r="Q5531" s="108"/>
      <c r="R5531" s="109"/>
      <c r="S5531" s="109"/>
      <c r="T5531" s="108"/>
      <c r="U5531" s="110"/>
      <c r="V5531" s="110"/>
      <c r="W5531" s="110"/>
      <c r="X5531" s="110"/>
    </row>
    <row r="5532" spans="1:24" ht="14.25" customHeight="1">
      <c r="A5532" s="110"/>
      <c r="B5532" s="125">
        <v>46187</v>
      </c>
      <c r="C5532" s="126" t="s">
        <v>3310</v>
      </c>
      <c r="D5532" s="68" t="s">
        <v>285</v>
      </c>
      <c r="E5532" s="10" t="str">
        <f>TRIM(VLOOKUP(D5532,TB!$B$9:$C$1500,2,FALSE))</f>
        <v>Misc Cash Purchase</v>
      </c>
      <c r="F5532" s="142" t="s">
        <v>3311</v>
      </c>
      <c r="G5532" s="130"/>
      <c r="H5532" s="10"/>
      <c r="I5532" s="155">
        <v>250000</v>
      </c>
      <c r="J5532" s="79" t="e">
        <f t="shared" si="346"/>
        <v>#VALUE!</v>
      </c>
      <c r="K5532" s="106"/>
      <c r="L5532" s="107"/>
      <c r="M5532" s="106"/>
      <c r="N5532" s="106"/>
      <c r="O5532" s="108"/>
      <c r="P5532" s="108"/>
      <c r="Q5532" s="108"/>
      <c r="R5532" s="109"/>
      <c r="S5532" s="109"/>
      <c r="T5532" s="108"/>
      <c r="U5532" s="110"/>
      <c r="V5532" s="110"/>
      <c r="W5532" s="110"/>
      <c r="X5532" s="110"/>
    </row>
    <row r="5533" spans="1:24" ht="14.25" customHeight="1">
      <c r="A5533" s="110"/>
      <c r="B5533" s="125">
        <v>46187</v>
      </c>
      <c r="C5533" s="126" t="s">
        <v>3312</v>
      </c>
      <c r="D5533" s="68" t="s">
        <v>285</v>
      </c>
      <c r="E5533" s="10" t="str">
        <f>TRIM(VLOOKUP(D5533,TB!$B$9:$C$1500,2,FALSE))</f>
        <v>Misc Cash Purchase</v>
      </c>
      <c r="F5533" s="142" t="s">
        <v>3313</v>
      </c>
      <c r="G5533" s="130"/>
      <c r="H5533" s="10"/>
      <c r="I5533" s="155">
        <v>250000</v>
      </c>
      <c r="J5533" s="79" t="e">
        <f t="shared" si="346"/>
        <v>#VALUE!</v>
      </c>
      <c r="K5533" s="106"/>
      <c r="L5533" s="107"/>
      <c r="M5533" s="106"/>
      <c r="N5533" s="106"/>
      <c r="O5533" s="108"/>
      <c r="P5533" s="108"/>
      <c r="Q5533" s="108"/>
      <c r="R5533" s="109"/>
      <c r="S5533" s="109"/>
      <c r="T5533" s="108"/>
      <c r="U5533" s="110"/>
      <c r="V5533" s="110"/>
      <c r="W5533" s="110"/>
      <c r="X5533" s="110"/>
    </row>
    <row r="5534" spans="1:24" ht="14.25" customHeight="1">
      <c r="A5534" s="110"/>
      <c r="B5534" s="125">
        <v>46187</v>
      </c>
      <c r="C5534" s="126" t="s">
        <v>3314</v>
      </c>
      <c r="D5534" s="68" t="s">
        <v>285</v>
      </c>
      <c r="E5534" s="10" t="str">
        <f>TRIM(VLOOKUP(D5534,TB!$B$9:$C$1500,2,FALSE))</f>
        <v>Misc Cash Purchase</v>
      </c>
      <c r="F5534" s="142" t="s">
        <v>3315</v>
      </c>
      <c r="G5534" s="130"/>
      <c r="H5534" s="10"/>
      <c r="I5534" s="155">
        <v>250000</v>
      </c>
      <c r="J5534" s="79" t="e">
        <f t="shared" si="346"/>
        <v>#VALUE!</v>
      </c>
      <c r="K5534" s="106"/>
      <c r="L5534" s="107"/>
      <c r="M5534" s="106"/>
      <c r="N5534" s="106"/>
      <c r="O5534" s="108"/>
      <c r="P5534" s="108"/>
      <c r="Q5534" s="108"/>
      <c r="R5534" s="109"/>
      <c r="S5534" s="109"/>
      <c r="T5534" s="108"/>
      <c r="U5534" s="110"/>
      <c r="V5534" s="110"/>
      <c r="W5534" s="110"/>
      <c r="X5534" s="110"/>
    </row>
    <row r="5535" spans="1:24" ht="14.25" customHeight="1">
      <c r="A5535" s="110"/>
      <c r="B5535" s="125">
        <v>46187</v>
      </c>
      <c r="C5535" s="126" t="s">
        <v>3316</v>
      </c>
      <c r="D5535" s="68" t="s">
        <v>285</v>
      </c>
      <c r="E5535" s="10" t="str">
        <f>TRIM(VLOOKUP(D5535,TB!$B$9:$C$1500,2,FALSE))</f>
        <v>Misc Cash Purchase</v>
      </c>
      <c r="F5535" s="142" t="s">
        <v>3317</v>
      </c>
      <c r="G5535" s="130"/>
      <c r="H5535" s="10"/>
      <c r="I5535" s="155">
        <v>500000</v>
      </c>
      <c r="J5535" s="79" t="e">
        <f t="shared" si="346"/>
        <v>#VALUE!</v>
      </c>
      <c r="K5535" s="106"/>
      <c r="L5535" s="107"/>
      <c r="M5535" s="106"/>
      <c r="N5535" s="106"/>
      <c r="O5535" s="108"/>
      <c r="P5535" s="108"/>
      <c r="Q5535" s="108"/>
      <c r="R5535" s="109"/>
      <c r="S5535" s="109"/>
      <c r="T5535" s="108"/>
      <c r="U5535" s="110"/>
      <c r="V5535" s="110"/>
      <c r="W5535" s="110"/>
      <c r="X5535" s="110"/>
    </row>
    <row r="5536" spans="1:24" ht="14.25" customHeight="1">
      <c r="A5536" s="110"/>
      <c r="B5536" s="125"/>
      <c r="C5536" s="126"/>
      <c r="D5536" s="159"/>
      <c r="E5536" s="10" t="e">
        <f>TRIM(VLOOKUP(D5536,TB!$B$9:$C$1500,2,FALSE))</f>
        <v>#N/A</v>
      </c>
      <c r="F5536" s="142"/>
      <c r="G5536" s="130"/>
      <c r="H5536" s="10"/>
      <c r="I5536" s="10"/>
      <c r="J5536" s="79" t="e">
        <f t="shared" si="346"/>
        <v>#VALUE!</v>
      </c>
      <c r="K5536" s="106"/>
      <c r="L5536" s="107"/>
      <c r="M5536" s="106"/>
      <c r="N5536" s="106"/>
      <c r="O5536" s="108"/>
      <c r="P5536" s="108"/>
      <c r="Q5536" s="108"/>
      <c r="R5536" s="109"/>
      <c r="S5536" s="109"/>
      <c r="T5536" s="108"/>
      <c r="U5536" s="110"/>
      <c r="V5536" s="110"/>
      <c r="W5536" s="110"/>
      <c r="X5536" s="110"/>
    </row>
    <row r="5537" spans="1:24" ht="14.25" customHeight="1">
      <c r="A5537" s="110"/>
      <c r="B5537" s="125">
        <v>46187</v>
      </c>
      <c r="C5537" s="126" t="s">
        <v>3318</v>
      </c>
      <c r="D5537" s="15" t="s">
        <v>3108</v>
      </c>
      <c r="E5537" s="10" t="str">
        <f>TRIM(VLOOKUP(D5537,TB!$B$9:$C$1500,2,FALSE))</f>
        <v>Promotional Costs</v>
      </c>
      <c r="F5537" s="142" t="s">
        <v>3319</v>
      </c>
      <c r="G5537" s="130"/>
      <c r="H5537" s="10">
        <v>4250000</v>
      </c>
      <c r="I5537" s="10"/>
      <c r="J5537" s="79" t="e">
        <f t="shared" si="346"/>
        <v>#VALUE!</v>
      </c>
      <c r="K5537" s="106"/>
      <c r="L5537" s="107"/>
      <c r="M5537" s="106"/>
      <c r="N5537" s="106"/>
      <c r="O5537" s="108"/>
      <c r="P5537" s="108"/>
      <c r="Q5537" s="108"/>
      <c r="R5537" s="109"/>
      <c r="S5537" s="109"/>
      <c r="T5537" s="108"/>
      <c r="U5537" s="110"/>
      <c r="V5537" s="110"/>
      <c r="W5537" s="110"/>
      <c r="X5537" s="110"/>
    </row>
    <row r="5538" spans="1:24" ht="14.25" customHeight="1">
      <c r="A5538" s="110"/>
      <c r="B5538" s="125">
        <v>46187</v>
      </c>
      <c r="C5538" s="126" t="s">
        <v>3318</v>
      </c>
      <c r="D5538" s="68" t="s">
        <v>285</v>
      </c>
      <c r="E5538" s="10" t="str">
        <f>TRIM(VLOOKUP(D5538,TB!$B$9:$C$1500,2,FALSE))</f>
        <v>Misc Cash Purchase</v>
      </c>
      <c r="F5538" s="142" t="s">
        <v>3319</v>
      </c>
      <c r="G5538" s="130"/>
      <c r="H5538" s="10"/>
      <c r="I5538" s="10">
        <v>4250000</v>
      </c>
      <c r="J5538" s="79" t="e">
        <f t="shared" si="346"/>
        <v>#VALUE!</v>
      </c>
      <c r="K5538" s="106"/>
      <c r="L5538" s="107"/>
      <c r="M5538" s="106"/>
      <c r="N5538" s="106"/>
      <c r="O5538" s="108"/>
      <c r="P5538" s="108"/>
      <c r="Q5538" s="108"/>
      <c r="R5538" s="109"/>
      <c r="S5538" s="109"/>
      <c r="T5538" s="108"/>
      <c r="U5538" s="110"/>
      <c r="V5538" s="110"/>
      <c r="W5538" s="110"/>
      <c r="X5538" s="110"/>
    </row>
    <row r="5539" spans="1:24" ht="14.25" customHeight="1">
      <c r="A5539" s="110"/>
      <c r="B5539" s="125"/>
      <c r="C5539" s="126"/>
      <c r="D5539" s="159"/>
      <c r="E5539" s="10" t="e">
        <f>TRIM(VLOOKUP(D5539,TB!$B$9:$C$1500,2,FALSE))</f>
        <v>#N/A</v>
      </c>
      <c r="F5539" s="142"/>
      <c r="G5539" s="130"/>
      <c r="H5539" s="10"/>
      <c r="I5539" s="10"/>
      <c r="J5539" s="79" t="e">
        <f t="shared" si="346"/>
        <v>#VALUE!</v>
      </c>
      <c r="K5539" s="106"/>
      <c r="L5539" s="107"/>
      <c r="M5539" s="106"/>
      <c r="N5539" s="106"/>
      <c r="O5539" s="108"/>
      <c r="P5539" s="108"/>
      <c r="Q5539" s="108"/>
      <c r="R5539" s="109"/>
      <c r="S5539" s="109"/>
      <c r="T5539" s="108"/>
      <c r="U5539" s="110"/>
      <c r="V5539" s="110"/>
      <c r="W5539" s="110"/>
      <c r="X5539" s="110"/>
    </row>
    <row r="5540" spans="1:24" ht="14.25" customHeight="1">
      <c r="A5540" s="110"/>
      <c r="B5540" s="125">
        <v>46187</v>
      </c>
      <c r="C5540" s="126" t="s">
        <v>3320</v>
      </c>
      <c r="D5540" s="15" t="s">
        <v>3108</v>
      </c>
      <c r="E5540" s="10" t="str">
        <f>TRIM(VLOOKUP(D5540,TB!$B$9:$C$1500,2,FALSE))</f>
        <v>Promotional Costs</v>
      </c>
      <c r="F5540" s="142" t="s">
        <v>3321</v>
      </c>
      <c r="G5540" s="130"/>
      <c r="H5540" s="10">
        <v>5250000</v>
      </c>
      <c r="I5540" s="10"/>
      <c r="J5540" s="79" t="e">
        <f t="shared" si="346"/>
        <v>#VALUE!</v>
      </c>
      <c r="K5540" s="106"/>
      <c r="L5540" s="107"/>
      <c r="M5540" s="106"/>
      <c r="N5540" s="106"/>
      <c r="O5540" s="108"/>
      <c r="P5540" s="108"/>
      <c r="Q5540" s="108"/>
      <c r="R5540" s="109"/>
      <c r="S5540" s="109"/>
      <c r="T5540" s="108"/>
      <c r="U5540" s="110"/>
      <c r="V5540" s="110"/>
      <c r="W5540" s="110"/>
      <c r="X5540" s="110"/>
    </row>
    <row r="5541" spans="1:24" ht="14.25" customHeight="1">
      <c r="A5541" s="110"/>
      <c r="B5541" s="125">
        <v>46187</v>
      </c>
      <c r="C5541" s="126" t="s">
        <v>3320</v>
      </c>
      <c r="D5541" s="68" t="s">
        <v>285</v>
      </c>
      <c r="E5541" s="10" t="str">
        <f>TRIM(VLOOKUP(D5541,TB!$B$9:$C$1500,2,FALSE))</f>
        <v>Misc Cash Purchase</v>
      </c>
      <c r="F5541" s="142" t="s">
        <v>3321</v>
      </c>
      <c r="G5541" s="130"/>
      <c r="H5541" s="10"/>
      <c r="I5541" s="10">
        <v>5250000</v>
      </c>
      <c r="J5541" s="79" t="e">
        <f t="shared" si="346"/>
        <v>#VALUE!</v>
      </c>
      <c r="K5541" s="106"/>
      <c r="L5541" s="107"/>
      <c r="M5541" s="106"/>
      <c r="N5541" s="106"/>
      <c r="O5541" s="108"/>
      <c r="P5541" s="108"/>
      <c r="Q5541" s="108"/>
      <c r="R5541" s="109"/>
      <c r="S5541" s="109"/>
      <c r="T5541" s="108"/>
      <c r="U5541" s="110"/>
      <c r="V5541" s="110"/>
      <c r="W5541" s="110"/>
      <c r="X5541" s="110"/>
    </row>
    <row r="5542" spans="1:24" ht="14.25" customHeight="1">
      <c r="A5542" s="110"/>
      <c r="B5542" s="125"/>
      <c r="C5542" s="126"/>
      <c r="D5542" s="159"/>
      <c r="E5542" s="10" t="e">
        <f>TRIM(VLOOKUP(D5542,TB!$B$9:$C$1500,2,FALSE))</f>
        <v>#N/A</v>
      </c>
      <c r="F5542" s="142"/>
      <c r="G5542" s="130"/>
      <c r="H5542" s="10"/>
      <c r="I5542" s="10"/>
      <c r="J5542" s="79" t="e">
        <f t="shared" si="346"/>
        <v>#VALUE!</v>
      </c>
      <c r="K5542" s="106"/>
      <c r="L5542" s="107"/>
      <c r="M5542" s="106"/>
      <c r="N5542" s="106"/>
      <c r="O5542" s="108"/>
      <c r="P5542" s="108"/>
      <c r="Q5542" s="108"/>
      <c r="R5542" s="109"/>
      <c r="S5542" s="109"/>
      <c r="T5542" s="108"/>
      <c r="U5542" s="110"/>
      <c r="V5542" s="110"/>
      <c r="W5542" s="110"/>
      <c r="X5542" s="110"/>
    </row>
    <row r="5543" spans="1:24" ht="14.25" customHeight="1">
      <c r="A5543" s="110"/>
      <c r="B5543" s="125">
        <v>46194</v>
      </c>
      <c r="C5543" s="126" t="s">
        <v>3322</v>
      </c>
      <c r="D5543" s="15" t="s">
        <v>3108</v>
      </c>
      <c r="E5543" s="10" t="str">
        <f>TRIM(VLOOKUP(D5543,TB!$B$9:$C$1500,2,FALSE))</f>
        <v>Promotional Costs</v>
      </c>
      <c r="F5543" s="142" t="s">
        <v>3323</v>
      </c>
      <c r="G5543" s="130"/>
      <c r="H5543" s="155">
        <v>500000</v>
      </c>
      <c r="I5543" s="10"/>
      <c r="J5543" s="79" t="e">
        <f t="shared" si="346"/>
        <v>#VALUE!</v>
      </c>
      <c r="K5543" s="106"/>
      <c r="L5543" s="107"/>
      <c r="M5543" s="106"/>
      <c r="N5543" s="106"/>
      <c r="O5543" s="108"/>
      <c r="P5543" s="108"/>
      <c r="Q5543" s="108"/>
      <c r="R5543" s="109"/>
      <c r="S5543" s="109"/>
      <c r="T5543" s="108"/>
      <c r="U5543" s="110"/>
      <c r="V5543" s="110"/>
      <c r="W5543" s="110"/>
      <c r="X5543" s="110"/>
    </row>
    <row r="5544" spans="1:24" ht="14.25" customHeight="1">
      <c r="A5544" s="110"/>
      <c r="B5544" s="125">
        <v>46194</v>
      </c>
      <c r="C5544" s="126" t="s">
        <v>3324</v>
      </c>
      <c r="D5544" s="15" t="s">
        <v>3108</v>
      </c>
      <c r="E5544" s="10" t="str">
        <f>TRIM(VLOOKUP(D5544,TB!$B$9:$C$1500,2,FALSE))</f>
        <v>Promotional Costs</v>
      </c>
      <c r="F5544" s="142" t="s">
        <v>3325</v>
      </c>
      <c r="G5544" s="130"/>
      <c r="H5544" s="155">
        <v>250000</v>
      </c>
      <c r="I5544" s="10"/>
      <c r="J5544" s="79" t="e">
        <f t="shared" si="346"/>
        <v>#VALUE!</v>
      </c>
      <c r="K5544" s="106"/>
      <c r="L5544" s="107"/>
      <c r="M5544" s="106"/>
      <c r="N5544" s="106"/>
      <c r="O5544" s="108"/>
      <c r="P5544" s="108"/>
      <c r="Q5544" s="108"/>
      <c r="R5544" s="109"/>
      <c r="S5544" s="109"/>
      <c r="T5544" s="108"/>
      <c r="U5544" s="110"/>
      <c r="V5544" s="110"/>
      <c r="W5544" s="110"/>
      <c r="X5544" s="110"/>
    </row>
    <row r="5545" spans="1:24" ht="14.25" customHeight="1">
      <c r="A5545" s="110"/>
      <c r="B5545" s="125">
        <v>46194</v>
      </c>
      <c r="C5545" s="126" t="s">
        <v>3326</v>
      </c>
      <c r="D5545" s="15" t="s">
        <v>3108</v>
      </c>
      <c r="E5545" s="10" t="str">
        <f>TRIM(VLOOKUP(D5545,TB!$B$9:$C$1500,2,FALSE))</f>
        <v>Promotional Costs</v>
      </c>
      <c r="F5545" s="142" t="s">
        <v>3327</v>
      </c>
      <c r="G5545" s="130"/>
      <c r="H5545" s="155">
        <v>500000</v>
      </c>
      <c r="I5545" s="10"/>
      <c r="J5545" s="79" t="e">
        <f t="shared" si="346"/>
        <v>#VALUE!</v>
      </c>
      <c r="K5545" s="106"/>
      <c r="L5545" s="107"/>
      <c r="M5545" s="106"/>
      <c r="N5545" s="106"/>
      <c r="O5545" s="108"/>
      <c r="P5545" s="108"/>
      <c r="Q5545" s="108"/>
      <c r="R5545" s="109"/>
      <c r="S5545" s="109"/>
      <c r="T5545" s="108"/>
      <c r="U5545" s="110"/>
      <c r="V5545" s="110"/>
      <c r="W5545" s="110"/>
      <c r="X5545" s="110"/>
    </row>
    <row r="5546" spans="1:24" ht="14.25" customHeight="1">
      <c r="A5546" s="110"/>
      <c r="B5546" s="125">
        <v>46194</v>
      </c>
      <c r="C5546" s="126" t="s">
        <v>3328</v>
      </c>
      <c r="D5546" s="15" t="s">
        <v>3108</v>
      </c>
      <c r="E5546" s="10" t="str">
        <f>TRIM(VLOOKUP(D5546,TB!$B$9:$C$1500,2,FALSE))</f>
        <v>Promotional Costs</v>
      </c>
      <c r="F5546" s="142" t="s">
        <v>3329</v>
      </c>
      <c r="G5546" s="130"/>
      <c r="H5546" s="155">
        <v>750000</v>
      </c>
      <c r="I5546" s="10"/>
      <c r="J5546" s="79" t="e">
        <f t="shared" si="346"/>
        <v>#VALUE!</v>
      </c>
      <c r="K5546" s="106"/>
      <c r="L5546" s="107"/>
      <c r="M5546" s="106"/>
      <c r="N5546" s="106"/>
      <c r="O5546" s="108"/>
      <c r="P5546" s="108"/>
      <c r="Q5546" s="108"/>
      <c r="R5546" s="109"/>
      <c r="S5546" s="109"/>
      <c r="T5546" s="108"/>
      <c r="U5546" s="110"/>
      <c r="V5546" s="110"/>
      <c r="W5546" s="110"/>
      <c r="X5546" s="110"/>
    </row>
    <row r="5547" spans="1:24" ht="14.25" customHeight="1">
      <c r="A5547" s="110"/>
      <c r="B5547" s="125">
        <v>46194</v>
      </c>
      <c r="C5547" s="126" t="s">
        <v>3330</v>
      </c>
      <c r="D5547" s="15" t="s">
        <v>3108</v>
      </c>
      <c r="E5547" s="10" t="str">
        <f>TRIM(VLOOKUP(D5547,TB!$B$9:$C$1500,2,FALSE))</f>
        <v>Promotional Costs</v>
      </c>
      <c r="F5547" s="142" t="s">
        <v>3331</v>
      </c>
      <c r="G5547" s="130"/>
      <c r="H5547" s="155">
        <v>500000</v>
      </c>
      <c r="I5547" s="10"/>
      <c r="J5547" s="79" t="e">
        <f t="shared" si="346"/>
        <v>#VALUE!</v>
      </c>
      <c r="K5547" s="106"/>
      <c r="L5547" s="107"/>
      <c r="M5547" s="106"/>
      <c r="N5547" s="106"/>
      <c r="O5547" s="108"/>
      <c r="P5547" s="108"/>
      <c r="Q5547" s="108"/>
      <c r="R5547" s="109"/>
      <c r="S5547" s="109"/>
      <c r="T5547" s="108"/>
      <c r="U5547" s="110"/>
      <c r="V5547" s="110"/>
      <c r="W5547" s="110"/>
      <c r="X5547" s="110"/>
    </row>
    <row r="5548" spans="1:24" ht="14.25" customHeight="1">
      <c r="A5548" s="110"/>
      <c r="B5548" s="125">
        <v>46194</v>
      </c>
      <c r="C5548" s="126" t="s">
        <v>3332</v>
      </c>
      <c r="D5548" s="15" t="s">
        <v>3108</v>
      </c>
      <c r="E5548" s="10" t="str">
        <f>TRIM(VLOOKUP(D5548,TB!$B$9:$C$1500,2,FALSE))</f>
        <v>Promotional Costs</v>
      </c>
      <c r="F5548" s="142" t="s">
        <v>3333</v>
      </c>
      <c r="G5548" s="130"/>
      <c r="H5548" s="155">
        <v>500000</v>
      </c>
      <c r="I5548" s="10"/>
      <c r="J5548" s="79" t="e">
        <f t="shared" si="346"/>
        <v>#VALUE!</v>
      </c>
      <c r="K5548" s="106"/>
      <c r="L5548" s="107"/>
      <c r="M5548" s="106"/>
      <c r="N5548" s="106"/>
      <c r="O5548" s="108"/>
      <c r="P5548" s="108"/>
      <c r="Q5548" s="108"/>
      <c r="R5548" s="109"/>
      <c r="S5548" s="109"/>
      <c r="T5548" s="108"/>
      <c r="U5548" s="110"/>
      <c r="V5548" s="110"/>
      <c r="W5548" s="110"/>
      <c r="X5548" s="110"/>
    </row>
    <row r="5549" spans="1:24" ht="14.25" customHeight="1">
      <c r="A5549" s="110"/>
      <c r="B5549" s="125">
        <v>46194</v>
      </c>
      <c r="C5549" s="126" t="s">
        <v>3334</v>
      </c>
      <c r="D5549" s="15" t="s">
        <v>3108</v>
      </c>
      <c r="E5549" s="10" t="str">
        <f>TRIM(VLOOKUP(D5549,TB!$B$9:$C$1500,2,FALSE))</f>
        <v>Promotional Costs</v>
      </c>
      <c r="F5549" s="142" t="s">
        <v>3335</v>
      </c>
      <c r="G5549" s="130"/>
      <c r="H5549" s="155">
        <v>750000</v>
      </c>
      <c r="I5549" s="10"/>
      <c r="J5549" s="79" t="e">
        <f t="shared" si="346"/>
        <v>#VALUE!</v>
      </c>
      <c r="K5549" s="106"/>
      <c r="L5549" s="107"/>
      <c r="M5549" s="106"/>
      <c r="N5549" s="106"/>
      <c r="O5549" s="108"/>
      <c r="P5549" s="108"/>
      <c r="Q5549" s="108"/>
      <c r="R5549" s="109"/>
      <c r="S5549" s="109"/>
      <c r="T5549" s="108"/>
      <c r="U5549" s="110"/>
      <c r="V5549" s="110"/>
      <c r="W5549" s="110"/>
      <c r="X5549" s="110"/>
    </row>
    <row r="5550" spans="1:24" ht="14.25" customHeight="1">
      <c r="A5550" s="110"/>
      <c r="B5550" s="125">
        <v>46194</v>
      </c>
      <c r="C5550" s="126" t="s">
        <v>3322</v>
      </c>
      <c r="D5550" s="68" t="s">
        <v>285</v>
      </c>
      <c r="E5550" s="10" t="str">
        <f>TRIM(VLOOKUP(D5550,TB!$B$9:$C$1500,2,FALSE))</f>
        <v>Misc Cash Purchase</v>
      </c>
      <c r="F5550" s="142" t="s">
        <v>3323</v>
      </c>
      <c r="G5550" s="130"/>
      <c r="H5550" s="10"/>
      <c r="I5550" s="155">
        <v>500000</v>
      </c>
      <c r="J5550" s="79" t="e">
        <f t="shared" si="346"/>
        <v>#VALUE!</v>
      </c>
      <c r="K5550" s="106"/>
      <c r="L5550" s="107"/>
      <c r="M5550" s="106"/>
      <c r="N5550" s="106"/>
      <c r="O5550" s="108"/>
      <c r="P5550" s="108"/>
      <c r="Q5550" s="108"/>
      <c r="R5550" s="109"/>
      <c r="S5550" s="109"/>
      <c r="T5550" s="108"/>
      <c r="U5550" s="110"/>
      <c r="V5550" s="110"/>
      <c r="W5550" s="110"/>
      <c r="X5550" s="110"/>
    </row>
    <row r="5551" spans="1:24" ht="14.25" customHeight="1">
      <c r="A5551" s="110"/>
      <c r="B5551" s="125">
        <v>46194</v>
      </c>
      <c r="C5551" s="126" t="s">
        <v>3324</v>
      </c>
      <c r="D5551" s="68" t="s">
        <v>285</v>
      </c>
      <c r="E5551" s="10" t="str">
        <f>TRIM(VLOOKUP(D5551,TB!$B$9:$C$1500,2,FALSE))</f>
        <v>Misc Cash Purchase</v>
      </c>
      <c r="F5551" s="142" t="s">
        <v>3325</v>
      </c>
      <c r="G5551" s="130"/>
      <c r="H5551" s="10"/>
      <c r="I5551" s="155">
        <v>250000</v>
      </c>
      <c r="J5551" s="79" t="e">
        <f t="shared" si="346"/>
        <v>#VALUE!</v>
      </c>
      <c r="K5551" s="106"/>
      <c r="L5551" s="107"/>
      <c r="M5551" s="106"/>
      <c r="N5551" s="106"/>
      <c r="O5551" s="108"/>
      <c r="P5551" s="108"/>
      <c r="Q5551" s="108"/>
      <c r="R5551" s="109"/>
      <c r="S5551" s="109"/>
      <c r="T5551" s="108"/>
      <c r="U5551" s="110"/>
      <c r="V5551" s="110"/>
      <c r="W5551" s="110"/>
      <c r="X5551" s="110"/>
    </row>
    <row r="5552" spans="1:24" ht="14.25" customHeight="1">
      <c r="A5552" s="110"/>
      <c r="B5552" s="125">
        <v>46194</v>
      </c>
      <c r="C5552" s="126" t="s">
        <v>3326</v>
      </c>
      <c r="D5552" s="68" t="s">
        <v>285</v>
      </c>
      <c r="E5552" s="10" t="str">
        <f>TRIM(VLOOKUP(D5552,TB!$B$9:$C$1500,2,FALSE))</f>
        <v>Misc Cash Purchase</v>
      </c>
      <c r="F5552" s="142" t="s">
        <v>3327</v>
      </c>
      <c r="G5552" s="130"/>
      <c r="H5552" s="10"/>
      <c r="I5552" s="155">
        <v>500000</v>
      </c>
      <c r="J5552" s="79" t="e">
        <f t="shared" si="346"/>
        <v>#VALUE!</v>
      </c>
      <c r="K5552" s="106"/>
      <c r="L5552" s="107"/>
      <c r="M5552" s="106"/>
      <c r="N5552" s="106"/>
      <c r="O5552" s="108"/>
      <c r="P5552" s="108"/>
      <c r="Q5552" s="108"/>
      <c r="R5552" s="109"/>
      <c r="S5552" s="109"/>
      <c r="T5552" s="108"/>
      <c r="U5552" s="110"/>
      <c r="V5552" s="110"/>
      <c r="W5552" s="110"/>
      <c r="X5552" s="110"/>
    </row>
    <row r="5553" spans="1:24" ht="14.25" customHeight="1">
      <c r="A5553" s="110"/>
      <c r="B5553" s="125">
        <v>46194</v>
      </c>
      <c r="C5553" s="126" t="s">
        <v>3328</v>
      </c>
      <c r="D5553" s="68" t="s">
        <v>285</v>
      </c>
      <c r="E5553" s="10" t="str">
        <f>TRIM(VLOOKUP(D5553,TB!$B$9:$C$1500,2,FALSE))</f>
        <v>Misc Cash Purchase</v>
      </c>
      <c r="F5553" s="142" t="s">
        <v>3329</v>
      </c>
      <c r="G5553" s="130"/>
      <c r="H5553" s="10"/>
      <c r="I5553" s="155">
        <v>750000</v>
      </c>
      <c r="J5553" s="79" t="e">
        <f t="shared" si="346"/>
        <v>#VALUE!</v>
      </c>
      <c r="K5553" s="106"/>
      <c r="L5553" s="107"/>
      <c r="M5553" s="106"/>
      <c r="N5553" s="106"/>
      <c r="O5553" s="108"/>
      <c r="P5553" s="108"/>
      <c r="Q5553" s="108"/>
      <c r="R5553" s="109"/>
      <c r="S5553" s="109"/>
      <c r="T5553" s="108"/>
      <c r="U5553" s="110"/>
      <c r="V5553" s="110"/>
      <c r="W5553" s="110"/>
      <c r="X5553" s="110"/>
    </row>
    <row r="5554" spans="1:24" ht="14.25" customHeight="1">
      <c r="A5554" s="110"/>
      <c r="B5554" s="125">
        <v>46194</v>
      </c>
      <c r="C5554" s="126" t="s">
        <v>3330</v>
      </c>
      <c r="D5554" s="68" t="s">
        <v>285</v>
      </c>
      <c r="E5554" s="10" t="str">
        <f>TRIM(VLOOKUP(D5554,TB!$B$9:$C$1500,2,FALSE))</f>
        <v>Misc Cash Purchase</v>
      </c>
      <c r="F5554" s="142" t="s">
        <v>3331</v>
      </c>
      <c r="G5554" s="130"/>
      <c r="H5554" s="10"/>
      <c r="I5554" s="155">
        <v>500000</v>
      </c>
      <c r="J5554" s="79" t="e">
        <f t="shared" si="346"/>
        <v>#VALUE!</v>
      </c>
      <c r="K5554" s="106"/>
      <c r="L5554" s="107"/>
      <c r="M5554" s="106"/>
      <c r="N5554" s="106"/>
      <c r="O5554" s="108"/>
      <c r="P5554" s="108"/>
      <c r="Q5554" s="108"/>
      <c r="R5554" s="109"/>
      <c r="S5554" s="109"/>
      <c r="T5554" s="108"/>
      <c r="U5554" s="110"/>
      <c r="V5554" s="110"/>
      <c r="W5554" s="110"/>
      <c r="X5554" s="110"/>
    </row>
    <row r="5555" spans="1:24" ht="14.25" customHeight="1">
      <c r="A5555" s="110"/>
      <c r="B5555" s="125">
        <v>46194</v>
      </c>
      <c r="C5555" s="126" t="s">
        <v>3332</v>
      </c>
      <c r="D5555" s="68" t="s">
        <v>285</v>
      </c>
      <c r="E5555" s="10" t="str">
        <f>TRIM(VLOOKUP(D5555,TB!$B$9:$C$1500,2,FALSE))</f>
        <v>Misc Cash Purchase</v>
      </c>
      <c r="F5555" s="142" t="s">
        <v>3333</v>
      </c>
      <c r="G5555" s="130"/>
      <c r="H5555" s="10"/>
      <c r="I5555" s="155">
        <v>500000</v>
      </c>
      <c r="J5555" s="79" t="e">
        <f t="shared" si="346"/>
        <v>#VALUE!</v>
      </c>
      <c r="K5555" s="106"/>
      <c r="L5555" s="107"/>
      <c r="M5555" s="106"/>
      <c r="N5555" s="106"/>
      <c r="O5555" s="108"/>
      <c r="P5555" s="108"/>
      <c r="Q5555" s="108"/>
      <c r="R5555" s="109"/>
      <c r="S5555" s="109"/>
      <c r="T5555" s="108"/>
      <c r="U5555" s="110"/>
      <c r="V5555" s="110"/>
      <c r="W5555" s="110"/>
      <c r="X5555" s="110"/>
    </row>
    <row r="5556" spans="1:24" ht="14.25" customHeight="1">
      <c r="A5556" s="110"/>
      <c r="B5556" s="125">
        <v>46194</v>
      </c>
      <c r="C5556" s="126" t="s">
        <v>3334</v>
      </c>
      <c r="D5556" s="68" t="s">
        <v>285</v>
      </c>
      <c r="E5556" s="10" t="str">
        <f>TRIM(VLOOKUP(D5556,TB!$B$9:$C$1500,2,FALSE))</f>
        <v>Misc Cash Purchase</v>
      </c>
      <c r="F5556" s="142" t="s">
        <v>3335</v>
      </c>
      <c r="G5556" s="130"/>
      <c r="H5556" s="10"/>
      <c r="I5556" s="155">
        <v>750000</v>
      </c>
      <c r="J5556" s="79" t="e">
        <f t="shared" si="346"/>
        <v>#VALUE!</v>
      </c>
      <c r="K5556" s="106"/>
      <c r="L5556" s="107"/>
      <c r="M5556" s="106"/>
      <c r="N5556" s="106"/>
      <c r="O5556" s="108"/>
      <c r="P5556" s="108"/>
      <c r="Q5556" s="108"/>
      <c r="R5556" s="109"/>
      <c r="S5556" s="109"/>
      <c r="T5556" s="108"/>
      <c r="U5556" s="110"/>
      <c r="V5556" s="110"/>
      <c r="W5556" s="110"/>
      <c r="X5556" s="110"/>
    </row>
    <row r="5557" spans="1:24" ht="14.25" customHeight="1">
      <c r="A5557" s="110"/>
      <c r="B5557" s="125"/>
      <c r="C5557" s="126"/>
      <c r="D5557" s="159"/>
      <c r="E5557" s="10" t="e">
        <f>TRIM(VLOOKUP(D5557,TB!$B$9:$C$1500,2,FALSE))</f>
        <v>#N/A</v>
      </c>
      <c r="F5557" s="142"/>
      <c r="G5557" s="130"/>
      <c r="H5557" s="10"/>
      <c r="I5557" s="10"/>
      <c r="J5557" s="79" t="e">
        <f t="shared" si="346"/>
        <v>#VALUE!</v>
      </c>
      <c r="K5557" s="106"/>
      <c r="L5557" s="107"/>
      <c r="M5557" s="106"/>
      <c r="N5557" s="106"/>
      <c r="O5557" s="108"/>
      <c r="P5557" s="108"/>
      <c r="Q5557" s="108"/>
      <c r="R5557" s="109"/>
      <c r="S5557" s="109"/>
      <c r="T5557" s="108"/>
      <c r="U5557" s="110"/>
      <c r="V5557" s="110"/>
      <c r="W5557" s="110"/>
      <c r="X5557" s="110"/>
    </row>
    <row r="5558" spans="1:24" ht="14.25" customHeight="1">
      <c r="A5558" s="110"/>
      <c r="B5558" s="125">
        <v>46194</v>
      </c>
      <c r="C5558" s="126" t="s">
        <v>3336</v>
      </c>
      <c r="D5558" s="15" t="s">
        <v>3108</v>
      </c>
      <c r="E5558" s="10" t="str">
        <f>TRIM(VLOOKUP(D5558,TB!$B$9:$C$1500,2,FALSE))</f>
        <v>Promotional Costs</v>
      </c>
      <c r="F5558" s="142" t="s">
        <v>3337</v>
      </c>
      <c r="G5558" s="130"/>
      <c r="H5558" s="10">
        <v>4000000</v>
      </c>
      <c r="I5558" s="10"/>
      <c r="J5558" s="79" t="e">
        <f t="shared" si="346"/>
        <v>#VALUE!</v>
      </c>
      <c r="K5558" s="106"/>
      <c r="L5558" s="107"/>
      <c r="M5558" s="106"/>
      <c r="N5558" s="106"/>
      <c r="O5558" s="108"/>
      <c r="P5558" s="108"/>
      <c r="Q5558" s="108"/>
      <c r="R5558" s="109"/>
      <c r="S5558" s="109"/>
      <c r="T5558" s="108"/>
      <c r="U5558" s="110"/>
      <c r="V5558" s="110"/>
      <c r="W5558" s="110"/>
      <c r="X5558" s="110"/>
    </row>
    <row r="5559" spans="1:24" ht="14.25" customHeight="1">
      <c r="A5559" s="110"/>
      <c r="B5559" s="125">
        <v>46194</v>
      </c>
      <c r="C5559" s="126" t="s">
        <v>3336</v>
      </c>
      <c r="D5559" s="68" t="s">
        <v>285</v>
      </c>
      <c r="E5559" s="10" t="str">
        <f>TRIM(VLOOKUP(D5559,TB!$B$9:$C$1500,2,FALSE))</f>
        <v>Misc Cash Purchase</v>
      </c>
      <c r="F5559" s="142" t="s">
        <v>3337</v>
      </c>
      <c r="G5559" s="130"/>
      <c r="H5559" s="10"/>
      <c r="I5559" s="10">
        <v>4000000</v>
      </c>
      <c r="J5559" s="79" t="e">
        <f t="shared" si="346"/>
        <v>#VALUE!</v>
      </c>
      <c r="K5559" s="106"/>
      <c r="L5559" s="107"/>
      <c r="M5559" s="106"/>
      <c r="N5559" s="106"/>
      <c r="O5559" s="108"/>
      <c r="P5559" s="108"/>
      <c r="Q5559" s="108"/>
      <c r="R5559" s="109"/>
      <c r="S5559" s="109"/>
      <c r="T5559" s="108"/>
      <c r="U5559" s="110"/>
      <c r="V5559" s="110"/>
      <c r="W5559" s="110"/>
      <c r="X5559" s="110"/>
    </row>
    <row r="5560" spans="1:24" ht="14.25" customHeight="1">
      <c r="A5560" s="110"/>
      <c r="B5560" s="125"/>
      <c r="C5560" s="126"/>
      <c r="D5560" s="159"/>
      <c r="E5560" s="10" t="e">
        <f>TRIM(VLOOKUP(D5560,TB!$B$9:$C$1500,2,FALSE))</f>
        <v>#N/A</v>
      </c>
      <c r="F5560" s="142"/>
      <c r="G5560" s="130"/>
      <c r="H5560" s="10"/>
      <c r="I5560" s="10"/>
      <c r="J5560" s="79" t="e">
        <f t="shared" si="346"/>
        <v>#VALUE!</v>
      </c>
      <c r="K5560" s="106"/>
      <c r="L5560" s="107"/>
      <c r="M5560" s="106"/>
      <c r="N5560" s="106"/>
      <c r="O5560" s="108"/>
      <c r="P5560" s="108"/>
      <c r="Q5560" s="108"/>
      <c r="R5560" s="109"/>
      <c r="S5560" s="109"/>
      <c r="T5560" s="108"/>
      <c r="U5560" s="110"/>
      <c r="V5560" s="110"/>
      <c r="W5560" s="110"/>
      <c r="X5560" s="110"/>
    </row>
    <row r="5561" spans="1:24" ht="14.25" customHeight="1">
      <c r="A5561" s="110"/>
      <c r="B5561" s="125">
        <v>46194</v>
      </c>
      <c r="C5561" s="126" t="s">
        <v>3338</v>
      </c>
      <c r="D5561" s="15" t="s">
        <v>3108</v>
      </c>
      <c r="E5561" s="10" t="str">
        <f>TRIM(VLOOKUP(D5561,TB!$B$9:$C$1500,2,FALSE))</f>
        <v>Promotional Costs</v>
      </c>
      <c r="F5561" s="142" t="s">
        <v>3339</v>
      </c>
      <c r="G5561" s="130"/>
      <c r="H5561" s="155">
        <v>4000000</v>
      </c>
      <c r="I5561" s="10"/>
      <c r="J5561" s="79" t="e">
        <f t="shared" si="346"/>
        <v>#VALUE!</v>
      </c>
      <c r="K5561" s="106"/>
      <c r="L5561" s="107"/>
      <c r="M5561" s="106"/>
      <c r="N5561" s="106"/>
      <c r="O5561" s="108"/>
      <c r="P5561" s="108"/>
      <c r="Q5561" s="108"/>
      <c r="R5561" s="109"/>
      <c r="S5561" s="109"/>
      <c r="T5561" s="108"/>
      <c r="U5561" s="110"/>
      <c r="V5561" s="110"/>
      <c r="W5561" s="110"/>
      <c r="X5561" s="110"/>
    </row>
    <row r="5562" spans="1:24" ht="14.25" customHeight="1">
      <c r="A5562" s="110"/>
      <c r="B5562" s="125">
        <v>46194</v>
      </c>
      <c r="C5562" s="126" t="s">
        <v>3338</v>
      </c>
      <c r="D5562" s="68" t="s">
        <v>285</v>
      </c>
      <c r="E5562" s="10" t="str">
        <f>TRIM(VLOOKUP(D5562,TB!$B$9:$C$1500,2,FALSE))</f>
        <v>Misc Cash Purchase</v>
      </c>
      <c r="F5562" s="142" t="s">
        <v>3339</v>
      </c>
      <c r="G5562" s="130"/>
      <c r="H5562" s="10"/>
      <c r="I5562" s="155">
        <v>4000000</v>
      </c>
      <c r="J5562" s="79" t="e">
        <f t="shared" si="346"/>
        <v>#VALUE!</v>
      </c>
      <c r="K5562" s="106"/>
      <c r="L5562" s="107"/>
      <c r="M5562" s="106"/>
      <c r="N5562" s="106"/>
      <c r="O5562" s="108"/>
      <c r="P5562" s="108"/>
      <c r="Q5562" s="108"/>
      <c r="R5562" s="109"/>
      <c r="S5562" s="109"/>
      <c r="T5562" s="108"/>
      <c r="U5562" s="110"/>
      <c r="V5562" s="110"/>
      <c r="W5562" s="110"/>
      <c r="X5562" s="110"/>
    </row>
    <row r="5563" spans="1:24" ht="14.25" customHeight="1">
      <c r="A5563" s="110"/>
      <c r="B5563" s="125"/>
      <c r="C5563" s="126"/>
      <c r="D5563" s="159"/>
      <c r="E5563" s="10" t="e">
        <f>TRIM(VLOOKUP(D5563,TB!$B$9:$C$1500,2,FALSE))</f>
        <v>#N/A</v>
      </c>
      <c r="F5563" s="142"/>
      <c r="G5563" s="130"/>
      <c r="H5563" s="10"/>
      <c r="I5563" s="10"/>
      <c r="J5563" s="79" t="e">
        <f t="shared" si="346"/>
        <v>#VALUE!</v>
      </c>
      <c r="K5563" s="106"/>
      <c r="L5563" s="107"/>
      <c r="M5563" s="106"/>
      <c r="N5563" s="106"/>
      <c r="O5563" s="108"/>
      <c r="P5563" s="108"/>
      <c r="Q5563" s="108"/>
      <c r="R5563" s="109"/>
      <c r="S5563" s="109"/>
      <c r="T5563" s="108"/>
      <c r="U5563" s="110"/>
      <c r="V5563" s="110"/>
      <c r="W5563" s="110"/>
      <c r="X5563" s="110"/>
    </row>
    <row r="5564" spans="1:24" ht="14.25" customHeight="1">
      <c r="A5564" s="110"/>
      <c r="B5564" s="125">
        <v>46201</v>
      </c>
      <c r="C5564" s="126" t="s">
        <v>3340</v>
      </c>
      <c r="D5564" s="15" t="s">
        <v>3108</v>
      </c>
      <c r="E5564" s="10" t="str">
        <f>TRIM(VLOOKUP(D5564,TB!$B$9:$C$1500,2,FALSE))</f>
        <v>Promotional Costs</v>
      </c>
      <c r="F5564" s="142" t="s">
        <v>3341</v>
      </c>
      <c r="G5564" s="130"/>
      <c r="H5564" s="155">
        <v>500000</v>
      </c>
      <c r="I5564" s="10"/>
      <c r="J5564" s="79" t="e">
        <f t="shared" si="346"/>
        <v>#VALUE!</v>
      </c>
      <c r="K5564" s="106"/>
      <c r="L5564" s="107"/>
      <c r="M5564" s="106"/>
      <c r="N5564" s="106"/>
      <c r="O5564" s="108"/>
      <c r="P5564" s="108"/>
      <c r="Q5564" s="108"/>
      <c r="R5564" s="109"/>
      <c r="S5564" s="109"/>
      <c r="T5564" s="108"/>
      <c r="U5564" s="110"/>
      <c r="V5564" s="110"/>
      <c r="W5564" s="110"/>
      <c r="X5564" s="110"/>
    </row>
    <row r="5565" spans="1:24" ht="14.25" customHeight="1">
      <c r="A5565" s="110"/>
      <c r="B5565" s="125">
        <v>46201</v>
      </c>
      <c r="C5565" s="126" t="s">
        <v>3342</v>
      </c>
      <c r="D5565" s="15" t="s">
        <v>3108</v>
      </c>
      <c r="E5565" s="10" t="str">
        <f>TRIM(VLOOKUP(D5565,TB!$B$9:$C$1500,2,FALSE))</f>
        <v>Promotional Costs</v>
      </c>
      <c r="F5565" s="142" t="s">
        <v>3343</v>
      </c>
      <c r="G5565" s="130"/>
      <c r="H5565" s="155">
        <v>500000</v>
      </c>
      <c r="I5565" s="10"/>
      <c r="J5565" s="79" t="e">
        <f t="shared" si="346"/>
        <v>#VALUE!</v>
      </c>
      <c r="K5565" s="106"/>
      <c r="L5565" s="107"/>
      <c r="M5565" s="106"/>
      <c r="N5565" s="106"/>
      <c r="O5565" s="108"/>
      <c r="P5565" s="108"/>
      <c r="Q5565" s="108"/>
      <c r="R5565" s="109"/>
      <c r="S5565" s="109"/>
      <c r="T5565" s="108"/>
      <c r="U5565" s="110"/>
      <c r="V5565" s="110"/>
      <c r="W5565" s="110"/>
      <c r="X5565" s="110"/>
    </row>
    <row r="5566" spans="1:24" ht="14.25" customHeight="1">
      <c r="A5566" s="110"/>
      <c r="B5566" s="125">
        <v>46201</v>
      </c>
      <c r="C5566" s="126" t="s">
        <v>3344</v>
      </c>
      <c r="D5566" s="15" t="s">
        <v>3108</v>
      </c>
      <c r="E5566" s="10" t="str">
        <f>TRIM(VLOOKUP(D5566,TB!$B$9:$C$1500,2,FALSE))</f>
        <v>Promotional Costs</v>
      </c>
      <c r="F5566" s="142" t="s">
        <v>3345</v>
      </c>
      <c r="G5566" s="130"/>
      <c r="H5566" s="155">
        <v>250000</v>
      </c>
      <c r="I5566" s="10"/>
      <c r="J5566" s="79" t="e">
        <f t="shared" si="346"/>
        <v>#VALUE!</v>
      </c>
      <c r="K5566" s="106"/>
      <c r="L5566" s="107"/>
      <c r="M5566" s="106"/>
      <c r="N5566" s="106"/>
      <c r="O5566" s="108"/>
      <c r="P5566" s="108"/>
      <c r="Q5566" s="108"/>
      <c r="R5566" s="109"/>
      <c r="S5566" s="109"/>
      <c r="T5566" s="108"/>
      <c r="U5566" s="110"/>
      <c r="V5566" s="110"/>
      <c r="W5566" s="110"/>
      <c r="X5566" s="110"/>
    </row>
    <row r="5567" spans="1:24" ht="14.25" customHeight="1">
      <c r="A5567" s="110"/>
      <c r="B5567" s="125">
        <v>46201</v>
      </c>
      <c r="C5567" s="126" t="s">
        <v>3346</v>
      </c>
      <c r="D5567" s="15" t="s">
        <v>3108</v>
      </c>
      <c r="E5567" s="10" t="str">
        <f>TRIM(VLOOKUP(D5567,TB!$B$9:$C$1500,2,FALSE))</f>
        <v>Promotional Costs</v>
      </c>
      <c r="F5567" s="142" t="s">
        <v>3347</v>
      </c>
      <c r="G5567" s="130"/>
      <c r="H5567" s="155">
        <v>500000</v>
      </c>
      <c r="I5567" s="10"/>
      <c r="J5567" s="79" t="e">
        <f t="shared" si="346"/>
        <v>#VALUE!</v>
      </c>
      <c r="K5567" s="106"/>
      <c r="L5567" s="107"/>
      <c r="M5567" s="106"/>
      <c r="N5567" s="106"/>
      <c r="O5567" s="108"/>
      <c r="P5567" s="108"/>
      <c r="Q5567" s="108"/>
      <c r="R5567" s="109"/>
      <c r="S5567" s="109"/>
      <c r="T5567" s="108"/>
      <c r="U5567" s="110"/>
      <c r="V5567" s="110"/>
      <c r="W5567" s="110"/>
      <c r="X5567" s="110"/>
    </row>
    <row r="5568" spans="1:24" ht="14.25" customHeight="1">
      <c r="A5568" s="110"/>
      <c r="B5568" s="125">
        <v>46201</v>
      </c>
      <c r="C5568" s="126" t="s">
        <v>3348</v>
      </c>
      <c r="D5568" s="15" t="s">
        <v>3108</v>
      </c>
      <c r="E5568" s="10" t="str">
        <f>TRIM(VLOOKUP(D5568,TB!$B$9:$C$1500,2,FALSE))</f>
        <v>Promotional Costs</v>
      </c>
      <c r="F5568" s="142" t="s">
        <v>3349</v>
      </c>
      <c r="G5568" s="130"/>
      <c r="H5568" s="155">
        <v>500000</v>
      </c>
      <c r="I5568" s="10"/>
      <c r="J5568" s="79" t="e">
        <f t="shared" si="346"/>
        <v>#VALUE!</v>
      </c>
      <c r="K5568" s="106"/>
      <c r="L5568" s="107"/>
      <c r="M5568" s="106"/>
      <c r="N5568" s="106"/>
      <c r="O5568" s="108"/>
      <c r="P5568" s="108"/>
      <c r="Q5568" s="108"/>
      <c r="R5568" s="109"/>
      <c r="S5568" s="109"/>
      <c r="T5568" s="108"/>
      <c r="U5568" s="110"/>
      <c r="V5568" s="110"/>
      <c r="W5568" s="110"/>
      <c r="X5568" s="110"/>
    </row>
    <row r="5569" spans="1:24" ht="14.25" customHeight="1">
      <c r="A5569" s="110"/>
      <c r="B5569" s="125">
        <v>46201</v>
      </c>
      <c r="C5569" s="126" t="s">
        <v>3350</v>
      </c>
      <c r="D5569" s="15" t="s">
        <v>3108</v>
      </c>
      <c r="E5569" s="10" t="str">
        <f>TRIM(VLOOKUP(D5569,TB!$B$9:$C$1500,2,FALSE))</f>
        <v>Promotional Costs</v>
      </c>
      <c r="F5569" s="142" t="s">
        <v>3351</v>
      </c>
      <c r="G5569" s="130"/>
      <c r="H5569" s="155">
        <v>250000</v>
      </c>
      <c r="I5569" s="10"/>
      <c r="J5569" s="79" t="e">
        <f t="shared" si="346"/>
        <v>#VALUE!</v>
      </c>
      <c r="K5569" s="106"/>
      <c r="L5569" s="107"/>
      <c r="M5569" s="106"/>
      <c r="N5569" s="106"/>
      <c r="O5569" s="108"/>
      <c r="P5569" s="108"/>
      <c r="Q5569" s="108"/>
      <c r="R5569" s="109"/>
      <c r="S5569" s="109"/>
      <c r="T5569" s="108"/>
      <c r="U5569" s="110"/>
      <c r="V5569" s="110"/>
      <c r="W5569" s="110"/>
      <c r="X5569" s="110"/>
    </row>
    <row r="5570" spans="1:24" ht="14.25" customHeight="1">
      <c r="A5570" s="110"/>
      <c r="B5570" s="125">
        <v>46201</v>
      </c>
      <c r="C5570" s="126" t="s">
        <v>3352</v>
      </c>
      <c r="D5570" s="15" t="s">
        <v>3108</v>
      </c>
      <c r="E5570" s="10" t="str">
        <f>TRIM(VLOOKUP(D5570,TB!$B$9:$C$1500,2,FALSE))</f>
        <v>Promotional Costs</v>
      </c>
      <c r="F5570" s="142" t="s">
        <v>3353</v>
      </c>
      <c r="G5570" s="130"/>
      <c r="H5570" s="155">
        <v>250000</v>
      </c>
      <c r="I5570" s="10"/>
      <c r="J5570" s="79" t="e">
        <f t="shared" si="346"/>
        <v>#VALUE!</v>
      </c>
      <c r="K5570" s="106"/>
      <c r="L5570" s="107"/>
      <c r="M5570" s="106"/>
      <c r="N5570" s="106"/>
      <c r="O5570" s="108"/>
      <c r="P5570" s="108"/>
      <c r="Q5570" s="108"/>
      <c r="R5570" s="109"/>
      <c r="S5570" s="109"/>
      <c r="T5570" s="108"/>
      <c r="U5570" s="110"/>
      <c r="V5570" s="110"/>
      <c r="W5570" s="110"/>
      <c r="X5570" s="110"/>
    </row>
    <row r="5571" spans="1:24" ht="14.25" customHeight="1">
      <c r="A5571" s="110"/>
      <c r="B5571" s="125">
        <v>46201</v>
      </c>
      <c r="C5571" s="126" t="s">
        <v>3354</v>
      </c>
      <c r="D5571" s="15" t="s">
        <v>3108</v>
      </c>
      <c r="E5571" s="10" t="str">
        <f>TRIM(VLOOKUP(D5571,TB!$B$9:$C$1500,2,FALSE))</f>
        <v>Promotional Costs</v>
      </c>
      <c r="F5571" s="142" t="s">
        <v>3355</v>
      </c>
      <c r="G5571" s="130"/>
      <c r="H5571" s="155">
        <v>500000</v>
      </c>
      <c r="I5571" s="10"/>
      <c r="J5571" s="79" t="e">
        <f t="shared" si="346"/>
        <v>#VALUE!</v>
      </c>
      <c r="K5571" s="106"/>
      <c r="L5571" s="107"/>
      <c r="M5571" s="106"/>
      <c r="N5571" s="106"/>
      <c r="O5571" s="108"/>
      <c r="P5571" s="108"/>
      <c r="Q5571" s="108"/>
      <c r="R5571" s="109"/>
      <c r="S5571" s="109"/>
      <c r="T5571" s="108"/>
      <c r="U5571" s="110"/>
      <c r="V5571" s="110"/>
      <c r="W5571" s="110"/>
      <c r="X5571" s="110"/>
    </row>
    <row r="5572" spans="1:24" ht="14.25" customHeight="1">
      <c r="A5572" s="110"/>
      <c r="B5572" s="125">
        <v>46201</v>
      </c>
      <c r="C5572" s="126" t="s">
        <v>3356</v>
      </c>
      <c r="D5572" s="15" t="s">
        <v>3108</v>
      </c>
      <c r="E5572" s="10" t="str">
        <f>TRIM(VLOOKUP(D5572,TB!$B$9:$C$1500,2,FALSE))</f>
        <v>Promotional Costs</v>
      </c>
      <c r="F5572" s="142" t="s">
        <v>3357</v>
      </c>
      <c r="G5572" s="130"/>
      <c r="H5572" s="155">
        <v>500000</v>
      </c>
      <c r="I5572" s="10"/>
      <c r="J5572" s="79" t="e">
        <f t="shared" si="346"/>
        <v>#VALUE!</v>
      </c>
      <c r="K5572" s="106"/>
      <c r="L5572" s="107"/>
      <c r="M5572" s="106"/>
      <c r="N5572" s="106"/>
      <c r="O5572" s="108"/>
      <c r="P5572" s="108"/>
      <c r="Q5572" s="108"/>
      <c r="R5572" s="109"/>
      <c r="S5572" s="109"/>
      <c r="T5572" s="108"/>
      <c r="U5572" s="110"/>
      <c r="V5572" s="110"/>
      <c r="W5572" s="110"/>
      <c r="X5572" s="110"/>
    </row>
    <row r="5573" spans="1:24" ht="14.25" customHeight="1">
      <c r="A5573" s="110"/>
      <c r="B5573" s="125">
        <v>46201</v>
      </c>
      <c r="C5573" s="126" t="s">
        <v>3340</v>
      </c>
      <c r="D5573" s="68" t="s">
        <v>285</v>
      </c>
      <c r="E5573" s="10" t="str">
        <f>TRIM(VLOOKUP(D5573,TB!$B$9:$C$1500,2,FALSE))</f>
        <v>Misc Cash Purchase</v>
      </c>
      <c r="F5573" s="142" t="s">
        <v>3341</v>
      </c>
      <c r="G5573" s="130"/>
      <c r="H5573" s="10"/>
      <c r="I5573" s="155">
        <v>500000</v>
      </c>
      <c r="J5573" s="79" t="e">
        <f t="shared" si="346"/>
        <v>#VALUE!</v>
      </c>
      <c r="K5573" s="106"/>
      <c r="L5573" s="107"/>
      <c r="M5573" s="106"/>
      <c r="N5573" s="106"/>
      <c r="O5573" s="108"/>
      <c r="P5573" s="108"/>
      <c r="Q5573" s="108"/>
      <c r="R5573" s="109"/>
      <c r="S5573" s="109"/>
      <c r="T5573" s="108"/>
      <c r="U5573" s="110"/>
      <c r="V5573" s="110"/>
      <c r="W5573" s="110"/>
      <c r="X5573" s="110"/>
    </row>
    <row r="5574" spans="1:24" ht="14.25" customHeight="1">
      <c r="A5574" s="110"/>
      <c r="B5574" s="125">
        <v>46201</v>
      </c>
      <c r="C5574" s="126" t="s">
        <v>3342</v>
      </c>
      <c r="D5574" s="68" t="s">
        <v>285</v>
      </c>
      <c r="E5574" s="10" t="str">
        <f>TRIM(VLOOKUP(D5574,TB!$B$9:$C$1500,2,FALSE))</f>
        <v>Misc Cash Purchase</v>
      </c>
      <c r="F5574" s="142" t="s">
        <v>3343</v>
      </c>
      <c r="G5574" s="130"/>
      <c r="H5574" s="10"/>
      <c r="I5574" s="155">
        <v>500000</v>
      </c>
      <c r="J5574" s="79" t="e">
        <f t="shared" si="346"/>
        <v>#VALUE!</v>
      </c>
      <c r="K5574" s="106"/>
      <c r="L5574" s="107"/>
      <c r="M5574" s="106"/>
      <c r="N5574" s="106"/>
      <c r="O5574" s="108"/>
      <c r="P5574" s="108"/>
      <c r="Q5574" s="108"/>
      <c r="R5574" s="109"/>
      <c r="S5574" s="109"/>
      <c r="T5574" s="108"/>
      <c r="U5574" s="110"/>
      <c r="V5574" s="110"/>
      <c r="W5574" s="110"/>
      <c r="X5574" s="110"/>
    </row>
    <row r="5575" spans="1:24" ht="14.25" customHeight="1">
      <c r="A5575" s="110"/>
      <c r="B5575" s="125">
        <v>46201</v>
      </c>
      <c r="C5575" s="126" t="s">
        <v>3344</v>
      </c>
      <c r="D5575" s="68" t="s">
        <v>285</v>
      </c>
      <c r="E5575" s="10" t="str">
        <f>TRIM(VLOOKUP(D5575,TB!$B$9:$C$1500,2,FALSE))</f>
        <v>Misc Cash Purchase</v>
      </c>
      <c r="F5575" s="142" t="s">
        <v>3345</v>
      </c>
      <c r="G5575" s="130"/>
      <c r="H5575" s="10"/>
      <c r="I5575" s="155">
        <v>250000</v>
      </c>
      <c r="J5575" s="79" t="e">
        <f t="shared" si="346"/>
        <v>#VALUE!</v>
      </c>
      <c r="K5575" s="106"/>
      <c r="L5575" s="107"/>
      <c r="M5575" s="106"/>
      <c r="N5575" s="106"/>
      <c r="O5575" s="108"/>
      <c r="P5575" s="108"/>
      <c r="Q5575" s="108"/>
      <c r="R5575" s="109"/>
      <c r="S5575" s="109"/>
      <c r="T5575" s="108"/>
      <c r="U5575" s="110"/>
      <c r="V5575" s="110"/>
      <c r="W5575" s="110"/>
      <c r="X5575" s="110"/>
    </row>
    <row r="5576" spans="1:24" ht="14.25" customHeight="1">
      <c r="A5576" s="110"/>
      <c r="B5576" s="125">
        <v>46201</v>
      </c>
      <c r="C5576" s="126" t="s">
        <v>3346</v>
      </c>
      <c r="D5576" s="68" t="s">
        <v>285</v>
      </c>
      <c r="E5576" s="10" t="str">
        <f>TRIM(VLOOKUP(D5576,TB!$B$9:$C$1500,2,FALSE))</f>
        <v>Misc Cash Purchase</v>
      </c>
      <c r="F5576" s="142" t="s">
        <v>3347</v>
      </c>
      <c r="G5576" s="130"/>
      <c r="H5576" s="10"/>
      <c r="I5576" s="155">
        <v>500000</v>
      </c>
      <c r="J5576" s="79" t="e">
        <f t="shared" si="346"/>
        <v>#VALUE!</v>
      </c>
      <c r="K5576" s="106"/>
      <c r="L5576" s="107"/>
      <c r="M5576" s="106"/>
      <c r="N5576" s="106"/>
      <c r="O5576" s="108"/>
      <c r="P5576" s="108"/>
      <c r="Q5576" s="108"/>
      <c r="R5576" s="109"/>
      <c r="S5576" s="109"/>
      <c r="T5576" s="108"/>
      <c r="U5576" s="110"/>
      <c r="V5576" s="110"/>
      <c r="W5576" s="110"/>
      <c r="X5576" s="110"/>
    </row>
    <row r="5577" spans="1:24" ht="14.25" customHeight="1">
      <c r="A5577" s="110"/>
      <c r="B5577" s="125">
        <v>46201</v>
      </c>
      <c r="C5577" s="126" t="s">
        <v>3348</v>
      </c>
      <c r="D5577" s="68" t="s">
        <v>285</v>
      </c>
      <c r="E5577" s="10" t="str">
        <f>TRIM(VLOOKUP(D5577,TB!$B$9:$C$1500,2,FALSE))</f>
        <v>Misc Cash Purchase</v>
      </c>
      <c r="F5577" s="142" t="s">
        <v>3349</v>
      </c>
      <c r="G5577" s="130"/>
      <c r="H5577" s="10"/>
      <c r="I5577" s="155">
        <v>500000</v>
      </c>
      <c r="J5577" s="79" t="e">
        <f t="shared" si="346"/>
        <v>#VALUE!</v>
      </c>
      <c r="K5577" s="106"/>
      <c r="L5577" s="107"/>
      <c r="M5577" s="106"/>
      <c r="N5577" s="106"/>
      <c r="O5577" s="108"/>
      <c r="P5577" s="108"/>
      <c r="Q5577" s="108"/>
      <c r="R5577" s="109"/>
      <c r="S5577" s="109"/>
      <c r="T5577" s="108"/>
      <c r="U5577" s="110"/>
      <c r="V5577" s="110"/>
      <c r="W5577" s="110"/>
      <c r="X5577" s="110"/>
    </row>
    <row r="5578" spans="1:24" ht="14.25" customHeight="1">
      <c r="A5578" s="110"/>
      <c r="B5578" s="125">
        <v>46201</v>
      </c>
      <c r="C5578" s="126" t="s">
        <v>3350</v>
      </c>
      <c r="D5578" s="68" t="s">
        <v>285</v>
      </c>
      <c r="E5578" s="10" t="str">
        <f>TRIM(VLOOKUP(D5578,TB!$B$9:$C$1500,2,FALSE))</f>
        <v>Misc Cash Purchase</v>
      </c>
      <c r="F5578" s="142" t="s">
        <v>3351</v>
      </c>
      <c r="G5578" s="130"/>
      <c r="H5578" s="10"/>
      <c r="I5578" s="155">
        <v>250000</v>
      </c>
      <c r="J5578" s="79" t="e">
        <f t="shared" si="346"/>
        <v>#VALUE!</v>
      </c>
      <c r="K5578" s="106"/>
      <c r="L5578" s="107"/>
      <c r="M5578" s="106"/>
      <c r="N5578" s="106"/>
      <c r="O5578" s="108"/>
      <c r="P5578" s="108"/>
      <c r="Q5578" s="108"/>
      <c r="R5578" s="109"/>
      <c r="S5578" s="109"/>
      <c r="T5578" s="108"/>
      <c r="U5578" s="110"/>
      <c r="V5578" s="110"/>
      <c r="W5578" s="110"/>
      <c r="X5578" s="110"/>
    </row>
    <row r="5579" spans="1:24" ht="14.25" customHeight="1">
      <c r="A5579" s="110"/>
      <c r="B5579" s="125">
        <v>46201</v>
      </c>
      <c r="C5579" s="126" t="s">
        <v>3352</v>
      </c>
      <c r="D5579" s="68" t="s">
        <v>285</v>
      </c>
      <c r="E5579" s="10" t="str">
        <f>TRIM(VLOOKUP(D5579,TB!$B$9:$C$1500,2,FALSE))</f>
        <v>Misc Cash Purchase</v>
      </c>
      <c r="F5579" s="142" t="s">
        <v>3353</v>
      </c>
      <c r="G5579" s="130"/>
      <c r="H5579" s="10"/>
      <c r="I5579" s="155">
        <v>250000</v>
      </c>
      <c r="J5579" s="79" t="e">
        <f t="shared" si="346"/>
        <v>#VALUE!</v>
      </c>
      <c r="K5579" s="106"/>
      <c r="L5579" s="107"/>
      <c r="M5579" s="106"/>
      <c r="N5579" s="106"/>
      <c r="O5579" s="108"/>
      <c r="P5579" s="108"/>
      <c r="Q5579" s="108"/>
      <c r="R5579" s="109"/>
      <c r="S5579" s="109"/>
      <c r="T5579" s="108"/>
      <c r="U5579" s="110"/>
      <c r="V5579" s="110"/>
      <c r="W5579" s="110"/>
      <c r="X5579" s="110"/>
    </row>
    <row r="5580" spans="1:24" ht="14.25" customHeight="1">
      <c r="A5580" s="110"/>
      <c r="B5580" s="125">
        <v>46201</v>
      </c>
      <c r="C5580" s="126" t="s">
        <v>3354</v>
      </c>
      <c r="D5580" s="68" t="s">
        <v>285</v>
      </c>
      <c r="E5580" s="10" t="str">
        <f>TRIM(VLOOKUP(D5580,TB!$B$9:$C$1500,2,FALSE))</f>
        <v>Misc Cash Purchase</v>
      </c>
      <c r="F5580" s="142" t="s">
        <v>3355</v>
      </c>
      <c r="G5580" s="130"/>
      <c r="H5580" s="10"/>
      <c r="I5580" s="155">
        <v>500000</v>
      </c>
      <c r="J5580" s="79" t="e">
        <f t="shared" si="346"/>
        <v>#VALUE!</v>
      </c>
      <c r="K5580" s="106"/>
      <c r="L5580" s="107"/>
      <c r="M5580" s="106"/>
      <c r="N5580" s="106"/>
      <c r="O5580" s="108"/>
      <c r="P5580" s="108"/>
      <c r="Q5580" s="108"/>
      <c r="R5580" s="109"/>
      <c r="S5580" s="109"/>
      <c r="T5580" s="108"/>
      <c r="U5580" s="110"/>
      <c r="V5580" s="110"/>
      <c r="W5580" s="110"/>
      <c r="X5580" s="110"/>
    </row>
    <row r="5581" spans="1:24" ht="14.25" customHeight="1">
      <c r="A5581" s="110"/>
      <c r="B5581" s="125">
        <v>46201</v>
      </c>
      <c r="C5581" s="126" t="s">
        <v>3356</v>
      </c>
      <c r="D5581" s="68" t="s">
        <v>285</v>
      </c>
      <c r="E5581" s="10" t="str">
        <f>TRIM(VLOOKUP(D5581,TB!$B$9:$C$1500,2,FALSE))</f>
        <v>Misc Cash Purchase</v>
      </c>
      <c r="F5581" s="142" t="s">
        <v>3357</v>
      </c>
      <c r="G5581" s="130"/>
      <c r="H5581" s="10"/>
      <c r="I5581" s="155">
        <v>500000</v>
      </c>
      <c r="J5581" s="79" t="e">
        <f t="shared" si="346"/>
        <v>#VALUE!</v>
      </c>
      <c r="K5581" s="106"/>
      <c r="L5581" s="107"/>
      <c r="M5581" s="106"/>
      <c r="N5581" s="106"/>
      <c r="O5581" s="108"/>
      <c r="P5581" s="108"/>
      <c r="Q5581" s="108"/>
      <c r="R5581" s="109"/>
      <c r="S5581" s="109"/>
      <c r="T5581" s="108"/>
      <c r="U5581" s="110"/>
      <c r="V5581" s="110"/>
      <c r="W5581" s="110"/>
      <c r="X5581" s="110"/>
    </row>
    <row r="5582" spans="1:24" ht="14.25" customHeight="1">
      <c r="A5582" s="110"/>
      <c r="B5582" s="125"/>
      <c r="C5582" s="126"/>
      <c r="D5582" s="159"/>
      <c r="E5582" s="10" t="e">
        <f>TRIM(VLOOKUP(D5582,TB!$B$9:$C$1500,2,FALSE))</f>
        <v>#N/A</v>
      </c>
      <c r="F5582" s="142"/>
      <c r="G5582" s="130"/>
      <c r="H5582" s="10"/>
      <c r="I5582" s="10"/>
      <c r="J5582" s="79" t="e">
        <f t="shared" si="346"/>
        <v>#VALUE!</v>
      </c>
      <c r="K5582" s="106"/>
      <c r="L5582" s="107"/>
      <c r="M5582" s="106"/>
      <c r="N5582" s="106"/>
      <c r="O5582" s="108"/>
      <c r="P5582" s="108"/>
      <c r="Q5582" s="108"/>
      <c r="R5582" s="109"/>
      <c r="S5582" s="109"/>
      <c r="T5582" s="108"/>
      <c r="U5582" s="110"/>
      <c r="V5582" s="110"/>
      <c r="W5582" s="110"/>
      <c r="X5582" s="110"/>
    </row>
    <row r="5583" spans="1:24" ht="14.25" customHeight="1">
      <c r="A5583" s="110"/>
      <c r="B5583" s="125">
        <v>46201</v>
      </c>
      <c r="C5583" s="126" t="s">
        <v>3358</v>
      </c>
      <c r="D5583" s="15" t="s">
        <v>3108</v>
      </c>
      <c r="E5583" s="10" t="str">
        <f>TRIM(VLOOKUP(D5583,TB!$B$9:$C$1500,2,FALSE))</f>
        <v>Promotional Costs</v>
      </c>
      <c r="F5583" s="142" t="s">
        <v>3359</v>
      </c>
      <c r="G5583" s="130"/>
      <c r="H5583" s="155">
        <v>4250000</v>
      </c>
      <c r="I5583" s="10"/>
      <c r="J5583" s="79" t="e">
        <f t="shared" si="346"/>
        <v>#VALUE!</v>
      </c>
      <c r="K5583" s="106"/>
      <c r="L5583" s="107"/>
      <c r="M5583" s="106"/>
      <c r="N5583" s="106"/>
      <c r="O5583" s="108"/>
      <c r="P5583" s="108"/>
      <c r="Q5583" s="108"/>
      <c r="R5583" s="109"/>
      <c r="S5583" s="109"/>
      <c r="T5583" s="108"/>
      <c r="U5583" s="110"/>
      <c r="V5583" s="110"/>
      <c r="W5583" s="110"/>
      <c r="X5583" s="110"/>
    </row>
    <row r="5584" spans="1:24" ht="14.25" customHeight="1">
      <c r="A5584" s="110"/>
      <c r="B5584" s="125">
        <v>46201</v>
      </c>
      <c r="C5584" s="126" t="s">
        <v>3358</v>
      </c>
      <c r="D5584" s="68" t="s">
        <v>285</v>
      </c>
      <c r="E5584" s="10" t="str">
        <f>TRIM(VLOOKUP(D5584,TB!$B$9:$C$1500,2,FALSE))</f>
        <v>Misc Cash Purchase</v>
      </c>
      <c r="F5584" s="142" t="s">
        <v>3359</v>
      </c>
      <c r="G5584" s="130"/>
      <c r="H5584" s="10"/>
      <c r="I5584" s="155">
        <v>4250000</v>
      </c>
      <c r="J5584" s="79" t="e">
        <f t="shared" si="346"/>
        <v>#VALUE!</v>
      </c>
      <c r="K5584" s="106"/>
      <c r="L5584" s="107"/>
      <c r="M5584" s="106"/>
      <c r="N5584" s="106"/>
      <c r="O5584" s="108"/>
      <c r="P5584" s="108"/>
      <c r="Q5584" s="108"/>
      <c r="R5584" s="109"/>
      <c r="S5584" s="109"/>
      <c r="T5584" s="108"/>
      <c r="U5584" s="110"/>
      <c r="V5584" s="110"/>
      <c r="W5584" s="110"/>
      <c r="X5584" s="110"/>
    </row>
    <row r="5585" spans="1:24" ht="14.25" customHeight="1">
      <c r="A5585" s="110"/>
      <c r="B5585" s="125"/>
      <c r="C5585" s="126"/>
      <c r="D5585" s="159"/>
      <c r="E5585" s="10" t="e">
        <f>TRIM(VLOOKUP(D5585,TB!$B$9:$C$1500,2,FALSE))</f>
        <v>#N/A</v>
      </c>
      <c r="F5585" s="142"/>
      <c r="G5585" s="130"/>
      <c r="H5585" s="10"/>
      <c r="I5585" s="10"/>
      <c r="J5585" s="79" t="e">
        <f t="shared" si="346"/>
        <v>#VALUE!</v>
      </c>
      <c r="K5585" s="106"/>
      <c r="L5585" s="107"/>
      <c r="M5585" s="106"/>
      <c r="N5585" s="106"/>
      <c r="O5585" s="108"/>
      <c r="P5585" s="108"/>
      <c r="Q5585" s="108"/>
      <c r="R5585" s="109"/>
      <c r="S5585" s="109"/>
      <c r="T5585" s="108"/>
      <c r="U5585" s="110"/>
      <c r="V5585" s="110"/>
      <c r="W5585" s="110"/>
      <c r="X5585" s="110"/>
    </row>
    <row r="5586" spans="1:24" ht="14.25" customHeight="1">
      <c r="A5586" s="110"/>
      <c r="B5586" s="125">
        <v>46201</v>
      </c>
      <c r="C5586" s="126" t="s">
        <v>3360</v>
      </c>
      <c r="D5586" s="15" t="s">
        <v>3108</v>
      </c>
      <c r="E5586" s="10" t="str">
        <f>TRIM(VLOOKUP(D5586,TB!$B$9:$C$1500,2,FALSE))</f>
        <v>Promotional Costs</v>
      </c>
      <c r="F5586" s="142" t="s">
        <v>3361</v>
      </c>
      <c r="G5586" s="130"/>
      <c r="H5586" s="155">
        <v>4000000</v>
      </c>
      <c r="I5586" s="10"/>
      <c r="J5586" s="79" t="e">
        <f t="shared" si="346"/>
        <v>#VALUE!</v>
      </c>
      <c r="K5586" s="106"/>
      <c r="L5586" s="107"/>
      <c r="M5586" s="106"/>
      <c r="N5586" s="106"/>
      <c r="O5586" s="108"/>
      <c r="P5586" s="108"/>
      <c r="Q5586" s="108"/>
      <c r="R5586" s="109"/>
      <c r="S5586" s="109"/>
      <c r="T5586" s="108"/>
      <c r="U5586" s="110"/>
      <c r="V5586" s="110"/>
      <c r="W5586" s="110"/>
      <c r="X5586" s="110"/>
    </row>
    <row r="5587" spans="1:24" ht="14.25" customHeight="1">
      <c r="A5587" s="110"/>
      <c r="B5587" s="125">
        <v>46201</v>
      </c>
      <c r="C5587" s="126" t="s">
        <v>3360</v>
      </c>
      <c r="D5587" s="68" t="s">
        <v>285</v>
      </c>
      <c r="E5587" s="10" t="str">
        <f>TRIM(VLOOKUP(D5587,TB!$B$9:$C$1500,2,FALSE))</f>
        <v>Misc Cash Purchase</v>
      </c>
      <c r="F5587" s="142" t="s">
        <v>3361</v>
      </c>
      <c r="G5587" s="130"/>
      <c r="H5587" s="10"/>
      <c r="I5587" s="155">
        <v>4000000</v>
      </c>
      <c r="J5587" s="79" t="e">
        <f t="shared" si="346"/>
        <v>#VALUE!</v>
      </c>
      <c r="K5587" s="106"/>
      <c r="L5587" s="107"/>
      <c r="M5587" s="106"/>
      <c r="N5587" s="106"/>
      <c r="O5587" s="108"/>
      <c r="P5587" s="108"/>
      <c r="Q5587" s="108"/>
      <c r="R5587" s="109"/>
      <c r="S5587" s="109"/>
      <c r="T5587" s="108"/>
      <c r="U5587" s="110"/>
      <c r="V5587" s="110"/>
      <c r="W5587" s="110"/>
      <c r="X5587" s="110"/>
    </row>
    <row r="5588" spans="1:24" ht="14.25" customHeight="1">
      <c r="A5588" s="110"/>
      <c r="B5588" s="125"/>
      <c r="C5588" s="126"/>
      <c r="D5588" s="159"/>
      <c r="E5588" s="10" t="e">
        <f>TRIM(VLOOKUP(D5588,TB!$B$9:$C$1500,2,FALSE))</f>
        <v>#N/A</v>
      </c>
      <c r="F5588" s="142"/>
      <c r="G5588" s="130"/>
      <c r="H5588" s="10"/>
      <c r="I5588" s="10"/>
      <c r="J5588" s="79" t="e">
        <f t="shared" si="346"/>
        <v>#VALUE!</v>
      </c>
      <c r="K5588" s="106"/>
      <c r="L5588" s="107"/>
      <c r="M5588" s="106"/>
      <c r="N5588" s="106"/>
      <c r="O5588" s="108"/>
      <c r="P5588" s="108"/>
      <c r="Q5588" s="108"/>
      <c r="R5588" s="109"/>
      <c r="S5588" s="109"/>
      <c r="T5588" s="108"/>
      <c r="U5588" s="110"/>
      <c r="V5588" s="110"/>
      <c r="W5588" s="110"/>
      <c r="X5588" s="110"/>
    </row>
    <row r="5589" spans="1:24" ht="14.25" customHeight="1">
      <c r="A5589" s="110"/>
      <c r="B5589" s="125">
        <v>46202</v>
      </c>
      <c r="C5589" s="126" t="s">
        <v>3362</v>
      </c>
      <c r="D5589" s="15" t="s">
        <v>3108</v>
      </c>
      <c r="E5589" s="10" t="str">
        <f>TRIM(VLOOKUP(D5589,TB!$B$9:$C$1500,2,FALSE))</f>
        <v>Promotional Costs</v>
      </c>
      <c r="F5589" s="142" t="s">
        <v>3363</v>
      </c>
      <c r="G5589" s="130"/>
      <c r="H5589" s="10">
        <v>250000</v>
      </c>
      <c r="I5589" s="10"/>
      <c r="J5589" s="79" t="e">
        <f t="shared" si="346"/>
        <v>#VALUE!</v>
      </c>
      <c r="K5589" s="106"/>
      <c r="L5589" s="107"/>
      <c r="M5589" s="106"/>
      <c r="N5589" s="106"/>
      <c r="O5589" s="108"/>
      <c r="P5589" s="108"/>
      <c r="Q5589" s="108"/>
      <c r="R5589" s="109"/>
      <c r="S5589" s="109"/>
      <c r="T5589" s="108"/>
      <c r="U5589" s="110"/>
      <c r="V5589" s="110"/>
      <c r="W5589" s="110"/>
      <c r="X5589" s="110"/>
    </row>
    <row r="5590" spans="1:24" ht="14.25" customHeight="1">
      <c r="A5590" s="110"/>
      <c r="B5590" s="125">
        <v>46202</v>
      </c>
      <c r="C5590" s="126" t="s">
        <v>3364</v>
      </c>
      <c r="D5590" s="15" t="s">
        <v>3108</v>
      </c>
      <c r="E5590" s="10" t="str">
        <f>TRIM(VLOOKUP(D5590,TB!$B$9:$C$1500,2,FALSE))</f>
        <v>Promotional Costs</v>
      </c>
      <c r="F5590" s="142" t="s">
        <v>3365</v>
      </c>
      <c r="G5590" s="130"/>
      <c r="H5590" s="10">
        <v>250000</v>
      </c>
      <c r="I5590" s="10"/>
      <c r="J5590" s="79" t="e">
        <f t="shared" si="346"/>
        <v>#VALUE!</v>
      </c>
      <c r="K5590" s="106"/>
      <c r="L5590" s="107"/>
      <c r="M5590" s="106"/>
      <c r="N5590" s="106"/>
      <c r="O5590" s="108"/>
      <c r="P5590" s="108"/>
      <c r="Q5590" s="108"/>
      <c r="R5590" s="109"/>
      <c r="S5590" s="109"/>
      <c r="T5590" s="108"/>
      <c r="U5590" s="110"/>
      <c r="V5590" s="110"/>
      <c r="W5590" s="110"/>
      <c r="X5590" s="110"/>
    </row>
    <row r="5591" spans="1:24" ht="14.25" customHeight="1">
      <c r="A5591" s="110"/>
      <c r="B5591" s="125">
        <v>46202</v>
      </c>
      <c r="C5591" s="126" t="s">
        <v>3366</v>
      </c>
      <c r="D5591" s="15" t="s">
        <v>3108</v>
      </c>
      <c r="E5591" s="10" t="str">
        <f>TRIM(VLOOKUP(D5591,TB!$B$9:$C$1500,2,FALSE))</f>
        <v>Promotional Costs</v>
      </c>
      <c r="F5591" s="142" t="s">
        <v>3367</v>
      </c>
      <c r="G5591" s="130"/>
      <c r="H5591" s="10">
        <v>250000</v>
      </c>
      <c r="I5591" s="10"/>
      <c r="J5591" s="79" t="e">
        <f t="shared" si="346"/>
        <v>#VALUE!</v>
      </c>
      <c r="K5591" s="106"/>
      <c r="L5591" s="107"/>
      <c r="M5591" s="106"/>
      <c r="N5591" s="106"/>
      <c r="O5591" s="108"/>
      <c r="P5591" s="108"/>
      <c r="Q5591" s="108"/>
      <c r="R5591" s="109"/>
      <c r="S5591" s="109"/>
      <c r="T5591" s="108"/>
      <c r="U5591" s="110"/>
      <c r="V5591" s="110"/>
      <c r="W5591" s="110"/>
      <c r="X5591" s="110"/>
    </row>
    <row r="5592" spans="1:24" ht="14.25" customHeight="1">
      <c r="A5592" s="110"/>
      <c r="B5592" s="125">
        <v>46202</v>
      </c>
      <c r="C5592" s="126" t="s">
        <v>3368</v>
      </c>
      <c r="D5592" s="15" t="s">
        <v>3108</v>
      </c>
      <c r="E5592" s="10" t="str">
        <f>TRIM(VLOOKUP(D5592,TB!$B$9:$C$1500,2,FALSE))</f>
        <v>Promotional Costs</v>
      </c>
      <c r="F5592" s="142" t="s">
        <v>3369</v>
      </c>
      <c r="G5592" s="130"/>
      <c r="H5592" s="10">
        <v>250000</v>
      </c>
      <c r="I5592" s="10"/>
      <c r="J5592" s="79" t="e">
        <f t="shared" si="346"/>
        <v>#VALUE!</v>
      </c>
      <c r="K5592" s="106"/>
      <c r="L5592" s="107"/>
      <c r="M5592" s="106"/>
      <c r="N5592" s="106"/>
      <c r="O5592" s="108"/>
      <c r="P5592" s="108"/>
      <c r="Q5592" s="108"/>
      <c r="R5592" s="109"/>
      <c r="S5592" s="109"/>
      <c r="T5592" s="108"/>
      <c r="U5592" s="110"/>
      <c r="V5592" s="110"/>
      <c r="W5592" s="110"/>
      <c r="X5592" s="110"/>
    </row>
    <row r="5593" spans="1:24" ht="14.25" customHeight="1">
      <c r="A5593" s="110"/>
      <c r="B5593" s="125">
        <v>46202</v>
      </c>
      <c r="C5593" s="126" t="s">
        <v>3370</v>
      </c>
      <c r="D5593" s="15" t="s">
        <v>3108</v>
      </c>
      <c r="E5593" s="10" t="str">
        <f>TRIM(VLOOKUP(D5593,TB!$B$9:$C$1500,2,FALSE))</f>
        <v>Promotional Costs</v>
      </c>
      <c r="F5593" s="142" t="s">
        <v>3371</v>
      </c>
      <c r="G5593" s="130"/>
      <c r="H5593" s="10">
        <v>250000</v>
      </c>
      <c r="I5593" s="10"/>
      <c r="J5593" s="79" t="e">
        <f t="shared" si="346"/>
        <v>#VALUE!</v>
      </c>
      <c r="K5593" s="106"/>
      <c r="L5593" s="107"/>
      <c r="M5593" s="106"/>
      <c r="N5593" s="106"/>
      <c r="O5593" s="108"/>
      <c r="P5593" s="108"/>
      <c r="Q5593" s="108"/>
      <c r="R5593" s="109"/>
      <c r="S5593" s="109"/>
      <c r="T5593" s="108"/>
      <c r="U5593" s="110"/>
      <c r="V5593" s="110"/>
      <c r="W5593" s="110"/>
      <c r="X5593" s="110"/>
    </row>
    <row r="5594" spans="1:24" ht="14.25" customHeight="1">
      <c r="A5594" s="110"/>
      <c r="B5594" s="125">
        <v>46202</v>
      </c>
      <c r="C5594" s="126" t="s">
        <v>3362</v>
      </c>
      <c r="D5594" s="68" t="s">
        <v>285</v>
      </c>
      <c r="E5594" s="10" t="str">
        <f>TRIM(VLOOKUP(D5594,TB!$B$9:$C$1500,2,FALSE))</f>
        <v>Misc Cash Purchase</v>
      </c>
      <c r="F5594" s="142" t="s">
        <v>3363</v>
      </c>
      <c r="G5594" s="130"/>
      <c r="H5594" s="10"/>
      <c r="I5594" s="10">
        <v>250000</v>
      </c>
      <c r="J5594" s="79" t="e">
        <f t="shared" si="346"/>
        <v>#VALUE!</v>
      </c>
      <c r="K5594" s="106"/>
      <c r="L5594" s="107"/>
      <c r="M5594" s="106"/>
      <c r="N5594" s="106"/>
      <c r="O5594" s="108"/>
      <c r="P5594" s="108"/>
      <c r="Q5594" s="108"/>
      <c r="R5594" s="109"/>
      <c r="S5594" s="109"/>
      <c r="T5594" s="108"/>
      <c r="U5594" s="110"/>
      <c r="V5594" s="110"/>
      <c r="W5594" s="110"/>
      <c r="X5594" s="110"/>
    </row>
    <row r="5595" spans="1:24" ht="14.25" customHeight="1">
      <c r="A5595" s="110"/>
      <c r="B5595" s="125">
        <v>46202</v>
      </c>
      <c r="C5595" s="126" t="s">
        <v>3364</v>
      </c>
      <c r="D5595" s="68" t="s">
        <v>285</v>
      </c>
      <c r="E5595" s="10" t="str">
        <f>TRIM(VLOOKUP(D5595,TB!$B$9:$C$1500,2,FALSE))</f>
        <v>Misc Cash Purchase</v>
      </c>
      <c r="F5595" s="142" t="s">
        <v>3365</v>
      </c>
      <c r="G5595" s="130"/>
      <c r="H5595" s="10"/>
      <c r="I5595" s="10">
        <v>250000</v>
      </c>
      <c r="J5595" s="79" t="e">
        <f t="shared" si="346"/>
        <v>#VALUE!</v>
      </c>
      <c r="K5595" s="106"/>
      <c r="L5595" s="107"/>
      <c r="M5595" s="106"/>
      <c r="N5595" s="106"/>
      <c r="O5595" s="108"/>
      <c r="P5595" s="108"/>
      <c r="Q5595" s="108"/>
      <c r="R5595" s="109"/>
      <c r="S5595" s="109"/>
      <c r="T5595" s="108"/>
      <c r="U5595" s="110"/>
      <c r="V5595" s="110"/>
      <c r="W5595" s="110"/>
      <c r="X5595" s="110"/>
    </row>
    <row r="5596" spans="1:24" ht="14.25" customHeight="1">
      <c r="A5596" s="110"/>
      <c r="B5596" s="125">
        <v>46202</v>
      </c>
      <c r="C5596" s="126" t="s">
        <v>3366</v>
      </c>
      <c r="D5596" s="68" t="s">
        <v>285</v>
      </c>
      <c r="E5596" s="10" t="str">
        <f>TRIM(VLOOKUP(D5596,TB!$B$9:$C$1500,2,FALSE))</f>
        <v>Misc Cash Purchase</v>
      </c>
      <c r="F5596" s="142" t="s">
        <v>3367</v>
      </c>
      <c r="G5596" s="130"/>
      <c r="H5596" s="10"/>
      <c r="I5596" s="10">
        <v>250000</v>
      </c>
      <c r="J5596" s="79" t="e">
        <f t="shared" si="346"/>
        <v>#VALUE!</v>
      </c>
      <c r="K5596" s="106"/>
      <c r="L5596" s="107"/>
      <c r="M5596" s="106"/>
      <c r="N5596" s="106"/>
      <c r="O5596" s="108"/>
      <c r="P5596" s="108"/>
      <c r="Q5596" s="108"/>
      <c r="R5596" s="109"/>
      <c r="S5596" s="109"/>
      <c r="T5596" s="108"/>
      <c r="U5596" s="110"/>
      <c r="V5596" s="110"/>
      <c r="W5596" s="110"/>
      <c r="X5596" s="110"/>
    </row>
    <row r="5597" spans="1:24" ht="14.25" customHeight="1">
      <c r="A5597" s="110"/>
      <c r="B5597" s="125">
        <v>46202</v>
      </c>
      <c r="C5597" s="126" t="s">
        <v>3368</v>
      </c>
      <c r="D5597" s="68" t="s">
        <v>285</v>
      </c>
      <c r="E5597" s="10" t="str">
        <f>TRIM(VLOOKUP(D5597,TB!$B$9:$C$1500,2,FALSE))</f>
        <v>Misc Cash Purchase</v>
      </c>
      <c r="F5597" s="142" t="s">
        <v>3369</v>
      </c>
      <c r="G5597" s="130"/>
      <c r="H5597" s="10"/>
      <c r="I5597" s="10">
        <v>250000</v>
      </c>
      <c r="J5597" s="79" t="e">
        <f t="shared" si="346"/>
        <v>#VALUE!</v>
      </c>
      <c r="K5597" s="106"/>
      <c r="L5597" s="107"/>
      <c r="M5597" s="106"/>
      <c r="N5597" s="106"/>
      <c r="O5597" s="108"/>
      <c r="P5597" s="108"/>
      <c r="Q5597" s="108"/>
      <c r="R5597" s="109"/>
      <c r="S5597" s="109"/>
      <c r="T5597" s="108"/>
      <c r="U5597" s="110"/>
      <c r="V5597" s="110"/>
      <c r="W5597" s="110"/>
      <c r="X5597" s="110"/>
    </row>
    <row r="5598" spans="1:24" ht="14.25" customHeight="1">
      <c r="A5598" s="110"/>
      <c r="B5598" s="125">
        <v>46202</v>
      </c>
      <c r="C5598" s="126" t="s">
        <v>3370</v>
      </c>
      <c r="D5598" s="68" t="s">
        <v>285</v>
      </c>
      <c r="E5598" s="10" t="str">
        <f>TRIM(VLOOKUP(D5598,TB!$B$9:$C$1500,2,FALSE))</f>
        <v>Misc Cash Purchase</v>
      </c>
      <c r="F5598" s="142" t="s">
        <v>3371</v>
      </c>
      <c r="G5598" s="130"/>
      <c r="H5598" s="10"/>
      <c r="I5598" s="10">
        <v>250000</v>
      </c>
      <c r="J5598" s="79" t="e">
        <f t="shared" si="346"/>
        <v>#VALUE!</v>
      </c>
      <c r="K5598" s="106"/>
      <c r="L5598" s="107"/>
      <c r="M5598" s="106"/>
      <c r="N5598" s="106"/>
      <c r="O5598" s="108"/>
      <c r="P5598" s="108"/>
      <c r="Q5598" s="108"/>
      <c r="R5598" s="109"/>
      <c r="S5598" s="109"/>
      <c r="T5598" s="108"/>
      <c r="U5598" s="110"/>
      <c r="V5598" s="110"/>
      <c r="W5598" s="110"/>
      <c r="X5598" s="110"/>
    </row>
    <row r="5599" spans="1:24" ht="14.25" customHeight="1">
      <c r="A5599" s="110"/>
      <c r="B5599" s="125"/>
      <c r="C5599" s="126"/>
      <c r="D5599" s="159"/>
      <c r="E5599" s="10" t="e">
        <f>TRIM(VLOOKUP(D5599,TB!$B$9:$C$1500,2,FALSE))</f>
        <v>#N/A</v>
      </c>
      <c r="F5599" s="142"/>
      <c r="G5599" s="130"/>
      <c r="H5599" s="10"/>
      <c r="I5599" s="10"/>
      <c r="J5599" s="79" t="e">
        <f t="shared" si="346"/>
        <v>#VALUE!</v>
      </c>
      <c r="K5599" s="106"/>
      <c r="L5599" s="107"/>
      <c r="M5599" s="106"/>
      <c r="N5599" s="106"/>
      <c r="O5599" s="108"/>
      <c r="P5599" s="108"/>
      <c r="Q5599" s="108"/>
      <c r="R5599" s="109"/>
      <c r="S5599" s="109"/>
      <c r="T5599" s="108"/>
      <c r="U5599" s="110"/>
      <c r="V5599" s="110"/>
      <c r="W5599" s="110"/>
      <c r="X5599" s="110"/>
    </row>
    <row r="5600" spans="1:24" ht="14.25" customHeight="1">
      <c r="A5600" s="110"/>
      <c r="B5600" s="125">
        <v>46203</v>
      </c>
      <c r="C5600" s="126" t="s">
        <v>3372</v>
      </c>
      <c r="D5600" s="15" t="s">
        <v>3108</v>
      </c>
      <c r="E5600" s="10" t="str">
        <f>TRIM(VLOOKUP(D5600,TB!$B$9:$C$1500,2,FALSE))</f>
        <v>Promotional Costs</v>
      </c>
      <c r="F5600" s="142" t="s">
        <v>3373</v>
      </c>
      <c r="G5600" s="130"/>
      <c r="H5600" s="10">
        <v>1250000</v>
      </c>
      <c r="I5600" s="10"/>
      <c r="J5600" s="79" t="e">
        <f t="shared" si="346"/>
        <v>#VALUE!</v>
      </c>
      <c r="K5600" s="106"/>
      <c r="L5600" s="107"/>
      <c r="M5600" s="106"/>
      <c r="N5600" s="106"/>
      <c r="O5600" s="108"/>
      <c r="P5600" s="108"/>
      <c r="Q5600" s="108"/>
      <c r="R5600" s="109"/>
      <c r="S5600" s="109"/>
      <c r="T5600" s="108"/>
      <c r="U5600" s="110"/>
      <c r="V5600" s="110"/>
      <c r="W5600" s="110"/>
      <c r="X5600" s="110"/>
    </row>
    <row r="5601" spans="1:24" ht="14.25" customHeight="1">
      <c r="A5601" s="110"/>
      <c r="B5601" s="125">
        <v>46203</v>
      </c>
      <c r="C5601" s="126" t="s">
        <v>3372</v>
      </c>
      <c r="D5601" s="68" t="s">
        <v>285</v>
      </c>
      <c r="E5601" s="10" t="str">
        <f>TRIM(VLOOKUP(D5601,TB!$B$9:$C$1500,2,FALSE))</f>
        <v>Misc Cash Purchase</v>
      </c>
      <c r="F5601" s="142" t="s">
        <v>3373</v>
      </c>
      <c r="G5601" s="130"/>
      <c r="H5601" s="10"/>
      <c r="I5601" s="10">
        <v>1250000</v>
      </c>
      <c r="J5601" s="79" t="e">
        <f t="shared" si="346"/>
        <v>#VALUE!</v>
      </c>
      <c r="K5601" s="106"/>
      <c r="L5601" s="107"/>
      <c r="M5601" s="106"/>
      <c r="N5601" s="106"/>
      <c r="O5601" s="108"/>
      <c r="P5601" s="108"/>
      <c r="Q5601" s="108"/>
      <c r="R5601" s="109"/>
      <c r="S5601" s="109"/>
      <c r="T5601" s="108"/>
      <c r="U5601" s="110"/>
      <c r="V5601" s="110"/>
      <c r="W5601" s="110"/>
      <c r="X5601" s="110"/>
    </row>
    <row r="5602" spans="1:24" ht="14.25" customHeight="1">
      <c r="A5602" s="110"/>
      <c r="B5602" s="125"/>
      <c r="C5602" s="126"/>
      <c r="D5602" s="159"/>
      <c r="E5602" s="10" t="e">
        <f>TRIM(VLOOKUP(D5602,TB!$B$9:$C$1500,2,FALSE))</f>
        <v>#N/A</v>
      </c>
      <c r="F5602" s="142"/>
      <c r="G5602" s="130"/>
      <c r="H5602" s="10"/>
      <c r="I5602" s="10"/>
      <c r="J5602" s="79" t="e">
        <f t="shared" si="346"/>
        <v>#VALUE!</v>
      </c>
      <c r="K5602" s="106"/>
      <c r="L5602" s="107"/>
      <c r="M5602" s="106"/>
      <c r="N5602" s="106"/>
      <c r="O5602" s="108"/>
      <c r="P5602" s="108"/>
      <c r="Q5602" s="108"/>
      <c r="R5602" s="109"/>
      <c r="S5602" s="109"/>
      <c r="T5602" s="108"/>
      <c r="U5602" s="110"/>
      <c r="V5602" s="110"/>
      <c r="W5602" s="110"/>
      <c r="X5602" s="110"/>
    </row>
    <row r="5603" spans="1:24" ht="14.25" customHeight="1">
      <c r="A5603" s="110"/>
      <c r="B5603" s="125">
        <v>46187</v>
      </c>
      <c r="C5603" s="126" t="s">
        <v>3374</v>
      </c>
      <c r="D5603" s="15" t="s">
        <v>3149</v>
      </c>
      <c r="E5603" s="10" t="str">
        <f>TRIM(VLOOKUP(D5603,TB!$B$9:$C$1500,2,FALSE))</f>
        <v>COS - Promotor Fees Internal</v>
      </c>
      <c r="F5603" s="186" t="s">
        <v>3375</v>
      </c>
      <c r="G5603" s="130"/>
      <c r="H5603" s="177">
        <v>740000</v>
      </c>
      <c r="I5603" s="10"/>
      <c r="J5603" s="79" t="e">
        <f t="shared" si="346"/>
        <v>#VALUE!</v>
      </c>
      <c r="K5603" s="106"/>
      <c r="L5603" s="107"/>
      <c r="M5603" s="106"/>
      <c r="N5603" s="106"/>
      <c r="O5603" s="108"/>
      <c r="P5603" s="108"/>
      <c r="Q5603" s="108"/>
      <c r="R5603" s="109"/>
      <c r="S5603" s="109"/>
      <c r="T5603" s="108"/>
      <c r="U5603" s="110"/>
      <c r="V5603" s="110"/>
      <c r="W5603" s="110"/>
      <c r="X5603" s="110"/>
    </row>
    <row r="5604" spans="1:24" ht="14.25" customHeight="1">
      <c r="A5604" s="110"/>
      <c r="B5604" s="125">
        <v>46187</v>
      </c>
      <c r="C5604" s="126" t="s">
        <v>3376</v>
      </c>
      <c r="D5604" s="15" t="s">
        <v>3149</v>
      </c>
      <c r="E5604" s="10" t="str">
        <f>TRIM(VLOOKUP(D5604,TB!$B$9:$C$1500,2,FALSE))</f>
        <v>COS - Promotor Fees Internal</v>
      </c>
      <c r="F5604" s="186" t="s">
        <v>3377</v>
      </c>
      <c r="G5604" s="130"/>
      <c r="H5604" s="177">
        <v>130000</v>
      </c>
      <c r="I5604" s="10"/>
      <c r="J5604" s="79" t="e">
        <f t="shared" si="346"/>
        <v>#VALUE!</v>
      </c>
      <c r="K5604" s="106"/>
      <c r="L5604" s="107"/>
      <c r="M5604" s="106"/>
      <c r="N5604" s="106"/>
      <c r="O5604" s="108"/>
      <c r="P5604" s="108"/>
      <c r="Q5604" s="108"/>
      <c r="R5604" s="109"/>
      <c r="S5604" s="109"/>
      <c r="T5604" s="108"/>
      <c r="U5604" s="110"/>
      <c r="V5604" s="110"/>
      <c r="W5604" s="110"/>
      <c r="X5604" s="110"/>
    </row>
    <row r="5605" spans="1:24" ht="14.25" customHeight="1">
      <c r="A5605" s="110"/>
      <c r="B5605" s="125">
        <v>46187</v>
      </c>
      <c r="C5605" s="126" t="s">
        <v>3378</v>
      </c>
      <c r="D5605" s="15" t="s">
        <v>3149</v>
      </c>
      <c r="E5605" s="10" t="str">
        <f>TRIM(VLOOKUP(D5605,TB!$B$9:$C$1500,2,FALSE))</f>
        <v>COS - Promotor Fees Internal</v>
      </c>
      <c r="F5605" s="186" t="s">
        <v>3379</v>
      </c>
      <c r="G5605" s="130"/>
      <c r="H5605" s="177">
        <v>185000</v>
      </c>
      <c r="I5605" s="10"/>
      <c r="J5605" s="79" t="e">
        <f t="shared" si="346"/>
        <v>#VALUE!</v>
      </c>
      <c r="K5605" s="106"/>
      <c r="L5605" s="107"/>
      <c r="M5605" s="106"/>
      <c r="N5605" s="106"/>
      <c r="O5605" s="108"/>
      <c r="P5605" s="108"/>
      <c r="Q5605" s="108"/>
      <c r="R5605" s="109"/>
      <c r="S5605" s="109"/>
      <c r="T5605" s="108"/>
      <c r="U5605" s="110"/>
      <c r="V5605" s="110"/>
      <c r="W5605" s="110"/>
      <c r="X5605" s="110"/>
    </row>
    <row r="5606" spans="1:24" ht="14.25" customHeight="1">
      <c r="A5606" s="110"/>
      <c r="B5606" s="125">
        <v>46187</v>
      </c>
      <c r="C5606" s="126" t="s">
        <v>3380</v>
      </c>
      <c r="D5606" s="15" t="s">
        <v>3149</v>
      </c>
      <c r="E5606" s="10" t="str">
        <f>TRIM(VLOOKUP(D5606,TB!$B$9:$C$1500,2,FALSE))</f>
        <v>COS - Promotor Fees Internal</v>
      </c>
      <c r="F5606" s="186" t="s">
        <v>3381</v>
      </c>
      <c r="G5606" s="130"/>
      <c r="H5606" s="177">
        <v>275000</v>
      </c>
      <c r="I5606" s="10"/>
      <c r="J5606" s="79" t="e">
        <f t="shared" si="346"/>
        <v>#VALUE!</v>
      </c>
      <c r="K5606" s="106"/>
      <c r="L5606" s="107"/>
      <c r="M5606" s="106"/>
      <c r="N5606" s="106"/>
      <c r="O5606" s="108"/>
      <c r="P5606" s="108"/>
      <c r="Q5606" s="108"/>
      <c r="R5606" s="109"/>
      <c r="S5606" s="109"/>
      <c r="T5606" s="108"/>
      <c r="U5606" s="110"/>
      <c r="V5606" s="110"/>
      <c r="W5606" s="110"/>
      <c r="X5606" s="110"/>
    </row>
    <row r="5607" spans="1:24" ht="14.25" customHeight="1">
      <c r="A5607" s="110"/>
      <c r="B5607" s="125">
        <v>46187</v>
      </c>
      <c r="C5607" s="126" t="s">
        <v>3382</v>
      </c>
      <c r="D5607" s="15" t="s">
        <v>3149</v>
      </c>
      <c r="E5607" s="10" t="str">
        <f>TRIM(VLOOKUP(D5607,TB!$B$9:$C$1500,2,FALSE))</f>
        <v>COS - Promotor Fees Internal</v>
      </c>
      <c r="F5607" s="186" t="s">
        <v>3383</v>
      </c>
      <c r="G5607" s="130"/>
      <c r="H5607" s="177">
        <v>150000</v>
      </c>
      <c r="I5607" s="10"/>
      <c r="J5607" s="79" t="e">
        <f t="shared" si="346"/>
        <v>#VALUE!</v>
      </c>
      <c r="K5607" s="106"/>
      <c r="L5607" s="107"/>
      <c r="M5607" s="106"/>
      <c r="N5607" s="106"/>
      <c r="O5607" s="108"/>
      <c r="P5607" s="108"/>
      <c r="Q5607" s="108"/>
      <c r="R5607" s="109"/>
      <c r="S5607" s="109"/>
      <c r="T5607" s="108"/>
      <c r="U5607" s="110"/>
      <c r="V5607" s="110"/>
      <c r="W5607" s="110"/>
      <c r="X5607" s="110"/>
    </row>
    <row r="5608" spans="1:24" ht="14.25" customHeight="1">
      <c r="A5608" s="110"/>
      <c r="B5608" s="125">
        <v>46187</v>
      </c>
      <c r="C5608" s="126" t="s">
        <v>3384</v>
      </c>
      <c r="D5608" s="15" t="s">
        <v>221</v>
      </c>
      <c r="E5608" s="10" t="str">
        <f>TRIM(VLOOKUP(D5608,TB!$B$9:$C$1500,2,FALSE))</f>
        <v>COS - Promotor Fees Other</v>
      </c>
      <c r="F5608" s="186" t="s">
        <v>3385</v>
      </c>
      <c r="G5608" s="130"/>
      <c r="H5608" s="177">
        <v>600000</v>
      </c>
      <c r="I5608" s="10"/>
      <c r="J5608" s="79" t="e">
        <f t="shared" si="346"/>
        <v>#VALUE!</v>
      </c>
      <c r="K5608" s="106"/>
      <c r="L5608" s="107"/>
      <c r="M5608" s="106"/>
      <c r="N5608" s="106"/>
      <c r="O5608" s="108"/>
      <c r="P5608" s="108"/>
      <c r="Q5608" s="108"/>
      <c r="R5608" s="109"/>
      <c r="S5608" s="109"/>
      <c r="T5608" s="108"/>
      <c r="U5608" s="110"/>
      <c r="V5608" s="110"/>
      <c r="W5608" s="110"/>
      <c r="X5608" s="110"/>
    </row>
    <row r="5609" spans="1:24" ht="14.25" customHeight="1">
      <c r="A5609" s="110"/>
      <c r="B5609" s="125">
        <v>46187</v>
      </c>
      <c r="C5609" s="126" t="s">
        <v>3386</v>
      </c>
      <c r="D5609" s="15" t="s">
        <v>221</v>
      </c>
      <c r="E5609" s="10" t="str">
        <f>TRIM(VLOOKUP(D5609,TB!$B$9:$C$1500,2,FALSE))</f>
        <v>COS - Promotor Fees Other</v>
      </c>
      <c r="F5609" s="186" t="s">
        <v>3387</v>
      </c>
      <c r="G5609" s="130"/>
      <c r="H5609" s="177">
        <v>99900</v>
      </c>
      <c r="I5609" s="10"/>
      <c r="J5609" s="79" t="e">
        <f t="shared" si="346"/>
        <v>#VALUE!</v>
      </c>
      <c r="K5609" s="106"/>
      <c r="L5609" s="107"/>
      <c r="M5609" s="106"/>
      <c r="N5609" s="106"/>
      <c r="O5609" s="108"/>
      <c r="P5609" s="108"/>
      <c r="Q5609" s="108"/>
      <c r="R5609" s="109"/>
      <c r="S5609" s="109"/>
      <c r="T5609" s="108"/>
      <c r="U5609" s="110"/>
      <c r="V5609" s="110"/>
      <c r="W5609" s="110"/>
      <c r="X5609" s="110"/>
    </row>
    <row r="5610" spans="1:24" ht="14.25" customHeight="1">
      <c r="A5610" s="110"/>
      <c r="B5610" s="125">
        <v>46187</v>
      </c>
      <c r="C5610" s="126" t="s">
        <v>3388</v>
      </c>
      <c r="D5610" s="15" t="s">
        <v>221</v>
      </c>
      <c r="E5610" s="10" t="str">
        <f>TRIM(VLOOKUP(D5610,TB!$B$9:$C$1500,2,FALSE))</f>
        <v>COS - Promotor Fees Other</v>
      </c>
      <c r="F5610" s="186" t="s">
        <v>3389</v>
      </c>
      <c r="G5610" s="130"/>
      <c r="H5610" s="177">
        <v>310000</v>
      </c>
      <c r="I5610" s="10"/>
      <c r="J5610" s="79" t="e">
        <f t="shared" si="346"/>
        <v>#VALUE!</v>
      </c>
      <c r="K5610" s="106"/>
      <c r="L5610" s="107"/>
      <c r="M5610" s="106"/>
      <c r="N5610" s="106"/>
      <c r="O5610" s="108"/>
      <c r="P5610" s="108"/>
      <c r="Q5610" s="108"/>
      <c r="R5610" s="109"/>
      <c r="S5610" s="109"/>
      <c r="T5610" s="108"/>
      <c r="U5610" s="110"/>
      <c r="V5610" s="110"/>
      <c r="W5610" s="110"/>
      <c r="X5610" s="110"/>
    </row>
    <row r="5611" spans="1:24" ht="14.25" customHeight="1">
      <c r="A5611" s="110"/>
      <c r="B5611" s="125">
        <v>46187</v>
      </c>
      <c r="C5611" s="126" t="s">
        <v>3374</v>
      </c>
      <c r="D5611" s="68" t="s">
        <v>285</v>
      </c>
      <c r="E5611" s="10" t="str">
        <f>TRIM(VLOOKUP(D5611,TB!$B$9:$C$1500,2,FALSE))</f>
        <v>Misc Cash Purchase</v>
      </c>
      <c r="F5611" s="186" t="s">
        <v>3375</v>
      </c>
      <c r="G5611" s="130"/>
      <c r="H5611" s="10"/>
      <c r="I5611" s="177">
        <v>740000</v>
      </c>
      <c r="J5611" s="79" t="e">
        <f t="shared" si="346"/>
        <v>#VALUE!</v>
      </c>
      <c r="K5611" s="106"/>
      <c r="L5611" s="107"/>
      <c r="M5611" s="106"/>
      <c r="N5611" s="106"/>
      <c r="O5611" s="108"/>
      <c r="P5611" s="108"/>
      <c r="Q5611" s="108"/>
      <c r="R5611" s="109"/>
      <c r="S5611" s="109"/>
      <c r="T5611" s="108"/>
      <c r="U5611" s="110"/>
      <c r="V5611" s="110"/>
      <c r="W5611" s="110"/>
      <c r="X5611" s="110"/>
    </row>
    <row r="5612" spans="1:24" ht="14.25" customHeight="1">
      <c r="A5612" s="110"/>
      <c r="B5612" s="125">
        <v>46187</v>
      </c>
      <c r="C5612" s="126" t="s">
        <v>3376</v>
      </c>
      <c r="D5612" s="68" t="s">
        <v>285</v>
      </c>
      <c r="E5612" s="10" t="str">
        <f>TRIM(VLOOKUP(D5612,TB!$B$9:$C$1500,2,FALSE))</f>
        <v>Misc Cash Purchase</v>
      </c>
      <c r="F5612" s="186" t="s">
        <v>3377</v>
      </c>
      <c r="G5612" s="130"/>
      <c r="H5612" s="10"/>
      <c r="I5612" s="177">
        <v>130000</v>
      </c>
      <c r="J5612" s="79" t="e">
        <f t="shared" si="346"/>
        <v>#VALUE!</v>
      </c>
      <c r="K5612" s="106"/>
      <c r="L5612" s="107"/>
      <c r="M5612" s="106"/>
      <c r="N5612" s="106"/>
      <c r="O5612" s="108"/>
      <c r="P5612" s="108"/>
      <c r="Q5612" s="108"/>
      <c r="R5612" s="109"/>
      <c r="S5612" s="109"/>
      <c r="T5612" s="108"/>
      <c r="U5612" s="110"/>
      <c r="V5612" s="110"/>
      <c r="W5612" s="110"/>
      <c r="X5612" s="110"/>
    </row>
    <row r="5613" spans="1:24" ht="14.25" customHeight="1">
      <c r="A5613" s="110"/>
      <c r="B5613" s="125">
        <v>46187</v>
      </c>
      <c r="C5613" s="126" t="s">
        <v>3378</v>
      </c>
      <c r="D5613" s="68" t="s">
        <v>285</v>
      </c>
      <c r="E5613" s="10" t="str">
        <f>TRIM(VLOOKUP(D5613,TB!$B$9:$C$1500,2,FALSE))</f>
        <v>Misc Cash Purchase</v>
      </c>
      <c r="F5613" s="186" t="s">
        <v>3379</v>
      </c>
      <c r="G5613" s="130"/>
      <c r="H5613" s="10"/>
      <c r="I5613" s="177">
        <v>185000</v>
      </c>
      <c r="J5613" s="79" t="e">
        <f t="shared" si="346"/>
        <v>#VALUE!</v>
      </c>
      <c r="K5613" s="106"/>
      <c r="L5613" s="107"/>
      <c r="M5613" s="106"/>
      <c r="N5613" s="106"/>
      <c r="O5613" s="108"/>
      <c r="P5613" s="108"/>
      <c r="Q5613" s="108"/>
      <c r="R5613" s="109"/>
      <c r="S5613" s="109"/>
      <c r="T5613" s="108"/>
      <c r="U5613" s="110"/>
      <c r="V5613" s="110"/>
      <c r="W5613" s="110"/>
      <c r="X5613" s="110"/>
    </row>
    <row r="5614" spans="1:24" ht="14.25" customHeight="1">
      <c r="A5614" s="110"/>
      <c r="B5614" s="125">
        <v>46187</v>
      </c>
      <c r="C5614" s="126" t="s">
        <v>3380</v>
      </c>
      <c r="D5614" s="68" t="s">
        <v>285</v>
      </c>
      <c r="E5614" s="10" t="str">
        <f>TRIM(VLOOKUP(D5614,TB!$B$9:$C$1500,2,FALSE))</f>
        <v>Misc Cash Purchase</v>
      </c>
      <c r="F5614" s="186" t="s">
        <v>3381</v>
      </c>
      <c r="G5614" s="130"/>
      <c r="H5614" s="10"/>
      <c r="I5614" s="177">
        <v>275000</v>
      </c>
      <c r="J5614" s="79" t="e">
        <f t="shared" si="346"/>
        <v>#VALUE!</v>
      </c>
      <c r="K5614" s="106"/>
      <c r="L5614" s="107"/>
      <c r="M5614" s="106"/>
      <c r="N5614" s="106"/>
      <c r="O5614" s="108"/>
      <c r="P5614" s="108"/>
      <c r="Q5614" s="108"/>
      <c r="R5614" s="109"/>
      <c r="S5614" s="109"/>
      <c r="T5614" s="108"/>
      <c r="U5614" s="110"/>
      <c r="V5614" s="110"/>
      <c r="W5614" s="110"/>
      <c r="X5614" s="110"/>
    </row>
    <row r="5615" spans="1:24" ht="14.25" customHeight="1">
      <c r="A5615" s="110"/>
      <c r="B5615" s="125">
        <v>46187</v>
      </c>
      <c r="C5615" s="126" t="s">
        <v>3382</v>
      </c>
      <c r="D5615" s="68" t="s">
        <v>285</v>
      </c>
      <c r="E5615" s="10" t="str">
        <f>TRIM(VLOOKUP(D5615,TB!$B$9:$C$1500,2,FALSE))</f>
        <v>Misc Cash Purchase</v>
      </c>
      <c r="F5615" s="186" t="s">
        <v>3383</v>
      </c>
      <c r="G5615" s="130"/>
      <c r="H5615" s="10"/>
      <c r="I5615" s="177">
        <v>150000</v>
      </c>
      <c r="J5615" s="79" t="e">
        <f t="shared" si="346"/>
        <v>#VALUE!</v>
      </c>
      <c r="K5615" s="106"/>
      <c r="L5615" s="107"/>
      <c r="M5615" s="106"/>
      <c r="N5615" s="106"/>
      <c r="O5615" s="108"/>
      <c r="P5615" s="108"/>
      <c r="Q5615" s="108"/>
      <c r="R5615" s="109"/>
      <c r="S5615" s="109"/>
      <c r="T5615" s="108"/>
      <c r="U5615" s="110"/>
      <c r="V5615" s="110"/>
      <c r="W5615" s="110"/>
      <c r="X5615" s="110"/>
    </row>
    <row r="5616" spans="1:24" ht="14.25" customHeight="1">
      <c r="A5616" s="110"/>
      <c r="B5616" s="125">
        <v>46187</v>
      </c>
      <c r="C5616" s="126" t="s">
        <v>3384</v>
      </c>
      <c r="D5616" s="68" t="s">
        <v>285</v>
      </c>
      <c r="E5616" s="10" t="str">
        <f>TRIM(VLOOKUP(D5616,TB!$B$9:$C$1500,2,FALSE))</f>
        <v>Misc Cash Purchase</v>
      </c>
      <c r="F5616" s="186" t="s">
        <v>3385</v>
      </c>
      <c r="G5616" s="130"/>
      <c r="H5616" s="10"/>
      <c r="I5616" s="177">
        <v>600000</v>
      </c>
      <c r="J5616" s="79" t="e">
        <f t="shared" si="346"/>
        <v>#VALUE!</v>
      </c>
      <c r="K5616" s="106"/>
      <c r="L5616" s="107"/>
      <c r="M5616" s="106"/>
      <c r="N5616" s="106"/>
      <c r="O5616" s="108"/>
      <c r="P5616" s="108"/>
      <c r="Q5616" s="108"/>
      <c r="R5616" s="109"/>
      <c r="S5616" s="109"/>
      <c r="T5616" s="108"/>
      <c r="U5616" s="110"/>
      <c r="V5616" s="110"/>
      <c r="W5616" s="110"/>
      <c r="X5616" s="110"/>
    </row>
    <row r="5617" spans="1:24" ht="14.25" customHeight="1">
      <c r="A5617" s="110"/>
      <c r="B5617" s="125">
        <v>46187</v>
      </c>
      <c r="C5617" s="126" t="s">
        <v>3386</v>
      </c>
      <c r="D5617" s="68" t="s">
        <v>285</v>
      </c>
      <c r="E5617" s="10" t="str">
        <f>TRIM(VLOOKUP(D5617,TB!$B$9:$C$1500,2,FALSE))</f>
        <v>Misc Cash Purchase</v>
      </c>
      <c r="F5617" s="186" t="s">
        <v>3387</v>
      </c>
      <c r="G5617" s="130"/>
      <c r="H5617" s="10"/>
      <c r="I5617" s="177">
        <v>99900</v>
      </c>
      <c r="J5617" s="79" t="e">
        <f t="shared" si="346"/>
        <v>#VALUE!</v>
      </c>
      <c r="K5617" s="106"/>
      <c r="L5617" s="107"/>
      <c r="M5617" s="106"/>
      <c r="N5617" s="106"/>
      <c r="O5617" s="108"/>
      <c r="P5617" s="108"/>
      <c r="Q5617" s="108"/>
      <c r="R5617" s="109"/>
      <c r="S5617" s="109"/>
      <c r="T5617" s="108"/>
      <c r="U5617" s="110"/>
      <c r="V5617" s="110"/>
      <c r="W5617" s="110"/>
      <c r="X5617" s="110"/>
    </row>
    <row r="5618" spans="1:24" ht="14.25" customHeight="1">
      <c r="A5618" s="110"/>
      <c r="B5618" s="125">
        <v>46187</v>
      </c>
      <c r="C5618" s="126" t="s">
        <v>3388</v>
      </c>
      <c r="D5618" s="68" t="s">
        <v>285</v>
      </c>
      <c r="E5618" s="10" t="str">
        <f>TRIM(VLOOKUP(D5618,TB!$B$9:$C$1500,2,FALSE))</f>
        <v>Misc Cash Purchase</v>
      </c>
      <c r="F5618" s="186" t="s">
        <v>3389</v>
      </c>
      <c r="G5618" s="130"/>
      <c r="H5618" s="10"/>
      <c r="I5618" s="177">
        <v>310000</v>
      </c>
      <c r="J5618" s="79" t="e">
        <f t="shared" si="346"/>
        <v>#VALUE!</v>
      </c>
      <c r="K5618" s="106"/>
      <c r="L5618" s="107"/>
      <c r="M5618" s="106"/>
      <c r="N5618" s="106"/>
      <c r="O5618" s="108"/>
      <c r="P5618" s="108"/>
      <c r="Q5618" s="108"/>
      <c r="R5618" s="109"/>
      <c r="S5618" s="109"/>
      <c r="T5618" s="108"/>
      <c r="U5618" s="110"/>
      <c r="V5618" s="110"/>
      <c r="W5618" s="110"/>
      <c r="X5618" s="110"/>
    </row>
    <row r="5619" spans="1:24" ht="14.25" customHeight="1">
      <c r="A5619" s="110"/>
      <c r="B5619" s="125"/>
      <c r="C5619" s="126"/>
      <c r="D5619" s="159"/>
      <c r="E5619" s="10" t="e">
        <f>TRIM(VLOOKUP(D5619,TB!$B$9:$C$1500,2,FALSE))</f>
        <v>#N/A</v>
      </c>
      <c r="F5619" s="142"/>
      <c r="G5619" s="130"/>
      <c r="H5619" s="10"/>
      <c r="I5619" s="10"/>
      <c r="J5619" s="79" t="e">
        <f t="shared" si="346"/>
        <v>#VALUE!</v>
      </c>
      <c r="K5619" s="106"/>
      <c r="L5619" s="107"/>
      <c r="M5619" s="106"/>
      <c r="N5619" s="106"/>
      <c r="O5619" s="108"/>
      <c r="P5619" s="108"/>
      <c r="Q5619" s="108"/>
      <c r="R5619" s="109"/>
      <c r="S5619" s="109"/>
      <c r="T5619" s="108"/>
      <c r="U5619" s="110"/>
      <c r="V5619" s="110"/>
      <c r="W5619" s="110"/>
      <c r="X5619" s="110"/>
    </row>
    <row r="5620" spans="1:24" ht="14.25" customHeight="1">
      <c r="A5620" s="110"/>
      <c r="B5620" s="125">
        <v>46194</v>
      </c>
      <c r="C5620" s="126" t="s">
        <v>3390</v>
      </c>
      <c r="D5620" s="15" t="s">
        <v>3149</v>
      </c>
      <c r="E5620" s="10" t="str">
        <f>TRIM(VLOOKUP(D5620,TB!$B$9:$C$1500,2,FALSE))</f>
        <v>COS - Promotor Fees Internal</v>
      </c>
      <c r="F5620" s="186" t="s">
        <v>3391</v>
      </c>
      <c r="G5620" s="130"/>
      <c r="H5620" s="177">
        <v>100000</v>
      </c>
      <c r="I5620" s="10"/>
      <c r="J5620" s="79" t="e">
        <f t="shared" si="346"/>
        <v>#VALUE!</v>
      </c>
      <c r="K5620" s="106"/>
      <c r="L5620" s="107"/>
      <c r="M5620" s="106"/>
      <c r="N5620" s="106"/>
      <c r="O5620" s="108"/>
      <c r="P5620" s="108"/>
      <c r="Q5620" s="108"/>
      <c r="R5620" s="109"/>
      <c r="S5620" s="109"/>
      <c r="T5620" s="108"/>
      <c r="U5620" s="110"/>
      <c r="V5620" s="110"/>
      <c r="W5620" s="110"/>
      <c r="X5620" s="110"/>
    </row>
    <row r="5621" spans="1:24" ht="14.25" customHeight="1">
      <c r="A5621" s="110"/>
      <c r="B5621" s="125">
        <v>46194</v>
      </c>
      <c r="C5621" s="126" t="s">
        <v>3392</v>
      </c>
      <c r="D5621" s="15" t="s">
        <v>221</v>
      </c>
      <c r="E5621" s="10" t="str">
        <f>TRIM(VLOOKUP(D5621,TB!$B$9:$C$1500,2,FALSE))</f>
        <v>COS - Promotor Fees Other</v>
      </c>
      <c r="F5621" s="186" t="s">
        <v>3393</v>
      </c>
      <c r="G5621" s="130"/>
      <c r="H5621" s="177">
        <v>300000</v>
      </c>
      <c r="I5621" s="10"/>
      <c r="J5621" s="79" t="e">
        <f t="shared" si="346"/>
        <v>#VALUE!</v>
      </c>
      <c r="K5621" s="106"/>
      <c r="L5621" s="107"/>
      <c r="M5621" s="106"/>
      <c r="N5621" s="106"/>
      <c r="O5621" s="108"/>
      <c r="P5621" s="108"/>
      <c r="Q5621" s="108"/>
      <c r="R5621" s="109"/>
      <c r="S5621" s="109"/>
      <c r="T5621" s="108"/>
      <c r="U5621" s="110"/>
      <c r="V5621" s="110"/>
      <c r="W5621" s="110"/>
      <c r="X5621" s="110"/>
    </row>
    <row r="5622" spans="1:24" ht="14.25" customHeight="1">
      <c r="A5622" s="110"/>
      <c r="B5622" s="125">
        <v>46194</v>
      </c>
      <c r="C5622" s="126" t="s">
        <v>3394</v>
      </c>
      <c r="D5622" s="15" t="s">
        <v>3149</v>
      </c>
      <c r="E5622" s="10" t="str">
        <f>TRIM(VLOOKUP(D5622,TB!$B$9:$C$1500,2,FALSE))</f>
        <v>COS - Promotor Fees Internal</v>
      </c>
      <c r="F5622" s="186" t="s">
        <v>3395</v>
      </c>
      <c r="G5622" s="130"/>
      <c r="H5622" s="177">
        <v>260000</v>
      </c>
      <c r="I5622" s="10"/>
      <c r="J5622" s="79" t="e">
        <f t="shared" si="346"/>
        <v>#VALUE!</v>
      </c>
      <c r="K5622" s="106"/>
      <c r="L5622" s="107"/>
      <c r="M5622" s="106"/>
      <c r="N5622" s="106"/>
      <c r="O5622" s="108"/>
      <c r="P5622" s="108"/>
      <c r="Q5622" s="108"/>
      <c r="R5622" s="109"/>
      <c r="S5622" s="109"/>
      <c r="T5622" s="108"/>
      <c r="U5622" s="110"/>
      <c r="V5622" s="110"/>
      <c r="W5622" s="110"/>
      <c r="X5622" s="110"/>
    </row>
    <row r="5623" spans="1:24" ht="14.25" customHeight="1">
      <c r="A5623" s="110"/>
      <c r="B5623" s="125">
        <v>46194</v>
      </c>
      <c r="C5623" s="126" t="s">
        <v>3396</v>
      </c>
      <c r="D5623" s="15" t="s">
        <v>3149</v>
      </c>
      <c r="E5623" s="10" t="str">
        <f>TRIM(VLOOKUP(D5623,TB!$B$9:$C$1500,2,FALSE))</f>
        <v>COS - Promotor Fees Internal</v>
      </c>
      <c r="F5623" s="186" t="s">
        <v>3397</v>
      </c>
      <c r="G5623" s="130"/>
      <c r="H5623" s="177">
        <v>300000</v>
      </c>
      <c r="I5623" s="10"/>
      <c r="J5623" s="79" t="e">
        <f t="shared" si="346"/>
        <v>#VALUE!</v>
      </c>
      <c r="K5623" s="106"/>
      <c r="L5623" s="107"/>
      <c r="M5623" s="106"/>
      <c r="N5623" s="106"/>
      <c r="O5623" s="108"/>
      <c r="P5623" s="108"/>
      <c r="Q5623" s="108"/>
      <c r="R5623" s="109"/>
      <c r="S5623" s="109"/>
      <c r="T5623" s="108"/>
      <c r="U5623" s="110"/>
      <c r="V5623" s="110"/>
      <c r="W5623" s="110"/>
      <c r="X5623" s="110"/>
    </row>
    <row r="5624" spans="1:24" ht="14.25" customHeight="1">
      <c r="A5624" s="110"/>
      <c r="B5624" s="125">
        <v>46194</v>
      </c>
      <c r="C5624" s="126" t="s">
        <v>3398</v>
      </c>
      <c r="D5624" s="15" t="s">
        <v>221</v>
      </c>
      <c r="E5624" s="10" t="str">
        <f>TRIM(VLOOKUP(D5624,TB!$B$9:$C$1500,2,FALSE))</f>
        <v>COS - Promotor Fees Other</v>
      </c>
      <c r="F5624" s="186" t="s">
        <v>3399</v>
      </c>
      <c r="G5624" s="130"/>
      <c r="H5624" s="177">
        <v>900000</v>
      </c>
      <c r="I5624" s="10"/>
      <c r="J5624" s="79" t="e">
        <f t="shared" si="346"/>
        <v>#VALUE!</v>
      </c>
      <c r="K5624" s="106"/>
      <c r="L5624" s="107"/>
      <c r="M5624" s="106"/>
      <c r="N5624" s="106"/>
      <c r="O5624" s="108"/>
      <c r="P5624" s="108"/>
      <c r="Q5624" s="108"/>
      <c r="R5624" s="109"/>
      <c r="S5624" s="109"/>
      <c r="T5624" s="108"/>
      <c r="U5624" s="110"/>
      <c r="V5624" s="110"/>
      <c r="W5624" s="110"/>
      <c r="X5624" s="110"/>
    </row>
    <row r="5625" spans="1:24" ht="14.25" customHeight="1">
      <c r="A5625" s="110"/>
      <c r="B5625" s="125">
        <v>46194</v>
      </c>
      <c r="C5625" s="126" t="s">
        <v>3390</v>
      </c>
      <c r="D5625" s="68" t="s">
        <v>285</v>
      </c>
      <c r="E5625" s="10" t="str">
        <f>TRIM(VLOOKUP(D5625,TB!$B$9:$C$1500,2,FALSE))</f>
        <v>Misc Cash Purchase</v>
      </c>
      <c r="F5625" s="186" t="s">
        <v>3391</v>
      </c>
      <c r="G5625" s="130"/>
      <c r="H5625" s="10"/>
      <c r="I5625" s="177">
        <v>100000</v>
      </c>
      <c r="J5625" s="79" t="e">
        <f t="shared" si="346"/>
        <v>#VALUE!</v>
      </c>
      <c r="K5625" s="106"/>
      <c r="L5625" s="107"/>
      <c r="M5625" s="106"/>
      <c r="N5625" s="106"/>
      <c r="O5625" s="108"/>
      <c r="P5625" s="108"/>
      <c r="Q5625" s="108"/>
      <c r="R5625" s="109"/>
      <c r="S5625" s="109"/>
      <c r="T5625" s="108"/>
      <c r="U5625" s="110"/>
      <c r="V5625" s="110"/>
      <c r="W5625" s="110"/>
      <c r="X5625" s="110"/>
    </row>
    <row r="5626" spans="1:24" ht="14.25" customHeight="1">
      <c r="A5626" s="110"/>
      <c r="B5626" s="125">
        <v>46194</v>
      </c>
      <c r="C5626" s="126" t="s">
        <v>3392</v>
      </c>
      <c r="D5626" s="68" t="s">
        <v>285</v>
      </c>
      <c r="E5626" s="10" t="str">
        <f>TRIM(VLOOKUP(D5626,TB!$B$9:$C$1500,2,FALSE))</f>
        <v>Misc Cash Purchase</v>
      </c>
      <c r="F5626" s="186" t="s">
        <v>3393</v>
      </c>
      <c r="G5626" s="130"/>
      <c r="H5626" s="10"/>
      <c r="I5626" s="177">
        <v>300000</v>
      </c>
      <c r="J5626" s="79" t="e">
        <f t="shared" si="346"/>
        <v>#VALUE!</v>
      </c>
      <c r="K5626" s="106"/>
      <c r="L5626" s="107"/>
      <c r="M5626" s="106"/>
      <c r="N5626" s="106"/>
      <c r="O5626" s="108"/>
      <c r="P5626" s="108"/>
      <c r="Q5626" s="108"/>
      <c r="R5626" s="109"/>
      <c r="S5626" s="109"/>
      <c r="T5626" s="108"/>
      <c r="U5626" s="110"/>
      <c r="V5626" s="110"/>
      <c r="W5626" s="110"/>
      <c r="X5626" s="110"/>
    </row>
    <row r="5627" spans="1:24" ht="14.25" customHeight="1">
      <c r="A5627" s="110"/>
      <c r="B5627" s="125">
        <v>46194</v>
      </c>
      <c r="C5627" s="126" t="s">
        <v>3394</v>
      </c>
      <c r="D5627" s="68" t="s">
        <v>285</v>
      </c>
      <c r="E5627" s="10" t="str">
        <f>TRIM(VLOOKUP(D5627,TB!$B$9:$C$1500,2,FALSE))</f>
        <v>Misc Cash Purchase</v>
      </c>
      <c r="F5627" s="186" t="s">
        <v>3395</v>
      </c>
      <c r="G5627" s="130"/>
      <c r="H5627" s="10"/>
      <c r="I5627" s="177">
        <v>260000</v>
      </c>
      <c r="J5627" s="79" t="e">
        <f t="shared" si="346"/>
        <v>#VALUE!</v>
      </c>
      <c r="K5627" s="106"/>
      <c r="L5627" s="107"/>
      <c r="M5627" s="106"/>
      <c r="N5627" s="106"/>
      <c r="O5627" s="108"/>
      <c r="P5627" s="108"/>
      <c r="Q5627" s="108"/>
      <c r="R5627" s="109"/>
      <c r="S5627" s="109"/>
      <c r="T5627" s="108"/>
      <c r="U5627" s="110"/>
      <c r="V5627" s="110"/>
      <c r="W5627" s="110"/>
      <c r="X5627" s="110"/>
    </row>
    <row r="5628" spans="1:24" ht="14.25" customHeight="1">
      <c r="A5628" s="110"/>
      <c r="B5628" s="125">
        <v>46194</v>
      </c>
      <c r="C5628" s="126" t="s">
        <v>3396</v>
      </c>
      <c r="D5628" s="68" t="s">
        <v>285</v>
      </c>
      <c r="E5628" s="10" t="str">
        <f>TRIM(VLOOKUP(D5628,TB!$B$9:$C$1500,2,FALSE))</f>
        <v>Misc Cash Purchase</v>
      </c>
      <c r="F5628" s="186" t="s">
        <v>3397</v>
      </c>
      <c r="G5628" s="130"/>
      <c r="H5628" s="10"/>
      <c r="I5628" s="177">
        <v>300000</v>
      </c>
      <c r="J5628" s="79" t="e">
        <f t="shared" si="346"/>
        <v>#VALUE!</v>
      </c>
      <c r="K5628" s="106"/>
      <c r="L5628" s="107"/>
      <c r="M5628" s="106"/>
      <c r="N5628" s="106"/>
      <c r="O5628" s="108"/>
      <c r="P5628" s="108"/>
      <c r="Q5628" s="108"/>
      <c r="R5628" s="109"/>
      <c r="S5628" s="109"/>
      <c r="T5628" s="108"/>
      <c r="U5628" s="110"/>
      <c r="V5628" s="110"/>
      <c r="W5628" s="110"/>
      <c r="X5628" s="110"/>
    </row>
    <row r="5629" spans="1:24" ht="14.25" customHeight="1">
      <c r="A5629" s="110"/>
      <c r="B5629" s="125">
        <v>46194</v>
      </c>
      <c r="C5629" s="126" t="s">
        <v>3398</v>
      </c>
      <c r="D5629" s="68" t="s">
        <v>285</v>
      </c>
      <c r="E5629" s="10" t="str">
        <f>TRIM(VLOOKUP(D5629,TB!$B$9:$C$1500,2,FALSE))</f>
        <v>Misc Cash Purchase</v>
      </c>
      <c r="F5629" s="186" t="s">
        <v>3399</v>
      </c>
      <c r="G5629" s="130"/>
      <c r="H5629" s="10"/>
      <c r="I5629" s="177">
        <v>900000</v>
      </c>
      <c r="J5629" s="79" t="e">
        <f t="shared" si="346"/>
        <v>#VALUE!</v>
      </c>
      <c r="K5629" s="106"/>
      <c r="L5629" s="107"/>
      <c r="M5629" s="106"/>
      <c r="N5629" s="106"/>
      <c r="O5629" s="108"/>
      <c r="P5629" s="108"/>
      <c r="Q5629" s="108"/>
      <c r="R5629" s="109"/>
      <c r="S5629" s="109"/>
      <c r="T5629" s="108"/>
      <c r="U5629" s="110"/>
      <c r="V5629" s="110"/>
      <c r="W5629" s="110"/>
      <c r="X5629" s="110"/>
    </row>
    <row r="5630" spans="1:24" ht="14.25" customHeight="1">
      <c r="A5630" s="110"/>
      <c r="B5630" s="125"/>
      <c r="C5630" s="126"/>
      <c r="D5630" s="159"/>
      <c r="E5630" s="10" t="e">
        <f>TRIM(VLOOKUP(D5630,TB!$B$9:$C$1500,2,FALSE))</f>
        <v>#N/A</v>
      </c>
      <c r="F5630" s="142"/>
      <c r="G5630" s="130"/>
      <c r="H5630" s="10"/>
      <c r="I5630" s="10"/>
      <c r="J5630" s="79" t="e">
        <f t="shared" si="346"/>
        <v>#VALUE!</v>
      </c>
      <c r="K5630" s="106"/>
      <c r="L5630" s="107"/>
      <c r="M5630" s="106"/>
      <c r="N5630" s="106"/>
      <c r="O5630" s="108"/>
      <c r="P5630" s="108"/>
      <c r="Q5630" s="108"/>
      <c r="R5630" s="109"/>
      <c r="S5630" s="109"/>
      <c r="T5630" s="108"/>
      <c r="U5630" s="110"/>
      <c r="V5630" s="110"/>
      <c r="W5630" s="110"/>
      <c r="X5630" s="110"/>
    </row>
    <row r="5631" spans="1:24" ht="14.25" customHeight="1">
      <c r="A5631" s="110"/>
      <c r="B5631" s="125">
        <v>46201</v>
      </c>
      <c r="C5631" s="126" t="s">
        <v>3400</v>
      </c>
      <c r="D5631" s="15" t="s">
        <v>3149</v>
      </c>
      <c r="E5631" s="10" t="str">
        <f>TRIM(VLOOKUP(D5631,TB!$B$9:$C$1500,2,FALSE))</f>
        <v>COS - Promotor Fees Internal</v>
      </c>
      <c r="F5631" s="186" t="s">
        <v>3401</v>
      </c>
      <c r="G5631" s="130"/>
      <c r="H5631" s="177">
        <v>200000</v>
      </c>
      <c r="I5631" s="10"/>
      <c r="J5631" s="79" t="e">
        <f t="shared" si="346"/>
        <v>#VALUE!</v>
      </c>
      <c r="K5631" s="106"/>
      <c r="L5631" s="107"/>
      <c r="M5631" s="106"/>
      <c r="N5631" s="106"/>
      <c r="O5631" s="108"/>
      <c r="P5631" s="108"/>
      <c r="Q5631" s="108"/>
      <c r="R5631" s="109"/>
      <c r="S5631" s="109"/>
      <c r="T5631" s="108"/>
      <c r="U5631" s="110"/>
      <c r="V5631" s="110"/>
      <c r="W5631" s="110"/>
      <c r="X5631" s="110"/>
    </row>
    <row r="5632" spans="1:24" ht="14.25" customHeight="1">
      <c r="A5632" s="110"/>
      <c r="B5632" s="125">
        <v>46201</v>
      </c>
      <c r="C5632" s="126" t="s">
        <v>3402</v>
      </c>
      <c r="D5632" s="15" t="s">
        <v>221</v>
      </c>
      <c r="E5632" s="10" t="str">
        <f>TRIM(VLOOKUP(D5632,TB!$B$9:$C$1500,2,FALSE))</f>
        <v>COS - Promotor Fees Other</v>
      </c>
      <c r="F5632" s="186" t="s">
        <v>3403</v>
      </c>
      <c r="G5632" s="130"/>
      <c r="H5632" s="177">
        <v>99900</v>
      </c>
      <c r="I5632" s="10"/>
      <c r="J5632" s="79" t="e">
        <f t="shared" si="346"/>
        <v>#VALUE!</v>
      </c>
      <c r="K5632" s="106"/>
      <c r="L5632" s="107"/>
      <c r="M5632" s="106"/>
      <c r="N5632" s="106"/>
      <c r="O5632" s="108"/>
      <c r="P5632" s="108"/>
      <c r="Q5632" s="108"/>
      <c r="R5632" s="109"/>
      <c r="S5632" s="109"/>
      <c r="T5632" s="108"/>
      <c r="U5632" s="110"/>
      <c r="V5632" s="110"/>
      <c r="W5632" s="110"/>
      <c r="X5632" s="110"/>
    </row>
    <row r="5633" spans="1:24" ht="14.25" customHeight="1">
      <c r="A5633" s="110"/>
      <c r="B5633" s="125">
        <v>46201</v>
      </c>
      <c r="C5633" s="126" t="s">
        <v>3404</v>
      </c>
      <c r="D5633" s="15" t="s">
        <v>221</v>
      </c>
      <c r="E5633" s="10" t="str">
        <f>TRIM(VLOOKUP(D5633,TB!$B$9:$C$1500,2,FALSE))</f>
        <v>COS - Promotor Fees Other</v>
      </c>
      <c r="F5633" s="186" t="s">
        <v>3405</v>
      </c>
      <c r="G5633" s="130"/>
      <c r="H5633" s="177">
        <v>99900</v>
      </c>
      <c r="I5633" s="10"/>
      <c r="J5633" s="79" t="e">
        <f t="shared" si="346"/>
        <v>#VALUE!</v>
      </c>
      <c r="K5633" s="106"/>
      <c r="L5633" s="107"/>
      <c r="M5633" s="106"/>
      <c r="N5633" s="106"/>
      <c r="O5633" s="108"/>
      <c r="P5633" s="108"/>
      <c r="Q5633" s="108"/>
      <c r="R5633" s="109"/>
      <c r="S5633" s="109"/>
      <c r="T5633" s="108"/>
      <c r="U5633" s="110"/>
      <c r="V5633" s="110"/>
      <c r="W5633" s="110"/>
      <c r="X5633" s="110"/>
    </row>
    <row r="5634" spans="1:24" ht="14.25" customHeight="1">
      <c r="A5634" s="110"/>
      <c r="B5634" s="125">
        <v>46201</v>
      </c>
      <c r="C5634" s="126" t="s">
        <v>3406</v>
      </c>
      <c r="D5634" s="15" t="s">
        <v>3149</v>
      </c>
      <c r="E5634" s="10" t="str">
        <f>TRIM(VLOOKUP(D5634,TB!$B$9:$C$1500,2,FALSE))</f>
        <v>COS - Promotor Fees Internal</v>
      </c>
      <c r="F5634" s="186" t="s">
        <v>3407</v>
      </c>
      <c r="G5634" s="130"/>
      <c r="H5634" s="177">
        <v>105000</v>
      </c>
      <c r="I5634" s="10"/>
      <c r="J5634" s="79" t="e">
        <f t="shared" si="346"/>
        <v>#VALUE!</v>
      </c>
      <c r="K5634" s="106"/>
      <c r="L5634" s="107"/>
      <c r="M5634" s="106"/>
      <c r="N5634" s="106"/>
      <c r="O5634" s="108"/>
      <c r="P5634" s="108"/>
      <c r="Q5634" s="108"/>
      <c r="R5634" s="109"/>
      <c r="S5634" s="109"/>
      <c r="T5634" s="108"/>
      <c r="U5634" s="110"/>
      <c r="V5634" s="110"/>
      <c r="W5634" s="110"/>
      <c r="X5634" s="110"/>
    </row>
    <row r="5635" spans="1:24" ht="14.25" customHeight="1">
      <c r="A5635" s="110"/>
      <c r="B5635" s="125">
        <v>46201</v>
      </c>
      <c r="C5635" s="126" t="s">
        <v>3408</v>
      </c>
      <c r="D5635" s="15" t="s">
        <v>221</v>
      </c>
      <c r="E5635" s="10" t="str">
        <f>TRIM(VLOOKUP(D5635,TB!$B$9:$C$1500,2,FALSE))</f>
        <v>COS - Promotor Fees Other</v>
      </c>
      <c r="F5635" s="186" t="s">
        <v>3409</v>
      </c>
      <c r="G5635" s="130"/>
      <c r="H5635" s="177">
        <v>300000</v>
      </c>
      <c r="I5635" s="10"/>
      <c r="J5635" s="79" t="e">
        <f t="shared" si="346"/>
        <v>#VALUE!</v>
      </c>
      <c r="K5635" s="106"/>
      <c r="L5635" s="107"/>
      <c r="M5635" s="106"/>
      <c r="N5635" s="106"/>
      <c r="O5635" s="108"/>
      <c r="P5635" s="108"/>
      <c r="Q5635" s="108"/>
      <c r="R5635" s="109"/>
      <c r="S5635" s="109"/>
      <c r="T5635" s="108"/>
      <c r="U5635" s="110"/>
      <c r="V5635" s="110"/>
      <c r="W5635" s="110"/>
      <c r="X5635" s="110"/>
    </row>
    <row r="5636" spans="1:24" ht="14.25" customHeight="1">
      <c r="A5636" s="110"/>
      <c r="B5636" s="125">
        <v>46201</v>
      </c>
      <c r="C5636" s="126" t="s">
        <v>3410</v>
      </c>
      <c r="D5636" s="15" t="s">
        <v>3149</v>
      </c>
      <c r="E5636" s="10" t="str">
        <f>TRIM(VLOOKUP(D5636,TB!$B$9:$C$1500,2,FALSE))</f>
        <v>COS - Promotor Fees Internal</v>
      </c>
      <c r="F5636" s="186" t="s">
        <v>3411</v>
      </c>
      <c r="G5636" s="130"/>
      <c r="H5636" s="177">
        <v>450000</v>
      </c>
      <c r="I5636" s="10"/>
      <c r="J5636" s="79" t="e">
        <f t="shared" ref="J5636:J5890" si="347">J5635+H5636-I5636</f>
        <v>#VALUE!</v>
      </c>
      <c r="K5636" s="106"/>
      <c r="L5636" s="107"/>
      <c r="M5636" s="106"/>
      <c r="N5636" s="106"/>
      <c r="O5636" s="108"/>
      <c r="P5636" s="108"/>
      <c r="Q5636" s="108"/>
      <c r="R5636" s="109"/>
      <c r="S5636" s="109"/>
      <c r="T5636" s="108"/>
      <c r="U5636" s="110"/>
      <c r="V5636" s="110"/>
      <c r="W5636" s="110"/>
      <c r="X5636" s="110"/>
    </row>
    <row r="5637" spans="1:24" ht="14.25" customHeight="1">
      <c r="A5637" s="110"/>
      <c r="B5637" s="125">
        <v>46201</v>
      </c>
      <c r="C5637" s="126" t="s">
        <v>3412</v>
      </c>
      <c r="D5637" s="15" t="s">
        <v>221</v>
      </c>
      <c r="E5637" s="10" t="str">
        <f>TRIM(VLOOKUP(D5637,TB!$B$9:$C$1500,2,FALSE))</f>
        <v>COS - Promotor Fees Other</v>
      </c>
      <c r="F5637" s="186" t="s">
        <v>3413</v>
      </c>
      <c r="G5637" s="130"/>
      <c r="H5637" s="177">
        <v>260000</v>
      </c>
      <c r="I5637" s="10"/>
      <c r="J5637" s="79" t="e">
        <f t="shared" si="347"/>
        <v>#VALUE!</v>
      </c>
      <c r="K5637" s="106"/>
      <c r="L5637" s="107"/>
      <c r="M5637" s="106"/>
      <c r="N5637" s="106"/>
      <c r="O5637" s="108"/>
      <c r="P5637" s="108"/>
      <c r="Q5637" s="108"/>
      <c r="R5637" s="109"/>
      <c r="S5637" s="109"/>
      <c r="T5637" s="108"/>
      <c r="U5637" s="110"/>
      <c r="V5637" s="110"/>
      <c r="W5637" s="110"/>
      <c r="X5637" s="110"/>
    </row>
    <row r="5638" spans="1:24" ht="14.25" customHeight="1">
      <c r="A5638" s="110"/>
      <c r="B5638" s="125">
        <v>46201</v>
      </c>
      <c r="C5638" s="126" t="s">
        <v>3414</v>
      </c>
      <c r="D5638" s="15" t="s">
        <v>221</v>
      </c>
      <c r="E5638" s="10" t="str">
        <f>TRIM(VLOOKUP(D5638,TB!$B$9:$C$1500,2,FALSE))</f>
        <v>COS - Promotor Fees Other</v>
      </c>
      <c r="F5638" s="186" t="s">
        <v>3415</v>
      </c>
      <c r="G5638" s="130"/>
      <c r="H5638" s="177">
        <v>600000</v>
      </c>
      <c r="I5638" s="10"/>
      <c r="J5638" s="79" t="e">
        <f t="shared" si="347"/>
        <v>#VALUE!</v>
      </c>
      <c r="K5638" s="106"/>
      <c r="L5638" s="107"/>
      <c r="M5638" s="106"/>
      <c r="N5638" s="106"/>
      <c r="O5638" s="108"/>
      <c r="P5638" s="108"/>
      <c r="Q5638" s="108"/>
      <c r="R5638" s="109"/>
      <c r="S5638" s="109"/>
      <c r="T5638" s="108"/>
      <c r="U5638" s="110"/>
      <c r="V5638" s="110"/>
      <c r="W5638" s="110"/>
      <c r="X5638" s="110"/>
    </row>
    <row r="5639" spans="1:24" ht="14.25" customHeight="1">
      <c r="A5639" s="110"/>
      <c r="B5639" s="125">
        <v>46201</v>
      </c>
      <c r="C5639" s="126" t="s">
        <v>3416</v>
      </c>
      <c r="D5639" s="15" t="s">
        <v>221</v>
      </c>
      <c r="E5639" s="10" t="str">
        <f>TRIM(VLOOKUP(D5639,TB!$B$9:$C$1500,2,FALSE))</f>
        <v>COS - Promotor Fees Other</v>
      </c>
      <c r="F5639" s="186" t="s">
        <v>3417</v>
      </c>
      <c r="G5639" s="130"/>
      <c r="H5639" s="177">
        <v>299800</v>
      </c>
      <c r="I5639" s="10"/>
      <c r="J5639" s="79" t="e">
        <f t="shared" si="347"/>
        <v>#VALUE!</v>
      </c>
      <c r="K5639" s="106"/>
      <c r="L5639" s="107"/>
      <c r="M5639" s="106"/>
      <c r="N5639" s="106"/>
      <c r="O5639" s="108"/>
      <c r="P5639" s="108"/>
      <c r="Q5639" s="108"/>
      <c r="R5639" s="109"/>
      <c r="S5639" s="109"/>
      <c r="T5639" s="108"/>
      <c r="U5639" s="110"/>
      <c r="V5639" s="110"/>
      <c r="W5639" s="110"/>
      <c r="X5639" s="110"/>
    </row>
    <row r="5640" spans="1:24" ht="14.25" customHeight="1">
      <c r="A5640" s="110"/>
      <c r="B5640" s="125">
        <v>46201</v>
      </c>
      <c r="C5640" s="126" t="s">
        <v>3418</v>
      </c>
      <c r="D5640" s="15" t="s">
        <v>221</v>
      </c>
      <c r="E5640" s="10" t="str">
        <f>TRIM(VLOOKUP(D5640,TB!$B$9:$C$1500,2,FALSE))</f>
        <v>COS - Promotor Fees Other</v>
      </c>
      <c r="F5640" s="186" t="s">
        <v>3419</v>
      </c>
      <c r="G5640" s="130"/>
      <c r="H5640" s="177">
        <v>300000</v>
      </c>
      <c r="I5640" s="10"/>
      <c r="J5640" s="79" t="e">
        <f t="shared" si="347"/>
        <v>#VALUE!</v>
      </c>
      <c r="K5640" s="106"/>
      <c r="L5640" s="107"/>
      <c r="M5640" s="106"/>
      <c r="N5640" s="106"/>
      <c r="O5640" s="108"/>
      <c r="P5640" s="108"/>
      <c r="Q5640" s="108"/>
      <c r="R5640" s="109"/>
      <c r="S5640" s="109"/>
      <c r="T5640" s="108"/>
      <c r="U5640" s="110"/>
      <c r="V5640" s="110"/>
      <c r="W5640" s="110"/>
      <c r="X5640" s="110"/>
    </row>
    <row r="5641" spans="1:24" ht="14.25" customHeight="1">
      <c r="A5641" s="110"/>
      <c r="B5641" s="125">
        <v>46201</v>
      </c>
      <c r="C5641" s="126" t="s">
        <v>3400</v>
      </c>
      <c r="D5641" s="68" t="s">
        <v>285</v>
      </c>
      <c r="E5641" s="10" t="str">
        <f>TRIM(VLOOKUP(D5641,TB!$B$9:$C$1500,2,FALSE))</f>
        <v>Misc Cash Purchase</v>
      </c>
      <c r="F5641" s="186" t="s">
        <v>3401</v>
      </c>
      <c r="G5641" s="130"/>
      <c r="H5641" s="10"/>
      <c r="I5641" s="177">
        <v>200000</v>
      </c>
      <c r="J5641" s="79" t="e">
        <f t="shared" si="347"/>
        <v>#VALUE!</v>
      </c>
      <c r="K5641" s="106"/>
      <c r="L5641" s="107"/>
      <c r="M5641" s="106"/>
      <c r="N5641" s="106"/>
      <c r="O5641" s="108"/>
      <c r="P5641" s="108"/>
      <c r="Q5641" s="108"/>
      <c r="R5641" s="109"/>
      <c r="S5641" s="109"/>
      <c r="T5641" s="108"/>
      <c r="U5641" s="110"/>
      <c r="V5641" s="110"/>
      <c r="W5641" s="110"/>
      <c r="X5641" s="110"/>
    </row>
    <row r="5642" spans="1:24" ht="14.25" customHeight="1">
      <c r="A5642" s="110"/>
      <c r="B5642" s="125">
        <v>46201</v>
      </c>
      <c r="C5642" s="126" t="s">
        <v>3402</v>
      </c>
      <c r="D5642" s="68" t="s">
        <v>285</v>
      </c>
      <c r="E5642" s="10" t="str">
        <f>TRIM(VLOOKUP(D5642,TB!$B$9:$C$1500,2,FALSE))</f>
        <v>Misc Cash Purchase</v>
      </c>
      <c r="F5642" s="186" t="s">
        <v>3403</v>
      </c>
      <c r="G5642" s="130"/>
      <c r="H5642" s="10"/>
      <c r="I5642" s="177">
        <v>99900</v>
      </c>
      <c r="J5642" s="79" t="e">
        <f t="shared" si="347"/>
        <v>#VALUE!</v>
      </c>
      <c r="K5642" s="106"/>
      <c r="L5642" s="107"/>
      <c r="M5642" s="106"/>
      <c r="N5642" s="106"/>
      <c r="O5642" s="108"/>
      <c r="P5642" s="108"/>
      <c r="Q5642" s="108"/>
      <c r="R5642" s="109"/>
      <c r="S5642" s="109"/>
      <c r="T5642" s="108"/>
      <c r="U5642" s="110"/>
      <c r="V5642" s="110"/>
      <c r="W5642" s="110"/>
      <c r="X5642" s="110"/>
    </row>
    <row r="5643" spans="1:24" ht="14.25" customHeight="1">
      <c r="A5643" s="110"/>
      <c r="B5643" s="125">
        <v>46201</v>
      </c>
      <c r="C5643" s="126" t="s">
        <v>3404</v>
      </c>
      <c r="D5643" s="68" t="s">
        <v>285</v>
      </c>
      <c r="E5643" s="10" t="str">
        <f>TRIM(VLOOKUP(D5643,TB!$B$9:$C$1500,2,FALSE))</f>
        <v>Misc Cash Purchase</v>
      </c>
      <c r="F5643" s="186" t="s">
        <v>3405</v>
      </c>
      <c r="G5643" s="130"/>
      <c r="H5643" s="10"/>
      <c r="I5643" s="177">
        <v>99900</v>
      </c>
      <c r="J5643" s="79" t="e">
        <f t="shared" si="347"/>
        <v>#VALUE!</v>
      </c>
      <c r="K5643" s="106"/>
      <c r="L5643" s="107"/>
      <c r="M5643" s="106"/>
      <c r="N5643" s="106"/>
      <c r="O5643" s="108"/>
      <c r="P5643" s="108"/>
      <c r="Q5643" s="108"/>
      <c r="R5643" s="109"/>
      <c r="S5643" s="109"/>
      <c r="T5643" s="108"/>
      <c r="U5643" s="110"/>
      <c r="V5643" s="110"/>
      <c r="W5643" s="110"/>
      <c r="X5643" s="110"/>
    </row>
    <row r="5644" spans="1:24" ht="14.25" customHeight="1">
      <c r="A5644" s="110"/>
      <c r="B5644" s="125">
        <v>46201</v>
      </c>
      <c r="C5644" s="126" t="s">
        <v>3406</v>
      </c>
      <c r="D5644" s="68" t="s">
        <v>285</v>
      </c>
      <c r="E5644" s="10" t="str">
        <f>TRIM(VLOOKUP(D5644,TB!$B$9:$C$1500,2,FALSE))</f>
        <v>Misc Cash Purchase</v>
      </c>
      <c r="F5644" s="186" t="s">
        <v>3407</v>
      </c>
      <c r="G5644" s="130"/>
      <c r="H5644" s="10"/>
      <c r="I5644" s="177">
        <v>105000</v>
      </c>
      <c r="J5644" s="79" t="e">
        <f t="shared" si="347"/>
        <v>#VALUE!</v>
      </c>
      <c r="K5644" s="106"/>
      <c r="L5644" s="107"/>
      <c r="M5644" s="106"/>
      <c r="N5644" s="106"/>
      <c r="O5644" s="108"/>
      <c r="P5644" s="108"/>
      <c r="Q5644" s="108"/>
      <c r="R5644" s="109"/>
      <c r="S5644" s="109"/>
      <c r="T5644" s="108"/>
      <c r="U5644" s="110"/>
      <c r="V5644" s="110"/>
      <c r="W5644" s="110"/>
      <c r="X5644" s="110"/>
    </row>
    <row r="5645" spans="1:24" ht="14.25" customHeight="1">
      <c r="A5645" s="110"/>
      <c r="B5645" s="125">
        <v>46201</v>
      </c>
      <c r="C5645" s="126" t="s">
        <v>3408</v>
      </c>
      <c r="D5645" s="68" t="s">
        <v>285</v>
      </c>
      <c r="E5645" s="10" t="str">
        <f>TRIM(VLOOKUP(D5645,TB!$B$9:$C$1500,2,FALSE))</f>
        <v>Misc Cash Purchase</v>
      </c>
      <c r="F5645" s="186" t="s">
        <v>3409</v>
      </c>
      <c r="G5645" s="130"/>
      <c r="H5645" s="10"/>
      <c r="I5645" s="177">
        <v>300000</v>
      </c>
      <c r="J5645" s="79" t="e">
        <f t="shared" si="347"/>
        <v>#VALUE!</v>
      </c>
      <c r="K5645" s="106"/>
      <c r="L5645" s="107"/>
      <c r="M5645" s="106"/>
      <c r="N5645" s="106"/>
      <c r="O5645" s="108"/>
      <c r="P5645" s="108"/>
      <c r="Q5645" s="108"/>
      <c r="R5645" s="109"/>
      <c r="S5645" s="109"/>
      <c r="T5645" s="108"/>
      <c r="U5645" s="110"/>
      <c r="V5645" s="110"/>
      <c r="W5645" s="110"/>
      <c r="X5645" s="110"/>
    </row>
    <row r="5646" spans="1:24" ht="14.25" customHeight="1">
      <c r="A5646" s="110"/>
      <c r="B5646" s="125">
        <v>46201</v>
      </c>
      <c r="C5646" s="126" t="s">
        <v>3410</v>
      </c>
      <c r="D5646" s="68" t="s">
        <v>285</v>
      </c>
      <c r="E5646" s="10" t="str">
        <f>TRIM(VLOOKUP(D5646,TB!$B$9:$C$1500,2,FALSE))</f>
        <v>Misc Cash Purchase</v>
      </c>
      <c r="F5646" s="186" t="s">
        <v>3411</v>
      </c>
      <c r="G5646" s="130"/>
      <c r="H5646" s="10"/>
      <c r="I5646" s="177">
        <v>450000</v>
      </c>
      <c r="J5646" s="79" t="e">
        <f t="shared" si="347"/>
        <v>#VALUE!</v>
      </c>
      <c r="K5646" s="106"/>
      <c r="L5646" s="107"/>
      <c r="M5646" s="106"/>
      <c r="N5646" s="106"/>
      <c r="O5646" s="108"/>
      <c r="P5646" s="108"/>
      <c r="Q5646" s="108"/>
      <c r="R5646" s="109"/>
      <c r="S5646" s="109"/>
      <c r="T5646" s="108"/>
      <c r="U5646" s="110"/>
      <c r="V5646" s="110"/>
      <c r="W5646" s="110"/>
      <c r="X5646" s="110"/>
    </row>
    <row r="5647" spans="1:24" ht="14.25" customHeight="1">
      <c r="A5647" s="110"/>
      <c r="B5647" s="125">
        <v>46201</v>
      </c>
      <c r="C5647" s="126" t="s">
        <v>3412</v>
      </c>
      <c r="D5647" s="68" t="s">
        <v>285</v>
      </c>
      <c r="E5647" s="10" t="str">
        <f>TRIM(VLOOKUP(D5647,TB!$B$9:$C$1500,2,FALSE))</f>
        <v>Misc Cash Purchase</v>
      </c>
      <c r="F5647" s="186" t="s">
        <v>3413</v>
      </c>
      <c r="G5647" s="130"/>
      <c r="H5647" s="10"/>
      <c r="I5647" s="177">
        <v>260000</v>
      </c>
      <c r="J5647" s="79" t="e">
        <f t="shared" si="347"/>
        <v>#VALUE!</v>
      </c>
      <c r="K5647" s="106"/>
      <c r="L5647" s="107"/>
      <c r="M5647" s="106"/>
      <c r="N5647" s="106"/>
      <c r="O5647" s="108"/>
      <c r="P5647" s="108"/>
      <c r="Q5647" s="108"/>
      <c r="R5647" s="109"/>
      <c r="S5647" s="109"/>
      <c r="T5647" s="108"/>
      <c r="U5647" s="110"/>
      <c r="V5647" s="110"/>
      <c r="W5647" s="110"/>
      <c r="X5647" s="110"/>
    </row>
    <row r="5648" spans="1:24" ht="14.25" customHeight="1">
      <c r="A5648" s="110"/>
      <c r="B5648" s="125">
        <v>46201</v>
      </c>
      <c r="C5648" s="126" t="s">
        <v>3414</v>
      </c>
      <c r="D5648" s="68" t="s">
        <v>285</v>
      </c>
      <c r="E5648" s="10" t="str">
        <f>TRIM(VLOOKUP(D5648,TB!$B$9:$C$1500,2,FALSE))</f>
        <v>Misc Cash Purchase</v>
      </c>
      <c r="F5648" s="186" t="s">
        <v>3415</v>
      </c>
      <c r="G5648" s="130"/>
      <c r="H5648" s="10"/>
      <c r="I5648" s="177">
        <v>600000</v>
      </c>
      <c r="J5648" s="79" t="e">
        <f t="shared" si="347"/>
        <v>#VALUE!</v>
      </c>
      <c r="K5648" s="106"/>
      <c r="L5648" s="107"/>
      <c r="M5648" s="106"/>
      <c r="N5648" s="106"/>
      <c r="O5648" s="108"/>
      <c r="P5648" s="108"/>
      <c r="Q5648" s="108"/>
      <c r="R5648" s="109"/>
      <c r="S5648" s="109"/>
      <c r="T5648" s="108"/>
      <c r="U5648" s="110"/>
      <c r="V5648" s="110"/>
      <c r="W5648" s="110"/>
      <c r="X5648" s="110"/>
    </row>
    <row r="5649" spans="1:24" ht="14.25" customHeight="1">
      <c r="A5649" s="110"/>
      <c r="B5649" s="125">
        <v>46201</v>
      </c>
      <c r="C5649" s="126" t="s">
        <v>3416</v>
      </c>
      <c r="D5649" s="68" t="s">
        <v>285</v>
      </c>
      <c r="E5649" s="10" t="str">
        <f>TRIM(VLOOKUP(D5649,TB!$B$9:$C$1500,2,FALSE))</f>
        <v>Misc Cash Purchase</v>
      </c>
      <c r="F5649" s="186" t="s">
        <v>3417</v>
      </c>
      <c r="G5649" s="130"/>
      <c r="H5649" s="10"/>
      <c r="I5649" s="177">
        <v>299800</v>
      </c>
      <c r="J5649" s="79" t="e">
        <f t="shared" si="347"/>
        <v>#VALUE!</v>
      </c>
      <c r="K5649" s="106"/>
      <c r="L5649" s="107"/>
      <c r="M5649" s="106"/>
      <c r="N5649" s="106"/>
      <c r="O5649" s="108"/>
      <c r="P5649" s="108"/>
      <c r="Q5649" s="108"/>
      <c r="R5649" s="109"/>
      <c r="S5649" s="109"/>
      <c r="T5649" s="108"/>
      <c r="U5649" s="110"/>
      <c r="V5649" s="110"/>
      <c r="W5649" s="110"/>
      <c r="X5649" s="110"/>
    </row>
    <row r="5650" spans="1:24" ht="14.25" customHeight="1">
      <c r="A5650" s="110"/>
      <c r="B5650" s="125">
        <v>46201</v>
      </c>
      <c r="C5650" s="126" t="s">
        <v>3418</v>
      </c>
      <c r="D5650" s="68" t="s">
        <v>285</v>
      </c>
      <c r="E5650" s="10" t="str">
        <f>TRIM(VLOOKUP(D5650,TB!$B$9:$C$1500,2,FALSE))</f>
        <v>Misc Cash Purchase</v>
      </c>
      <c r="F5650" s="186" t="s">
        <v>3419</v>
      </c>
      <c r="G5650" s="130"/>
      <c r="H5650" s="10"/>
      <c r="I5650" s="177">
        <v>300000</v>
      </c>
      <c r="J5650" s="79" t="e">
        <f t="shared" si="347"/>
        <v>#VALUE!</v>
      </c>
      <c r="K5650" s="106"/>
      <c r="L5650" s="107"/>
      <c r="M5650" s="106"/>
      <c r="N5650" s="106"/>
      <c r="O5650" s="108"/>
      <c r="P5650" s="108"/>
      <c r="Q5650" s="108"/>
      <c r="R5650" s="109"/>
      <c r="S5650" s="109"/>
      <c r="T5650" s="108"/>
      <c r="U5650" s="110"/>
      <c r="V5650" s="110"/>
      <c r="W5650" s="110"/>
      <c r="X5650" s="110"/>
    </row>
    <row r="5651" spans="1:24" ht="14.25" customHeight="1">
      <c r="A5651" s="110"/>
      <c r="B5651" s="125"/>
      <c r="C5651" s="126"/>
      <c r="D5651" s="159"/>
      <c r="E5651" s="10" t="e">
        <f>TRIM(VLOOKUP(D5651,TB!$B$9:$C$1500,2,FALSE))</f>
        <v>#N/A</v>
      </c>
      <c r="F5651" s="142"/>
      <c r="G5651" s="130"/>
      <c r="H5651" s="10"/>
      <c r="I5651" s="10"/>
      <c r="J5651" s="79" t="e">
        <f t="shared" si="347"/>
        <v>#VALUE!</v>
      </c>
      <c r="K5651" s="106"/>
      <c r="L5651" s="107"/>
      <c r="M5651" s="106"/>
      <c r="N5651" s="106"/>
      <c r="O5651" s="108"/>
      <c r="P5651" s="108"/>
      <c r="Q5651" s="108"/>
      <c r="R5651" s="109"/>
      <c r="S5651" s="109"/>
      <c r="T5651" s="108"/>
      <c r="U5651" s="110"/>
      <c r="V5651" s="110"/>
      <c r="W5651" s="110"/>
      <c r="X5651" s="110"/>
    </row>
    <row r="5652" spans="1:24" ht="14.25" customHeight="1">
      <c r="A5652" s="110"/>
      <c r="B5652" s="125">
        <v>46201</v>
      </c>
      <c r="C5652" s="126" t="s">
        <v>3420</v>
      </c>
      <c r="D5652" s="15" t="s">
        <v>221</v>
      </c>
      <c r="E5652" s="10" t="str">
        <f>TRIM(VLOOKUP(D5652,TB!$B$9:$C$1500,2,FALSE))</f>
        <v>COS - Promotor Fees Other</v>
      </c>
      <c r="F5652" s="142" t="s">
        <v>3421</v>
      </c>
      <c r="G5652" s="130"/>
      <c r="H5652" s="155">
        <v>330503.80000000005</v>
      </c>
      <c r="I5652" s="10"/>
      <c r="J5652" s="79" t="e">
        <f t="shared" si="347"/>
        <v>#VALUE!</v>
      </c>
      <c r="K5652" s="106"/>
      <c r="L5652" s="107"/>
      <c r="M5652" s="106"/>
      <c r="N5652" s="106"/>
      <c r="O5652" s="108"/>
      <c r="P5652" s="108"/>
      <c r="Q5652" s="108"/>
      <c r="R5652" s="109"/>
      <c r="S5652" s="109"/>
      <c r="T5652" s="108"/>
      <c r="U5652" s="110"/>
      <c r="V5652" s="110"/>
      <c r="W5652" s="110"/>
      <c r="X5652" s="110"/>
    </row>
    <row r="5653" spans="1:24" ht="14.25" customHeight="1">
      <c r="A5653" s="110"/>
      <c r="B5653" s="125">
        <v>46201</v>
      </c>
      <c r="C5653" s="126" t="s">
        <v>3420</v>
      </c>
      <c r="D5653" s="15" t="s">
        <v>3108</v>
      </c>
      <c r="E5653" s="10" t="str">
        <f>TRIM(VLOOKUP(D5653,TB!$B$9:$C$1500,2,FALSE))</f>
        <v>Promotional Costs</v>
      </c>
      <c r="F5653" s="142" t="s">
        <v>3422</v>
      </c>
      <c r="G5653" s="130"/>
      <c r="H5653" s="10">
        <v>1900000</v>
      </c>
      <c r="I5653" s="10"/>
      <c r="J5653" s="79" t="e">
        <f t="shared" si="347"/>
        <v>#VALUE!</v>
      </c>
      <c r="K5653" s="106"/>
      <c r="L5653" s="107"/>
      <c r="M5653" s="106"/>
      <c r="N5653" s="106"/>
      <c r="O5653" s="108"/>
      <c r="P5653" s="108"/>
      <c r="Q5653" s="108"/>
      <c r="R5653" s="109"/>
      <c r="S5653" s="109"/>
      <c r="T5653" s="108"/>
      <c r="U5653" s="110"/>
      <c r="V5653" s="110"/>
      <c r="W5653" s="110"/>
      <c r="X5653" s="110"/>
    </row>
    <row r="5654" spans="1:24" ht="14.25" customHeight="1">
      <c r="A5654" s="110"/>
      <c r="B5654" s="125">
        <v>46201</v>
      </c>
      <c r="C5654" s="126" t="s">
        <v>3420</v>
      </c>
      <c r="D5654" s="15" t="s">
        <v>188</v>
      </c>
      <c r="E5654" s="10" t="str">
        <f>TRIM(VLOOKUP(D5654,TB!$B$9:$C$1500,2,FALSE))</f>
        <v>Advertising Costs</v>
      </c>
      <c r="F5654" s="142" t="s">
        <v>3423</v>
      </c>
      <c r="G5654" s="130"/>
      <c r="H5654" s="10">
        <v>300000</v>
      </c>
      <c r="I5654" s="10"/>
      <c r="J5654" s="79" t="e">
        <f t="shared" si="347"/>
        <v>#VALUE!</v>
      </c>
      <c r="K5654" s="106"/>
      <c r="L5654" s="107"/>
      <c r="M5654" s="106"/>
      <c r="N5654" s="106"/>
      <c r="O5654" s="108"/>
      <c r="P5654" s="108"/>
      <c r="Q5654" s="108"/>
      <c r="R5654" s="109"/>
      <c r="S5654" s="109"/>
      <c r="T5654" s="108"/>
      <c r="U5654" s="110"/>
      <c r="V5654" s="110"/>
      <c r="W5654" s="110"/>
      <c r="X5654" s="110"/>
    </row>
    <row r="5655" spans="1:24" ht="14.25" customHeight="1">
      <c r="A5655" s="110"/>
      <c r="B5655" s="125">
        <v>46201</v>
      </c>
      <c r="C5655" s="126" t="s">
        <v>3420</v>
      </c>
      <c r="D5655" s="68" t="s">
        <v>63</v>
      </c>
      <c r="E5655" s="10" t="str">
        <f>TRIM(VLOOKUP(D5655,TB!$B$9:$C$1500,2,FALSE))</f>
        <v>City Ledger</v>
      </c>
      <c r="F5655" s="142" t="s">
        <v>3424</v>
      </c>
      <c r="G5655" s="130"/>
      <c r="H5655" s="10"/>
      <c r="I5655" s="10">
        <v>746218</v>
      </c>
      <c r="J5655" s="79" t="e">
        <f t="shared" si="347"/>
        <v>#VALUE!</v>
      </c>
      <c r="K5655" s="106"/>
      <c r="L5655" s="107"/>
      <c r="M5655" s="106"/>
      <c r="N5655" s="106"/>
      <c r="O5655" s="108"/>
      <c r="P5655" s="108"/>
      <c r="Q5655" s="108"/>
      <c r="R5655" s="109"/>
      <c r="S5655" s="109"/>
      <c r="T5655" s="108"/>
      <c r="U5655" s="110"/>
      <c r="V5655" s="110"/>
      <c r="W5655" s="110"/>
      <c r="X5655" s="110"/>
    </row>
    <row r="5656" spans="1:24" ht="14.25" customHeight="1">
      <c r="A5656" s="110"/>
      <c r="B5656" s="125">
        <v>46201</v>
      </c>
      <c r="C5656" s="126" t="s">
        <v>3420</v>
      </c>
      <c r="D5656" s="68" t="s">
        <v>285</v>
      </c>
      <c r="E5656" s="10" t="str">
        <f>TRIM(VLOOKUP(D5656,TB!$B$9:$C$1500,2,FALSE))</f>
        <v>Misc Cash Purchase</v>
      </c>
      <c r="F5656" s="142" t="s">
        <v>3425</v>
      </c>
      <c r="G5656" s="130"/>
      <c r="H5656" s="10"/>
      <c r="I5656" s="155">
        <v>1784285.7999999998</v>
      </c>
      <c r="J5656" s="79" t="e">
        <f t="shared" si="347"/>
        <v>#VALUE!</v>
      </c>
      <c r="K5656" s="106"/>
      <c r="L5656" s="107"/>
      <c r="M5656" s="106"/>
      <c r="N5656" s="106"/>
      <c r="O5656" s="108"/>
      <c r="P5656" s="108"/>
      <c r="Q5656" s="108"/>
      <c r="R5656" s="109"/>
      <c r="S5656" s="109"/>
      <c r="T5656" s="108"/>
      <c r="U5656" s="110"/>
      <c r="V5656" s="110"/>
      <c r="W5656" s="110"/>
      <c r="X5656" s="110"/>
    </row>
    <row r="5657" spans="1:24" ht="14.25" customHeight="1">
      <c r="A5657" s="110"/>
      <c r="B5657" s="125"/>
      <c r="C5657" s="126"/>
      <c r="D5657" s="159"/>
      <c r="E5657" s="10" t="e">
        <f>TRIM(VLOOKUP(D5657,TB!$B$9:$C$1500,2,FALSE))</f>
        <v>#N/A</v>
      </c>
      <c r="F5657" s="142"/>
      <c r="G5657" s="130"/>
      <c r="H5657" s="10"/>
      <c r="I5657" s="10"/>
      <c r="J5657" s="79" t="e">
        <f t="shared" si="347"/>
        <v>#VALUE!</v>
      </c>
      <c r="K5657" s="106"/>
      <c r="L5657" s="107"/>
      <c r="M5657" s="106"/>
      <c r="N5657" s="106"/>
      <c r="O5657" s="108"/>
      <c r="P5657" s="108"/>
      <c r="Q5657" s="108"/>
      <c r="R5657" s="109"/>
      <c r="S5657" s="109"/>
      <c r="T5657" s="108"/>
      <c r="U5657" s="110"/>
      <c r="V5657" s="110"/>
      <c r="W5657" s="110"/>
      <c r="X5657" s="110"/>
    </row>
    <row r="5658" spans="1:24" ht="14.25" customHeight="1">
      <c r="A5658" s="110"/>
      <c r="B5658" s="125">
        <v>46203</v>
      </c>
      <c r="C5658" s="126" t="s">
        <v>3426</v>
      </c>
      <c r="D5658" s="15" t="s">
        <v>3108</v>
      </c>
      <c r="E5658" s="10" t="str">
        <f>TRIM(VLOOKUP(D5658,TB!$B$9:$C$1500,2,FALSE))</f>
        <v>Promotional Costs</v>
      </c>
      <c r="F5658" s="142" t="s">
        <v>3427</v>
      </c>
      <c r="G5658" s="130"/>
      <c r="H5658" s="177">
        <v>300000</v>
      </c>
      <c r="I5658" s="10"/>
      <c r="J5658" s="79" t="e">
        <f t="shared" si="347"/>
        <v>#VALUE!</v>
      </c>
      <c r="K5658" s="106"/>
      <c r="L5658" s="107"/>
      <c r="M5658" s="106"/>
      <c r="N5658" s="106"/>
      <c r="O5658" s="108"/>
      <c r="P5658" s="108"/>
      <c r="Q5658" s="108"/>
      <c r="R5658" s="109"/>
      <c r="S5658" s="109"/>
      <c r="T5658" s="108"/>
      <c r="U5658" s="110"/>
      <c r="V5658" s="110"/>
      <c r="W5658" s="110"/>
      <c r="X5658" s="110"/>
    </row>
    <row r="5659" spans="1:24" ht="14.25" customHeight="1">
      <c r="A5659" s="110"/>
      <c r="B5659" s="125">
        <v>46203</v>
      </c>
      <c r="C5659" s="126" t="s">
        <v>3428</v>
      </c>
      <c r="D5659" s="15" t="s">
        <v>3108</v>
      </c>
      <c r="E5659" s="10" t="str">
        <f>TRIM(VLOOKUP(D5659,TB!$B$9:$C$1500,2,FALSE))</f>
        <v>Promotional Costs</v>
      </c>
      <c r="F5659" s="142" t="s">
        <v>3429</v>
      </c>
      <c r="G5659" s="130"/>
      <c r="H5659" s="177">
        <v>200000</v>
      </c>
      <c r="I5659" s="10"/>
      <c r="J5659" s="79" t="e">
        <f t="shared" si="347"/>
        <v>#VALUE!</v>
      </c>
      <c r="K5659" s="106"/>
      <c r="L5659" s="107"/>
      <c r="M5659" s="106"/>
      <c r="N5659" s="106"/>
      <c r="O5659" s="108"/>
      <c r="P5659" s="108"/>
      <c r="Q5659" s="108"/>
      <c r="R5659" s="109"/>
      <c r="S5659" s="109"/>
      <c r="T5659" s="108"/>
      <c r="U5659" s="110"/>
      <c r="V5659" s="110"/>
      <c r="W5659" s="110"/>
      <c r="X5659" s="110"/>
    </row>
    <row r="5660" spans="1:24" ht="14.25" customHeight="1">
      <c r="A5660" s="110"/>
      <c r="B5660" s="125">
        <v>46203</v>
      </c>
      <c r="C5660" s="126" t="s">
        <v>3430</v>
      </c>
      <c r="D5660" s="15" t="s">
        <v>3108</v>
      </c>
      <c r="E5660" s="10" t="str">
        <f>TRIM(VLOOKUP(D5660,TB!$B$9:$C$1500,2,FALSE))</f>
        <v>Promotional Costs</v>
      </c>
      <c r="F5660" s="142" t="s">
        <v>3431</v>
      </c>
      <c r="G5660" s="130"/>
      <c r="H5660" s="177">
        <v>100000</v>
      </c>
      <c r="I5660" s="10"/>
      <c r="J5660" s="79" t="e">
        <f t="shared" si="347"/>
        <v>#VALUE!</v>
      </c>
      <c r="K5660" s="106"/>
      <c r="L5660" s="107"/>
      <c r="M5660" s="106"/>
      <c r="N5660" s="106"/>
      <c r="O5660" s="108"/>
      <c r="P5660" s="108"/>
      <c r="Q5660" s="108"/>
      <c r="R5660" s="109"/>
      <c r="S5660" s="109"/>
      <c r="T5660" s="108"/>
      <c r="U5660" s="110"/>
      <c r="V5660" s="110"/>
      <c r="W5660" s="110"/>
      <c r="X5660" s="110"/>
    </row>
    <row r="5661" spans="1:24" ht="14.25" customHeight="1">
      <c r="A5661" s="110"/>
      <c r="B5661" s="125">
        <v>46203</v>
      </c>
      <c r="C5661" s="126" t="s">
        <v>3432</v>
      </c>
      <c r="D5661" s="15" t="s">
        <v>3108</v>
      </c>
      <c r="E5661" s="10" t="str">
        <f>TRIM(VLOOKUP(D5661,TB!$B$9:$C$1500,2,FALSE))</f>
        <v>Promotional Costs</v>
      </c>
      <c r="F5661" s="142" t="s">
        <v>3433</v>
      </c>
      <c r="G5661" s="130"/>
      <c r="H5661" s="177">
        <v>300000</v>
      </c>
      <c r="I5661" s="10"/>
      <c r="J5661" s="79" t="e">
        <f t="shared" si="347"/>
        <v>#VALUE!</v>
      </c>
      <c r="K5661" s="106"/>
      <c r="L5661" s="107"/>
      <c r="M5661" s="106"/>
      <c r="N5661" s="106"/>
      <c r="O5661" s="108"/>
      <c r="P5661" s="108"/>
      <c r="Q5661" s="108"/>
      <c r="R5661" s="109"/>
      <c r="S5661" s="109"/>
      <c r="T5661" s="108"/>
      <c r="U5661" s="110"/>
      <c r="V5661" s="110"/>
      <c r="W5661" s="110"/>
      <c r="X5661" s="110"/>
    </row>
    <row r="5662" spans="1:24" ht="14.25" customHeight="1">
      <c r="A5662" s="110"/>
      <c r="B5662" s="125">
        <v>46203</v>
      </c>
      <c r="C5662" s="126" t="s">
        <v>3434</v>
      </c>
      <c r="D5662" s="15" t="s">
        <v>3108</v>
      </c>
      <c r="E5662" s="10" t="str">
        <f>TRIM(VLOOKUP(D5662,TB!$B$9:$C$1500,2,FALSE))</f>
        <v>Promotional Costs</v>
      </c>
      <c r="F5662" s="142" t="s">
        <v>3435</v>
      </c>
      <c r="G5662" s="130"/>
      <c r="H5662" s="177">
        <v>200000</v>
      </c>
      <c r="I5662" s="10"/>
      <c r="J5662" s="79" t="e">
        <f t="shared" si="347"/>
        <v>#VALUE!</v>
      </c>
      <c r="K5662" s="106"/>
      <c r="L5662" s="107"/>
      <c r="M5662" s="106"/>
      <c r="N5662" s="106"/>
      <c r="O5662" s="108"/>
      <c r="P5662" s="108"/>
      <c r="Q5662" s="108"/>
      <c r="R5662" s="109"/>
      <c r="S5662" s="109"/>
      <c r="T5662" s="108"/>
      <c r="U5662" s="110"/>
      <c r="V5662" s="110"/>
      <c r="W5662" s="110"/>
      <c r="X5662" s="110"/>
    </row>
    <row r="5663" spans="1:24" ht="14.25" customHeight="1">
      <c r="A5663" s="110"/>
      <c r="B5663" s="125">
        <v>46203</v>
      </c>
      <c r="C5663" s="126" t="s">
        <v>3436</v>
      </c>
      <c r="D5663" s="15" t="s">
        <v>3108</v>
      </c>
      <c r="E5663" s="10" t="str">
        <f>TRIM(VLOOKUP(D5663,TB!$B$9:$C$1500,2,FALSE))</f>
        <v>Promotional Costs</v>
      </c>
      <c r="F5663" s="142" t="s">
        <v>3437</v>
      </c>
      <c r="G5663" s="130"/>
      <c r="H5663" s="177">
        <v>50000</v>
      </c>
      <c r="I5663" s="10"/>
      <c r="J5663" s="79" t="e">
        <f t="shared" si="347"/>
        <v>#VALUE!</v>
      </c>
      <c r="K5663" s="106"/>
      <c r="L5663" s="107"/>
      <c r="M5663" s="106"/>
      <c r="N5663" s="106"/>
      <c r="O5663" s="108"/>
      <c r="P5663" s="108"/>
      <c r="Q5663" s="108"/>
      <c r="R5663" s="109"/>
      <c r="S5663" s="109"/>
      <c r="T5663" s="108"/>
      <c r="U5663" s="110"/>
      <c r="V5663" s="110"/>
      <c r="W5663" s="110"/>
      <c r="X5663" s="110"/>
    </row>
    <row r="5664" spans="1:24" ht="14.25" customHeight="1">
      <c r="A5664" s="110"/>
      <c r="B5664" s="125">
        <v>46203</v>
      </c>
      <c r="C5664" s="126" t="s">
        <v>3438</v>
      </c>
      <c r="D5664" s="15" t="s">
        <v>3108</v>
      </c>
      <c r="E5664" s="10" t="str">
        <f>TRIM(VLOOKUP(D5664,TB!$B$9:$C$1500,2,FALSE))</f>
        <v>Promotional Costs</v>
      </c>
      <c r="F5664" s="142" t="s">
        <v>3439</v>
      </c>
      <c r="G5664" s="130"/>
      <c r="H5664" s="177">
        <v>50000</v>
      </c>
      <c r="I5664" s="10"/>
      <c r="J5664" s="79" t="e">
        <f t="shared" si="347"/>
        <v>#VALUE!</v>
      </c>
      <c r="K5664" s="106"/>
      <c r="L5664" s="107"/>
      <c r="M5664" s="106"/>
      <c r="N5664" s="106"/>
      <c r="O5664" s="108"/>
      <c r="P5664" s="108"/>
      <c r="Q5664" s="108"/>
      <c r="R5664" s="109"/>
      <c r="S5664" s="109"/>
      <c r="T5664" s="108"/>
      <c r="U5664" s="110"/>
      <c r="V5664" s="110"/>
      <c r="W5664" s="110"/>
      <c r="X5664" s="110"/>
    </row>
    <row r="5665" spans="1:24" ht="14.25" customHeight="1">
      <c r="A5665" s="110"/>
      <c r="B5665" s="125">
        <v>46203</v>
      </c>
      <c r="C5665" s="126" t="s">
        <v>3426</v>
      </c>
      <c r="D5665" s="68" t="s">
        <v>285</v>
      </c>
      <c r="E5665" s="10" t="str">
        <f>TRIM(VLOOKUP(D5665,TB!$B$9:$C$1500,2,FALSE))</f>
        <v>Misc Cash Purchase</v>
      </c>
      <c r="F5665" s="142" t="s">
        <v>3427</v>
      </c>
      <c r="G5665" s="130"/>
      <c r="H5665" s="10"/>
      <c r="I5665" s="177">
        <v>300000</v>
      </c>
      <c r="J5665" s="79" t="e">
        <f t="shared" si="347"/>
        <v>#VALUE!</v>
      </c>
      <c r="K5665" s="106"/>
      <c r="L5665" s="107"/>
      <c r="M5665" s="106"/>
      <c r="N5665" s="106"/>
      <c r="O5665" s="108"/>
      <c r="P5665" s="108"/>
      <c r="Q5665" s="108"/>
      <c r="R5665" s="109"/>
      <c r="S5665" s="109"/>
      <c r="T5665" s="108"/>
      <c r="U5665" s="110"/>
      <c r="V5665" s="110"/>
      <c r="W5665" s="110"/>
      <c r="X5665" s="110"/>
    </row>
    <row r="5666" spans="1:24" ht="14.25" customHeight="1">
      <c r="A5666" s="110"/>
      <c r="B5666" s="125">
        <v>46203</v>
      </c>
      <c r="C5666" s="126" t="s">
        <v>3428</v>
      </c>
      <c r="D5666" s="68" t="s">
        <v>285</v>
      </c>
      <c r="E5666" s="10" t="str">
        <f>TRIM(VLOOKUP(D5666,TB!$B$9:$C$1500,2,FALSE))</f>
        <v>Misc Cash Purchase</v>
      </c>
      <c r="F5666" s="142" t="s">
        <v>3429</v>
      </c>
      <c r="G5666" s="130"/>
      <c r="H5666" s="10"/>
      <c r="I5666" s="177">
        <v>200000</v>
      </c>
      <c r="J5666" s="79" t="e">
        <f t="shared" si="347"/>
        <v>#VALUE!</v>
      </c>
      <c r="K5666" s="106"/>
      <c r="L5666" s="107"/>
      <c r="M5666" s="106"/>
      <c r="N5666" s="106"/>
      <c r="O5666" s="108"/>
      <c r="P5666" s="108"/>
      <c r="Q5666" s="108"/>
      <c r="R5666" s="109"/>
      <c r="S5666" s="109"/>
      <c r="T5666" s="108"/>
      <c r="U5666" s="110"/>
      <c r="V5666" s="110"/>
      <c r="W5666" s="110"/>
      <c r="X5666" s="110"/>
    </row>
    <row r="5667" spans="1:24" ht="14.25" customHeight="1">
      <c r="A5667" s="110"/>
      <c r="B5667" s="125">
        <v>46203</v>
      </c>
      <c r="C5667" s="126" t="s">
        <v>3430</v>
      </c>
      <c r="D5667" s="68" t="s">
        <v>285</v>
      </c>
      <c r="E5667" s="10" t="str">
        <f>TRIM(VLOOKUP(D5667,TB!$B$9:$C$1500,2,FALSE))</f>
        <v>Misc Cash Purchase</v>
      </c>
      <c r="F5667" s="142" t="s">
        <v>3431</v>
      </c>
      <c r="G5667" s="130"/>
      <c r="H5667" s="10"/>
      <c r="I5667" s="177">
        <v>100000</v>
      </c>
      <c r="J5667" s="79" t="e">
        <f t="shared" si="347"/>
        <v>#VALUE!</v>
      </c>
      <c r="K5667" s="106"/>
      <c r="L5667" s="107"/>
      <c r="M5667" s="106"/>
      <c r="N5667" s="106"/>
      <c r="O5667" s="108"/>
      <c r="P5667" s="108"/>
      <c r="Q5667" s="108"/>
      <c r="R5667" s="109"/>
      <c r="S5667" s="109"/>
      <c r="T5667" s="108"/>
      <c r="U5667" s="110"/>
      <c r="V5667" s="110"/>
      <c r="W5667" s="110"/>
      <c r="X5667" s="110"/>
    </row>
    <row r="5668" spans="1:24" ht="14.25" customHeight="1">
      <c r="A5668" s="110"/>
      <c r="B5668" s="125">
        <v>46203</v>
      </c>
      <c r="C5668" s="126" t="s">
        <v>3432</v>
      </c>
      <c r="D5668" s="68" t="s">
        <v>285</v>
      </c>
      <c r="E5668" s="10" t="str">
        <f>TRIM(VLOOKUP(D5668,TB!$B$9:$C$1500,2,FALSE))</f>
        <v>Misc Cash Purchase</v>
      </c>
      <c r="F5668" s="142" t="s">
        <v>3433</v>
      </c>
      <c r="G5668" s="130"/>
      <c r="H5668" s="10"/>
      <c r="I5668" s="177">
        <v>300000</v>
      </c>
      <c r="J5668" s="79" t="e">
        <f t="shared" si="347"/>
        <v>#VALUE!</v>
      </c>
      <c r="K5668" s="106"/>
      <c r="L5668" s="107"/>
      <c r="M5668" s="106"/>
      <c r="N5668" s="106"/>
      <c r="O5668" s="108"/>
      <c r="P5668" s="108"/>
      <c r="Q5668" s="108"/>
      <c r="R5668" s="109"/>
      <c r="S5668" s="109"/>
      <c r="T5668" s="108"/>
      <c r="U5668" s="110"/>
      <c r="V5668" s="110"/>
      <c r="W5668" s="110"/>
      <c r="X5668" s="110"/>
    </row>
    <row r="5669" spans="1:24" ht="14.25" customHeight="1">
      <c r="A5669" s="110"/>
      <c r="B5669" s="125">
        <v>46203</v>
      </c>
      <c r="C5669" s="126" t="s">
        <v>3434</v>
      </c>
      <c r="D5669" s="68" t="s">
        <v>285</v>
      </c>
      <c r="E5669" s="10" t="str">
        <f>TRIM(VLOOKUP(D5669,TB!$B$9:$C$1500,2,FALSE))</f>
        <v>Misc Cash Purchase</v>
      </c>
      <c r="F5669" s="142" t="s">
        <v>3435</v>
      </c>
      <c r="G5669" s="130"/>
      <c r="H5669" s="10"/>
      <c r="I5669" s="177">
        <v>200000</v>
      </c>
      <c r="J5669" s="79" t="e">
        <f t="shared" si="347"/>
        <v>#VALUE!</v>
      </c>
      <c r="K5669" s="106"/>
      <c r="L5669" s="107"/>
      <c r="M5669" s="106"/>
      <c r="N5669" s="106"/>
      <c r="O5669" s="108"/>
      <c r="P5669" s="108"/>
      <c r="Q5669" s="108"/>
      <c r="R5669" s="109"/>
      <c r="S5669" s="109"/>
      <c r="T5669" s="108"/>
      <c r="U5669" s="110"/>
      <c r="V5669" s="110"/>
      <c r="W5669" s="110"/>
      <c r="X5669" s="110"/>
    </row>
    <row r="5670" spans="1:24" ht="14.25" customHeight="1">
      <c r="A5670" s="110"/>
      <c r="B5670" s="125">
        <v>46203</v>
      </c>
      <c r="C5670" s="126" t="s">
        <v>3436</v>
      </c>
      <c r="D5670" s="68" t="s">
        <v>285</v>
      </c>
      <c r="E5670" s="10" t="str">
        <f>TRIM(VLOOKUP(D5670,TB!$B$9:$C$1500,2,FALSE))</f>
        <v>Misc Cash Purchase</v>
      </c>
      <c r="F5670" s="142" t="s">
        <v>3437</v>
      </c>
      <c r="G5670" s="130"/>
      <c r="H5670" s="10"/>
      <c r="I5670" s="177">
        <v>50000</v>
      </c>
      <c r="J5670" s="79" t="e">
        <f t="shared" si="347"/>
        <v>#VALUE!</v>
      </c>
      <c r="K5670" s="106"/>
      <c r="L5670" s="107"/>
      <c r="M5670" s="106"/>
      <c r="N5670" s="106"/>
      <c r="O5670" s="108"/>
      <c r="P5670" s="108"/>
      <c r="Q5670" s="108"/>
      <c r="R5670" s="109"/>
      <c r="S5670" s="109"/>
      <c r="T5670" s="108"/>
      <c r="U5670" s="110"/>
      <c r="V5670" s="110"/>
      <c r="W5670" s="110"/>
      <c r="X5670" s="110"/>
    </row>
    <row r="5671" spans="1:24" ht="14.25" customHeight="1">
      <c r="A5671" s="110"/>
      <c r="B5671" s="125">
        <v>46203</v>
      </c>
      <c r="C5671" s="126" t="s">
        <v>3438</v>
      </c>
      <c r="D5671" s="68" t="s">
        <v>285</v>
      </c>
      <c r="E5671" s="10" t="str">
        <f>TRIM(VLOOKUP(D5671,TB!$B$9:$C$1500,2,FALSE))</f>
        <v>Misc Cash Purchase</v>
      </c>
      <c r="F5671" s="142" t="s">
        <v>3439</v>
      </c>
      <c r="G5671" s="130"/>
      <c r="H5671" s="10"/>
      <c r="I5671" s="177">
        <v>50000</v>
      </c>
      <c r="J5671" s="79" t="e">
        <f t="shared" si="347"/>
        <v>#VALUE!</v>
      </c>
      <c r="K5671" s="106"/>
      <c r="L5671" s="107"/>
      <c r="M5671" s="106"/>
      <c r="N5671" s="106"/>
      <c r="O5671" s="108"/>
      <c r="P5671" s="108"/>
      <c r="Q5671" s="108"/>
      <c r="R5671" s="109"/>
      <c r="S5671" s="109"/>
      <c r="T5671" s="108"/>
      <c r="U5671" s="110"/>
      <c r="V5671" s="110"/>
      <c r="W5671" s="110"/>
      <c r="X5671" s="110"/>
    </row>
    <row r="5672" spans="1:24" ht="14.25" customHeight="1">
      <c r="A5672" s="110"/>
      <c r="B5672" s="125"/>
      <c r="C5672" s="126"/>
      <c r="D5672" s="159"/>
      <c r="E5672" s="10" t="e">
        <f>TRIM(VLOOKUP(D5672,TB!$B$9:$C$1500,2,FALSE))</f>
        <v>#N/A</v>
      </c>
      <c r="F5672" s="142"/>
      <c r="G5672" s="130"/>
      <c r="H5672" s="10"/>
      <c r="I5672" s="10"/>
      <c r="J5672" s="79" t="e">
        <f t="shared" si="347"/>
        <v>#VALUE!</v>
      </c>
      <c r="K5672" s="106"/>
      <c r="L5672" s="107"/>
      <c r="M5672" s="106"/>
      <c r="N5672" s="106"/>
      <c r="O5672" s="108"/>
      <c r="P5672" s="108"/>
      <c r="Q5672" s="108"/>
      <c r="R5672" s="109"/>
      <c r="S5672" s="109"/>
      <c r="T5672" s="108"/>
      <c r="U5672" s="110"/>
      <c r="V5672" s="110"/>
      <c r="W5672" s="110"/>
      <c r="X5672" s="110"/>
    </row>
    <row r="5673" spans="1:24" ht="14.25" customHeight="1">
      <c r="A5673" s="110"/>
      <c r="B5673" s="125">
        <v>46203</v>
      </c>
      <c r="C5673" s="126" t="s">
        <v>3440</v>
      </c>
      <c r="D5673" s="15" t="s">
        <v>3441</v>
      </c>
      <c r="E5673" s="10" t="str">
        <f>TRIM(VLOOKUP(D5673,TB!$B$9:$C$1500,2,FALSE))</f>
        <v>Prost Rajawali / Lager Beer 330Ml</v>
      </c>
      <c r="F5673" s="142" t="s">
        <v>3442</v>
      </c>
      <c r="G5673" s="130">
        <f>2*24</f>
        <v>48</v>
      </c>
      <c r="H5673" s="10">
        <v>852000</v>
      </c>
      <c r="I5673" s="10"/>
      <c r="J5673" s="79" t="e">
        <f t="shared" si="347"/>
        <v>#VALUE!</v>
      </c>
      <c r="K5673" s="106"/>
      <c r="L5673" s="107"/>
      <c r="M5673" s="106"/>
      <c r="N5673" s="106"/>
      <c r="O5673" s="108"/>
      <c r="P5673" s="108"/>
      <c r="Q5673" s="108"/>
      <c r="R5673" s="109"/>
      <c r="S5673" s="109"/>
      <c r="T5673" s="108"/>
      <c r="U5673" s="110"/>
      <c r="V5673" s="110"/>
      <c r="W5673" s="110"/>
      <c r="X5673" s="110"/>
    </row>
    <row r="5674" spans="1:24" ht="14.25" customHeight="1">
      <c r="A5674" s="110"/>
      <c r="B5674" s="125">
        <v>46203</v>
      </c>
      <c r="C5674" s="126" t="s">
        <v>3440</v>
      </c>
      <c r="D5674" s="15" t="s">
        <v>3443</v>
      </c>
      <c r="E5674" s="10" t="str">
        <f>TRIM(VLOOKUP(D5674,TB!$B$9:$C$1500,2,FALSE))</f>
        <v>Singaraja Beer 330Ml</v>
      </c>
      <c r="F5674" s="142" t="s">
        <v>3444</v>
      </c>
      <c r="G5674" s="130">
        <f>3*24</f>
        <v>72</v>
      </c>
      <c r="H5674" s="10">
        <v>1080000</v>
      </c>
      <c r="I5674" s="10"/>
      <c r="J5674" s="79" t="e">
        <f t="shared" si="347"/>
        <v>#VALUE!</v>
      </c>
      <c r="K5674" s="106"/>
      <c r="L5674" s="107"/>
      <c r="M5674" s="106"/>
      <c r="N5674" s="106"/>
      <c r="O5674" s="108"/>
      <c r="P5674" s="108"/>
      <c r="Q5674" s="108"/>
      <c r="R5674" s="109"/>
      <c r="S5674" s="109"/>
      <c r="T5674" s="108"/>
      <c r="U5674" s="110"/>
      <c r="V5674" s="110"/>
      <c r="W5674" s="110"/>
      <c r="X5674" s="110"/>
    </row>
    <row r="5675" spans="1:24" ht="14.25" customHeight="1">
      <c r="A5675" s="110"/>
      <c r="B5675" s="125">
        <v>46203</v>
      </c>
      <c r="C5675" s="126" t="s">
        <v>3440</v>
      </c>
      <c r="D5675" s="15" t="s">
        <v>1921</v>
      </c>
      <c r="E5675" s="10" t="str">
        <f>TRIM(VLOOKUP(D5675,TB!$B$9:$C$1500,2,FALSE))</f>
        <v>Bar Supplies &amp; Laundry</v>
      </c>
      <c r="F5675" s="142" t="s">
        <v>3445</v>
      </c>
      <c r="G5675" s="130"/>
      <c r="H5675" s="10">
        <v>156000</v>
      </c>
      <c r="I5675" s="10"/>
      <c r="J5675" s="79" t="e">
        <f t="shared" si="347"/>
        <v>#VALUE!</v>
      </c>
      <c r="K5675" s="106"/>
      <c r="L5675" s="107"/>
      <c r="M5675" s="106"/>
      <c r="N5675" s="106"/>
      <c r="O5675" s="108"/>
      <c r="P5675" s="108"/>
      <c r="Q5675" s="108"/>
      <c r="R5675" s="109"/>
      <c r="S5675" s="109"/>
      <c r="T5675" s="108"/>
      <c r="U5675" s="110"/>
      <c r="V5675" s="110"/>
      <c r="W5675" s="110"/>
      <c r="X5675" s="110"/>
    </row>
    <row r="5676" spans="1:24" ht="14.25" customHeight="1">
      <c r="A5676" s="110"/>
      <c r="B5676" s="125">
        <v>46203</v>
      </c>
      <c r="C5676" s="126" t="s">
        <v>3440</v>
      </c>
      <c r="D5676" s="15" t="s">
        <v>1921</v>
      </c>
      <c r="E5676" s="10" t="str">
        <f>TRIM(VLOOKUP(D5676,TB!$B$9:$C$1500,2,FALSE))</f>
        <v>Bar Supplies &amp; Laundry</v>
      </c>
      <c r="F5676" s="142" t="s">
        <v>3445</v>
      </c>
      <c r="G5676" s="130"/>
      <c r="H5676" s="10"/>
      <c r="I5676" s="10">
        <v>156000</v>
      </c>
      <c r="J5676" s="79" t="e">
        <f t="shared" si="347"/>
        <v>#VALUE!</v>
      </c>
      <c r="K5676" s="106"/>
      <c r="L5676" s="107"/>
      <c r="M5676" s="106"/>
      <c r="N5676" s="106"/>
      <c r="O5676" s="108"/>
      <c r="P5676" s="108"/>
      <c r="Q5676" s="108"/>
      <c r="R5676" s="109"/>
      <c r="S5676" s="109"/>
      <c r="T5676" s="108"/>
      <c r="U5676" s="110"/>
      <c r="V5676" s="110"/>
      <c r="W5676" s="110"/>
      <c r="X5676" s="110"/>
    </row>
    <row r="5677" spans="1:24" ht="14.25" customHeight="1">
      <c r="A5677" s="110"/>
      <c r="B5677" s="125">
        <v>46203</v>
      </c>
      <c r="C5677" s="126" t="s">
        <v>3440</v>
      </c>
      <c r="D5677" s="68" t="s">
        <v>285</v>
      </c>
      <c r="E5677" s="10" t="str">
        <f>TRIM(VLOOKUP(D5677,TB!$B$9:$C$1500,2,FALSE))</f>
        <v>Misc Cash Purchase</v>
      </c>
      <c r="F5677" s="142" t="s">
        <v>3445</v>
      </c>
      <c r="G5677" s="130"/>
      <c r="H5677" s="10"/>
      <c r="I5677" s="10">
        <v>1932000</v>
      </c>
      <c r="J5677" s="79" t="e">
        <f t="shared" si="347"/>
        <v>#VALUE!</v>
      </c>
      <c r="K5677" s="106"/>
      <c r="L5677" s="107"/>
      <c r="M5677" s="106"/>
      <c r="N5677" s="106"/>
      <c r="O5677" s="108"/>
      <c r="P5677" s="108"/>
      <c r="Q5677" s="108"/>
      <c r="R5677" s="109"/>
      <c r="S5677" s="109"/>
      <c r="T5677" s="108"/>
      <c r="U5677" s="110"/>
      <c r="V5677" s="110"/>
      <c r="W5677" s="110"/>
      <c r="X5677" s="110"/>
    </row>
    <row r="5678" spans="1:24" ht="14.25" customHeight="1">
      <c r="A5678" s="110"/>
      <c r="B5678" s="125"/>
      <c r="C5678" s="126"/>
      <c r="D5678" s="159"/>
      <c r="E5678" s="10" t="e">
        <f>TRIM(VLOOKUP(D5678,TB!$B$9:$C$1500,2,FALSE))</f>
        <v>#N/A</v>
      </c>
      <c r="F5678" s="142"/>
      <c r="G5678" s="130"/>
      <c r="H5678" s="10"/>
      <c r="I5678" s="10"/>
      <c r="J5678" s="79" t="e">
        <f t="shared" si="347"/>
        <v>#VALUE!</v>
      </c>
      <c r="K5678" s="106"/>
      <c r="L5678" s="107"/>
      <c r="M5678" s="106"/>
      <c r="N5678" s="106"/>
      <c r="O5678" s="108"/>
      <c r="P5678" s="108"/>
      <c r="Q5678" s="108"/>
      <c r="R5678" s="109"/>
      <c r="S5678" s="109"/>
      <c r="T5678" s="108"/>
      <c r="U5678" s="110"/>
      <c r="V5678" s="110"/>
      <c r="W5678" s="110"/>
      <c r="X5678" s="110"/>
    </row>
    <row r="5679" spans="1:24" ht="14.25" customHeight="1">
      <c r="A5679" s="110"/>
      <c r="B5679" s="125">
        <v>46203</v>
      </c>
      <c r="C5679" s="126" t="s">
        <v>3446</v>
      </c>
      <c r="D5679" s="15" t="s">
        <v>659</v>
      </c>
      <c r="E5679" s="10" t="str">
        <f>TRIM(VLOOKUP(D5679,TB!$B$9:$C$1500,2,FALSE))</f>
        <v>COS - Entertainment</v>
      </c>
      <c r="F5679" s="142" t="s">
        <v>3447</v>
      </c>
      <c r="G5679" s="130"/>
      <c r="H5679" s="10">
        <v>19823547</v>
      </c>
      <c r="I5679" s="10"/>
      <c r="J5679" s="79" t="e">
        <f t="shared" si="347"/>
        <v>#VALUE!</v>
      </c>
      <c r="K5679" s="106"/>
      <c r="L5679" s="107"/>
      <c r="M5679" s="106"/>
      <c r="N5679" s="106"/>
      <c r="O5679" s="108"/>
      <c r="P5679" s="108"/>
      <c r="Q5679" s="108"/>
      <c r="R5679" s="109"/>
      <c r="S5679" s="109"/>
      <c r="T5679" s="108"/>
      <c r="U5679" s="110"/>
      <c r="V5679" s="110"/>
      <c r="W5679" s="110"/>
      <c r="X5679" s="110"/>
    </row>
    <row r="5680" spans="1:24" ht="14.25" customHeight="1">
      <c r="A5680" s="110"/>
      <c r="B5680" s="125">
        <v>46203</v>
      </c>
      <c r="C5680" s="126" t="s">
        <v>3446</v>
      </c>
      <c r="D5680" s="68" t="s">
        <v>285</v>
      </c>
      <c r="E5680" s="10" t="str">
        <f>TRIM(VLOOKUP(D5680,TB!$B$9:$C$1500,2,FALSE))</f>
        <v>Misc Cash Purchase</v>
      </c>
      <c r="F5680" s="142" t="s">
        <v>3447</v>
      </c>
      <c r="G5680" s="130"/>
      <c r="H5680" s="10"/>
      <c r="I5680" s="10">
        <v>19823547</v>
      </c>
      <c r="J5680" s="79" t="e">
        <f t="shared" si="347"/>
        <v>#VALUE!</v>
      </c>
      <c r="K5680" s="106"/>
      <c r="L5680" s="107"/>
      <c r="M5680" s="106"/>
      <c r="N5680" s="106"/>
      <c r="O5680" s="108"/>
      <c r="P5680" s="108"/>
      <c r="Q5680" s="108"/>
      <c r="R5680" s="109"/>
      <c r="S5680" s="109"/>
      <c r="T5680" s="108"/>
      <c r="U5680" s="110"/>
      <c r="V5680" s="110"/>
      <c r="W5680" s="110"/>
      <c r="X5680" s="110"/>
    </row>
    <row r="5681" spans="1:24" ht="14.25" customHeight="1">
      <c r="A5681" s="110"/>
      <c r="B5681" s="125"/>
      <c r="C5681" s="126"/>
      <c r="D5681" s="159"/>
      <c r="E5681" s="10" t="e">
        <f>TRIM(VLOOKUP(D5681,TB!$B$9:$C$1500,2,FALSE))</f>
        <v>#N/A</v>
      </c>
      <c r="F5681" s="142"/>
      <c r="G5681" s="130"/>
      <c r="H5681" s="10"/>
      <c r="I5681" s="10"/>
      <c r="J5681" s="79" t="e">
        <f t="shared" si="347"/>
        <v>#VALUE!</v>
      </c>
      <c r="K5681" s="106"/>
      <c r="L5681" s="107"/>
      <c r="M5681" s="106"/>
      <c r="N5681" s="106"/>
      <c r="O5681" s="108"/>
      <c r="P5681" s="108"/>
      <c r="Q5681" s="108"/>
      <c r="R5681" s="109"/>
      <c r="S5681" s="109"/>
      <c r="T5681" s="108"/>
      <c r="U5681" s="110"/>
      <c r="V5681" s="110"/>
      <c r="W5681" s="110"/>
      <c r="X5681" s="110"/>
    </row>
    <row r="5682" spans="1:24" ht="14.25" customHeight="1">
      <c r="A5682" s="110"/>
      <c r="B5682" s="125">
        <v>46202</v>
      </c>
      <c r="C5682" s="126" t="s">
        <v>3448</v>
      </c>
      <c r="D5682" s="15" t="s">
        <v>3449</v>
      </c>
      <c r="E5682" s="10" t="str">
        <f>TRIM(VLOOKUP(D5682,TB!$B$9:$C$1500,2,FALSE))</f>
        <v>Corona</v>
      </c>
      <c r="F5682" s="142" t="s">
        <v>3450</v>
      </c>
      <c r="G5682" s="130">
        <v>120</v>
      </c>
      <c r="H5682" s="10">
        <v>5950000</v>
      </c>
      <c r="I5682" s="10"/>
      <c r="J5682" s="79" t="e">
        <f t="shared" si="347"/>
        <v>#VALUE!</v>
      </c>
      <c r="K5682" s="106"/>
      <c r="L5682" s="107"/>
      <c r="M5682" s="106"/>
      <c r="N5682" s="106"/>
      <c r="O5682" s="108"/>
      <c r="P5682" s="108"/>
      <c r="Q5682" s="108"/>
      <c r="R5682" s="109"/>
      <c r="S5682" s="109"/>
      <c r="T5682" s="108"/>
      <c r="U5682" s="110"/>
      <c r="V5682" s="110"/>
      <c r="W5682" s="110"/>
      <c r="X5682" s="110"/>
    </row>
    <row r="5683" spans="1:24" ht="14.25" customHeight="1">
      <c r="A5683" s="110"/>
      <c r="B5683" s="125">
        <v>46202</v>
      </c>
      <c r="C5683" s="126" t="s">
        <v>3448</v>
      </c>
      <c r="D5683" s="68" t="s">
        <v>285</v>
      </c>
      <c r="E5683" s="10" t="str">
        <f>TRIM(VLOOKUP(D5683,TB!$B$9:$C$1500,2,FALSE))</f>
        <v>Misc Cash Purchase</v>
      </c>
      <c r="F5683" s="142" t="s">
        <v>3451</v>
      </c>
      <c r="G5683" s="130"/>
      <c r="H5683" s="10"/>
      <c r="I5683" s="10">
        <v>5950000</v>
      </c>
      <c r="J5683" s="79" t="e">
        <f t="shared" si="347"/>
        <v>#VALUE!</v>
      </c>
      <c r="K5683" s="106"/>
      <c r="L5683" s="107"/>
      <c r="M5683" s="106"/>
      <c r="N5683" s="106"/>
      <c r="O5683" s="108"/>
      <c r="P5683" s="108"/>
      <c r="Q5683" s="108"/>
      <c r="R5683" s="109"/>
      <c r="S5683" s="109"/>
      <c r="T5683" s="108"/>
      <c r="U5683" s="110"/>
      <c r="V5683" s="110"/>
      <c r="W5683" s="110"/>
      <c r="X5683" s="110"/>
    </row>
    <row r="5684" spans="1:24" ht="14.25" customHeight="1">
      <c r="A5684" s="110"/>
      <c r="B5684" s="125"/>
      <c r="C5684" s="126"/>
      <c r="D5684" s="159"/>
      <c r="E5684" s="10" t="e">
        <f>TRIM(VLOOKUP(D5684,TB!$B$9:$C$1500,2,FALSE))</f>
        <v>#N/A</v>
      </c>
      <c r="F5684" s="142"/>
      <c r="G5684" s="130"/>
      <c r="H5684" s="10"/>
      <c r="I5684" s="10"/>
      <c r="J5684" s="79" t="e">
        <f t="shared" si="347"/>
        <v>#VALUE!</v>
      </c>
      <c r="K5684" s="106"/>
      <c r="L5684" s="107"/>
      <c r="M5684" s="106"/>
      <c r="N5684" s="106"/>
      <c r="O5684" s="108"/>
      <c r="P5684" s="108"/>
      <c r="Q5684" s="108"/>
      <c r="R5684" s="109"/>
      <c r="S5684" s="109"/>
      <c r="T5684" s="108"/>
      <c r="U5684" s="110"/>
      <c r="V5684" s="110"/>
      <c r="W5684" s="110"/>
      <c r="X5684" s="110"/>
    </row>
    <row r="5685" spans="1:24" ht="14.25" customHeight="1">
      <c r="A5685" s="110"/>
      <c r="B5685" s="125">
        <v>46203</v>
      </c>
      <c r="C5685" s="126" t="s">
        <v>3452</v>
      </c>
      <c r="D5685" s="15" t="s">
        <v>221</v>
      </c>
      <c r="E5685" s="10" t="str">
        <f>TRIM(VLOOKUP(D5685,TB!$B$9:$C$1500,2,FALSE))</f>
        <v>COS - Promotor Fees Other</v>
      </c>
      <c r="F5685" s="185" t="s">
        <v>3453</v>
      </c>
      <c r="G5685" s="130"/>
      <c r="H5685" s="155">
        <v>469580</v>
      </c>
      <c r="I5685" s="10"/>
      <c r="J5685" s="79" t="e">
        <f t="shared" si="347"/>
        <v>#VALUE!</v>
      </c>
      <c r="K5685" s="106"/>
      <c r="L5685" s="107"/>
      <c r="M5685" s="106"/>
      <c r="N5685" s="106"/>
      <c r="O5685" s="108"/>
      <c r="P5685" s="108"/>
      <c r="Q5685" s="108"/>
      <c r="R5685" s="109"/>
      <c r="S5685" s="109"/>
      <c r="T5685" s="108"/>
      <c r="U5685" s="110"/>
      <c r="V5685" s="110"/>
      <c r="W5685" s="110"/>
      <c r="X5685" s="110"/>
    </row>
    <row r="5686" spans="1:24" ht="14.25" customHeight="1">
      <c r="A5686" s="110"/>
      <c r="B5686" s="125">
        <v>46203</v>
      </c>
      <c r="C5686" s="126" t="s">
        <v>3452</v>
      </c>
      <c r="D5686" s="15" t="s">
        <v>3108</v>
      </c>
      <c r="E5686" s="10" t="str">
        <f>TRIM(VLOOKUP(D5686,TB!$B$9:$C$1500,2,FALSE))</f>
        <v>Promotional Costs</v>
      </c>
      <c r="F5686" s="185" t="s">
        <v>3454</v>
      </c>
      <c r="G5686" s="130"/>
      <c r="H5686" s="10">
        <v>90000</v>
      </c>
      <c r="I5686" s="155"/>
      <c r="J5686" s="79" t="e">
        <f t="shared" si="347"/>
        <v>#VALUE!</v>
      </c>
      <c r="K5686" s="106"/>
      <c r="L5686" s="107"/>
      <c r="M5686" s="106"/>
      <c r="N5686" s="106"/>
      <c r="O5686" s="108"/>
      <c r="P5686" s="108"/>
      <c r="Q5686" s="108"/>
      <c r="R5686" s="109"/>
      <c r="S5686" s="109"/>
      <c r="T5686" s="108"/>
      <c r="U5686" s="110"/>
      <c r="V5686" s="110"/>
      <c r="W5686" s="110"/>
      <c r="X5686" s="110"/>
    </row>
    <row r="5687" spans="1:24" ht="14.25" customHeight="1">
      <c r="A5687" s="110"/>
      <c r="B5687" s="125">
        <v>46203</v>
      </c>
      <c r="C5687" s="126" t="s">
        <v>3452</v>
      </c>
      <c r="D5687" s="15" t="s">
        <v>659</v>
      </c>
      <c r="E5687" s="10" t="str">
        <f>TRIM(VLOOKUP(D5687,TB!$B$9:$C$1500,2,FALSE))</f>
        <v>COS - Entertainment</v>
      </c>
      <c r="F5687" s="185" t="s">
        <v>3455</v>
      </c>
      <c r="G5687" s="130"/>
      <c r="H5687" s="10">
        <v>5000000</v>
      </c>
      <c r="I5687" s="155"/>
      <c r="J5687" s="79" t="e">
        <f t="shared" si="347"/>
        <v>#VALUE!</v>
      </c>
      <c r="K5687" s="106"/>
      <c r="L5687" s="107"/>
      <c r="M5687" s="106"/>
      <c r="N5687" s="106"/>
      <c r="O5687" s="108"/>
      <c r="P5687" s="108"/>
      <c r="Q5687" s="108"/>
      <c r="R5687" s="109"/>
      <c r="S5687" s="109"/>
      <c r="T5687" s="108"/>
      <c r="U5687" s="110"/>
      <c r="V5687" s="110"/>
      <c r="W5687" s="110"/>
      <c r="X5687" s="110"/>
    </row>
    <row r="5688" spans="1:24" ht="14.25" customHeight="1">
      <c r="A5688" s="110"/>
      <c r="B5688" s="125">
        <v>46203</v>
      </c>
      <c r="C5688" s="126" t="s">
        <v>3452</v>
      </c>
      <c r="D5688" s="68" t="s">
        <v>285</v>
      </c>
      <c r="E5688" s="10" t="str">
        <f>TRIM(VLOOKUP(D5688,TB!$B$9:$C$1500,2,FALSE))</f>
        <v>Misc Cash Purchase</v>
      </c>
      <c r="F5688" s="185" t="s">
        <v>3456</v>
      </c>
      <c r="G5688" s="130"/>
      <c r="H5688" s="10"/>
      <c r="I5688" s="155">
        <v>5559580</v>
      </c>
      <c r="J5688" s="79" t="e">
        <f t="shared" si="347"/>
        <v>#VALUE!</v>
      </c>
      <c r="K5688" s="106"/>
      <c r="L5688" s="107"/>
      <c r="M5688" s="106"/>
      <c r="N5688" s="106"/>
      <c r="O5688" s="108"/>
      <c r="P5688" s="108"/>
      <c r="Q5688" s="108"/>
      <c r="R5688" s="109"/>
      <c r="S5688" s="109"/>
      <c r="T5688" s="108"/>
      <c r="U5688" s="110"/>
      <c r="V5688" s="110"/>
      <c r="W5688" s="110"/>
      <c r="X5688" s="110"/>
    </row>
    <row r="5689" spans="1:24" ht="14.25" customHeight="1">
      <c r="A5689" s="110"/>
      <c r="B5689" s="125"/>
      <c r="C5689" s="126"/>
      <c r="D5689" s="159"/>
      <c r="E5689" s="10" t="e">
        <f>TRIM(VLOOKUP(D5689,TB!$B$9:$C$1500,2,FALSE))</f>
        <v>#N/A</v>
      </c>
      <c r="F5689" s="142"/>
      <c r="G5689" s="130"/>
      <c r="H5689" s="10"/>
      <c r="I5689" s="10"/>
      <c r="J5689" s="79" t="e">
        <f t="shared" si="347"/>
        <v>#VALUE!</v>
      </c>
      <c r="K5689" s="106"/>
      <c r="L5689" s="107"/>
      <c r="M5689" s="106"/>
      <c r="N5689" s="106"/>
      <c r="O5689" s="108"/>
      <c r="P5689" s="108"/>
      <c r="Q5689" s="108"/>
      <c r="R5689" s="109"/>
      <c r="S5689" s="109"/>
      <c r="T5689" s="108"/>
      <c r="U5689" s="110"/>
      <c r="V5689" s="110"/>
      <c r="W5689" s="110"/>
      <c r="X5689" s="110"/>
    </row>
    <row r="5690" spans="1:24" ht="14.25" customHeight="1">
      <c r="A5690" s="110"/>
      <c r="B5690" s="125">
        <v>46203</v>
      </c>
      <c r="C5690" s="126" t="s">
        <v>3457</v>
      </c>
      <c r="D5690" s="15" t="s">
        <v>3108</v>
      </c>
      <c r="E5690" s="10" t="str">
        <f>TRIM(VLOOKUP(D5690,TB!$B$9:$C$1500,2,FALSE))</f>
        <v>Promotional Costs</v>
      </c>
      <c r="F5690" s="142" t="s">
        <v>3458</v>
      </c>
      <c r="G5690" s="130"/>
      <c r="H5690" s="10">
        <v>220000</v>
      </c>
      <c r="I5690" s="155"/>
      <c r="J5690" s="79" t="e">
        <f t="shared" si="347"/>
        <v>#VALUE!</v>
      </c>
      <c r="K5690" s="106"/>
      <c r="L5690" s="107"/>
      <c r="M5690" s="106"/>
      <c r="N5690" s="106"/>
      <c r="O5690" s="108"/>
      <c r="P5690" s="108"/>
      <c r="Q5690" s="108"/>
      <c r="R5690" s="109"/>
      <c r="S5690" s="109"/>
      <c r="T5690" s="108"/>
      <c r="U5690" s="110"/>
      <c r="V5690" s="110"/>
      <c r="W5690" s="110"/>
      <c r="X5690" s="110"/>
    </row>
    <row r="5691" spans="1:24" ht="14.25" customHeight="1">
      <c r="A5691" s="110"/>
      <c r="B5691" s="125">
        <v>46203</v>
      </c>
      <c r="C5691" s="126" t="s">
        <v>3459</v>
      </c>
      <c r="D5691" s="15" t="s">
        <v>3108</v>
      </c>
      <c r="E5691" s="10" t="str">
        <f>TRIM(VLOOKUP(D5691,TB!$B$9:$C$1500,2,FALSE))</f>
        <v>Promotional Costs</v>
      </c>
      <c r="F5691" s="142" t="s">
        <v>3460</v>
      </c>
      <c r="G5691" s="130"/>
      <c r="H5691" s="10">
        <v>260000</v>
      </c>
      <c r="I5691" s="155"/>
      <c r="J5691" s="79" t="e">
        <f t="shared" si="347"/>
        <v>#VALUE!</v>
      </c>
      <c r="K5691" s="106"/>
      <c r="L5691" s="107"/>
      <c r="M5691" s="106"/>
      <c r="N5691" s="106"/>
      <c r="O5691" s="108"/>
      <c r="P5691" s="108"/>
      <c r="Q5691" s="108"/>
      <c r="R5691" s="109"/>
      <c r="S5691" s="109"/>
      <c r="T5691" s="108"/>
      <c r="U5691" s="110"/>
      <c r="V5691" s="110"/>
      <c r="W5691" s="110"/>
      <c r="X5691" s="110"/>
    </row>
    <row r="5692" spans="1:24" ht="14.25" customHeight="1">
      <c r="A5692" s="110"/>
      <c r="B5692" s="125">
        <v>46203</v>
      </c>
      <c r="C5692" s="126" t="s">
        <v>3461</v>
      </c>
      <c r="D5692" s="15" t="s">
        <v>3108</v>
      </c>
      <c r="E5692" s="10" t="str">
        <f>TRIM(VLOOKUP(D5692,TB!$B$9:$C$1500,2,FALSE))</f>
        <v>Promotional Costs</v>
      </c>
      <c r="F5692" s="142" t="s">
        <v>3462</v>
      </c>
      <c r="G5692" s="130"/>
      <c r="H5692" s="10">
        <v>300000</v>
      </c>
      <c r="I5692" s="155"/>
      <c r="J5692" s="79" t="e">
        <f t="shared" si="347"/>
        <v>#VALUE!</v>
      </c>
      <c r="K5692" s="106"/>
      <c r="L5692" s="107"/>
      <c r="M5692" s="106"/>
      <c r="N5692" s="106"/>
      <c r="O5692" s="108"/>
      <c r="P5692" s="108"/>
      <c r="Q5692" s="108"/>
      <c r="R5692" s="109"/>
      <c r="S5692" s="109"/>
      <c r="T5692" s="108"/>
      <c r="U5692" s="110"/>
      <c r="V5692" s="110"/>
      <c r="W5692" s="110"/>
      <c r="X5692" s="110"/>
    </row>
    <row r="5693" spans="1:24" ht="14.25" customHeight="1">
      <c r="A5693" s="110"/>
      <c r="B5693" s="125">
        <v>46203</v>
      </c>
      <c r="C5693" s="126" t="s">
        <v>3463</v>
      </c>
      <c r="D5693" s="15" t="s">
        <v>3108</v>
      </c>
      <c r="E5693" s="10" t="str">
        <f>TRIM(VLOOKUP(D5693,TB!$B$9:$C$1500,2,FALSE))</f>
        <v>Promotional Costs</v>
      </c>
      <c r="F5693" s="142" t="s">
        <v>3464</v>
      </c>
      <c r="G5693" s="130"/>
      <c r="H5693" s="10">
        <v>240000</v>
      </c>
      <c r="I5693" s="155"/>
      <c r="J5693" s="79" t="e">
        <f t="shared" si="347"/>
        <v>#VALUE!</v>
      </c>
      <c r="K5693" s="106"/>
      <c r="L5693" s="107"/>
      <c r="M5693" s="106"/>
      <c r="N5693" s="106"/>
      <c r="O5693" s="108"/>
      <c r="P5693" s="108"/>
      <c r="Q5693" s="108"/>
      <c r="R5693" s="109"/>
      <c r="S5693" s="109"/>
      <c r="T5693" s="108"/>
      <c r="U5693" s="110"/>
      <c r="V5693" s="110"/>
      <c r="W5693" s="110"/>
      <c r="X5693" s="110"/>
    </row>
    <row r="5694" spans="1:24" ht="14.25" customHeight="1">
      <c r="A5694" s="110"/>
      <c r="B5694" s="125">
        <v>46203</v>
      </c>
      <c r="C5694" s="126" t="s">
        <v>3465</v>
      </c>
      <c r="D5694" s="15" t="s">
        <v>3108</v>
      </c>
      <c r="E5694" s="10" t="str">
        <f>TRIM(VLOOKUP(D5694,TB!$B$9:$C$1500,2,FALSE))</f>
        <v>Promotional Costs</v>
      </c>
      <c r="F5694" s="142" t="s">
        <v>3466</v>
      </c>
      <c r="G5694" s="130"/>
      <c r="H5694" s="10">
        <v>40000</v>
      </c>
      <c r="I5694" s="155"/>
      <c r="J5694" s="79" t="e">
        <f t="shared" si="347"/>
        <v>#VALUE!</v>
      </c>
      <c r="K5694" s="106"/>
      <c r="L5694" s="107"/>
      <c r="M5694" s="106"/>
      <c r="N5694" s="106"/>
      <c r="O5694" s="108"/>
      <c r="P5694" s="108"/>
      <c r="Q5694" s="108"/>
      <c r="R5694" s="109"/>
      <c r="S5694" s="109"/>
      <c r="T5694" s="108"/>
      <c r="U5694" s="110"/>
      <c r="V5694" s="110"/>
      <c r="W5694" s="110"/>
      <c r="X5694" s="110"/>
    </row>
    <row r="5695" spans="1:24" ht="14.25" customHeight="1">
      <c r="A5695" s="110"/>
      <c r="B5695" s="125">
        <v>46203</v>
      </c>
      <c r="C5695" s="126" t="s">
        <v>3467</v>
      </c>
      <c r="D5695" s="15" t="s">
        <v>3108</v>
      </c>
      <c r="E5695" s="10" t="str">
        <f>TRIM(VLOOKUP(D5695,TB!$B$9:$C$1500,2,FALSE))</f>
        <v>Promotional Costs</v>
      </c>
      <c r="F5695" s="142" t="s">
        <v>3468</v>
      </c>
      <c r="G5695" s="130"/>
      <c r="H5695" s="10">
        <v>220000</v>
      </c>
      <c r="I5695" s="155"/>
      <c r="J5695" s="79" t="e">
        <f t="shared" si="347"/>
        <v>#VALUE!</v>
      </c>
      <c r="K5695" s="106"/>
      <c r="L5695" s="107"/>
      <c r="M5695" s="106"/>
      <c r="N5695" s="106"/>
      <c r="O5695" s="108"/>
      <c r="P5695" s="108"/>
      <c r="Q5695" s="108"/>
      <c r="R5695" s="109"/>
      <c r="S5695" s="109"/>
      <c r="T5695" s="108"/>
      <c r="U5695" s="110"/>
      <c r="V5695" s="110"/>
      <c r="W5695" s="110"/>
      <c r="X5695" s="110"/>
    </row>
    <row r="5696" spans="1:24" ht="14.25" customHeight="1">
      <c r="A5696" s="110"/>
      <c r="B5696" s="125">
        <v>46203</v>
      </c>
      <c r="C5696" s="126" t="s">
        <v>3469</v>
      </c>
      <c r="D5696" s="15" t="s">
        <v>3108</v>
      </c>
      <c r="E5696" s="10" t="str">
        <f>TRIM(VLOOKUP(D5696,TB!$B$9:$C$1500,2,FALSE))</f>
        <v>Promotional Costs</v>
      </c>
      <c r="F5696" s="142" t="s">
        <v>3470</v>
      </c>
      <c r="G5696" s="130"/>
      <c r="H5696" s="10">
        <v>80000</v>
      </c>
      <c r="I5696" s="155"/>
      <c r="J5696" s="79" t="e">
        <f t="shared" si="347"/>
        <v>#VALUE!</v>
      </c>
      <c r="K5696" s="106"/>
      <c r="L5696" s="107"/>
      <c r="M5696" s="106"/>
      <c r="N5696" s="106"/>
      <c r="O5696" s="108"/>
      <c r="P5696" s="108"/>
      <c r="Q5696" s="108"/>
      <c r="R5696" s="109"/>
      <c r="S5696" s="109"/>
      <c r="T5696" s="108"/>
      <c r="U5696" s="110"/>
      <c r="V5696" s="110"/>
      <c r="W5696" s="110"/>
      <c r="X5696" s="110"/>
    </row>
    <row r="5697" spans="1:24" ht="14.25" customHeight="1">
      <c r="A5697" s="110"/>
      <c r="B5697" s="125">
        <v>46203</v>
      </c>
      <c r="C5697" s="126" t="s">
        <v>3471</v>
      </c>
      <c r="D5697" s="15" t="s">
        <v>3108</v>
      </c>
      <c r="E5697" s="10" t="str">
        <f>TRIM(VLOOKUP(D5697,TB!$B$9:$C$1500,2,FALSE))</f>
        <v>Promotional Costs</v>
      </c>
      <c r="F5697" s="142" t="s">
        <v>3472</v>
      </c>
      <c r="G5697" s="130"/>
      <c r="H5697" s="10">
        <v>40000</v>
      </c>
      <c r="I5697" s="155"/>
      <c r="J5697" s="79" t="e">
        <f t="shared" si="347"/>
        <v>#VALUE!</v>
      </c>
      <c r="K5697" s="106"/>
      <c r="L5697" s="107"/>
      <c r="M5697" s="106"/>
      <c r="N5697" s="106"/>
      <c r="O5697" s="108"/>
      <c r="P5697" s="108"/>
      <c r="Q5697" s="108"/>
      <c r="R5697" s="109"/>
      <c r="S5697" s="109"/>
      <c r="T5697" s="108"/>
      <c r="U5697" s="110"/>
      <c r="V5697" s="110"/>
      <c r="W5697" s="110"/>
      <c r="X5697" s="110"/>
    </row>
    <row r="5698" spans="1:24" ht="14.25" customHeight="1">
      <c r="A5698" s="110"/>
      <c r="B5698" s="125">
        <v>46203</v>
      </c>
      <c r="C5698" s="126" t="s">
        <v>3473</v>
      </c>
      <c r="D5698" s="15" t="s">
        <v>3108</v>
      </c>
      <c r="E5698" s="10" t="str">
        <f>TRIM(VLOOKUP(D5698,TB!$B$9:$C$1500,2,FALSE))</f>
        <v>Promotional Costs</v>
      </c>
      <c r="F5698" s="142" t="s">
        <v>3474</v>
      </c>
      <c r="G5698" s="130"/>
      <c r="H5698" s="10">
        <v>60000</v>
      </c>
      <c r="I5698" s="155"/>
      <c r="J5698" s="79" t="e">
        <f t="shared" si="347"/>
        <v>#VALUE!</v>
      </c>
      <c r="K5698" s="106"/>
      <c r="L5698" s="107"/>
      <c r="M5698" s="106"/>
      <c r="N5698" s="106"/>
      <c r="O5698" s="108"/>
      <c r="P5698" s="108"/>
      <c r="Q5698" s="108"/>
      <c r="R5698" s="109"/>
      <c r="S5698" s="109"/>
      <c r="T5698" s="108"/>
      <c r="U5698" s="110"/>
      <c r="V5698" s="110"/>
      <c r="W5698" s="110"/>
      <c r="X5698" s="110"/>
    </row>
    <row r="5699" spans="1:24" ht="14.25" customHeight="1">
      <c r="A5699" s="110"/>
      <c r="B5699" s="125">
        <v>46203</v>
      </c>
      <c r="C5699" s="126" t="s">
        <v>3475</v>
      </c>
      <c r="D5699" s="15" t="s">
        <v>3108</v>
      </c>
      <c r="E5699" s="10" t="str">
        <f>TRIM(VLOOKUP(D5699,TB!$B$9:$C$1500,2,FALSE))</f>
        <v>Promotional Costs</v>
      </c>
      <c r="F5699" s="142" t="s">
        <v>3476</v>
      </c>
      <c r="G5699" s="130"/>
      <c r="H5699" s="10">
        <v>160000</v>
      </c>
      <c r="I5699" s="155"/>
      <c r="J5699" s="79" t="e">
        <f t="shared" si="347"/>
        <v>#VALUE!</v>
      </c>
      <c r="K5699" s="106"/>
      <c r="L5699" s="107"/>
      <c r="M5699" s="106"/>
      <c r="N5699" s="106"/>
      <c r="O5699" s="108"/>
      <c r="P5699" s="108"/>
      <c r="Q5699" s="108"/>
      <c r="R5699" s="109"/>
      <c r="S5699" s="109"/>
      <c r="T5699" s="108"/>
      <c r="U5699" s="110"/>
      <c r="V5699" s="110"/>
      <c r="W5699" s="110"/>
      <c r="X5699" s="110"/>
    </row>
    <row r="5700" spans="1:24" ht="14.25" customHeight="1">
      <c r="A5700" s="110"/>
      <c r="B5700" s="125">
        <v>46203</v>
      </c>
      <c r="C5700" s="126" t="s">
        <v>3477</v>
      </c>
      <c r="D5700" s="15" t="s">
        <v>3108</v>
      </c>
      <c r="E5700" s="10" t="str">
        <f>TRIM(VLOOKUP(D5700,TB!$B$9:$C$1500,2,FALSE))</f>
        <v>Promotional Costs</v>
      </c>
      <c r="F5700" s="142" t="s">
        <v>3478</v>
      </c>
      <c r="G5700" s="130"/>
      <c r="H5700" s="10">
        <v>420000</v>
      </c>
      <c r="I5700" s="155"/>
      <c r="J5700" s="79" t="e">
        <f t="shared" si="347"/>
        <v>#VALUE!</v>
      </c>
      <c r="K5700" s="106"/>
      <c r="L5700" s="107"/>
      <c r="M5700" s="106"/>
      <c r="N5700" s="106"/>
      <c r="O5700" s="108"/>
      <c r="P5700" s="108"/>
      <c r="Q5700" s="108"/>
      <c r="R5700" s="109"/>
      <c r="S5700" s="109"/>
      <c r="T5700" s="108"/>
      <c r="U5700" s="110"/>
      <c r="V5700" s="110"/>
      <c r="W5700" s="110"/>
      <c r="X5700" s="110"/>
    </row>
    <row r="5701" spans="1:24" ht="14.25" customHeight="1">
      <c r="A5701" s="110"/>
      <c r="B5701" s="125">
        <v>46203</v>
      </c>
      <c r="C5701" s="126" t="s">
        <v>3479</v>
      </c>
      <c r="D5701" s="15" t="s">
        <v>3108</v>
      </c>
      <c r="E5701" s="10" t="str">
        <f>TRIM(VLOOKUP(D5701,TB!$B$9:$C$1500,2,FALSE))</f>
        <v>Promotional Costs</v>
      </c>
      <c r="F5701" s="142" t="s">
        <v>3480</v>
      </c>
      <c r="G5701" s="130"/>
      <c r="H5701" s="10">
        <v>180000</v>
      </c>
      <c r="I5701" s="155"/>
      <c r="J5701" s="79" t="e">
        <f t="shared" si="347"/>
        <v>#VALUE!</v>
      </c>
      <c r="K5701" s="106"/>
      <c r="L5701" s="107"/>
      <c r="M5701" s="106"/>
      <c r="N5701" s="106"/>
      <c r="O5701" s="108"/>
      <c r="P5701" s="108"/>
      <c r="Q5701" s="108"/>
      <c r="R5701" s="109"/>
      <c r="S5701" s="109"/>
      <c r="T5701" s="108"/>
      <c r="U5701" s="110"/>
      <c r="V5701" s="110"/>
      <c r="W5701" s="110"/>
      <c r="X5701" s="110"/>
    </row>
    <row r="5702" spans="1:24" ht="14.25" customHeight="1">
      <c r="A5702" s="110"/>
      <c r="B5702" s="125">
        <v>46203</v>
      </c>
      <c r="C5702" s="126" t="s">
        <v>3481</v>
      </c>
      <c r="D5702" s="15" t="s">
        <v>3108</v>
      </c>
      <c r="E5702" s="10" t="str">
        <f>TRIM(VLOOKUP(D5702,TB!$B$9:$C$1500,2,FALSE))</f>
        <v>Promotional Costs</v>
      </c>
      <c r="F5702" s="142" t="s">
        <v>3482</v>
      </c>
      <c r="G5702" s="130"/>
      <c r="H5702" s="10">
        <v>40000</v>
      </c>
      <c r="I5702" s="155"/>
      <c r="J5702" s="79" t="e">
        <f t="shared" si="347"/>
        <v>#VALUE!</v>
      </c>
      <c r="K5702" s="106"/>
      <c r="L5702" s="107"/>
      <c r="M5702" s="106"/>
      <c r="N5702" s="106"/>
      <c r="O5702" s="108"/>
      <c r="P5702" s="108"/>
      <c r="Q5702" s="108"/>
      <c r="R5702" s="109"/>
      <c r="S5702" s="109"/>
      <c r="T5702" s="108"/>
      <c r="U5702" s="110"/>
      <c r="V5702" s="110"/>
      <c r="W5702" s="110"/>
      <c r="X5702" s="110"/>
    </row>
    <row r="5703" spans="1:24" ht="14.25" customHeight="1">
      <c r="A5703" s="110"/>
      <c r="B5703" s="125">
        <v>46203</v>
      </c>
      <c r="C5703" s="126" t="s">
        <v>3457</v>
      </c>
      <c r="D5703" s="68" t="s">
        <v>285</v>
      </c>
      <c r="E5703" s="10" t="str">
        <f>TRIM(VLOOKUP(D5703,TB!$B$9:$C$1500,2,FALSE))</f>
        <v>Misc Cash Purchase</v>
      </c>
      <c r="F5703" s="142" t="s">
        <v>3458</v>
      </c>
      <c r="G5703" s="130"/>
      <c r="H5703" s="10"/>
      <c r="I5703" s="10">
        <v>220000</v>
      </c>
      <c r="J5703" s="79" t="e">
        <f t="shared" si="347"/>
        <v>#VALUE!</v>
      </c>
      <c r="K5703" s="106"/>
      <c r="L5703" s="107"/>
      <c r="M5703" s="106"/>
      <c r="N5703" s="106"/>
      <c r="O5703" s="108"/>
      <c r="P5703" s="108"/>
      <c r="Q5703" s="108"/>
      <c r="R5703" s="109"/>
      <c r="S5703" s="109"/>
      <c r="T5703" s="108"/>
      <c r="U5703" s="110"/>
      <c r="V5703" s="110"/>
      <c r="W5703" s="110"/>
      <c r="X5703" s="110"/>
    </row>
    <row r="5704" spans="1:24" ht="14.25" customHeight="1">
      <c r="A5704" s="110"/>
      <c r="B5704" s="125">
        <v>46203</v>
      </c>
      <c r="C5704" s="126" t="s">
        <v>3459</v>
      </c>
      <c r="D5704" s="68" t="s">
        <v>285</v>
      </c>
      <c r="E5704" s="10" t="str">
        <f>TRIM(VLOOKUP(D5704,TB!$B$9:$C$1500,2,FALSE))</f>
        <v>Misc Cash Purchase</v>
      </c>
      <c r="F5704" s="142" t="s">
        <v>3460</v>
      </c>
      <c r="G5704" s="130"/>
      <c r="H5704" s="10"/>
      <c r="I5704" s="10">
        <v>260000</v>
      </c>
      <c r="J5704" s="79" t="e">
        <f t="shared" si="347"/>
        <v>#VALUE!</v>
      </c>
      <c r="K5704" s="106"/>
      <c r="L5704" s="107"/>
      <c r="M5704" s="106"/>
      <c r="N5704" s="106"/>
      <c r="O5704" s="108"/>
      <c r="P5704" s="108"/>
      <c r="Q5704" s="108"/>
      <c r="R5704" s="109"/>
      <c r="S5704" s="109"/>
      <c r="T5704" s="108"/>
      <c r="U5704" s="110"/>
      <c r="V5704" s="110"/>
      <c r="W5704" s="110"/>
      <c r="X5704" s="110"/>
    </row>
    <row r="5705" spans="1:24" ht="14.25" customHeight="1">
      <c r="A5705" s="110"/>
      <c r="B5705" s="125">
        <v>46203</v>
      </c>
      <c r="C5705" s="126" t="s">
        <v>3461</v>
      </c>
      <c r="D5705" s="68" t="s">
        <v>285</v>
      </c>
      <c r="E5705" s="10" t="str">
        <f>TRIM(VLOOKUP(D5705,TB!$B$9:$C$1500,2,FALSE))</f>
        <v>Misc Cash Purchase</v>
      </c>
      <c r="F5705" s="142" t="s">
        <v>3462</v>
      </c>
      <c r="G5705" s="130"/>
      <c r="H5705" s="10"/>
      <c r="I5705" s="10">
        <v>300000</v>
      </c>
      <c r="J5705" s="79" t="e">
        <f t="shared" si="347"/>
        <v>#VALUE!</v>
      </c>
      <c r="K5705" s="106"/>
      <c r="L5705" s="107"/>
      <c r="M5705" s="106"/>
      <c r="N5705" s="106"/>
      <c r="O5705" s="108"/>
      <c r="P5705" s="108"/>
      <c r="Q5705" s="108"/>
      <c r="R5705" s="109"/>
      <c r="S5705" s="109"/>
      <c r="T5705" s="108"/>
      <c r="U5705" s="110"/>
      <c r="V5705" s="110"/>
      <c r="W5705" s="110"/>
      <c r="X5705" s="110"/>
    </row>
    <row r="5706" spans="1:24" ht="14.25" customHeight="1">
      <c r="A5706" s="110"/>
      <c r="B5706" s="125">
        <v>46203</v>
      </c>
      <c r="C5706" s="126" t="s">
        <v>3463</v>
      </c>
      <c r="D5706" s="68" t="s">
        <v>285</v>
      </c>
      <c r="E5706" s="10" t="str">
        <f>TRIM(VLOOKUP(D5706,TB!$B$9:$C$1500,2,FALSE))</f>
        <v>Misc Cash Purchase</v>
      </c>
      <c r="F5706" s="142" t="s">
        <v>3464</v>
      </c>
      <c r="G5706" s="130"/>
      <c r="H5706" s="10"/>
      <c r="I5706" s="10">
        <v>240000</v>
      </c>
      <c r="J5706" s="79" t="e">
        <f t="shared" si="347"/>
        <v>#VALUE!</v>
      </c>
      <c r="K5706" s="106"/>
      <c r="L5706" s="107"/>
      <c r="M5706" s="106"/>
      <c r="N5706" s="106"/>
      <c r="O5706" s="108"/>
      <c r="P5706" s="108"/>
      <c r="Q5706" s="108"/>
      <c r="R5706" s="109"/>
      <c r="S5706" s="109"/>
      <c r="T5706" s="108"/>
      <c r="U5706" s="110"/>
      <c r="V5706" s="110"/>
      <c r="W5706" s="110"/>
      <c r="X5706" s="110"/>
    </row>
    <row r="5707" spans="1:24" ht="14.25" customHeight="1">
      <c r="A5707" s="110"/>
      <c r="B5707" s="125">
        <v>46203</v>
      </c>
      <c r="C5707" s="126" t="s">
        <v>3465</v>
      </c>
      <c r="D5707" s="68" t="s">
        <v>285</v>
      </c>
      <c r="E5707" s="10" t="str">
        <f>TRIM(VLOOKUP(D5707,TB!$B$9:$C$1500,2,FALSE))</f>
        <v>Misc Cash Purchase</v>
      </c>
      <c r="F5707" s="142" t="s">
        <v>3466</v>
      </c>
      <c r="G5707" s="130"/>
      <c r="H5707" s="10"/>
      <c r="I5707" s="10">
        <v>40000</v>
      </c>
      <c r="J5707" s="79" t="e">
        <f t="shared" si="347"/>
        <v>#VALUE!</v>
      </c>
      <c r="K5707" s="106"/>
      <c r="L5707" s="107"/>
      <c r="M5707" s="106"/>
      <c r="N5707" s="106"/>
      <c r="O5707" s="108"/>
      <c r="P5707" s="108"/>
      <c r="Q5707" s="108"/>
      <c r="R5707" s="109"/>
      <c r="S5707" s="109"/>
      <c r="T5707" s="108"/>
      <c r="U5707" s="110"/>
      <c r="V5707" s="110"/>
      <c r="W5707" s="110"/>
      <c r="X5707" s="110"/>
    </row>
    <row r="5708" spans="1:24" ht="14.25" customHeight="1">
      <c r="A5708" s="110"/>
      <c r="B5708" s="125">
        <v>46203</v>
      </c>
      <c r="C5708" s="126" t="s">
        <v>3467</v>
      </c>
      <c r="D5708" s="68" t="s">
        <v>285</v>
      </c>
      <c r="E5708" s="10" t="str">
        <f>TRIM(VLOOKUP(D5708,TB!$B$9:$C$1500,2,FALSE))</f>
        <v>Misc Cash Purchase</v>
      </c>
      <c r="F5708" s="142" t="s">
        <v>3468</v>
      </c>
      <c r="G5708" s="130"/>
      <c r="H5708" s="10"/>
      <c r="I5708" s="10">
        <v>220000</v>
      </c>
      <c r="J5708" s="79" t="e">
        <f t="shared" si="347"/>
        <v>#VALUE!</v>
      </c>
      <c r="K5708" s="106"/>
      <c r="L5708" s="107"/>
      <c r="M5708" s="106"/>
      <c r="N5708" s="106"/>
      <c r="O5708" s="108"/>
      <c r="P5708" s="108"/>
      <c r="Q5708" s="108"/>
      <c r="R5708" s="109"/>
      <c r="S5708" s="109"/>
      <c r="T5708" s="108"/>
      <c r="U5708" s="110"/>
      <c r="V5708" s="110"/>
      <c r="W5708" s="110"/>
      <c r="X5708" s="110"/>
    </row>
    <row r="5709" spans="1:24" ht="14.25" customHeight="1">
      <c r="A5709" s="110"/>
      <c r="B5709" s="125">
        <v>46203</v>
      </c>
      <c r="C5709" s="126" t="s">
        <v>3469</v>
      </c>
      <c r="D5709" s="68" t="s">
        <v>285</v>
      </c>
      <c r="E5709" s="10" t="str">
        <f>TRIM(VLOOKUP(D5709,TB!$B$9:$C$1500,2,FALSE))</f>
        <v>Misc Cash Purchase</v>
      </c>
      <c r="F5709" s="142" t="s">
        <v>3470</v>
      </c>
      <c r="G5709" s="130"/>
      <c r="H5709" s="10"/>
      <c r="I5709" s="10">
        <v>80000</v>
      </c>
      <c r="J5709" s="79" t="e">
        <f t="shared" si="347"/>
        <v>#VALUE!</v>
      </c>
      <c r="K5709" s="106"/>
      <c r="L5709" s="107"/>
      <c r="M5709" s="106"/>
      <c r="N5709" s="106"/>
      <c r="O5709" s="108"/>
      <c r="P5709" s="108"/>
      <c r="Q5709" s="108"/>
      <c r="R5709" s="109"/>
      <c r="S5709" s="109"/>
      <c r="T5709" s="108"/>
      <c r="U5709" s="110"/>
      <c r="V5709" s="110"/>
      <c r="W5709" s="110"/>
      <c r="X5709" s="110"/>
    </row>
    <row r="5710" spans="1:24" ht="14.25" customHeight="1">
      <c r="A5710" s="110"/>
      <c r="B5710" s="125">
        <v>46203</v>
      </c>
      <c r="C5710" s="126" t="s">
        <v>3471</v>
      </c>
      <c r="D5710" s="68" t="s">
        <v>285</v>
      </c>
      <c r="E5710" s="10" t="str">
        <f>TRIM(VLOOKUP(D5710,TB!$B$9:$C$1500,2,FALSE))</f>
        <v>Misc Cash Purchase</v>
      </c>
      <c r="F5710" s="142" t="s">
        <v>3472</v>
      </c>
      <c r="G5710" s="130"/>
      <c r="H5710" s="10"/>
      <c r="I5710" s="10">
        <v>40000</v>
      </c>
      <c r="J5710" s="79" t="e">
        <f t="shared" si="347"/>
        <v>#VALUE!</v>
      </c>
      <c r="K5710" s="106"/>
      <c r="L5710" s="107"/>
      <c r="M5710" s="106"/>
      <c r="N5710" s="106"/>
      <c r="O5710" s="108"/>
      <c r="P5710" s="108"/>
      <c r="Q5710" s="108"/>
      <c r="R5710" s="109"/>
      <c r="S5710" s="109"/>
      <c r="T5710" s="108"/>
      <c r="U5710" s="110"/>
      <c r="V5710" s="110"/>
      <c r="W5710" s="110"/>
      <c r="X5710" s="110"/>
    </row>
    <row r="5711" spans="1:24" ht="14.25" customHeight="1">
      <c r="A5711" s="110"/>
      <c r="B5711" s="125">
        <v>46203</v>
      </c>
      <c r="C5711" s="126" t="s">
        <v>3473</v>
      </c>
      <c r="D5711" s="68" t="s">
        <v>285</v>
      </c>
      <c r="E5711" s="10" t="str">
        <f>TRIM(VLOOKUP(D5711,TB!$B$9:$C$1500,2,FALSE))</f>
        <v>Misc Cash Purchase</v>
      </c>
      <c r="F5711" s="142" t="s">
        <v>3474</v>
      </c>
      <c r="G5711" s="130"/>
      <c r="H5711" s="10"/>
      <c r="I5711" s="10">
        <v>60000</v>
      </c>
      <c r="J5711" s="79" t="e">
        <f t="shared" si="347"/>
        <v>#VALUE!</v>
      </c>
      <c r="K5711" s="106"/>
      <c r="L5711" s="107"/>
      <c r="M5711" s="106"/>
      <c r="N5711" s="106"/>
      <c r="O5711" s="108"/>
      <c r="P5711" s="108"/>
      <c r="Q5711" s="108"/>
      <c r="R5711" s="109"/>
      <c r="S5711" s="109"/>
      <c r="T5711" s="108"/>
      <c r="U5711" s="110"/>
      <c r="V5711" s="110"/>
      <c r="W5711" s="110"/>
      <c r="X5711" s="110"/>
    </row>
    <row r="5712" spans="1:24" ht="14.25" customHeight="1">
      <c r="A5712" s="110"/>
      <c r="B5712" s="125">
        <v>46203</v>
      </c>
      <c r="C5712" s="126" t="s">
        <v>3475</v>
      </c>
      <c r="D5712" s="68" t="s">
        <v>285</v>
      </c>
      <c r="E5712" s="10" t="str">
        <f>TRIM(VLOOKUP(D5712,TB!$B$9:$C$1500,2,FALSE))</f>
        <v>Misc Cash Purchase</v>
      </c>
      <c r="F5712" s="142" t="s">
        <v>3476</v>
      </c>
      <c r="G5712" s="130"/>
      <c r="H5712" s="10"/>
      <c r="I5712" s="10">
        <v>160000</v>
      </c>
      <c r="J5712" s="79" t="e">
        <f t="shared" si="347"/>
        <v>#VALUE!</v>
      </c>
      <c r="K5712" s="106"/>
      <c r="L5712" s="107"/>
      <c r="M5712" s="106"/>
      <c r="N5712" s="106"/>
      <c r="O5712" s="108"/>
      <c r="P5712" s="108"/>
      <c r="Q5712" s="108"/>
      <c r="R5712" s="109"/>
      <c r="S5712" s="109"/>
      <c r="T5712" s="108"/>
      <c r="U5712" s="110"/>
      <c r="V5712" s="110"/>
      <c r="W5712" s="110"/>
      <c r="X5712" s="110"/>
    </row>
    <row r="5713" spans="1:24" ht="14.25" customHeight="1">
      <c r="A5713" s="110"/>
      <c r="B5713" s="125">
        <v>46203</v>
      </c>
      <c r="C5713" s="126" t="s">
        <v>3477</v>
      </c>
      <c r="D5713" s="68" t="s">
        <v>285</v>
      </c>
      <c r="E5713" s="10" t="str">
        <f>TRIM(VLOOKUP(D5713,TB!$B$9:$C$1500,2,FALSE))</f>
        <v>Misc Cash Purchase</v>
      </c>
      <c r="F5713" s="142" t="s">
        <v>3478</v>
      </c>
      <c r="G5713" s="130"/>
      <c r="H5713" s="10"/>
      <c r="I5713" s="10">
        <v>420000</v>
      </c>
      <c r="J5713" s="79" t="e">
        <f t="shared" si="347"/>
        <v>#VALUE!</v>
      </c>
      <c r="K5713" s="106"/>
      <c r="L5713" s="107"/>
      <c r="M5713" s="106"/>
      <c r="N5713" s="106"/>
      <c r="O5713" s="108"/>
      <c r="P5713" s="108"/>
      <c r="Q5713" s="108"/>
      <c r="R5713" s="109"/>
      <c r="S5713" s="109"/>
      <c r="T5713" s="108"/>
      <c r="U5713" s="110"/>
      <c r="V5713" s="110"/>
      <c r="W5713" s="110"/>
      <c r="X5713" s="110"/>
    </row>
    <row r="5714" spans="1:24" ht="14.25" customHeight="1">
      <c r="A5714" s="110"/>
      <c r="B5714" s="125">
        <v>46203</v>
      </c>
      <c r="C5714" s="126" t="s">
        <v>3479</v>
      </c>
      <c r="D5714" s="68" t="s">
        <v>285</v>
      </c>
      <c r="E5714" s="10" t="str">
        <f>TRIM(VLOOKUP(D5714,TB!$B$9:$C$1500,2,FALSE))</f>
        <v>Misc Cash Purchase</v>
      </c>
      <c r="F5714" s="142" t="s">
        <v>3480</v>
      </c>
      <c r="G5714" s="130"/>
      <c r="H5714" s="10"/>
      <c r="I5714" s="10">
        <v>180000</v>
      </c>
      <c r="J5714" s="79" t="e">
        <f t="shared" si="347"/>
        <v>#VALUE!</v>
      </c>
      <c r="K5714" s="106"/>
      <c r="L5714" s="107"/>
      <c r="M5714" s="106"/>
      <c r="N5714" s="106"/>
      <c r="O5714" s="108"/>
      <c r="P5714" s="108"/>
      <c r="Q5714" s="108"/>
      <c r="R5714" s="109"/>
      <c r="S5714" s="109"/>
      <c r="T5714" s="108"/>
      <c r="U5714" s="110"/>
      <c r="V5714" s="110"/>
      <c r="W5714" s="110"/>
      <c r="X5714" s="110"/>
    </row>
    <row r="5715" spans="1:24" ht="14.25" customHeight="1">
      <c r="A5715" s="110"/>
      <c r="B5715" s="125">
        <v>46203</v>
      </c>
      <c r="C5715" s="126" t="s">
        <v>3481</v>
      </c>
      <c r="D5715" s="68" t="s">
        <v>285</v>
      </c>
      <c r="E5715" s="10" t="str">
        <f>TRIM(VLOOKUP(D5715,TB!$B$9:$C$1500,2,FALSE))</f>
        <v>Misc Cash Purchase</v>
      </c>
      <c r="F5715" s="142" t="s">
        <v>3482</v>
      </c>
      <c r="G5715" s="130"/>
      <c r="H5715" s="10"/>
      <c r="I5715" s="10">
        <v>40000</v>
      </c>
      <c r="J5715" s="79" t="e">
        <f t="shared" si="347"/>
        <v>#VALUE!</v>
      </c>
      <c r="K5715" s="106"/>
      <c r="L5715" s="107"/>
      <c r="M5715" s="106"/>
      <c r="N5715" s="106"/>
      <c r="O5715" s="108"/>
      <c r="P5715" s="108"/>
      <c r="Q5715" s="108"/>
      <c r="R5715" s="109"/>
      <c r="S5715" s="109"/>
      <c r="T5715" s="108"/>
      <c r="U5715" s="110"/>
      <c r="V5715" s="110"/>
      <c r="W5715" s="110"/>
      <c r="X5715" s="110"/>
    </row>
    <row r="5716" spans="1:24" ht="14.25" customHeight="1">
      <c r="A5716" s="110"/>
      <c r="B5716" s="125"/>
      <c r="C5716" s="126"/>
      <c r="D5716" s="159"/>
      <c r="E5716" s="10" t="e">
        <f>TRIM(VLOOKUP(D5716,TB!$B$9:$C$1500,2,FALSE))</f>
        <v>#N/A</v>
      </c>
      <c r="F5716" s="142"/>
      <c r="G5716" s="130"/>
      <c r="H5716" s="10"/>
      <c r="I5716" s="10"/>
      <c r="J5716" s="79" t="e">
        <f t="shared" si="347"/>
        <v>#VALUE!</v>
      </c>
      <c r="K5716" s="106"/>
      <c r="L5716" s="107"/>
      <c r="M5716" s="106"/>
      <c r="N5716" s="106"/>
      <c r="O5716" s="108"/>
      <c r="P5716" s="108"/>
      <c r="Q5716" s="108"/>
      <c r="R5716" s="109"/>
      <c r="S5716" s="109"/>
      <c r="T5716" s="108"/>
      <c r="U5716" s="110"/>
      <c r="V5716" s="110"/>
      <c r="W5716" s="110"/>
      <c r="X5716" s="110"/>
    </row>
    <row r="5717" spans="1:24" ht="14.25" customHeight="1">
      <c r="A5717" s="110"/>
      <c r="B5717" s="125">
        <v>46203</v>
      </c>
      <c r="C5717" s="126" t="s">
        <v>3483</v>
      </c>
      <c r="D5717" s="15" t="s">
        <v>221</v>
      </c>
      <c r="E5717" s="10" t="str">
        <f>TRIM(VLOOKUP(D5717,TB!$B$9:$C$1500,2,FALSE))</f>
        <v>COS - Promotor Fees Other</v>
      </c>
      <c r="F5717" s="142" t="s">
        <v>3484</v>
      </c>
      <c r="G5717" s="130"/>
      <c r="H5717" s="155">
        <v>3184307.5</v>
      </c>
      <c r="I5717" s="10"/>
      <c r="J5717" s="79" t="e">
        <f t="shared" si="347"/>
        <v>#VALUE!</v>
      </c>
      <c r="K5717" s="106"/>
      <c r="L5717" s="107"/>
      <c r="M5717" s="106"/>
      <c r="N5717" s="106"/>
      <c r="O5717" s="108"/>
      <c r="P5717" s="108"/>
      <c r="Q5717" s="108"/>
      <c r="R5717" s="109"/>
      <c r="S5717" s="109"/>
      <c r="T5717" s="108"/>
      <c r="U5717" s="110"/>
      <c r="V5717" s="110"/>
      <c r="W5717" s="110"/>
      <c r="X5717" s="110"/>
    </row>
    <row r="5718" spans="1:24" ht="14.25" customHeight="1">
      <c r="A5718" s="110"/>
      <c r="B5718" s="125">
        <v>46203</v>
      </c>
      <c r="C5718" s="126" t="s">
        <v>3483</v>
      </c>
      <c r="D5718" s="15" t="s">
        <v>188</v>
      </c>
      <c r="E5718" s="10" t="str">
        <f>TRIM(VLOOKUP(D5718,TB!$B$9:$C$1500,2,FALSE))</f>
        <v>Advertising Costs</v>
      </c>
      <c r="F5718" s="142" t="s">
        <v>3485</v>
      </c>
      <c r="G5718" s="130"/>
      <c r="H5718" s="155">
        <v>300000</v>
      </c>
      <c r="I5718" s="10"/>
      <c r="J5718" s="79" t="e">
        <f t="shared" si="347"/>
        <v>#VALUE!</v>
      </c>
      <c r="K5718" s="106"/>
      <c r="L5718" s="107"/>
      <c r="M5718" s="106"/>
      <c r="N5718" s="106"/>
      <c r="O5718" s="108"/>
      <c r="P5718" s="108"/>
      <c r="Q5718" s="108"/>
      <c r="R5718" s="109"/>
      <c r="S5718" s="109"/>
      <c r="T5718" s="108"/>
      <c r="U5718" s="110"/>
      <c r="V5718" s="110"/>
      <c r="W5718" s="110"/>
      <c r="X5718" s="110"/>
    </row>
    <row r="5719" spans="1:24" ht="14.25" customHeight="1">
      <c r="A5719" s="110"/>
      <c r="B5719" s="125">
        <v>46203</v>
      </c>
      <c r="C5719" s="126" t="s">
        <v>3483</v>
      </c>
      <c r="D5719" s="68" t="s">
        <v>285</v>
      </c>
      <c r="E5719" s="10" t="str">
        <f>TRIM(VLOOKUP(D5719,TB!$B$9:$C$1500,2,FALSE))</f>
        <v>Misc Cash Purchase</v>
      </c>
      <c r="F5719" s="142" t="s">
        <v>3486</v>
      </c>
      <c r="G5719" s="130"/>
      <c r="H5719" s="10"/>
      <c r="I5719" s="155">
        <v>3484307.5</v>
      </c>
      <c r="J5719" s="79" t="e">
        <f t="shared" si="347"/>
        <v>#VALUE!</v>
      </c>
      <c r="K5719" s="106"/>
      <c r="L5719" s="107"/>
      <c r="M5719" s="106"/>
      <c r="N5719" s="106"/>
      <c r="O5719" s="108"/>
      <c r="P5719" s="108"/>
      <c r="Q5719" s="108"/>
      <c r="R5719" s="109"/>
      <c r="S5719" s="109"/>
      <c r="T5719" s="108"/>
      <c r="U5719" s="110"/>
      <c r="V5719" s="110"/>
      <c r="W5719" s="110"/>
      <c r="X5719" s="110"/>
    </row>
    <row r="5720" spans="1:24" ht="14.25" customHeight="1">
      <c r="A5720" s="110"/>
      <c r="B5720" s="125"/>
      <c r="C5720" s="126"/>
      <c r="D5720" s="159"/>
      <c r="E5720" s="10" t="e">
        <f>TRIM(VLOOKUP(D5720,TB!$B$9:$C$1500,2,FALSE))</f>
        <v>#N/A</v>
      </c>
      <c r="F5720" s="142"/>
      <c r="G5720" s="130"/>
      <c r="H5720" s="10"/>
      <c r="I5720" s="10"/>
      <c r="J5720" s="79" t="e">
        <f t="shared" si="347"/>
        <v>#VALUE!</v>
      </c>
      <c r="K5720" s="106"/>
      <c r="L5720" s="107"/>
      <c r="M5720" s="106"/>
      <c r="N5720" s="106"/>
      <c r="O5720" s="108"/>
      <c r="P5720" s="108"/>
      <c r="Q5720" s="108"/>
      <c r="R5720" s="109"/>
      <c r="S5720" s="109"/>
      <c r="T5720" s="108"/>
      <c r="U5720" s="110"/>
      <c r="V5720" s="110"/>
      <c r="W5720" s="110"/>
      <c r="X5720" s="110"/>
    </row>
    <row r="5721" spans="1:24" ht="14.25" customHeight="1">
      <c r="A5721" s="110"/>
      <c r="B5721" s="125">
        <v>46203</v>
      </c>
      <c r="C5721" s="126" t="s">
        <v>3487</v>
      </c>
      <c r="D5721" s="15" t="s">
        <v>3108</v>
      </c>
      <c r="E5721" s="10" t="str">
        <f>TRIM(VLOOKUP(D5721,TB!$B$9:$C$1500,2,FALSE))</f>
        <v>Promotional Costs</v>
      </c>
      <c r="F5721" s="186" t="s">
        <v>3488</v>
      </c>
      <c r="G5721" s="130"/>
      <c r="H5721" s="155">
        <v>40000</v>
      </c>
      <c r="I5721" s="10"/>
      <c r="J5721" s="79" t="e">
        <f t="shared" si="347"/>
        <v>#VALUE!</v>
      </c>
      <c r="K5721" s="106"/>
      <c r="L5721" s="107"/>
      <c r="M5721" s="106"/>
      <c r="N5721" s="106"/>
      <c r="O5721" s="108"/>
      <c r="P5721" s="108"/>
      <c r="Q5721" s="108"/>
      <c r="R5721" s="109"/>
      <c r="S5721" s="109"/>
      <c r="T5721" s="108"/>
      <c r="U5721" s="110"/>
      <c r="V5721" s="110"/>
      <c r="W5721" s="110"/>
      <c r="X5721" s="110"/>
    </row>
    <row r="5722" spans="1:24" ht="14.25" customHeight="1">
      <c r="A5722" s="110"/>
      <c r="B5722" s="125">
        <v>46203</v>
      </c>
      <c r="C5722" s="126" t="s">
        <v>3489</v>
      </c>
      <c r="D5722" s="15" t="s">
        <v>3108</v>
      </c>
      <c r="E5722" s="10" t="str">
        <f>TRIM(VLOOKUP(D5722,TB!$B$9:$C$1500,2,FALSE))</f>
        <v>Promotional Costs</v>
      </c>
      <c r="F5722" s="186" t="s">
        <v>3490</v>
      </c>
      <c r="G5722" s="130"/>
      <c r="H5722" s="155">
        <v>100000</v>
      </c>
      <c r="I5722" s="10"/>
      <c r="J5722" s="79" t="e">
        <f t="shared" si="347"/>
        <v>#VALUE!</v>
      </c>
      <c r="K5722" s="106"/>
      <c r="L5722" s="107"/>
      <c r="M5722" s="106"/>
      <c r="N5722" s="106"/>
      <c r="O5722" s="108"/>
      <c r="P5722" s="108"/>
      <c r="Q5722" s="108"/>
      <c r="R5722" s="109"/>
      <c r="S5722" s="109"/>
      <c r="T5722" s="108"/>
      <c r="U5722" s="110"/>
      <c r="V5722" s="110"/>
      <c r="W5722" s="110"/>
      <c r="X5722" s="110"/>
    </row>
    <row r="5723" spans="1:24" ht="14.25" customHeight="1">
      <c r="A5723" s="110"/>
      <c r="B5723" s="125">
        <v>46203</v>
      </c>
      <c r="C5723" s="126" t="s">
        <v>3491</v>
      </c>
      <c r="D5723" s="15" t="s">
        <v>3108</v>
      </c>
      <c r="E5723" s="10" t="str">
        <f>TRIM(VLOOKUP(D5723,TB!$B$9:$C$1500,2,FALSE))</f>
        <v>Promotional Costs</v>
      </c>
      <c r="F5723" s="186" t="s">
        <v>3492</v>
      </c>
      <c r="G5723" s="130"/>
      <c r="H5723" s="155">
        <v>380000</v>
      </c>
      <c r="I5723" s="10"/>
      <c r="J5723" s="79" t="e">
        <f t="shared" si="347"/>
        <v>#VALUE!</v>
      </c>
      <c r="K5723" s="106"/>
      <c r="L5723" s="107"/>
      <c r="M5723" s="106"/>
      <c r="N5723" s="106"/>
      <c r="O5723" s="108"/>
      <c r="P5723" s="108"/>
      <c r="Q5723" s="108"/>
      <c r="R5723" s="109"/>
      <c r="S5723" s="109"/>
      <c r="T5723" s="108"/>
      <c r="U5723" s="110"/>
      <c r="V5723" s="110"/>
      <c r="W5723" s="110"/>
      <c r="X5723" s="110"/>
    </row>
    <row r="5724" spans="1:24" ht="14.25" customHeight="1">
      <c r="A5724" s="110"/>
      <c r="B5724" s="125">
        <v>46203</v>
      </c>
      <c r="C5724" s="126" t="s">
        <v>3493</v>
      </c>
      <c r="D5724" s="15" t="s">
        <v>3108</v>
      </c>
      <c r="E5724" s="10" t="str">
        <f>TRIM(VLOOKUP(D5724,TB!$B$9:$C$1500,2,FALSE))</f>
        <v>Promotional Costs</v>
      </c>
      <c r="F5724" s="186" t="s">
        <v>3494</v>
      </c>
      <c r="G5724" s="130"/>
      <c r="H5724" s="155">
        <v>160000</v>
      </c>
      <c r="I5724" s="10"/>
      <c r="J5724" s="79" t="e">
        <f t="shared" si="347"/>
        <v>#VALUE!</v>
      </c>
      <c r="K5724" s="106"/>
      <c r="L5724" s="107"/>
      <c r="M5724" s="106"/>
      <c r="N5724" s="106"/>
      <c r="O5724" s="108"/>
      <c r="P5724" s="108"/>
      <c r="Q5724" s="108"/>
      <c r="R5724" s="109"/>
      <c r="S5724" s="109"/>
      <c r="T5724" s="108"/>
      <c r="U5724" s="110"/>
      <c r="V5724" s="110"/>
      <c r="W5724" s="110"/>
      <c r="X5724" s="110"/>
    </row>
    <row r="5725" spans="1:24" ht="14.25" customHeight="1">
      <c r="A5725" s="110"/>
      <c r="B5725" s="125">
        <v>46203</v>
      </c>
      <c r="C5725" s="126" t="s">
        <v>3495</v>
      </c>
      <c r="D5725" s="15" t="s">
        <v>3108</v>
      </c>
      <c r="E5725" s="10" t="str">
        <f>TRIM(VLOOKUP(D5725,TB!$B$9:$C$1500,2,FALSE))</f>
        <v>Promotional Costs</v>
      </c>
      <c r="F5725" s="186" t="s">
        <v>3496</v>
      </c>
      <c r="G5725" s="130"/>
      <c r="H5725" s="155">
        <v>80000</v>
      </c>
      <c r="I5725" s="10"/>
      <c r="J5725" s="79" t="e">
        <f t="shared" si="347"/>
        <v>#VALUE!</v>
      </c>
      <c r="K5725" s="106"/>
      <c r="L5725" s="107"/>
      <c r="M5725" s="106"/>
      <c r="N5725" s="106"/>
      <c r="O5725" s="108"/>
      <c r="P5725" s="108"/>
      <c r="Q5725" s="108"/>
      <c r="R5725" s="109"/>
      <c r="S5725" s="109"/>
      <c r="T5725" s="108"/>
      <c r="U5725" s="110"/>
      <c r="V5725" s="110"/>
      <c r="W5725" s="110"/>
      <c r="X5725" s="110"/>
    </row>
    <row r="5726" spans="1:24" ht="14.25" customHeight="1">
      <c r="A5726" s="110"/>
      <c r="B5726" s="125">
        <v>46203</v>
      </c>
      <c r="C5726" s="126" t="s">
        <v>3487</v>
      </c>
      <c r="D5726" s="68" t="s">
        <v>285</v>
      </c>
      <c r="E5726" s="10" t="str">
        <f>TRIM(VLOOKUP(D5726,TB!$B$9:$C$1500,2,FALSE))</f>
        <v>Misc Cash Purchase</v>
      </c>
      <c r="F5726" s="186" t="s">
        <v>3488</v>
      </c>
      <c r="G5726" s="130"/>
      <c r="H5726" s="10"/>
      <c r="I5726" s="155">
        <v>40000</v>
      </c>
      <c r="J5726" s="79" t="e">
        <f t="shared" si="347"/>
        <v>#VALUE!</v>
      </c>
      <c r="K5726" s="106"/>
      <c r="L5726" s="107"/>
      <c r="M5726" s="106"/>
      <c r="N5726" s="106"/>
      <c r="O5726" s="108"/>
      <c r="P5726" s="108"/>
      <c r="Q5726" s="108"/>
      <c r="R5726" s="109"/>
      <c r="S5726" s="109"/>
      <c r="T5726" s="108"/>
      <c r="U5726" s="110"/>
      <c r="V5726" s="110"/>
      <c r="W5726" s="110"/>
      <c r="X5726" s="110"/>
    </row>
    <row r="5727" spans="1:24" ht="14.25" customHeight="1">
      <c r="A5727" s="110"/>
      <c r="B5727" s="125">
        <v>46203</v>
      </c>
      <c r="C5727" s="126" t="s">
        <v>3489</v>
      </c>
      <c r="D5727" s="68" t="s">
        <v>285</v>
      </c>
      <c r="E5727" s="10" t="str">
        <f>TRIM(VLOOKUP(D5727,TB!$B$9:$C$1500,2,FALSE))</f>
        <v>Misc Cash Purchase</v>
      </c>
      <c r="F5727" s="186" t="s">
        <v>3490</v>
      </c>
      <c r="G5727" s="130"/>
      <c r="H5727" s="10"/>
      <c r="I5727" s="155">
        <v>100000</v>
      </c>
      <c r="J5727" s="79" t="e">
        <f t="shared" si="347"/>
        <v>#VALUE!</v>
      </c>
      <c r="K5727" s="106"/>
      <c r="L5727" s="107"/>
      <c r="M5727" s="106"/>
      <c r="N5727" s="106"/>
      <c r="O5727" s="108"/>
      <c r="P5727" s="108"/>
      <c r="Q5727" s="108"/>
      <c r="R5727" s="109"/>
      <c r="S5727" s="109"/>
      <c r="T5727" s="108"/>
      <c r="U5727" s="110"/>
      <c r="V5727" s="110"/>
      <c r="W5727" s="110"/>
      <c r="X5727" s="110"/>
    </row>
    <row r="5728" spans="1:24" ht="14.25" customHeight="1">
      <c r="A5728" s="110"/>
      <c r="B5728" s="125">
        <v>46203</v>
      </c>
      <c r="C5728" s="126" t="s">
        <v>3491</v>
      </c>
      <c r="D5728" s="68" t="s">
        <v>285</v>
      </c>
      <c r="E5728" s="10" t="str">
        <f>TRIM(VLOOKUP(D5728,TB!$B$9:$C$1500,2,FALSE))</f>
        <v>Misc Cash Purchase</v>
      </c>
      <c r="F5728" s="186" t="s">
        <v>3492</v>
      </c>
      <c r="G5728" s="130"/>
      <c r="H5728" s="10"/>
      <c r="I5728" s="155">
        <v>380000</v>
      </c>
      <c r="J5728" s="79" t="e">
        <f t="shared" si="347"/>
        <v>#VALUE!</v>
      </c>
      <c r="K5728" s="106"/>
      <c r="L5728" s="107"/>
      <c r="M5728" s="106"/>
      <c r="N5728" s="106"/>
      <c r="O5728" s="108"/>
      <c r="P5728" s="108"/>
      <c r="Q5728" s="108"/>
      <c r="R5728" s="109"/>
      <c r="S5728" s="109"/>
      <c r="T5728" s="108"/>
      <c r="U5728" s="110"/>
      <c r="V5728" s="110"/>
      <c r="W5728" s="110"/>
      <c r="X5728" s="110"/>
    </row>
    <row r="5729" spans="1:24" ht="14.25" customHeight="1">
      <c r="A5729" s="110"/>
      <c r="B5729" s="125">
        <v>46203</v>
      </c>
      <c r="C5729" s="126" t="s">
        <v>3493</v>
      </c>
      <c r="D5729" s="68" t="s">
        <v>285</v>
      </c>
      <c r="E5729" s="10" t="str">
        <f>TRIM(VLOOKUP(D5729,TB!$B$9:$C$1500,2,FALSE))</f>
        <v>Misc Cash Purchase</v>
      </c>
      <c r="F5729" s="186" t="s">
        <v>3494</v>
      </c>
      <c r="G5729" s="130"/>
      <c r="H5729" s="10"/>
      <c r="I5729" s="155">
        <v>160000</v>
      </c>
      <c r="J5729" s="79" t="e">
        <f t="shared" si="347"/>
        <v>#VALUE!</v>
      </c>
      <c r="K5729" s="106"/>
      <c r="L5729" s="107"/>
      <c r="M5729" s="106"/>
      <c r="N5729" s="106"/>
      <c r="O5729" s="108"/>
      <c r="P5729" s="108"/>
      <c r="Q5729" s="108"/>
      <c r="R5729" s="109"/>
      <c r="S5729" s="109"/>
      <c r="T5729" s="108"/>
      <c r="U5729" s="110"/>
      <c r="V5729" s="110"/>
      <c r="W5729" s="110"/>
      <c r="X5729" s="110"/>
    </row>
    <row r="5730" spans="1:24" ht="14.25" customHeight="1">
      <c r="A5730" s="110"/>
      <c r="B5730" s="125">
        <v>46203</v>
      </c>
      <c r="C5730" s="126" t="s">
        <v>3495</v>
      </c>
      <c r="D5730" s="68" t="s">
        <v>285</v>
      </c>
      <c r="E5730" s="10" t="str">
        <f>TRIM(VLOOKUP(D5730,TB!$B$9:$C$1500,2,FALSE))</f>
        <v>Misc Cash Purchase</v>
      </c>
      <c r="F5730" s="186" t="s">
        <v>3496</v>
      </c>
      <c r="G5730" s="130"/>
      <c r="H5730" s="10"/>
      <c r="I5730" s="155">
        <v>80000</v>
      </c>
      <c r="J5730" s="79" t="e">
        <f t="shared" si="347"/>
        <v>#VALUE!</v>
      </c>
      <c r="K5730" s="106"/>
      <c r="L5730" s="107"/>
      <c r="M5730" s="106"/>
      <c r="N5730" s="106"/>
      <c r="O5730" s="108"/>
      <c r="P5730" s="108"/>
      <c r="Q5730" s="108"/>
      <c r="R5730" s="109"/>
      <c r="S5730" s="109"/>
      <c r="T5730" s="108"/>
      <c r="U5730" s="110"/>
      <c r="V5730" s="110"/>
      <c r="W5730" s="110"/>
      <c r="X5730" s="110"/>
    </row>
    <row r="5731" spans="1:24" ht="14.25" customHeight="1">
      <c r="A5731" s="110"/>
      <c r="B5731" s="125"/>
      <c r="C5731" s="126"/>
      <c r="D5731" s="159"/>
      <c r="E5731" s="10" t="e">
        <f>TRIM(VLOOKUP(D5731,TB!$B$9:$C$1500,2,FALSE))</f>
        <v>#N/A</v>
      </c>
      <c r="F5731" s="142"/>
      <c r="G5731" s="130"/>
      <c r="H5731" s="10"/>
      <c r="I5731" s="10"/>
      <c r="J5731" s="79" t="e">
        <f t="shared" si="347"/>
        <v>#VALUE!</v>
      </c>
      <c r="K5731" s="106"/>
      <c r="L5731" s="107"/>
      <c r="M5731" s="106"/>
      <c r="N5731" s="106"/>
      <c r="O5731" s="108"/>
      <c r="P5731" s="108"/>
      <c r="Q5731" s="108"/>
      <c r="R5731" s="109"/>
      <c r="S5731" s="109"/>
      <c r="T5731" s="108"/>
      <c r="U5731" s="110"/>
      <c r="V5731" s="110"/>
      <c r="W5731" s="110"/>
      <c r="X5731" s="110"/>
    </row>
    <row r="5732" spans="1:24" ht="14.25" customHeight="1">
      <c r="A5732" s="110"/>
      <c r="B5732" s="125">
        <v>46203</v>
      </c>
      <c r="C5732" s="126" t="s">
        <v>3497</v>
      </c>
      <c r="D5732" s="15" t="s">
        <v>659</v>
      </c>
      <c r="E5732" s="10" t="str">
        <f>TRIM(VLOOKUP(D5732,TB!$B$9:$C$1500,2,FALSE))</f>
        <v>COS - Entertainment</v>
      </c>
      <c r="F5732" s="142" t="s">
        <v>3498</v>
      </c>
      <c r="G5732" s="130"/>
      <c r="H5732" s="10">
        <v>54400000</v>
      </c>
      <c r="I5732" s="10"/>
      <c r="J5732" s="79" t="e">
        <f t="shared" si="347"/>
        <v>#VALUE!</v>
      </c>
      <c r="K5732" s="106"/>
      <c r="L5732" s="107"/>
      <c r="M5732" s="106"/>
      <c r="N5732" s="106"/>
      <c r="O5732" s="108"/>
      <c r="P5732" s="108"/>
      <c r="Q5732" s="108"/>
      <c r="R5732" s="109"/>
      <c r="S5732" s="109"/>
      <c r="T5732" s="108"/>
      <c r="U5732" s="110"/>
      <c r="V5732" s="110"/>
      <c r="W5732" s="110"/>
      <c r="X5732" s="110"/>
    </row>
    <row r="5733" spans="1:24" ht="14.25" customHeight="1">
      <c r="A5733" s="110"/>
      <c r="B5733" s="125">
        <v>46203</v>
      </c>
      <c r="C5733" s="126" t="s">
        <v>3497</v>
      </c>
      <c r="D5733" s="68" t="s">
        <v>285</v>
      </c>
      <c r="E5733" s="10" t="str">
        <f>TRIM(VLOOKUP(D5733,TB!$B$9:$C$1500,2,FALSE))</f>
        <v>Misc Cash Purchase</v>
      </c>
      <c r="F5733" s="142" t="s">
        <v>3498</v>
      </c>
      <c r="G5733" s="130"/>
      <c r="H5733" s="10"/>
      <c r="I5733" s="10">
        <v>54400000</v>
      </c>
      <c r="J5733" s="79" t="e">
        <f t="shared" si="347"/>
        <v>#VALUE!</v>
      </c>
      <c r="K5733" s="106"/>
      <c r="L5733" s="107"/>
      <c r="M5733" s="106"/>
      <c r="N5733" s="106"/>
      <c r="O5733" s="108"/>
      <c r="P5733" s="108"/>
      <c r="Q5733" s="108"/>
      <c r="R5733" s="109"/>
      <c r="S5733" s="109"/>
      <c r="T5733" s="108"/>
      <c r="U5733" s="110"/>
      <c r="V5733" s="110"/>
      <c r="W5733" s="110"/>
      <c r="X5733" s="110"/>
    </row>
    <row r="5734" spans="1:24" ht="14.25" customHeight="1">
      <c r="A5734" s="110"/>
      <c r="B5734" s="125"/>
      <c r="C5734" s="126"/>
      <c r="D5734" s="159"/>
      <c r="E5734" s="10" t="e">
        <f>TRIM(VLOOKUP(D5734,TB!$B$9:$C$1500,2,FALSE))</f>
        <v>#N/A</v>
      </c>
      <c r="F5734" s="142"/>
      <c r="G5734" s="130"/>
      <c r="H5734" s="10"/>
      <c r="I5734" s="10"/>
      <c r="J5734" s="79" t="e">
        <f t="shared" si="347"/>
        <v>#VALUE!</v>
      </c>
      <c r="K5734" s="106"/>
      <c r="L5734" s="107"/>
      <c r="M5734" s="106"/>
      <c r="N5734" s="106"/>
      <c r="O5734" s="108"/>
      <c r="P5734" s="108"/>
      <c r="Q5734" s="108"/>
      <c r="R5734" s="109"/>
      <c r="S5734" s="109"/>
      <c r="T5734" s="108"/>
      <c r="U5734" s="110"/>
      <c r="V5734" s="110"/>
      <c r="W5734" s="110"/>
      <c r="X5734" s="110"/>
    </row>
    <row r="5735" spans="1:24" ht="14.25" customHeight="1">
      <c r="A5735" s="110"/>
      <c r="B5735" s="125">
        <v>46203</v>
      </c>
      <c r="C5735" s="126" t="s">
        <v>3499</v>
      </c>
      <c r="D5735" s="15" t="s">
        <v>3196</v>
      </c>
      <c r="E5735" s="10" t="str">
        <f>TRIM(VLOOKUP(D5735,TB!$B$9:$C$1500,2,FALSE))</f>
        <v>Photography/video</v>
      </c>
      <c r="F5735" s="142" t="s">
        <v>3500</v>
      </c>
      <c r="G5735" s="130"/>
      <c r="H5735" s="10">
        <v>1500000</v>
      </c>
      <c r="I5735" s="10"/>
      <c r="J5735" s="79" t="e">
        <f t="shared" si="347"/>
        <v>#VALUE!</v>
      </c>
      <c r="K5735" s="106"/>
      <c r="L5735" s="107"/>
      <c r="M5735" s="106"/>
      <c r="N5735" s="106"/>
      <c r="O5735" s="108"/>
      <c r="P5735" s="108"/>
      <c r="Q5735" s="108"/>
      <c r="R5735" s="109"/>
      <c r="S5735" s="109"/>
      <c r="T5735" s="108"/>
      <c r="U5735" s="110"/>
      <c r="V5735" s="110"/>
      <c r="W5735" s="110"/>
      <c r="X5735" s="110"/>
    </row>
    <row r="5736" spans="1:24" ht="14.25" customHeight="1">
      <c r="A5736" s="110"/>
      <c r="B5736" s="125">
        <v>46203</v>
      </c>
      <c r="C5736" s="126" t="s">
        <v>3499</v>
      </c>
      <c r="D5736" s="68" t="s">
        <v>285</v>
      </c>
      <c r="E5736" s="10" t="str">
        <f>TRIM(VLOOKUP(D5736,TB!$B$9:$C$1500,2,FALSE))</f>
        <v>Misc Cash Purchase</v>
      </c>
      <c r="F5736" s="142" t="s">
        <v>3500</v>
      </c>
      <c r="G5736" s="130"/>
      <c r="H5736" s="10"/>
      <c r="I5736" s="10">
        <v>1500000</v>
      </c>
      <c r="J5736" s="79" t="e">
        <f t="shared" si="347"/>
        <v>#VALUE!</v>
      </c>
      <c r="K5736" s="106"/>
      <c r="L5736" s="107"/>
      <c r="M5736" s="106"/>
      <c r="N5736" s="106"/>
      <c r="O5736" s="108"/>
      <c r="P5736" s="108"/>
      <c r="Q5736" s="108"/>
      <c r="R5736" s="109"/>
      <c r="S5736" s="109"/>
      <c r="T5736" s="108"/>
      <c r="U5736" s="110"/>
      <c r="V5736" s="110"/>
      <c r="W5736" s="110"/>
      <c r="X5736" s="110"/>
    </row>
    <row r="5737" spans="1:24" ht="14.25" customHeight="1">
      <c r="A5737" s="110"/>
      <c r="B5737" s="125"/>
      <c r="C5737" s="126"/>
      <c r="D5737" s="159"/>
      <c r="E5737" s="10" t="e">
        <f>TRIM(VLOOKUP(D5737,TB!$B$9:$C$1500,2,FALSE))</f>
        <v>#N/A</v>
      </c>
      <c r="F5737" s="142"/>
      <c r="G5737" s="130"/>
      <c r="H5737" s="10"/>
      <c r="I5737" s="10"/>
      <c r="J5737" s="79" t="e">
        <f t="shared" si="347"/>
        <v>#VALUE!</v>
      </c>
      <c r="K5737" s="106"/>
      <c r="L5737" s="107"/>
      <c r="M5737" s="106"/>
      <c r="N5737" s="106"/>
      <c r="O5737" s="108"/>
      <c r="P5737" s="108"/>
      <c r="Q5737" s="108"/>
      <c r="R5737" s="109"/>
      <c r="S5737" s="109"/>
      <c r="T5737" s="108"/>
      <c r="U5737" s="110"/>
      <c r="V5737" s="110"/>
      <c r="W5737" s="110"/>
      <c r="X5737" s="110"/>
    </row>
    <row r="5738" spans="1:24" ht="14.25" customHeight="1">
      <c r="A5738" s="110"/>
      <c r="B5738" s="125">
        <v>46203</v>
      </c>
      <c r="C5738" s="126" t="s">
        <v>3501</v>
      </c>
      <c r="D5738" s="15" t="s">
        <v>3502</v>
      </c>
      <c r="E5738" s="10" t="str">
        <f>TRIM(VLOOKUP(D5738,TB!$B$9:$C$1500,2,FALSE))</f>
        <v>Electricity</v>
      </c>
      <c r="F5738" s="142" t="s">
        <v>3503</v>
      </c>
      <c r="G5738" s="130"/>
      <c r="H5738" s="10">
        <v>22704316</v>
      </c>
      <c r="I5738" s="10"/>
      <c r="J5738" s="79" t="e">
        <f t="shared" si="347"/>
        <v>#VALUE!</v>
      </c>
      <c r="K5738" s="106"/>
      <c r="L5738" s="107"/>
      <c r="M5738" s="106"/>
      <c r="N5738" s="106"/>
      <c r="O5738" s="108"/>
      <c r="P5738" s="108"/>
      <c r="Q5738" s="108"/>
      <c r="R5738" s="109"/>
      <c r="S5738" s="109"/>
      <c r="T5738" s="108"/>
      <c r="U5738" s="110"/>
      <c r="V5738" s="110"/>
      <c r="W5738" s="110"/>
      <c r="X5738" s="110"/>
    </row>
    <row r="5739" spans="1:24" ht="14.25" customHeight="1">
      <c r="A5739" s="110"/>
      <c r="B5739" s="125">
        <v>46203</v>
      </c>
      <c r="C5739" s="126" t="s">
        <v>3501</v>
      </c>
      <c r="D5739" s="68" t="s">
        <v>285</v>
      </c>
      <c r="E5739" s="10" t="str">
        <f>TRIM(VLOOKUP(D5739,TB!$B$9:$C$1500,2,FALSE))</f>
        <v>Misc Cash Purchase</v>
      </c>
      <c r="F5739" s="142" t="s">
        <v>3503</v>
      </c>
      <c r="G5739" s="130"/>
      <c r="H5739" s="10"/>
      <c r="I5739" s="10">
        <v>22704316</v>
      </c>
      <c r="J5739" s="79" t="e">
        <f t="shared" si="347"/>
        <v>#VALUE!</v>
      </c>
      <c r="K5739" s="106"/>
      <c r="L5739" s="107"/>
      <c r="M5739" s="106"/>
      <c r="N5739" s="106"/>
      <c r="O5739" s="108"/>
      <c r="P5739" s="108"/>
      <c r="Q5739" s="108"/>
      <c r="R5739" s="109"/>
      <c r="S5739" s="109"/>
      <c r="T5739" s="108"/>
      <c r="U5739" s="110"/>
      <c r="V5739" s="110"/>
      <c r="W5739" s="110"/>
      <c r="X5739" s="110"/>
    </row>
    <row r="5740" spans="1:24" ht="14.25" customHeight="1">
      <c r="A5740" s="110"/>
      <c r="B5740" s="125"/>
      <c r="C5740" s="126"/>
      <c r="D5740" s="159"/>
      <c r="E5740" s="10" t="e">
        <f>TRIM(VLOOKUP(D5740,TB!$B$9:$C$1500,2,FALSE))</f>
        <v>#N/A</v>
      </c>
      <c r="F5740" s="142"/>
      <c r="G5740" s="130"/>
      <c r="H5740" s="10"/>
      <c r="I5740" s="10"/>
      <c r="J5740" s="79" t="e">
        <f t="shared" si="347"/>
        <v>#VALUE!</v>
      </c>
      <c r="K5740" s="106"/>
      <c r="L5740" s="107"/>
      <c r="M5740" s="106"/>
      <c r="N5740" s="106"/>
      <c r="O5740" s="108"/>
      <c r="P5740" s="108"/>
      <c r="Q5740" s="108"/>
      <c r="R5740" s="109"/>
      <c r="S5740" s="109"/>
      <c r="T5740" s="108"/>
      <c r="U5740" s="110"/>
      <c r="V5740" s="110"/>
      <c r="W5740" s="110"/>
      <c r="X5740" s="110"/>
    </row>
    <row r="5741" spans="1:24" ht="14.25" customHeight="1">
      <c r="A5741" s="110"/>
      <c r="B5741" s="125">
        <v>46203</v>
      </c>
      <c r="C5741" s="126" t="s">
        <v>3504</v>
      </c>
      <c r="D5741" s="15" t="s">
        <v>2612</v>
      </c>
      <c r="E5741" s="10" t="str">
        <f>TRIM(VLOOKUP(D5741,TB!$B$9:$C$1500,2,FALSE))</f>
        <v>Water/Gas etc</v>
      </c>
      <c r="F5741" s="142" t="s">
        <v>3505</v>
      </c>
      <c r="G5741" s="130"/>
      <c r="H5741" s="10">
        <v>1149010</v>
      </c>
      <c r="I5741" s="10"/>
      <c r="J5741" s="79" t="e">
        <f t="shared" si="347"/>
        <v>#VALUE!</v>
      </c>
      <c r="K5741" s="106"/>
      <c r="L5741" s="107"/>
      <c r="M5741" s="106"/>
      <c r="N5741" s="106"/>
      <c r="O5741" s="108"/>
      <c r="P5741" s="108"/>
      <c r="Q5741" s="108"/>
      <c r="R5741" s="109"/>
      <c r="S5741" s="109"/>
      <c r="T5741" s="108"/>
      <c r="U5741" s="110"/>
      <c r="V5741" s="110"/>
      <c r="W5741" s="110"/>
      <c r="X5741" s="110"/>
    </row>
    <row r="5742" spans="1:24" ht="14.25" customHeight="1">
      <c r="A5742" s="110"/>
      <c r="B5742" s="125">
        <v>46203</v>
      </c>
      <c r="C5742" s="126" t="s">
        <v>3504</v>
      </c>
      <c r="D5742" s="68" t="s">
        <v>285</v>
      </c>
      <c r="E5742" s="10" t="str">
        <f>TRIM(VLOOKUP(D5742,TB!$B$9:$C$1500,2,FALSE))</f>
        <v>Misc Cash Purchase</v>
      </c>
      <c r="F5742" s="142" t="s">
        <v>3505</v>
      </c>
      <c r="G5742" s="130"/>
      <c r="H5742" s="10"/>
      <c r="I5742" s="10">
        <v>1149010</v>
      </c>
      <c r="J5742" s="79" t="e">
        <f t="shared" si="347"/>
        <v>#VALUE!</v>
      </c>
      <c r="K5742" s="106"/>
      <c r="L5742" s="107"/>
      <c r="M5742" s="106"/>
      <c r="N5742" s="106"/>
      <c r="O5742" s="108"/>
      <c r="P5742" s="108"/>
      <c r="Q5742" s="108"/>
      <c r="R5742" s="109"/>
      <c r="S5742" s="109"/>
      <c r="T5742" s="108"/>
      <c r="U5742" s="110"/>
      <c r="V5742" s="110"/>
      <c r="W5742" s="110"/>
      <c r="X5742" s="110"/>
    </row>
    <row r="5743" spans="1:24" ht="14.25" customHeight="1">
      <c r="A5743" s="110"/>
      <c r="B5743" s="125"/>
      <c r="C5743" s="126"/>
      <c r="D5743" s="159"/>
      <c r="E5743" s="10" t="e">
        <f>TRIM(VLOOKUP(D5743,TB!$B$9:$C$1500,2,FALSE))</f>
        <v>#N/A</v>
      </c>
      <c r="F5743" s="142"/>
      <c r="G5743" s="130"/>
      <c r="H5743" s="10"/>
      <c r="I5743" s="10"/>
      <c r="J5743" s="79" t="e">
        <f t="shared" si="347"/>
        <v>#VALUE!</v>
      </c>
      <c r="K5743" s="106"/>
      <c r="L5743" s="107"/>
      <c r="M5743" s="106"/>
      <c r="N5743" s="106"/>
      <c r="O5743" s="108"/>
      <c r="P5743" s="108"/>
      <c r="Q5743" s="108"/>
      <c r="R5743" s="109"/>
      <c r="S5743" s="109"/>
      <c r="T5743" s="108"/>
      <c r="U5743" s="110"/>
      <c r="V5743" s="110"/>
      <c r="W5743" s="110"/>
      <c r="X5743" s="110"/>
    </row>
    <row r="5744" spans="1:24" ht="14.25" customHeight="1">
      <c r="A5744" s="110"/>
      <c r="B5744" s="125">
        <v>46203</v>
      </c>
      <c r="C5744" s="126" t="s">
        <v>3506</v>
      </c>
      <c r="D5744" s="15" t="s">
        <v>3108</v>
      </c>
      <c r="E5744" s="10" t="str">
        <f>TRIM(VLOOKUP(D5744,TB!$B$9:$C$1500,2,FALSE))</f>
        <v>Promotional Costs</v>
      </c>
      <c r="F5744" s="142" t="s">
        <v>3507</v>
      </c>
      <c r="G5744" s="130"/>
      <c r="H5744" s="155">
        <v>1500000</v>
      </c>
      <c r="I5744" s="10"/>
      <c r="J5744" s="79" t="e">
        <f t="shared" si="347"/>
        <v>#VALUE!</v>
      </c>
      <c r="K5744" s="106"/>
      <c r="L5744" s="107"/>
      <c r="M5744" s="106"/>
      <c r="N5744" s="106"/>
      <c r="O5744" s="108"/>
      <c r="P5744" s="108"/>
      <c r="Q5744" s="108"/>
      <c r="R5744" s="109"/>
      <c r="S5744" s="109"/>
      <c r="T5744" s="108"/>
      <c r="U5744" s="110"/>
      <c r="V5744" s="110"/>
      <c r="W5744" s="110"/>
      <c r="X5744" s="110"/>
    </row>
    <row r="5745" spans="1:24" ht="14.25" customHeight="1">
      <c r="A5745" s="110"/>
      <c r="B5745" s="125">
        <v>46203</v>
      </c>
      <c r="C5745" s="126" t="s">
        <v>3508</v>
      </c>
      <c r="D5745" s="15" t="s">
        <v>3108</v>
      </c>
      <c r="E5745" s="10" t="str">
        <f>TRIM(VLOOKUP(D5745,TB!$B$9:$C$1500,2,FALSE))</f>
        <v>Promotional Costs</v>
      </c>
      <c r="F5745" s="142" t="s">
        <v>3509</v>
      </c>
      <c r="G5745" s="130"/>
      <c r="H5745" s="155">
        <v>1000000</v>
      </c>
      <c r="I5745" s="10"/>
      <c r="J5745" s="79" t="e">
        <f t="shared" si="347"/>
        <v>#VALUE!</v>
      </c>
      <c r="K5745" s="106"/>
      <c r="L5745" s="107"/>
      <c r="M5745" s="106"/>
      <c r="N5745" s="106"/>
      <c r="O5745" s="108"/>
      <c r="P5745" s="108"/>
      <c r="Q5745" s="108"/>
      <c r="R5745" s="109"/>
      <c r="S5745" s="109"/>
      <c r="T5745" s="108"/>
      <c r="U5745" s="110"/>
      <c r="V5745" s="110"/>
      <c r="W5745" s="110"/>
      <c r="X5745" s="110"/>
    </row>
    <row r="5746" spans="1:24" ht="14.25" customHeight="1">
      <c r="A5746" s="110"/>
      <c r="B5746" s="125">
        <v>46203</v>
      </c>
      <c r="C5746" s="126" t="s">
        <v>3508</v>
      </c>
      <c r="D5746" s="15" t="s">
        <v>3108</v>
      </c>
      <c r="E5746" s="10" t="str">
        <f>TRIM(VLOOKUP(D5746,TB!$B$9:$C$1500,2,FALSE))</f>
        <v>Promotional Costs</v>
      </c>
      <c r="F5746" s="142" t="s">
        <v>3510</v>
      </c>
      <c r="G5746" s="130"/>
      <c r="H5746" s="10">
        <v>1480000</v>
      </c>
      <c r="I5746" s="10"/>
      <c r="J5746" s="79" t="e">
        <f t="shared" si="347"/>
        <v>#VALUE!</v>
      </c>
      <c r="K5746" s="106"/>
      <c r="L5746" s="107"/>
      <c r="M5746" s="106"/>
      <c r="N5746" s="106"/>
      <c r="O5746" s="108"/>
      <c r="P5746" s="108"/>
      <c r="Q5746" s="108"/>
      <c r="R5746" s="109"/>
      <c r="S5746" s="109"/>
      <c r="T5746" s="108"/>
      <c r="U5746" s="110"/>
      <c r="V5746" s="110"/>
      <c r="W5746" s="110"/>
      <c r="X5746" s="110"/>
    </row>
    <row r="5747" spans="1:24" ht="14.25" customHeight="1">
      <c r="A5747" s="110"/>
      <c r="B5747" s="125">
        <v>46203</v>
      </c>
      <c r="C5747" s="126" t="s">
        <v>3506</v>
      </c>
      <c r="D5747" s="68" t="s">
        <v>285</v>
      </c>
      <c r="E5747" s="10" t="str">
        <f>TRIM(VLOOKUP(D5747,TB!$B$9:$C$1500,2,FALSE))</f>
        <v>Misc Cash Purchase</v>
      </c>
      <c r="F5747" s="142" t="s">
        <v>3507</v>
      </c>
      <c r="G5747" s="130"/>
      <c r="H5747" s="10"/>
      <c r="I5747" s="155">
        <v>1500000</v>
      </c>
      <c r="J5747" s="79" t="e">
        <f t="shared" si="347"/>
        <v>#VALUE!</v>
      </c>
      <c r="K5747" s="106"/>
      <c r="L5747" s="107"/>
      <c r="M5747" s="106"/>
      <c r="N5747" s="106"/>
      <c r="O5747" s="108"/>
      <c r="P5747" s="108"/>
      <c r="Q5747" s="108"/>
      <c r="R5747" s="109"/>
      <c r="S5747" s="109"/>
      <c r="T5747" s="108"/>
      <c r="U5747" s="110"/>
      <c r="V5747" s="110"/>
      <c r="W5747" s="110"/>
      <c r="X5747" s="110"/>
    </row>
    <row r="5748" spans="1:24" ht="14.25" customHeight="1">
      <c r="A5748" s="110"/>
      <c r="B5748" s="125">
        <v>46203</v>
      </c>
      <c r="C5748" s="126" t="s">
        <v>3508</v>
      </c>
      <c r="D5748" s="68" t="s">
        <v>285</v>
      </c>
      <c r="E5748" s="10" t="str">
        <f>TRIM(VLOOKUP(D5748,TB!$B$9:$C$1500,2,FALSE))</f>
        <v>Misc Cash Purchase</v>
      </c>
      <c r="F5748" s="142" t="s">
        <v>3511</v>
      </c>
      <c r="G5748" s="130"/>
      <c r="H5748" s="10"/>
      <c r="I5748" s="155">
        <v>2480000</v>
      </c>
      <c r="J5748" s="79" t="e">
        <f t="shared" si="347"/>
        <v>#VALUE!</v>
      </c>
      <c r="K5748" s="106"/>
      <c r="L5748" s="107"/>
      <c r="M5748" s="106"/>
      <c r="N5748" s="106"/>
      <c r="O5748" s="108"/>
      <c r="P5748" s="108"/>
      <c r="Q5748" s="108"/>
      <c r="R5748" s="109"/>
      <c r="S5748" s="109"/>
      <c r="T5748" s="108"/>
      <c r="U5748" s="110"/>
      <c r="V5748" s="110"/>
      <c r="W5748" s="110"/>
      <c r="X5748" s="110"/>
    </row>
    <row r="5749" spans="1:24" ht="14.25" customHeight="1">
      <c r="A5749" s="110"/>
      <c r="B5749" s="125"/>
      <c r="C5749" s="126"/>
      <c r="D5749" s="159"/>
      <c r="E5749" s="10" t="e">
        <f>TRIM(VLOOKUP(D5749,TB!$B$9:$C$1500,2,FALSE))</f>
        <v>#N/A</v>
      </c>
      <c r="F5749" s="142"/>
      <c r="G5749" s="130"/>
      <c r="H5749" s="10"/>
      <c r="I5749" s="10"/>
      <c r="J5749" s="79" t="e">
        <f t="shared" si="347"/>
        <v>#VALUE!</v>
      </c>
      <c r="K5749" s="106"/>
      <c r="L5749" s="107"/>
      <c r="M5749" s="106"/>
      <c r="N5749" s="106"/>
      <c r="O5749" s="108"/>
      <c r="P5749" s="108"/>
      <c r="Q5749" s="108"/>
      <c r="R5749" s="109"/>
      <c r="S5749" s="109"/>
      <c r="T5749" s="108"/>
      <c r="U5749" s="110"/>
      <c r="V5749" s="110"/>
      <c r="W5749" s="110"/>
      <c r="X5749" s="110"/>
    </row>
    <row r="5750" spans="1:24" ht="14.25" customHeight="1">
      <c r="A5750" s="110"/>
      <c r="B5750" s="125">
        <v>46203</v>
      </c>
      <c r="C5750" s="126" t="s">
        <v>3512</v>
      </c>
      <c r="D5750" s="15" t="s">
        <v>3108</v>
      </c>
      <c r="E5750" s="10" t="str">
        <f>TRIM(VLOOKUP(D5750,TB!$B$9:$C$1500,2,FALSE))</f>
        <v>Promotional Costs</v>
      </c>
      <c r="F5750" s="142" t="s">
        <v>3513</v>
      </c>
      <c r="G5750" s="130"/>
      <c r="H5750" s="155">
        <v>40000</v>
      </c>
      <c r="I5750" s="10"/>
      <c r="J5750" s="79" t="e">
        <f t="shared" si="347"/>
        <v>#VALUE!</v>
      </c>
      <c r="K5750" s="106"/>
      <c r="L5750" s="107"/>
      <c r="M5750" s="106"/>
      <c r="N5750" s="106"/>
      <c r="O5750" s="108"/>
      <c r="P5750" s="108"/>
      <c r="Q5750" s="108"/>
      <c r="R5750" s="109"/>
      <c r="S5750" s="109"/>
      <c r="T5750" s="108"/>
      <c r="U5750" s="110"/>
      <c r="V5750" s="110"/>
      <c r="W5750" s="110"/>
      <c r="X5750" s="110"/>
    </row>
    <row r="5751" spans="1:24" ht="14.25" customHeight="1">
      <c r="A5751" s="110"/>
      <c r="B5751" s="125">
        <v>46203</v>
      </c>
      <c r="C5751" s="126" t="s">
        <v>3514</v>
      </c>
      <c r="D5751" s="15" t="s">
        <v>3108</v>
      </c>
      <c r="E5751" s="10" t="str">
        <f>TRIM(VLOOKUP(D5751,TB!$B$9:$C$1500,2,FALSE))</f>
        <v>Promotional Costs</v>
      </c>
      <c r="F5751" s="142" t="s">
        <v>3515</v>
      </c>
      <c r="G5751" s="130"/>
      <c r="H5751" s="155">
        <v>460000</v>
      </c>
      <c r="I5751" s="10"/>
      <c r="J5751" s="79" t="e">
        <f t="shared" si="347"/>
        <v>#VALUE!</v>
      </c>
      <c r="K5751" s="106"/>
      <c r="L5751" s="107"/>
      <c r="M5751" s="106"/>
      <c r="N5751" s="106"/>
      <c r="O5751" s="108"/>
      <c r="P5751" s="108"/>
      <c r="Q5751" s="108"/>
      <c r="R5751" s="109"/>
      <c r="S5751" s="109"/>
      <c r="T5751" s="108"/>
      <c r="U5751" s="110"/>
      <c r="V5751" s="110"/>
      <c r="W5751" s="110"/>
      <c r="X5751" s="110"/>
    </row>
    <row r="5752" spans="1:24" ht="14.25" customHeight="1">
      <c r="A5752" s="110"/>
      <c r="B5752" s="125">
        <v>46203</v>
      </c>
      <c r="C5752" s="126" t="s">
        <v>3516</v>
      </c>
      <c r="D5752" s="15" t="s">
        <v>3108</v>
      </c>
      <c r="E5752" s="10" t="str">
        <f>TRIM(VLOOKUP(D5752,TB!$B$9:$C$1500,2,FALSE))</f>
        <v>Promotional Costs</v>
      </c>
      <c r="F5752" s="142" t="s">
        <v>3517</v>
      </c>
      <c r="G5752" s="130"/>
      <c r="H5752" s="155">
        <v>80000</v>
      </c>
      <c r="I5752" s="10"/>
      <c r="J5752" s="79" t="e">
        <f t="shared" si="347"/>
        <v>#VALUE!</v>
      </c>
      <c r="K5752" s="106"/>
      <c r="L5752" s="107"/>
      <c r="M5752" s="106"/>
      <c r="N5752" s="106"/>
      <c r="O5752" s="108"/>
      <c r="P5752" s="108"/>
      <c r="Q5752" s="108"/>
      <c r="R5752" s="109"/>
      <c r="S5752" s="109"/>
      <c r="T5752" s="108"/>
      <c r="U5752" s="110"/>
      <c r="V5752" s="110"/>
      <c r="W5752" s="110"/>
      <c r="X5752" s="110"/>
    </row>
    <row r="5753" spans="1:24" ht="14.25" customHeight="1">
      <c r="A5753" s="110"/>
      <c r="B5753" s="125">
        <v>46203</v>
      </c>
      <c r="C5753" s="126" t="s">
        <v>3518</v>
      </c>
      <c r="D5753" s="15" t="s">
        <v>3108</v>
      </c>
      <c r="E5753" s="10" t="str">
        <f>TRIM(VLOOKUP(D5753,TB!$B$9:$C$1500,2,FALSE))</f>
        <v>Promotional Costs</v>
      </c>
      <c r="F5753" s="142" t="s">
        <v>3519</v>
      </c>
      <c r="G5753" s="130"/>
      <c r="H5753" s="155">
        <v>460000</v>
      </c>
      <c r="I5753" s="10"/>
      <c r="J5753" s="79" t="e">
        <f t="shared" si="347"/>
        <v>#VALUE!</v>
      </c>
      <c r="K5753" s="106"/>
      <c r="L5753" s="107"/>
      <c r="M5753" s="106"/>
      <c r="N5753" s="106"/>
      <c r="O5753" s="108"/>
      <c r="P5753" s="108"/>
      <c r="Q5753" s="108"/>
      <c r="R5753" s="109"/>
      <c r="S5753" s="109"/>
      <c r="T5753" s="108"/>
      <c r="U5753" s="110"/>
      <c r="V5753" s="110"/>
      <c r="W5753" s="110"/>
      <c r="X5753" s="110"/>
    </row>
    <row r="5754" spans="1:24" ht="14.25" customHeight="1">
      <c r="A5754" s="110"/>
      <c r="B5754" s="125">
        <v>46203</v>
      </c>
      <c r="C5754" s="126" t="s">
        <v>3520</v>
      </c>
      <c r="D5754" s="15" t="s">
        <v>3108</v>
      </c>
      <c r="E5754" s="10" t="str">
        <f>TRIM(VLOOKUP(D5754,TB!$B$9:$C$1500,2,FALSE))</f>
        <v>Promotional Costs</v>
      </c>
      <c r="F5754" s="142" t="s">
        <v>3521</v>
      </c>
      <c r="G5754" s="130"/>
      <c r="H5754" s="155">
        <v>100000</v>
      </c>
      <c r="I5754" s="10"/>
      <c r="J5754" s="79" t="e">
        <f t="shared" si="347"/>
        <v>#VALUE!</v>
      </c>
      <c r="K5754" s="106"/>
      <c r="L5754" s="107"/>
      <c r="M5754" s="106"/>
      <c r="N5754" s="106"/>
      <c r="O5754" s="108"/>
      <c r="P5754" s="108"/>
      <c r="Q5754" s="108"/>
      <c r="R5754" s="109"/>
      <c r="S5754" s="109"/>
      <c r="T5754" s="108"/>
      <c r="U5754" s="110"/>
      <c r="V5754" s="110"/>
      <c r="W5754" s="110"/>
      <c r="X5754" s="110"/>
    </row>
    <row r="5755" spans="1:24" ht="14.25" customHeight="1">
      <c r="A5755" s="110"/>
      <c r="B5755" s="125">
        <v>46203</v>
      </c>
      <c r="C5755" s="126" t="s">
        <v>3522</v>
      </c>
      <c r="D5755" s="15" t="s">
        <v>3108</v>
      </c>
      <c r="E5755" s="10" t="str">
        <f>TRIM(VLOOKUP(D5755,TB!$B$9:$C$1500,2,FALSE))</f>
        <v>Promotional Costs</v>
      </c>
      <c r="F5755" s="142" t="s">
        <v>3523</v>
      </c>
      <c r="G5755" s="130"/>
      <c r="H5755" s="155">
        <v>160000</v>
      </c>
      <c r="I5755" s="10"/>
      <c r="J5755" s="79" t="e">
        <f t="shared" si="347"/>
        <v>#VALUE!</v>
      </c>
      <c r="K5755" s="106"/>
      <c r="L5755" s="107"/>
      <c r="M5755" s="106"/>
      <c r="N5755" s="106"/>
      <c r="O5755" s="108"/>
      <c r="P5755" s="108"/>
      <c r="Q5755" s="108"/>
      <c r="R5755" s="109"/>
      <c r="S5755" s="109"/>
      <c r="T5755" s="108"/>
      <c r="U5755" s="110"/>
      <c r="V5755" s="110"/>
      <c r="W5755" s="110"/>
      <c r="X5755" s="110"/>
    </row>
    <row r="5756" spans="1:24" ht="14.25" customHeight="1">
      <c r="A5756" s="110"/>
      <c r="B5756" s="125">
        <v>46203</v>
      </c>
      <c r="C5756" s="126" t="s">
        <v>3524</v>
      </c>
      <c r="D5756" s="15" t="s">
        <v>3108</v>
      </c>
      <c r="E5756" s="10" t="str">
        <f>TRIM(VLOOKUP(D5756,TB!$B$9:$C$1500,2,FALSE))</f>
        <v>Promotional Costs</v>
      </c>
      <c r="F5756" s="142" t="s">
        <v>3525</v>
      </c>
      <c r="G5756" s="130"/>
      <c r="H5756" s="155">
        <v>160000</v>
      </c>
      <c r="I5756" s="10"/>
      <c r="J5756" s="79" t="e">
        <f t="shared" si="347"/>
        <v>#VALUE!</v>
      </c>
      <c r="K5756" s="106"/>
      <c r="L5756" s="107"/>
      <c r="M5756" s="106"/>
      <c r="N5756" s="106"/>
      <c r="O5756" s="108"/>
      <c r="P5756" s="108"/>
      <c r="Q5756" s="108"/>
      <c r="R5756" s="109"/>
      <c r="S5756" s="109"/>
      <c r="T5756" s="108"/>
      <c r="U5756" s="110"/>
      <c r="V5756" s="110"/>
      <c r="W5756" s="110"/>
      <c r="X5756" s="110"/>
    </row>
    <row r="5757" spans="1:24" ht="14.25" customHeight="1">
      <c r="A5757" s="110"/>
      <c r="B5757" s="125">
        <v>46203</v>
      </c>
      <c r="C5757" s="126" t="s">
        <v>3526</v>
      </c>
      <c r="D5757" s="15" t="s">
        <v>3108</v>
      </c>
      <c r="E5757" s="10" t="str">
        <f>TRIM(VLOOKUP(D5757,TB!$B$9:$C$1500,2,FALSE))</f>
        <v>Promotional Costs</v>
      </c>
      <c r="F5757" s="142" t="s">
        <v>3527</v>
      </c>
      <c r="G5757" s="130"/>
      <c r="H5757" s="155">
        <v>200000</v>
      </c>
      <c r="I5757" s="10"/>
      <c r="J5757" s="79" t="e">
        <f t="shared" si="347"/>
        <v>#VALUE!</v>
      </c>
      <c r="K5757" s="106"/>
      <c r="L5757" s="107"/>
      <c r="M5757" s="106"/>
      <c r="N5757" s="106"/>
      <c r="O5757" s="108"/>
      <c r="P5757" s="108"/>
      <c r="Q5757" s="108"/>
      <c r="R5757" s="109"/>
      <c r="S5757" s="109"/>
      <c r="T5757" s="108"/>
      <c r="U5757" s="110"/>
      <c r="V5757" s="110"/>
      <c r="W5757" s="110"/>
      <c r="X5757" s="110"/>
    </row>
    <row r="5758" spans="1:24" ht="14.25" customHeight="1">
      <c r="A5758" s="110"/>
      <c r="B5758" s="125">
        <v>46203</v>
      </c>
      <c r="C5758" s="126" t="s">
        <v>3528</v>
      </c>
      <c r="D5758" s="15" t="s">
        <v>3108</v>
      </c>
      <c r="E5758" s="10" t="str">
        <f>TRIM(VLOOKUP(D5758,TB!$B$9:$C$1500,2,FALSE))</f>
        <v>Promotional Costs</v>
      </c>
      <c r="F5758" s="142" t="s">
        <v>3529</v>
      </c>
      <c r="G5758" s="130"/>
      <c r="H5758" s="155">
        <v>120000</v>
      </c>
      <c r="I5758" s="10"/>
      <c r="J5758" s="79" t="e">
        <f t="shared" si="347"/>
        <v>#VALUE!</v>
      </c>
      <c r="K5758" s="106"/>
      <c r="L5758" s="107"/>
      <c r="M5758" s="106"/>
      <c r="N5758" s="106"/>
      <c r="O5758" s="108"/>
      <c r="P5758" s="108"/>
      <c r="Q5758" s="108"/>
      <c r="R5758" s="109"/>
      <c r="S5758" s="109"/>
      <c r="T5758" s="108"/>
      <c r="U5758" s="110"/>
      <c r="V5758" s="110"/>
      <c r="W5758" s="110"/>
      <c r="X5758" s="110"/>
    </row>
    <row r="5759" spans="1:24" ht="14.25" customHeight="1">
      <c r="A5759" s="110"/>
      <c r="B5759" s="125">
        <v>46203</v>
      </c>
      <c r="C5759" s="126" t="s">
        <v>3530</v>
      </c>
      <c r="D5759" s="15" t="s">
        <v>3108</v>
      </c>
      <c r="E5759" s="10" t="str">
        <f>TRIM(VLOOKUP(D5759,TB!$B$9:$C$1500,2,FALSE))</f>
        <v>Promotional Costs</v>
      </c>
      <c r="F5759" s="142" t="s">
        <v>3531</v>
      </c>
      <c r="G5759" s="130"/>
      <c r="H5759" s="155">
        <v>180000</v>
      </c>
      <c r="I5759" s="10"/>
      <c r="J5759" s="79" t="e">
        <f t="shared" si="347"/>
        <v>#VALUE!</v>
      </c>
      <c r="K5759" s="106"/>
      <c r="L5759" s="107"/>
      <c r="M5759" s="106"/>
      <c r="N5759" s="106"/>
      <c r="O5759" s="108"/>
      <c r="P5759" s="108"/>
      <c r="Q5759" s="108"/>
      <c r="R5759" s="109"/>
      <c r="S5759" s="109"/>
      <c r="T5759" s="108"/>
      <c r="U5759" s="110"/>
      <c r="V5759" s="110"/>
      <c r="W5759" s="110"/>
      <c r="X5759" s="110"/>
    </row>
    <row r="5760" spans="1:24" ht="14.25" customHeight="1">
      <c r="A5760" s="110"/>
      <c r="B5760" s="125">
        <v>46203</v>
      </c>
      <c r="C5760" s="126" t="s">
        <v>3532</v>
      </c>
      <c r="D5760" s="15" t="s">
        <v>3108</v>
      </c>
      <c r="E5760" s="10" t="str">
        <f>TRIM(VLOOKUP(D5760,TB!$B$9:$C$1500,2,FALSE))</f>
        <v>Promotional Costs</v>
      </c>
      <c r="F5760" s="142" t="s">
        <v>3533</v>
      </c>
      <c r="G5760" s="130"/>
      <c r="H5760" s="155">
        <v>780000</v>
      </c>
      <c r="I5760" s="10"/>
      <c r="J5760" s="79" t="e">
        <f t="shared" si="347"/>
        <v>#VALUE!</v>
      </c>
      <c r="K5760" s="106"/>
      <c r="L5760" s="107"/>
      <c r="M5760" s="106"/>
      <c r="N5760" s="106"/>
      <c r="O5760" s="108"/>
      <c r="P5760" s="108"/>
      <c r="Q5760" s="108"/>
      <c r="R5760" s="109"/>
      <c r="S5760" s="109"/>
      <c r="T5760" s="108"/>
      <c r="U5760" s="110"/>
      <c r="V5760" s="110"/>
      <c r="W5760" s="110"/>
      <c r="X5760" s="110"/>
    </row>
    <row r="5761" spans="1:24" ht="14.25" customHeight="1">
      <c r="A5761" s="110"/>
      <c r="B5761" s="125">
        <v>46203</v>
      </c>
      <c r="C5761" s="126" t="s">
        <v>3534</v>
      </c>
      <c r="D5761" s="15" t="s">
        <v>3108</v>
      </c>
      <c r="E5761" s="10" t="str">
        <f>TRIM(VLOOKUP(D5761,TB!$B$9:$C$1500,2,FALSE))</f>
        <v>Promotional Costs</v>
      </c>
      <c r="F5761" s="142" t="s">
        <v>3535</v>
      </c>
      <c r="G5761" s="130"/>
      <c r="H5761" s="155">
        <v>60000</v>
      </c>
      <c r="I5761" s="10"/>
      <c r="J5761" s="79" t="e">
        <f t="shared" si="347"/>
        <v>#VALUE!</v>
      </c>
      <c r="K5761" s="106"/>
      <c r="L5761" s="107"/>
      <c r="M5761" s="106"/>
      <c r="N5761" s="106"/>
      <c r="O5761" s="108"/>
      <c r="P5761" s="108"/>
      <c r="Q5761" s="108"/>
      <c r="R5761" s="109"/>
      <c r="S5761" s="109"/>
      <c r="T5761" s="108"/>
      <c r="U5761" s="110"/>
      <c r="V5761" s="110"/>
      <c r="W5761" s="110"/>
      <c r="X5761" s="110"/>
    </row>
    <row r="5762" spans="1:24" ht="14.25" customHeight="1">
      <c r="A5762" s="110"/>
      <c r="B5762" s="125">
        <v>46203</v>
      </c>
      <c r="C5762" s="126" t="s">
        <v>3536</v>
      </c>
      <c r="D5762" s="15" t="s">
        <v>3108</v>
      </c>
      <c r="E5762" s="10" t="str">
        <f>TRIM(VLOOKUP(D5762,TB!$B$9:$C$1500,2,FALSE))</f>
        <v>Promotional Costs</v>
      </c>
      <c r="F5762" s="142" t="s">
        <v>3537</v>
      </c>
      <c r="G5762" s="130"/>
      <c r="H5762" s="155">
        <v>330000</v>
      </c>
      <c r="I5762" s="10"/>
      <c r="J5762" s="79" t="e">
        <f t="shared" si="347"/>
        <v>#VALUE!</v>
      </c>
      <c r="K5762" s="106"/>
      <c r="L5762" s="107"/>
      <c r="M5762" s="106"/>
      <c r="N5762" s="106"/>
      <c r="O5762" s="108"/>
      <c r="P5762" s="108"/>
      <c r="Q5762" s="108"/>
      <c r="R5762" s="109"/>
      <c r="S5762" s="109"/>
      <c r="T5762" s="108"/>
      <c r="U5762" s="110"/>
      <c r="V5762" s="110"/>
      <c r="W5762" s="110"/>
      <c r="X5762" s="110"/>
    </row>
    <row r="5763" spans="1:24" ht="14.25" customHeight="1">
      <c r="A5763" s="110"/>
      <c r="B5763" s="125">
        <v>46203</v>
      </c>
      <c r="C5763" s="126" t="s">
        <v>3538</v>
      </c>
      <c r="D5763" s="15" t="s">
        <v>3108</v>
      </c>
      <c r="E5763" s="10" t="str">
        <f>TRIM(VLOOKUP(D5763,TB!$B$9:$C$1500,2,FALSE))</f>
        <v>Promotional Costs</v>
      </c>
      <c r="F5763" s="142" t="s">
        <v>3539</v>
      </c>
      <c r="G5763" s="130"/>
      <c r="H5763" s="155">
        <v>40000</v>
      </c>
      <c r="I5763" s="10"/>
      <c r="J5763" s="79" t="e">
        <f t="shared" si="347"/>
        <v>#VALUE!</v>
      </c>
      <c r="K5763" s="106"/>
      <c r="L5763" s="107"/>
      <c r="M5763" s="106"/>
      <c r="N5763" s="106"/>
      <c r="O5763" s="108"/>
      <c r="P5763" s="108"/>
      <c r="Q5763" s="108"/>
      <c r="R5763" s="109"/>
      <c r="S5763" s="109"/>
      <c r="T5763" s="108"/>
      <c r="U5763" s="110"/>
      <c r="V5763" s="110"/>
      <c r="W5763" s="110"/>
      <c r="X5763" s="110"/>
    </row>
    <row r="5764" spans="1:24" ht="14.25" customHeight="1">
      <c r="A5764" s="110"/>
      <c r="B5764" s="125">
        <v>46203</v>
      </c>
      <c r="C5764" s="126" t="s">
        <v>3540</v>
      </c>
      <c r="D5764" s="15" t="s">
        <v>3108</v>
      </c>
      <c r="E5764" s="10" t="str">
        <f>TRIM(VLOOKUP(D5764,TB!$B$9:$C$1500,2,FALSE))</f>
        <v>Promotional Costs</v>
      </c>
      <c r="F5764" s="142" t="s">
        <v>3541</v>
      </c>
      <c r="G5764" s="130"/>
      <c r="H5764" s="155">
        <v>320000</v>
      </c>
      <c r="I5764" s="10"/>
      <c r="J5764" s="79" t="e">
        <f t="shared" si="347"/>
        <v>#VALUE!</v>
      </c>
      <c r="K5764" s="106"/>
      <c r="L5764" s="107"/>
      <c r="M5764" s="106"/>
      <c r="N5764" s="106"/>
      <c r="O5764" s="108"/>
      <c r="P5764" s="108"/>
      <c r="Q5764" s="108"/>
      <c r="R5764" s="109"/>
      <c r="S5764" s="109"/>
      <c r="T5764" s="108"/>
      <c r="U5764" s="110"/>
      <c r="V5764" s="110"/>
      <c r="W5764" s="110"/>
      <c r="X5764" s="110"/>
    </row>
    <row r="5765" spans="1:24" ht="14.25" customHeight="1">
      <c r="A5765" s="110"/>
      <c r="B5765" s="125">
        <v>46203</v>
      </c>
      <c r="C5765" s="126" t="s">
        <v>3542</v>
      </c>
      <c r="D5765" s="15" t="s">
        <v>3108</v>
      </c>
      <c r="E5765" s="10" t="str">
        <f>TRIM(VLOOKUP(D5765,TB!$B$9:$C$1500,2,FALSE))</f>
        <v>Promotional Costs</v>
      </c>
      <c r="F5765" s="142" t="s">
        <v>3543</v>
      </c>
      <c r="G5765" s="130"/>
      <c r="H5765" s="155">
        <v>100000</v>
      </c>
      <c r="I5765" s="10"/>
      <c r="J5765" s="79" t="e">
        <f t="shared" si="347"/>
        <v>#VALUE!</v>
      </c>
      <c r="K5765" s="106"/>
      <c r="L5765" s="107"/>
      <c r="M5765" s="106"/>
      <c r="N5765" s="106"/>
      <c r="O5765" s="108"/>
      <c r="P5765" s="108"/>
      <c r="Q5765" s="108"/>
      <c r="R5765" s="109"/>
      <c r="S5765" s="109"/>
      <c r="T5765" s="108"/>
      <c r="U5765" s="110"/>
      <c r="V5765" s="110"/>
      <c r="W5765" s="110"/>
      <c r="X5765" s="110"/>
    </row>
    <row r="5766" spans="1:24" ht="14.25" customHeight="1">
      <c r="A5766" s="110"/>
      <c r="B5766" s="125">
        <v>46203</v>
      </c>
      <c r="C5766" s="126" t="s">
        <v>3512</v>
      </c>
      <c r="D5766" s="68" t="s">
        <v>285</v>
      </c>
      <c r="E5766" s="10" t="str">
        <f>TRIM(VLOOKUP(D5766,TB!$B$9:$C$1500,2,FALSE))</f>
        <v>Misc Cash Purchase</v>
      </c>
      <c r="F5766" s="142" t="s">
        <v>3513</v>
      </c>
      <c r="G5766" s="130"/>
      <c r="H5766" s="10"/>
      <c r="I5766" s="155">
        <v>40000</v>
      </c>
      <c r="J5766" s="79" t="e">
        <f t="shared" si="347"/>
        <v>#VALUE!</v>
      </c>
      <c r="K5766" s="106"/>
      <c r="L5766" s="107"/>
      <c r="M5766" s="106"/>
      <c r="N5766" s="106"/>
      <c r="O5766" s="108"/>
      <c r="P5766" s="108"/>
      <c r="Q5766" s="108"/>
      <c r="R5766" s="109"/>
      <c r="S5766" s="109"/>
      <c r="T5766" s="108"/>
      <c r="U5766" s="110"/>
      <c r="V5766" s="110"/>
      <c r="W5766" s="110"/>
      <c r="X5766" s="110"/>
    </row>
    <row r="5767" spans="1:24" ht="14.25" customHeight="1">
      <c r="A5767" s="110"/>
      <c r="B5767" s="125">
        <v>46203</v>
      </c>
      <c r="C5767" s="126" t="s">
        <v>3514</v>
      </c>
      <c r="D5767" s="68" t="s">
        <v>285</v>
      </c>
      <c r="E5767" s="10" t="str">
        <f>TRIM(VLOOKUP(D5767,TB!$B$9:$C$1500,2,FALSE))</f>
        <v>Misc Cash Purchase</v>
      </c>
      <c r="F5767" s="142" t="s">
        <v>3515</v>
      </c>
      <c r="G5767" s="130"/>
      <c r="H5767" s="10"/>
      <c r="I5767" s="155">
        <v>460000</v>
      </c>
      <c r="J5767" s="79" t="e">
        <f t="shared" si="347"/>
        <v>#VALUE!</v>
      </c>
      <c r="K5767" s="106"/>
      <c r="L5767" s="107"/>
      <c r="M5767" s="106"/>
      <c r="N5767" s="106"/>
      <c r="O5767" s="108"/>
      <c r="P5767" s="108"/>
      <c r="Q5767" s="108"/>
      <c r="R5767" s="109"/>
      <c r="S5767" s="109"/>
      <c r="T5767" s="108"/>
      <c r="U5767" s="110"/>
      <c r="V5767" s="110"/>
      <c r="W5767" s="110"/>
      <c r="X5767" s="110"/>
    </row>
    <row r="5768" spans="1:24" ht="14.25" customHeight="1">
      <c r="A5768" s="110"/>
      <c r="B5768" s="125">
        <v>46203</v>
      </c>
      <c r="C5768" s="126" t="s">
        <v>3516</v>
      </c>
      <c r="D5768" s="68" t="s">
        <v>285</v>
      </c>
      <c r="E5768" s="10" t="str">
        <f>TRIM(VLOOKUP(D5768,TB!$B$9:$C$1500,2,FALSE))</f>
        <v>Misc Cash Purchase</v>
      </c>
      <c r="F5768" s="142" t="s">
        <v>3517</v>
      </c>
      <c r="G5768" s="130"/>
      <c r="H5768" s="10"/>
      <c r="I5768" s="155">
        <v>80000</v>
      </c>
      <c r="J5768" s="79" t="e">
        <f t="shared" si="347"/>
        <v>#VALUE!</v>
      </c>
      <c r="K5768" s="106"/>
      <c r="L5768" s="107"/>
      <c r="M5768" s="106"/>
      <c r="N5768" s="106"/>
      <c r="O5768" s="108"/>
      <c r="P5768" s="108"/>
      <c r="Q5768" s="108"/>
      <c r="R5768" s="109"/>
      <c r="S5768" s="109"/>
      <c r="T5768" s="108"/>
      <c r="U5768" s="110"/>
      <c r="V5768" s="110"/>
      <c r="W5768" s="110"/>
      <c r="X5768" s="110"/>
    </row>
    <row r="5769" spans="1:24" ht="14.25" customHeight="1">
      <c r="A5769" s="110"/>
      <c r="B5769" s="125">
        <v>46203</v>
      </c>
      <c r="C5769" s="126" t="s">
        <v>3518</v>
      </c>
      <c r="D5769" s="68" t="s">
        <v>285</v>
      </c>
      <c r="E5769" s="10" t="str">
        <f>TRIM(VLOOKUP(D5769,TB!$B$9:$C$1500,2,FALSE))</f>
        <v>Misc Cash Purchase</v>
      </c>
      <c r="F5769" s="142" t="s">
        <v>3519</v>
      </c>
      <c r="G5769" s="130"/>
      <c r="H5769" s="10"/>
      <c r="I5769" s="155">
        <v>460000</v>
      </c>
      <c r="J5769" s="79" t="e">
        <f t="shared" si="347"/>
        <v>#VALUE!</v>
      </c>
      <c r="K5769" s="106"/>
      <c r="L5769" s="107"/>
      <c r="M5769" s="106"/>
      <c r="N5769" s="106"/>
      <c r="O5769" s="108"/>
      <c r="P5769" s="108"/>
      <c r="Q5769" s="108"/>
      <c r="R5769" s="109"/>
      <c r="S5769" s="109"/>
      <c r="T5769" s="108"/>
      <c r="U5769" s="110"/>
      <c r="V5769" s="110"/>
      <c r="W5769" s="110"/>
      <c r="X5769" s="110"/>
    </row>
    <row r="5770" spans="1:24" ht="14.25" customHeight="1">
      <c r="A5770" s="110"/>
      <c r="B5770" s="125">
        <v>46203</v>
      </c>
      <c r="C5770" s="126" t="s">
        <v>3520</v>
      </c>
      <c r="D5770" s="68" t="s">
        <v>285</v>
      </c>
      <c r="E5770" s="10" t="str">
        <f>TRIM(VLOOKUP(D5770,TB!$B$9:$C$1500,2,FALSE))</f>
        <v>Misc Cash Purchase</v>
      </c>
      <c r="F5770" s="142" t="s">
        <v>3521</v>
      </c>
      <c r="G5770" s="130"/>
      <c r="H5770" s="10"/>
      <c r="I5770" s="155">
        <v>100000</v>
      </c>
      <c r="J5770" s="79" t="e">
        <f t="shared" si="347"/>
        <v>#VALUE!</v>
      </c>
      <c r="K5770" s="106"/>
      <c r="L5770" s="107"/>
      <c r="M5770" s="106"/>
      <c r="N5770" s="106"/>
      <c r="O5770" s="108"/>
      <c r="P5770" s="108"/>
      <c r="Q5770" s="108"/>
      <c r="R5770" s="109"/>
      <c r="S5770" s="109"/>
      <c r="T5770" s="108"/>
      <c r="U5770" s="110"/>
      <c r="V5770" s="110"/>
      <c r="W5770" s="110"/>
      <c r="X5770" s="110"/>
    </row>
    <row r="5771" spans="1:24" ht="14.25" customHeight="1">
      <c r="A5771" s="110"/>
      <c r="B5771" s="125">
        <v>46203</v>
      </c>
      <c r="C5771" s="126" t="s">
        <v>3522</v>
      </c>
      <c r="D5771" s="68" t="s">
        <v>285</v>
      </c>
      <c r="E5771" s="10" t="str">
        <f>TRIM(VLOOKUP(D5771,TB!$B$9:$C$1500,2,FALSE))</f>
        <v>Misc Cash Purchase</v>
      </c>
      <c r="F5771" s="142" t="s">
        <v>3523</v>
      </c>
      <c r="G5771" s="130"/>
      <c r="H5771" s="10"/>
      <c r="I5771" s="155">
        <v>160000</v>
      </c>
      <c r="J5771" s="79" t="e">
        <f t="shared" si="347"/>
        <v>#VALUE!</v>
      </c>
      <c r="K5771" s="106"/>
      <c r="L5771" s="107"/>
      <c r="M5771" s="106"/>
      <c r="N5771" s="106"/>
      <c r="O5771" s="108"/>
      <c r="P5771" s="108"/>
      <c r="Q5771" s="108"/>
      <c r="R5771" s="109"/>
      <c r="S5771" s="109"/>
      <c r="T5771" s="108"/>
      <c r="U5771" s="110"/>
      <c r="V5771" s="110"/>
      <c r="W5771" s="110"/>
      <c r="X5771" s="110"/>
    </row>
    <row r="5772" spans="1:24" ht="14.25" customHeight="1">
      <c r="A5772" s="110"/>
      <c r="B5772" s="125">
        <v>46203</v>
      </c>
      <c r="C5772" s="126" t="s">
        <v>3524</v>
      </c>
      <c r="D5772" s="68" t="s">
        <v>285</v>
      </c>
      <c r="E5772" s="10" t="str">
        <f>TRIM(VLOOKUP(D5772,TB!$B$9:$C$1500,2,FALSE))</f>
        <v>Misc Cash Purchase</v>
      </c>
      <c r="F5772" s="142" t="s">
        <v>3525</v>
      </c>
      <c r="G5772" s="130"/>
      <c r="H5772" s="10"/>
      <c r="I5772" s="155">
        <v>160000</v>
      </c>
      <c r="J5772" s="79" t="e">
        <f t="shared" si="347"/>
        <v>#VALUE!</v>
      </c>
      <c r="K5772" s="106"/>
      <c r="L5772" s="107"/>
      <c r="M5772" s="106"/>
      <c r="N5772" s="106"/>
      <c r="O5772" s="108"/>
      <c r="P5772" s="108"/>
      <c r="Q5772" s="108"/>
      <c r="R5772" s="109"/>
      <c r="S5772" s="109"/>
      <c r="T5772" s="108"/>
      <c r="U5772" s="110"/>
      <c r="V5772" s="110"/>
      <c r="W5772" s="110"/>
      <c r="X5772" s="110"/>
    </row>
    <row r="5773" spans="1:24" ht="14.25" customHeight="1">
      <c r="A5773" s="110"/>
      <c r="B5773" s="125">
        <v>46203</v>
      </c>
      <c r="C5773" s="126" t="s">
        <v>3526</v>
      </c>
      <c r="D5773" s="68" t="s">
        <v>285</v>
      </c>
      <c r="E5773" s="10" t="str">
        <f>TRIM(VLOOKUP(D5773,TB!$B$9:$C$1500,2,FALSE))</f>
        <v>Misc Cash Purchase</v>
      </c>
      <c r="F5773" s="142" t="s">
        <v>3527</v>
      </c>
      <c r="G5773" s="130"/>
      <c r="H5773" s="10"/>
      <c r="I5773" s="155">
        <v>200000</v>
      </c>
      <c r="J5773" s="79" t="e">
        <f t="shared" si="347"/>
        <v>#VALUE!</v>
      </c>
      <c r="K5773" s="106"/>
      <c r="L5773" s="107"/>
      <c r="M5773" s="106"/>
      <c r="N5773" s="106"/>
      <c r="O5773" s="108"/>
      <c r="P5773" s="108"/>
      <c r="Q5773" s="108"/>
      <c r="R5773" s="109"/>
      <c r="S5773" s="109"/>
      <c r="T5773" s="108"/>
      <c r="U5773" s="110"/>
      <c r="V5773" s="110"/>
      <c r="W5773" s="110"/>
      <c r="X5773" s="110"/>
    </row>
    <row r="5774" spans="1:24" ht="14.25" customHeight="1">
      <c r="A5774" s="110"/>
      <c r="B5774" s="125">
        <v>46203</v>
      </c>
      <c r="C5774" s="126" t="s">
        <v>3528</v>
      </c>
      <c r="D5774" s="68" t="s">
        <v>285</v>
      </c>
      <c r="E5774" s="10" t="str">
        <f>TRIM(VLOOKUP(D5774,TB!$B$9:$C$1500,2,FALSE))</f>
        <v>Misc Cash Purchase</v>
      </c>
      <c r="F5774" s="142" t="s">
        <v>3529</v>
      </c>
      <c r="G5774" s="130"/>
      <c r="H5774" s="10"/>
      <c r="I5774" s="155">
        <v>120000</v>
      </c>
      <c r="J5774" s="79" t="e">
        <f t="shared" si="347"/>
        <v>#VALUE!</v>
      </c>
      <c r="K5774" s="106"/>
      <c r="L5774" s="107"/>
      <c r="M5774" s="106"/>
      <c r="N5774" s="106"/>
      <c r="O5774" s="108"/>
      <c r="P5774" s="108"/>
      <c r="Q5774" s="108"/>
      <c r="R5774" s="109"/>
      <c r="S5774" s="109"/>
      <c r="T5774" s="108"/>
      <c r="U5774" s="110"/>
      <c r="V5774" s="110"/>
      <c r="W5774" s="110"/>
      <c r="X5774" s="110"/>
    </row>
    <row r="5775" spans="1:24" ht="14.25" customHeight="1">
      <c r="A5775" s="110"/>
      <c r="B5775" s="125">
        <v>46203</v>
      </c>
      <c r="C5775" s="126" t="s">
        <v>3530</v>
      </c>
      <c r="D5775" s="68" t="s">
        <v>285</v>
      </c>
      <c r="E5775" s="10" t="str">
        <f>TRIM(VLOOKUP(D5775,TB!$B$9:$C$1500,2,FALSE))</f>
        <v>Misc Cash Purchase</v>
      </c>
      <c r="F5775" s="142" t="s">
        <v>3531</v>
      </c>
      <c r="G5775" s="130"/>
      <c r="H5775" s="10"/>
      <c r="I5775" s="155">
        <v>180000</v>
      </c>
      <c r="J5775" s="79" t="e">
        <f t="shared" si="347"/>
        <v>#VALUE!</v>
      </c>
      <c r="K5775" s="106"/>
      <c r="L5775" s="107"/>
      <c r="M5775" s="106"/>
      <c r="N5775" s="106"/>
      <c r="O5775" s="108"/>
      <c r="P5775" s="108"/>
      <c r="Q5775" s="108"/>
      <c r="R5775" s="109"/>
      <c r="S5775" s="109"/>
      <c r="T5775" s="108"/>
      <c r="U5775" s="110"/>
      <c r="V5775" s="110"/>
      <c r="W5775" s="110"/>
      <c r="X5775" s="110"/>
    </row>
    <row r="5776" spans="1:24" ht="14.25" customHeight="1">
      <c r="A5776" s="110"/>
      <c r="B5776" s="125">
        <v>46203</v>
      </c>
      <c r="C5776" s="126" t="s">
        <v>3532</v>
      </c>
      <c r="D5776" s="68" t="s">
        <v>285</v>
      </c>
      <c r="E5776" s="10" t="str">
        <f>TRIM(VLOOKUP(D5776,TB!$B$9:$C$1500,2,FALSE))</f>
        <v>Misc Cash Purchase</v>
      </c>
      <c r="F5776" s="142" t="s">
        <v>3533</v>
      </c>
      <c r="G5776" s="130"/>
      <c r="H5776" s="10"/>
      <c r="I5776" s="155">
        <v>780000</v>
      </c>
      <c r="J5776" s="79" t="e">
        <f t="shared" si="347"/>
        <v>#VALUE!</v>
      </c>
      <c r="K5776" s="106"/>
      <c r="L5776" s="107"/>
      <c r="M5776" s="106"/>
      <c r="N5776" s="106"/>
      <c r="O5776" s="108"/>
      <c r="P5776" s="108"/>
      <c r="Q5776" s="108"/>
      <c r="R5776" s="109"/>
      <c r="S5776" s="109"/>
      <c r="T5776" s="108"/>
      <c r="U5776" s="110"/>
      <c r="V5776" s="110"/>
      <c r="W5776" s="110"/>
      <c r="X5776" s="110"/>
    </row>
    <row r="5777" spans="1:24" ht="14.25" customHeight="1">
      <c r="A5777" s="110"/>
      <c r="B5777" s="125">
        <v>46203</v>
      </c>
      <c r="C5777" s="126" t="s">
        <v>3534</v>
      </c>
      <c r="D5777" s="68" t="s">
        <v>285</v>
      </c>
      <c r="E5777" s="10" t="str">
        <f>TRIM(VLOOKUP(D5777,TB!$B$9:$C$1500,2,FALSE))</f>
        <v>Misc Cash Purchase</v>
      </c>
      <c r="F5777" s="142" t="s">
        <v>3535</v>
      </c>
      <c r="G5777" s="130"/>
      <c r="H5777" s="10"/>
      <c r="I5777" s="155">
        <v>60000</v>
      </c>
      <c r="J5777" s="79" t="e">
        <f t="shared" si="347"/>
        <v>#VALUE!</v>
      </c>
      <c r="K5777" s="106"/>
      <c r="L5777" s="107"/>
      <c r="M5777" s="106"/>
      <c r="N5777" s="106"/>
      <c r="O5777" s="108"/>
      <c r="P5777" s="108"/>
      <c r="Q5777" s="108"/>
      <c r="R5777" s="109"/>
      <c r="S5777" s="109"/>
      <c r="T5777" s="108"/>
      <c r="U5777" s="110"/>
      <c r="V5777" s="110"/>
      <c r="W5777" s="110"/>
      <c r="X5777" s="110"/>
    </row>
    <row r="5778" spans="1:24" ht="14.25" customHeight="1">
      <c r="A5778" s="110"/>
      <c r="B5778" s="125">
        <v>46203</v>
      </c>
      <c r="C5778" s="126" t="s">
        <v>3536</v>
      </c>
      <c r="D5778" s="68" t="s">
        <v>285</v>
      </c>
      <c r="E5778" s="10" t="str">
        <f>TRIM(VLOOKUP(D5778,TB!$B$9:$C$1500,2,FALSE))</f>
        <v>Misc Cash Purchase</v>
      </c>
      <c r="F5778" s="142" t="s">
        <v>3537</v>
      </c>
      <c r="G5778" s="130"/>
      <c r="H5778" s="10"/>
      <c r="I5778" s="155">
        <v>330000</v>
      </c>
      <c r="J5778" s="79" t="e">
        <f t="shared" si="347"/>
        <v>#VALUE!</v>
      </c>
      <c r="K5778" s="106"/>
      <c r="L5778" s="107"/>
      <c r="M5778" s="106"/>
      <c r="N5778" s="106"/>
      <c r="O5778" s="108"/>
      <c r="P5778" s="108"/>
      <c r="Q5778" s="108"/>
      <c r="R5778" s="109"/>
      <c r="S5778" s="109"/>
      <c r="T5778" s="108"/>
      <c r="U5778" s="110"/>
      <c r="V5778" s="110"/>
      <c r="W5778" s="110"/>
      <c r="X5778" s="110"/>
    </row>
    <row r="5779" spans="1:24" ht="14.25" customHeight="1">
      <c r="A5779" s="110"/>
      <c r="B5779" s="125">
        <v>46203</v>
      </c>
      <c r="C5779" s="126" t="s">
        <v>3538</v>
      </c>
      <c r="D5779" s="68" t="s">
        <v>285</v>
      </c>
      <c r="E5779" s="10" t="str">
        <f>TRIM(VLOOKUP(D5779,TB!$B$9:$C$1500,2,FALSE))</f>
        <v>Misc Cash Purchase</v>
      </c>
      <c r="F5779" s="142" t="s">
        <v>3539</v>
      </c>
      <c r="G5779" s="130"/>
      <c r="H5779" s="10"/>
      <c r="I5779" s="155">
        <v>40000</v>
      </c>
      <c r="J5779" s="79" t="e">
        <f t="shared" si="347"/>
        <v>#VALUE!</v>
      </c>
      <c r="K5779" s="106"/>
      <c r="L5779" s="107"/>
      <c r="M5779" s="106"/>
      <c r="N5779" s="106"/>
      <c r="O5779" s="108"/>
      <c r="P5779" s="108"/>
      <c r="Q5779" s="108"/>
      <c r="R5779" s="109"/>
      <c r="S5779" s="109"/>
      <c r="T5779" s="108"/>
      <c r="U5779" s="110"/>
      <c r="V5779" s="110"/>
      <c r="W5779" s="110"/>
      <c r="X5779" s="110"/>
    </row>
    <row r="5780" spans="1:24" ht="14.25" customHeight="1">
      <c r="A5780" s="110"/>
      <c r="B5780" s="125">
        <v>46203</v>
      </c>
      <c r="C5780" s="126" t="s">
        <v>3540</v>
      </c>
      <c r="D5780" s="68" t="s">
        <v>285</v>
      </c>
      <c r="E5780" s="10" t="str">
        <f>TRIM(VLOOKUP(D5780,TB!$B$9:$C$1500,2,FALSE))</f>
        <v>Misc Cash Purchase</v>
      </c>
      <c r="F5780" s="142" t="s">
        <v>3541</v>
      </c>
      <c r="G5780" s="130"/>
      <c r="H5780" s="10"/>
      <c r="I5780" s="155">
        <v>320000</v>
      </c>
      <c r="J5780" s="79" t="e">
        <f t="shared" si="347"/>
        <v>#VALUE!</v>
      </c>
      <c r="K5780" s="106"/>
      <c r="L5780" s="107"/>
      <c r="M5780" s="106"/>
      <c r="N5780" s="106"/>
      <c r="O5780" s="108"/>
      <c r="P5780" s="108"/>
      <c r="Q5780" s="108"/>
      <c r="R5780" s="109"/>
      <c r="S5780" s="109"/>
      <c r="T5780" s="108"/>
      <c r="U5780" s="110"/>
      <c r="V5780" s="110"/>
      <c r="W5780" s="110"/>
      <c r="X5780" s="110"/>
    </row>
    <row r="5781" spans="1:24" ht="14.25" customHeight="1">
      <c r="A5781" s="110"/>
      <c r="B5781" s="125">
        <v>46203</v>
      </c>
      <c r="C5781" s="126" t="s">
        <v>3542</v>
      </c>
      <c r="D5781" s="68" t="s">
        <v>285</v>
      </c>
      <c r="E5781" s="10" t="str">
        <f>TRIM(VLOOKUP(D5781,TB!$B$9:$C$1500,2,FALSE))</f>
        <v>Misc Cash Purchase</v>
      </c>
      <c r="F5781" s="142" t="s">
        <v>3543</v>
      </c>
      <c r="G5781" s="130"/>
      <c r="H5781" s="10"/>
      <c r="I5781" s="155">
        <v>100000</v>
      </c>
      <c r="J5781" s="79" t="e">
        <f t="shared" si="347"/>
        <v>#VALUE!</v>
      </c>
      <c r="K5781" s="106"/>
      <c r="L5781" s="107"/>
      <c r="M5781" s="106"/>
      <c r="N5781" s="106"/>
      <c r="O5781" s="108"/>
      <c r="P5781" s="108"/>
      <c r="Q5781" s="108"/>
      <c r="R5781" s="109"/>
      <c r="S5781" s="109"/>
      <c r="T5781" s="108"/>
      <c r="U5781" s="110"/>
      <c r="V5781" s="110"/>
      <c r="W5781" s="110"/>
      <c r="X5781" s="110"/>
    </row>
    <row r="5782" spans="1:24" ht="14.25" customHeight="1">
      <c r="A5782" s="110"/>
      <c r="B5782" s="125"/>
      <c r="C5782" s="126"/>
      <c r="D5782" s="159"/>
      <c r="E5782" s="10" t="e">
        <f>TRIM(VLOOKUP(D5782,TB!$B$9:$C$1500,2,FALSE))</f>
        <v>#N/A</v>
      </c>
      <c r="F5782" s="142"/>
      <c r="G5782" s="130"/>
      <c r="H5782" s="10"/>
      <c r="I5782" s="10"/>
      <c r="J5782" s="79" t="e">
        <f t="shared" si="347"/>
        <v>#VALUE!</v>
      </c>
      <c r="K5782" s="106"/>
      <c r="L5782" s="107"/>
      <c r="M5782" s="106"/>
      <c r="N5782" s="106"/>
      <c r="O5782" s="108"/>
      <c r="P5782" s="108"/>
      <c r="Q5782" s="108"/>
      <c r="R5782" s="109"/>
      <c r="S5782" s="109"/>
      <c r="T5782" s="108"/>
      <c r="U5782" s="110"/>
      <c r="V5782" s="110"/>
      <c r="W5782" s="110"/>
      <c r="X5782" s="110"/>
    </row>
    <row r="5783" spans="1:24" ht="14.25" customHeight="1">
      <c r="A5783" s="110"/>
      <c r="B5783" s="125">
        <v>46203</v>
      </c>
      <c r="C5783" s="126" t="s">
        <v>3544</v>
      </c>
      <c r="D5783" s="15" t="s">
        <v>3108</v>
      </c>
      <c r="E5783" s="10" t="str">
        <f>TRIM(VLOOKUP(D5783,TB!$B$9:$C$1500,2,FALSE))</f>
        <v>Promotional Costs</v>
      </c>
      <c r="F5783" s="142" t="s">
        <v>3545</v>
      </c>
      <c r="G5783" s="130"/>
      <c r="H5783" s="155">
        <v>500000</v>
      </c>
      <c r="I5783" s="10"/>
      <c r="J5783" s="79" t="e">
        <f t="shared" si="347"/>
        <v>#VALUE!</v>
      </c>
      <c r="K5783" s="106"/>
      <c r="L5783" s="107"/>
      <c r="M5783" s="106"/>
      <c r="N5783" s="106"/>
      <c r="O5783" s="108"/>
      <c r="P5783" s="108"/>
      <c r="Q5783" s="108"/>
      <c r="R5783" s="109"/>
      <c r="S5783" s="109"/>
      <c r="T5783" s="108"/>
      <c r="U5783" s="110"/>
      <c r="V5783" s="110"/>
      <c r="W5783" s="110"/>
      <c r="X5783" s="110"/>
    </row>
    <row r="5784" spans="1:24" ht="14.25" customHeight="1">
      <c r="A5784" s="110"/>
      <c r="B5784" s="125">
        <v>46203</v>
      </c>
      <c r="C5784" s="126" t="s">
        <v>3546</v>
      </c>
      <c r="D5784" s="15" t="s">
        <v>3108</v>
      </c>
      <c r="E5784" s="10" t="str">
        <f>TRIM(VLOOKUP(D5784,TB!$B$9:$C$1500,2,FALSE))</f>
        <v>Promotional Costs</v>
      </c>
      <c r="F5784" s="142" t="s">
        <v>3547</v>
      </c>
      <c r="G5784" s="130"/>
      <c r="H5784" s="155">
        <v>800000</v>
      </c>
      <c r="I5784" s="10"/>
      <c r="J5784" s="79" t="e">
        <f t="shared" si="347"/>
        <v>#VALUE!</v>
      </c>
      <c r="K5784" s="106"/>
      <c r="L5784" s="107"/>
      <c r="M5784" s="106"/>
      <c r="N5784" s="106"/>
      <c r="O5784" s="108"/>
      <c r="P5784" s="108"/>
      <c r="Q5784" s="108"/>
      <c r="R5784" s="109"/>
      <c r="S5784" s="109"/>
      <c r="T5784" s="108"/>
      <c r="U5784" s="110"/>
      <c r="V5784" s="110"/>
      <c r="W5784" s="110"/>
      <c r="X5784" s="110"/>
    </row>
    <row r="5785" spans="1:24" ht="14.25" customHeight="1">
      <c r="A5785" s="110"/>
      <c r="B5785" s="125">
        <v>46203</v>
      </c>
      <c r="C5785" s="126" t="s">
        <v>3548</v>
      </c>
      <c r="D5785" s="15" t="s">
        <v>3108</v>
      </c>
      <c r="E5785" s="10" t="str">
        <f>TRIM(VLOOKUP(D5785,TB!$B$9:$C$1500,2,FALSE))</f>
        <v>Promotional Costs</v>
      </c>
      <c r="F5785" s="142" t="s">
        <v>3549</v>
      </c>
      <c r="G5785" s="130"/>
      <c r="H5785" s="155">
        <v>500000</v>
      </c>
      <c r="I5785" s="10"/>
      <c r="J5785" s="79" t="e">
        <f t="shared" si="347"/>
        <v>#VALUE!</v>
      </c>
      <c r="K5785" s="106"/>
      <c r="L5785" s="107"/>
      <c r="M5785" s="106"/>
      <c r="N5785" s="106"/>
      <c r="O5785" s="108"/>
      <c r="P5785" s="108"/>
      <c r="Q5785" s="108"/>
      <c r="R5785" s="109"/>
      <c r="S5785" s="109"/>
      <c r="T5785" s="108"/>
      <c r="U5785" s="110"/>
      <c r="V5785" s="110"/>
      <c r="W5785" s="110"/>
      <c r="X5785" s="110"/>
    </row>
    <row r="5786" spans="1:24" ht="14.25" customHeight="1">
      <c r="A5786" s="110"/>
      <c r="B5786" s="125">
        <v>46203</v>
      </c>
      <c r="C5786" s="126" t="s">
        <v>3550</v>
      </c>
      <c r="D5786" s="15" t="s">
        <v>3108</v>
      </c>
      <c r="E5786" s="10" t="str">
        <f>TRIM(VLOOKUP(D5786,TB!$B$9:$C$1500,2,FALSE))</f>
        <v>Promotional Costs</v>
      </c>
      <c r="F5786" s="142" t="s">
        <v>3551</v>
      </c>
      <c r="G5786" s="130"/>
      <c r="H5786" s="155">
        <v>500000</v>
      </c>
      <c r="I5786" s="10"/>
      <c r="J5786" s="79" t="e">
        <f t="shared" si="347"/>
        <v>#VALUE!</v>
      </c>
      <c r="K5786" s="106"/>
      <c r="L5786" s="107"/>
      <c r="M5786" s="106"/>
      <c r="N5786" s="106"/>
      <c r="O5786" s="108"/>
      <c r="P5786" s="108"/>
      <c r="Q5786" s="108"/>
      <c r="R5786" s="109"/>
      <c r="S5786" s="109"/>
      <c r="T5786" s="108"/>
      <c r="U5786" s="110"/>
      <c r="V5786" s="110"/>
      <c r="W5786" s="110"/>
      <c r="X5786" s="110"/>
    </row>
    <row r="5787" spans="1:24" ht="14.25" customHeight="1">
      <c r="A5787" s="110"/>
      <c r="B5787" s="125">
        <v>46203</v>
      </c>
      <c r="C5787" s="126" t="s">
        <v>3552</v>
      </c>
      <c r="D5787" s="15" t="s">
        <v>3108</v>
      </c>
      <c r="E5787" s="10" t="str">
        <f>TRIM(VLOOKUP(D5787,TB!$B$9:$C$1500,2,FALSE))</f>
        <v>Promotional Costs</v>
      </c>
      <c r="F5787" s="142" t="s">
        <v>3553</v>
      </c>
      <c r="G5787" s="130"/>
      <c r="H5787" s="155">
        <v>500000</v>
      </c>
      <c r="I5787" s="10"/>
      <c r="J5787" s="79" t="e">
        <f t="shared" si="347"/>
        <v>#VALUE!</v>
      </c>
      <c r="K5787" s="106"/>
      <c r="L5787" s="107"/>
      <c r="M5787" s="106"/>
      <c r="N5787" s="106"/>
      <c r="O5787" s="108"/>
      <c r="P5787" s="108"/>
      <c r="Q5787" s="108"/>
      <c r="R5787" s="109"/>
      <c r="S5787" s="109"/>
      <c r="T5787" s="108"/>
      <c r="U5787" s="110"/>
      <c r="V5787" s="110"/>
      <c r="W5787" s="110"/>
      <c r="X5787" s="110"/>
    </row>
    <row r="5788" spans="1:24" ht="14.25" customHeight="1">
      <c r="A5788" s="110"/>
      <c r="B5788" s="125">
        <v>46203</v>
      </c>
      <c r="C5788" s="126" t="s">
        <v>3554</v>
      </c>
      <c r="D5788" s="15" t="s">
        <v>3108</v>
      </c>
      <c r="E5788" s="10" t="str">
        <f>TRIM(VLOOKUP(D5788,TB!$B$9:$C$1500,2,FALSE))</f>
        <v>Promotional Costs</v>
      </c>
      <c r="F5788" s="142" t="s">
        <v>3555</v>
      </c>
      <c r="G5788" s="130"/>
      <c r="H5788" s="155">
        <v>500000</v>
      </c>
      <c r="I5788" s="10"/>
      <c r="J5788" s="79" t="e">
        <f t="shared" si="347"/>
        <v>#VALUE!</v>
      </c>
      <c r="K5788" s="106"/>
      <c r="L5788" s="107"/>
      <c r="M5788" s="106"/>
      <c r="N5788" s="106"/>
      <c r="O5788" s="108"/>
      <c r="P5788" s="108"/>
      <c r="Q5788" s="108"/>
      <c r="R5788" s="109"/>
      <c r="S5788" s="109"/>
      <c r="T5788" s="108"/>
      <c r="U5788" s="110"/>
      <c r="V5788" s="110"/>
      <c r="W5788" s="110"/>
      <c r="X5788" s="110"/>
    </row>
    <row r="5789" spans="1:24" ht="14.25" customHeight="1">
      <c r="A5789" s="110"/>
      <c r="B5789" s="125">
        <v>46203</v>
      </c>
      <c r="C5789" s="126" t="s">
        <v>3556</v>
      </c>
      <c r="D5789" s="15" t="s">
        <v>3108</v>
      </c>
      <c r="E5789" s="10" t="str">
        <f>TRIM(VLOOKUP(D5789,TB!$B$9:$C$1500,2,FALSE))</f>
        <v>Promotional Costs</v>
      </c>
      <c r="F5789" s="142" t="s">
        <v>3557</v>
      </c>
      <c r="G5789" s="130"/>
      <c r="H5789" s="155">
        <v>400000</v>
      </c>
      <c r="I5789" s="10"/>
      <c r="J5789" s="79" t="e">
        <f t="shared" si="347"/>
        <v>#VALUE!</v>
      </c>
      <c r="K5789" s="106"/>
      <c r="L5789" s="107"/>
      <c r="M5789" s="106"/>
      <c r="N5789" s="106"/>
      <c r="O5789" s="108"/>
      <c r="P5789" s="108"/>
      <c r="Q5789" s="108"/>
      <c r="R5789" s="109"/>
      <c r="S5789" s="109"/>
      <c r="T5789" s="108"/>
      <c r="U5789" s="110"/>
      <c r="V5789" s="110"/>
      <c r="W5789" s="110"/>
      <c r="X5789" s="110"/>
    </row>
    <row r="5790" spans="1:24" ht="14.25" customHeight="1">
      <c r="A5790" s="110"/>
      <c r="B5790" s="125">
        <v>46203</v>
      </c>
      <c r="C5790" s="126" t="s">
        <v>3558</v>
      </c>
      <c r="D5790" s="15" t="s">
        <v>3108</v>
      </c>
      <c r="E5790" s="10" t="str">
        <f>TRIM(VLOOKUP(D5790,TB!$B$9:$C$1500,2,FALSE))</f>
        <v>Promotional Costs</v>
      </c>
      <c r="F5790" s="142" t="s">
        <v>3559</v>
      </c>
      <c r="G5790" s="130"/>
      <c r="H5790" s="155">
        <v>400000</v>
      </c>
      <c r="I5790" s="10"/>
      <c r="J5790" s="79" t="e">
        <f t="shared" si="347"/>
        <v>#VALUE!</v>
      </c>
      <c r="K5790" s="106"/>
      <c r="L5790" s="107"/>
      <c r="M5790" s="106"/>
      <c r="N5790" s="106"/>
      <c r="O5790" s="108"/>
      <c r="P5790" s="108"/>
      <c r="Q5790" s="108"/>
      <c r="R5790" s="109"/>
      <c r="S5790" s="109"/>
      <c r="T5790" s="108"/>
      <c r="U5790" s="110"/>
      <c r="V5790" s="110"/>
      <c r="W5790" s="110"/>
      <c r="X5790" s="110"/>
    </row>
    <row r="5791" spans="1:24" ht="14.25" customHeight="1">
      <c r="A5791" s="110"/>
      <c r="B5791" s="125">
        <v>46203</v>
      </c>
      <c r="C5791" s="126" t="s">
        <v>3544</v>
      </c>
      <c r="D5791" s="68" t="s">
        <v>285</v>
      </c>
      <c r="E5791" s="10" t="str">
        <f>TRIM(VLOOKUP(D5791,TB!$B$9:$C$1500,2,FALSE))</f>
        <v>Misc Cash Purchase</v>
      </c>
      <c r="F5791" s="142" t="s">
        <v>3545</v>
      </c>
      <c r="G5791" s="130"/>
      <c r="H5791" s="10"/>
      <c r="I5791" s="155">
        <v>500000</v>
      </c>
      <c r="J5791" s="79" t="e">
        <f t="shared" si="347"/>
        <v>#VALUE!</v>
      </c>
      <c r="K5791" s="106"/>
      <c r="L5791" s="107"/>
      <c r="M5791" s="106"/>
      <c r="N5791" s="106"/>
      <c r="O5791" s="108"/>
      <c r="P5791" s="108"/>
      <c r="Q5791" s="108"/>
      <c r="R5791" s="109"/>
      <c r="S5791" s="109"/>
      <c r="T5791" s="108"/>
      <c r="U5791" s="110"/>
      <c r="V5791" s="110"/>
      <c r="W5791" s="110"/>
      <c r="X5791" s="110"/>
    </row>
    <row r="5792" spans="1:24" ht="14.25" customHeight="1">
      <c r="A5792" s="110"/>
      <c r="B5792" s="125">
        <v>46203</v>
      </c>
      <c r="C5792" s="126" t="s">
        <v>3546</v>
      </c>
      <c r="D5792" s="68" t="s">
        <v>285</v>
      </c>
      <c r="E5792" s="10" t="str">
        <f>TRIM(VLOOKUP(D5792,TB!$B$9:$C$1500,2,FALSE))</f>
        <v>Misc Cash Purchase</v>
      </c>
      <c r="F5792" s="142" t="s">
        <v>3547</v>
      </c>
      <c r="G5792" s="130"/>
      <c r="H5792" s="10"/>
      <c r="I5792" s="155">
        <v>800000</v>
      </c>
      <c r="J5792" s="79" t="e">
        <f t="shared" si="347"/>
        <v>#VALUE!</v>
      </c>
      <c r="K5792" s="106"/>
      <c r="L5792" s="107"/>
      <c r="M5792" s="106"/>
      <c r="N5792" s="106"/>
      <c r="O5792" s="108"/>
      <c r="P5792" s="108"/>
      <c r="Q5792" s="108"/>
      <c r="R5792" s="109"/>
      <c r="S5792" s="109"/>
      <c r="T5792" s="108"/>
      <c r="U5792" s="110"/>
      <c r="V5792" s="110"/>
      <c r="W5792" s="110"/>
      <c r="X5792" s="110"/>
    </row>
    <row r="5793" spans="1:24" ht="14.25" customHeight="1">
      <c r="A5793" s="110"/>
      <c r="B5793" s="125">
        <v>46203</v>
      </c>
      <c r="C5793" s="126" t="s">
        <v>3548</v>
      </c>
      <c r="D5793" s="68" t="s">
        <v>285</v>
      </c>
      <c r="E5793" s="10" t="str">
        <f>TRIM(VLOOKUP(D5793,TB!$B$9:$C$1500,2,FALSE))</f>
        <v>Misc Cash Purchase</v>
      </c>
      <c r="F5793" s="142" t="s">
        <v>3549</v>
      </c>
      <c r="G5793" s="130"/>
      <c r="H5793" s="10"/>
      <c r="I5793" s="155">
        <v>500000</v>
      </c>
      <c r="J5793" s="79" t="e">
        <f t="shared" si="347"/>
        <v>#VALUE!</v>
      </c>
      <c r="K5793" s="106"/>
      <c r="L5793" s="107"/>
      <c r="M5793" s="106"/>
      <c r="N5793" s="106"/>
      <c r="O5793" s="108"/>
      <c r="P5793" s="108"/>
      <c r="Q5793" s="108"/>
      <c r="R5793" s="109"/>
      <c r="S5793" s="109"/>
      <c r="T5793" s="108"/>
      <c r="U5793" s="110"/>
      <c r="V5793" s="110"/>
      <c r="W5793" s="110"/>
      <c r="X5793" s="110"/>
    </row>
    <row r="5794" spans="1:24" ht="14.25" customHeight="1">
      <c r="A5794" s="110"/>
      <c r="B5794" s="125">
        <v>46203</v>
      </c>
      <c r="C5794" s="126" t="s">
        <v>3550</v>
      </c>
      <c r="D5794" s="68" t="s">
        <v>285</v>
      </c>
      <c r="E5794" s="10" t="str">
        <f>TRIM(VLOOKUP(D5794,TB!$B$9:$C$1500,2,FALSE))</f>
        <v>Misc Cash Purchase</v>
      </c>
      <c r="F5794" s="142" t="s">
        <v>3551</v>
      </c>
      <c r="G5794" s="130"/>
      <c r="H5794" s="10"/>
      <c r="I5794" s="155">
        <v>500000</v>
      </c>
      <c r="J5794" s="79" t="e">
        <f t="shared" si="347"/>
        <v>#VALUE!</v>
      </c>
      <c r="K5794" s="106"/>
      <c r="L5794" s="107"/>
      <c r="M5794" s="106"/>
      <c r="N5794" s="106"/>
      <c r="O5794" s="108"/>
      <c r="P5794" s="108"/>
      <c r="Q5794" s="108"/>
      <c r="R5794" s="109"/>
      <c r="S5794" s="109"/>
      <c r="T5794" s="108"/>
      <c r="U5794" s="110"/>
      <c r="V5794" s="110"/>
      <c r="W5794" s="110"/>
      <c r="X5794" s="110"/>
    </row>
    <row r="5795" spans="1:24" ht="14.25" customHeight="1">
      <c r="A5795" s="110"/>
      <c r="B5795" s="125">
        <v>46203</v>
      </c>
      <c r="C5795" s="126" t="s">
        <v>3552</v>
      </c>
      <c r="D5795" s="68" t="s">
        <v>285</v>
      </c>
      <c r="E5795" s="10" t="str">
        <f>TRIM(VLOOKUP(D5795,TB!$B$9:$C$1500,2,FALSE))</f>
        <v>Misc Cash Purchase</v>
      </c>
      <c r="F5795" s="142" t="s">
        <v>3553</v>
      </c>
      <c r="G5795" s="130"/>
      <c r="H5795" s="10"/>
      <c r="I5795" s="155">
        <v>500000</v>
      </c>
      <c r="J5795" s="79" t="e">
        <f t="shared" si="347"/>
        <v>#VALUE!</v>
      </c>
      <c r="K5795" s="106"/>
      <c r="L5795" s="107"/>
      <c r="M5795" s="106"/>
      <c r="N5795" s="106"/>
      <c r="O5795" s="108"/>
      <c r="P5795" s="108"/>
      <c r="Q5795" s="108"/>
      <c r="R5795" s="109"/>
      <c r="S5795" s="109"/>
      <c r="T5795" s="108"/>
      <c r="U5795" s="110"/>
      <c r="V5795" s="110"/>
      <c r="W5795" s="110"/>
      <c r="X5795" s="110"/>
    </row>
    <row r="5796" spans="1:24" ht="14.25" customHeight="1">
      <c r="A5796" s="110"/>
      <c r="B5796" s="125">
        <v>46203</v>
      </c>
      <c r="C5796" s="126" t="s">
        <v>3554</v>
      </c>
      <c r="D5796" s="68" t="s">
        <v>285</v>
      </c>
      <c r="E5796" s="10" t="str">
        <f>TRIM(VLOOKUP(D5796,TB!$B$9:$C$1500,2,FALSE))</f>
        <v>Misc Cash Purchase</v>
      </c>
      <c r="F5796" s="142" t="s">
        <v>3555</v>
      </c>
      <c r="G5796" s="130"/>
      <c r="H5796" s="10"/>
      <c r="I5796" s="155">
        <v>500000</v>
      </c>
      <c r="J5796" s="79" t="e">
        <f t="shared" si="347"/>
        <v>#VALUE!</v>
      </c>
      <c r="K5796" s="106"/>
      <c r="L5796" s="107"/>
      <c r="M5796" s="106"/>
      <c r="N5796" s="106"/>
      <c r="O5796" s="108"/>
      <c r="P5796" s="108"/>
      <c r="Q5796" s="108"/>
      <c r="R5796" s="109"/>
      <c r="S5796" s="109"/>
      <c r="T5796" s="108"/>
      <c r="U5796" s="110"/>
      <c r="V5796" s="110"/>
      <c r="W5796" s="110"/>
      <c r="X5796" s="110"/>
    </row>
    <row r="5797" spans="1:24" ht="14.25" customHeight="1">
      <c r="A5797" s="110"/>
      <c r="B5797" s="125">
        <v>46203</v>
      </c>
      <c r="C5797" s="126" t="s">
        <v>3556</v>
      </c>
      <c r="D5797" s="68" t="s">
        <v>285</v>
      </c>
      <c r="E5797" s="10" t="str">
        <f>TRIM(VLOOKUP(D5797,TB!$B$9:$C$1500,2,FALSE))</f>
        <v>Misc Cash Purchase</v>
      </c>
      <c r="F5797" s="142" t="s">
        <v>3557</v>
      </c>
      <c r="G5797" s="130"/>
      <c r="H5797" s="10"/>
      <c r="I5797" s="155">
        <v>400000</v>
      </c>
      <c r="J5797" s="79" t="e">
        <f t="shared" si="347"/>
        <v>#VALUE!</v>
      </c>
      <c r="K5797" s="106"/>
      <c r="L5797" s="107"/>
      <c r="M5797" s="106"/>
      <c r="N5797" s="106"/>
      <c r="O5797" s="108"/>
      <c r="P5797" s="108"/>
      <c r="Q5797" s="108"/>
      <c r="R5797" s="109"/>
      <c r="S5797" s="109"/>
      <c r="T5797" s="108"/>
      <c r="U5797" s="110"/>
      <c r="V5797" s="110"/>
      <c r="W5797" s="110"/>
      <c r="X5797" s="110"/>
    </row>
    <row r="5798" spans="1:24" ht="14.25" customHeight="1">
      <c r="A5798" s="110"/>
      <c r="B5798" s="125">
        <v>46203</v>
      </c>
      <c r="C5798" s="126" t="s">
        <v>3558</v>
      </c>
      <c r="D5798" s="68" t="s">
        <v>285</v>
      </c>
      <c r="E5798" s="10" t="str">
        <f>TRIM(VLOOKUP(D5798,TB!$B$9:$C$1500,2,FALSE))</f>
        <v>Misc Cash Purchase</v>
      </c>
      <c r="F5798" s="142" t="s">
        <v>3559</v>
      </c>
      <c r="G5798" s="130"/>
      <c r="H5798" s="10"/>
      <c r="I5798" s="155">
        <v>400000</v>
      </c>
      <c r="J5798" s="79" t="e">
        <f t="shared" si="347"/>
        <v>#VALUE!</v>
      </c>
      <c r="K5798" s="106"/>
      <c r="L5798" s="107"/>
      <c r="M5798" s="106"/>
      <c r="N5798" s="106"/>
      <c r="O5798" s="108"/>
      <c r="P5798" s="108"/>
      <c r="Q5798" s="108"/>
      <c r="R5798" s="109"/>
      <c r="S5798" s="109"/>
      <c r="T5798" s="108"/>
      <c r="U5798" s="110"/>
      <c r="V5798" s="110"/>
      <c r="W5798" s="110"/>
      <c r="X5798" s="110"/>
    </row>
    <row r="5799" spans="1:24" ht="14.25" customHeight="1">
      <c r="A5799" s="110"/>
      <c r="B5799" s="125"/>
      <c r="C5799" s="126"/>
      <c r="D5799" s="159"/>
      <c r="E5799" s="10" t="e">
        <f>TRIM(VLOOKUP(D5799,TB!$B$9:$C$1500,2,FALSE))</f>
        <v>#N/A</v>
      </c>
      <c r="F5799" s="142"/>
      <c r="G5799" s="130"/>
      <c r="H5799" s="10"/>
      <c r="I5799" s="10"/>
      <c r="J5799" s="79" t="e">
        <f t="shared" si="347"/>
        <v>#VALUE!</v>
      </c>
      <c r="K5799" s="106"/>
      <c r="L5799" s="107"/>
      <c r="M5799" s="106"/>
      <c r="N5799" s="106"/>
      <c r="O5799" s="108"/>
      <c r="P5799" s="108"/>
      <c r="Q5799" s="108"/>
      <c r="R5799" s="109"/>
      <c r="S5799" s="109"/>
      <c r="T5799" s="108"/>
      <c r="U5799" s="110"/>
      <c r="V5799" s="110"/>
      <c r="W5799" s="110"/>
      <c r="X5799" s="110"/>
    </row>
    <row r="5800" spans="1:24" ht="14.25" customHeight="1">
      <c r="A5800" s="110"/>
      <c r="B5800" s="125">
        <v>46203</v>
      </c>
      <c r="C5800" s="126" t="s">
        <v>3560</v>
      </c>
      <c r="D5800" s="15" t="s">
        <v>3561</v>
      </c>
      <c r="E5800" s="10" t="str">
        <f>TRIM(VLOOKUP(D5800,TB!$B$9:$C$1500,2,FALSE))</f>
        <v>License &amp; Taxes - A&amp;G</v>
      </c>
      <c r="F5800" s="142" t="s">
        <v>3562</v>
      </c>
      <c r="G5800" s="130"/>
      <c r="H5800" s="155">
        <v>31185</v>
      </c>
      <c r="I5800" s="10"/>
      <c r="J5800" s="79" t="e">
        <f t="shared" si="347"/>
        <v>#VALUE!</v>
      </c>
      <c r="K5800" s="106"/>
      <c r="L5800" s="107"/>
      <c r="M5800" s="106"/>
      <c r="N5800" s="106"/>
      <c r="O5800" s="108"/>
      <c r="P5800" s="108"/>
      <c r="Q5800" s="108"/>
      <c r="R5800" s="109"/>
      <c r="S5800" s="109"/>
      <c r="T5800" s="108"/>
      <c r="U5800" s="110"/>
      <c r="V5800" s="110"/>
      <c r="W5800" s="110"/>
      <c r="X5800" s="110"/>
    </row>
    <row r="5801" spans="1:24" ht="14.25" customHeight="1">
      <c r="A5801" s="110"/>
      <c r="B5801" s="125">
        <v>46203</v>
      </c>
      <c r="C5801" s="126" t="s">
        <v>3560</v>
      </c>
      <c r="D5801" s="68" t="s">
        <v>285</v>
      </c>
      <c r="E5801" s="10" t="str">
        <f>TRIM(VLOOKUP(D5801,TB!$B$9:$C$1500,2,FALSE))</f>
        <v>Misc Cash Purchase</v>
      </c>
      <c r="F5801" s="142" t="s">
        <v>3562</v>
      </c>
      <c r="G5801" s="130"/>
      <c r="H5801" s="10"/>
      <c r="I5801" s="155">
        <v>31185</v>
      </c>
      <c r="J5801" s="79" t="e">
        <f t="shared" si="347"/>
        <v>#VALUE!</v>
      </c>
      <c r="K5801" s="106"/>
      <c r="L5801" s="107"/>
      <c r="M5801" s="106"/>
      <c r="N5801" s="106"/>
      <c r="O5801" s="108"/>
      <c r="P5801" s="108"/>
      <c r="Q5801" s="108"/>
      <c r="R5801" s="109"/>
      <c r="S5801" s="109"/>
      <c r="T5801" s="108"/>
      <c r="U5801" s="110"/>
      <c r="V5801" s="110"/>
      <c r="W5801" s="110"/>
      <c r="X5801" s="110"/>
    </row>
    <row r="5802" spans="1:24" ht="14.25" customHeight="1">
      <c r="A5802" s="110"/>
      <c r="B5802" s="125"/>
      <c r="C5802" s="126"/>
      <c r="D5802" s="159"/>
      <c r="E5802" s="10" t="e">
        <f>TRIM(VLOOKUP(D5802,TB!$B$9:$C$1500,2,FALSE))</f>
        <v>#N/A</v>
      </c>
      <c r="F5802" s="142"/>
      <c r="G5802" s="130"/>
      <c r="H5802" s="10"/>
      <c r="I5802" s="10"/>
      <c r="J5802" s="79" t="e">
        <f t="shared" si="347"/>
        <v>#VALUE!</v>
      </c>
      <c r="K5802" s="106"/>
      <c r="L5802" s="107"/>
      <c r="M5802" s="106"/>
      <c r="N5802" s="106"/>
      <c r="O5802" s="108"/>
      <c r="P5802" s="108"/>
      <c r="Q5802" s="108"/>
      <c r="R5802" s="109"/>
      <c r="S5802" s="109"/>
      <c r="T5802" s="108"/>
      <c r="U5802" s="110"/>
      <c r="V5802" s="110"/>
      <c r="W5802" s="110"/>
      <c r="X5802" s="110"/>
    </row>
    <row r="5803" spans="1:24" ht="14.25" customHeight="1">
      <c r="A5803" s="110"/>
      <c r="B5803" s="125">
        <v>46203</v>
      </c>
      <c r="C5803" s="126" t="s">
        <v>3563</v>
      </c>
      <c r="D5803" s="15" t="s">
        <v>3149</v>
      </c>
      <c r="E5803" s="10" t="str">
        <f>TRIM(VLOOKUP(D5803,TB!$B$9:$C$1500,2,FALSE))</f>
        <v>COS - Promotor Fees Internal</v>
      </c>
      <c r="F5803" s="142" t="s">
        <v>3564</v>
      </c>
      <c r="G5803" s="130"/>
      <c r="H5803" s="10">
        <v>21621316.66</v>
      </c>
      <c r="I5803" s="10"/>
      <c r="J5803" s="79" t="e">
        <f t="shared" si="347"/>
        <v>#VALUE!</v>
      </c>
      <c r="K5803" s="106"/>
      <c r="L5803" s="107"/>
      <c r="M5803" s="106"/>
      <c r="N5803" s="106"/>
      <c r="O5803" s="108"/>
      <c r="P5803" s="108"/>
      <c r="Q5803" s="108"/>
      <c r="R5803" s="109"/>
      <c r="S5803" s="109"/>
      <c r="T5803" s="108"/>
      <c r="U5803" s="110"/>
      <c r="V5803" s="110"/>
      <c r="W5803" s="110"/>
      <c r="X5803" s="110"/>
    </row>
    <row r="5804" spans="1:24" ht="14.25" customHeight="1">
      <c r="A5804" s="110"/>
      <c r="B5804" s="125">
        <v>46203</v>
      </c>
      <c r="C5804" s="126" t="s">
        <v>3563</v>
      </c>
      <c r="D5804" s="159" t="s">
        <v>285</v>
      </c>
      <c r="E5804" s="10" t="str">
        <f>TRIM(VLOOKUP(D5804,TB!$B$9:$C$1500,2,FALSE))</f>
        <v>Misc Cash Purchase</v>
      </c>
      <c r="F5804" s="142" t="s">
        <v>3564</v>
      </c>
      <c r="G5804" s="130"/>
      <c r="H5804" s="10"/>
      <c r="I5804" s="10">
        <v>21621316.66</v>
      </c>
      <c r="J5804" s="79" t="e">
        <f t="shared" si="347"/>
        <v>#VALUE!</v>
      </c>
      <c r="K5804" s="106"/>
      <c r="L5804" s="107"/>
      <c r="M5804" s="106"/>
      <c r="N5804" s="106"/>
      <c r="O5804" s="108"/>
      <c r="P5804" s="108"/>
      <c r="Q5804" s="108"/>
      <c r="R5804" s="109"/>
      <c r="S5804" s="109"/>
      <c r="T5804" s="108"/>
      <c r="U5804" s="110"/>
      <c r="V5804" s="110"/>
      <c r="W5804" s="110"/>
      <c r="X5804" s="110"/>
    </row>
    <row r="5805" spans="1:24" ht="14.25" customHeight="1">
      <c r="A5805" s="110"/>
      <c r="B5805" s="125"/>
      <c r="C5805" s="126"/>
      <c r="D5805" s="159"/>
      <c r="E5805" s="10" t="e">
        <f>TRIM(VLOOKUP(D5805,TB!$B$9:$C$1500,2,FALSE))</f>
        <v>#N/A</v>
      </c>
      <c r="F5805" s="142"/>
      <c r="G5805" s="130"/>
      <c r="H5805" s="10"/>
      <c r="I5805" s="10"/>
      <c r="J5805" s="79" t="e">
        <f t="shared" si="347"/>
        <v>#VALUE!</v>
      </c>
      <c r="K5805" s="106"/>
      <c r="L5805" s="107"/>
      <c r="M5805" s="106"/>
      <c r="N5805" s="106"/>
      <c r="O5805" s="108"/>
      <c r="P5805" s="108"/>
      <c r="Q5805" s="108"/>
      <c r="R5805" s="109"/>
      <c r="S5805" s="109"/>
      <c r="T5805" s="108"/>
      <c r="U5805" s="110"/>
      <c r="V5805" s="110"/>
      <c r="W5805" s="110"/>
      <c r="X5805" s="110"/>
    </row>
    <row r="5806" spans="1:24" ht="14.25" customHeight="1">
      <c r="A5806" s="110"/>
      <c r="B5806" s="125">
        <v>46203</v>
      </c>
      <c r="C5806" s="126" t="s">
        <v>3565</v>
      </c>
      <c r="D5806" s="15" t="s">
        <v>659</v>
      </c>
      <c r="E5806" s="10" t="str">
        <f>TRIM(VLOOKUP(D5806,TB!$B$9:$C$1500,2,FALSE))</f>
        <v>COS - Entertainment</v>
      </c>
      <c r="F5806" s="142" t="s">
        <v>3566</v>
      </c>
      <c r="G5806" s="130"/>
      <c r="H5806" s="10">
        <v>1500000</v>
      </c>
      <c r="I5806" s="10"/>
      <c r="J5806" s="79" t="e">
        <f t="shared" si="347"/>
        <v>#VALUE!</v>
      </c>
      <c r="K5806" s="106"/>
      <c r="L5806" s="107"/>
      <c r="M5806" s="106"/>
      <c r="N5806" s="106"/>
      <c r="O5806" s="108"/>
      <c r="P5806" s="108"/>
      <c r="Q5806" s="108"/>
      <c r="R5806" s="109"/>
      <c r="S5806" s="109"/>
      <c r="T5806" s="108"/>
      <c r="U5806" s="110"/>
      <c r="V5806" s="110"/>
      <c r="W5806" s="110"/>
      <c r="X5806" s="110"/>
    </row>
    <row r="5807" spans="1:24" ht="14.25" customHeight="1">
      <c r="A5807" s="110"/>
      <c r="B5807" s="125">
        <v>46203</v>
      </c>
      <c r="C5807" s="126" t="s">
        <v>3567</v>
      </c>
      <c r="D5807" s="15" t="s">
        <v>659</v>
      </c>
      <c r="E5807" s="10" t="str">
        <f>TRIM(VLOOKUP(D5807,TB!$B$9:$C$1500,2,FALSE))</f>
        <v>COS - Entertainment</v>
      </c>
      <c r="F5807" s="142" t="s">
        <v>3568</v>
      </c>
      <c r="G5807" s="130"/>
      <c r="H5807" s="10">
        <v>1500000</v>
      </c>
      <c r="I5807" s="10"/>
      <c r="J5807" s="79" t="e">
        <f t="shared" si="347"/>
        <v>#VALUE!</v>
      </c>
      <c r="K5807" s="106"/>
      <c r="L5807" s="107"/>
      <c r="M5807" s="106"/>
      <c r="N5807" s="106"/>
      <c r="O5807" s="108"/>
      <c r="P5807" s="108"/>
      <c r="Q5807" s="108"/>
      <c r="R5807" s="109"/>
      <c r="S5807" s="109"/>
      <c r="T5807" s="108"/>
      <c r="U5807" s="110"/>
      <c r="V5807" s="110"/>
      <c r="W5807" s="110"/>
      <c r="X5807" s="110"/>
    </row>
    <row r="5808" spans="1:24" ht="14.25" customHeight="1">
      <c r="A5808" s="110"/>
      <c r="B5808" s="125">
        <v>46203</v>
      </c>
      <c r="C5808" s="126" t="s">
        <v>3569</v>
      </c>
      <c r="D5808" s="15" t="s">
        <v>659</v>
      </c>
      <c r="E5808" s="10" t="str">
        <f>TRIM(VLOOKUP(D5808,TB!$B$9:$C$1500,2,FALSE))</f>
        <v>COS - Entertainment</v>
      </c>
      <c r="F5808" s="142" t="s">
        <v>3570</v>
      </c>
      <c r="G5808" s="130"/>
      <c r="H5808" s="10">
        <v>1500000</v>
      </c>
      <c r="I5808" s="10"/>
      <c r="J5808" s="79" t="e">
        <f t="shared" si="347"/>
        <v>#VALUE!</v>
      </c>
      <c r="K5808" s="106"/>
      <c r="L5808" s="107"/>
      <c r="M5808" s="106"/>
      <c r="N5808" s="106"/>
      <c r="O5808" s="108"/>
      <c r="P5808" s="108"/>
      <c r="Q5808" s="108"/>
      <c r="R5808" s="109"/>
      <c r="S5808" s="109"/>
      <c r="T5808" s="108"/>
      <c r="U5808" s="110"/>
      <c r="V5808" s="110"/>
      <c r="W5808" s="110"/>
      <c r="X5808" s="110"/>
    </row>
    <row r="5809" spans="1:24" ht="14.25" customHeight="1">
      <c r="A5809" s="110"/>
      <c r="B5809" s="125">
        <v>46203</v>
      </c>
      <c r="C5809" s="126" t="s">
        <v>3571</v>
      </c>
      <c r="D5809" s="15" t="s">
        <v>659</v>
      </c>
      <c r="E5809" s="10" t="str">
        <f>TRIM(VLOOKUP(D5809,TB!$B$9:$C$1500,2,FALSE))</f>
        <v>COS - Entertainment</v>
      </c>
      <c r="F5809" s="142" t="s">
        <v>3572</v>
      </c>
      <c r="G5809" s="130"/>
      <c r="H5809" s="10">
        <v>7000000</v>
      </c>
      <c r="I5809" s="10"/>
      <c r="J5809" s="79" t="e">
        <f t="shared" si="347"/>
        <v>#VALUE!</v>
      </c>
      <c r="K5809" s="106"/>
      <c r="L5809" s="107"/>
      <c r="M5809" s="106"/>
      <c r="N5809" s="106"/>
      <c r="O5809" s="108"/>
      <c r="P5809" s="108"/>
      <c r="Q5809" s="108"/>
      <c r="R5809" s="109"/>
      <c r="S5809" s="109"/>
      <c r="T5809" s="108"/>
      <c r="U5809" s="110"/>
      <c r="V5809" s="110"/>
      <c r="W5809" s="110"/>
      <c r="X5809" s="110"/>
    </row>
    <row r="5810" spans="1:24" ht="14.25" customHeight="1">
      <c r="A5810" s="110"/>
      <c r="B5810" s="125">
        <v>46203</v>
      </c>
      <c r="C5810" s="126" t="s">
        <v>3565</v>
      </c>
      <c r="D5810" s="159" t="s">
        <v>285</v>
      </c>
      <c r="E5810" s="10" t="str">
        <f>TRIM(VLOOKUP(D5810,TB!$B$9:$C$1500,2,FALSE))</f>
        <v>Misc Cash Purchase</v>
      </c>
      <c r="F5810" s="142" t="s">
        <v>3566</v>
      </c>
      <c r="G5810" s="130"/>
      <c r="H5810" s="10"/>
      <c r="I5810" s="10">
        <v>1500000</v>
      </c>
      <c r="J5810" s="79" t="e">
        <f t="shared" si="347"/>
        <v>#VALUE!</v>
      </c>
      <c r="K5810" s="106"/>
      <c r="L5810" s="107"/>
      <c r="M5810" s="106"/>
      <c r="N5810" s="106"/>
      <c r="O5810" s="108"/>
      <c r="P5810" s="108"/>
      <c r="Q5810" s="108"/>
      <c r="R5810" s="109"/>
      <c r="S5810" s="109"/>
      <c r="T5810" s="108"/>
      <c r="U5810" s="110"/>
      <c r="V5810" s="110"/>
      <c r="W5810" s="110"/>
      <c r="X5810" s="110"/>
    </row>
    <row r="5811" spans="1:24" ht="14.25" customHeight="1">
      <c r="A5811" s="110"/>
      <c r="B5811" s="125">
        <v>46203</v>
      </c>
      <c r="C5811" s="126" t="s">
        <v>3567</v>
      </c>
      <c r="D5811" s="159" t="s">
        <v>285</v>
      </c>
      <c r="E5811" s="10" t="str">
        <f>TRIM(VLOOKUP(D5811,TB!$B$9:$C$1500,2,FALSE))</f>
        <v>Misc Cash Purchase</v>
      </c>
      <c r="F5811" s="142" t="s">
        <v>3568</v>
      </c>
      <c r="G5811" s="130"/>
      <c r="H5811" s="10"/>
      <c r="I5811" s="10">
        <v>1500000</v>
      </c>
      <c r="J5811" s="79" t="e">
        <f t="shared" si="347"/>
        <v>#VALUE!</v>
      </c>
      <c r="K5811" s="106"/>
      <c r="L5811" s="107"/>
      <c r="M5811" s="106"/>
      <c r="N5811" s="106"/>
      <c r="O5811" s="108"/>
      <c r="P5811" s="108"/>
      <c r="Q5811" s="108"/>
      <c r="R5811" s="109"/>
      <c r="S5811" s="109"/>
      <c r="T5811" s="108"/>
      <c r="U5811" s="110"/>
      <c r="V5811" s="110"/>
      <c r="W5811" s="110"/>
      <c r="X5811" s="110"/>
    </row>
    <row r="5812" spans="1:24" ht="14.25" customHeight="1">
      <c r="A5812" s="110"/>
      <c r="B5812" s="125">
        <v>46203</v>
      </c>
      <c r="C5812" s="126" t="s">
        <v>3569</v>
      </c>
      <c r="D5812" s="159" t="s">
        <v>285</v>
      </c>
      <c r="E5812" s="10" t="str">
        <f>TRIM(VLOOKUP(D5812,TB!$B$9:$C$1500,2,FALSE))</f>
        <v>Misc Cash Purchase</v>
      </c>
      <c r="F5812" s="142" t="s">
        <v>3570</v>
      </c>
      <c r="G5812" s="130"/>
      <c r="H5812" s="10"/>
      <c r="I5812" s="10">
        <v>1500000</v>
      </c>
      <c r="J5812" s="79" t="e">
        <f t="shared" si="347"/>
        <v>#VALUE!</v>
      </c>
      <c r="K5812" s="106"/>
      <c r="L5812" s="107"/>
      <c r="M5812" s="106"/>
      <c r="N5812" s="106"/>
      <c r="O5812" s="108"/>
      <c r="P5812" s="108"/>
      <c r="Q5812" s="108"/>
      <c r="R5812" s="109"/>
      <c r="S5812" s="109"/>
      <c r="T5812" s="108"/>
      <c r="U5812" s="110"/>
      <c r="V5812" s="110"/>
      <c r="W5812" s="110"/>
      <c r="X5812" s="110"/>
    </row>
    <row r="5813" spans="1:24" ht="14.25" customHeight="1">
      <c r="A5813" s="110"/>
      <c r="B5813" s="125">
        <v>46203</v>
      </c>
      <c r="C5813" s="126" t="s">
        <v>3571</v>
      </c>
      <c r="D5813" s="159" t="s">
        <v>285</v>
      </c>
      <c r="E5813" s="10" t="str">
        <f>TRIM(VLOOKUP(D5813,TB!$B$9:$C$1500,2,FALSE))</f>
        <v>Misc Cash Purchase</v>
      </c>
      <c r="F5813" s="142" t="s">
        <v>3572</v>
      </c>
      <c r="G5813" s="130"/>
      <c r="H5813" s="10"/>
      <c r="I5813" s="10">
        <v>7000000</v>
      </c>
      <c r="J5813" s="79" t="e">
        <f t="shared" si="347"/>
        <v>#VALUE!</v>
      </c>
      <c r="K5813" s="106"/>
      <c r="L5813" s="107"/>
      <c r="M5813" s="106"/>
      <c r="N5813" s="106"/>
      <c r="O5813" s="108"/>
      <c r="P5813" s="108"/>
      <c r="Q5813" s="108"/>
      <c r="R5813" s="109"/>
      <c r="S5813" s="109"/>
      <c r="T5813" s="108"/>
      <c r="U5813" s="110"/>
      <c r="V5813" s="110"/>
      <c r="W5813" s="110"/>
      <c r="X5813" s="110"/>
    </row>
    <row r="5814" spans="1:24" ht="14.25" customHeight="1">
      <c r="A5814" s="110"/>
      <c r="B5814" s="125"/>
      <c r="C5814" s="126"/>
      <c r="D5814" s="159"/>
      <c r="E5814" s="10" t="e">
        <f>TRIM(VLOOKUP(D5814,TB!$B$9:$C$1500,2,FALSE))</f>
        <v>#N/A</v>
      </c>
      <c r="F5814" s="142"/>
      <c r="G5814" s="130"/>
      <c r="H5814" s="10"/>
      <c r="I5814" s="10"/>
      <c r="J5814" s="79" t="e">
        <f t="shared" si="347"/>
        <v>#VALUE!</v>
      </c>
      <c r="K5814" s="106"/>
      <c r="L5814" s="107"/>
      <c r="M5814" s="106"/>
      <c r="N5814" s="106"/>
      <c r="O5814" s="108"/>
      <c r="P5814" s="108"/>
      <c r="Q5814" s="108"/>
      <c r="R5814" s="109"/>
      <c r="S5814" s="109"/>
      <c r="T5814" s="108"/>
      <c r="U5814" s="110"/>
      <c r="V5814" s="110"/>
      <c r="W5814" s="110"/>
      <c r="X5814" s="110"/>
    </row>
    <row r="5815" spans="1:24" ht="14.25" customHeight="1">
      <c r="A5815" s="110"/>
      <c r="B5815" s="125">
        <v>46203</v>
      </c>
      <c r="C5815" s="126" t="s">
        <v>3573</v>
      </c>
      <c r="D5815" s="15" t="s">
        <v>221</v>
      </c>
      <c r="E5815" s="10" t="str">
        <f>TRIM(VLOOKUP(D5815,TB!$B$9:$C$1500,2,FALSE))</f>
        <v>COS - Promotor Fees Other</v>
      </c>
      <c r="F5815" s="142" t="s">
        <v>3574</v>
      </c>
      <c r="G5815" s="130"/>
      <c r="H5815" s="155">
        <v>949600.20000000007</v>
      </c>
      <c r="I5815" s="10"/>
      <c r="J5815" s="79" t="e">
        <f t="shared" si="347"/>
        <v>#VALUE!</v>
      </c>
      <c r="K5815" s="106"/>
      <c r="L5815" s="107"/>
      <c r="M5815" s="106"/>
      <c r="N5815" s="106"/>
      <c r="O5815" s="108"/>
      <c r="P5815" s="108"/>
      <c r="Q5815" s="108"/>
      <c r="R5815" s="109"/>
      <c r="S5815" s="109"/>
      <c r="T5815" s="108"/>
      <c r="U5815" s="110"/>
      <c r="V5815" s="110"/>
      <c r="W5815" s="110"/>
      <c r="X5815" s="110"/>
    </row>
    <row r="5816" spans="1:24" ht="14.25" customHeight="1">
      <c r="A5816" s="110"/>
      <c r="B5816" s="125">
        <v>46203</v>
      </c>
      <c r="C5816" s="126" t="s">
        <v>3573</v>
      </c>
      <c r="D5816" s="15" t="s">
        <v>3108</v>
      </c>
      <c r="E5816" s="10" t="str">
        <f>TRIM(VLOOKUP(D5816,TB!$B$9:$C$1500,2,FALSE))</f>
        <v>Promotional Costs</v>
      </c>
      <c r="F5816" s="142" t="s">
        <v>3575</v>
      </c>
      <c r="G5816" s="130"/>
      <c r="H5816" s="170">
        <v>270000</v>
      </c>
      <c r="I5816" s="10"/>
      <c r="J5816" s="79" t="e">
        <f t="shared" si="347"/>
        <v>#VALUE!</v>
      </c>
      <c r="K5816" s="106"/>
      <c r="L5816" s="107"/>
      <c r="M5816" s="106"/>
      <c r="N5816" s="106"/>
      <c r="O5816" s="108"/>
      <c r="P5816" s="108"/>
      <c r="Q5816" s="108"/>
      <c r="R5816" s="109"/>
      <c r="S5816" s="109"/>
      <c r="T5816" s="108"/>
      <c r="U5816" s="110"/>
      <c r="V5816" s="110"/>
      <c r="W5816" s="110"/>
      <c r="X5816" s="110"/>
    </row>
    <row r="5817" spans="1:24" ht="14.25" customHeight="1">
      <c r="A5817" s="110"/>
      <c r="B5817" s="125">
        <v>46203</v>
      </c>
      <c r="C5817" s="126" t="s">
        <v>3573</v>
      </c>
      <c r="D5817" s="68" t="s">
        <v>63</v>
      </c>
      <c r="E5817" s="10" t="str">
        <f>TRIM(VLOOKUP(D5817,TB!$B$9:$C$1500,2,FALSE))</f>
        <v>City Ledger</v>
      </c>
      <c r="F5817" s="142" t="s">
        <v>3576</v>
      </c>
      <c r="G5817" s="130"/>
      <c r="H5817" s="10"/>
      <c r="I5817" s="170">
        <v>65912</v>
      </c>
      <c r="J5817" s="79" t="e">
        <f t="shared" si="347"/>
        <v>#VALUE!</v>
      </c>
      <c r="K5817" s="106"/>
      <c r="L5817" s="107"/>
      <c r="M5817" s="106"/>
      <c r="N5817" s="106"/>
      <c r="O5817" s="108"/>
      <c r="P5817" s="108"/>
      <c r="Q5817" s="108"/>
      <c r="R5817" s="109"/>
      <c r="S5817" s="109"/>
      <c r="T5817" s="108"/>
      <c r="U5817" s="110"/>
      <c r="V5817" s="110"/>
      <c r="W5817" s="110"/>
      <c r="X5817" s="110"/>
    </row>
    <row r="5818" spans="1:24" ht="14.25" customHeight="1">
      <c r="A5818" s="110"/>
      <c r="B5818" s="125">
        <v>46203</v>
      </c>
      <c r="C5818" s="126" t="s">
        <v>3573</v>
      </c>
      <c r="D5818" s="159" t="s">
        <v>285</v>
      </c>
      <c r="E5818" s="10" t="str">
        <f>TRIM(VLOOKUP(D5818,TB!$B$9:$C$1500,2,FALSE))</f>
        <v>Misc Cash Purchase</v>
      </c>
      <c r="F5818" s="142" t="s">
        <v>3577</v>
      </c>
      <c r="G5818" s="130"/>
      <c r="H5818" s="10"/>
      <c r="I5818" s="155">
        <v>1153688.2000000002</v>
      </c>
      <c r="J5818" s="79" t="e">
        <f t="shared" si="347"/>
        <v>#VALUE!</v>
      </c>
      <c r="K5818" s="106"/>
      <c r="L5818" s="107"/>
      <c r="M5818" s="106"/>
      <c r="N5818" s="106"/>
      <c r="O5818" s="108"/>
      <c r="P5818" s="108"/>
      <c r="Q5818" s="108"/>
      <c r="R5818" s="109"/>
      <c r="S5818" s="109"/>
      <c r="T5818" s="108"/>
      <c r="U5818" s="110"/>
      <c r="V5818" s="110"/>
      <c r="W5818" s="110"/>
      <c r="X5818" s="110"/>
    </row>
    <row r="5819" spans="1:24" ht="14.25" customHeight="1">
      <c r="A5819" s="110"/>
      <c r="B5819" s="125"/>
      <c r="C5819" s="126"/>
      <c r="D5819" s="159"/>
      <c r="E5819" s="10" t="e">
        <f>TRIM(VLOOKUP(D5819,TB!$B$9:$C$1500,2,FALSE))</f>
        <v>#N/A</v>
      </c>
      <c r="F5819" s="142"/>
      <c r="G5819" s="130"/>
      <c r="H5819" s="10"/>
      <c r="I5819" s="10"/>
      <c r="J5819" s="79" t="e">
        <f t="shared" si="347"/>
        <v>#VALUE!</v>
      </c>
      <c r="K5819" s="106"/>
      <c r="L5819" s="107"/>
      <c r="M5819" s="106"/>
      <c r="N5819" s="106"/>
      <c r="O5819" s="108"/>
      <c r="P5819" s="108"/>
      <c r="Q5819" s="108"/>
      <c r="R5819" s="109"/>
      <c r="S5819" s="109"/>
      <c r="T5819" s="108"/>
      <c r="U5819" s="110"/>
      <c r="V5819" s="110"/>
      <c r="W5819" s="110"/>
      <c r="X5819" s="110"/>
    </row>
    <row r="5820" spans="1:24" ht="14.25" customHeight="1">
      <c r="A5820" s="110"/>
      <c r="B5820" s="125">
        <v>46203</v>
      </c>
      <c r="C5820" s="126" t="s">
        <v>3578</v>
      </c>
      <c r="D5820" s="15" t="s">
        <v>659</v>
      </c>
      <c r="E5820" s="10" t="str">
        <f>TRIM(VLOOKUP(D5820,TB!$B$9:$C$1500,2,FALSE))</f>
        <v>COS - Entertainment</v>
      </c>
      <c r="F5820" s="185" t="s">
        <v>3579</v>
      </c>
      <c r="G5820" s="130"/>
      <c r="H5820" s="10">
        <v>1000000</v>
      </c>
      <c r="I5820" s="10"/>
      <c r="J5820" s="79" t="e">
        <f t="shared" si="347"/>
        <v>#VALUE!</v>
      </c>
      <c r="K5820" s="106"/>
      <c r="L5820" s="107"/>
      <c r="M5820" s="106"/>
      <c r="N5820" s="106"/>
      <c r="O5820" s="108"/>
      <c r="P5820" s="108"/>
      <c r="Q5820" s="108"/>
      <c r="R5820" s="109"/>
      <c r="S5820" s="109"/>
      <c r="T5820" s="108"/>
      <c r="U5820" s="110"/>
      <c r="V5820" s="110"/>
      <c r="W5820" s="110"/>
      <c r="X5820" s="110"/>
    </row>
    <row r="5821" spans="1:24" ht="14.25" customHeight="1">
      <c r="A5821" s="110"/>
      <c r="B5821" s="125">
        <v>46203</v>
      </c>
      <c r="C5821" s="126" t="s">
        <v>3578</v>
      </c>
      <c r="D5821" s="159" t="s">
        <v>285</v>
      </c>
      <c r="E5821" s="10" t="str">
        <f>TRIM(VLOOKUP(D5821,TB!$B$9:$C$1500,2,FALSE))</f>
        <v>Misc Cash Purchase</v>
      </c>
      <c r="F5821" s="185" t="s">
        <v>3579</v>
      </c>
      <c r="G5821" s="130"/>
      <c r="H5821" s="10"/>
      <c r="I5821" s="10">
        <v>1000000</v>
      </c>
      <c r="J5821" s="79" t="e">
        <f t="shared" si="347"/>
        <v>#VALUE!</v>
      </c>
      <c r="K5821" s="106"/>
      <c r="L5821" s="107"/>
      <c r="M5821" s="106"/>
      <c r="N5821" s="106"/>
      <c r="O5821" s="108"/>
      <c r="P5821" s="108"/>
      <c r="Q5821" s="108"/>
      <c r="R5821" s="109"/>
      <c r="S5821" s="109"/>
      <c r="T5821" s="108"/>
      <c r="U5821" s="110"/>
      <c r="V5821" s="110"/>
      <c r="W5821" s="110"/>
      <c r="X5821" s="110"/>
    </row>
    <row r="5822" spans="1:24" ht="14.25" customHeight="1">
      <c r="A5822" s="110"/>
      <c r="B5822" s="125"/>
      <c r="C5822" s="126"/>
      <c r="D5822" s="159"/>
      <c r="E5822" s="10" t="e">
        <f>TRIM(VLOOKUP(D5822,TB!$B$9:$C$1500,2,FALSE))</f>
        <v>#N/A</v>
      </c>
      <c r="F5822" s="142"/>
      <c r="G5822" s="130"/>
      <c r="H5822" s="10"/>
      <c r="I5822" s="10"/>
      <c r="J5822" s="79" t="e">
        <f t="shared" si="347"/>
        <v>#VALUE!</v>
      </c>
      <c r="K5822" s="106"/>
      <c r="L5822" s="107"/>
      <c r="M5822" s="106"/>
      <c r="N5822" s="106"/>
      <c r="O5822" s="108"/>
      <c r="P5822" s="108"/>
      <c r="Q5822" s="108"/>
      <c r="R5822" s="109"/>
      <c r="S5822" s="109"/>
      <c r="T5822" s="108"/>
      <c r="U5822" s="110"/>
      <c r="V5822" s="110"/>
      <c r="W5822" s="110"/>
      <c r="X5822" s="110"/>
    </row>
    <row r="5823" spans="1:24" ht="14.25" customHeight="1">
      <c r="A5823" s="110"/>
      <c r="B5823" s="125"/>
      <c r="C5823" s="126"/>
      <c r="D5823" s="159"/>
      <c r="E5823" s="10" t="e">
        <f>TRIM(VLOOKUP(D5823,TB!$B$9:$C$1500,2,FALSE))</f>
        <v>#N/A</v>
      </c>
      <c r="F5823" s="142"/>
      <c r="G5823" s="130"/>
      <c r="H5823" s="10"/>
      <c r="I5823" s="10"/>
      <c r="J5823" s="79" t="e">
        <f t="shared" si="347"/>
        <v>#VALUE!</v>
      </c>
      <c r="K5823" s="106"/>
      <c r="L5823" s="107"/>
      <c r="M5823" s="106"/>
      <c r="N5823" s="106"/>
      <c r="O5823" s="108"/>
      <c r="P5823" s="108"/>
      <c r="Q5823" s="108"/>
      <c r="R5823" s="109"/>
      <c r="S5823" s="109"/>
      <c r="T5823" s="108"/>
      <c r="U5823" s="110"/>
      <c r="V5823" s="110"/>
      <c r="W5823" s="110"/>
      <c r="X5823" s="110"/>
    </row>
    <row r="5824" spans="1:24" ht="14.25" customHeight="1">
      <c r="A5824" s="110"/>
      <c r="B5824" s="125"/>
      <c r="C5824" s="126"/>
      <c r="D5824" s="159"/>
      <c r="E5824" s="10" t="e">
        <f>TRIM(VLOOKUP(D5824,TB!$B$9:$C$1500,2,FALSE))</f>
        <v>#N/A</v>
      </c>
      <c r="F5824" s="142"/>
      <c r="G5824" s="130"/>
      <c r="H5824" s="10"/>
      <c r="I5824" s="10"/>
      <c r="J5824" s="79" t="e">
        <f t="shared" si="347"/>
        <v>#VALUE!</v>
      </c>
      <c r="K5824" s="106"/>
      <c r="L5824" s="107"/>
      <c r="M5824" s="106"/>
      <c r="N5824" s="106"/>
      <c r="O5824" s="108"/>
      <c r="P5824" s="108"/>
      <c r="Q5824" s="108"/>
      <c r="R5824" s="109"/>
      <c r="S5824" s="109"/>
      <c r="T5824" s="108"/>
      <c r="U5824" s="110"/>
      <c r="V5824" s="110"/>
      <c r="W5824" s="110"/>
      <c r="X5824" s="110"/>
    </row>
    <row r="5825" spans="1:24" ht="14.25" customHeight="1">
      <c r="A5825" s="110"/>
      <c r="B5825" s="125"/>
      <c r="C5825" s="126"/>
      <c r="D5825" s="159"/>
      <c r="E5825" s="10" t="e">
        <f>TRIM(VLOOKUP(D5825,TB!$B$9:$C$1500,2,FALSE))</f>
        <v>#N/A</v>
      </c>
      <c r="F5825" s="142"/>
      <c r="G5825" s="130"/>
      <c r="H5825" s="10"/>
      <c r="I5825" s="10"/>
      <c r="J5825" s="79" t="e">
        <f t="shared" si="347"/>
        <v>#VALUE!</v>
      </c>
      <c r="K5825" s="106"/>
      <c r="L5825" s="107"/>
      <c r="M5825" s="106"/>
      <c r="N5825" s="106"/>
      <c r="O5825" s="108"/>
      <c r="P5825" s="108"/>
      <c r="Q5825" s="108"/>
      <c r="R5825" s="109"/>
      <c r="S5825" s="109"/>
      <c r="T5825" s="108"/>
      <c r="U5825" s="110"/>
      <c r="V5825" s="110"/>
      <c r="W5825" s="110"/>
      <c r="X5825" s="110"/>
    </row>
    <row r="5826" spans="1:24" ht="14.25" customHeight="1">
      <c r="A5826" s="110"/>
      <c r="B5826" s="125"/>
      <c r="C5826" s="126"/>
      <c r="D5826" s="159"/>
      <c r="E5826" s="10" t="e">
        <f>TRIM(VLOOKUP(D5826,TB!$B$9:$C$1500,2,FALSE))</f>
        <v>#N/A</v>
      </c>
      <c r="F5826" s="142"/>
      <c r="G5826" s="130"/>
      <c r="H5826" s="10"/>
      <c r="I5826" s="10"/>
      <c r="J5826" s="79" t="e">
        <f t="shared" si="347"/>
        <v>#VALUE!</v>
      </c>
      <c r="K5826" s="106"/>
      <c r="L5826" s="107"/>
      <c r="M5826" s="106"/>
      <c r="N5826" s="106"/>
      <c r="O5826" s="108"/>
      <c r="P5826" s="108"/>
      <c r="Q5826" s="108"/>
      <c r="R5826" s="109"/>
      <c r="S5826" s="109"/>
      <c r="T5826" s="108"/>
      <c r="U5826" s="110"/>
      <c r="V5826" s="110"/>
      <c r="W5826" s="110"/>
      <c r="X5826" s="110"/>
    </row>
    <row r="5827" spans="1:24" ht="14.25" customHeight="1">
      <c r="A5827" s="110"/>
      <c r="B5827" s="125"/>
      <c r="C5827" s="126"/>
      <c r="D5827" s="159"/>
      <c r="E5827" s="10" t="e">
        <f>TRIM(VLOOKUP(D5827,TB!$B$9:$C$1500,2,FALSE))</f>
        <v>#N/A</v>
      </c>
      <c r="F5827" s="142"/>
      <c r="G5827" s="130"/>
      <c r="H5827" s="10"/>
      <c r="I5827" s="10"/>
      <c r="J5827" s="79" t="e">
        <f t="shared" si="347"/>
        <v>#VALUE!</v>
      </c>
      <c r="K5827" s="106"/>
      <c r="L5827" s="107"/>
      <c r="M5827" s="106"/>
      <c r="N5827" s="106"/>
      <c r="O5827" s="108"/>
      <c r="P5827" s="108"/>
      <c r="Q5827" s="108"/>
      <c r="R5827" s="109"/>
      <c r="S5827" s="109"/>
      <c r="T5827" s="108"/>
      <c r="U5827" s="110"/>
      <c r="V5827" s="110"/>
      <c r="W5827" s="110"/>
      <c r="X5827" s="110"/>
    </row>
    <row r="5828" spans="1:24" ht="14.25" customHeight="1">
      <c r="A5828" s="110"/>
      <c r="B5828" s="125"/>
      <c r="C5828" s="126"/>
      <c r="D5828" s="159"/>
      <c r="E5828" s="10" t="e">
        <f>TRIM(VLOOKUP(D5828,TB!$B$9:$C$1500,2,FALSE))</f>
        <v>#N/A</v>
      </c>
      <c r="F5828" s="142"/>
      <c r="G5828" s="130"/>
      <c r="H5828" s="10"/>
      <c r="I5828" s="10"/>
      <c r="J5828" s="79" t="e">
        <f t="shared" si="347"/>
        <v>#VALUE!</v>
      </c>
      <c r="K5828" s="106"/>
      <c r="L5828" s="107"/>
      <c r="M5828" s="106"/>
      <c r="N5828" s="106"/>
      <c r="O5828" s="108"/>
      <c r="P5828" s="108"/>
      <c r="Q5828" s="108"/>
      <c r="R5828" s="109"/>
      <c r="S5828" s="109"/>
      <c r="T5828" s="108"/>
      <c r="U5828" s="110"/>
      <c r="V5828" s="110"/>
      <c r="W5828" s="110"/>
      <c r="X5828" s="110"/>
    </row>
    <row r="5829" spans="1:24" ht="14.25" customHeight="1">
      <c r="A5829" s="110"/>
      <c r="B5829" s="125"/>
      <c r="C5829" s="126"/>
      <c r="D5829" s="159"/>
      <c r="E5829" s="10" t="e">
        <f>TRIM(VLOOKUP(D5829,TB!$B$9:$C$1500,2,FALSE))</f>
        <v>#N/A</v>
      </c>
      <c r="F5829" s="142"/>
      <c r="G5829" s="130"/>
      <c r="H5829" s="10"/>
      <c r="I5829" s="10"/>
      <c r="J5829" s="79" t="e">
        <f t="shared" si="347"/>
        <v>#VALUE!</v>
      </c>
      <c r="K5829" s="106"/>
      <c r="L5829" s="107"/>
      <c r="M5829" s="106"/>
      <c r="N5829" s="106"/>
      <c r="O5829" s="108"/>
      <c r="P5829" s="108"/>
      <c r="Q5829" s="108"/>
      <c r="R5829" s="109"/>
      <c r="S5829" s="109"/>
      <c r="T5829" s="108"/>
      <c r="U5829" s="110"/>
      <c r="V5829" s="110"/>
      <c r="W5829" s="110"/>
      <c r="X5829" s="110"/>
    </row>
    <row r="5830" spans="1:24" ht="14.25" customHeight="1">
      <c r="A5830" s="110"/>
      <c r="B5830" s="125"/>
      <c r="C5830" s="126"/>
      <c r="D5830" s="159"/>
      <c r="E5830" s="10" t="e">
        <f>TRIM(VLOOKUP(D5830,TB!$B$9:$C$1500,2,FALSE))</f>
        <v>#N/A</v>
      </c>
      <c r="F5830" s="142"/>
      <c r="G5830" s="130"/>
      <c r="H5830" s="10"/>
      <c r="I5830" s="10"/>
      <c r="J5830" s="79" t="e">
        <f t="shared" si="347"/>
        <v>#VALUE!</v>
      </c>
      <c r="K5830" s="106"/>
      <c r="L5830" s="107"/>
      <c r="M5830" s="106"/>
      <c r="N5830" s="106"/>
      <c r="O5830" s="108"/>
      <c r="P5830" s="108"/>
      <c r="Q5830" s="108"/>
      <c r="R5830" s="109"/>
      <c r="S5830" s="109"/>
      <c r="T5830" s="108"/>
      <c r="U5830" s="110"/>
      <c r="V5830" s="110"/>
      <c r="W5830" s="110"/>
      <c r="X5830" s="110"/>
    </row>
    <row r="5831" spans="1:24" ht="14.25" customHeight="1">
      <c r="A5831" s="110"/>
      <c r="B5831" s="125"/>
      <c r="C5831" s="126"/>
      <c r="D5831" s="159"/>
      <c r="E5831" s="10" t="e">
        <f>TRIM(VLOOKUP(D5831,TB!$B$9:$C$1500,2,FALSE))</f>
        <v>#N/A</v>
      </c>
      <c r="F5831" s="142"/>
      <c r="G5831" s="130"/>
      <c r="H5831" s="10"/>
      <c r="I5831" s="10"/>
      <c r="J5831" s="79" t="e">
        <f t="shared" si="347"/>
        <v>#VALUE!</v>
      </c>
      <c r="K5831" s="106"/>
      <c r="L5831" s="107"/>
      <c r="M5831" s="106"/>
      <c r="N5831" s="106"/>
      <c r="O5831" s="108"/>
      <c r="P5831" s="108"/>
      <c r="Q5831" s="108"/>
      <c r="R5831" s="109"/>
      <c r="S5831" s="109"/>
      <c r="T5831" s="108"/>
      <c r="U5831" s="110"/>
      <c r="V5831" s="110"/>
      <c r="W5831" s="110"/>
      <c r="X5831" s="110"/>
    </row>
    <row r="5832" spans="1:24" ht="14.25" customHeight="1">
      <c r="A5832" s="110"/>
      <c r="B5832" s="125"/>
      <c r="C5832" s="126"/>
      <c r="D5832" s="159"/>
      <c r="E5832" s="10" t="e">
        <f>TRIM(VLOOKUP(D5832,TB!$B$9:$C$1500,2,FALSE))</f>
        <v>#N/A</v>
      </c>
      <c r="F5832" s="142"/>
      <c r="G5832" s="130"/>
      <c r="H5832" s="10"/>
      <c r="I5832" s="10"/>
      <c r="J5832" s="79" t="e">
        <f t="shared" si="347"/>
        <v>#VALUE!</v>
      </c>
      <c r="K5832" s="106"/>
      <c r="L5832" s="107"/>
      <c r="M5832" s="106"/>
      <c r="N5832" s="106"/>
      <c r="O5832" s="108"/>
      <c r="P5832" s="108"/>
      <c r="Q5832" s="108"/>
      <c r="R5832" s="109"/>
      <c r="S5832" s="109"/>
      <c r="T5832" s="108"/>
      <c r="U5832" s="110"/>
      <c r="V5832" s="110"/>
      <c r="W5832" s="110"/>
      <c r="X5832" s="110"/>
    </row>
    <row r="5833" spans="1:24" ht="14.25" customHeight="1">
      <c r="A5833" s="110"/>
      <c r="B5833" s="125"/>
      <c r="C5833" s="126"/>
      <c r="D5833" s="159"/>
      <c r="E5833" s="10" t="e">
        <f>TRIM(VLOOKUP(D5833,TB!$B$9:$C$1500,2,FALSE))</f>
        <v>#N/A</v>
      </c>
      <c r="F5833" s="142"/>
      <c r="G5833" s="130"/>
      <c r="H5833" s="10"/>
      <c r="I5833" s="10"/>
      <c r="J5833" s="79" t="e">
        <f t="shared" si="347"/>
        <v>#VALUE!</v>
      </c>
      <c r="K5833" s="106"/>
      <c r="L5833" s="107"/>
      <c r="M5833" s="106"/>
      <c r="N5833" s="106"/>
      <c r="O5833" s="108"/>
      <c r="P5833" s="108"/>
      <c r="Q5833" s="108"/>
      <c r="R5833" s="109"/>
      <c r="S5833" s="109"/>
      <c r="T5833" s="108"/>
      <c r="U5833" s="110"/>
      <c r="V5833" s="110"/>
      <c r="W5833" s="110"/>
      <c r="X5833" s="110"/>
    </row>
    <row r="5834" spans="1:24" ht="14.25" customHeight="1">
      <c r="A5834" s="110"/>
      <c r="B5834" s="125"/>
      <c r="C5834" s="126"/>
      <c r="D5834" s="159"/>
      <c r="E5834" s="10" t="e">
        <f>TRIM(VLOOKUP(D5834,TB!$B$9:$C$1500,2,FALSE))</f>
        <v>#N/A</v>
      </c>
      <c r="F5834" s="142"/>
      <c r="G5834" s="130"/>
      <c r="H5834" s="10"/>
      <c r="I5834" s="10"/>
      <c r="J5834" s="79" t="e">
        <f t="shared" si="347"/>
        <v>#VALUE!</v>
      </c>
      <c r="K5834" s="106"/>
      <c r="L5834" s="107"/>
      <c r="M5834" s="106"/>
      <c r="N5834" s="106"/>
      <c r="O5834" s="108"/>
      <c r="P5834" s="108"/>
      <c r="Q5834" s="108"/>
      <c r="R5834" s="109"/>
      <c r="S5834" s="109"/>
      <c r="T5834" s="108"/>
      <c r="U5834" s="110"/>
      <c r="V5834" s="110"/>
      <c r="W5834" s="110"/>
      <c r="X5834" s="110"/>
    </row>
    <row r="5835" spans="1:24" ht="14.25" customHeight="1">
      <c r="A5835" s="110"/>
      <c r="B5835" s="125"/>
      <c r="C5835" s="126"/>
      <c r="D5835" s="159"/>
      <c r="E5835" s="10" t="e">
        <f>TRIM(VLOOKUP(D5835,TB!$B$9:$C$1500,2,FALSE))</f>
        <v>#N/A</v>
      </c>
      <c r="F5835" s="142"/>
      <c r="G5835" s="130"/>
      <c r="H5835" s="10"/>
      <c r="I5835" s="10"/>
      <c r="J5835" s="79" t="e">
        <f t="shared" si="347"/>
        <v>#VALUE!</v>
      </c>
      <c r="K5835" s="106"/>
      <c r="L5835" s="107"/>
      <c r="M5835" s="106"/>
      <c r="N5835" s="106"/>
      <c r="O5835" s="108"/>
      <c r="P5835" s="108"/>
      <c r="Q5835" s="108"/>
      <c r="R5835" s="109"/>
      <c r="S5835" s="109"/>
      <c r="T5835" s="108"/>
      <c r="U5835" s="110"/>
      <c r="V5835" s="110"/>
      <c r="W5835" s="110"/>
      <c r="X5835" s="110"/>
    </row>
    <row r="5836" spans="1:24" ht="14.25" customHeight="1">
      <c r="A5836" s="110"/>
      <c r="B5836" s="125"/>
      <c r="C5836" s="126"/>
      <c r="D5836" s="159"/>
      <c r="E5836" s="10" t="e">
        <f>TRIM(VLOOKUP(D5836,TB!$B$9:$C$1500,2,FALSE))</f>
        <v>#N/A</v>
      </c>
      <c r="F5836" s="142"/>
      <c r="G5836" s="130"/>
      <c r="H5836" s="10"/>
      <c r="I5836" s="10"/>
      <c r="J5836" s="79" t="e">
        <f t="shared" si="347"/>
        <v>#VALUE!</v>
      </c>
      <c r="K5836" s="106"/>
      <c r="L5836" s="107"/>
      <c r="M5836" s="106"/>
      <c r="N5836" s="106"/>
      <c r="O5836" s="108"/>
      <c r="P5836" s="108"/>
      <c r="Q5836" s="108"/>
      <c r="R5836" s="109"/>
      <c r="S5836" s="109"/>
      <c r="T5836" s="108"/>
      <c r="U5836" s="110"/>
      <c r="V5836" s="110"/>
      <c r="W5836" s="110"/>
      <c r="X5836" s="110"/>
    </row>
    <row r="5837" spans="1:24" ht="14.25" customHeight="1">
      <c r="A5837" s="110"/>
      <c r="B5837" s="125"/>
      <c r="C5837" s="126"/>
      <c r="D5837" s="159"/>
      <c r="E5837" s="10" t="e">
        <f>TRIM(VLOOKUP(D5837,TB!$B$9:$C$1500,2,FALSE))</f>
        <v>#N/A</v>
      </c>
      <c r="F5837" s="142"/>
      <c r="G5837" s="130"/>
      <c r="H5837" s="10"/>
      <c r="I5837" s="10"/>
      <c r="J5837" s="79" t="e">
        <f t="shared" si="347"/>
        <v>#VALUE!</v>
      </c>
      <c r="K5837" s="106"/>
      <c r="L5837" s="107"/>
      <c r="M5837" s="106"/>
      <c r="N5837" s="106"/>
      <c r="O5837" s="108"/>
      <c r="P5837" s="108"/>
      <c r="Q5837" s="108"/>
      <c r="R5837" s="109"/>
      <c r="S5837" s="109"/>
      <c r="T5837" s="108"/>
      <c r="U5837" s="110"/>
      <c r="V5837" s="110"/>
      <c r="W5837" s="110"/>
      <c r="X5837" s="110"/>
    </row>
    <row r="5838" spans="1:24" ht="14.25" customHeight="1">
      <c r="A5838" s="110"/>
      <c r="B5838" s="125"/>
      <c r="C5838" s="126"/>
      <c r="D5838" s="159"/>
      <c r="E5838" s="10" t="e">
        <f>TRIM(VLOOKUP(D5838,TB!$B$9:$C$1500,2,FALSE))</f>
        <v>#N/A</v>
      </c>
      <c r="F5838" s="142"/>
      <c r="G5838" s="130"/>
      <c r="H5838" s="10"/>
      <c r="I5838" s="10"/>
      <c r="J5838" s="79" t="e">
        <f t="shared" si="347"/>
        <v>#VALUE!</v>
      </c>
      <c r="K5838" s="106"/>
      <c r="L5838" s="107"/>
      <c r="M5838" s="106"/>
      <c r="N5838" s="106"/>
      <c r="O5838" s="108"/>
      <c r="P5838" s="108"/>
      <c r="Q5838" s="108"/>
      <c r="R5838" s="109"/>
      <c r="S5838" s="109"/>
      <c r="T5838" s="108"/>
      <c r="U5838" s="110"/>
      <c r="V5838" s="110"/>
      <c r="W5838" s="110"/>
      <c r="X5838" s="110"/>
    </row>
    <row r="5839" spans="1:24" ht="14.25" customHeight="1">
      <c r="A5839" s="110"/>
      <c r="B5839" s="125"/>
      <c r="C5839" s="126"/>
      <c r="D5839" s="159"/>
      <c r="E5839" s="10" t="e">
        <f>TRIM(VLOOKUP(D5839,TB!$B$9:$C$1500,2,FALSE))</f>
        <v>#N/A</v>
      </c>
      <c r="F5839" s="142"/>
      <c r="G5839" s="130"/>
      <c r="H5839" s="10"/>
      <c r="I5839" s="10"/>
      <c r="J5839" s="79" t="e">
        <f t="shared" si="347"/>
        <v>#VALUE!</v>
      </c>
      <c r="K5839" s="106"/>
      <c r="L5839" s="107"/>
      <c r="M5839" s="106"/>
      <c r="N5839" s="106"/>
      <c r="O5839" s="108"/>
      <c r="P5839" s="108"/>
      <c r="Q5839" s="108"/>
      <c r="R5839" s="109"/>
      <c r="S5839" s="109"/>
      <c r="T5839" s="108"/>
      <c r="U5839" s="110"/>
      <c r="V5839" s="110"/>
      <c r="W5839" s="110"/>
      <c r="X5839" s="110"/>
    </row>
    <row r="5840" spans="1:24" ht="14.25" customHeight="1">
      <c r="A5840" s="110"/>
      <c r="B5840" s="125"/>
      <c r="C5840" s="126"/>
      <c r="D5840" s="159"/>
      <c r="E5840" s="10" t="e">
        <f>TRIM(VLOOKUP(D5840,TB!$B$9:$C$1500,2,FALSE))</f>
        <v>#N/A</v>
      </c>
      <c r="F5840" s="142"/>
      <c r="G5840" s="130"/>
      <c r="H5840" s="10"/>
      <c r="I5840" s="10"/>
      <c r="J5840" s="79" t="e">
        <f t="shared" si="347"/>
        <v>#VALUE!</v>
      </c>
      <c r="K5840" s="106"/>
      <c r="L5840" s="107"/>
      <c r="M5840" s="106"/>
      <c r="N5840" s="106"/>
      <c r="O5840" s="108"/>
      <c r="P5840" s="108"/>
      <c r="Q5840" s="108"/>
      <c r="R5840" s="109"/>
      <c r="S5840" s="109"/>
      <c r="T5840" s="108"/>
      <c r="U5840" s="110"/>
      <c r="V5840" s="110"/>
      <c r="W5840" s="110"/>
      <c r="X5840" s="110"/>
    </row>
    <row r="5841" spans="1:24" ht="14.25" customHeight="1">
      <c r="A5841" s="110"/>
      <c r="B5841" s="125"/>
      <c r="C5841" s="126"/>
      <c r="D5841" s="159"/>
      <c r="E5841" s="10" t="e">
        <f>TRIM(VLOOKUP(D5841,TB!$B$9:$C$1500,2,FALSE))</f>
        <v>#N/A</v>
      </c>
      <c r="F5841" s="142"/>
      <c r="G5841" s="130"/>
      <c r="H5841" s="10"/>
      <c r="I5841" s="10"/>
      <c r="J5841" s="79" t="e">
        <f t="shared" si="347"/>
        <v>#VALUE!</v>
      </c>
      <c r="K5841" s="106"/>
      <c r="L5841" s="107"/>
      <c r="M5841" s="106"/>
      <c r="N5841" s="106"/>
      <c r="O5841" s="108"/>
      <c r="P5841" s="108"/>
      <c r="Q5841" s="108"/>
      <c r="R5841" s="109"/>
      <c r="S5841" s="109"/>
      <c r="T5841" s="108"/>
      <c r="U5841" s="110"/>
      <c r="V5841" s="110"/>
      <c r="W5841" s="110"/>
      <c r="X5841" s="110"/>
    </row>
    <row r="5842" spans="1:24" ht="14.25" customHeight="1">
      <c r="A5842" s="110"/>
      <c r="B5842" s="125"/>
      <c r="C5842" s="126"/>
      <c r="D5842" s="159"/>
      <c r="E5842" s="10" t="e">
        <f>TRIM(VLOOKUP(D5842,TB!$B$9:$C$1500,2,FALSE))</f>
        <v>#N/A</v>
      </c>
      <c r="F5842" s="142"/>
      <c r="G5842" s="130"/>
      <c r="H5842" s="10"/>
      <c r="I5842" s="10"/>
      <c r="J5842" s="79" t="e">
        <f t="shared" si="347"/>
        <v>#VALUE!</v>
      </c>
      <c r="K5842" s="106"/>
      <c r="L5842" s="107"/>
      <c r="M5842" s="106"/>
      <c r="N5842" s="106"/>
      <c r="O5842" s="108"/>
      <c r="P5842" s="108"/>
      <c r="Q5842" s="108"/>
      <c r="R5842" s="109"/>
      <c r="S5842" s="109"/>
      <c r="T5842" s="108"/>
      <c r="U5842" s="110"/>
      <c r="V5842" s="110"/>
      <c r="W5842" s="110"/>
      <c r="X5842" s="110"/>
    </row>
    <row r="5843" spans="1:24" ht="14.25" customHeight="1">
      <c r="A5843" s="110"/>
      <c r="B5843" s="125"/>
      <c r="C5843" s="126"/>
      <c r="D5843" s="159"/>
      <c r="E5843" s="10" t="e">
        <f>TRIM(VLOOKUP(D5843,TB!$B$9:$C$1500,2,FALSE))</f>
        <v>#N/A</v>
      </c>
      <c r="F5843" s="142"/>
      <c r="G5843" s="130"/>
      <c r="H5843" s="10"/>
      <c r="I5843" s="10"/>
      <c r="J5843" s="79" t="e">
        <f t="shared" si="347"/>
        <v>#VALUE!</v>
      </c>
      <c r="K5843" s="106"/>
      <c r="L5843" s="107"/>
      <c r="M5843" s="106"/>
      <c r="N5843" s="106"/>
      <c r="O5843" s="108"/>
      <c r="P5843" s="108"/>
      <c r="Q5843" s="108"/>
      <c r="R5843" s="109"/>
      <c r="S5843" s="109"/>
      <c r="T5843" s="108"/>
      <c r="U5843" s="110"/>
      <c r="V5843" s="110"/>
      <c r="W5843" s="110"/>
      <c r="X5843" s="110"/>
    </row>
    <row r="5844" spans="1:24" ht="14.25" customHeight="1">
      <c r="A5844" s="110"/>
      <c r="B5844" s="125"/>
      <c r="C5844" s="126"/>
      <c r="D5844" s="159"/>
      <c r="E5844" s="10" t="e">
        <f>TRIM(VLOOKUP(D5844,TB!$B$9:$C$1500,2,FALSE))</f>
        <v>#N/A</v>
      </c>
      <c r="F5844" s="142"/>
      <c r="G5844" s="130"/>
      <c r="H5844" s="10"/>
      <c r="I5844" s="10"/>
      <c r="J5844" s="79" t="e">
        <f t="shared" si="347"/>
        <v>#VALUE!</v>
      </c>
      <c r="K5844" s="106"/>
      <c r="L5844" s="107"/>
      <c r="M5844" s="106"/>
      <c r="N5844" s="106"/>
      <c r="O5844" s="108"/>
      <c r="P5844" s="108"/>
      <c r="Q5844" s="108"/>
      <c r="R5844" s="109"/>
      <c r="S5844" s="109"/>
      <c r="T5844" s="108"/>
      <c r="U5844" s="110"/>
      <c r="V5844" s="110"/>
      <c r="W5844" s="110"/>
      <c r="X5844" s="110"/>
    </row>
    <row r="5845" spans="1:24" ht="14.25" customHeight="1">
      <c r="A5845" s="110"/>
      <c r="B5845" s="125"/>
      <c r="C5845" s="126"/>
      <c r="D5845" s="159"/>
      <c r="E5845" s="10" t="e">
        <f>TRIM(VLOOKUP(D5845,TB!$B$9:$C$1500,2,FALSE))</f>
        <v>#N/A</v>
      </c>
      <c r="F5845" s="142"/>
      <c r="G5845" s="130"/>
      <c r="H5845" s="10"/>
      <c r="I5845" s="10"/>
      <c r="J5845" s="79" t="e">
        <f t="shared" si="347"/>
        <v>#VALUE!</v>
      </c>
      <c r="K5845" s="106"/>
      <c r="L5845" s="107"/>
      <c r="M5845" s="106"/>
      <c r="N5845" s="106"/>
      <c r="O5845" s="108"/>
      <c r="P5845" s="108"/>
      <c r="Q5845" s="108"/>
      <c r="R5845" s="109"/>
      <c r="S5845" s="109"/>
      <c r="T5845" s="108"/>
      <c r="U5845" s="110"/>
      <c r="V5845" s="110"/>
      <c r="W5845" s="110"/>
      <c r="X5845" s="110"/>
    </row>
    <row r="5846" spans="1:24" ht="14.25" customHeight="1">
      <c r="A5846" s="110"/>
      <c r="B5846" s="125"/>
      <c r="C5846" s="126"/>
      <c r="D5846" s="159"/>
      <c r="E5846" s="10" t="e">
        <f>TRIM(VLOOKUP(D5846,TB!$B$9:$C$1500,2,FALSE))</f>
        <v>#N/A</v>
      </c>
      <c r="F5846" s="142"/>
      <c r="G5846" s="130"/>
      <c r="H5846" s="10"/>
      <c r="I5846" s="10"/>
      <c r="J5846" s="79" t="e">
        <f t="shared" si="347"/>
        <v>#VALUE!</v>
      </c>
      <c r="K5846" s="106"/>
      <c r="L5846" s="107"/>
      <c r="M5846" s="106"/>
      <c r="N5846" s="106"/>
      <c r="O5846" s="108"/>
      <c r="P5846" s="108"/>
      <c r="Q5846" s="108"/>
      <c r="R5846" s="109"/>
      <c r="S5846" s="109"/>
      <c r="T5846" s="108"/>
      <c r="U5846" s="110"/>
      <c r="V5846" s="110"/>
      <c r="W5846" s="110"/>
      <c r="X5846" s="110"/>
    </row>
    <row r="5847" spans="1:24" ht="14.25" customHeight="1">
      <c r="A5847" s="110"/>
      <c r="B5847" s="125"/>
      <c r="C5847" s="126"/>
      <c r="D5847" s="159"/>
      <c r="E5847" s="10" t="e">
        <f>TRIM(VLOOKUP(D5847,TB!$B$9:$C$1500,2,FALSE))</f>
        <v>#N/A</v>
      </c>
      <c r="F5847" s="142"/>
      <c r="G5847" s="130"/>
      <c r="H5847" s="10"/>
      <c r="I5847" s="10"/>
      <c r="J5847" s="79" t="e">
        <f t="shared" si="347"/>
        <v>#VALUE!</v>
      </c>
      <c r="K5847" s="106"/>
      <c r="L5847" s="107"/>
      <c r="M5847" s="106"/>
      <c r="N5847" s="106"/>
      <c r="O5847" s="108"/>
      <c r="P5847" s="108"/>
      <c r="Q5847" s="108"/>
      <c r="R5847" s="109"/>
      <c r="S5847" s="109"/>
      <c r="T5847" s="108"/>
      <c r="U5847" s="110"/>
      <c r="V5847" s="110"/>
      <c r="W5847" s="110"/>
      <c r="X5847" s="110"/>
    </row>
    <row r="5848" spans="1:24" ht="14.25" customHeight="1">
      <c r="A5848" s="110"/>
      <c r="B5848" s="125"/>
      <c r="C5848" s="126"/>
      <c r="D5848" s="159"/>
      <c r="E5848" s="10" t="e">
        <f>TRIM(VLOOKUP(D5848,TB!$B$9:$C$1500,2,FALSE))</f>
        <v>#N/A</v>
      </c>
      <c r="F5848" s="142"/>
      <c r="G5848" s="130"/>
      <c r="H5848" s="10"/>
      <c r="I5848" s="10"/>
      <c r="J5848" s="79" t="e">
        <f t="shared" si="347"/>
        <v>#VALUE!</v>
      </c>
      <c r="K5848" s="106"/>
      <c r="L5848" s="107"/>
      <c r="M5848" s="106"/>
      <c r="N5848" s="106"/>
      <c r="O5848" s="108"/>
      <c r="P5848" s="108"/>
      <c r="Q5848" s="108"/>
      <c r="R5848" s="109"/>
      <c r="S5848" s="109"/>
      <c r="T5848" s="108"/>
      <c r="U5848" s="110"/>
      <c r="V5848" s="110"/>
      <c r="W5848" s="110"/>
      <c r="X5848" s="110"/>
    </row>
    <row r="5849" spans="1:24" ht="14.25" customHeight="1">
      <c r="A5849" s="110"/>
      <c r="B5849" s="125"/>
      <c r="C5849" s="126"/>
      <c r="D5849" s="159"/>
      <c r="E5849" s="10" t="e">
        <f>TRIM(VLOOKUP(D5849,TB!$B$9:$C$1500,2,FALSE))</f>
        <v>#N/A</v>
      </c>
      <c r="F5849" s="142"/>
      <c r="G5849" s="130"/>
      <c r="H5849" s="10"/>
      <c r="I5849" s="10"/>
      <c r="J5849" s="79" t="e">
        <f t="shared" si="347"/>
        <v>#VALUE!</v>
      </c>
      <c r="K5849" s="106"/>
      <c r="L5849" s="107"/>
      <c r="M5849" s="106"/>
      <c r="N5849" s="106"/>
      <c r="O5849" s="108"/>
      <c r="P5849" s="108"/>
      <c r="Q5849" s="108"/>
      <c r="R5849" s="109"/>
      <c r="S5849" s="109"/>
      <c r="T5849" s="108"/>
      <c r="U5849" s="110"/>
      <c r="V5849" s="110"/>
      <c r="W5849" s="110"/>
      <c r="X5849" s="110"/>
    </row>
    <row r="5850" spans="1:24" ht="14.25" customHeight="1">
      <c r="A5850" s="110"/>
      <c r="B5850" s="125"/>
      <c r="C5850" s="126"/>
      <c r="D5850" s="159"/>
      <c r="E5850" s="10" t="e">
        <f>TRIM(VLOOKUP(D5850,TB!$B$9:$C$1500,2,FALSE))</f>
        <v>#N/A</v>
      </c>
      <c r="F5850" s="142"/>
      <c r="G5850" s="130"/>
      <c r="H5850" s="10"/>
      <c r="I5850" s="10"/>
      <c r="J5850" s="79" t="e">
        <f t="shared" si="347"/>
        <v>#VALUE!</v>
      </c>
      <c r="K5850" s="106"/>
      <c r="L5850" s="107"/>
      <c r="M5850" s="106"/>
      <c r="N5850" s="106"/>
      <c r="O5850" s="108"/>
      <c r="P5850" s="108"/>
      <c r="Q5850" s="108"/>
      <c r="R5850" s="109"/>
      <c r="S5850" s="109"/>
      <c r="T5850" s="108"/>
      <c r="U5850" s="110"/>
      <c r="V5850" s="110"/>
      <c r="W5850" s="110"/>
      <c r="X5850" s="110"/>
    </row>
    <row r="5851" spans="1:24" ht="14.25" customHeight="1">
      <c r="A5851" s="110"/>
      <c r="B5851" s="201"/>
      <c r="C5851" s="202"/>
      <c r="D5851" s="203"/>
      <c r="E5851" s="204" t="e">
        <f>TRIM(VLOOKUP(D5851,TB!$B$9:$C$1500,2,FALSE))</f>
        <v>#N/A</v>
      </c>
      <c r="F5851" s="205"/>
      <c r="G5851" s="206"/>
      <c r="H5851" s="204"/>
      <c r="I5851" s="204"/>
      <c r="J5851" s="79" t="e">
        <f t="shared" si="347"/>
        <v>#VALUE!</v>
      </c>
      <c r="K5851" s="106"/>
      <c r="L5851" s="107"/>
      <c r="M5851" s="106"/>
      <c r="N5851" s="106"/>
      <c r="O5851" s="108"/>
      <c r="P5851" s="108"/>
      <c r="Q5851" s="108"/>
      <c r="R5851" s="109"/>
      <c r="S5851" s="109"/>
      <c r="T5851" s="108"/>
      <c r="U5851" s="110"/>
      <c r="V5851" s="110"/>
      <c r="W5851" s="110"/>
      <c r="X5851" s="110"/>
    </row>
    <row r="5852" spans="1:24" ht="14.25" customHeight="1">
      <c r="A5852" s="110"/>
      <c r="B5852" s="125"/>
      <c r="C5852" s="126"/>
      <c r="D5852" s="159"/>
      <c r="E5852" s="10" t="e">
        <f>TRIM(VLOOKUP(D5852,TB!$B$9:$C$1500,2,FALSE))</f>
        <v>#N/A</v>
      </c>
      <c r="F5852" s="142"/>
      <c r="G5852" s="130"/>
      <c r="H5852" s="10"/>
      <c r="I5852" s="10"/>
      <c r="J5852" s="79" t="e">
        <f t="shared" si="347"/>
        <v>#VALUE!</v>
      </c>
      <c r="K5852" s="106"/>
      <c r="L5852" s="107"/>
      <c r="M5852" s="106"/>
      <c r="N5852" s="106"/>
      <c r="O5852" s="108"/>
      <c r="P5852" s="108"/>
      <c r="Q5852" s="108"/>
      <c r="R5852" s="109"/>
      <c r="S5852" s="109"/>
      <c r="T5852" s="108"/>
      <c r="U5852" s="110"/>
      <c r="V5852" s="110"/>
      <c r="W5852" s="110"/>
      <c r="X5852" s="110"/>
    </row>
    <row r="5853" spans="1:24" ht="14.25" customHeight="1">
      <c r="A5853" s="110"/>
      <c r="B5853" s="125">
        <v>46174</v>
      </c>
      <c r="C5853" s="126" t="s">
        <v>3580</v>
      </c>
      <c r="D5853" s="188" t="s">
        <v>3581</v>
      </c>
      <c r="E5853" s="10" t="str">
        <f>TRIM(VLOOKUP(D5853,TB!$B$9:$C$1500,2,FALSE))</f>
        <v>Depr Building Lease</v>
      </c>
      <c r="F5853" s="207" t="s">
        <v>3582</v>
      </c>
      <c r="G5853" s="130"/>
      <c r="H5853" s="10">
        <v>65000000</v>
      </c>
      <c r="I5853" s="10"/>
      <c r="J5853" s="79" t="e">
        <f t="shared" si="347"/>
        <v>#VALUE!</v>
      </c>
      <c r="K5853" s="106"/>
      <c r="L5853" s="107"/>
      <c r="M5853" s="106"/>
      <c r="N5853" s="106"/>
      <c r="O5853" s="108"/>
      <c r="P5853" s="108"/>
      <c r="Q5853" s="108"/>
      <c r="R5853" s="109"/>
      <c r="S5853" s="109"/>
      <c r="T5853" s="108"/>
      <c r="U5853" s="110"/>
      <c r="V5853" s="110"/>
      <c r="W5853" s="110"/>
      <c r="X5853" s="110"/>
    </row>
    <row r="5854" spans="1:24" ht="14.25" customHeight="1">
      <c r="A5854" s="110"/>
      <c r="B5854" s="125">
        <v>46174</v>
      </c>
      <c r="C5854" s="126" t="s">
        <v>3580</v>
      </c>
      <c r="D5854" s="188" t="s">
        <v>3583</v>
      </c>
      <c r="E5854" s="10" t="str">
        <f>TRIM(VLOOKUP(D5854,TB!$B$9:$C$1500,2,FALSE))</f>
        <v>Property Rental</v>
      </c>
      <c r="F5854" s="207" t="s">
        <v>3582</v>
      </c>
      <c r="G5854" s="130"/>
      <c r="H5854" s="10">
        <v>75250000</v>
      </c>
      <c r="I5854" s="10"/>
      <c r="J5854" s="79" t="e">
        <f t="shared" si="347"/>
        <v>#VALUE!</v>
      </c>
      <c r="K5854" s="106"/>
      <c r="L5854" s="107"/>
      <c r="M5854" s="106"/>
      <c r="N5854" s="106"/>
      <c r="O5854" s="108"/>
      <c r="P5854" s="108"/>
      <c r="Q5854" s="108"/>
      <c r="R5854" s="109"/>
      <c r="S5854" s="109"/>
      <c r="T5854" s="108"/>
      <c r="U5854" s="110"/>
      <c r="V5854" s="110"/>
      <c r="W5854" s="110"/>
      <c r="X5854" s="110"/>
    </row>
    <row r="5855" spans="1:24" ht="14.25" customHeight="1">
      <c r="A5855" s="110"/>
      <c r="B5855" s="125">
        <v>46174</v>
      </c>
      <c r="C5855" s="126" t="s">
        <v>3580</v>
      </c>
      <c r="D5855" s="188" t="s">
        <v>3584</v>
      </c>
      <c r="E5855" s="10" t="str">
        <f>TRIM(VLOOKUP(D5855,TB!$B$9:$C$1500,2,FALSE))</f>
        <v>Depr Building Improvement</v>
      </c>
      <c r="F5855" s="207" t="s">
        <v>3585</v>
      </c>
      <c r="G5855" s="130"/>
      <c r="H5855" s="170">
        <v>12104623.216666667</v>
      </c>
      <c r="I5855" s="10"/>
      <c r="J5855" s="79" t="e">
        <f t="shared" si="347"/>
        <v>#VALUE!</v>
      </c>
      <c r="K5855" s="106"/>
      <c r="L5855" s="107"/>
      <c r="M5855" s="106"/>
      <c r="N5855" s="106"/>
      <c r="O5855" s="108"/>
      <c r="P5855" s="108"/>
      <c r="Q5855" s="108"/>
      <c r="R5855" s="109"/>
      <c r="S5855" s="109"/>
      <c r="T5855" s="108"/>
      <c r="U5855" s="110"/>
      <c r="V5855" s="110"/>
      <c r="W5855" s="110"/>
      <c r="X5855" s="110"/>
    </row>
    <row r="5856" spans="1:24" ht="14.25" customHeight="1">
      <c r="A5856" s="110"/>
      <c r="B5856" s="125">
        <v>46174</v>
      </c>
      <c r="C5856" s="126" t="s">
        <v>3580</v>
      </c>
      <c r="D5856" s="188" t="s">
        <v>3586</v>
      </c>
      <c r="E5856" s="10" t="str">
        <f>TRIM(VLOOKUP(D5856,TB!$B$9:$C$1500,2,FALSE))</f>
        <v>Depr Equiptment</v>
      </c>
      <c r="F5856" s="207" t="s">
        <v>3587</v>
      </c>
      <c r="G5856" s="130"/>
      <c r="H5856" s="170">
        <v>31561415.395833321</v>
      </c>
      <c r="I5856" s="10"/>
      <c r="J5856" s="79" t="e">
        <f t="shared" si="347"/>
        <v>#VALUE!</v>
      </c>
      <c r="K5856" s="106"/>
      <c r="L5856" s="107"/>
      <c r="M5856" s="106"/>
      <c r="N5856" s="106"/>
      <c r="O5856" s="108"/>
      <c r="P5856" s="108"/>
      <c r="Q5856" s="108"/>
      <c r="R5856" s="109"/>
      <c r="S5856" s="109"/>
      <c r="T5856" s="108"/>
      <c r="U5856" s="110"/>
      <c r="V5856" s="110"/>
      <c r="W5856" s="110"/>
      <c r="X5856" s="110"/>
    </row>
    <row r="5857" spans="1:24" ht="14.25" customHeight="1">
      <c r="A5857" s="110"/>
      <c r="B5857" s="125">
        <v>46174</v>
      </c>
      <c r="C5857" s="126" t="s">
        <v>3580</v>
      </c>
      <c r="D5857" s="188" t="s">
        <v>3588</v>
      </c>
      <c r="E5857" s="10" t="str">
        <f>TRIM(VLOOKUP(D5857,TB!$B$9:$C$1500,2,FALSE))</f>
        <v>Depr Furniture &amp; Fixture</v>
      </c>
      <c r="F5857" s="207" t="s">
        <v>3589</v>
      </c>
      <c r="G5857" s="130"/>
      <c r="H5857" s="177">
        <v>7885536.666666666</v>
      </c>
      <c r="I5857" s="10"/>
      <c r="J5857" s="79" t="e">
        <f t="shared" si="347"/>
        <v>#VALUE!</v>
      </c>
      <c r="K5857" s="106"/>
      <c r="L5857" s="107"/>
      <c r="M5857" s="106"/>
      <c r="N5857" s="106"/>
      <c r="O5857" s="108"/>
      <c r="P5857" s="108"/>
      <c r="Q5857" s="108"/>
      <c r="R5857" s="109"/>
      <c r="S5857" s="109"/>
      <c r="T5857" s="108"/>
      <c r="U5857" s="110"/>
      <c r="V5857" s="110"/>
      <c r="W5857" s="110"/>
      <c r="X5857" s="110"/>
    </row>
    <row r="5858" spans="1:24" ht="14.25" customHeight="1">
      <c r="A5858" s="110"/>
      <c r="B5858" s="125">
        <v>46174</v>
      </c>
      <c r="C5858" s="126" t="s">
        <v>3580</v>
      </c>
      <c r="D5858" s="188" t="s">
        <v>3590</v>
      </c>
      <c r="E5858" s="10" t="str">
        <f>TRIM(VLOOKUP(D5858,TB!$B$9:$C$1500,2,FALSE))</f>
        <v>Amortization license</v>
      </c>
      <c r="F5858" s="207" t="s">
        <v>3591</v>
      </c>
      <c r="G5858" s="130"/>
      <c r="H5858" s="170">
        <v>1900000</v>
      </c>
      <c r="I5858" s="10"/>
      <c r="J5858" s="79" t="e">
        <f t="shared" si="347"/>
        <v>#VALUE!</v>
      </c>
      <c r="K5858" s="106"/>
      <c r="L5858" s="107"/>
      <c r="M5858" s="106"/>
      <c r="N5858" s="106"/>
      <c r="O5858" s="108"/>
      <c r="P5858" s="108"/>
      <c r="Q5858" s="108"/>
      <c r="R5858" s="109"/>
      <c r="S5858" s="109"/>
      <c r="T5858" s="108"/>
      <c r="U5858" s="110"/>
      <c r="V5858" s="110"/>
      <c r="W5858" s="110"/>
      <c r="X5858" s="110"/>
    </row>
    <row r="5859" spans="1:24" ht="14.25" customHeight="1">
      <c r="A5859" s="110"/>
      <c r="B5859" s="125">
        <v>46174</v>
      </c>
      <c r="C5859" s="126" t="s">
        <v>3580</v>
      </c>
      <c r="D5859" s="208" t="s">
        <v>3592</v>
      </c>
      <c r="E5859" s="10" t="str">
        <f>TRIM(VLOOKUP(D5859,TB!$B$9:$C$1500,2,FALSE))</f>
        <v>Depr IT Support</v>
      </c>
      <c r="F5859" s="207" t="s">
        <v>3593</v>
      </c>
      <c r="G5859" s="130"/>
      <c r="H5859" s="177">
        <v>643414.58333333326</v>
      </c>
      <c r="I5859" s="10"/>
      <c r="J5859" s="79" t="e">
        <f t="shared" si="347"/>
        <v>#VALUE!</v>
      </c>
      <c r="K5859" s="106"/>
      <c r="L5859" s="107"/>
      <c r="M5859" s="106"/>
      <c r="N5859" s="106"/>
      <c r="O5859" s="108"/>
      <c r="P5859" s="108"/>
      <c r="Q5859" s="108"/>
      <c r="R5859" s="109"/>
      <c r="S5859" s="109"/>
      <c r="T5859" s="108"/>
      <c r="U5859" s="110"/>
      <c r="V5859" s="110"/>
      <c r="W5859" s="110"/>
      <c r="X5859" s="110"/>
    </row>
    <row r="5860" spans="1:24" ht="14.25" customHeight="1">
      <c r="A5860" s="110"/>
      <c r="B5860" s="125">
        <v>46174</v>
      </c>
      <c r="C5860" s="126" t="s">
        <v>3580</v>
      </c>
      <c r="D5860" s="188" t="s">
        <v>3594</v>
      </c>
      <c r="E5860" s="10" t="str">
        <f>TRIM(VLOOKUP(D5860,TB!$B$9:$C$1500,2,FALSE))</f>
        <v>Depr Vehicle</v>
      </c>
      <c r="F5860" s="207" t="s">
        <v>3595</v>
      </c>
      <c r="G5860" s="130"/>
      <c r="H5860" s="170">
        <v>4642875</v>
      </c>
      <c r="I5860" s="10"/>
      <c r="J5860" s="79" t="e">
        <f t="shared" si="347"/>
        <v>#VALUE!</v>
      </c>
      <c r="K5860" s="106"/>
      <c r="L5860" s="107"/>
      <c r="M5860" s="106"/>
      <c r="N5860" s="106"/>
      <c r="O5860" s="108"/>
      <c r="P5860" s="108"/>
      <c r="Q5860" s="108"/>
      <c r="R5860" s="109"/>
      <c r="S5860" s="109"/>
      <c r="T5860" s="108"/>
      <c r="U5860" s="110"/>
      <c r="V5860" s="110"/>
      <c r="W5860" s="110"/>
      <c r="X5860" s="110"/>
    </row>
    <row r="5861" spans="1:24" ht="14.25" customHeight="1">
      <c r="A5861" s="110"/>
      <c r="B5861" s="125">
        <v>46174</v>
      </c>
      <c r="C5861" s="126" t="s">
        <v>3580</v>
      </c>
      <c r="D5861" s="188" t="s">
        <v>3596</v>
      </c>
      <c r="E5861" s="10" t="str">
        <f>TRIM(VLOOKUP(D5861,TB!$B$9:$C$1500,2,FALSE))</f>
        <v>Acm Depreciation Building lease right</v>
      </c>
      <c r="F5861" s="207" t="s">
        <v>3597</v>
      </c>
      <c r="G5861" s="130"/>
      <c r="H5861" s="10"/>
      <c r="I5861" s="10">
        <f t="shared" ref="I5861:I5868" si="348">H5853</f>
        <v>65000000</v>
      </c>
      <c r="J5861" s="79" t="e">
        <f t="shared" si="347"/>
        <v>#VALUE!</v>
      </c>
      <c r="K5861" s="106"/>
      <c r="L5861" s="107"/>
      <c r="M5861" s="106"/>
      <c r="N5861" s="106"/>
      <c r="O5861" s="108"/>
      <c r="P5861" s="108"/>
      <c r="Q5861" s="108"/>
      <c r="R5861" s="109"/>
      <c r="S5861" s="109"/>
      <c r="T5861" s="108"/>
      <c r="U5861" s="110"/>
      <c r="V5861" s="110"/>
      <c r="W5861" s="110"/>
      <c r="X5861" s="110"/>
    </row>
    <row r="5862" spans="1:24" ht="14.25" customHeight="1">
      <c r="A5862" s="110"/>
      <c r="B5862" s="125">
        <v>46174</v>
      </c>
      <c r="C5862" s="126" t="s">
        <v>3580</v>
      </c>
      <c r="D5862" s="208" t="s">
        <v>3596</v>
      </c>
      <c r="E5862" s="10" t="str">
        <f>TRIM(VLOOKUP(D5862,TB!$B$9:$C$1500,2,FALSE))</f>
        <v>Acm Depreciation Building lease right</v>
      </c>
      <c r="F5862" s="207" t="s">
        <v>3597</v>
      </c>
      <c r="G5862" s="130"/>
      <c r="H5862" s="10"/>
      <c r="I5862" s="10">
        <f t="shared" si="348"/>
        <v>75250000</v>
      </c>
      <c r="J5862" s="79" t="e">
        <f t="shared" si="347"/>
        <v>#VALUE!</v>
      </c>
      <c r="K5862" s="106"/>
      <c r="L5862" s="107"/>
      <c r="M5862" s="106"/>
      <c r="N5862" s="106"/>
      <c r="O5862" s="108"/>
      <c r="P5862" s="108"/>
      <c r="Q5862" s="108"/>
      <c r="R5862" s="109"/>
      <c r="S5862" s="109"/>
      <c r="T5862" s="108"/>
      <c r="U5862" s="110"/>
      <c r="V5862" s="110"/>
      <c r="W5862" s="110"/>
      <c r="X5862" s="110"/>
    </row>
    <row r="5863" spans="1:24" ht="14.25" customHeight="1">
      <c r="A5863" s="110"/>
      <c r="B5863" s="125">
        <v>46174</v>
      </c>
      <c r="C5863" s="126" t="s">
        <v>3580</v>
      </c>
      <c r="D5863" s="188" t="s">
        <v>3598</v>
      </c>
      <c r="E5863" s="10" t="str">
        <f>TRIM(VLOOKUP(D5863,TB!$B$9:$C$1500,2,FALSE))</f>
        <v>Acm Depreciation Building Improvement</v>
      </c>
      <c r="F5863" s="207" t="s">
        <v>3599</v>
      </c>
      <c r="G5863" s="130"/>
      <c r="H5863" s="10"/>
      <c r="I5863" s="10">
        <f t="shared" si="348"/>
        <v>12104623.216666667</v>
      </c>
      <c r="J5863" s="79" t="e">
        <f t="shared" si="347"/>
        <v>#VALUE!</v>
      </c>
      <c r="K5863" s="106"/>
      <c r="L5863" s="107"/>
      <c r="M5863" s="106"/>
      <c r="N5863" s="106"/>
      <c r="O5863" s="108"/>
      <c r="P5863" s="108"/>
      <c r="Q5863" s="108"/>
      <c r="R5863" s="109"/>
      <c r="S5863" s="109"/>
      <c r="T5863" s="108"/>
      <c r="U5863" s="110"/>
      <c r="V5863" s="110"/>
      <c r="W5863" s="110"/>
      <c r="X5863" s="110"/>
    </row>
    <row r="5864" spans="1:24" ht="14.25" customHeight="1">
      <c r="A5864" s="110"/>
      <c r="B5864" s="125">
        <v>46174</v>
      </c>
      <c r="C5864" s="126" t="s">
        <v>3580</v>
      </c>
      <c r="D5864" s="188" t="s">
        <v>3600</v>
      </c>
      <c r="E5864" s="10" t="str">
        <f>TRIM(VLOOKUP(D5864,TB!$B$9:$C$1500,2,FALSE))</f>
        <v>Acm Depreciation Equiptment</v>
      </c>
      <c r="F5864" s="207" t="s">
        <v>3601</v>
      </c>
      <c r="G5864" s="130"/>
      <c r="H5864" s="10"/>
      <c r="I5864" s="10">
        <f t="shared" si="348"/>
        <v>31561415.395833321</v>
      </c>
      <c r="J5864" s="79" t="e">
        <f t="shared" si="347"/>
        <v>#VALUE!</v>
      </c>
      <c r="K5864" s="106"/>
      <c r="L5864" s="107"/>
      <c r="M5864" s="106"/>
      <c r="N5864" s="106"/>
      <c r="O5864" s="108"/>
      <c r="P5864" s="108"/>
      <c r="Q5864" s="108"/>
      <c r="R5864" s="109"/>
      <c r="S5864" s="109"/>
      <c r="T5864" s="108"/>
      <c r="U5864" s="110"/>
      <c r="V5864" s="110"/>
      <c r="W5864" s="110"/>
      <c r="X5864" s="110"/>
    </row>
    <row r="5865" spans="1:24" ht="14.25" customHeight="1">
      <c r="A5865" s="110"/>
      <c r="B5865" s="125">
        <v>46174</v>
      </c>
      <c r="C5865" s="126" t="s">
        <v>3580</v>
      </c>
      <c r="D5865" s="208" t="s">
        <v>3602</v>
      </c>
      <c r="E5865" s="10" t="str">
        <f>TRIM(VLOOKUP(D5865,TB!$B$9:$C$1500,2,FALSE))</f>
        <v>Acm Depreciation Furniture &amp; Fixture</v>
      </c>
      <c r="F5865" s="207" t="s">
        <v>3603</v>
      </c>
      <c r="G5865" s="130"/>
      <c r="H5865" s="10"/>
      <c r="I5865" s="10">
        <f t="shared" si="348"/>
        <v>7885536.666666666</v>
      </c>
      <c r="J5865" s="79" t="e">
        <f t="shared" si="347"/>
        <v>#VALUE!</v>
      </c>
      <c r="K5865" s="106"/>
      <c r="L5865" s="107"/>
      <c r="M5865" s="106"/>
      <c r="N5865" s="106"/>
      <c r="O5865" s="108"/>
      <c r="P5865" s="108"/>
      <c r="Q5865" s="108"/>
      <c r="R5865" s="109"/>
      <c r="S5865" s="109"/>
      <c r="T5865" s="108"/>
      <c r="U5865" s="110"/>
      <c r="V5865" s="110"/>
      <c r="W5865" s="110"/>
      <c r="X5865" s="110"/>
    </row>
    <row r="5866" spans="1:24" ht="14.25" customHeight="1">
      <c r="A5866" s="110"/>
      <c r="B5866" s="125">
        <v>46174</v>
      </c>
      <c r="C5866" s="126" t="s">
        <v>3580</v>
      </c>
      <c r="D5866" s="188" t="s">
        <v>3604</v>
      </c>
      <c r="E5866" s="10" t="str">
        <f>TRIM(VLOOKUP(D5866,TB!$B$9:$C$1500,2,FALSE))</f>
        <v>Acm Depreciation Business license</v>
      </c>
      <c r="F5866" s="207" t="s">
        <v>3605</v>
      </c>
      <c r="G5866" s="130"/>
      <c r="H5866" s="10"/>
      <c r="I5866" s="10">
        <f t="shared" si="348"/>
        <v>1900000</v>
      </c>
      <c r="J5866" s="79" t="e">
        <f t="shared" si="347"/>
        <v>#VALUE!</v>
      </c>
      <c r="K5866" s="106"/>
      <c r="L5866" s="107"/>
      <c r="M5866" s="106"/>
      <c r="N5866" s="106"/>
      <c r="O5866" s="108"/>
      <c r="P5866" s="108"/>
      <c r="Q5866" s="108"/>
      <c r="R5866" s="109"/>
      <c r="S5866" s="109"/>
      <c r="T5866" s="108"/>
      <c r="U5866" s="110"/>
      <c r="V5866" s="110"/>
      <c r="W5866" s="110"/>
      <c r="X5866" s="110"/>
    </row>
    <row r="5867" spans="1:24" ht="14.25" customHeight="1">
      <c r="A5867" s="110"/>
      <c r="B5867" s="125">
        <v>46174</v>
      </c>
      <c r="C5867" s="126" t="s">
        <v>3580</v>
      </c>
      <c r="D5867" s="188" t="s">
        <v>3606</v>
      </c>
      <c r="E5867" s="10" t="str">
        <f>TRIM(VLOOKUP(D5867,TB!$B$9:$C$1500,2,FALSE))</f>
        <v>Acm Depreciation IT Support</v>
      </c>
      <c r="F5867" s="207" t="s">
        <v>3607</v>
      </c>
      <c r="G5867" s="130"/>
      <c r="H5867" s="10"/>
      <c r="I5867" s="10">
        <f t="shared" si="348"/>
        <v>643414.58333333326</v>
      </c>
      <c r="J5867" s="79" t="e">
        <f t="shared" si="347"/>
        <v>#VALUE!</v>
      </c>
      <c r="K5867" s="106"/>
      <c r="L5867" s="107"/>
      <c r="M5867" s="106"/>
      <c r="N5867" s="106"/>
      <c r="O5867" s="108"/>
      <c r="P5867" s="108"/>
      <c r="Q5867" s="108"/>
      <c r="R5867" s="109"/>
      <c r="S5867" s="109"/>
      <c r="T5867" s="108"/>
      <c r="U5867" s="110"/>
      <c r="V5867" s="110"/>
      <c r="W5867" s="110"/>
      <c r="X5867" s="110"/>
    </row>
    <row r="5868" spans="1:24" ht="14.25" customHeight="1">
      <c r="A5868" s="110"/>
      <c r="B5868" s="125">
        <v>46174</v>
      </c>
      <c r="C5868" s="126" t="s">
        <v>3580</v>
      </c>
      <c r="D5868" s="188" t="s">
        <v>3608</v>
      </c>
      <c r="E5868" s="10" t="str">
        <f>TRIM(VLOOKUP(D5868,TB!$B$9:$C$1500,2,FALSE))</f>
        <v>Acm Depreciation Vehicle</v>
      </c>
      <c r="F5868" s="207" t="s">
        <v>3609</v>
      </c>
      <c r="G5868" s="130"/>
      <c r="H5868" s="10"/>
      <c r="I5868" s="10">
        <f t="shared" si="348"/>
        <v>4642875</v>
      </c>
      <c r="J5868" s="79" t="e">
        <f t="shared" si="347"/>
        <v>#VALUE!</v>
      </c>
      <c r="K5868" s="106"/>
      <c r="L5868" s="107"/>
      <c r="M5868" s="106"/>
      <c r="N5868" s="106"/>
      <c r="O5868" s="108"/>
      <c r="P5868" s="108"/>
      <c r="Q5868" s="108"/>
      <c r="R5868" s="109"/>
      <c r="S5868" s="109"/>
      <c r="T5868" s="108"/>
      <c r="U5868" s="110"/>
      <c r="V5868" s="110"/>
      <c r="W5868" s="110"/>
      <c r="X5868" s="110"/>
    </row>
    <row r="5869" spans="1:24" ht="14.25" customHeight="1">
      <c r="A5869" s="110"/>
      <c r="B5869" s="125"/>
      <c r="C5869" s="126"/>
      <c r="D5869" s="209"/>
      <c r="E5869" s="10" t="e">
        <f>TRIM(VLOOKUP(D5869,TB!$B$9:$C$1500,2,FALSE))</f>
        <v>#N/A</v>
      </c>
      <c r="F5869" s="207"/>
      <c r="G5869" s="130"/>
      <c r="H5869" s="10"/>
      <c r="I5869" s="10"/>
      <c r="J5869" s="79" t="e">
        <f t="shared" si="347"/>
        <v>#VALUE!</v>
      </c>
      <c r="K5869" s="106"/>
      <c r="L5869" s="107"/>
      <c r="M5869" s="106"/>
      <c r="N5869" s="106"/>
      <c r="O5869" s="108"/>
      <c r="P5869" s="108"/>
      <c r="Q5869" s="108"/>
      <c r="R5869" s="109"/>
      <c r="S5869" s="109"/>
      <c r="T5869" s="108"/>
      <c r="U5869" s="110"/>
      <c r="V5869" s="110"/>
      <c r="W5869" s="110"/>
      <c r="X5869" s="110"/>
    </row>
    <row r="5870" spans="1:24" ht="14.25" customHeight="1">
      <c r="A5870" s="110"/>
      <c r="B5870" s="125">
        <v>46174</v>
      </c>
      <c r="C5870" s="126" t="s">
        <v>3610</v>
      </c>
      <c r="D5870" s="208" t="s">
        <v>3611</v>
      </c>
      <c r="E5870" s="10" t="str">
        <f>TRIM(VLOOKUP(D5870,TB!$B$9:$C$1500,2,FALSE))</f>
        <v>COS - Food</v>
      </c>
      <c r="F5870" s="207" t="s">
        <v>3612</v>
      </c>
      <c r="G5870" s="130"/>
      <c r="H5870" s="10">
        <f>COS!R7</f>
        <v>71182006.001255453</v>
      </c>
      <c r="I5870" s="10"/>
      <c r="J5870" s="79" t="e">
        <f t="shared" si="347"/>
        <v>#VALUE!</v>
      </c>
      <c r="K5870" s="106"/>
      <c r="L5870" s="107"/>
      <c r="M5870" s="106"/>
      <c r="N5870" s="106"/>
      <c r="O5870" s="108"/>
      <c r="P5870" s="108"/>
      <c r="Q5870" s="108"/>
      <c r="R5870" s="109"/>
      <c r="S5870" s="109"/>
      <c r="T5870" s="108"/>
      <c r="U5870" s="110"/>
      <c r="V5870" s="110"/>
      <c r="W5870" s="110"/>
      <c r="X5870" s="110"/>
    </row>
    <row r="5871" spans="1:24" ht="14.25" customHeight="1">
      <c r="A5871" s="110"/>
      <c r="B5871" s="125">
        <v>46174</v>
      </c>
      <c r="C5871" s="126" t="s">
        <v>3610</v>
      </c>
      <c r="D5871" s="188" t="s">
        <v>3613</v>
      </c>
      <c r="E5871" s="10" t="str">
        <f>TRIM(VLOOKUP(D5871,TB!$B$9:$C$1500,2,FALSE))</f>
        <v>COS - Beverage</v>
      </c>
      <c r="F5871" s="207" t="s">
        <v>3614</v>
      </c>
      <c r="G5871" s="130"/>
      <c r="H5871" s="10">
        <f>COS!R297</f>
        <v>385226661.72156817</v>
      </c>
      <c r="I5871" s="10"/>
      <c r="J5871" s="79" t="e">
        <f t="shared" si="347"/>
        <v>#VALUE!</v>
      </c>
      <c r="K5871" s="106"/>
      <c r="L5871" s="107"/>
      <c r="M5871" s="106"/>
      <c r="N5871" s="106"/>
      <c r="O5871" s="108"/>
      <c r="P5871" s="108"/>
      <c r="Q5871" s="108"/>
      <c r="R5871" s="109"/>
      <c r="S5871" s="109"/>
      <c r="T5871" s="108"/>
      <c r="U5871" s="110"/>
      <c r="V5871" s="110"/>
      <c r="W5871" s="110"/>
      <c r="X5871" s="110"/>
    </row>
    <row r="5872" spans="1:24" ht="14.25" customHeight="1">
      <c r="A5872" s="110"/>
      <c r="B5872" s="125">
        <v>46174</v>
      </c>
      <c r="C5872" s="126" t="s">
        <v>3610</v>
      </c>
      <c r="D5872" s="188" t="s">
        <v>3615</v>
      </c>
      <c r="E5872" s="10" t="str">
        <f>TRIM(VLOOKUP(D5872,TB!$B$9:$C$1500,2,FALSE))</f>
        <v>COS - Shisa</v>
      </c>
      <c r="F5872" s="207" t="s">
        <v>3616</v>
      </c>
      <c r="G5872" s="130"/>
      <c r="H5872" s="10">
        <f>COS!R639</f>
        <v>735701.88181818172</v>
      </c>
      <c r="I5872" s="10"/>
      <c r="J5872" s="79" t="e">
        <f t="shared" si="347"/>
        <v>#VALUE!</v>
      </c>
      <c r="K5872" s="106"/>
      <c r="L5872" s="107"/>
      <c r="M5872" s="106"/>
      <c r="N5872" s="106"/>
      <c r="O5872" s="108"/>
      <c r="P5872" s="108"/>
      <c r="Q5872" s="108"/>
      <c r="R5872" s="109"/>
      <c r="S5872" s="109"/>
      <c r="T5872" s="108"/>
      <c r="U5872" s="110"/>
      <c r="V5872" s="110"/>
      <c r="W5872" s="110"/>
      <c r="X5872" s="110"/>
    </row>
    <row r="5873" spans="1:24" ht="14.25" customHeight="1">
      <c r="A5873" s="110"/>
      <c r="B5873" s="125">
        <v>46174</v>
      </c>
      <c r="C5873" s="126" t="s">
        <v>3610</v>
      </c>
      <c r="D5873" s="208" t="s">
        <v>3617</v>
      </c>
      <c r="E5873" s="10" t="str">
        <f>TRIM(VLOOKUP(D5873,TB!$B$9:$C$1500,2,FALSE))</f>
        <v>COS - Cigarettes</v>
      </c>
      <c r="F5873" s="207" t="s">
        <v>3618</v>
      </c>
      <c r="G5873" s="130"/>
      <c r="H5873" s="10">
        <f>COS!R682</f>
        <v>17082366.576508671</v>
      </c>
      <c r="I5873" s="10"/>
      <c r="J5873" s="79" t="e">
        <f t="shared" si="347"/>
        <v>#VALUE!</v>
      </c>
      <c r="K5873" s="106"/>
      <c r="L5873" s="107"/>
      <c r="M5873" s="106"/>
      <c r="N5873" s="106"/>
      <c r="O5873" s="108"/>
      <c r="P5873" s="108"/>
      <c r="Q5873" s="108"/>
      <c r="R5873" s="109"/>
      <c r="S5873" s="109"/>
      <c r="T5873" s="108"/>
      <c r="U5873" s="110"/>
      <c r="V5873" s="110"/>
      <c r="W5873" s="110"/>
      <c r="X5873" s="110"/>
    </row>
    <row r="5874" spans="1:24" ht="14.25" customHeight="1">
      <c r="A5874" s="110"/>
      <c r="B5874" s="125">
        <v>46174</v>
      </c>
      <c r="C5874" s="126" t="s">
        <v>3610</v>
      </c>
      <c r="D5874" s="188" t="s">
        <v>3619</v>
      </c>
      <c r="E5874" s="10" t="str">
        <f>TRIM(VLOOKUP(D5874,TB!$B$9:$C$1500,2,FALSE))</f>
        <v>COS - Merchandise</v>
      </c>
      <c r="F5874" s="207" t="s">
        <v>3620</v>
      </c>
      <c r="G5874" s="130"/>
      <c r="H5874" s="10">
        <f>COS!R726</f>
        <v>0</v>
      </c>
      <c r="I5874" s="10"/>
      <c r="J5874" s="79" t="e">
        <f t="shared" si="347"/>
        <v>#VALUE!</v>
      </c>
      <c r="K5874" s="106"/>
      <c r="L5874" s="107"/>
      <c r="M5874" s="106"/>
      <c r="N5874" s="106"/>
      <c r="O5874" s="108"/>
      <c r="P5874" s="108"/>
      <c r="Q5874" s="108"/>
      <c r="R5874" s="109"/>
      <c r="S5874" s="109"/>
      <c r="T5874" s="108"/>
      <c r="U5874" s="110"/>
      <c r="V5874" s="110"/>
      <c r="W5874" s="110"/>
      <c r="X5874" s="110"/>
    </row>
    <row r="5875" spans="1:24" ht="14.25" customHeight="1">
      <c r="A5875" s="110"/>
      <c r="B5875" s="125">
        <v>46174</v>
      </c>
      <c r="C5875" s="126" t="s">
        <v>3610</v>
      </c>
      <c r="D5875" s="188" t="s">
        <v>3621</v>
      </c>
      <c r="E5875" s="10" t="str">
        <f>TRIM(VLOOKUP(D5875,TB!$B$9:$C$1500,2,FALSE))</f>
        <v>INVENTORY FOOD</v>
      </c>
      <c r="F5875" s="207" t="s">
        <v>3622</v>
      </c>
      <c r="G5875" s="130"/>
      <c r="H5875" s="10"/>
      <c r="I5875" s="10">
        <f t="shared" ref="I5875:I5879" si="349">H5870</f>
        <v>71182006.001255453</v>
      </c>
      <c r="J5875" s="79" t="e">
        <f t="shared" si="347"/>
        <v>#VALUE!</v>
      </c>
      <c r="K5875" s="106"/>
      <c r="L5875" s="107"/>
      <c r="M5875" s="106"/>
      <c r="N5875" s="106"/>
      <c r="O5875" s="108"/>
      <c r="P5875" s="108"/>
      <c r="Q5875" s="108"/>
      <c r="R5875" s="109"/>
      <c r="S5875" s="109"/>
      <c r="T5875" s="108"/>
      <c r="U5875" s="110"/>
      <c r="V5875" s="110"/>
      <c r="W5875" s="110"/>
      <c r="X5875" s="110"/>
    </row>
    <row r="5876" spans="1:24" ht="14.25" customHeight="1">
      <c r="A5876" s="110"/>
      <c r="B5876" s="125">
        <v>46174</v>
      </c>
      <c r="C5876" s="126" t="s">
        <v>3610</v>
      </c>
      <c r="D5876" s="208" t="s">
        <v>3623</v>
      </c>
      <c r="E5876" s="10" t="str">
        <f>TRIM(VLOOKUP(D5876,TB!$B$9:$C$1500,2,FALSE))</f>
        <v>INVENTORY BEVERAGE</v>
      </c>
      <c r="F5876" s="207" t="s">
        <v>3624</v>
      </c>
      <c r="G5876" s="130"/>
      <c r="H5876" s="10"/>
      <c r="I5876" s="10">
        <f t="shared" si="349"/>
        <v>385226661.72156817</v>
      </c>
      <c r="J5876" s="79" t="e">
        <f t="shared" si="347"/>
        <v>#VALUE!</v>
      </c>
      <c r="K5876" s="106"/>
      <c r="L5876" s="107"/>
      <c r="M5876" s="106"/>
      <c r="N5876" s="106"/>
      <c r="O5876" s="108"/>
      <c r="P5876" s="108"/>
      <c r="Q5876" s="108"/>
      <c r="R5876" s="109"/>
      <c r="S5876" s="109"/>
      <c r="T5876" s="108"/>
      <c r="U5876" s="110"/>
      <c r="V5876" s="110"/>
      <c r="W5876" s="110"/>
      <c r="X5876" s="110"/>
    </row>
    <row r="5877" spans="1:24" ht="14.25" customHeight="1">
      <c r="A5877" s="110"/>
      <c r="B5877" s="125">
        <v>46174</v>
      </c>
      <c r="C5877" s="126" t="s">
        <v>3610</v>
      </c>
      <c r="D5877" s="188" t="s">
        <v>3625</v>
      </c>
      <c r="E5877" s="10" t="str">
        <f>TRIM(VLOOKUP(D5877,TB!$B$9:$C$1500,2,FALSE))</f>
        <v>INVENTORY SHISA</v>
      </c>
      <c r="F5877" s="207" t="s">
        <v>3626</v>
      </c>
      <c r="G5877" s="130"/>
      <c r="H5877" s="10"/>
      <c r="I5877" s="10">
        <f t="shared" si="349"/>
        <v>735701.88181818172</v>
      </c>
      <c r="J5877" s="79" t="e">
        <f t="shared" si="347"/>
        <v>#VALUE!</v>
      </c>
      <c r="K5877" s="106"/>
      <c r="L5877" s="107"/>
      <c r="M5877" s="106"/>
      <c r="N5877" s="106"/>
      <c r="O5877" s="108"/>
      <c r="P5877" s="108"/>
      <c r="Q5877" s="108"/>
      <c r="R5877" s="109"/>
      <c r="S5877" s="109"/>
      <c r="T5877" s="108"/>
      <c r="U5877" s="110"/>
      <c r="V5877" s="110"/>
      <c r="W5877" s="110"/>
      <c r="X5877" s="110"/>
    </row>
    <row r="5878" spans="1:24" ht="14.25" customHeight="1">
      <c r="A5878" s="110"/>
      <c r="B5878" s="125">
        <v>46174</v>
      </c>
      <c r="C5878" s="126" t="s">
        <v>3610</v>
      </c>
      <c r="D5878" s="188" t="s">
        <v>3627</v>
      </c>
      <c r="E5878" s="10" t="str">
        <f>TRIM(VLOOKUP(D5878,TB!$B$9:$C$1500,2,FALSE))</f>
        <v>INVENTORY CIGARETTE</v>
      </c>
      <c r="F5878" s="207" t="s">
        <v>3628</v>
      </c>
      <c r="G5878" s="130"/>
      <c r="H5878" s="10"/>
      <c r="I5878" s="10">
        <f t="shared" si="349"/>
        <v>17082366.576508671</v>
      </c>
      <c r="J5878" s="79" t="e">
        <f t="shared" si="347"/>
        <v>#VALUE!</v>
      </c>
      <c r="K5878" s="106"/>
      <c r="L5878" s="107"/>
      <c r="M5878" s="106"/>
      <c r="N5878" s="106"/>
      <c r="O5878" s="108"/>
      <c r="P5878" s="108"/>
      <c r="Q5878" s="108"/>
      <c r="R5878" s="109"/>
      <c r="S5878" s="109"/>
      <c r="T5878" s="108"/>
      <c r="U5878" s="110"/>
      <c r="V5878" s="110"/>
      <c r="W5878" s="110"/>
      <c r="X5878" s="110"/>
    </row>
    <row r="5879" spans="1:24" ht="14.25" customHeight="1">
      <c r="A5879" s="110"/>
      <c r="B5879" s="125">
        <v>46174</v>
      </c>
      <c r="C5879" s="126" t="s">
        <v>3610</v>
      </c>
      <c r="D5879" s="188" t="s">
        <v>3629</v>
      </c>
      <c r="E5879" s="10" t="str">
        <f>TRIM(VLOOKUP(D5879,TB!$B$9:$C$1500,2,FALSE))</f>
        <v>Inventory Merchandise</v>
      </c>
      <c r="F5879" s="207" t="s">
        <v>3630</v>
      </c>
      <c r="G5879" s="130"/>
      <c r="H5879" s="10"/>
      <c r="I5879" s="10">
        <f t="shared" si="349"/>
        <v>0</v>
      </c>
      <c r="J5879" s="79" t="e">
        <f t="shared" si="347"/>
        <v>#VALUE!</v>
      </c>
      <c r="K5879" s="106"/>
      <c r="L5879" s="107"/>
      <c r="M5879" s="106"/>
      <c r="N5879" s="106"/>
      <c r="O5879" s="108"/>
      <c r="P5879" s="108"/>
      <c r="Q5879" s="108"/>
      <c r="R5879" s="109"/>
      <c r="S5879" s="109"/>
      <c r="T5879" s="108"/>
      <c r="U5879" s="110"/>
      <c r="V5879" s="110"/>
      <c r="W5879" s="110"/>
      <c r="X5879" s="110"/>
    </row>
    <row r="5880" spans="1:24" ht="14.25" customHeight="1">
      <c r="A5880" s="110"/>
      <c r="B5880" s="125"/>
      <c r="C5880" s="126"/>
      <c r="D5880" s="210"/>
      <c r="E5880" s="10" t="e">
        <f>TRIM(VLOOKUP(D5880,TB!$B$9:$C$1500,2,FALSE))</f>
        <v>#N/A</v>
      </c>
      <c r="F5880" s="207"/>
      <c r="G5880" s="130"/>
      <c r="H5880" s="10"/>
      <c r="I5880" s="10"/>
      <c r="J5880" s="79" t="e">
        <f t="shared" si="347"/>
        <v>#VALUE!</v>
      </c>
      <c r="K5880" s="106"/>
      <c r="L5880" s="107"/>
      <c r="M5880" s="106"/>
      <c r="N5880" s="106"/>
      <c r="O5880" s="108"/>
      <c r="P5880" s="108"/>
      <c r="Q5880" s="108"/>
      <c r="R5880" s="109"/>
      <c r="S5880" s="109"/>
      <c r="T5880" s="108"/>
      <c r="U5880" s="110"/>
      <c r="V5880" s="110"/>
      <c r="W5880" s="110"/>
      <c r="X5880" s="110"/>
    </row>
    <row r="5881" spans="1:24" ht="14.25" customHeight="1">
      <c r="A5881" s="110"/>
      <c r="B5881" s="125">
        <v>46174</v>
      </c>
      <c r="C5881" s="126" t="s">
        <v>3631</v>
      </c>
      <c r="D5881" s="188" t="s">
        <v>3108</v>
      </c>
      <c r="E5881" s="10" t="str">
        <f>TRIM(VLOOKUP(D5881,TB!$B$9:$C$1500,2,FALSE))</f>
        <v>Promotional Costs</v>
      </c>
      <c r="F5881" s="207" t="s">
        <v>3632</v>
      </c>
      <c r="G5881" s="130"/>
      <c r="H5881" s="10">
        <v>36157667</v>
      </c>
      <c r="I5881" s="10"/>
      <c r="J5881" s="79" t="e">
        <f t="shared" si="347"/>
        <v>#VALUE!</v>
      </c>
      <c r="K5881" s="106"/>
      <c r="L5881" s="481">
        <v>36157667.297142871</v>
      </c>
      <c r="M5881" s="106"/>
      <c r="N5881" s="106"/>
      <c r="O5881" s="108"/>
      <c r="P5881" s="108"/>
      <c r="Q5881" s="108"/>
      <c r="R5881" s="109"/>
      <c r="S5881" s="109"/>
      <c r="T5881" s="108"/>
      <c r="U5881" s="110"/>
      <c r="V5881" s="110"/>
      <c r="W5881" s="110"/>
      <c r="X5881" s="110"/>
    </row>
    <row r="5882" spans="1:24" ht="14.25" customHeight="1">
      <c r="A5882" s="110"/>
      <c r="B5882" s="125">
        <v>46174</v>
      </c>
      <c r="C5882" s="126" t="s">
        <v>3631</v>
      </c>
      <c r="D5882" s="188" t="s">
        <v>3108</v>
      </c>
      <c r="E5882" s="10" t="str">
        <f>TRIM(VLOOKUP(D5882,TB!$B$9:$C$1500,2,FALSE))</f>
        <v>Promotional Costs</v>
      </c>
      <c r="F5882" s="207" t="s">
        <v>3633</v>
      </c>
      <c r="G5882" s="130"/>
      <c r="H5882" s="177">
        <v>5393500</v>
      </c>
      <c r="I5882" s="10"/>
      <c r="J5882" s="79" t="e">
        <f t="shared" si="347"/>
        <v>#VALUE!</v>
      </c>
      <c r="K5882" s="106"/>
      <c r="L5882" s="482"/>
      <c r="M5882" s="106"/>
      <c r="N5882" s="106"/>
      <c r="O5882" s="108"/>
      <c r="P5882" s="108"/>
      <c r="Q5882" s="108"/>
      <c r="R5882" s="109"/>
      <c r="S5882" s="109"/>
      <c r="T5882" s="108"/>
      <c r="U5882" s="110"/>
      <c r="V5882" s="110"/>
      <c r="W5882" s="110"/>
      <c r="X5882" s="110"/>
    </row>
    <row r="5883" spans="1:24" ht="14.25" customHeight="1">
      <c r="A5883" s="110"/>
      <c r="B5883" s="125">
        <v>46174</v>
      </c>
      <c r="C5883" s="126" t="s">
        <v>3631</v>
      </c>
      <c r="D5883" s="68" t="s">
        <v>3613</v>
      </c>
      <c r="E5883" s="10" t="str">
        <f>TRIM(VLOOKUP(D5883,TB!$B$9:$C$1500,2,FALSE))</f>
        <v>COS - Beverage</v>
      </c>
      <c r="F5883" s="142" t="s">
        <v>3634</v>
      </c>
      <c r="G5883" s="130"/>
      <c r="H5883" s="10"/>
      <c r="I5883" s="10">
        <f t="shared" ref="I5883:I5884" si="350">H5881</f>
        <v>36157667</v>
      </c>
      <c r="J5883" s="79" t="e">
        <f t="shared" si="347"/>
        <v>#VALUE!</v>
      </c>
      <c r="K5883" s="106"/>
      <c r="L5883" s="107"/>
      <c r="M5883" s="106"/>
      <c r="N5883" s="106"/>
      <c r="O5883" s="108"/>
      <c r="P5883" s="108"/>
      <c r="Q5883" s="108"/>
      <c r="R5883" s="109"/>
      <c r="S5883" s="109"/>
      <c r="T5883" s="108"/>
      <c r="U5883" s="110"/>
      <c r="V5883" s="110"/>
      <c r="W5883" s="110"/>
      <c r="X5883" s="110"/>
    </row>
    <row r="5884" spans="1:24" ht="14.25" customHeight="1">
      <c r="A5884" s="110"/>
      <c r="B5884" s="125">
        <v>46174</v>
      </c>
      <c r="C5884" s="126" t="s">
        <v>3631</v>
      </c>
      <c r="D5884" s="159" t="s">
        <v>3611</v>
      </c>
      <c r="E5884" s="10" t="str">
        <f>TRIM(VLOOKUP(D5884,TB!$B$9:$C$1500,2,FALSE))</f>
        <v>COS - Food</v>
      </c>
      <c r="F5884" s="142" t="s">
        <v>3635</v>
      </c>
      <c r="G5884" s="130"/>
      <c r="H5884" s="10"/>
      <c r="I5884" s="10">
        <f t="shared" si="350"/>
        <v>5393500</v>
      </c>
      <c r="J5884" s="79" t="e">
        <f t="shared" si="347"/>
        <v>#VALUE!</v>
      </c>
      <c r="K5884" s="106"/>
      <c r="L5884" s="107"/>
      <c r="M5884" s="106"/>
      <c r="N5884" s="106"/>
      <c r="O5884" s="108"/>
      <c r="P5884" s="108"/>
      <c r="Q5884" s="108"/>
      <c r="R5884" s="109"/>
      <c r="S5884" s="109"/>
      <c r="T5884" s="108"/>
      <c r="U5884" s="110"/>
      <c r="V5884" s="110"/>
      <c r="W5884" s="110"/>
      <c r="X5884" s="110"/>
    </row>
    <row r="5885" spans="1:24" ht="14.25" customHeight="1">
      <c r="A5885" s="110"/>
      <c r="B5885" s="125"/>
      <c r="C5885" s="126"/>
      <c r="D5885" s="123"/>
      <c r="E5885" s="10" t="e">
        <f>TRIM(VLOOKUP(D5885,TB!$B$9:$C$1500,2,FALSE))</f>
        <v>#N/A</v>
      </c>
      <c r="F5885" s="142"/>
      <c r="G5885" s="130"/>
      <c r="H5885" s="10"/>
      <c r="I5885" s="10"/>
      <c r="J5885" s="79" t="e">
        <f t="shared" si="347"/>
        <v>#VALUE!</v>
      </c>
      <c r="K5885" s="106"/>
      <c r="L5885" s="107"/>
      <c r="M5885" s="106"/>
      <c r="N5885" s="106"/>
      <c r="O5885" s="108"/>
      <c r="P5885" s="108"/>
      <c r="Q5885" s="108"/>
      <c r="R5885" s="109"/>
      <c r="S5885" s="109"/>
      <c r="T5885" s="108"/>
      <c r="U5885" s="110"/>
      <c r="V5885" s="110"/>
      <c r="W5885" s="110"/>
      <c r="X5885" s="110"/>
    </row>
    <row r="5886" spans="1:24" ht="14.25" customHeight="1">
      <c r="A5886" s="110"/>
      <c r="B5886" s="125">
        <v>46174</v>
      </c>
      <c r="C5886" s="126" t="s">
        <v>3636</v>
      </c>
      <c r="D5886" s="159" t="s">
        <v>3637</v>
      </c>
      <c r="E5886" s="10" t="str">
        <f>TRIM(VLOOKUP(D5886,TB!$B$9:$C$1500,2,FALSE))</f>
        <v>Bonus</v>
      </c>
      <c r="F5886" s="142" t="s">
        <v>3638</v>
      </c>
      <c r="G5886" s="130"/>
      <c r="H5886" s="155">
        <v>372226</v>
      </c>
      <c r="I5886" s="10"/>
      <c r="J5886" s="79" t="e">
        <f t="shared" si="347"/>
        <v>#VALUE!</v>
      </c>
      <c r="K5886" s="106"/>
      <c r="L5886" s="107"/>
      <c r="M5886" s="106"/>
      <c r="N5886" s="106"/>
      <c r="O5886" s="108"/>
      <c r="P5886" s="108"/>
      <c r="Q5886" s="108"/>
      <c r="R5886" s="109"/>
      <c r="S5886" s="109"/>
      <c r="T5886" s="108"/>
      <c r="U5886" s="110"/>
      <c r="V5886" s="110"/>
      <c r="W5886" s="110"/>
      <c r="X5886" s="110"/>
    </row>
    <row r="5887" spans="1:24" ht="14.25" customHeight="1">
      <c r="A5887" s="110"/>
      <c r="B5887" s="125">
        <v>46174</v>
      </c>
      <c r="C5887" s="126" t="s">
        <v>3636</v>
      </c>
      <c r="D5887" s="159" t="s">
        <v>3637</v>
      </c>
      <c r="E5887" s="10" t="str">
        <f>TRIM(VLOOKUP(D5887,TB!$B$9:$C$1500,2,FALSE))</f>
        <v>Bonus</v>
      </c>
      <c r="F5887" s="142" t="s">
        <v>3639</v>
      </c>
      <c r="G5887" s="130"/>
      <c r="H5887" s="155">
        <v>109853</v>
      </c>
      <c r="I5887" s="10"/>
      <c r="J5887" s="79" t="e">
        <f t="shared" si="347"/>
        <v>#VALUE!</v>
      </c>
      <c r="K5887" s="106"/>
      <c r="L5887" s="107"/>
      <c r="M5887" s="106"/>
      <c r="N5887" s="106"/>
      <c r="O5887" s="108"/>
      <c r="P5887" s="108"/>
      <c r="Q5887" s="108"/>
      <c r="R5887" s="109"/>
      <c r="S5887" s="109"/>
      <c r="T5887" s="108"/>
      <c r="U5887" s="110"/>
      <c r="V5887" s="110"/>
      <c r="W5887" s="110"/>
      <c r="X5887" s="110"/>
    </row>
    <row r="5888" spans="1:24" ht="14.25" customHeight="1">
      <c r="A5888" s="110"/>
      <c r="B5888" s="125">
        <v>46174</v>
      </c>
      <c r="C5888" s="126" t="s">
        <v>3636</v>
      </c>
      <c r="D5888" s="159" t="s">
        <v>65</v>
      </c>
      <c r="E5888" s="10" t="str">
        <f>TRIM(VLOOKUP(D5888,TB!$B$9:$C$1500,2,FALSE))</f>
        <v>STARXP</v>
      </c>
      <c r="F5888" s="142" t="s">
        <v>3640</v>
      </c>
      <c r="G5888" s="130"/>
      <c r="H5888" s="10"/>
      <c r="I5888" s="10">
        <v>482079</v>
      </c>
      <c r="J5888" s="79" t="e">
        <f t="shared" si="347"/>
        <v>#VALUE!</v>
      </c>
      <c r="K5888" s="106"/>
      <c r="L5888" s="107"/>
      <c r="M5888" s="106"/>
      <c r="N5888" s="106"/>
      <c r="O5888" s="108"/>
      <c r="P5888" s="108"/>
      <c r="Q5888" s="108"/>
      <c r="R5888" s="109"/>
      <c r="S5888" s="109"/>
      <c r="T5888" s="108"/>
      <c r="U5888" s="110"/>
      <c r="V5888" s="110"/>
      <c r="W5888" s="110"/>
      <c r="X5888" s="110"/>
    </row>
    <row r="5889" spans="1:24" ht="14.25" customHeight="1">
      <c r="A5889" s="110"/>
      <c r="B5889" s="125"/>
      <c r="C5889" s="126"/>
      <c r="D5889" s="159"/>
      <c r="E5889" s="10" t="e">
        <f>TRIM(VLOOKUP(D5889,TB!$B$9:$C$1500,2,FALSE))</f>
        <v>#N/A</v>
      </c>
      <c r="F5889" s="142"/>
      <c r="G5889" s="130"/>
      <c r="H5889" s="10"/>
      <c r="I5889" s="10"/>
      <c r="J5889" s="79" t="e">
        <f t="shared" si="347"/>
        <v>#VALUE!</v>
      </c>
      <c r="K5889" s="106"/>
      <c r="L5889" s="107"/>
      <c r="M5889" s="106"/>
      <c r="N5889" s="106"/>
      <c r="O5889" s="108"/>
      <c r="P5889" s="108"/>
      <c r="Q5889" s="108"/>
      <c r="R5889" s="109"/>
      <c r="S5889" s="109"/>
      <c r="T5889" s="108"/>
      <c r="U5889" s="110"/>
      <c r="V5889" s="110"/>
      <c r="W5889" s="110"/>
      <c r="X5889" s="110"/>
    </row>
    <row r="5890" spans="1:24" ht="14.25" customHeight="1">
      <c r="A5890" s="110"/>
      <c r="B5890" s="125">
        <v>46174</v>
      </c>
      <c r="C5890" s="126" t="s">
        <v>3641</v>
      </c>
      <c r="D5890" s="159" t="s">
        <v>3642</v>
      </c>
      <c r="E5890" s="10" t="str">
        <f>TRIM(VLOOKUP(D5890,TB!$B$9:$C$1500,2,FALSE))</f>
        <v>COS - reward starxp</v>
      </c>
      <c r="F5890" s="142" t="s">
        <v>3643</v>
      </c>
      <c r="G5890" s="130"/>
      <c r="H5890" s="155">
        <v>105350.00000000001</v>
      </c>
      <c r="I5890" s="10"/>
      <c r="J5890" s="79" t="e">
        <f t="shared" si="347"/>
        <v>#VALUE!</v>
      </c>
      <c r="K5890" s="106"/>
      <c r="L5890" s="107"/>
      <c r="M5890" s="106"/>
      <c r="N5890" s="106"/>
      <c r="O5890" s="108"/>
      <c r="P5890" s="108"/>
      <c r="Q5890" s="108"/>
      <c r="R5890" s="109"/>
      <c r="S5890" s="109"/>
      <c r="T5890" s="108"/>
      <c r="U5890" s="110"/>
      <c r="V5890" s="110"/>
      <c r="W5890" s="110"/>
      <c r="X5890" s="110"/>
    </row>
    <row r="5891" spans="1:24" ht="14.25" customHeight="1">
      <c r="A5891" s="110"/>
      <c r="B5891" s="125">
        <v>46174</v>
      </c>
      <c r="C5891" s="126" t="s">
        <v>3641</v>
      </c>
      <c r="D5891" s="159" t="s">
        <v>65</v>
      </c>
      <c r="E5891" s="10" t="str">
        <f>TRIM(VLOOKUP(D5891,TB!$B$9:$C$1500,2,FALSE))</f>
        <v>STARXP</v>
      </c>
      <c r="F5891" s="142" t="s">
        <v>3643</v>
      </c>
      <c r="G5891" s="130"/>
      <c r="H5891" s="155"/>
      <c r="I5891" s="155">
        <v>105350.00000000001</v>
      </c>
      <c r="J5891" s="79" t="e">
        <f t="shared" ref="J5891:J6119" si="351">J5890+H5891-I5891</f>
        <v>#VALUE!</v>
      </c>
      <c r="K5891" s="106"/>
      <c r="L5891" s="107"/>
      <c r="M5891" s="106"/>
      <c r="N5891" s="106"/>
      <c r="O5891" s="108"/>
      <c r="P5891" s="108"/>
      <c r="Q5891" s="108"/>
      <c r="R5891" s="109"/>
      <c r="S5891" s="109"/>
      <c r="T5891" s="108"/>
      <c r="U5891" s="110"/>
      <c r="V5891" s="110"/>
      <c r="W5891" s="110"/>
      <c r="X5891" s="110"/>
    </row>
    <row r="5892" spans="1:24" ht="14.25" customHeight="1">
      <c r="A5892" s="110"/>
      <c r="B5892" s="125"/>
      <c r="C5892" s="126"/>
      <c r="D5892" s="159"/>
      <c r="E5892" s="10" t="e">
        <f>TRIM(VLOOKUP(D5892,TB!$B$9:$C$1500,2,FALSE))</f>
        <v>#N/A</v>
      </c>
      <c r="F5892" s="142"/>
      <c r="G5892" s="130"/>
      <c r="H5892" s="10"/>
      <c r="I5892" s="10"/>
      <c r="J5892" s="79" t="e">
        <f t="shared" si="351"/>
        <v>#VALUE!</v>
      </c>
      <c r="K5892" s="106"/>
      <c r="L5892" s="107"/>
      <c r="M5892" s="106"/>
      <c r="N5892" s="106"/>
      <c r="O5892" s="108"/>
      <c r="P5892" s="108"/>
      <c r="Q5892" s="108"/>
      <c r="R5892" s="109"/>
      <c r="S5892" s="109"/>
      <c r="T5892" s="108"/>
      <c r="U5892" s="110"/>
      <c r="V5892" s="110"/>
      <c r="W5892" s="110"/>
      <c r="X5892" s="110"/>
    </row>
    <row r="5893" spans="1:24" ht="14.25" customHeight="1">
      <c r="A5893" s="110"/>
      <c r="B5893" s="125">
        <v>46174</v>
      </c>
      <c r="C5893" s="126" t="s">
        <v>3644</v>
      </c>
      <c r="D5893" s="159" t="s">
        <v>815</v>
      </c>
      <c r="E5893" s="10" t="str">
        <f>TRIM(VLOOKUP(D5893,TB!$B$9:$C$1500,2,FALSE))</f>
        <v>Other staff expenses</v>
      </c>
      <c r="F5893" s="142" t="s">
        <v>3645</v>
      </c>
      <c r="G5893" s="130"/>
      <c r="H5893" s="211">
        <f>632148.44</f>
        <v>632148.43999999994</v>
      </c>
      <c r="I5893" s="10"/>
      <c r="J5893" s="79" t="e">
        <f t="shared" si="351"/>
        <v>#VALUE!</v>
      </c>
      <c r="K5893" s="106"/>
      <c r="L5893" s="107"/>
      <c r="M5893" s="106"/>
      <c r="N5893" s="106"/>
      <c r="O5893" s="108"/>
      <c r="P5893" s="108"/>
      <c r="Q5893" s="108"/>
      <c r="R5893" s="109"/>
      <c r="S5893" s="109"/>
      <c r="T5893" s="108"/>
      <c r="U5893" s="110"/>
      <c r="V5893" s="110"/>
      <c r="W5893" s="110"/>
      <c r="X5893" s="110"/>
    </row>
    <row r="5894" spans="1:24" ht="14.25" customHeight="1">
      <c r="A5894" s="110"/>
      <c r="B5894" s="125">
        <v>46174</v>
      </c>
      <c r="C5894" s="126" t="s">
        <v>3644</v>
      </c>
      <c r="D5894" s="159" t="s">
        <v>812</v>
      </c>
      <c r="E5894" s="10" t="str">
        <f>TRIM(VLOOKUP(D5894,TB!$B$9:$C$1500,2,FALSE))</f>
        <v>PPh Ps 21</v>
      </c>
      <c r="F5894" s="142" t="s">
        <v>3645</v>
      </c>
      <c r="G5894" s="130"/>
      <c r="H5894" s="10"/>
      <c r="I5894" s="211">
        <f>H5893</f>
        <v>632148.43999999994</v>
      </c>
      <c r="J5894" s="79" t="e">
        <f t="shared" si="351"/>
        <v>#VALUE!</v>
      </c>
      <c r="K5894" s="106"/>
      <c r="L5894" s="107"/>
      <c r="M5894" s="106"/>
      <c r="N5894" s="106"/>
      <c r="O5894" s="108"/>
      <c r="P5894" s="108"/>
      <c r="Q5894" s="108"/>
      <c r="R5894" s="109"/>
      <c r="S5894" s="109"/>
      <c r="T5894" s="108"/>
      <c r="U5894" s="110"/>
      <c r="V5894" s="110"/>
      <c r="W5894" s="110"/>
      <c r="X5894" s="110"/>
    </row>
    <row r="5895" spans="1:24" ht="14.25" customHeight="1">
      <c r="A5895" s="110"/>
      <c r="B5895" s="125"/>
      <c r="C5895" s="126"/>
      <c r="D5895" s="159"/>
      <c r="E5895" s="10" t="e">
        <f>TRIM(VLOOKUP(D5895,TB!$B$9:$C$1500,2,FALSE))</f>
        <v>#N/A</v>
      </c>
      <c r="F5895" s="142"/>
      <c r="G5895" s="130"/>
      <c r="H5895" s="10"/>
      <c r="I5895" s="10"/>
      <c r="J5895" s="79" t="e">
        <f t="shared" si="351"/>
        <v>#VALUE!</v>
      </c>
      <c r="K5895" s="106"/>
      <c r="L5895" s="107"/>
      <c r="M5895" s="106"/>
      <c r="N5895" s="106"/>
      <c r="O5895" s="108"/>
      <c r="P5895" s="108"/>
      <c r="Q5895" s="108"/>
      <c r="R5895" s="109"/>
      <c r="S5895" s="109"/>
      <c r="T5895" s="108"/>
      <c r="U5895" s="110"/>
      <c r="V5895" s="110"/>
      <c r="W5895" s="110"/>
      <c r="X5895" s="110"/>
    </row>
    <row r="5896" spans="1:24" ht="14.25" customHeight="1">
      <c r="A5896" s="110"/>
      <c r="B5896" s="125">
        <v>46174</v>
      </c>
      <c r="C5896" s="126" t="s">
        <v>3646</v>
      </c>
      <c r="D5896" s="159" t="s">
        <v>3647</v>
      </c>
      <c r="E5896" s="10" t="s">
        <v>3648</v>
      </c>
      <c r="F5896" s="142" t="s">
        <v>3649</v>
      </c>
      <c r="G5896" s="130"/>
      <c r="H5896" s="10">
        <f>I5898-H5897</f>
        <v>25670334</v>
      </c>
      <c r="I5896" s="10"/>
      <c r="J5896" s="79" t="e">
        <f t="shared" si="351"/>
        <v>#VALUE!</v>
      </c>
      <c r="K5896" s="106"/>
      <c r="L5896" s="107"/>
      <c r="M5896" s="106"/>
      <c r="N5896" s="106"/>
      <c r="O5896" s="108"/>
      <c r="P5896" s="108"/>
      <c r="Q5896" s="108"/>
      <c r="R5896" s="109"/>
      <c r="S5896" s="109"/>
      <c r="T5896" s="108"/>
      <c r="U5896" s="110"/>
      <c r="V5896" s="110"/>
      <c r="W5896" s="110"/>
      <c r="X5896" s="110"/>
    </row>
    <row r="5897" spans="1:24" ht="14.25" customHeight="1">
      <c r="A5897" s="110"/>
      <c r="B5897" s="125">
        <v>46174</v>
      </c>
      <c r="C5897" s="126" t="s">
        <v>3646</v>
      </c>
      <c r="D5897" s="159" t="s">
        <v>1213</v>
      </c>
      <c r="E5897" s="10" t="s">
        <v>1544</v>
      </c>
      <c r="F5897" s="142" t="s">
        <v>3650</v>
      </c>
      <c r="G5897" s="130"/>
      <c r="H5897" s="10">
        <v>12509954</v>
      </c>
      <c r="I5897" s="10"/>
      <c r="J5897" s="79" t="e">
        <f t="shared" si="351"/>
        <v>#VALUE!</v>
      </c>
      <c r="K5897" s="106"/>
      <c r="L5897" s="107"/>
      <c r="M5897" s="106"/>
      <c r="N5897" s="106"/>
      <c r="O5897" s="108"/>
      <c r="P5897" s="108"/>
      <c r="Q5897" s="108"/>
      <c r="R5897" s="109"/>
      <c r="S5897" s="109"/>
      <c r="T5897" s="108"/>
      <c r="U5897" s="110"/>
      <c r="V5897" s="110"/>
      <c r="W5897" s="110"/>
      <c r="X5897" s="110"/>
    </row>
    <row r="5898" spans="1:24" ht="14.25" customHeight="1">
      <c r="A5898" s="110"/>
      <c r="B5898" s="125">
        <v>46174</v>
      </c>
      <c r="C5898" s="126" t="s">
        <v>3646</v>
      </c>
      <c r="D5898" s="159" t="s">
        <v>1213</v>
      </c>
      <c r="E5898" s="10" t="s">
        <v>1544</v>
      </c>
      <c r="F5898" s="142" t="s">
        <v>3651</v>
      </c>
      <c r="G5898" s="130"/>
      <c r="H5898" s="10"/>
      <c r="I5898" s="10">
        <v>38180288</v>
      </c>
      <c r="J5898" s="79" t="e">
        <f t="shared" si="351"/>
        <v>#VALUE!</v>
      </c>
      <c r="K5898" s="106"/>
      <c r="L5898" s="107"/>
      <c r="M5898" s="106"/>
      <c r="N5898" s="106"/>
      <c r="O5898" s="108"/>
      <c r="P5898" s="108"/>
      <c r="Q5898" s="108"/>
      <c r="R5898" s="109"/>
      <c r="S5898" s="109"/>
      <c r="T5898" s="108"/>
      <c r="U5898" s="110"/>
      <c r="V5898" s="110"/>
      <c r="W5898" s="110"/>
      <c r="X5898" s="110"/>
    </row>
    <row r="5899" spans="1:24" ht="14.25" customHeight="1">
      <c r="A5899" s="110"/>
      <c r="B5899" s="125"/>
      <c r="C5899" s="126"/>
      <c r="D5899" s="159"/>
      <c r="E5899" s="10" t="e">
        <v>#N/A</v>
      </c>
      <c r="F5899" s="142"/>
      <c r="G5899" s="130"/>
      <c r="H5899" s="10"/>
      <c r="I5899" s="10"/>
      <c r="J5899" s="79" t="e">
        <f t="shared" si="351"/>
        <v>#VALUE!</v>
      </c>
      <c r="K5899" s="106"/>
      <c r="L5899" s="107"/>
      <c r="M5899" s="106"/>
      <c r="N5899" s="106"/>
      <c r="O5899" s="108"/>
      <c r="P5899" s="108"/>
      <c r="Q5899" s="108"/>
      <c r="R5899" s="109"/>
      <c r="S5899" s="109"/>
      <c r="T5899" s="108"/>
      <c r="U5899" s="110"/>
      <c r="V5899" s="110"/>
      <c r="W5899" s="110"/>
      <c r="X5899" s="110"/>
    </row>
    <row r="5900" spans="1:24" ht="14.25" customHeight="1">
      <c r="A5900" s="110"/>
      <c r="B5900" s="125">
        <v>46174</v>
      </c>
      <c r="C5900" s="126" t="s">
        <v>3652</v>
      </c>
      <c r="D5900" s="159" t="s">
        <v>3653</v>
      </c>
      <c r="E5900" s="10" t="s">
        <v>3654</v>
      </c>
      <c r="F5900" s="142" t="s">
        <v>3655</v>
      </c>
      <c r="G5900" s="130"/>
      <c r="H5900" s="10">
        <v>2000000</v>
      </c>
      <c r="I5900" s="10"/>
      <c r="J5900" s="79" t="e">
        <f t="shared" si="351"/>
        <v>#VALUE!</v>
      </c>
      <c r="K5900" s="106"/>
      <c r="L5900" s="107"/>
      <c r="M5900" s="106"/>
      <c r="N5900" s="106"/>
      <c r="O5900" s="108"/>
      <c r="P5900" s="108"/>
      <c r="Q5900" s="108"/>
      <c r="R5900" s="109"/>
      <c r="S5900" s="109"/>
      <c r="T5900" s="108"/>
      <c r="U5900" s="110"/>
      <c r="V5900" s="110"/>
      <c r="W5900" s="110"/>
      <c r="X5900" s="110"/>
    </row>
    <row r="5901" spans="1:24" ht="14.25" customHeight="1">
      <c r="A5901" s="110"/>
      <c r="B5901" s="125">
        <v>46174</v>
      </c>
      <c r="C5901" s="126" t="s">
        <v>3652</v>
      </c>
      <c r="D5901" s="159" t="s">
        <v>175</v>
      </c>
      <c r="E5901" s="10" t="s">
        <v>3656</v>
      </c>
      <c r="F5901" s="142" t="s">
        <v>3657</v>
      </c>
      <c r="G5901" s="130"/>
      <c r="H5901" s="10">
        <v>2000000</v>
      </c>
      <c r="I5901" s="10"/>
      <c r="J5901" s="79" t="e">
        <f t="shared" si="351"/>
        <v>#VALUE!</v>
      </c>
      <c r="K5901" s="106"/>
      <c r="L5901" s="107"/>
      <c r="M5901" s="106"/>
      <c r="N5901" s="106"/>
      <c r="O5901" s="108"/>
      <c r="P5901" s="108"/>
      <c r="Q5901" s="108"/>
      <c r="R5901" s="109"/>
      <c r="S5901" s="109"/>
      <c r="T5901" s="108"/>
      <c r="U5901" s="110"/>
      <c r="V5901" s="110"/>
      <c r="W5901" s="110"/>
      <c r="X5901" s="110"/>
    </row>
    <row r="5902" spans="1:24" ht="14.25" customHeight="1">
      <c r="A5902" s="110"/>
      <c r="B5902" s="125">
        <v>46174</v>
      </c>
      <c r="C5902" s="126" t="s">
        <v>3652</v>
      </c>
      <c r="D5902" s="159" t="s">
        <v>175</v>
      </c>
      <c r="E5902" s="10" t="s">
        <v>3656</v>
      </c>
      <c r="F5902" s="142" t="s">
        <v>3658</v>
      </c>
      <c r="G5902" s="130"/>
      <c r="H5902" s="10">
        <v>2000000</v>
      </c>
      <c r="I5902" s="10"/>
      <c r="J5902" s="79" t="e">
        <f t="shared" si="351"/>
        <v>#VALUE!</v>
      </c>
      <c r="K5902" s="106"/>
      <c r="L5902" s="107"/>
      <c r="M5902" s="106"/>
      <c r="N5902" s="106"/>
      <c r="O5902" s="108"/>
      <c r="P5902" s="108"/>
      <c r="Q5902" s="108"/>
      <c r="R5902" s="109"/>
      <c r="S5902" s="109"/>
      <c r="T5902" s="108"/>
      <c r="U5902" s="110"/>
      <c r="V5902" s="110"/>
      <c r="W5902" s="110"/>
      <c r="X5902" s="110"/>
    </row>
    <row r="5903" spans="1:24" ht="14.25" customHeight="1">
      <c r="A5903" s="110"/>
      <c r="B5903" s="125">
        <v>46174</v>
      </c>
      <c r="C5903" s="126" t="s">
        <v>3652</v>
      </c>
      <c r="D5903" s="159" t="s">
        <v>140</v>
      </c>
      <c r="E5903" s="10" t="s">
        <v>3659</v>
      </c>
      <c r="F5903" s="142" t="s">
        <v>3660</v>
      </c>
      <c r="G5903" s="130"/>
      <c r="H5903" s="10"/>
      <c r="I5903" s="10">
        <v>6000000</v>
      </c>
      <c r="J5903" s="79" t="e">
        <f t="shared" si="351"/>
        <v>#VALUE!</v>
      </c>
      <c r="K5903" s="106"/>
      <c r="L5903" s="107"/>
      <c r="M5903" s="106"/>
      <c r="N5903" s="106"/>
      <c r="O5903" s="108"/>
      <c r="P5903" s="108"/>
      <c r="Q5903" s="108"/>
      <c r="R5903" s="109"/>
      <c r="S5903" s="109"/>
      <c r="T5903" s="108"/>
      <c r="U5903" s="110"/>
      <c r="V5903" s="110"/>
      <c r="W5903" s="110"/>
      <c r="X5903" s="110"/>
    </row>
    <row r="5904" spans="1:24" ht="14.25" customHeight="1">
      <c r="A5904" s="110"/>
      <c r="B5904" s="125"/>
      <c r="C5904" s="126"/>
      <c r="D5904" s="159"/>
      <c r="E5904" s="10" t="e">
        <v>#N/A</v>
      </c>
      <c r="F5904" s="142"/>
      <c r="G5904" s="130"/>
      <c r="H5904" s="10"/>
      <c r="I5904" s="10"/>
      <c r="J5904" s="79" t="e">
        <f t="shared" si="351"/>
        <v>#VALUE!</v>
      </c>
      <c r="K5904" s="106"/>
      <c r="L5904" s="107"/>
      <c r="M5904" s="106"/>
      <c r="N5904" s="106"/>
      <c r="O5904" s="108"/>
      <c r="P5904" s="108"/>
      <c r="Q5904" s="108"/>
      <c r="R5904" s="109"/>
      <c r="S5904" s="109"/>
      <c r="T5904" s="108"/>
      <c r="U5904" s="110"/>
      <c r="V5904" s="110"/>
      <c r="W5904" s="110"/>
      <c r="X5904" s="110"/>
    </row>
    <row r="5905" spans="1:24" ht="14.25" customHeight="1">
      <c r="A5905" s="110"/>
      <c r="B5905" s="125">
        <v>46174</v>
      </c>
      <c r="C5905" s="126" t="s">
        <v>3661</v>
      </c>
      <c r="D5905" s="159" t="s">
        <v>3662</v>
      </c>
      <c r="E5905" s="10" t="s">
        <v>3663</v>
      </c>
      <c r="F5905" s="142" t="s">
        <v>3664</v>
      </c>
      <c r="G5905" s="130"/>
      <c r="H5905" s="10">
        <v>15000000</v>
      </c>
      <c r="I5905" s="10"/>
      <c r="J5905" s="79" t="e">
        <f t="shared" si="351"/>
        <v>#VALUE!</v>
      </c>
      <c r="K5905" s="106"/>
      <c r="L5905" s="107"/>
      <c r="M5905" s="106"/>
      <c r="N5905" s="106"/>
      <c r="O5905" s="108"/>
      <c r="P5905" s="108"/>
      <c r="Q5905" s="108"/>
      <c r="R5905" s="109"/>
      <c r="S5905" s="109"/>
      <c r="T5905" s="108"/>
      <c r="U5905" s="110"/>
      <c r="V5905" s="110"/>
      <c r="W5905" s="110"/>
      <c r="X5905" s="110"/>
    </row>
    <row r="5906" spans="1:24" ht="14.25" customHeight="1">
      <c r="A5906" s="110"/>
      <c r="B5906" s="125">
        <v>46174</v>
      </c>
      <c r="C5906" s="126" t="s">
        <v>3661</v>
      </c>
      <c r="D5906" s="159" t="s">
        <v>175</v>
      </c>
      <c r="E5906" s="10" t="s">
        <v>3656</v>
      </c>
      <c r="F5906" s="142" t="s">
        <v>3664</v>
      </c>
      <c r="G5906" s="130"/>
      <c r="H5906" s="10"/>
      <c r="I5906" s="10">
        <v>15000000</v>
      </c>
      <c r="J5906" s="79" t="e">
        <f t="shared" si="351"/>
        <v>#VALUE!</v>
      </c>
      <c r="K5906" s="106"/>
      <c r="L5906" s="107"/>
      <c r="M5906" s="106"/>
      <c r="N5906" s="106"/>
      <c r="O5906" s="108"/>
      <c r="P5906" s="108"/>
      <c r="Q5906" s="108"/>
      <c r="R5906" s="109"/>
      <c r="S5906" s="109"/>
      <c r="T5906" s="108"/>
      <c r="U5906" s="110"/>
      <c r="V5906" s="110"/>
      <c r="W5906" s="110"/>
      <c r="X5906" s="110"/>
    </row>
    <row r="5907" spans="1:24" ht="14.25" customHeight="1">
      <c r="A5907" s="110"/>
      <c r="B5907" s="125"/>
      <c r="C5907" s="126"/>
      <c r="D5907" s="159"/>
      <c r="E5907" s="10" t="e">
        <v>#N/A</v>
      </c>
      <c r="F5907" s="142"/>
      <c r="G5907" s="130"/>
      <c r="H5907" s="10"/>
      <c r="I5907" s="10"/>
      <c r="J5907" s="79" t="e">
        <f t="shared" si="351"/>
        <v>#VALUE!</v>
      </c>
      <c r="K5907" s="106"/>
      <c r="L5907" s="107"/>
      <c r="M5907" s="106"/>
      <c r="N5907" s="106"/>
      <c r="O5907" s="108"/>
      <c r="P5907" s="108"/>
      <c r="Q5907" s="108"/>
      <c r="R5907" s="109"/>
      <c r="S5907" s="109"/>
      <c r="T5907" s="108"/>
      <c r="U5907" s="110"/>
      <c r="V5907" s="110"/>
      <c r="W5907" s="110"/>
      <c r="X5907" s="110"/>
    </row>
    <row r="5908" spans="1:24" ht="14.25" customHeight="1">
      <c r="A5908" s="110"/>
      <c r="B5908" s="125">
        <v>46174</v>
      </c>
      <c r="C5908" s="126" t="s">
        <v>3665</v>
      </c>
      <c r="D5908" s="159" t="s">
        <v>3662</v>
      </c>
      <c r="E5908" s="10" t="s">
        <v>3663</v>
      </c>
      <c r="F5908" s="142" t="s">
        <v>3666</v>
      </c>
      <c r="G5908" s="130"/>
      <c r="H5908" s="10">
        <v>3000000</v>
      </c>
      <c r="I5908" s="10"/>
      <c r="J5908" s="79" t="e">
        <f t="shared" si="351"/>
        <v>#VALUE!</v>
      </c>
      <c r="K5908" s="106"/>
      <c r="L5908" s="107"/>
      <c r="M5908" s="106"/>
      <c r="N5908" s="106"/>
      <c r="O5908" s="108"/>
      <c r="P5908" s="108"/>
      <c r="Q5908" s="108"/>
      <c r="R5908" s="109"/>
      <c r="S5908" s="109"/>
      <c r="T5908" s="108"/>
      <c r="U5908" s="110"/>
      <c r="V5908" s="110"/>
      <c r="W5908" s="110"/>
      <c r="X5908" s="110"/>
    </row>
    <row r="5909" spans="1:24" ht="14.25" customHeight="1">
      <c r="A5909" s="110"/>
      <c r="B5909" s="125">
        <v>46174</v>
      </c>
      <c r="C5909" s="126" t="s">
        <v>3665</v>
      </c>
      <c r="D5909" s="159" t="s">
        <v>1729</v>
      </c>
      <c r="E5909" s="10" t="s">
        <v>3667</v>
      </c>
      <c r="F5909" s="142" t="s">
        <v>3666</v>
      </c>
      <c r="G5909" s="130"/>
      <c r="H5909" s="10"/>
      <c r="I5909" s="10">
        <v>3000000</v>
      </c>
      <c r="J5909" s="79" t="e">
        <f t="shared" si="351"/>
        <v>#VALUE!</v>
      </c>
      <c r="K5909" s="106"/>
      <c r="L5909" s="107"/>
      <c r="M5909" s="106"/>
      <c r="N5909" s="106"/>
      <c r="O5909" s="108"/>
      <c r="P5909" s="108"/>
      <c r="Q5909" s="108"/>
      <c r="R5909" s="109"/>
      <c r="S5909" s="109"/>
      <c r="T5909" s="108"/>
      <c r="U5909" s="110"/>
      <c r="V5909" s="110"/>
      <c r="W5909" s="110"/>
      <c r="X5909" s="110"/>
    </row>
    <row r="5910" spans="1:24" ht="14.25" customHeight="1">
      <c r="A5910" s="110"/>
      <c r="B5910" s="125"/>
      <c r="C5910" s="126"/>
      <c r="D5910" s="159"/>
      <c r="E5910" s="10" t="e">
        <v>#N/A</v>
      </c>
      <c r="F5910" s="142"/>
      <c r="G5910" s="130"/>
      <c r="H5910" s="10"/>
      <c r="I5910" s="10"/>
      <c r="J5910" s="79" t="e">
        <f t="shared" si="351"/>
        <v>#VALUE!</v>
      </c>
      <c r="K5910" s="106"/>
      <c r="L5910" s="107"/>
      <c r="M5910" s="106"/>
      <c r="N5910" s="106"/>
      <c r="O5910" s="108"/>
      <c r="P5910" s="108"/>
      <c r="Q5910" s="108"/>
      <c r="R5910" s="109"/>
      <c r="S5910" s="109"/>
      <c r="T5910" s="108"/>
      <c r="U5910" s="110"/>
      <c r="V5910" s="110"/>
      <c r="W5910" s="110"/>
      <c r="X5910" s="110"/>
    </row>
    <row r="5911" spans="1:24" ht="14.25" customHeight="1">
      <c r="A5911" s="110"/>
      <c r="B5911" s="125">
        <v>46174</v>
      </c>
      <c r="C5911" s="126" t="s">
        <v>3668</v>
      </c>
      <c r="D5911" s="159" t="s">
        <v>188</v>
      </c>
      <c r="E5911" s="10" t="s">
        <v>3669</v>
      </c>
      <c r="F5911" s="142" t="s">
        <v>3670</v>
      </c>
      <c r="G5911" s="130"/>
      <c r="H5911" s="10">
        <v>79167</v>
      </c>
      <c r="I5911" s="10"/>
      <c r="J5911" s="79" t="e">
        <f t="shared" si="351"/>
        <v>#VALUE!</v>
      </c>
      <c r="K5911" s="106"/>
      <c r="L5911" s="107"/>
      <c r="M5911" s="106"/>
      <c r="N5911" s="106"/>
      <c r="O5911" s="108"/>
      <c r="P5911" s="108"/>
      <c r="Q5911" s="108"/>
      <c r="R5911" s="109"/>
      <c r="S5911" s="109"/>
      <c r="T5911" s="108"/>
      <c r="U5911" s="110"/>
      <c r="V5911" s="110"/>
      <c r="W5911" s="110"/>
      <c r="X5911" s="110"/>
    </row>
    <row r="5912" spans="1:24" ht="14.25" customHeight="1">
      <c r="A5912" s="110"/>
      <c r="B5912" s="125">
        <v>46174</v>
      </c>
      <c r="C5912" s="126" t="s">
        <v>3668</v>
      </c>
      <c r="D5912" s="159" t="s">
        <v>140</v>
      </c>
      <c r="E5912" s="10" t="s">
        <v>3659</v>
      </c>
      <c r="F5912" s="142" t="s">
        <v>3670</v>
      </c>
      <c r="G5912" s="130"/>
      <c r="H5912" s="10"/>
      <c r="I5912" s="10">
        <v>79167</v>
      </c>
      <c r="J5912" s="79" t="e">
        <f t="shared" si="351"/>
        <v>#VALUE!</v>
      </c>
      <c r="K5912" s="106"/>
      <c r="L5912" s="107"/>
      <c r="M5912" s="106"/>
      <c r="N5912" s="106"/>
      <c r="O5912" s="108"/>
      <c r="P5912" s="108"/>
      <c r="Q5912" s="108"/>
      <c r="R5912" s="109"/>
      <c r="S5912" s="109"/>
      <c r="T5912" s="108"/>
      <c r="U5912" s="110"/>
      <c r="V5912" s="110"/>
      <c r="W5912" s="110"/>
      <c r="X5912" s="110"/>
    </row>
    <row r="5913" spans="1:24" ht="14.25" customHeight="1">
      <c r="A5913" s="110"/>
      <c r="B5913" s="125"/>
      <c r="C5913" s="126"/>
      <c r="D5913" s="159"/>
      <c r="E5913" s="10" t="e">
        <v>#N/A</v>
      </c>
      <c r="F5913" s="142"/>
      <c r="G5913" s="130"/>
      <c r="H5913" s="10"/>
      <c r="I5913" s="10"/>
      <c r="J5913" s="79" t="e">
        <f t="shared" si="351"/>
        <v>#VALUE!</v>
      </c>
      <c r="K5913" s="106"/>
      <c r="L5913" s="107"/>
      <c r="M5913" s="106"/>
      <c r="N5913" s="106"/>
      <c r="O5913" s="108"/>
      <c r="P5913" s="108"/>
      <c r="Q5913" s="108"/>
      <c r="R5913" s="109"/>
      <c r="S5913" s="109"/>
      <c r="T5913" s="108"/>
      <c r="U5913" s="110"/>
      <c r="V5913" s="110"/>
      <c r="W5913" s="110"/>
      <c r="X5913" s="110"/>
    </row>
    <row r="5914" spans="1:24" ht="14.25" customHeight="1">
      <c r="A5914" s="110"/>
      <c r="B5914" s="125">
        <v>46174</v>
      </c>
      <c r="C5914" s="126" t="s">
        <v>3671</v>
      </c>
      <c r="D5914" s="159" t="s">
        <v>1404</v>
      </c>
      <c r="E5914" s="10" t="s">
        <v>3672</v>
      </c>
      <c r="F5914" s="142" t="s">
        <v>3673</v>
      </c>
      <c r="G5914" s="130"/>
      <c r="H5914" s="10">
        <v>110075</v>
      </c>
      <c r="I5914" s="10"/>
      <c r="J5914" s="79" t="e">
        <f t="shared" si="351"/>
        <v>#VALUE!</v>
      </c>
      <c r="K5914" s="106"/>
      <c r="L5914" s="107"/>
      <c r="M5914" s="106"/>
      <c r="N5914" s="106"/>
      <c r="O5914" s="108"/>
      <c r="P5914" s="108"/>
      <c r="Q5914" s="108"/>
      <c r="R5914" s="109"/>
      <c r="S5914" s="109"/>
      <c r="T5914" s="108"/>
      <c r="U5914" s="110"/>
      <c r="V5914" s="110"/>
      <c r="W5914" s="110"/>
      <c r="X5914" s="110"/>
    </row>
    <row r="5915" spans="1:24" ht="14.25" customHeight="1">
      <c r="A5915" s="110"/>
      <c r="B5915" s="125">
        <v>46174</v>
      </c>
      <c r="C5915" s="126" t="s">
        <v>3671</v>
      </c>
      <c r="D5915" s="159" t="s">
        <v>140</v>
      </c>
      <c r="E5915" s="10" t="s">
        <v>3659</v>
      </c>
      <c r="F5915" s="142" t="s">
        <v>3673</v>
      </c>
      <c r="G5915" s="130"/>
      <c r="H5915" s="10"/>
      <c r="I5915" s="10">
        <v>110075</v>
      </c>
      <c r="J5915" s="79" t="e">
        <f t="shared" si="351"/>
        <v>#VALUE!</v>
      </c>
      <c r="K5915" s="106"/>
      <c r="L5915" s="107"/>
      <c r="M5915" s="106"/>
      <c r="N5915" s="106"/>
      <c r="O5915" s="108"/>
      <c r="P5915" s="108"/>
      <c r="Q5915" s="108"/>
      <c r="R5915" s="109"/>
      <c r="S5915" s="109"/>
      <c r="T5915" s="108"/>
      <c r="U5915" s="110"/>
      <c r="V5915" s="110"/>
      <c r="W5915" s="110"/>
      <c r="X5915" s="110"/>
    </row>
    <row r="5916" spans="1:24" ht="14.25" customHeight="1">
      <c r="A5916" s="110"/>
      <c r="B5916" s="125"/>
      <c r="C5916" s="126"/>
      <c r="D5916" s="159"/>
      <c r="E5916" s="10" t="e">
        <v>#N/A</v>
      </c>
      <c r="F5916" s="142"/>
      <c r="G5916" s="130"/>
      <c r="H5916" s="10"/>
      <c r="I5916" s="10"/>
      <c r="J5916" s="79" t="e">
        <f t="shared" si="351"/>
        <v>#VALUE!</v>
      </c>
      <c r="K5916" s="106"/>
      <c r="L5916" s="107"/>
      <c r="M5916" s="106"/>
      <c r="N5916" s="106"/>
      <c r="O5916" s="108"/>
      <c r="P5916" s="108"/>
      <c r="Q5916" s="108"/>
      <c r="R5916" s="109"/>
      <c r="S5916" s="109"/>
      <c r="T5916" s="108"/>
      <c r="U5916" s="110"/>
      <c r="V5916" s="110"/>
      <c r="W5916" s="110"/>
      <c r="X5916" s="110"/>
    </row>
    <row r="5917" spans="1:24" ht="14.25" customHeight="1">
      <c r="A5917" s="110"/>
      <c r="B5917" s="125">
        <v>46174</v>
      </c>
      <c r="C5917" s="126" t="s">
        <v>3674</v>
      </c>
      <c r="D5917" s="159" t="s">
        <v>188</v>
      </c>
      <c r="E5917" s="10" t="s">
        <v>3669</v>
      </c>
      <c r="F5917" s="142" t="s">
        <v>3675</v>
      </c>
      <c r="G5917" s="130"/>
      <c r="H5917" s="10">
        <v>88766</v>
      </c>
      <c r="I5917" s="10"/>
      <c r="J5917" s="79" t="e">
        <f t="shared" si="351"/>
        <v>#VALUE!</v>
      </c>
      <c r="K5917" s="106"/>
      <c r="L5917" s="107"/>
      <c r="M5917" s="106"/>
      <c r="N5917" s="106"/>
      <c r="O5917" s="108"/>
      <c r="P5917" s="108"/>
      <c r="Q5917" s="108"/>
      <c r="R5917" s="109"/>
      <c r="S5917" s="109"/>
      <c r="T5917" s="108"/>
      <c r="U5917" s="110"/>
      <c r="V5917" s="110"/>
      <c r="W5917" s="110"/>
      <c r="X5917" s="110"/>
    </row>
    <row r="5918" spans="1:24" ht="14.25" customHeight="1">
      <c r="A5918" s="110"/>
      <c r="B5918" s="125">
        <v>46174</v>
      </c>
      <c r="C5918" s="126" t="s">
        <v>3674</v>
      </c>
      <c r="D5918" s="159" t="s">
        <v>140</v>
      </c>
      <c r="E5918" s="10" t="s">
        <v>3659</v>
      </c>
      <c r="F5918" s="142" t="s">
        <v>3675</v>
      </c>
      <c r="G5918" s="130"/>
      <c r="H5918" s="10"/>
      <c r="I5918" s="10">
        <v>88766</v>
      </c>
      <c r="J5918" s="79" t="e">
        <f t="shared" si="351"/>
        <v>#VALUE!</v>
      </c>
      <c r="K5918" s="106"/>
      <c r="L5918" s="107"/>
      <c r="M5918" s="106"/>
      <c r="N5918" s="106"/>
      <c r="O5918" s="108"/>
      <c r="P5918" s="108"/>
      <c r="Q5918" s="108"/>
      <c r="R5918" s="109"/>
      <c r="S5918" s="109"/>
      <c r="T5918" s="108"/>
      <c r="U5918" s="110"/>
      <c r="V5918" s="110"/>
      <c r="W5918" s="110"/>
      <c r="X5918" s="110"/>
    </row>
    <row r="5919" spans="1:24" ht="14.25" customHeight="1">
      <c r="A5919" s="110"/>
      <c r="B5919" s="125"/>
      <c r="C5919" s="126"/>
      <c r="D5919" s="159"/>
      <c r="E5919" s="10" t="e">
        <v>#N/A</v>
      </c>
      <c r="F5919" s="142"/>
      <c r="G5919" s="130"/>
      <c r="H5919" s="10"/>
      <c r="I5919" s="10"/>
      <c r="J5919" s="79" t="e">
        <f t="shared" si="351"/>
        <v>#VALUE!</v>
      </c>
      <c r="K5919" s="106"/>
      <c r="L5919" s="107"/>
      <c r="M5919" s="106"/>
      <c r="N5919" s="106"/>
      <c r="O5919" s="108"/>
      <c r="P5919" s="108"/>
      <c r="Q5919" s="108"/>
      <c r="R5919" s="109"/>
      <c r="S5919" s="109"/>
      <c r="T5919" s="108"/>
      <c r="U5919" s="110"/>
      <c r="V5919" s="110"/>
      <c r="W5919" s="110"/>
      <c r="X5919" s="110"/>
    </row>
    <row r="5920" spans="1:24" ht="14.25" customHeight="1">
      <c r="A5920" s="110"/>
      <c r="B5920" s="125">
        <v>46174</v>
      </c>
      <c r="C5920" s="126" t="s">
        <v>3676</v>
      </c>
      <c r="D5920" s="159" t="s">
        <v>1404</v>
      </c>
      <c r="E5920" s="10" t="s">
        <v>3672</v>
      </c>
      <c r="F5920" s="142" t="s">
        <v>3677</v>
      </c>
      <c r="G5920" s="130"/>
      <c r="H5920" s="10">
        <v>213695</v>
      </c>
      <c r="I5920" s="10"/>
      <c r="J5920" s="79" t="e">
        <f t="shared" si="351"/>
        <v>#VALUE!</v>
      </c>
      <c r="K5920" s="106"/>
      <c r="L5920" s="107"/>
      <c r="M5920" s="106"/>
      <c r="N5920" s="106"/>
      <c r="O5920" s="108"/>
      <c r="P5920" s="108"/>
      <c r="Q5920" s="108"/>
      <c r="R5920" s="109"/>
      <c r="S5920" s="109"/>
      <c r="T5920" s="108"/>
      <c r="U5920" s="110"/>
      <c r="V5920" s="110"/>
      <c r="W5920" s="110"/>
      <c r="X5920" s="110"/>
    </row>
    <row r="5921" spans="1:24" ht="14.25" customHeight="1">
      <c r="A5921" s="110"/>
      <c r="B5921" s="125">
        <v>46174</v>
      </c>
      <c r="C5921" s="126" t="s">
        <v>3676</v>
      </c>
      <c r="D5921" s="159" t="s">
        <v>140</v>
      </c>
      <c r="E5921" s="10" t="s">
        <v>3659</v>
      </c>
      <c r="F5921" s="142" t="s">
        <v>3677</v>
      </c>
      <c r="G5921" s="130"/>
      <c r="H5921" s="10"/>
      <c r="I5921" s="10">
        <v>213695</v>
      </c>
      <c r="J5921" s="79" t="e">
        <f t="shared" si="351"/>
        <v>#VALUE!</v>
      </c>
      <c r="K5921" s="106"/>
      <c r="L5921" s="107"/>
      <c r="M5921" s="106"/>
      <c r="N5921" s="106"/>
      <c r="O5921" s="108"/>
      <c r="P5921" s="108"/>
      <c r="Q5921" s="108"/>
      <c r="R5921" s="109"/>
      <c r="S5921" s="109"/>
      <c r="T5921" s="108"/>
      <c r="U5921" s="110"/>
      <c r="V5921" s="110"/>
      <c r="W5921" s="110"/>
      <c r="X5921" s="110"/>
    </row>
    <row r="5922" spans="1:24" ht="14.25" customHeight="1">
      <c r="A5922" s="110"/>
      <c r="B5922" s="125"/>
      <c r="C5922" s="126"/>
      <c r="D5922" s="159"/>
      <c r="E5922" s="10" t="e">
        <v>#N/A</v>
      </c>
      <c r="F5922" s="142"/>
      <c r="G5922" s="130"/>
      <c r="H5922" s="10"/>
      <c r="I5922" s="10"/>
      <c r="J5922" s="79" t="e">
        <f t="shared" si="351"/>
        <v>#VALUE!</v>
      </c>
      <c r="K5922" s="106"/>
      <c r="L5922" s="107"/>
      <c r="M5922" s="106"/>
      <c r="N5922" s="106"/>
      <c r="O5922" s="108"/>
      <c r="P5922" s="108"/>
      <c r="Q5922" s="108"/>
      <c r="R5922" s="109"/>
      <c r="S5922" s="109"/>
      <c r="T5922" s="108"/>
      <c r="U5922" s="110"/>
      <c r="V5922" s="110"/>
      <c r="W5922" s="110"/>
      <c r="X5922" s="110"/>
    </row>
    <row r="5923" spans="1:24" ht="14.25" customHeight="1">
      <c r="A5923" s="110"/>
      <c r="B5923" s="125">
        <v>46174</v>
      </c>
      <c r="C5923" s="126" t="s">
        <v>3678</v>
      </c>
      <c r="D5923" s="159" t="s">
        <v>188</v>
      </c>
      <c r="E5923" s="10" t="s">
        <v>3669</v>
      </c>
      <c r="F5923" s="142" t="s">
        <v>3679</v>
      </c>
      <c r="G5923" s="130"/>
      <c r="H5923" s="10">
        <v>413141</v>
      </c>
      <c r="I5923" s="10"/>
      <c r="J5923" s="79" t="e">
        <f t="shared" si="351"/>
        <v>#VALUE!</v>
      </c>
      <c r="K5923" s="106"/>
      <c r="L5923" s="107"/>
      <c r="M5923" s="106"/>
      <c r="N5923" s="106"/>
      <c r="O5923" s="108"/>
      <c r="P5923" s="108"/>
      <c r="Q5923" s="108"/>
      <c r="R5923" s="109"/>
      <c r="S5923" s="109"/>
      <c r="T5923" s="108"/>
      <c r="U5923" s="110"/>
      <c r="V5923" s="110"/>
      <c r="W5923" s="110"/>
      <c r="X5923" s="110"/>
    </row>
    <row r="5924" spans="1:24" ht="14.25" customHeight="1">
      <c r="A5924" s="110"/>
      <c r="B5924" s="125">
        <v>46174</v>
      </c>
      <c r="C5924" s="126" t="s">
        <v>3678</v>
      </c>
      <c r="D5924" s="159" t="s">
        <v>140</v>
      </c>
      <c r="E5924" s="10" t="s">
        <v>3659</v>
      </c>
      <c r="F5924" s="142" t="s">
        <v>3679</v>
      </c>
      <c r="G5924" s="130"/>
      <c r="H5924" s="10"/>
      <c r="I5924" s="10">
        <v>413141</v>
      </c>
      <c r="J5924" s="79" t="e">
        <f t="shared" si="351"/>
        <v>#VALUE!</v>
      </c>
      <c r="K5924" s="106"/>
      <c r="L5924" s="107"/>
      <c r="M5924" s="106"/>
      <c r="N5924" s="106"/>
      <c r="O5924" s="108"/>
      <c r="P5924" s="108"/>
      <c r="Q5924" s="108"/>
      <c r="R5924" s="109"/>
      <c r="S5924" s="109"/>
      <c r="T5924" s="108"/>
      <c r="U5924" s="110"/>
      <c r="V5924" s="110"/>
      <c r="W5924" s="110"/>
      <c r="X5924" s="110"/>
    </row>
    <row r="5925" spans="1:24" ht="14.25" customHeight="1">
      <c r="A5925" s="110"/>
      <c r="B5925" s="125"/>
      <c r="C5925" s="126"/>
      <c r="D5925" s="159"/>
      <c r="E5925" s="10" t="e">
        <v>#N/A</v>
      </c>
      <c r="F5925" s="142"/>
      <c r="G5925" s="130"/>
      <c r="H5925" s="10"/>
      <c r="I5925" s="10"/>
      <c r="J5925" s="79" t="e">
        <f t="shared" si="351"/>
        <v>#VALUE!</v>
      </c>
      <c r="K5925" s="106"/>
      <c r="L5925" s="107"/>
      <c r="M5925" s="106"/>
      <c r="N5925" s="106"/>
      <c r="O5925" s="108"/>
      <c r="P5925" s="108"/>
      <c r="Q5925" s="108"/>
      <c r="R5925" s="109"/>
      <c r="S5925" s="109"/>
      <c r="T5925" s="108"/>
      <c r="U5925" s="110"/>
      <c r="V5925" s="110"/>
      <c r="W5925" s="110"/>
      <c r="X5925" s="110"/>
    </row>
    <row r="5926" spans="1:24" ht="14.25" customHeight="1">
      <c r="A5926" s="110"/>
      <c r="B5926" s="125">
        <v>46174</v>
      </c>
      <c r="C5926" s="126" t="s">
        <v>3680</v>
      </c>
      <c r="D5926" s="159" t="s">
        <v>188</v>
      </c>
      <c r="E5926" s="10" t="s">
        <v>3669</v>
      </c>
      <c r="F5926" s="142" t="s">
        <v>3681</v>
      </c>
      <c r="G5926" s="130"/>
      <c r="H5926" s="10">
        <v>369928</v>
      </c>
      <c r="I5926" s="10"/>
      <c r="J5926" s="79" t="e">
        <f t="shared" si="351"/>
        <v>#VALUE!</v>
      </c>
      <c r="K5926" s="106"/>
      <c r="L5926" s="107"/>
      <c r="M5926" s="106"/>
      <c r="N5926" s="106"/>
      <c r="O5926" s="108"/>
      <c r="P5926" s="108"/>
      <c r="Q5926" s="108"/>
      <c r="R5926" s="109"/>
      <c r="S5926" s="109"/>
      <c r="T5926" s="108"/>
      <c r="U5926" s="110"/>
      <c r="V5926" s="110"/>
      <c r="W5926" s="110"/>
      <c r="X5926" s="110"/>
    </row>
    <row r="5927" spans="1:24" ht="14.25" customHeight="1">
      <c r="A5927" s="110"/>
      <c r="B5927" s="125">
        <v>46174</v>
      </c>
      <c r="C5927" s="126" t="s">
        <v>3680</v>
      </c>
      <c r="D5927" s="159" t="s">
        <v>140</v>
      </c>
      <c r="E5927" s="10" t="s">
        <v>3659</v>
      </c>
      <c r="F5927" s="142" t="s">
        <v>3681</v>
      </c>
      <c r="G5927" s="130"/>
      <c r="H5927" s="10"/>
      <c r="I5927" s="10">
        <v>369928</v>
      </c>
      <c r="J5927" s="79" t="e">
        <f t="shared" si="351"/>
        <v>#VALUE!</v>
      </c>
      <c r="K5927" s="106"/>
      <c r="L5927" s="107"/>
      <c r="M5927" s="106"/>
      <c r="N5927" s="106"/>
      <c r="O5927" s="108"/>
      <c r="P5927" s="108"/>
      <c r="Q5927" s="108"/>
      <c r="R5927" s="109"/>
      <c r="S5927" s="109"/>
      <c r="T5927" s="108"/>
      <c r="U5927" s="110"/>
      <c r="V5927" s="110"/>
      <c r="W5927" s="110"/>
      <c r="X5927" s="110"/>
    </row>
    <row r="5928" spans="1:24" ht="14.25" customHeight="1">
      <c r="A5928" s="110"/>
      <c r="B5928" s="125"/>
      <c r="C5928" s="126"/>
      <c r="D5928" s="159"/>
      <c r="E5928" s="10" t="e">
        <v>#N/A</v>
      </c>
      <c r="F5928" s="142"/>
      <c r="G5928" s="130"/>
      <c r="H5928" s="10"/>
      <c r="I5928" s="10"/>
      <c r="J5928" s="79" t="e">
        <f t="shared" si="351"/>
        <v>#VALUE!</v>
      </c>
      <c r="K5928" s="106"/>
      <c r="L5928" s="107"/>
      <c r="M5928" s="106"/>
      <c r="N5928" s="106"/>
      <c r="O5928" s="108"/>
      <c r="P5928" s="108"/>
      <c r="Q5928" s="108"/>
      <c r="R5928" s="109"/>
      <c r="S5928" s="109"/>
      <c r="T5928" s="108"/>
      <c r="U5928" s="110"/>
      <c r="V5928" s="110"/>
      <c r="W5928" s="110"/>
      <c r="X5928" s="110"/>
    </row>
    <row r="5929" spans="1:24" ht="14.25" customHeight="1">
      <c r="A5929" s="110"/>
      <c r="B5929" s="125">
        <v>46174</v>
      </c>
      <c r="C5929" s="126" t="s">
        <v>3682</v>
      </c>
      <c r="D5929" s="159" t="s">
        <v>188</v>
      </c>
      <c r="E5929" s="10" t="s">
        <v>3669</v>
      </c>
      <c r="F5929" s="142" t="s">
        <v>3683</v>
      </c>
      <c r="G5929" s="130"/>
      <c r="H5929" s="10">
        <v>51666</v>
      </c>
      <c r="I5929" s="10"/>
      <c r="J5929" s="79" t="e">
        <f t="shared" si="351"/>
        <v>#VALUE!</v>
      </c>
      <c r="K5929" s="106"/>
      <c r="L5929" s="107"/>
      <c r="M5929" s="106"/>
      <c r="N5929" s="106"/>
      <c r="O5929" s="108"/>
      <c r="P5929" s="108"/>
      <c r="Q5929" s="108"/>
      <c r="R5929" s="109"/>
      <c r="S5929" s="109"/>
      <c r="T5929" s="108"/>
      <c r="U5929" s="110"/>
      <c r="V5929" s="110"/>
      <c r="W5929" s="110"/>
      <c r="X5929" s="110"/>
    </row>
    <row r="5930" spans="1:24" ht="14.25" customHeight="1">
      <c r="A5930" s="110"/>
      <c r="B5930" s="125">
        <v>46174</v>
      </c>
      <c r="C5930" s="126" t="s">
        <v>3682</v>
      </c>
      <c r="D5930" s="159" t="s">
        <v>140</v>
      </c>
      <c r="E5930" s="10" t="s">
        <v>3659</v>
      </c>
      <c r="F5930" s="142" t="s">
        <v>3683</v>
      </c>
      <c r="G5930" s="130"/>
      <c r="H5930" s="10"/>
      <c r="I5930" s="10">
        <v>51666</v>
      </c>
      <c r="J5930" s="79" t="e">
        <f t="shared" si="351"/>
        <v>#VALUE!</v>
      </c>
      <c r="K5930" s="106"/>
      <c r="L5930" s="107"/>
      <c r="M5930" s="106"/>
      <c r="N5930" s="106"/>
      <c r="O5930" s="108"/>
      <c r="P5930" s="108"/>
      <c r="Q5930" s="108"/>
      <c r="R5930" s="109"/>
      <c r="S5930" s="109"/>
      <c r="T5930" s="108"/>
      <c r="U5930" s="110"/>
      <c r="V5930" s="110"/>
      <c r="W5930" s="110"/>
      <c r="X5930" s="110"/>
    </row>
    <row r="5931" spans="1:24" ht="14.25" customHeight="1">
      <c r="A5931" s="110"/>
      <c r="B5931" s="125"/>
      <c r="C5931" s="126"/>
      <c r="D5931" s="159"/>
      <c r="E5931" s="10" t="e">
        <v>#N/A</v>
      </c>
      <c r="F5931" s="142"/>
      <c r="G5931" s="130"/>
      <c r="H5931" s="10"/>
      <c r="I5931" s="10"/>
      <c r="J5931" s="79" t="e">
        <f t="shared" si="351"/>
        <v>#VALUE!</v>
      </c>
      <c r="K5931" s="106"/>
      <c r="L5931" s="107"/>
      <c r="M5931" s="106"/>
      <c r="N5931" s="106"/>
      <c r="O5931" s="108"/>
      <c r="P5931" s="108"/>
      <c r="Q5931" s="108"/>
      <c r="R5931" s="109"/>
      <c r="S5931" s="109"/>
      <c r="T5931" s="108"/>
      <c r="U5931" s="110"/>
      <c r="V5931" s="110"/>
      <c r="W5931" s="110"/>
      <c r="X5931" s="110"/>
    </row>
    <row r="5932" spans="1:24" ht="14.25" customHeight="1">
      <c r="A5932" s="110"/>
      <c r="B5932" s="125">
        <v>46174</v>
      </c>
      <c r="C5932" s="126" t="s">
        <v>3684</v>
      </c>
      <c r="D5932" s="159" t="s">
        <v>3637</v>
      </c>
      <c r="E5932" s="10" t="s">
        <v>3685</v>
      </c>
      <c r="F5932" s="142" t="s">
        <v>3686</v>
      </c>
      <c r="G5932" s="130"/>
      <c r="H5932" s="10">
        <v>26021663</v>
      </c>
      <c r="I5932" s="10"/>
      <c r="J5932" s="79" t="e">
        <f t="shared" si="351"/>
        <v>#VALUE!</v>
      </c>
      <c r="K5932" s="106"/>
      <c r="L5932" s="107"/>
      <c r="M5932" s="106"/>
      <c r="N5932" s="106"/>
      <c r="O5932" s="108"/>
      <c r="P5932" s="108"/>
      <c r="Q5932" s="108"/>
      <c r="R5932" s="109"/>
      <c r="S5932" s="109"/>
      <c r="T5932" s="108"/>
      <c r="U5932" s="110"/>
      <c r="V5932" s="110"/>
      <c r="W5932" s="110"/>
      <c r="X5932" s="110"/>
    </row>
    <row r="5933" spans="1:24" ht="14.25" customHeight="1">
      <c r="A5933" s="110"/>
      <c r="B5933" s="125">
        <v>46174</v>
      </c>
      <c r="C5933" s="126" t="s">
        <v>3684</v>
      </c>
      <c r="D5933" s="159" t="s">
        <v>3687</v>
      </c>
      <c r="E5933" s="10" t="s">
        <v>3688</v>
      </c>
      <c r="F5933" s="142" t="s">
        <v>3689</v>
      </c>
      <c r="G5933" s="130"/>
      <c r="H5933" s="10"/>
      <c r="I5933" s="10">
        <v>26021663</v>
      </c>
      <c r="J5933" s="79" t="e">
        <f t="shared" si="351"/>
        <v>#VALUE!</v>
      </c>
      <c r="K5933" s="106"/>
      <c r="L5933" s="107"/>
      <c r="M5933" s="106"/>
      <c r="N5933" s="106"/>
      <c r="O5933" s="108"/>
      <c r="P5933" s="108"/>
      <c r="Q5933" s="108"/>
      <c r="R5933" s="109"/>
      <c r="S5933" s="109"/>
      <c r="T5933" s="108"/>
      <c r="U5933" s="110"/>
      <c r="V5933" s="110"/>
      <c r="W5933" s="110"/>
      <c r="X5933" s="110"/>
    </row>
    <row r="5934" spans="1:24" ht="14.25" customHeight="1">
      <c r="A5934" s="110"/>
      <c r="B5934" s="125"/>
      <c r="C5934" s="126"/>
      <c r="D5934" s="159"/>
      <c r="E5934" s="10" t="e">
        <v>#N/A</v>
      </c>
      <c r="F5934" s="142"/>
      <c r="G5934" s="130"/>
      <c r="H5934" s="10"/>
      <c r="I5934" s="10"/>
      <c r="J5934" s="79" t="e">
        <f t="shared" si="351"/>
        <v>#VALUE!</v>
      </c>
      <c r="K5934" s="106"/>
      <c r="L5934" s="107"/>
      <c r="M5934" s="106"/>
      <c r="N5934" s="106"/>
      <c r="O5934" s="108"/>
      <c r="P5934" s="108"/>
      <c r="Q5934" s="108"/>
      <c r="R5934" s="109"/>
      <c r="S5934" s="109"/>
      <c r="T5934" s="108"/>
      <c r="U5934" s="110"/>
      <c r="V5934" s="110"/>
      <c r="W5934" s="110"/>
      <c r="X5934" s="110"/>
    </row>
    <row r="5935" spans="1:24" ht="14.25" customHeight="1">
      <c r="A5935" s="110"/>
      <c r="B5935" s="125">
        <v>46174</v>
      </c>
      <c r="C5935" s="126" t="s">
        <v>3690</v>
      </c>
      <c r="D5935" s="159" t="s">
        <v>1404</v>
      </c>
      <c r="E5935" s="10" t="s">
        <v>3672</v>
      </c>
      <c r="F5935" s="142" t="s">
        <v>3691</v>
      </c>
      <c r="G5935" s="130"/>
      <c r="H5935" s="10">
        <v>44400</v>
      </c>
      <c r="I5935" s="10"/>
      <c r="J5935" s="79" t="e">
        <f t="shared" si="351"/>
        <v>#VALUE!</v>
      </c>
      <c r="K5935" s="106"/>
      <c r="L5935" s="107"/>
      <c r="M5935" s="106"/>
      <c r="N5935" s="106"/>
      <c r="O5935" s="108"/>
      <c r="P5935" s="108"/>
      <c r="Q5935" s="108"/>
      <c r="R5935" s="109"/>
      <c r="S5935" s="109"/>
      <c r="T5935" s="108"/>
      <c r="U5935" s="110"/>
      <c r="V5935" s="110"/>
      <c r="W5935" s="110"/>
      <c r="X5935" s="110"/>
    </row>
    <row r="5936" spans="1:24" ht="14.25" customHeight="1">
      <c r="A5936" s="110"/>
      <c r="B5936" s="125">
        <v>46174</v>
      </c>
      <c r="C5936" s="126" t="s">
        <v>3690</v>
      </c>
      <c r="D5936" s="159" t="s">
        <v>140</v>
      </c>
      <c r="E5936" s="10" t="s">
        <v>3659</v>
      </c>
      <c r="F5936" s="142" t="s">
        <v>3692</v>
      </c>
      <c r="G5936" s="130"/>
      <c r="H5936" s="10"/>
      <c r="I5936" s="10">
        <v>44400</v>
      </c>
      <c r="J5936" s="79" t="e">
        <f t="shared" si="351"/>
        <v>#VALUE!</v>
      </c>
      <c r="K5936" s="106"/>
      <c r="L5936" s="107"/>
      <c r="M5936" s="106"/>
      <c r="N5936" s="106"/>
      <c r="O5936" s="108"/>
      <c r="P5936" s="108"/>
      <c r="Q5936" s="108"/>
      <c r="R5936" s="109"/>
      <c r="S5936" s="109"/>
      <c r="T5936" s="108"/>
      <c r="U5936" s="110"/>
      <c r="V5936" s="110"/>
      <c r="W5936" s="110"/>
      <c r="X5936" s="110"/>
    </row>
    <row r="5937" spans="1:24" ht="14.25" customHeight="1">
      <c r="A5937" s="110"/>
      <c r="B5937" s="125"/>
      <c r="C5937" s="126"/>
      <c r="D5937" s="159"/>
      <c r="E5937" s="10" t="e">
        <f>TRIM(VLOOKUP(D5937,TB!$B$9:$C$1500,2,FALSE))</f>
        <v>#N/A</v>
      </c>
      <c r="F5937" s="142"/>
      <c r="G5937" s="130"/>
      <c r="H5937" s="10"/>
      <c r="I5937" s="10"/>
      <c r="J5937" s="79" t="e">
        <f t="shared" si="351"/>
        <v>#VALUE!</v>
      </c>
      <c r="K5937" s="106"/>
      <c r="L5937" s="107"/>
      <c r="M5937" s="106"/>
      <c r="N5937" s="106"/>
      <c r="O5937" s="108"/>
      <c r="P5937" s="108"/>
      <c r="Q5937" s="108"/>
      <c r="R5937" s="109"/>
      <c r="S5937" s="109"/>
      <c r="T5937" s="108"/>
      <c r="U5937" s="110"/>
      <c r="V5937" s="110"/>
      <c r="W5937" s="110"/>
      <c r="X5937" s="110"/>
    </row>
    <row r="5938" spans="1:24" ht="14.25" customHeight="1">
      <c r="A5938" s="110"/>
      <c r="B5938" s="125">
        <v>46203</v>
      </c>
      <c r="C5938" s="126" t="s">
        <v>3693</v>
      </c>
      <c r="D5938" s="15" t="s">
        <v>815</v>
      </c>
      <c r="E5938" s="10" t="str">
        <f>TRIM(VLOOKUP(D5938,TB!$B$9:$C$1500,2,FALSE))</f>
        <v>Other staff expenses</v>
      </c>
      <c r="F5938" s="185" t="s">
        <v>3694</v>
      </c>
      <c r="G5938" s="130"/>
      <c r="H5938" s="155">
        <v>7729151</v>
      </c>
      <c r="I5938" s="10"/>
      <c r="J5938" s="79" t="e">
        <f t="shared" si="351"/>
        <v>#VALUE!</v>
      </c>
      <c r="K5938" s="106"/>
      <c r="L5938" s="107"/>
      <c r="M5938" s="106"/>
      <c r="N5938" s="106"/>
      <c r="O5938" s="108"/>
      <c r="P5938" s="108"/>
      <c r="Q5938" s="108"/>
      <c r="R5938" s="109"/>
      <c r="S5938" s="109"/>
      <c r="T5938" s="108"/>
      <c r="U5938" s="110"/>
      <c r="V5938" s="110"/>
      <c r="W5938" s="110"/>
      <c r="X5938" s="110"/>
    </row>
    <row r="5939" spans="1:24" ht="14.25" customHeight="1">
      <c r="A5939" s="110"/>
      <c r="B5939" s="125">
        <v>46203</v>
      </c>
      <c r="C5939" s="126" t="s">
        <v>3693</v>
      </c>
      <c r="D5939" s="68" t="s">
        <v>1573</v>
      </c>
      <c r="E5939" s="10" t="str">
        <f>TRIM(VLOOKUP(D5939,TB!$B$9:$C$1500,2,FALSE))</f>
        <v>Cash Advance</v>
      </c>
      <c r="F5939" s="185" t="s">
        <v>3694</v>
      </c>
      <c r="G5939" s="130"/>
      <c r="H5939" s="10"/>
      <c r="I5939" s="155">
        <v>7729151</v>
      </c>
      <c r="J5939" s="79" t="e">
        <f t="shared" si="351"/>
        <v>#VALUE!</v>
      </c>
      <c r="K5939" s="106"/>
      <c r="L5939" s="107"/>
      <c r="M5939" s="106"/>
      <c r="N5939" s="106"/>
      <c r="O5939" s="108"/>
      <c r="P5939" s="108"/>
      <c r="Q5939" s="108"/>
      <c r="R5939" s="109"/>
      <c r="S5939" s="109"/>
      <c r="T5939" s="108"/>
      <c r="U5939" s="110"/>
      <c r="V5939" s="110"/>
      <c r="W5939" s="110"/>
      <c r="X5939" s="110"/>
    </row>
    <row r="5940" spans="1:24" ht="14.25" customHeight="1">
      <c r="A5940" s="110"/>
      <c r="B5940" s="125"/>
      <c r="C5940" s="126"/>
      <c r="D5940" s="159"/>
      <c r="E5940" s="10" t="e">
        <f>TRIM(VLOOKUP(D5940,TB!$B$9:$C$1500,2,FALSE))</f>
        <v>#N/A</v>
      </c>
      <c r="F5940" s="142"/>
      <c r="G5940" s="130"/>
      <c r="H5940" s="10"/>
      <c r="I5940" s="10"/>
      <c r="J5940" s="79" t="e">
        <f t="shared" si="351"/>
        <v>#VALUE!</v>
      </c>
      <c r="K5940" s="106"/>
      <c r="L5940" s="107"/>
      <c r="M5940" s="106"/>
      <c r="N5940" s="106"/>
      <c r="O5940" s="108"/>
      <c r="P5940" s="108"/>
      <c r="Q5940" s="108"/>
      <c r="R5940" s="109"/>
      <c r="S5940" s="109"/>
      <c r="T5940" s="108"/>
      <c r="U5940" s="110"/>
      <c r="V5940" s="110"/>
      <c r="W5940" s="110"/>
      <c r="X5940" s="110"/>
    </row>
    <row r="5941" spans="1:24" ht="14.25" customHeight="1">
      <c r="A5941" s="110"/>
      <c r="B5941" s="125">
        <v>46203</v>
      </c>
      <c r="C5941" s="126" t="s">
        <v>3695</v>
      </c>
      <c r="D5941" s="15" t="s">
        <v>1216</v>
      </c>
      <c r="E5941" s="10" t="str">
        <f>TRIM(VLOOKUP(D5941,TB!$B$9:$C$1500,2,FALSE))</f>
        <v>Others Expenses Others</v>
      </c>
      <c r="F5941" s="142" t="s">
        <v>3696</v>
      </c>
      <c r="G5941" s="130"/>
      <c r="H5941" s="10">
        <v>5000000</v>
      </c>
      <c r="I5941" s="10"/>
      <c r="J5941" s="79" t="e">
        <f t="shared" si="351"/>
        <v>#VALUE!</v>
      </c>
      <c r="K5941" s="106"/>
      <c r="L5941" s="107"/>
      <c r="M5941" s="106"/>
      <c r="N5941" s="106"/>
      <c r="O5941" s="108"/>
      <c r="P5941" s="108"/>
      <c r="Q5941" s="108"/>
      <c r="R5941" s="109"/>
      <c r="S5941" s="109"/>
      <c r="T5941" s="108"/>
      <c r="U5941" s="110"/>
      <c r="V5941" s="110"/>
      <c r="W5941" s="110"/>
      <c r="X5941" s="110"/>
    </row>
    <row r="5942" spans="1:24" ht="14.25" customHeight="1">
      <c r="A5942" s="110"/>
      <c r="B5942" s="125">
        <v>46203</v>
      </c>
      <c r="C5942" s="126" t="s">
        <v>3695</v>
      </c>
      <c r="D5942" s="68" t="s">
        <v>1573</v>
      </c>
      <c r="E5942" s="10" t="str">
        <f>TRIM(VLOOKUP(D5942,TB!$B$9:$C$1500,2,FALSE))</f>
        <v>Cash Advance</v>
      </c>
      <c r="F5942" s="142" t="s">
        <v>3696</v>
      </c>
      <c r="G5942" s="130"/>
      <c r="H5942" s="10"/>
      <c r="I5942" s="10">
        <v>5000000</v>
      </c>
      <c r="J5942" s="79" t="e">
        <f t="shared" si="351"/>
        <v>#VALUE!</v>
      </c>
      <c r="K5942" s="106"/>
      <c r="L5942" s="107"/>
      <c r="M5942" s="106"/>
      <c r="N5942" s="106"/>
      <c r="O5942" s="108"/>
      <c r="P5942" s="108"/>
      <c r="Q5942" s="108"/>
      <c r="R5942" s="109"/>
      <c r="S5942" s="109"/>
      <c r="T5942" s="108"/>
      <c r="U5942" s="110"/>
      <c r="V5942" s="110"/>
      <c r="W5942" s="110"/>
      <c r="X5942" s="110"/>
    </row>
    <row r="5943" spans="1:24" ht="14.25" customHeight="1">
      <c r="A5943" s="110"/>
      <c r="B5943" s="125"/>
      <c r="C5943" s="126"/>
      <c r="D5943" s="159"/>
      <c r="E5943" s="10" t="e">
        <f>TRIM(VLOOKUP(D5943,TB!$B$9:$C$1500,2,FALSE))</f>
        <v>#N/A</v>
      </c>
      <c r="F5943" s="142"/>
      <c r="G5943" s="130"/>
      <c r="H5943" s="10"/>
      <c r="I5943" s="10"/>
      <c r="J5943" s="79" t="e">
        <f t="shared" si="351"/>
        <v>#VALUE!</v>
      </c>
      <c r="K5943" s="106"/>
      <c r="L5943" s="107"/>
      <c r="M5943" s="106"/>
      <c r="N5943" s="106"/>
      <c r="O5943" s="108"/>
      <c r="P5943" s="108"/>
      <c r="Q5943" s="108"/>
      <c r="R5943" s="109"/>
      <c r="S5943" s="109"/>
      <c r="T5943" s="108"/>
      <c r="U5943" s="110"/>
      <c r="V5943" s="110"/>
      <c r="W5943" s="110"/>
      <c r="X5943" s="110"/>
    </row>
    <row r="5944" spans="1:24" ht="14.25" customHeight="1">
      <c r="A5944" s="110"/>
      <c r="B5944" s="125">
        <v>46203</v>
      </c>
      <c r="C5944" s="126" t="s">
        <v>3697</v>
      </c>
      <c r="D5944" s="68" t="s">
        <v>285</v>
      </c>
      <c r="E5944" s="10" t="str">
        <f>TRIM(VLOOKUP(D5944,TB!$B$9:$C$1500,2,FALSE))</f>
        <v>Misc Cash Purchase</v>
      </c>
      <c r="F5944" s="186" t="s">
        <v>3698</v>
      </c>
      <c r="G5944" s="130"/>
      <c r="H5944" s="10">
        <v>2190000</v>
      </c>
      <c r="I5944" s="10"/>
      <c r="J5944" s="79" t="e">
        <f t="shared" si="351"/>
        <v>#VALUE!</v>
      </c>
      <c r="K5944" s="106"/>
      <c r="L5944" s="107"/>
      <c r="M5944" s="106"/>
      <c r="N5944" s="106"/>
      <c r="O5944" s="108"/>
      <c r="P5944" s="108"/>
      <c r="Q5944" s="108"/>
      <c r="R5944" s="109"/>
      <c r="S5944" s="109"/>
      <c r="T5944" s="108"/>
      <c r="U5944" s="110"/>
      <c r="V5944" s="110"/>
      <c r="W5944" s="110"/>
      <c r="X5944" s="110"/>
    </row>
    <row r="5945" spans="1:24" ht="14.25" customHeight="1">
      <c r="A5945" s="110"/>
      <c r="B5945" s="125">
        <v>46203</v>
      </c>
      <c r="C5945" s="126" t="s">
        <v>3697</v>
      </c>
      <c r="D5945" s="15" t="s">
        <v>3149</v>
      </c>
      <c r="E5945" s="10" t="str">
        <f>TRIM(VLOOKUP(D5945,TB!$B$9:$C$1500,2,FALSE))</f>
        <v>COS - Promotor Fees Internal</v>
      </c>
      <c r="F5945" s="186" t="s">
        <v>3698</v>
      </c>
      <c r="G5945" s="130"/>
      <c r="H5945" s="10"/>
      <c r="I5945" s="10">
        <v>2190000</v>
      </c>
      <c r="J5945" s="79" t="e">
        <f t="shared" si="351"/>
        <v>#VALUE!</v>
      </c>
      <c r="K5945" s="106"/>
      <c r="L5945" s="107"/>
      <c r="M5945" s="106"/>
      <c r="N5945" s="106"/>
      <c r="O5945" s="108"/>
      <c r="P5945" s="108"/>
      <c r="Q5945" s="108"/>
      <c r="R5945" s="109"/>
      <c r="S5945" s="109"/>
      <c r="T5945" s="108"/>
      <c r="U5945" s="110"/>
      <c r="V5945" s="110"/>
      <c r="W5945" s="110"/>
      <c r="X5945" s="110"/>
    </row>
    <row r="5946" spans="1:24" ht="14.25" customHeight="1">
      <c r="A5946" s="110"/>
      <c r="B5946" s="125"/>
      <c r="C5946" s="126"/>
      <c r="D5946" s="159"/>
      <c r="E5946" s="10" t="e">
        <f>TRIM(VLOOKUP(D5946,TB!$B$9:$C$1500,2,FALSE))</f>
        <v>#N/A</v>
      </c>
      <c r="F5946" s="142"/>
      <c r="G5946" s="130"/>
      <c r="H5946" s="10"/>
      <c r="I5946" s="10"/>
      <c r="J5946" s="79" t="e">
        <f t="shared" si="351"/>
        <v>#VALUE!</v>
      </c>
      <c r="K5946" s="106"/>
      <c r="L5946" s="107"/>
      <c r="M5946" s="106"/>
      <c r="N5946" s="106"/>
      <c r="O5946" s="108"/>
      <c r="P5946" s="108"/>
      <c r="Q5946" s="108"/>
      <c r="R5946" s="109"/>
      <c r="S5946" s="109"/>
      <c r="T5946" s="108"/>
      <c r="U5946" s="110"/>
      <c r="V5946" s="110"/>
      <c r="W5946" s="110"/>
      <c r="X5946" s="110"/>
    </row>
    <row r="5947" spans="1:24" ht="14.25" customHeight="1">
      <c r="A5947" s="110"/>
      <c r="B5947" s="125">
        <v>46203</v>
      </c>
      <c r="C5947" s="126" t="s">
        <v>3699</v>
      </c>
      <c r="D5947" s="68" t="s">
        <v>285</v>
      </c>
      <c r="E5947" s="10" t="str">
        <f>TRIM(VLOOKUP(D5947,TB!$B$9:$C$1500,2,FALSE))</f>
        <v>Misc Cash Purchase</v>
      </c>
      <c r="F5947" s="186" t="s">
        <v>3700</v>
      </c>
      <c r="G5947" s="130"/>
      <c r="H5947" s="10">
        <v>620000</v>
      </c>
      <c r="I5947" s="10"/>
      <c r="J5947" s="79" t="e">
        <f t="shared" si="351"/>
        <v>#VALUE!</v>
      </c>
      <c r="K5947" s="106"/>
      <c r="L5947" s="107"/>
      <c r="M5947" s="106"/>
      <c r="N5947" s="106"/>
      <c r="O5947" s="108"/>
      <c r="P5947" s="108"/>
      <c r="Q5947" s="108"/>
      <c r="R5947" s="109"/>
      <c r="S5947" s="109"/>
      <c r="T5947" s="108"/>
      <c r="U5947" s="110"/>
      <c r="V5947" s="110"/>
      <c r="W5947" s="110"/>
      <c r="X5947" s="110"/>
    </row>
    <row r="5948" spans="1:24" ht="14.25" customHeight="1">
      <c r="A5948" s="110"/>
      <c r="B5948" s="125">
        <v>46203</v>
      </c>
      <c r="C5948" s="126" t="s">
        <v>3699</v>
      </c>
      <c r="D5948" s="15" t="s">
        <v>3149</v>
      </c>
      <c r="E5948" s="10" t="str">
        <f>TRIM(VLOOKUP(D5948,TB!$B$9:$C$1500,2,FALSE))</f>
        <v>COS - Promotor Fees Internal</v>
      </c>
      <c r="F5948" s="186" t="s">
        <v>3700</v>
      </c>
      <c r="G5948" s="130"/>
      <c r="H5948" s="10"/>
      <c r="I5948" s="10">
        <v>620000</v>
      </c>
      <c r="J5948" s="79" t="e">
        <f t="shared" si="351"/>
        <v>#VALUE!</v>
      </c>
      <c r="K5948" s="106"/>
      <c r="L5948" s="107"/>
      <c r="M5948" s="106"/>
      <c r="N5948" s="106"/>
      <c r="O5948" s="108"/>
      <c r="P5948" s="108"/>
      <c r="Q5948" s="108"/>
      <c r="R5948" s="109"/>
      <c r="S5948" s="109"/>
      <c r="T5948" s="108"/>
      <c r="U5948" s="110"/>
      <c r="V5948" s="110"/>
      <c r="W5948" s="110"/>
      <c r="X5948" s="110"/>
    </row>
    <row r="5949" spans="1:24" ht="14.25" customHeight="1">
      <c r="A5949" s="110"/>
      <c r="B5949" s="125"/>
      <c r="C5949" s="126"/>
      <c r="D5949" s="159"/>
      <c r="E5949" s="10" t="e">
        <f>TRIM(VLOOKUP(D5949,TB!$B$9:$C$1500,2,FALSE))</f>
        <v>#N/A</v>
      </c>
      <c r="F5949" s="142"/>
      <c r="G5949" s="130"/>
      <c r="H5949" s="10"/>
      <c r="I5949" s="10"/>
      <c r="J5949" s="79" t="e">
        <f t="shared" si="351"/>
        <v>#VALUE!</v>
      </c>
      <c r="K5949" s="106"/>
      <c r="L5949" s="107"/>
      <c r="M5949" s="106"/>
      <c r="N5949" s="106"/>
      <c r="O5949" s="108"/>
      <c r="P5949" s="108"/>
      <c r="Q5949" s="108"/>
      <c r="R5949" s="109"/>
      <c r="S5949" s="109"/>
      <c r="T5949" s="108"/>
      <c r="U5949" s="110"/>
      <c r="V5949" s="110"/>
      <c r="W5949" s="110"/>
      <c r="X5949" s="110"/>
    </row>
    <row r="5950" spans="1:24" ht="14.25" customHeight="1">
      <c r="A5950" s="110"/>
      <c r="B5950" s="125">
        <v>46203</v>
      </c>
      <c r="C5950" s="126" t="s">
        <v>3701</v>
      </c>
      <c r="D5950" s="68" t="s">
        <v>285</v>
      </c>
      <c r="E5950" s="10" t="str">
        <f>TRIM(VLOOKUP(D5950,TB!$B$9:$C$1500,2,FALSE))</f>
        <v>Misc Cash Purchase</v>
      </c>
      <c r="F5950" s="186" t="s">
        <v>3702</v>
      </c>
      <c r="G5950" s="130"/>
      <c r="H5950" s="10">
        <v>280000</v>
      </c>
      <c r="I5950" s="10"/>
      <c r="J5950" s="79" t="e">
        <f t="shared" si="351"/>
        <v>#VALUE!</v>
      </c>
      <c r="K5950" s="106"/>
      <c r="L5950" s="107"/>
      <c r="M5950" s="106"/>
      <c r="N5950" s="106"/>
      <c r="O5950" s="108"/>
      <c r="P5950" s="108"/>
      <c r="Q5950" s="108"/>
      <c r="R5950" s="109"/>
      <c r="S5950" s="109"/>
      <c r="T5950" s="108"/>
      <c r="U5950" s="110"/>
      <c r="V5950" s="110"/>
      <c r="W5950" s="110"/>
      <c r="X5950" s="110"/>
    </row>
    <row r="5951" spans="1:24" ht="14.25" customHeight="1">
      <c r="A5951" s="110"/>
      <c r="B5951" s="125">
        <v>46203</v>
      </c>
      <c r="C5951" s="126" t="s">
        <v>3701</v>
      </c>
      <c r="D5951" s="15" t="s">
        <v>3149</v>
      </c>
      <c r="E5951" s="10" t="str">
        <f>TRIM(VLOOKUP(D5951,TB!$B$9:$C$1500,2,FALSE))</f>
        <v>COS - Promotor Fees Internal</v>
      </c>
      <c r="F5951" s="186" t="s">
        <v>3702</v>
      </c>
      <c r="G5951" s="130"/>
      <c r="H5951" s="10"/>
      <c r="I5951" s="10">
        <v>280000</v>
      </c>
      <c r="J5951" s="79" t="e">
        <f t="shared" si="351"/>
        <v>#VALUE!</v>
      </c>
      <c r="K5951" s="106"/>
      <c r="L5951" s="107"/>
      <c r="M5951" s="106"/>
      <c r="N5951" s="106"/>
      <c r="O5951" s="108"/>
      <c r="P5951" s="108"/>
      <c r="Q5951" s="108"/>
      <c r="R5951" s="109"/>
      <c r="S5951" s="109"/>
      <c r="T5951" s="108"/>
      <c r="U5951" s="110"/>
      <c r="V5951" s="110"/>
      <c r="W5951" s="110"/>
      <c r="X5951" s="110"/>
    </row>
    <row r="5952" spans="1:24" ht="14.25" customHeight="1">
      <c r="A5952" s="110"/>
      <c r="B5952" s="125"/>
      <c r="C5952" s="126"/>
      <c r="D5952" s="159"/>
      <c r="E5952" s="10" t="e">
        <f>TRIM(VLOOKUP(D5952,TB!$B$9:$C$1500,2,FALSE))</f>
        <v>#N/A</v>
      </c>
      <c r="F5952" s="142"/>
      <c r="G5952" s="130"/>
      <c r="H5952" s="10"/>
      <c r="I5952" s="10"/>
      <c r="J5952" s="79" t="e">
        <f t="shared" si="351"/>
        <v>#VALUE!</v>
      </c>
      <c r="K5952" s="106"/>
      <c r="L5952" s="107"/>
      <c r="M5952" s="106"/>
      <c r="N5952" s="106"/>
      <c r="O5952" s="108"/>
      <c r="P5952" s="108"/>
      <c r="Q5952" s="108"/>
      <c r="R5952" s="109"/>
      <c r="S5952" s="109"/>
      <c r="T5952" s="108"/>
      <c r="U5952" s="110"/>
      <c r="V5952" s="110"/>
      <c r="W5952" s="110"/>
      <c r="X5952" s="110"/>
    </row>
    <row r="5953" spans="1:24" ht="14.25" customHeight="1">
      <c r="A5953" s="110"/>
      <c r="B5953" s="125">
        <v>46203</v>
      </c>
      <c r="C5953" s="126" t="s">
        <v>3703</v>
      </c>
      <c r="D5953" s="68" t="s">
        <v>285</v>
      </c>
      <c r="E5953" s="10" t="str">
        <f>TRIM(VLOOKUP(D5953,TB!$B$9:$C$1500,2,FALSE))</f>
        <v>Misc Cash Purchase</v>
      </c>
      <c r="F5953" s="142" t="s">
        <v>3704</v>
      </c>
      <c r="G5953" s="130"/>
      <c r="H5953" s="10">
        <v>2260000</v>
      </c>
      <c r="I5953" s="10"/>
      <c r="J5953" s="79" t="e">
        <f t="shared" si="351"/>
        <v>#VALUE!</v>
      </c>
      <c r="K5953" s="106"/>
      <c r="L5953" s="107"/>
      <c r="M5953" s="106"/>
      <c r="N5953" s="106"/>
      <c r="O5953" s="108"/>
      <c r="P5953" s="108"/>
      <c r="Q5953" s="108"/>
      <c r="R5953" s="109"/>
      <c r="S5953" s="109"/>
      <c r="T5953" s="108"/>
      <c r="U5953" s="110"/>
      <c r="V5953" s="110"/>
      <c r="W5953" s="110"/>
      <c r="X5953" s="110"/>
    </row>
    <row r="5954" spans="1:24" ht="14.25" customHeight="1">
      <c r="A5954" s="110"/>
      <c r="B5954" s="125">
        <v>46203</v>
      </c>
      <c r="C5954" s="126" t="s">
        <v>3703</v>
      </c>
      <c r="D5954" s="15" t="s">
        <v>3108</v>
      </c>
      <c r="E5954" s="10" t="str">
        <f>TRIM(VLOOKUP(D5954,TB!$B$9:$C$1500,2,FALSE))</f>
        <v>Promotional Costs</v>
      </c>
      <c r="F5954" s="142" t="s">
        <v>3704</v>
      </c>
      <c r="G5954" s="130"/>
      <c r="H5954" s="10"/>
      <c r="I5954" s="10">
        <v>2260000</v>
      </c>
      <c r="J5954" s="79" t="e">
        <f t="shared" si="351"/>
        <v>#VALUE!</v>
      </c>
      <c r="K5954" s="106"/>
      <c r="L5954" s="107"/>
      <c r="M5954" s="106"/>
      <c r="N5954" s="106"/>
      <c r="O5954" s="108"/>
      <c r="P5954" s="108"/>
      <c r="Q5954" s="108"/>
      <c r="R5954" s="109"/>
      <c r="S5954" s="109"/>
      <c r="T5954" s="108"/>
      <c r="U5954" s="110"/>
      <c r="V5954" s="110"/>
      <c r="W5954" s="110"/>
      <c r="X5954" s="110"/>
    </row>
    <row r="5955" spans="1:24" ht="14.25" customHeight="1">
      <c r="A5955" s="110"/>
      <c r="B5955" s="125"/>
      <c r="C5955" s="126"/>
      <c r="D5955" s="159"/>
      <c r="E5955" s="10" t="e">
        <f>TRIM(VLOOKUP(D5955,TB!$B$9:$C$1500,2,FALSE))</f>
        <v>#N/A</v>
      </c>
      <c r="F5955" s="142"/>
      <c r="G5955" s="130"/>
      <c r="H5955" s="10"/>
      <c r="I5955" s="10"/>
      <c r="J5955" s="79" t="e">
        <f t="shared" si="351"/>
        <v>#VALUE!</v>
      </c>
      <c r="K5955" s="106"/>
      <c r="L5955" s="107"/>
      <c r="M5955" s="106"/>
      <c r="N5955" s="106"/>
      <c r="O5955" s="108"/>
      <c r="P5955" s="108"/>
      <c r="Q5955" s="108"/>
      <c r="R5955" s="109"/>
      <c r="S5955" s="109"/>
      <c r="T5955" s="108"/>
      <c r="U5955" s="110"/>
      <c r="V5955" s="110"/>
      <c r="W5955" s="110"/>
      <c r="X5955" s="110"/>
    </row>
    <row r="5956" spans="1:24" ht="14.25" customHeight="1">
      <c r="A5956" s="110"/>
      <c r="B5956" s="125">
        <v>46203</v>
      </c>
      <c r="C5956" s="126" t="s">
        <v>3705</v>
      </c>
      <c r="D5956" s="68" t="s">
        <v>285</v>
      </c>
      <c r="E5956" s="10" t="str">
        <f>TRIM(VLOOKUP(D5956,TB!$B$9:$C$1500,2,FALSE))</f>
        <v>Misc Cash Purchase</v>
      </c>
      <c r="F5956" s="186" t="s">
        <v>3706</v>
      </c>
      <c r="G5956" s="130"/>
      <c r="H5956" s="155">
        <v>250000</v>
      </c>
      <c r="I5956" s="10"/>
      <c r="J5956" s="79" t="e">
        <f t="shared" si="351"/>
        <v>#VALUE!</v>
      </c>
      <c r="K5956" s="106"/>
      <c r="L5956" s="107"/>
      <c r="M5956" s="106"/>
      <c r="N5956" s="106"/>
      <c r="O5956" s="108"/>
      <c r="P5956" s="108"/>
      <c r="Q5956" s="108"/>
      <c r="R5956" s="109"/>
      <c r="S5956" s="109"/>
      <c r="T5956" s="108"/>
      <c r="U5956" s="110"/>
      <c r="V5956" s="110"/>
      <c r="W5956" s="110"/>
      <c r="X5956" s="110"/>
    </row>
    <row r="5957" spans="1:24" ht="14.25" customHeight="1">
      <c r="A5957" s="110"/>
      <c r="B5957" s="125">
        <v>46203</v>
      </c>
      <c r="C5957" s="126" t="s">
        <v>3705</v>
      </c>
      <c r="D5957" s="15" t="s">
        <v>3108</v>
      </c>
      <c r="E5957" s="10" t="str">
        <f>TRIM(VLOOKUP(D5957,TB!$B$9:$C$1500,2,FALSE))</f>
        <v>Promotional Costs</v>
      </c>
      <c r="F5957" s="186" t="s">
        <v>3706</v>
      </c>
      <c r="G5957" s="130"/>
      <c r="H5957" s="10"/>
      <c r="I5957" s="155">
        <v>250000</v>
      </c>
      <c r="J5957" s="79" t="e">
        <f t="shared" si="351"/>
        <v>#VALUE!</v>
      </c>
      <c r="K5957" s="106"/>
      <c r="L5957" s="107"/>
      <c r="M5957" s="106"/>
      <c r="N5957" s="106"/>
      <c r="O5957" s="108"/>
      <c r="P5957" s="108"/>
      <c r="Q5957" s="108"/>
      <c r="R5957" s="109"/>
      <c r="S5957" s="109"/>
      <c r="T5957" s="108"/>
      <c r="U5957" s="110"/>
      <c r="V5957" s="110"/>
      <c r="W5957" s="110"/>
      <c r="X5957" s="110"/>
    </row>
    <row r="5958" spans="1:24" ht="14.25" customHeight="1">
      <c r="A5958" s="110"/>
      <c r="B5958" s="125"/>
      <c r="C5958" s="126"/>
      <c r="D5958" s="159"/>
      <c r="E5958" s="10" t="e">
        <f>TRIM(VLOOKUP(D5958,TB!$B$9:$C$1500,2,FALSE))</f>
        <v>#N/A</v>
      </c>
      <c r="F5958" s="142"/>
      <c r="G5958" s="130"/>
      <c r="H5958" s="10"/>
      <c r="I5958" s="10"/>
      <c r="J5958" s="79" t="e">
        <f t="shared" si="351"/>
        <v>#VALUE!</v>
      </c>
      <c r="K5958" s="106"/>
      <c r="L5958" s="107"/>
      <c r="M5958" s="106"/>
      <c r="N5958" s="106"/>
      <c r="O5958" s="108"/>
      <c r="P5958" s="108"/>
      <c r="Q5958" s="108"/>
      <c r="R5958" s="109"/>
      <c r="S5958" s="109"/>
      <c r="T5958" s="108"/>
      <c r="U5958" s="110"/>
      <c r="V5958" s="110"/>
      <c r="W5958" s="110"/>
      <c r="X5958" s="110"/>
    </row>
    <row r="5959" spans="1:24" ht="14.25" customHeight="1">
      <c r="A5959" s="110"/>
      <c r="B5959" s="125">
        <v>46203</v>
      </c>
      <c r="C5959" s="126" t="s">
        <v>3707</v>
      </c>
      <c r="D5959" s="68" t="s">
        <v>285</v>
      </c>
      <c r="E5959" s="10" t="str">
        <f>TRIM(VLOOKUP(D5959,TB!$B$9:$C$1500,2,FALSE))</f>
        <v>Misc Cash Purchase</v>
      </c>
      <c r="F5959" s="142" t="s">
        <v>3708</v>
      </c>
      <c r="G5959" s="130"/>
      <c r="H5959" s="10">
        <v>500000</v>
      </c>
      <c r="I5959" s="10"/>
      <c r="J5959" s="79" t="e">
        <f t="shared" si="351"/>
        <v>#VALUE!</v>
      </c>
      <c r="K5959" s="106"/>
      <c r="L5959" s="107"/>
      <c r="M5959" s="106"/>
      <c r="N5959" s="106"/>
      <c r="O5959" s="108"/>
      <c r="P5959" s="108"/>
      <c r="Q5959" s="108"/>
      <c r="R5959" s="109"/>
      <c r="S5959" s="109"/>
      <c r="T5959" s="108"/>
      <c r="U5959" s="110"/>
      <c r="V5959" s="110"/>
      <c r="W5959" s="110"/>
      <c r="X5959" s="110"/>
    </row>
    <row r="5960" spans="1:24" ht="14.25" customHeight="1">
      <c r="A5960" s="110"/>
      <c r="B5960" s="125">
        <v>46203</v>
      </c>
      <c r="C5960" s="126" t="s">
        <v>3707</v>
      </c>
      <c r="D5960" s="68" t="s">
        <v>285</v>
      </c>
      <c r="E5960" s="10" t="str">
        <f>TRIM(VLOOKUP(D5960,TB!$B$9:$C$1500,2,FALSE))</f>
        <v>Misc Cash Purchase</v>
      </c>
      <c r="F5960" s="173" t="s">
        <v>3709</v>
      </c>
      <c r="G5960" s="130"/>
      <c r="H5960" s="10">
        <v>500000</v>
      </c>
      <c r="I5960" s="10"/>
      <c r="J5960" s="79" t="e">
        <f t="shared" si="351"/>
        <v>#VALUE!</v>
      </c>
      <c r="K5960" s="106"/>
      <c r="L5960" s="107"/>
      <c r="M5960" s="106"/>
      <c r="N5960" s="106"/>
      <c r="O5960" s="108"/>
      <c r="P5960" s="108"/>
      <c r="Q5960" s="108"/>
      <c r="R5960" s="109"/>
      <c r="S5960" s="109"/>
      <c r="T5960" s="108"/>
      <c r="U5960" s="110"/>
      <c r="V5960" s="110"/>
      <c r="W5960" s="110"/>
      <c r="X5960" s="110"/>
    </row>
    <row r="5961" spans="1:24" ht="14.25" customHeight="1">
      <c r="A5961" s="110"/>
      <c r="B5961" s="125">
        <v>46203</v>
      </c>
      <c r="C5961" s="126" t="s">
        <v>3707</v>
      </c>
      <c r="D5961" s="15" t="s">
        <v>3637</v>
      </c>
      <c r="E5961" s="10" t="str">
        <f>TRIM(VLOOKUP(D5961,TB!$B$9:$C$1500,2,FALSE))</f>
        <v>Bonus</v>
      </c>
      <c r="F5961" s="142" t="s">
        <v>3708</v>
      </c>
      <c r="G5961" s="130"/>
      <c r="H5961" s="10"/>
      <c r="I5961" s="10">
        <v>500000</v>
      </c>
      <c r="J5961" s="79" t="e">
        <f t="shared" si="351"/>
        <v>#VALUE!</v>
      </c>
      <c r="K5961" s="106"/>
      <c r="L5961" s="107"/>
      <c r="M5961" s="106"/>
      <c r="N5961" s="106"/>
      <c r="O5961" s="108"/>
      <c r="P5961" s="108"/>
      <c r="Q5961" s="108"/>
      <c r="R5961" s="109"/>
      <c r="S5961" s="109"/>
      <c r="T5961" s="108"/>
      <c r="U5961" s="110"/>
      <c r="V5961" s="110"/>
      <c r="W5961" s="110"/>
      <c r="X5961" s="110"/>
    </row>
    <row r="5962" spans="1:24" ht="14.25" customHeight="1">
      <c r="A5962" s="110"/>
      <c r="B5962" s="125">
        <v>46203</v>
      </c>
      <c r="C5962" s="126" t="s">
        <v>3707</v>
      </c>
      <c r="D5962" s="15" t="s">
        <v>3637</v>
      </c>
      <c r="E5962" s="10" t="str">
        <f>TRIM(VLOOKUP(D5962,TB!$B$9:$C$1500,2,FALSE))</f>
        <v>Bonus</v>
      </c>
      <c r="F5962" s="173" t="s">
        <v>3709</v>
      </c>
      <c r="G5962" s="130"/>
      <c r="H5962" s="10"/>
      <c r="I5962" s="10">
        <v>500000</v>
      </c>
      <c r="J5962" s="79" t="e">
        <f t="shared" si="351"/>
        <v>#VALUE!</v>
      </c>
      <c r="K5962" s="106"/>
      <c r="L5962" s="107"/>
      <c r="M5962" s="106"/>
      <c r="N5962" s="106"/>
      <c r="O5962" s="108"/>
      <c r="P5962" s="108"/>
      <c r="Q5962" s="108"/>
      <c r="R5962" s="109"/>
      <c r="S5962" s="109"/>
      <c r="T5962" s="108"/>
      <c r="U5962" s="110"/>
      <c r="V5962" s="110"/>
      <c r="W5962" s="110"/>
      <c r="X5962" s="110"/>
    </row>
    <row r="5963" spans="1:24" ht="14.25" customHeight="1">
      <c r="A5963" s="110"/>
      <c r="B5963" s="125"/>
      <c r="C5963" s="126"/>
      <c r="D5963" s="159"/>
      <c r="E5963" s="10" t="e">
        <f>TRIM(VLOOKUP(D5963,TB!$B$9:$C$1500,2,FALSE))</f>
        <v>#N/A</v>
      </c>
      <c r="F5963" s="142"/>
      <c r="G5963" s="130"/>
      <c r="H5963" s="10"/>
      <c r="I5963" s="10"/>
      <c r="J5963" s="79" t="e">
        <f t="shared" si="351"/>
        <v>#VALUE!</v>
      </c>
      <c r="K5963" s="106"/>
      <c r="L5963" s="107"/>
      <c r="M5963" s="106"/>
      <c r="N5963" s="106"/>
      <c r="O5963" s="108"/>
      <c r="P5963" s="108"/>
      <c r="Q5963" s="108"/>
      <c r="R5963" s="109"/>
      <c r="S5963" s="109"/>
      <c r="T5963" s="108"/>
      <c r="U5963" s="110"/>
      <c r="V5963" s="110"/>
      <c r="W5963" s="110"/>
      <c r="X5963" s="110"/>
    </row>
    <row r="5964" spans="1:24" ht="14.25" customHeight="1">
      <c r="A5964" s="110"/>
      <c r="B5964" s="125">
        <v>46203</v>
      </c>
      <c r="C5964" s="126" t="s">
        <v>3710</v>
      </c>
      <c r="D5964" s="68" t="s">
        <v>285</v>
      </c>
      <c r="E5964" s="10" t="str">
        <f>TRIM(VLOOKUP(D5964,TB!$B$9:$C$1500,2,FALSE))</f>
        <v>Misc Cash Purchase</v>
      </c>
      <c r="F5964" s="185" t="s">
        <v>3711</v>
      </c>
      <c r="G5964" s="130"/>
      <c r="H5964" s="10">
        <v>560000</v>
      </c>
      <c r="I5964" s="10"/>
      <c r="J5964" s="79" t="e">
        <f t="shared" si="351"/>
        <v>#VALUE!</v>
      </c>
      <c r="K5964" s="106"/>
      <c r="L5964" s="107"/>
      <c r="M5964" s="106"/>
      <c r="N5964" s="106"/>
      <c r="O5964" s="108"/>
      <c r="P5964" s="108"/>
      <c r="Q5964" s="108"/>
      <c r="R5964" s="109"/>
      <c r="S5964" s="109"/>
      <c r="T5964" s="108"/>
      <c r="U5964" s="110"/>
      <c r="V5964" s="110"/>
      <c r="W5964" s="110"/>
      <c r="X5964" s="110"/>
    </row>
    <row r="5965" spans="1:24" ht="14.25" customHeight="1">
      <c r="A5965" s="110"/>
      <c r="B5965" s="125">
        <v>46203</v>
      </c>
      <c r="C5965" s="126" t="s">
        <v>3710</v>
      </c>
      <c r="D5965" s="15" t="s">
        <v>3108</v>
      </c>
      <c r="E5965" s="10" t="str">
        <f>TRIM(VLOOKUP(D5965,TB!$B$9:$C$1500,2,FALSE))</f>
        <v>Promotional Costs</v>
      </c>
      <c r="F5965" s="185" t="s">
        <v>3711</v>
      </c>
      <c r="G5965" s="130"/>
      <c r="H5965" s="10"/>
      <c r="I5965" s="10">
        <v>270000</v>
      </c>
      <c r="J5965" s="79" t="e">
        <f t="shared" si="351"/>
        <v>#VALUE!</v>
      </c>
      <c r="K5965" s="106"/>
      <c r="L5965" s="107"/>
      <c r="M5965" s="106"/>
      <c r="N5965" s="106"/>
      <c r="O5965" s="108"/>
      <c r="P5965" s="108"/>
      <c r="Q5965" s="108"/>
      <c r="R5965" s="109"/>
      <c r="S5965" s="109"/>
      <c r="T5965" s="108"/>
      <c r="U5965" s="110"/>
      <c r="V5965" s="110"/>
      <c r="W5965" s="110"/>
      <c r="X5965" s="110"/>
    </row>
    <row r="5966" spans="1:24" ht="14.25" customHeight="1">
      <c r="A5966" s="110"/>
      <c r="B5966" s="125">
        <v>46203</v>
      </c>
      <c r="C5966" s="126" t="s">
        <v>3710</v>
      </c>
      <c r="D5966" s="15" t="s">
        <v>221</v>
      </c>
      <c r="E5966" s="10" t="str">
        <f>TRIM(VLOOKUP(D5966,TB!$B$9:$C$1500,2,FALSE))</f>
        <v>COS - Promotor Fees Other</v>
      </c>
      <c r="F5966" s="185" t="s">
        <v>3711</v>
      </c>
      <c r="G5966" s="130"/>
      <c r="H5966" s="10"/>
      <c r="I5966" s="10">
        <v>290000</v>
      </c>
      <c r="J5966" s="79" t="e">
        <f t="shared" si="351"/>
        <v>#VALUE!</v>
      </c>
      <c r="K5966" s="106"/>
      <c r="L5966" s="107"/>
      <c r="M5966" s="106"/>
      <c r="N5966" s="106"/>
      <c r="O5966" s="108"/>
      <c r="P5966" s="108"/>
      <c r="Q5966" s="108"/>
      <c r="R5966" s="109"/>
      <c r="S5966" s="109"/>
      <c r="T5966" s="108"/>
      <c r="U5966" s="110"/>
      <c r="V5966" s="110"/>
      <c r="W5966" s="110"/>
      <c r="X5966" s="110"/>
    </row>
    <row r="5967" spans="1:24" ht="14.25" customHeight="1">
      <c r="A5967" s="110"/>
      <c r="B5967" s="125"/>
      <c r="C5967" s="126"/>
      <c r="D5967" s="159"/>
      <c r="E5967" s="10" t="e">
        <f>TRIM(VLOOKUP(D5967,TB!$B$9:$C$1500,2,FALSE))</f>
        <v>#N/A</v>
      </c>
      <c r="F5967" s="142"/>
      <c r="G5967" s="130"/>
      <c r="H5967" s="10"/>
      <c r="I5967" s="10"/>
      <c r="J5967" s="79" t="e">
        <f t="shared" si="351"/>
        <v>#VALUE!</v>
      </c>
      <c r="K5967" s="106"/>
      <c r="L5967" s="107"/>
      <c r="M5967" s="106"/>
      <c r="N5967" s="106"/>
      <c r="O5967" s="108"/>
      <c r="P5967" s="108"/>
      <c r="Q5967" s="108"/>
      <c r="R5967" s="109"/>
      <c r="S5967" s="109"/>
      <c r="T5967" s="108"/>
      <c r="U5967" s="110"/>
      <c r="V5967" s="110"/>
      <c r="W5967" s="110"/>
      <c r="X5967" s="110"/>
    </row>
    <row r="5968" spans="1:24" ht="14.25" customHeight="1">
      <c r="A5968" s="110"/>
      <c r="B5968" s="125">
        <v>46203</v>
      </c>
      <c r="C5968" s="126" t="s">
        <v>3712</v>
      </c>
      <c r="D5968" s="68" t="s">
        <v>285</v>
      </c>
      <c r="E5968" s="10" t="str">
        <f>TRIM(VLOOKUP(D5968,TB!$B$9:$C$1500,2,FALSE))</f>
        <v>Misc Cash Purchase</v>
      </c>
      <c r="F5968" s="185" t="s">
        <v>3713</v>
      </c>
      <c r="G5968" s="130"/>
      <c r="H5968" s="158">
        <v>420000</v>
      </c>
      <c r="I5968" s="10"/>
      <c r="J5968" s="79" t="e">
        <f t="shared" si="351"/>
        <v>#VALUE!</v>
      </c>
      <c r="K5968" s="106"/>
      <c r="L5968" s="107"/>
      <c r="M5968" s="106"/>
      <c r="N5968" s="106"/>
      <c r="O5968" s="108"/>
      <c r="P5968" s="108"/>
      <c r="Q5968" s="108"/>
      <c r="R5968" s="109"/>
      <c r="S5968" s="109"/>
      <c r="T5968" s="108"/>
      <c r="U5968" s="110"/>
      <c r="V5968" s="110"/>
      <c r="W5968" s="110"/>
      <c r="X5968" s="110"/>
    </row>
    <row r="5969" spans="1:24" ht="14.25" customHeight="1">
      <c r="A5969" s="110"/>
      <c r="B5969" s="125">
        <v>46203</v>
      </c>
      <c r="C5969" s="126" t="s">
        <v>3712</v>
      </c>
      <c r="D5969" s="15" t="s">
        <v>221</v>
      </c>
      <c r="E5969" s="10" t="str">
        <f>TRIM(VLOOKUP(D5969,TB!$B$9:$C$1500,2,FALSE))</f>
        <v>COS - Promotor Fees Other</v>
      </c>
      <c r="F5969" s="185" t="s">
        <v>3713</v>
      </c>
      <c r="G5969" s="130"/>
      <c r="H5969" s="158"/>
      <c r="I5969" s="158">
        <v>420000</v>
      </c>
      <c r="J5969" s="79" t="e">
        <f t="shared" si="351"/>
        <v>#VALUE!</v>
      </c>
      <c r="K5969" s="106"/>
      <c r="L5969" s="107"/>
      <c r="M5969" s="106"/>
      <c r="N5969" s="106"/>
      <c r="O5969" s="108"/>
      <c r="P5969" s="108"/>
      <c r="Q5969" s="108"/>
      <c r="R5969" s="109"/>
      <c r="S5969" s="109"/>
      <c r="T5969" s="108"/>
      <c r="U5969" s="110"/>
      <c r="V5969" s="110"/>
      <c r="W5969" s="110"/>
      <c r="X5969" s="110"/>
    </row>
    <row r="5970" spans="1:24" ht="14.25" customHeight="1">
      <c r="A5970" s="110"/>
      <c r="B5970" s="125"/>
      <c r="C5970" s="126"/>
      <c r="D5970" s="159"/>
      <c r="E5970" s="10" t="e">
        <f>TRIM(VLOOKUP(D5970,TB!$B$9:$C$1500,2,FALSE))</f>
        <v>#N/A</v>
      </c>
      <c r="F5970" s="142"/>
      <c r="G5970" s="130"/>
      <c r="H5970" s="10"/>
      <c r="I5970" s="10"/>
      <c r="J5970" s="79" t="e">
        <f t="shared" si="351"/>
        <v>#VALUE!</v>
      </c>
      <c r="K5970" s="106"/>
      <c r="L5970" s="107"/>
      <c r="M5970" s="106"/>
      <c r="N5970" s="106"/>
      <c r="O5970" s="108"/>
      <c r="P5970" s="108"/>
      <c r="Q5970" s="108"/>
      <c r="R5970" s="109"/>
      <c r="S5970" s="109"/>
      <c r="T5970" s="108"/>
      <c r="U5970" s="110"/>
      <c r="V5970" s="110"/>
      <c r="W5970" s="110"/>
      <c r="X5970" s="110"/>
    </row>
    <row r="5971" spans="1:24" ht="14.25" customHeight="1">
      <c r="A5971" s="110"/>
      <c r="B5971" s="125">
        <v>46203</v>
      </c>
      <c r="C5971" s="126" t="s">
        <v>3714</v>
      </c>
      <c r="D5971" s="68" t="s">
        <v>285</v>
      </c>
      <c r="E5971" s="10" t="str">
        <f>TRIM(VLOOKUP(D5971,TB!$B$9:$C$1500,2,FALSE))</f>
        <v>Misc Cash Purchase</v>
      </c>
      <c r="F5971" s="185" t="s">
        <v>3715</v>
      </c>
      <c r="G5971" s="130"/>
      <c r="H5971" s="10">
        <v>1070000</v>
      </c>
      <c r="I5971" s="10"/>
      <c r="J5971" s="79" t="e">
        <f t="shared" si="351"/>
        <v>#VALUE!</v>
      </c>
      <c r="K5971" s="106"/>
      <c r="L5971" s="107"/>
      <c r="M5971" s="106"/>
      <c r="N5971" s="106"/>
      <c r="O5971" s="108"/>
      <c r="P5971" s="108"/>
      <c r="Q5971" s="108"/>
      <c r="R5971" s="109"/>
      <c r="S5971" s="109"/>
      <c r="T5971" s="108"/>
      <c r="U5971" s="110"/>
      <c r="V5971" s="110"/>
      <c r="W5971" s="110"/>
      <c r="X5971" s="110"/>
    </row>
    <row r="5972" spans="1:24" ht="14.25" customHeight="1">
      <c r="A5972" s="110"/>
      <c r="B5972" s="125">
        <v>46203</v>
      </c>
      <c r="C5972" s="126" t="s">
        <v>3714</v>
      </c>
      <c r="D5972" s="15" t="s">
        <v>3149</v>
      </c>
      <c r="E5972" s="10" t="str">
        <f>TRIM(VLOOKUP(D5972,TB!$B$9:$C$1500,2,FALSE))</f>
        <v>COS - Promotor Fees Internal</v>
      </c>
      <c r="F5972" s="185" t="s">
        <v>3715</v>
      </c>
      <c r="G5972" s="130"/>
      <c r="H5972" s="10"/>
      <c r="I5972" s="10">
        <v>1070000</v>
      </c>
      <c r="J5972" s="79" t="e">
        <f t="shared" si="351"/>
        <v>#VALUE!</v>
      </c>
      <c r="K5972" s="106"/>
      <c r="L5972" s="107"/>
      <c r="M5972" s="106"/>
      <c r="N5972" s="106"/>
      <c r="O5972" s="108"/>
      <c r="P5972" s="108"/>
      <c r="Q5972" s="108"/>
      <c r="R5972" s="109"/>
      <c r="S5972" s="109"/>
      <c r="T5972" s="108"/>
      <c r="U5972" s="110"/>
      <c r="V5972" s="110"/>
      <c r="W5972" s="110"/>
      <c r="X5972" s="110"/>
    </row>
    <row r="5973" spans="1:24" ht="14.25" customHeight="1">
      <c r="A5973" s="110"/>
      <c r="B5973" s="125"/>
      <c r="C5973" s="126"/>
      <c r="D5973" s="159"/>
      <c r="E5973" s="10" t="e">
        <f>TRIM(VLOOKUP(D5973,TB!$B$9:$C$1500,2,FALSE))</f>
        <v>#N/A</v>
      </c>
      <c r="F5973" s="142"/>
      <c r="G5973" s="130"/>
      <c r="H5973" s="10"/>
      <c r="I5973" s="10"/>
      <c r="J5973" s="79" t="e">
        <f t="shared" si="351"/>
        <v>#VALUE!</v>
      </c>
      <c r="K5973" s="106"/>
      <c r="L5973" s="107"/>
      <c r="M5973" s="106"/>
      <c r="N5973" s="106"/>
      <c r="O5973" s="108"/>
      <c r="P5973" s="108"/>
      <c r="Q5973" s="108"/>
      <c r="R5973" s="109"/>
      <c r="S5973" s="109"/>
      <c r="T5973" s="108"/>
      <c r="U5973" s="110"/>
      <c r="V5973" s="110"/>
      <c r="W5973" s="110"/>
      <c r="X5973" s="110"/>
    </row>
    <row r="5974" spans="1:24" ht="14.25" customHeight="1">
      <c r="A5974" s="110"/>
      <c r="B5974" s="125">
        <v>46203</v>
      </c>
      <c r="C5974" s="126" t="s">
        <v>3716</v>
      </c>
      <c r="D5974" s="68" t="s">
        <v>285</v>
      </c>
      <c r="E5974" s="10" t="str">
        <f>TRIM(VLOOKUP(D5974,TB!$B$9:$C$1500,2,FALSE))</f>
        <v>Misc Cash Purchase</v>
      </c>
      <c r="F5974" s="142" t="s">
        <v>3717</v>
      </c>
      <c r="G5974" s="130"/>
      <c r="H5974" s="177">
        <v>310000</v>
      </c>
      <c r="I5974" s="10"/>
      <c r="J5974" s="79" t="e">
        <f t="shared" si="351"/>
        <v>#VALUE!</v>
      </c>
      <c r="K5974" s="106"/>
      <c r="L5974" s="107"/>
      <c r="M5974" s="106"/>
      <c r="N5974" s="106"/>
      <c r="O5974" s="108"/>
      <c r="P5974" s="108"/>
      <c r="Q5974" s="108"/>
      <c r="R5974" s="109"/>
      <c r="S5974" s="109"/>
      <c r="T5974" s="108"/>
      <c r="U5974" s="110"/>
      <c r="V5974" s="110"/>
      <c r="W5974" s="110"/>
      <c r="X5974" s="110"/>
    </row>
    <row r="5975" spans="1:24" ht="14.25" customHeight="1">
      <c r="A5975" s="110"/>
      <c r="B5975" s="125">
        <v>46203</v>
      </c>
      <c r="C5975" s="126" t="s">
        <v>3716</v>
      </c>
      <c r="D5975" s="68" t="s">
        <v>285</v>
      </c>
      <c r="E5975" s="10" t="str">
        <f>TRIM(VLOOKUP(D5975,TB!$B$9:$C$1500,2,FALSE))</f>
        <v>Misc Cash Purchase</v>
      </c>
      <c r="F5975" s="185" t="s">
        <v>3718</v>
      </c>
      <c r="G5975" s="130"/>
      <c r="H5975" s="177">
        <v>370000</v>
      </c>
      <c r="I5975" s="10"/>
      <c r="J5975" s="79" t="e">
        <f t="shared" si="351"/>
        <v>#VALUE!</v>
      </c>
      <c r="K5975" s="106"/>
      <c r="L5975" s="107"/>
      <c r="M5975" s="106"/>
      <c r="N5975" s="106"/>
      <c r="O5975" s="108"/>
      <c r="P5975" s="108"/>
      <c r="Q5975" s="108"/>
      <c r="R5975" s="109"/>
      <c r="S5975" s="109"/>
      <c r="T5975" s="108"/>
      <c r="U5975" s="110"/>
      <c r="V5975" s="110"/>
      <c r="W5975" s="110"/>
      <c r="X5975" s="110"/>
    </row>
    <row r="5976" spans="1:24" ht="14.25" customHeight="1">
      <c r="A5976" s="110"/>
      <c r="B5976" s="125">
        <v>46203</v>
      </c>
      <c r="C5976" s="126" t="s">
        <v>3716</v>
      </c>
      <c r="D5976" s="15" t="s">
        <v>3149</v>
      </c>
      <c r="E5976" s="10" t="str">
        <f>TRIM(VLOOKUP(D5976,TB!$B$9:$C$1500,2,FALSE))</f>
        <v>COS - Promotor Fees Internal</v>
      </c>
      <c r="F5976" s="142" t="s">
        <v>3717</v>
      </c>
      <c r="G5976" s="130"/>
      <c r="H5976" s="10"/>
      <c r="I5976" s="177">
        <v>310000</v>
      </c>
      <c r="J5976" s="79" t="e">
        <f t="shared" si="351"/>
        <v>#VALUE!</v>
      </c>
      <c r="K5976" s="106"/>
      <c r="L5976" s="107"/>
      <c r="M5976" s="106"/>
      <c r="N5976" s="106"/>
      <c r="O5976" s="108"/>
      <c r="P5976" s="108"/>
      <c r="Q5976" s="108"/>
      <c r="R5976" s="109"/>
      <c r="S5976" s="109"/>
      <c r="T5976" s="108"/>
      <c r="U5976" s="110"/>
      <c r="V5976" s="110"/>
      <c r="W5976" s="110"/>
      <c r="X5976" s="110"/>
    </row>
    <row r="5977" spans="1:24" ht="14.25" customHeight="1">
      <c r="A5977" s="110"/>
      <c r="B5977" s="125">
        <v>46203</v>
      </c>
      <c r="C5977" s="126" t="s">
        <v>3716</v>
      </c>
      <c r="D5977" s="15" t="s">
        <v>3149</v>
      </c>
      <c r="E5977" s="10" t="str">
        <f>TRIM(VLOOKUP(D5977,TB!$B$9:$C$1500,2,FALSE))</f>
        <v>COS - Promotor Fees Internal</v>
      </c>
      <c r="F5977" s="185" t="s">
        <v>3718</v>
      </c>
      <c r="G5977" s="130"/>
      <c r="H5977" s="10"/>
      <c r="I5977" s="177">
        <v>370000</v>
      </c>
      <c r="J5977" s="79" t="e">
        <f t="shared" si="351"/>
        <v>#VALUE!</v>
      </c>
      <c r="K5977" s="106"/>
      <c r="L5977" s="107"/>
      <c r="M5977" s="106"/>
      <c r="N5977" s="106"/>
      <c r="O5977" s="108"/>
      <c r="P5977" s="108"/>
      <c r="Q5977" s="108"/>
      <c r="R5977" s="109"/>
      <c r="S5977" s="109"/>
      <c r="T5977" s="108"/>
      <c r="U5977" s="110"/>
      <c r="V5977" s="110"/>
      <c r="W5977" s="110"/>
      <c r="X5977" s="110"/>
    </row>
    <row r="5978" spans="1:24" ht="14.25" customHeight="1">
      <c r="A5978" s="110"/>
      <c r="B5978" s="125"/>
      <c r="C5978" s="126"/>
      <c r="D5978" s="159"/>
      <c r="E5978" s="10" t="e">
        <f>TRIM(VLOOKUP(D5978,TB!$B$9:$C$1500,2,FALSE))</f>
        <v>#N/A</v>
      </c>
      <c r="F5978" s="142"/>
      <c r="G5978" s="130"/>
      <c r="H5978" s="10"/>
      <c r="I5978" s="10"/>
      <c r="J5978" s="79" t="e">
        <f t="shared" si="351"/>
        <v>#VALUE!</v>
      </c>
      <c r="K5978" s="106"/>
      <c r="L5978" s="107"/>
      <c r="M5978" s="106"/>
      <c r="N5978" s="106"/>
      <c r="O5978" s="108"/>
      <c r="P5978" s="108"/>
      <c r="Q5978" s="108"/>
      <c r="R5978" s="109"/>
      <c r="S5978" s="109"/>
      <c r="T5978" s="108"/>
      <c r="U5978" s="110"/>
      <c r="V5978" s="110"/>
      <c r="W5978" s="110"/>
      <c r="X5978" s="110"/>
    </row>
    <row r="5979" spans="1:24" ht="14.25" customHeight="1">
      <c r="A5979" s="110"/>
      <c r="B5979" s="125">
        <v>46203</v>
      </c>
      <c r="C5979" s="126" t="s">
        <v>3719</v>
      </c>
      <c r="D5979" s="68" t="s">
        <v>285</v>
      </c>
      <c r="E5979" s="10" t="str">
        <f>TRIM(VLOOKUP(D5979,TB!$B$9:$C$1500,2,FALSE))</f>
        <v>Misc Cash Purchase</v>
      </c>
      <c r="F5979" s="142" t="s">
        <v>3720</v>
      </c>
      <c r="G5979" s="130"/>
      <c r="H5979" s="177">
        <v>510000</v>
      </c>
      <c r="I5979" s="10"/>
      <c r="J5979" s="79" t="e">
        <f t="shared" si="351"/>
        <v>#VALUE!</v>
      </c>
      <c r="K5979" s="106"/>
      <c r="L5979" s="107"/>
      <c r="M5979" s="106"/>
      <c r="N5979" s="106"/>
      <c r="O5979" s="108"/>
      <c r="P5979" s="108"/>
      <c r="Q5979" s="108"/>
      <c r="R5979" s="109"/>
      <c r="S5979" s="109"/>
      <c r="T5979" s="108"/>
      <c r="U5979" s="110"/>
      <c r="V5979" s="110"/>
      <c r="W5979" s="110"/>
      <c r="X5979" s="110"/>
    </row>
    <row r="5980" spans="1:24" ht="14.25" customHeight="1">
      <c r="A5980" s="110"/>
      <c r="B5980" s="125">
        <v>46203</v>
      </c>
      <c r="C5980" s="126" t="s">
        <v>3719</v>
      </c>
      <c r="D5980" s="68" t="s">
        <v>285</v>
      </c>
      <c r="E5980" s="10" t="str">
        <f>TRIM(VLOOKUP(D5980,TB!$B$9:$C$1500,2,FALSE))</f>
        <v>Misc Cash Purchase</v>
      </c>
      <c r="F5980" s="142" t="s">
        <v>3721</v>
      </c>
      <c r="G5980" s="130"/>
      <c r="H5980" s="177">
        <v>450000</v>
      </c>
      <c r="I5980" s="10"/>
      <c r="J5980" s="79" t="e">
        <f t="shared" si="351"/>
        <v>#VALUE!</v>
      </c>
      <c r="K5980" s="106"/>
      <c r="L5980" s="107"/>
      <c r="M5980" s="106"/>
      <c r="N5980" s="106"/>
      <c r="O5980" s="108"/>
      <c r="P5980" s="108"/>
      <c r="Q5980" s="108"/>
      <c r="R5980" s="109"/>
      <c r="S5980" s="109"/>
      <c r="T5980" s="108"/>
      <c r="U5980" s="110"/>
      <c r="V5980" s="110"/>
      <c r="W5980" s="110"/>
      <c r="X5980" s="110"/>
    </row>
    <row r="5981" spans="1:24" ht="14.25" customHeight="1">
      <c r="A5981" s="110"/>
      <c r="B5981" s="125">
        <v>46203</v>
      </c>
      <c r="C5981" s="126" t="s">
        <v>3719</v>
      </c>
      <c r="D5981" s="68" t="s">
        <v>285</v>
      </c>
      <c r="E5981" s="10" t="str">
        <f>TRIM(VLOOKUP(D5981,TB!$B$9:$C$1500,2,FALSE))</f>
        <v>Misc Cash Purchase</v>
      </c>
      <c r="F5981" s="142" t="s">
        <v>3722</v>
      </c>
      <c r="G5981" s="130"/>
      <c r="H5981" s="177">
        <v>450000</v>
      </c>
      <c r="I5981" s="10"/>
      <c r="J5981" s="79" t="e">
        <f t="shared" si="351"/>
        <v>#VALUE!</v>
      </c>
      <c r="K5981" s="106"/>
      <c r="L5981" s="107"/>
      <c r="M5981" s="106"/>
      <c r="N5981" s="106"/>
      <c r="O5981" s="108"/>
      <c r="P5981" s="108"/>
      <c r="Q5981" s="108"/>
      <c r="R5981" s="109"/>
      <c r="S5981" s="109"/>
      <c r="T5981" s="108"/>
      <c r="U5981" s="110"/>
      <c r="V5981" s="110"/>
      <c r="W5981" s="110"/>
      <c r="X5981" s="110"/>
    </row>
    <row r="5982" spans="1:24" ht="14.25" customHeight="1">
      <c r="A5982" s="110"/>
      <c r="B5982" s="125">
        <v>46203</v>
      </c>
      <c r="C5982" s="126" t="s">
        <v>3719</v>
      </c>
      <c r="D5982" s="15" t="s">
        <v>3149</v>
      </c>
      <c r="E5982" s="10" t="str">
        <f>TRIM(VLOOKUP(D5982,TB!$B$9:$C$1500,2,FALSE))</f>
        <v>COS - Promotor Fees Internal</v>
      </c>
      <c r="F5982" s="142" t="s">
        <v>3720</v>
      </c>
      <c r="G5982" s="130"/>
      <c r="H5982" s="10"/>
      <c r="I5982" s="177">
        <v>510000</v>
      </c>
      <c r="J5982" s="79" t="e">
        <f t="shared" si="351"/>
        <v>#VALUE!</v>
      </c>
      <c r="K5982" s="106"/>
      <c r="L5982" s="107"/>
      <c r="M5982" s="106"/>
      <c r="N5982" s="106"/>
      <c r="O5982" s="108"/>
      <c r="P5982" s="108"/>
      <c r="Q5982" s="108"/>
      <c r="R5982" s="109"/>
      <c r="S5982" s="109"/>
      <c r="T5982" s="108"/>
      <c r="U5982" s="110"/>
      <c r="V5982" s="110"/>
      <c r="W5982" s="110"/>
      <c r="X5982" s="110"/>
    </row>
    <row r="5983" spans="1:24" ht="14.25" customHeight="1">
      <c r="A5983" s="110"/>
      <c r="B5983" s="125">
        <v>46203</v>
      </c>
      <c r="C5983" s="126" t="s">
        <v>3719</v>
      </c>
      <c r="D5983" s="15" t="s">
        <v>221</v>
      </c>
      <c r="E5983" s="10" t="str">
        <f>TRIM(VLOOKUP(D5983,TB!$B$9:$C$1500,2,FALSE))</f>
        <v>COS - Promotor Fees Other</v>
      </c>
      <c r="F5983" s="142" t="s">
        <v>3721</v>
      </c>
      <c r="G5983" s="130"/>
      <c r="H5983" s="10"/>
      <c r="I5983" s="177">
        <v>450000</v>
      </c>
      <c r="J5983" s="79" t="e">
        <f t="shared" si="351"/>
        <v>#VALUE!</v>
      </c>
      <c r="K5983" s="106"/>
      <c r="L5983" s="107"/>
      <c r="M5983" s="106"/>
      <c r="N5983" s="106"/>
      <c r="O5983" s="108"/>
      <c r="P5983" s="108"/>
      <c r="Q5983" s="108"/>
      <c r="R5983" s="109"/>
      <c r="S5983" s="109"/>
      <c r="T5983" s="108"/>
      <c r="U5983" s="110"/>
      <c r="V5983" s="110"/>
      <c r="W5983" s="110"/>
      <c r="X5983" s="110"/>
    </row>
    <row r="5984" spans="1:24" ht="14.25" customHeight="1">
      <c r="A5984" s="110"/>
      <c r="B5984" s="125">
        <v>46203</v>
      </c>
      <c r="C5984" s="126" t="s">
        <v>3719</v>
      </c>
      <c r="D5984" s="15" t="s">
        <v>221</v>
      </c>
      <c r="E5984" s="10" t="str">
        <f>TRIM(VLOOKUP(D5984,TB!$B$9:$C$1500,2,FALSE))</f>
        <v>COS - Promotor Fees Other</v>
      </c>
      <c r="F5984" s="142" t="s">
        <v>3722</v>
      </c>
      <c r="G5984" s="130"/>
      <c r="H5984" s="10"/>
      <c r="I5984" s="177">
        <v>450000</v>
      </c>
      <c r="J5984" s="79" t="e">
        <f t="shared" si="351"/>
        <v>#VALUE!</v>
      </c>
      <c r="K5984" s="106"/>
      <c r="L5984" s="107"/>
      <c r="M5984" s="106"/>
      <c r="N5984" s="106"/>
      <c r="O5984" s="108"/>
      <c r="P5984" s="108"/>
      <c r="Q5984" s="108"/>
      <c r="R5984" s="109"/>
      <c r="S5984" s="109"/>
      <c r="T5984" s="108"/>
      <c r="U5984" s="110"/>
      <c r="V5984" s="110"/>
      <c r="W5984" s="110"/>
      <c r="X5984" s="110"/>
    </row>
    <row r="5985" spans="1:24" ht="14.25" customHeight="1">
      <c r="A5985" s="110"/>
      <c r="B5985" s="125"/>
      <c r="C5985" s="126"/>
      <c r="D5985" s="159"/>
      <c r="E5985" s="10" t="e">
        <f>TRIM(VLOOKUP(D5985,TB!$B$9:$C$1500,2,FALSE))</f>
        <v>#N/A</v>
      </c>
      <c r="F5985" s="142"/>
      <c r="G5985" s="130"/>
      <c r="H5985" s="10"/>
      <c r="I5985" s="10"/>
      <c r="J5985" s="79" t="e">
        <f t="shared" si="351"/>
        <v>#VALUE!</v>
      </c>
      <c r="K5985" s="106"/>
      <c r="L5985" s="107"/>
      <c r="M5985" s="106"/>
      <c r="N5985" s="106"/>
      <c r="O5985" s="108"/>
      <c r="P5985" s="108"/>
      <c r="Q5985" s="108"/>
      <c r="R5985" s="109"/>
      <c r="S5985" s="109"/>
      <c r="T5985" s="108"/>
      <c r="U5985" s="110"/>
      <c r="V5985" s="110"/>
      <c r="W5985" s="110"/>
      <c r="X5985" s="110"/>
    </row>
    <row r="5986" spans="1:24" ht="14.25" customHeight="1">
      <c r="A5986" s="110"/>
      <c r="B5986" s="125">
        <v>46203</v>
      </c>
      <c r="C5986" s="126" t="s">
        <v>3723</v>
      </c>
      <c r="D5986" s="68" t="s">
        <v>285</v>
      </c>
      <c r="E5986" s="10" t="str">
        <f>TRIM(VLOOKUP(D5986,TB!$B$9:$C$1500,2,FALSE))</f>
        <v>Misc Cash Purchase</v>
      </c>
      <c r="F5986" s="142" t="s">
        <v>3724</v>
      </c>
      <c r="G5986" s="130"/>
      <c r="H5986" s="155">
        <v>2000000</v>
      </c>
      <c r="I5986" s="10"/>
      <c r="J5986" s="79" t="e">
        <f t="shared" si="351"/>
        <v>#VALUE!</v>
      </c>
      <c r="K5986" s="106"/>
      <c r="L5986" s="107"/>
      <c r="M5986" s="106"/>
      <c r="N5986" s="106"/>
      <c r="O5986" s="108"/>
      <c r="P5986" s="108"/>
      <c r="Q5986" s="108"/>
      <c r="R5986" s="109"/>
      <c r="S5986" s="109"/>
      <c r="T5986" s="108"/>
      <c r="U5986" s="110"/>
      <c r="V5986" s="110"/>
      <c r="W5986" s="110"/>
      <c r="X5986" s="110"/>
    </row>
    <row r="5987" spans="1:24" ht="14.25" customHeight="1">
      <c r="A5987" s="110"/>
      <c r="B5987" s="125">
        <v>46203</v>
      </c>
      <c r="C5987" s="126" t="s">
        <v>3723</v>
      </c>
      <c r="D5987" s="68" t="s">
        <v>285</v>
      </c>
      <c r="E5987" s="10" t="str">
        <f>TRIM(VLOOKUP(D5987,TB!$B$9:$C$1500,2,FALSE))</f>
        <v>Misc Cash Purchase</v>
      </c>
      <c r="F5987" s="142" t="s">
        <v>3725</v>
      </c>
      <c r="G5987" s="130"/>
      <c r="H5987" s="155">
        <v>2000000</v>
      </c>
      <c r="I5987" s="10"/>
      <c r="J5987" s="79" t="e">
        <f t="shared" si="351"/>
        <v>#VALUE!</v>
      </c>
      <c r="K5987" s="106"/>
      <c r="L5987" s="107"/>
      <c r="M5987" s="106"/>
      <c r="N5987" s="106"/>
      <c r="O5987" s="108"/>
      <c r="P5987" s="108"/>
      <c r="Q5987" s="108"/>
      <c r="R5987" s="109"/>
      <c r="S5987" s="109"/>
      <c r="T5987" s="108"/>
      <c r="U5987" s="110"/>
      <c r="V5987" s="110"/>
      <c r="W5987" s="110"/>
      <c r="X5987" s="110"/>
    </row>
    <row r="5988" spans="1:24" ht="14.25" customHeight="1">
      <c r="A5988" s="110"/>
      <c r="B5988" s="125">
        <v>46203</v>
      </c>
      <c r="C5988" s="126" t="s">
        <v>3723</v>
      </c>
      <c r="D5988" s="15" t="s">
        <v>659</v>
      </c>
      <c r="E5988" s="10" t="str">
        <f>TRIM(VLOOKUP(D5988,TB!$B$9:$C$1500,2,FALSE))</f>
        <v>COS - Entertainment</v>
      </c>
      <c r="F5988" s="142" t="s">
        <v>3724</v>
      </c>
      <c r="G5988" s="130"/>
      <c r="H5988" s="10"/>
      <c r="I5988" s="155">
        <v>2000000</v>
      </c>
      <c r="J5988" s="79" t="e">
        <f t="shared" si="351"/>
        <v>#VALUE!</v>
      </c>
      <c r="K5988" s="106"/>
      <c r="L5988" s="107"/>
      <c r="M5988" s="106"/>
      <c r="N5988" s="106"/>
      <c r="O5988" s="108"/>
      <c r="P5988" s="108"/>
      <c r="Q5988" s="108"/>
      <c r="R5988" s="109"/>
      <c r="S5988" s="109"/>
      <c r="T5988" s="108"/>
      <c r="U5988" s="110"/>
      <c r="V5988" s="110"/>
      <c r="W5988" s="110"/>
      <c r="X5988" s="110"/>
    </row>
    <row r="5989" spans="1:24" ht="14.25" customHeight="1">
      <c r="A5989" s="110"/>
      <c r="B5989" s="125">
        <v>46203</v>
      </c>
      <c r="C5989" s="126" t="s">
        <v>3723</v>
      </c>
      <c r="D5989" s="15" t="s">
        <v>659</v>
      </c>
      <c r="E5989" s="10" t="str">
        <f>TRIM(VLOOKUP(D5989,TB!$B$9:$C$1500,2,FALSE))</f>
        <v>COS - Entertainment</v>
      </c>
      <c r="F5989" s="142" t="s">
        <v>3725</v>
      </c>
      <c r="G5989" s="130"/>
      <c r="H5989" s="10"/>
      <c r="I5989" s="155">
        <v>2000000</v>
      </c>
      <c r="J5989" s="79" t="e">
        <f t="shared" si="351"/>
        <v>#VALUE!</v>
      </c>
      <c r="K5989" s="106"/>
      <c r="L5989" s="107"/>
      <c r="M5989" s="106"/>
      <c r="N5989" s="106"/>
      <c r="O5989" s="108"/>
      <c r="P5989" s="108"/>
      <c r="Q5989" s="108"/>
      <c r="R5989" s="109"/>
      <c r="S5989" s="109"/>
      <c r="T5989" s="108"/>
      <c r="U5989" s="110"/>
      <c r="V5989" s="110"/>
      <c r="W5989" s="110"/>
      <c r="X5989" s="110"/>
    </row>
    <row r="5990" spans="1:24" ht="14.25" customHeight="1">
      <c r="A5990" s="110"/>
      <c r="B5990" s="125"/>
      <c r="C5990" s="126"/>
      <c r="D5990" s="159"/>
      <c r="E5990" s="10" t="e">
        <f>TRIM(VLOOKUP(D5990,TB!$B$9:$C$1500,2,FALSE))</f>
        <v>#N/A</v>
      </c>
      <c r="F5990" s="142"/>
      <c r="G5990" s="130"/>
      <c r="H5990" s="10"/>
      <c r="I5990" s="10"/>
      <c r="J5990" s="79" t="e">
        <f t="shared" si="351"/>
        <v>#VALUE!</v>
      </c>
      <c r="K5990" s="106"/>
      <c r="L5990" s="107"/>
      <c r="M5990" s="106"/>
      <c r="N5990" s="106"/>
      <c r="O5990" s="108"/>
      <c r="P5990" s="108"/>
      <c r="Q5990" s="108"/>
      <c r="R5990" s="109"/>
      <c r="S5990" s="109"/>
      <c r="T5990" s="108"/>
      <c r="U5990" s="110"/>
      <c r="V5990" s="110"/>
      <c r="W5990" s="110"/>
      <c r="X5990" s="110"/>
    </row>
    <row r="5991" spans="1:24" ht="14.25" customHeight="1">
      <c r="A5991" s="110"/>
      <c r="B5991" s="125">
        <v>46203</v>
      </c>
      <c r="C5991" s="126" t="s">
        <v>3726</v>
      </c>
      <c r="D5991" s="68" t="s">
        <v>285</v>
      </c>
      <c r="E5991" s="10" t="str">
        <f>TRIM(VLOOKUP(D5991,TB!$B$9:$C$1500,2,FALSE))</f>
        <v>Misc Cash Purchase</v>
      </c>
      <c r="F5991" s="142" t="s">
        <v>3727</v>
      </c>
      <c r="G5991" s="130"/>
      <c r="H5991" s="155">
        <v>1250000</v>
      </c>
      <c r="I5991" s="10"/>
      <c r="J5991" s="79" t="e">
        <f t="shared" si="351"/>
        <v>#VALUE!</v>
      </c>
      <c r="K5991" s="106"/>
      <c r="L5991" s="107"/>
      <c r="M5991" s="106"/>
      <c r="N5991" s="106"/>
      <c r="O5991" s="108"/>
      <c r="P5991" s="108"/>
      <c r="Q5991" s="108"/>
      <c r="R5991" s="109"/>
      <c r="S5991" s="109"/>
      <c r="T5991" s="108"/>
      <c r="U5991" s="110"/>
      <c r="V5991" s="110"/>
      <c r="W5991" s="110"/>
      <c r="X5991" s="110"/>
    </row>
    <row r="5992" spans="1:24" ht="14.25" customHeight="1">
      <c r="A5992" s="110"/>
      <c r="B5992" s="125">
        <v>46203</v>
      </c>
      <c r="C5992" s="126" t="s">
        <v>3726</v>
      </c>
      <c r="D5992" s="68" t="s">
        <v>285</v>
      </c>
      <c r="E5992" s="10" t="str">
        <f>TRIM(VLOOKUP(D5992,TB!$B$9:$C$1500,2,FALSE))</f>
        <v>Misc Cash Purchase</v>
      </c>
      <c r="F5992" s="142" t="s">
        <v>3728</v>
      </c>
      <c r="G5992" s="130"/>
      <c r="H5992" s="10">
        <v>3000000</v>
      </c>
      <c r="I5992" s="10"/>
      <c r="J5992" s="79" t="e">
        <f t="shared" si="351"/>
        <v>#VALUE!</v>
      </c>
      <c r="K5992" s="106"/>
      <c r="L5992" s="107"/>
      <c r="M5992" s="106"/>
      <c r="N5992" s="106"/>
      <c r="O5992" s="108"/>
      <c r="P5992" s="108"/>
      <c r="Q5992" s="108"/>
      <c r="R5992" s="109"/>
      <c r="S5992" s="109"/>
      <c r="T5992" s="108"/>
      <c r="U5992" s="110"/>
      <c r="V5992" s="110"/>
      <c r="W5992" s="110"/>
      <c r="X5992" s="110"/>
    </row>
    <row r="5993" spans="1:24" ht="14.25" customHeight="1">
      <c r="A5993" s="110"/>
      <c r="B5993" s="125">
        <v>46203</v>
      </c>
      <c r="C5993" s="126" t="s">
        <v>3726</v>
      </c>
      <c r="D5993" s="68" t="s">
        <v>285</v>
      </c>
      <c r="E5993" s="10" t="str">
        <f>TRIM(VLOOKUP(D5993,TB!$B$9:$C$1500,2,FALSE))</f>
        <v>Misc Cash Purchase</v>
      </c>
      <c r="F5993" s="142" t="s">
        <v>3729</v>
      </c>
      <c r="G5993" s="130"/>
      <c r="H5993" s="10">
        <v>750000</v>
      </c>
      <c r="I5993" s="10"/>
      <c r="J5993" s="79" t="e">
        <f t="shared" si="351"/>
        <v>#VALUE!</v>
      </c>
      <c r="K5993" s="106"/>
      <c r="L5993" s="107"/>
      <c r="M5993" s="106"/>
      <c r="N5993" s="106"/>
      <c r="O5993" s="108"/>
      <c r="P5993" s="108"/>
      <c r="Q5993" s="108"/>
      <c r="R5993" s="109"/>
      <c r="S5993" s="109"/>
      <c r="T5993" s="108"/>
      <c r="U5993" s="110"/>
      <c r="V5993" s="110"/>
      <c r="W5993" s="110"/>
      <c r="X5993" s="110"/>
    </row>
    <row r="5994" spans="1:24" ht="14.25" customHeight="1">
      <c r="A5994" s="110"/>
      <c r="B5994" s="125">
        <v>46203</v>
      </c>
      <c r="C5994" s="126" t="s">
        <v>3726</v>
      </c>
      <c r="D5994" s="15" t="s">
        <v>659</v>
      </c>
      <c r="E5994" s="10" t="str">
        <f>TRIM(VLOOKUP(D5994,TB!$B$9:$C$1500,2,FALSE))</f>
        <v>COS - Entertainment</v>
      </c>
      <c r="F5994" s="142" t="s">
        <v>3727</v>
      </c>
      <c r="G5994" s="130"/>
      <c r="H5994" s="10"/>
      <c r="I5994" s="155">
        <v>1250000</v>
      </c>
      <c r="J5994" s="79" t="e">
        <f t="shared" si="351"/>
        <v>#VALUE!</v>
      </c>
      <c r="K5994" s="106"/>
      <c r="L5994" s="107"/>
      <c r="M5994" s="106"/>
      <c r="N5994" s="106"/>
      <c r="O5994" s="108"/>
      <c r="P5994" s="108"/>
      <c r="Q5994" s="108"/>
      <c r="R5994" s="109"/>
      <c r="S5994" s="109"/>
      <c r="T5994" s="108"/>
      <c r="U5994" s="110"/>
      <c r="V5994" s="110"/>
      <c r="W5994" s="110"/>
      <c r="X5994" s="110"/>
    </row>
    <row r="5995" spans="1:24" ht="14.25" customHeight="1">
      <c r="A5995" s="110"/>
      <c r="B5995" s="125">
        <v>46203</v>
      </c>
      <c r="C5995" s="126" t="s">
        <v>3726</v>
      </c>
      <c r="D5995" s="15" t="s">
        <v>659</v>
      </c>
      <c r="E5995" s="10" t="str">
        <f>TRIM(VLOOKUP(D5995,TB!$B$9:$C$1500,2,FALSE))</f>
        <v>COS - Entertainment</v>
      </c>
      <c r="F5995" s="142" t="s">
        <v>3728</v>
      </c>
      <c r="G5995" s="130"/>
      <c r="H5995" s="10"/>
      <c r="I5995" s="10">
        <v>3000000</v>
      </c>
      <c r="J5995" s="79" t="e">
        <f t="shared" si="351"/>
        <v>#VALUE!</v>
      </c>
      <c r="K5995" s="106"/>
      <c r="L5995" s="107"/>
      <c r="M5995" s="106"/>
      <c r="N5995" s="106"/>
      <c r="O5995" s="108"/>
      <c r="P5995" s="108"/>
      <c r="Q5995" s="108"/>
      <c r="R5995" s="109"/>
      <c r="S5995" s="109"/>
      <c r="T5995" s="108"/>
      <c r="U5995" s="110"/>
      <c r="V5995" s="110"/>
      <c r="W5995" s="110"/>
      <c r="X5995" s="110"/>
    </row>
    <row r="5996" spans="1:24" ht="14.25" customHeight="1">
      <c r="A5996" s="110"/>
      <c r="B5996" s="125">
        <v>46203</v>
      </c>
      <c r="C5996" s="126" t="s">
        <v>3726</v>
      </c>
      <c r="D5996" s="15" t="s">
        <v>659</v>
      </c>
      <c r="E5996" s="10" t="str">
        <f>TRIM(VLOOKUP(D5996,TB!$B$9:$C$1500,2,FALSE))</f>
        <v>COS - Entertainment</v>
      </c>
      <c r="F5996" s="142" t="s">
        <v>3729</v>
      </c>
      <c r="G5996" s="130"/>
      <c r="H5996" s="10"/>
      <c r="I5996" s="10">
        <v>750000</v>
      </c>
      <c r="J5996" s="79" t="e">
        <f t="shared" si="351"/>
        <v>#VALUE!</v>
      </c>
      <c r="K5996" s="106"/>
      <c r="L5996" s="107"/>
      <c r="M5996" s="106"/>
      <c r="N5996" s="106"/>
      <c r="O5996" s="108"/>
      <c r="P5996" s="108"/>
      <c r="Q5996" s="108"/>
      <c r="R5996" s="109"/>
      <c r="S5996" s="109"/>
      <c r="T5996" s="108"/>
      <c r="U5996" s="110"/>
      <c r="V5996" s="110"/>
      <c r="W5996" s="110"/>
      <c r="X5996" s="110"/>
    </row>
    <row r="5997" spans="1:24" ht="14.25" customHeight="1">
      <c r="A5997" s="110"/>
      <c r="B5997" s="125"/>
      <c r="C5997" s="126"/>
      <c r="D5997" s="159"/>
      <c r="E5997" s="10" t="e">
        <f>TRIM(VLOOKUP(D5997,TB!$B$9:$C$1500,2,FALSE))</f>
        <v>#N/A</v>
      </c>
      <c r="F5997" s="142"/>
      <c r="G5997" s="130"/>
      <c r="H5997" s="10"/>
      <c r="I5997" s="10"/>
      <c r="J5997" s="79" t="e">
        <f t="shared" si="351"/>
        <v>#VALUE!</v>
      </c>
      <c r="K5997" s="106"/>
      <c r="L5997" s="107"/>
      <c r="M5997" s="106"/>
      <c r="N5997" s="106"/>
      <c r="O5997" s="108"/>
      <c r="P5997" s="108"/>
      <c r="Q5997" s="108"/>
      <c r="R5997" s="109"/>
      <c r="S5997" s="109"/>
      <c r="T5997" s="108"/>
      <c r="U5997" s="110"/>
      <c r="V5997" s="110"/>
      <c r="W5997" s="110"/>
      <c r="X5997" s="110"/>
    </row>
    <row r="5998" spans="1:24" ht="14.25" customHeight="1">
      <c r="A5998" s="110"/>
      <c r="B5998" s="125">
        <v>46203</v>
      </c>
      <c r="C5998" s="126" t="s">
        <v>3730</v>
      </c>
      <c r="D5998" s="68" t="s">
        <v>285</v>
      </c>
      <c r="E5998" s="10" t="str">
        <f>TRIM(VLOOKUP(D5998,TB!$B$9:$C$1500,2,FALSE))</f>
        <v>Misc Cash Purchase</v>
      </c>
      <c r="F5998" s="185" t="s">
        <v>3731</v>
      </c>
      <c r="G5998" s="130"/>
      <c r="H5998" s="10">
        <v>165500</v>
      </c>
      <c r="I5998" s="10"/>
      <c r="J5998" s="79" t="e">
        <f t="shared" si="351"/>
        <v>#VALUE!</v>
      </c>
      <c r="K5998" s="106"/>
      <c r="L5998" s="107"/>
      <c r="M5998" s="106"/>
      <c r="N5998" s="106"/>
      <c r="O5998" s="108"/>
      <c r="P5998" s="108"/>
      <c r="Q5998" s="108"/>
      <c r="R5998" s="109"/>
      <c r="S5998" s="109"/>
      <c r="T5998" s="108"/>
      <c r="U5998" s="110"/>
      <c r="V5998" s="110"/>
      <c r="W5998" s="110"/>
      <c r="X5998" s="110"/>
    </row>
    <row r="5999" spans="1:24" ht="14.25" customHeight="1">
      <c r="A5999" s="110"/>
      <c r="B5999" s="125">
        <v>46203</v>
      </c>
      <c r="C5999" s="126" t="s">
        <v>3730</v>
      </c>
      <c r="D5999" s="15" t="s">
        <v>221</v>
      </c>
      <c r="E5999" s="10" t="str">
        <f>TRIM(VLOOKUP(D5999,TB!$B$9:$C$1500,2,FALSE))</f>
        <v>COS - Promotor Fees Other</v>
      </c>
      <c r="F5999" s="185" t="s">
        <v>3732</v>
      </c>
      <c r="G5999" s="130"/>
      <c r="H5999" s="10"/>
      <c r="I5999" s="10">
        <v>165500</v>
      </c>
      <c r="J5999" s="79" t="e">
        <f t="shared" si="351"/>
        <v>#VALUE!</v>
      </c>
      <c r="K5999" s="106"/>
      <c r="L5999" s="107"/>
      <c r="M5999" s="106"/>
      <c r="N5999" s="106"/>
      <c r="O5999" s="108"/>
      <c r="P5999" s="108"/>
      <c r="Q5999" s="108"/>
      <c r="R5999" s="109"/>
      <c r="S5999" s="109"/>
      <c r="T5999" s="108"/>
      <c r="U5999" s="110"/>
      <c r="V5999" s="110"/>
      <c r="W5999" s="110"/>
      <c r="X5999" s="110"/>
    </row>
    <row r="6000" spans="1:24" ht="14.25" customHeight="1">
      <c r="A6000" s="110"/>
      <c r="B6000" s="125"/>
      <c r="C6000" s="126"/>
      <c r="D6000" s="159"/>
      <c r="E6000" s="10" t="e">
        <f>TRIM(VLOOKUP(D6000,TB!$B$9:$C$1500,2,FALSE))</f>
        <v>#N/A</v>
      </c>
      <c r="F6000" s="142"/>
      <c r="G6000" s="130"/>
      <c r="H6000" s="10"/>
      <c r="I6000" s="10"/>
      <c r="J6000" s="79" t="e">
        <f t="shared" si="351"/>
        <v>#VALUE!</v>
      </c>
      <c r="K6000" s="106"/>
      <c r="L6000" s="107"/>
      <c r="M6000" s="106"/>
      <c r="N6000" s="106"/>
      <c r="O6000" s="108"/>
      <c r="P6000" s="108"/>
      <c r="Q6000" s="108"/>
      <c r="R6000" s="109"/>
      <c r="S6000" s="109"/>
      <c r="T6000" s="108"/>
      <c r="U6000" s="110"/>
      <c r="V6000" s="110"/>
      <c r="W6000" s="110"/>
      <c r="X6000" s="110"/>
    </row>
    <row r="6001" spans="1:24" ht="14.25" customHeight="1">
      <c r="A6001" s="110"/>
      <c r="B6001" s="125">
        <v>46203</v>
      </c>
      <c r="C6001" s="126" t="s">
        <v>3733</v>
      </c>
      <c r="D6001" s="68" t="s">
        <v>285</v>
      </c>
      <c r="E6001" s="10" t="str">
        <f>TRIM(VLOOKUP(D6001,TB!$B$9:$C$1500,2,FALSE))</f>
        <v>Misc Cash Purchase</v>
      </c>
      <c r="F6001" s="186" t="s">
        <v>3734</v>
      </c>
      <c r="G6001" s="130"/>
      <c r="H6001" s="10">
        <v>2000000</v>
      </c>
      <c r="I6001" s="10"/>
      <c r="J6001" s="79" t="e">
        <f t="shared" si="351"/>
        <v>#VALUE!</v>
      </c>
      <c r="K6001" s="106"/>
      <c r="L6001" s="107"/>
      <c r="M6001" s="106"/>
      <c r="N6001" s="106"/>
      <c r="O6001" s="108"/>
      <c r="P6001" s="108"/>
      <c r="Q6001" s="108"/>
      <c r="R6001" s="109"/>
      <c r="S6001" s="109"/>
      <c r="T6001" s="108"/>
      <c r="U6001" s="110"/>
      <c r="V6001" s="110"/>
      <c r="W6001" s="110"/>
      <c r="X6001" s="110"/>
    </row>
    <row r="6002" spans="1:24" ht="14.25" customHeight="1">
      <c r="A6002" s="110"/>
      <c r="B6002" s="125">
        <v>46203</v>
      </c>
      <c r="C6002" s="126" t="s">
        <v>3733</v>
      </c>
      <c r="D6002" s="68" t="s">
        <v>285</v>
      </c>
      <c r="E6002" s="10" t="str">
        <f>TRIM(VLOOKUP(D6002,TB!$B$9:$C$1500,2,FALSE))</f>
        <v>Misc Cash Purchase</v>
      </c>
      <c r="F6002" s="186" t="s">
        <v>3735</v>
      </c>
      <c r="G6002" s="130"/>
      <c r="H6002" s="10">
        <v>2000000</v>
      </c>
      <c r="I6002" s="10"/>
      <c r="J6002" s="79" t="e">
        <f t="shared" si="351"/>
        <v>#VALUE!</v>
      </c>
      <c r="K6002" s="106"/>
      <c r="L6002" s="107"/>
      <c r="M6002" s="106"/>
      <c r="N6002" s="106"/>
      <c r="O6002" s="108"/>
      <c r="P6002" s="108"/>
      <c r="Q6002" s="108"/>
      <c r="R6002" s="109"/>
      <c r="S6002" s="109"/>
      <c r="T6002" s="108"/>
      <c r="U6002" s="110"/>
      <c r="V6002" s="110"/>
      <c r="W6002" s="110"/>
      <c r="X6002" s="110"/>
    </row>
    <row r="6003" spans="1:24" ht="14.25" customHeight="1">
      <c r="A6003" s="110"/>
      <c r="B6003" s="125">
        <v>46203</v>
      </c>
      <c r="C6003" s="126" t="s">
        <v>3733</v>
      </c>
      <c r="D6003" s="15" t="s">
        <v>659</v>
      </c>
      <c r="E6003" s="10" t="str">
        <f>TRIM(VLOOKUP(D6003,TB!$B$9:$C$1500,2,FALSE))</f>
        <v>COS - Entertainment</v>
      </c>
      <c r="F6003" s="186" t="s">
        <v>3734</v>
      </c>
      <c r="G6003" s="130"/>
      <c r="H6003" s="10"/>
      <c r="I6003" s="10">
        <v>2000000</v>
      </c>
      <c r="J6003" s="79" t="e">
        <f t="shared" si="351"/>
        <v>#VALUE!</v>
      </c>
      <c r="K6003" s="106"/>
      <c r="L6003" s="107"/>
      <c r="M6003" s="106"/>
      <c r="N6003" s="106"/>
      <c r="O6003" s="108"/>
      <c r="P6003" s="108"/>
      <c r="Q6003" s="108"/>
      <c r="R6003" s="109"/>
      <c r="S6003" s="109"/>
      <c r="T6003" s="108"/>
      <c r="U6003" s="110"/>
      <c r="V6003" s="110"/>
      <c r="W6003" s="110"/>
      <c r="X6003" s="110"/>
    </row>
    <row r="6004" spans="1:24" ht="14.25" customHeight="1">
      <c r="A6004" s="110"/>
      <c r="B6004" s="125">
        <v>46203</v>
      </c>
      <c r="C6004" s="126" t="s">
        <v>3733</v>
      </c>
      <c r="D6004" s="15" t="s">
        <v>659</v>
      </c>
      <c r="E6004" s="10" t="str">
        <f>TRIM(VLOOKUP(D6004,TB!$B$9:$C$1500,2,FALSE))</f>
        <v>COS - Entertainment</v>
      </c>
      <c r="F6004" s="186" t="s">
        <v>3735</v>
      </c>
      <c r="G6004" s="130"/>
      <c r="H6004" s="10"/>
      <c r="I6004" s="10">
        <v>2000000</v>
      </c>
      <c r="J6004" s="79" t="e">
        <f t="shared" si="351"/>
        <v>#VALUE!</v>
      </c>
      <c r="K6004" s="106"/>
      <c r="L6004" s="107"/>
      <c r="M6004" s="106"/>
      <c r="N6004" s="106"/>
      <c r="O6004" s="108"/>
      <c r="P6004" s="108"/>
      <c r="Q6004" s="108"/>
      <c r="R6004" s="109"/>
      <c r="S6004" s="109"/>
      <c r="T6004" s="108"/>
      <c r="U6004" s="110"/>
      <c r="V6004" s="110"/>
      <c r="W6004" s="110"/>
      <c r="X6004" s="110"/>
    </row>
    <row r="6005" spans="1:24" ht="14.25" customHeight="1">
      <c r="A6005" s="110"/>
      <c r="B6005" s="125"/>
      <c r="C6005" s="126"/>
      <c r="D6005" s="159"/>
      <c r="E6005" s="10" t="e">
        <f>TRIM(VLOOKUP(D6005,TB!$B$9:$C$1500,2,FALSE))</f>
        <v>#N/A</v>
      </c>
      <c r="F6005" s="142"/>
      <c r="G6005" s="130"/>
      <c r="H6005" s="10"/>
      <c r="I6005" s="10"/>
      <c r="J6005" s="79" t="e">
        <f t="shared" si="351"/>
        <v>#VALUE!</v>
      </c>
      <c r="K6005" s="106"/>
      <c r="L6005" s="107"/>
      <c r="M6005" s="106"/>
      <c r="N6005" s="106"/>
      <c r="O6005" s="108"/>
      <c r="P6005" s="108"/>
      <c r="Q6005" s="108"/>
      <c r="R6005" s="109"/>
      <c r="S6005" s="109"/>
      <c r="T6005" s="108"/>
      <c r="U6005" s="110"/>
      <c r="V6005" s="110"/>
      <c r="W6005" s="110"/>
      <c r="X6005" s="110"/>
    </row>
    <row r="6006" spans="1:24" ht="14.25" customHeight="1">
      <c r="A6006" s="110"/>
      <c r="B6006" s="125">
        <v>46203</v>
      </c>
      <c r="C6006" s="126" t="s">
        <v>3736</v>
      </c>
      <c r="D6006" s="68" t="s">
        <v>285</v>
      </c>
      <c r="E6006" s="10" t="str">
        <f>TRIM(VLOOKUP(D6006,TB!$B$9:$C$1500,2,FALSE))</f>
        <v>Misc Cash Purchase</v>
      </c>
      <c r="F6006" s="142" t="s">
        <v>3737</v>
      </c>
      <c r="G6006" s="130"/>
      <c r="H6006" s="10">
        <v>250000</v>
      </c>
      <c r="I6006" s="10"/>
      <c r="J6006" s="79" t="e">
        <f t="shared" si="351"/>
        <v>#VALUE!</v>
      </c>
      <c r="K6006" s="106"/>
      <c r="L6006" s="107"/>
      <c r="M6006" s="106"/>
      <c r="N6006" s="106"/>
      <c r="O6006" s="108"/>
      <c r="P6006" s="108"/>
      <c r="Q6006" s="108"/>
      <c r="R6006" s="109"/>
      <c r="S6006" s="109"/>
      <c r="T6006" s="108"/>
      <c r="U6006" s="110"/>
      <c r="V6006" s="110"/>
      <c r="W6006" s="110"/>
      <c r="X6006" s="110"/>
    </row>
    <row r="6007" spans="1:24" ht="14.25" customHeight="1">
      <c r="A6007" s="110"/>
      <c r="B6007" s="125">
        <v>46203</v>
      </c>
      <c r="C6007" s="126" t="s">
        <v>3736</v>
      </c>
      <c r="D6007" s="68" t="s">
        <v>285</v>
      </c>
      <c r="E6007" s="10" t="str">
        <f>TRIM(VLOOKUP(D6007,TB!$B$9:$C$1500,2,FALSE))</f>
        <v>Misc Cash Purchase</v>
      </c>
      <c r="F6007" s="142" t="s">
        <v>3738</v>
      </c>
      <c r="G6007" s="130"/>
      <c r="H6007" s="10">
        <v>80000</v>
      </c>
      <c r="I6007" s="10"/>
      <c r="J6007" s="79" t="e">
        <f t="shared" si="351"/>
        <v>#VALUE!</v>
      </c>
      <c r="K6007" s="106"/>
      <c r="L6007" s="107"/>
      <c r="M6007" s="106"/>
      <c r="N6007" s="106"/>
      <c r="O6007" s="108"/>
      <c r="P6007" s="108"/>
      <c r="Q6007" s="108"/>
      <c r="R6007" s="109"/>
      <c r="S6007" s="109"/>
      <c r="T6007" s="108"/>
      <c r="U6007" s="110"/>
      <c r="V6007" s="110"/>
      <c r="W6007" s="110"/>
      <c r="X6007" s="110"/>
    </row>
    <row r="6008" spans="1:24" ht="14.25" customHeight="1">
      <c r="A6008" s="110"/>
      <c r="B6008" s="125">
        <v>46203</v>
      </c>
      <c r="C6008" s="126" t="s">
        <v>3736</v>
      </c>
      <c r="D6008" s="15" t="s">
        <v>3108</v>
      </c>
      <c r="E6008" s="10" t="str">
        <f>TRIM(VLOOKUP(D6008,TB!$B$9:$C$1500,2,FALSE))</f>
        <v>Promotional Costs</v>
      </c>
      <c r="F6008" s="142" t="s">
        <v>3737</v>
      </c>
      <c r="G6008" s="130"/>
      <c r="H6008" s="10"/>
      <c r="I6008" s="10">
        <v>250000</v>
      </c>
      <c r="J6008" s="79" t="e">
        <f t="shared" si="351"/>
        <v>#VALUE!</v>
      </c>
      <c r="K6008" s="106"/>
      <c r="L6008" s="107"/>
      <c r="M6008" s="106"/>
      <c r="N6008" s="106"/>
      <c r="O6008" s="108"/>
      <c r="P6008" s="108"/>
      <c r="Q6008" s="108"/>
      <c r="R6008" s="109"/>
      <c r="S6008" s="109"/>
      <c r="T6008" s="108"/>
      <c r="U6008" s="110"/>
      <c r="V6008" s="110"/>
      <c r="W6008" s="110"/>
      <c r="X6008" s="110"/>
    </row>
    <row r="6009" spans="1:24" ht="14.25" customHeight="1">
      <c r="A6009" s="110"/>
      <c r="B6009" s="125">
        <v>46203</v>
      </c>
      <c r="C6009" s="126" t="s">
        <v>3736</v>
      </c>
      <c r="D6009" s="15" t="s">
        <v>3108</v>
      </c>
      <c r="E6009" s="10" t="str">
        <f>TRIM(VLOOKUP(D6009,TB!$B$9:$C$1500,2,FALSE))</f>
        <v>Promotional Costs</v>
      </c>
      <c r="F6009" s="142" t="s">
        <v>3738</v>
      </c>
      <c r="G6009" s="130"/>
      <c r="H6009" s="10"/>
      <c r="I6009" s="10">
        <v>80000</v>
      </c>
      <c r="J6009" s="79" t="e">
        <f t="shared" si="351"/>
        <v>#VALUE!</v>
      </c>
      <c r="K6009" s="106"/>
      <c r="L6009" s="107"/>
      <c r="M6009" s="106"/>
      <c r="N6009" s="106"/>
      <c r="O6009" s="108"/>
      <c r="P6009" s="108"/>
      <c r="Q6009" s="108"/>
      <c r="R6009" s="109"/>
      <c r="S6009" s="109"/>
      <c r="T6009" s="108"/>
      <c r="U6009" s="110"/>
      <c r="V6009" s="110"/>
      <c r="W6009" s="110"/>
      <c r="X6009" s="110"/>
    </row>
    <row r="6010" spans="1:24" ht="14.25" customHeight="1">
      <c r="A6010" s="110"/>
      <c r="B6010" s="125"/>
      <c r="C6010" s="126"/>
      <c r="D6010" s="159"/>
      <c r="E6010" s="10" t="e">
        <f>TRIM(VLOOKUP(D6010,TB!$B$9:$C$1500,2,FALSE))</f>
        <v>#N/A</v>
      </c>
      <c r="F6010" s="142"/>
      <c r="G6010" s="130"/>
      <c r="H6010" s="10"/>
      <c r="I6010" s="10"/>
      <c r="J6010" s="79" t="e">
        <f t="shared" si="351"/>
        <v>#VALUE!</v>
      </c>
      <c r="K6010" s="106"/>
      <c r="L6010" s="107"/>
      <c r="M6010" s="106"/>
      <c r="N6010" s="106"/>
      <c r="O6010" s="108"/>
      <c r="P6010" s="108"/>
      <c r="Q6010" s="108"/>
      <c r="R6010" s="109"/>
      <c r="S6010" s="109"/>
      <c r="T6010" s="108"/>
      <c r="U6010" s="110"/>
      <c r="V6010" s="110"/>
      <c r="W6010" s="110"/>
      <c r="X6010" s="110"/>
    </row>
    <row r="6011" spans="1:24" ht="14.25" customHeight="1">
      <c r="A6011" s="110"/>
      <c r="B6011" s="125">
        <v>46203</v>
      </c>
      <c r="C6011" s="126" t="s">
        <v>3739</v>
      </c>
      <c r="D6011" s="68" t="s">
        <v>285</v>
      </c>
      <c r="E6011" s="10" t="str">
        <f>TRIM(VLOOKUP(D6011,TB!$B$9:$C$1500,2,FALSE))</f>
        <v>Misc Cash Purchase</v>
      </c>
      <c r="F6011" s="142" t="s">
        <v>3740</v>
      </c>
      <c r="G6011" s="130"/>
      <c r="H6011" s="10">
        <f>96985</f>
        <v>96985</v>
      </c>
      <c r="I6011" s="10"/>
      <c r="J6011" s="79" t="e">
        <f t="shared" si="351"/>
        <v>#VALUE!</v>
      </c>
      <c r="K6011" s="106"/>
      <c r="L6011" s="107"/>
      <c r="M6011" s="106"/>
      <c r="N6011" s="106"/>
      <c r="O6011" s="108"/>
      <c r="P6011" s="108"/>
      <c r="Q6011" s="108"/>
      <c r="R6011" s="109"/>
      <c r="S6011" s="109"/>
      <c r="T6011" s="108"/>
      <c r="U6011" s="110"/>
      <c r="V6011" s="110"/>
      <c r="W6011" s="110"/>
      <c r="X6011" s="110"/>
    </row>
    <row r="6012" spans="1:24" ht="14.25" customHeight="1">
      <c r="A6012" s="110"/>
      <c r="B6012" s="125">
        <v>46203</v>
      </c>
      <c r="C6012" s="126" t="s">
        <v>3739</v>
      </c>
      <c r="D6012" s="15" t="s">
        <v>221</v>
      </c>
      <c r="E6012" s="10" t="str">
        <f>TRIM(VLOOKUP(D6012,TB!$B$9:$C$1500,2,FALSE))</f>
        <v>COS - Promotor Fees Other</v>
      </c>
      <c r="F6012" s="142" t="s">
        <v>3740</v>
      </c>
      <c r="G6012" s="130"/>
      <c r="H6012" s="10"/>
      <c r="I6012" s="10">
        <f>96985</f>
        <v>96985</v>
      </c>
      <c r="J6012" s="79" t="e">
        <f t="shared" si="351"/>
        <v>#VALUE!</v>
      </c>
      <c r="K6012" s="106"/>
      <c r="L6012" s="107"/>
      <c r="M6012" s="106"/>
      <c r="N6012" s="106"/>
      <c r="O6012" s="108"/>
      <c r="P6012" s="108"/>
      <c r="Q6012" s="108"/>
      <c r="R6012" s="109"/>
      <c r="S6012" s="109"/>
      <c r="T6012" s="108"/>
      <c r="U6012" s="110"/>
      <c r="V6012" s="110"/>
      <c r="W6012" s="110"/>
      <c r="X6012" s="110"/>
    </row>
    <row r="6013" spans="1:24" ht="14.25" customHeight="1">
      <c r="A6013" s="110"/>
      <c r="B6013" s="125"/>
      <c r="C6013" s="126"/>
      <c r="D6013" s="159"/>
      <c r="E6013" s="10" t="e">
        <f>TRIM(VLOOKUP(D6013,TB!$B$9:$C$1500,2,FALSE))</f>
        <v>#N/A</v>
      </c>
      <c r="F6013" s="142"/>
      <c r="G6013" s="130"/>
      <c r="H6013" s="10"/>
      <c r="I6013" s="10"/>
      <c r="J6013" s="79" t="e">
        <f t="shared" si="351"/>
        <v>#VALUE!</v>
      </c>
      <c r="K6013" s="106"/>
      <c r="L6013" s="107"/>
      <c r="M6013" s="106"/>
      <c r="N6013" s="106"/>
      <c r="O6013" s="108"/>
      <c r="P6013" s="108"/>
      <c r="Q6013" s="108"/>
      <c r="R6013" s="109"/>
      <c r="S6013" s="109"/>
      <c r="T6013" s="108"/>
      <c r="U6013" s="110"/>
      <c r="V6013" s="110"/>
      <c r="W6013" s="110"/>
      <c r="X6013" s="110"/>
    </row>
    <row r="6014" spans="1:24" ht="14.25" customHeight="1">
      <c r="A6014" s="110"/>
      <c r="B6014" s="125">
        <v>46203</v>
      </c>
      <c r="C6014" s="126" t="s">
        <v>3741</v>
      </c>
      <c r="D6014" s="68" t="s">
        <v>285</v>
      </c>
      <c r="E6014" s="10" t="str">
        <f>TRIM(VLOOKUP(D6014,TB!$B$9:$C$1500,2,FALSE))</f>
        <v>Misc Cash Purchase</v>
      </c>
      <c r="F6014" s="142" t="s">
        <v>3742</v>
      </c>
      <c r="G6014" s="130"/>
      <c r="H6014" s="10">
        <f>120994</f>
        <v>120994</v>
      </c>
      <c r="I6014" s="10"/>
      <c r="J6014" s="79" t="e">
        <f t="shared" si="351"/>
        <v>#VALUE!</v>
      </c>
      <c r="K6014" s="106"/>
      <c r="L6014" s="107"/>
      <c r="M6014" s="106"/>
      <c r="N6014" s="106"/>
      <c r="O6014" s="108"/>
      <c r="P6014" s="108"/>
      <c r="Q6014" s="108"/>
      <c r="R6014" s="109"/>
      <c r="S6014" s="109"/>
      <c r="T6014" s="108"/>
      <c r="U6014" s="110"/>
      <c r="V6014" s="110"/>
      <c r="W6014" s="110"/>
      <c r="X6014" s="110"/>
    </row>
    <row r="6015" spans="1:24" ht="14.25" customHeight="1">
      <c r="A6015" s="110"/>
      <c r="B6015" s="125">
        <v>46203</v>
      </c>
      <c r="C6015" s="126" t="s">
        <v>3741</v>
      </c>
      <c r="D6015" s="15" t="s">
        <v>221</v>
      </c>
      <c r="E6015" s="10" t="str">
        <f>TRIM(VLOOKUP(D6015,TB!$B$9:$C$1500,2,FALSE))</f>
        <v>COS - Promotor Fees Other</v>
      </c>
      <c r="F6015" s="142" t="s">
        <v>3743</v>
      </c>
      <c r="G6015" s="130"/>
      <c r="H6015" s="10"/>
      <c r="I6015" s="10">
        <f>120994</f>
        <v>120994</v>
      </c>
      <c r="J6015" s="79" t="e">
        <f t="shared" si="351"/>
        <v>#VALUE!</v>
      </c>
      <c r="K6015" s="106"/>
      <c r="L6015" s="107"/>
      <c r="M6015" s="106"/>
      <c r="N6015" s="106"/>
      <c r="O6015" s="108"/>
      <c r="P6015" s="108"/>
      <c r="Q6015" s="108"/>
      <c r="R6015" s="109"/>
      <c r="S6015" s="109"/>
      <c r="T6015" s="108"/>
      <c r="U6015" s="110"/>
      <c r="V6015" s="110"/>
      <c r="W6015" s="110"/>
      <c r="X6015" s="110"/>
    </row>
    <row r="6016" spans="1:24" ht="14.25" customHeight="1">
      <c r="A6016" s="110"/>
      <c r="B6016" s="125"/>
      <c r="C6016" s="126"/>
      <c r="D6016" s="159"/>
      <c r="E6016" s="10" t="e">
        <f>TRIM(VLOOKUP(D6016,TB!$B$9:$C$1500,2,FALSE))</f>
        <v>#N/A</v>
      </c>
      <c r="F6016" s="142"/>
      <c r="G6016" s="130"/>
      <c r="H6016" s="10"/>
      <c r="I6016" s="10"/>
      <c r="J6016" s="79" t="e">
        <f t="shared" si="351"/>
        <v>#VALUE!</v>
      </c>
      <c r="K6016" s="106"/>
      <c r="L6016" s="107"/>
      <c r="M6016" s="106"/>
      <c r="N6016" s="106"/>
      <c r="O6016" s="108"/>
      <c r="P6016" s="108"/>
      <c r="Q6016" s="108"/>
      <c r="R6016" s="109"/>
      <c r="S6016" s="109"/>
      <c r="T6016" s="108"/>
      <c r="U6016" s="110"/>
      <c r="V6016" s="110"/>
      <c r="W6016" s="110"/>
      <c r="X6016" s="110"/>
    </row>
    <row r="6017" spans="1:24" ht="14.25" customHeight="1">
      <c r="A6017" s="110"/>
      <c r="B6017" s="125">
        <v>46203</v>
      </c>
      <c r="C6017" s="126" t="s">
        <v>3744</v>
      </c>
      <c r="D6017" s="68" t="s">
        <v>285</v>
      </c>
      <c r="E6017" s="10" t="str">
        <f>TRIM(VLOOKUP(D6017,TB!$B$9:$C$1500,2,FALSE))</f>
        <v>Misc Cash Purchase</v>
      </c>
      <c r="F6017" s="142" t="s">
        <v>3745</v>
      </c>
      <c r="G6017" s="130"/>
      <c r="H6017" s="155">
        <v>1700000</v>
      </c>
      <c r="I6017" s="10"/>
      <c r="J6017" s="79" t="e">
        <f t="shared" si="351"/>
        <v>#VALUE!</v>
      </c>
      <c r="K6017" s="106"/>
      <c r="L6017" s="107"/>
      <c r="M6017" s="106"/>
      <c r="N6017" s="106"/>
      <c r="O6017" s="108"/>
      <c r="P6017" s="108"/>
      <c r="Q6017" s="108"/>
      <c r="R6017" s="109"/>
      <c r="S6017" s="109"/>
      <c r="T6017" s="108"/>
      <c r="U6017" s="110"/>
      <c r="V6017" s="110"/>
      <c r="W6017" s="110"/>
      <c r="X6017" s="110"/>
    </row>
    <row r="6018" spans="1:24" ht="14.25" customHeight="1">
      <c r="A6018" s="110"/>
      <c r="B6018" s="125">
        <v>46203</v>
      </c>
      <c r="C6018" s="126" t="s">
        <v>3744</v>
      </c>
      <c r="D6018" s="68" t="s">
        <v>285</v>
      </c>
      <c r="E6018" s="10" t="str">
        <f>TRIM(VLOOKUP(D6018,TB!$B$9:$C$1500,2,FALSE))</f>
        <v>Misc Cash Purchase</v>
      </c>
      <c r="F6018" s="142" t="s">
        <v>3745</v>
      </c>
      <c r="G6018" s="130"/>
      <c r="H6018" s="155">
        <v>1630000</v>
      </c>
      <c r="I6018" s="10"/>
      <c r="J6018" s="79" t="e">
        <f t="shared" si="351"/>
        <v>#VALUE!</v>
      </c>
      <c r="K6018" s="106"/>
      <c r="L6018" s="107"/>
      <c r="M6018" s="106"/>
      <c r="N6018" s="106"/>
      <c r="O6018" s="108"/>
      <c r="P6018" s="108"/>
      <c r="Q6018" s="108"/>
      <c r="R6018" s="109"/>
      <c r="S6018" s="109"/>
      <c r="T6018" s="108"/>
      <c r="U6018" s="110"/>
      <c r="V6018" s="110"/>
      <c r="W6018" s="110"/>
      <c r="X6018" s="110"/>
    </row>
    <row r="6019" spans="1:24" ht="14.25" customHeight="1">
      <c r="A6019" s="110"/>
      <c r="B6019" s="125">
        <v>46203</v>
      </c>
      <c r="C6019" s="126" t="s">
        <v>3744</v>
      </c>
      <c r="D6019" s="15" t="s">
        <v>221</v>
      </c>
      <c r="E6019" s="10" t="str">
        <f>TRIM(VLOOKUP(D6019,TB!$B$9:$C$1500,2,FALSE))</f>
        <v>COS - Promotor Fees Other</v>
      </c>
      <c r="F6019" s="142" t="s">
        <v>1174</v>
      </c>
      <c r="G6019" s="130"/>
      <c r="H6019" s="10"/>
      <c r="I6019" s="155">
        <v>1700000</v>
      </c>
      <c r="J6019" s="79" t="e">
        <f t="shared" si="351"/>
        <v>#VALUE!</v>
      </c>
      <c r="K6019" s="106"/>
      <c r="L6019" s="107"/>
      <c r="M6019" s="106"/>
      <c r="N6019" s="106"/>
      <c r="O6019" s="108"/>
      <c r="P6019" s="108"/>
      <c r="Q6019" s="108"/>
      <c r="R6019" s="109"/>
      <c r="S6019" s="109"/>
      <c r="T6019" s="108"/>
      <c r="U6019" s="110"/>
      <c r="V6019" s="110"/>
      <c r="W6019" s="110"/>
      <c r="X6019" s="110"/>
    </row>
    <row r="6020" spans="1:24" ht="14.25" customHeight="1">
      <c r="A6020" s="110"/>
      <c r="B6020" s="125">
        <v>46203</v>
      </c>
      <c r="C6020" s="126" t="s">
        <v>3744</v>
      </c>
      <c r="D6020" s="15" t="s">
        <v>221</v>
      </c>
      <c r="E6020" s="10" t="str">
        <f>TRIM(VLOOKUP(D6020,TB!$B$9:$C$1500,2,FALSE))</f>
        <v>COS - Promotor Fees Other</v>
      </c>
      <c r="F6020" s="142" t="s">
        <v>1174</v>
      </c>
      <c r="G6020" s="130"/>
      <c r="H6020" s="10"/>
      <c r="I6020" s="155">
        <v>1630000</v>
      </c>
      <c r="J6020" s="79" t="e">
        <f t="shared" si="351"/>
        <v>#VALUE!</v>
      </c>
      <c r="K6020" s="106"/>
      <c r="L6020" s="107"/>
      <c r="M6020" s="106"/>
      <c r="N6020" s="106"/>
      <c r="O6020" s="108"/>
      <c r="P6020" s="108"/>
      <c r="Q6020" s="108"/>
      <c r="R6020" s="109"/>
      <c r="S6020" s="109"/>
      <c r="T6020" s="108"/>
      <c r="U6020" s="110"/>
      <c r="V6020" s="110"/>
      <c r="W6020" s="110"/>
      <c r="X6020" s="110"/>
    </row>
    <row r="6021" spans="1:24" ht="14.25" customHeight="1">
      <c r="A6021" s="110"/>
      <c r="B6021" s="125"/>
      <c r="C6021" s="126"/>
      <c r="D6021" s="159"/>
      <c r="E6021" s="10" t="e">
        <f>TRIM(VLOOKUP(D6021,TB!$B$9:$C$1500,2,FALSE))</f>
        <v>#N/A</v>
      </c>
      <c r="F6021" s="142"/>
      <c r="G6021" s="130"/>
      <c r="H6021" s="10"/>
      <c r="I6021" s="10"/>
      <c r="J6021" s="79" t="e">
        <f t="shared" si="351"/>
        <v>#VALUE!</v>
      </c>
      <c r="K6021" s="106"/>
      <c r="L6021" s="107"/>
      <c r="M6021" s="106"/>
      <c r="N6021" s="106"/>
      <c r="O6021" s="108"/>
      <c r="P6021" s="108"/>
      <c r="Q6021" s="108"/>
      <c r="R6021" s="109"/>
      <c r="S6021" s="109"/>
      <c r="T6021" s="108"/>
      <c r="U6021" s="110"/>
      <c r="V6021" s="110"/>
      <c r="W6021" s="110"/>
      <c r="X6021" s="110"/>
    </row>
    <row r="6022" spans="1:24" ht="14.25" customHeight="1">
      <c r="A6022" s="110"/>
      <c r="B6022" s="125">
        <v>46203</v>
      </c>
      <c r="C6022" s="126" t="s">
        <v>3746</v>
      </c>
      <c r="D6022" s="68" t="s">
        <v>285</v>
      </c>
      <c r="E6022" s="10" t="str">
        <f>TRIM(VLOOKUP(D6022,TB!$B$9:$C$1500,2,FALSE))</f>
        <v>Misc Cash Purchase</v>
      </c>
      <c r="F6022" s="142" t="s">
        <v>3747</v>
      </c>
      <c r="G6022" s="130"/>
      <c r="H6022" s="10">
        <v>12000</v>
      </c>
      <c r="I6022" s="10"/>
      <c r="J6022" s="79" t="e">
        <f t="shared" si="351"/>
        <v>#VALUE!</v>
      </c>
      <c r="K6022" s="106"/>
      <c r="L6022" s="107"/>
      <c r="M6022" s="106"/>
      <c r="N6022" s="106"/>
      <c r="O6022" s="108"/>
      <c r="P6022" s="108"/>
      <c r="Q6022" s="108"/>
      <c r="R6022" s="109"/>
      <c r="S6022" s="109"/>
      <c r="T6022" s="108"/>
      <c r="U6022" s="110"/>
      <c r="V6022" s="110"/>
      <c r="W6022" s="110"/>
      <c r="X6022" s="110"/>
    </row>
    <row r="6023" spans="1:24" ht="14.25" customHeight="1">
      <c r="A6023" s="110"/>
      <c r="B6023" s="125">
        <v>46203</v>
      </c>
      <c r="C6023" s="126" t="s">
        <v>3746</v>
      </c>
      <c r="D6023" s="15" t="s">
        <v>221</v>
      </c>
      <c r="E6023" s="10" t="str">
        <f>TRIM(VLOOKUP(D6023,TB!$B$9:$C$1500,2,FALSE))</f>
        <v>COS - Promotor Fees Other</v>
      </c>
      <c r="F6023" s="142" t="s">
        <v>3747</v>
      </c>
      <c r="G6023" s="130"/>
      <c r="H6023" s="10"/>
      <c r="I6023" s="10">
        <v>12000</v>
      </c>
      <c r="J6023" s="79" t="e">
        <f t="shared" si="351"/>
        <v>#VALUE!</v>
      </c>
      <c r="K6023" s="106"/>
      <c r="L6023" s="107"/>
      <c r="M6023" s="106"/>
      <c r="N6023" s="106"/>
      <c r="O6023" s="108"/>
      <c r="P6023" s="108"/>
      <c r="Q6023" s="108"/>
      <c r="R6023" s="109"/>
      <c r="S6023" s="109"/>
      <c r="T6023" s="108"/>
      <c r="U6023" s="110"/>
      <c r="V6023" s="110"/>
      <c r="W6023" s="110"/>
      <c r="X6023" s="110"/>
    </row>
    <row r="6024" spans="1:24" ht="14.25" customHeight="1">
      <c r="A6024" s="110"/>
      <c r="B6024" s="125"/>
      <c r="C6024" s="126"/>
      <c r="D6024" s="159"/>
      <c r="E6024" s="10" t="e">
        <f>TRIM(VLOOKUP(D6024,TB!$B$9:$C$1500,2,FALSE))</f>
        <v>#N/A</v>
      </c>
      <c r="F6024" s="142"/>
      <c r="G6024" s="130"/>
      <c r="H6024" s="10"/>
      <c r="I6024" s="10"/>
      <c r="J6024" s="79" t="e">
        <f t="shared" si="351"/>
        <v>#VALUE!</v>
      </c>
      <c r="K6024" s="106"/>
      <c r="L6024" s="107"/>
      <c r="M6024" s="106"/>
      <c r="N6024" s="106"/>
      <c r="O6024" s="108"/>
      <c r="P6024" s="108"/>
      <c r="Q6024" s="108"/>
      <c r="R6024" s="109"/>
      <c r="S6024" s="109"/>
      <c r="T6024" s="108"/>
      <c r="U6024" s="110"/>
      <c r="V6024" s="110"/>
      <c r="W6024" s="110"/>
      <c r="X6024" s="110"/>
    </row>
    <row r="6025" spans="1:24" ht="14.25" customHeight="1">
      <c r="A6025" s="110"/>
      <c r="B6025" s="125">
        <v>46203</v>
      </c>
      <c r="C6025" s="126" t="s">
        <v>3748</v>
      </c>
      <c r="D6025" s="68" t="s">
        <v>285</v>
      </c>
      <c r="E6025" s="10" t="str">
        <f>TRIM(VLOOKUP(D6025,TB!$B$9:$C$1500,2,FALSE))</f>
        <v>Misc Cash Purchase</v>
      </c>
      <c r="F6025" s="142" t="s">
        <v>3749</v>
      </c>
      <c r="G6025" s="130"/>
      <c r="H6025" s="10">
        <v>19075682</v>
      </c>
      <c r="I6025" s="10"/>
      <c r="J6025" s="79" t="e">
        <f t="shared" si="351"/>
        <v>#VALUE!</v>
      </c>
      <c r="K6025" s="106"/>
      <c r="L6025" s="107"/>
      <c r="M6025" s="106"/>
      <c r="N6025" s="106"/>
      <c r="O6025" s="108"/>
      <c r="P6025" s="108"/>
      <c r="Q6025" s="108"/>
      <c r="R6025" s="109"/>
      <c r="S6025" s="109"/>
      <c r="T6025" s="108"/>
      <c r="U6025" s="110"/>
      <c r="V6025" s="110"/>
      <c r="W6025" s="110"/>
      <c r="X6025" s="110"/>
    </row>
    <row r="6026" spans="1:24" ht="14.25" customHeight="1">
      <c r="A6026" s="110"/>
      <c r="B6026" s="125">
        <v>46203</v>
      </c>
      <c r="C6026" s="126" t="s">
        <v>3748</v>
      </c>
      <c r="D6026" s="68" t="s">
        <v>285</v>
      </c>
      <c r="E6026" s="10" t="str">
        <f>TRIM(VLOOKUP(D6026,TB!$B$9:$C$1500,2,FALSE))</f>
        <v>Misc Cash Purchase</v>
      </c>
      <c r="F6026" s="142" t="s">
        <v>3750</v>
      </c>
      <c r="G6026" s="130"/>
      <c r="H6026" s="155">
        <v>12240000</v>
      </c>
      <c r="I6026" s="10"/>
      <c r="J6026" s="79" t="e">
        <f t="shared" si="351"/>
        <v>#VALUE!</v>
      </c>
      <c r="K6026" s="106"/>
      <c r="L6026" s="107"/>
      <c r="M6026" s="106"/>
      <c r="N6026" s="106"/>
      <c r="O6026" s="108"/>
      <c r="P6026" s="108"/>
      <c r="Q6026" s="108"/>
      <c r="R6026" s="109"/>
      <c r="S6026" s="109"/>
      <c r="T6026" s="108"/>
      <c r="U6026" s="110"/>
      <c r="V6026" s="110"/>
      <c r="W6026" s="110"/>
      <c r="X6026" s="110"/>
    </row>
    <row r="6027" spans="1:24" ht="14.25" customHeight="1">
      <c r="A6027" s="110"/>
      <c r="B6027" s="125">
        <v>46203</v>
      </c>
      <c r="C6027" s="126" t="s">
        <v>3748</v>
      </c>
      <c r="D6027" s="68" t="s">
        <v>285</v>
      </c>
      <c r="E6027" s="10" t="str">
        <f>TRIM(VLOOKUP(D6027,TB!$B$9:$C$1500,2,FALSE))</f>
        <v>Misc Cash Purchase</v>
      </c>
      <c r="F6027" s="142" t="s">
        <v>3751</v>
      </c>
      <c r="G6027" s="130"/>
      <c r="H6027" s="10">
        <v>1441667</v>
      </c>
      <c r="I6027" s="10"/>
      <c r="J6027" s="79" t="e">
        <f t="shared" si="351"/>
        <v>#VALUE!</v>
      </c>
      <c r="K6027" s="106"/>
      <c r="L6027" s="107"/>
      <c r="M6027" s="106"/>
      <c r="N6027" s="106"/>
      <c r="O6027" s="108"/>
      <c r="P6027" s="108"/>
      <c r="Q6027" s="108"/>
      <c r="R6027" s="109"/>
      <c r="S6027" s="109"/>
      <c r="T6027" s="108"/>
      <c r="U6027" s="110"/>
      <c r="V6027" s="110"/>
      <c r="W6027" s="110"/>
      <c r="X6027" s="110"/>
    </row>
    <row r="6028" spans="1:24" ht="14.25" customHeight="1">
      <c r="A6028" s="110"/>
      <c r="B6028" s="125">
        <v>46203</v>
      </c>
      <c r="C6028" s="126" t="s">
        <v>3748</v>
      </c>
      <c r="D6028" s="68" t="s">
        <v>285</v>
      </c>
      <c r="E6028" s="10" t="str">
        <f>TRIM(VLOOKUP(D6028,TB!$B$9:$C$1500,2,FALSE))</f>
        <v>Misc Cash Purchase</v>
      </c>
      <c r="F6028" s="142" t="s">
        <v>3752</v>
      </c>
      <c r="G6028" s="130"/>
      <c r="H6028" s="10">
        <v>15885850</v>
      </c>
      <c r="I6028" s="10"/>
      <c r="J6028" s="79" t="e">
        <f t="shared" si="351"/>
        <v>#VALUE!</v>
      </c>
      <c r="K6028" s="106"/>
      <c r="L6028" s="107"/>
      <c r="M6028" s="106"/>
      <c r="N6028" s="106"/>
      <c r="O6028" s="108"/>
      <c r="P6028" s="108"/>
      <c r="Q6028" s="108"/>
      <c r="R6028" s="109"/>
      <c r="S6028" s="109"/>
      <c r="T6028" s="108"/>
      <c r="U6028" s="110"/>
      <c r="V6028" s="110"/>
      <c r="W6028" s="110"/>
      <c r="X6028" s="110"/>
    </row>
    <row r="6029" spans="1:24" ht="14.25" customHeight="1">
      <c r="A6029" s="110"/>
      <c r="B6029" s="125">
        <v>46203</v>
      </c>
      <c r="C6029" s="126" t="s">
        <v>3748</v>
      </c>
      <c r="D6029" s="15" t="s">
        <v>42</v>
      </c>
      <c r="E6029" s="10" t="str">
        <f>TRIM(VLOOKUP(D6029,TB!$B$9:$C$1500,2,FALSE))</f>
        <v>BCA Card TBB</v>
      </c>
      <c r="F6029" s="142" t="s">
        <v>3753</v>
      </c>
      <c r="G6029" s="130"/>
      <c r="H6029" s="10"/>
      <c r="I6029" s="10">
        <v>45000000</v>
      </c>
      <c r="J6029" s="79" t="e">
        <f t="shared" si="351"/>
        <v>#VALUE!</v>
      </c>
      <c r="K6029" s="106"/>
      <c r="L6029" s="107"/>
      <c r="M6029" s="106"/>
      <c r="N6029" s="106"/>
      <c r="O6029" s="108"/>
      <c r="P6029" s="108"/>
      <c r="Q6029" s="108"/>
      <c r="R6029" s="109"/>
      <c r="S6029" s="109"/>
      <c r="T6029" s="108"/>
      <c r="U6029" s="110"/>
      <c r="V6029" s="110"/>
      <c r="W6029" s="110"/>
      <c r="X6029" s="110"/>
    </row>
    <row r="6030" spans="1:24" ht="14.25" customHeight="1">
      <c r="A6030" s="110"/>
      <c r="B6030" s="125">
        <v>46203</v>
      </c>
      <c r="C6030" s="126" t="s">
        <v>3748</v>
      </c>
      <c r="D6030" s="68" t="s">
        <v>285</v>
      </c>
      <c r="E6030" s="10" t="str">
        <f>TRIM(VLOOKUP(D6030,TB!$B$9:$C$1500,2,FALSE))</f>
        <v>Misc Cash Purchase</v>
      </c>
      <c r="F6030" s="142" t="s">
        <v>3754</v>
      </c>
      <c r="G6030" s="130"/>
      <c r="H6030" s="10"/>
      <c r="I6030" s="10">
        <v>3643199</v>
      </c>
      <c r="J6030" s="79" t="e">
        <f t="shared" si="351"/>
        <v>#VALUE!</v>
      </c>
      <c r="K6030" s="106"/>
      <c r="L6030" s="107"/>
      <c r="M6030" s="106"/>
      <c r="N6030" s="106"/>
      <c r="O6030" s="108"/>
      <c r="P6030" s="108"/>
      <c r="Q6030" s="108"/>
      <c r="R6030" s="109"/>
      <c r="S6030" s="109"/>
      <c r="T6030" s="108"/>
      <c r="U6030" s="110"/>
      <c r="V6030" s="110"/>
      <c r="W6030" s="110"/>
      <c r="X6030" s="110"/>
    </row>
    <row r="6031" spans="1:24" ht="14.25" customHeight="1">
      <c r="A6031" s="110"/>
      <c r="B6031" s="125"/>
      <c r="C6031" s="126"/>
      <c r="D6031" s="159"/>
      <c r="E6031" s="10" t="e">
        <f>TRIM(VLOOKUP(D6031,TB!$B$9:$C$1500,2,FALSE))</f>
        <v>#N/A</v>
      </c>
      <c r="F6031" s="142"/>
      <c r="G6031" s="130"/>
      <c r="H6031" s="10"/>
      <c r="I6031" s="10"/>
      <c r="J6031" s="79" t="e">
        <f t="shared" si="351"/>
        <v>#VALUE!</v>
      </c>
      <c r="K6031" s="106"/>
      <c r="L6031" s="107"/>
      <c r="M6031" s="106"/>
      <c r="N6031" s="106"/>
      <c r="O6031" s="108"/>
      <c r="P6031" s="108"/>
      <c r="Q6031" s="108"/>
      <c r="R6031" s="109"/>
      <c r="S6031" s="109"/>
      <c r="T6031" s="108"/>
      <c r="U6031" s="110"/>
      <c r="V6031" s="110"/>
      <c r="W6031" s="110"/>
      <c r="X6031" s="110"/>
    </row>
    <row r="6032" spans="1:24" ht="14.25" customHeight="1">
      <c r="A6032" s="110"/>
      <c r="B6032" s="125">
        <v>46203</v>
      </c>
      <c r="C6032" s="126" t="s">
        <v>3755</v>
      </c>
      <c r="D6032" s="68" t="s">
        <v>285</v>
      </c>
      <c r="E6032" s="10" t="str">
        <f>TRIM(VLOOKUP(D6032,TB!$B$9:$C$1500,2,FALSE))</f>
        <v>Misc Cash Purchase</v>
      </c>
      <c r="F6032" s="142" t="s">
        <v>3756</v>
      </c>
      <c r="G6032" s="130"/>
      <c r="H6032" s="10">
        <v>10168668</v>
      </c>
      <c r="I6032" s="10"/>
      <c r="J6032" s="79" t="e">
        <f t="shared" si="351"/>
        <v>#VALUE!</v>
      </c>
      <c r="K6032" s="106"/>
      <c r="L6032" s="107"/>
      <c r="M6032" s="106"/>
      <c r="N6032" s="106"/>
      <c r="O6032" s="108"/>
      <c r="P6032" s="108"/>
      <c r="Q6032" s="108"/>
      <c r="R6032" s="109"/>
      <c r="S6032" s="109"/>
      <c r="T6032" s="108"/>
      <c r="U6032" s="110"/>
      <c r="V6032" s="110"/>
      <c r="W6032" s="110"/>
      <c r="X6032" s="110"/>
    </row>
    <row r="6033" spans="1:24" ht="14.25" customHeight="1">
      <c r="A6033" s="110"/>
      <c r="B6033" s="125">
        <v>46203</v>
      </c>
      <c r="C6033" s="126" t="s">
        <v>3755</v>
      </c>
      <c r="D6033" s="68" t="s">
        <v>285</v>
      </c>
      <c r="E6033" s="10" t="str">
        <f>TRIM(VLOOKUP(D6033,TB!$B$9:$C$1500,2,FALSE))</f>
        <v>Misc Cash Purchase</v>
      </c>
      <c r="F6033" s="142" t="s">
        <v>3757</v>
      </c>
      <c r="G6033" s="130"/>
      <c r="H6033" s="10">
        <v>17435108</v>
      </c>
      <c r="I6033" s="10"/>
      <c r="J6033" s="79" t="e">
        <f t="shared" si="351"/>
        <v>#VALUE!</v>
      </c>
      <c r="K6033" s="106"/>
      <c r="L6033" s="107"/>
      <c r="M6033" s="106"/>
      <c r="N6033" s="106"/>
      <c r="O6033" s="108"/>
      <c r="P6033" s="108"/>
      <c r="Q6033" s="108"/>
      <c r="R6033" s="109"/>
      <c r="S6033" s="109"/>
      <c r="T6033" s="108"/>
      <c r="U6033" s="110"/>
      <c r="V6033" s="110"/>
      <c r="W6033" s="110"/>
      <c r="X6033" s="110"/>
    </row>
    <row r="6034" spans="1:24" ht="14.25" customHeight="1">
      <c r="A6034" s="110"/>
      <c r="B6034" s="125">
        <v>46203</v>
      </c>
      <c r="C6034" s="126" t="s">
        <v>3755</v>
      </c>
      <c r="D6034" s="68" t="s">
        <v>285</v>
      </c>
      <c r="E6034" s="10" t="str">
        <f>TRIM(VLOOKUP(D6034,TB!$B$9:$C$1500,2,FALSE))</f>
        <v>Misc Cash Purchase</v>
      </c>
      <c r="F6034" s="142" t="s">
        <v>3758</v>
      </c>
      <c r="G6034" s="130"/>
      <c r="H6034" s="10">
        <v>18730329</v>
      </c>
      <c r="I6034" s="10"/>
      <c r="J6034" s="79" t="e">
        <f t="shared" si="351"/>
        <v>#VALUE!</v>
      </c>
      <c r="K6034" s="106"/>
      <c r="L6034" s="107"/>
      <c r="M6034" s="106"/>
      <c r="N6034" s="106"/>
      <c r="O6034" s="108"/>
      <c r="P6034" s="108"/>
      <c r="Q6034" s="108"/>
      <c r="R6034" s="109"/>
      <c r="S6034" s="109"/>
      <c r="T6034" s="108"/>
      <c r="U6034" s="110"/>
      <c r="V6034" s="110"/>
      <c r="W6034" s="110"/>
      <c r="X6034" s="110"/>
    </row>
    <row r="6035" spans="1:24" ht="14.25" customHeight="1">
      <c r="A6035" s="110"/>
      <c r="B6035" s="125">
        <v>46203</v>
      </c>
      <c r="C6035" s="126" t="s">
        <v>3755</v>
      </c>
      <c r="D6035" s="15" t="s">
        <v>1573</v>
      </c>
      <c r="E6035" s="10" t="str">
        <f>TRIM(VLOOKUP(D6035,TB!$B$9:$C$1500,2,FALSE))</f>
        <v>Cash Advance</v>
      </c>
      <c r="F6035" s="191" t="s">
        <v>1816</v>
      </c>
      <c r="G6035" s="130"/>
      <c r="H6035" s="10"/>
      <c r="I6035" s="155">
        <v>200000</v>
      </c>
      <c r="J6035" s="79" t="e">
        <f t="shared" si="351"/>
        <v>#VALUE!</v>
      </c>
      <c r="K6035" s="106"/>
      <c r="L6035" s="107"/>
      <c r="M6035" s="106"/>
      <c r="N6035" s="106"/>
      <c r="O6035" s="108"/>
      <c r="P6035" s="108"/>
      <c r="Q6035" s="108"/>
      <c r="R6035" s="109"/>
      <c r="S6035" s="109"/>
      <c r="T6035" s="108"/>
      <c r="U6035" s="110"/>
      <c r="V6035" s="110"/>
      <c r="W6035" s="110"/>
      <c r="X6035" s="110"/>
    </row>
    <row r="6036" spans="1:24" ht="14.25" customHeight="1">
      <c r="A6036" s="110"/>
      <c r="B6036" s="125">
        <v>46203</v>
      </c>
      <c r="C6036" s="126" t="s">
        <v>3755</v>
      </c>
      <c r="D6036" s="15" t="s">
        <v>1573</v>
      </c>
      <c r="E6036" s="10" t="str">
        <f>TRIM(VLOOKUP(D6036,TB!$B$9:$C$1500,2,FALSE))</f>
        <v>Cash Advance</v>
      </c>
      <c r="F6036" s="191" t="s">
        <v>1816</v>
      </c>
      <c r="G6036" s="130"/>
      <c r="H6036" s="10"/>
      <c r="I6036" s="155">
        <v>10000000</v>
      </c>
      <c r="J6036" s="79" t="e">
        <f t="shared" si="351"/>
        <v>#VALUE!</v>
      </c>
      <c r="K6036" s="106"/>
      <c r="L6036" s="107"/>
      <c r="M6036" s="106"/>
      <c r="N6036" s="106"/>
      <c r="O6036" s="108"/>
      <c r="P6036" s="108"/>
      <c r="Q6036" s="108"/>
      <c r="R6036" s="109"/>
      <c r="S6036" s="109"/>
      <c r="T6036" s="108"/>
      <c r="U6036" s="110"/>
      <c r="V6036" s="110"/>
      <c r="W6036" s="110"/>
      <c r="X6036" s="110"/>
    </row>
    <row r="6037" spans="1:24" ht="14.25" customHeight="1">
      <c r="A6037" s="110"/>
      <c r="B6037" s="125">
        <v>46203</v>
      </c>
      <c r="C6037" s="126" t="s">
        <v>3755</v>
      </c>
      <c r="D6037" s="15" t="s">
        <v>1573</v>
      </c>
      <c r="E6037" s="10" t="str">
        <f>TRIM(VLOOKUP(D6037,TB!$B$9:$C$1500,2,FALSE))</f>
        <v>Cash Advance</v>
      </c>
      <c r="F6037" s="191" t="s">
        <v>1880</v>
      </c>
      <c r="G6037" s="130"/>
      <c r="H6037" s="10"/>
      <c r="I6037" s="10">
        <v>3000000</v>
      </c>
      <c r="J6037" s="79" t="e">
        <f t="shared" si="351"/>
        <v>#VALUE!</v>
      </c>
      <c r="K6037" s="106"/>
      <c r="L6037" s="107"/>
      <c r="M6037" s="106"/>
      <c r="N6037" s="106"/>
      <c r="O6037" s="108"/>
      <c r="P6037" s="108"/>
      <c r="Q6037" s="108"/>
      <c r="R6037" s="109"/>
      <c r="S6037" s="109"/>
      <c r="T6037" s="108"/>
      <c r="U6037" s="110"/>
      <c r="V6037" s="110"/>
      <c r="W6037" s="110"/>
      <c r="X6037" s="110"/>
    </row>
    <row r="6038" spans="1:24" ht="14.25" customHeight="1">
      <c r="A6038" s="110"/>
      <c r="B6038" s="125">
        <v>46203</v>
      </c>
      <c r="C6038" s="126" t="s">
        <v>3755</v>
      </c>
      <c r="D6038" s="15" t="s">
        <v>1573</v>
      </c>
      <c r="E6038" s="10" t="str">
        <f>TRIM(VLOOKUP(D6038,TB!$B$9:$C$1500,2,FALSE))</f>
        <v>Cash Advance</v>
      </c>
      <c r="F6038" s="191" t="s">
        <v>1897</v>
      </c>
      <c r="G6038" s="130"/>
      <c r="H6038" s="10"/>
      <c r="I6038" s="10">
        <v>5000000</v>
      </c>
      <c r="J6038" s="79" t="e">
        <f t="shared" si="351"/>
        <v>#VALUE!</v>
      </c>
      <c r="K6038" s="106"/>
      <c r="L6038" s="107"/>
      <c r="M6038" s="106"/>
      <c r="N6038" s="106"/>
      <c r="O6038" s="108"/>
      <c r="P6038" s="108"/>
      <c r="Q6038" s="108"/>
      <c r="R6038" s="109"/>
      <c r="S6038" s="109"/>
      <c r="T6038" s="108"/>
      <c r="U6038" s="110"/>
      <c r="V6038" s="110"/>
      <c r="W6038" s="110"/>
      <c r="X6038" s="110"/>
    </row>
    <row r="6039" spans="1:24" ht="14.25" customHeight="1">
      <c r="A6039" s="110"/>
      <c r="B6039" s="125">
        <v>46203</v>
      </c>
      <c r="C6039" s="126" t="s">
        <v>3755</v>
      </c>
      <c r="D6039" s="15" t="s">
        <v>1573</v>
      </c>
      <c r="E6039" s="10" t="str">
        <f>TRIM(VLOOKUP(D6039,TB!$B$9:$C$1500,2,FALSE))</f>
        <v>Cash Advance</v>
      </c>
      <c r="F6039" s="191" t="s">
        <v>1972</v>
      </c>
      <c r="G6039" s="130"/>
      <c r="H6039" s="10"/>
      <c r="I6039" s="10">
        <v>10000000</v>
      </c>
      <c r="J6039" s="79" t="e">
        <f t="shared" si="351"/>
        <v>#VALUE!</v>
      </c>
      <c r="K6039" s="106"/>
      <c r="L6039" s="107"/>
      <c r="M6039" s="106"/>
      <c r="N6039" s="106"/>
      <c r="O6039" s="108"/>
      <c r="P6039" s="108"/>
      <c r="Q6039" s="108"/>
      <c r="R6039" s="109"/>
      <c r="S6039" s="109"/>
      <c r="T6039" s="108"/>
      <c r="U6039" s="110"/>
      <c r="V6039" s="110"/>
      <c r="W6039" s="110"/>
      <c r="X6039" s="110"/>
    </row>
    <row r="6040" spans="1:24" ht="14.25" customHeight="1">
      <c r="A6040" s="110"/>
      <c r="B6040" s="125">
        <v>46203</v>
      </c>
      <c r="C6040" s="126" t="s">
        <v>3755</v>
      </c>
      <c r="D6040" s="68" t="s">
        <v>63</v>
      </c>
      <c r="E6040" s="10" t="str">
        <f>TRIM(VLOOKUP(D6040,TB!$B$9:$C$1500,2,FALSE))</f>
        <v>City Ledger</v>
      </c>
      <c r="F6040" s="173" t="s">
        <v>3759</v>
      </c>
      <c r="G6040" s="130"/>
      <c r="H6040" s="10"/>
      <c r="I6040" s="10">
        <v>88275</v>
      </c>
      <c r="J6040" s="79" t="e">
        <f t="shared" si="351"/>
        <v>#VALUE!</v>
      </c>
      <c r="K6040" s="106"/>
      <c r="L6040" s="107"/>
      <c r="M6040" s="106"/>
      <c r="N6040" s="106"/>
      <c r="O6040" s="108"/>
      <c r="P6040" s="108"/>
      <c r="Q6040" s="108"/>
      <c r="R6040" s="109"/>
      <c r="S6040" s="109"/>
      <c r="T6040" s="108"/>
      <c r="U6040" s="110"/>
      <c r="V6040" s="110"/>
      <c r="W6040" s="110"/>
      <c r="X6040" s="110"/>
    </row>
    <row r="6041" spans="1:24" ht="14.25" customHeight="1">
      <c r="A6041" s="110"/>
      <c r="B6041" s="125">
        <v>46203</v>
      </c>
      <c r="C6041" s="126" t="s">
        <v>3755</v>
      </c>
      <c r="D6041" s="68" t="s">
        <v>63</v>
      </c>
      <c r="E6041" s="10" t="str">
        <f>TRIM(VLOOKUP(D6041,TB!$B$9:$C$1500,2,FALSE))</f>
        <v>City Ledger</v>
      </c>
      <c r="F6041" s="173" t="s">
        <v>3760</v>
      </c>
      <c r="G6041" s="130"/>
      <c r="H6041" s="10"/>
      <c r="I6041" s="10">
        <v>229515</v>
      </c>
      <c r="J6041" s="79" t="e">
        <f t="shared" si="351"/>
        <v>#VALUE!</v>
      </c>
      <c r="K6041" s="106"/>
      <c r="L6041" s="107"/>
      <c r="M6041" s="106"/>
      <c r="N6041" s="106"/>
      <c r="O6041" s="108"/>
      <c r="P6041" s="108"/>
      <c r="Q6041" s="108"/>
      <c r="R6041" s="109"/>
      <c r="S6041" s="109"/>
      <c r="T6041" s="108"/>
      <c r="U6041" s="110"/>
      <c r="V6041" s="110"/>
      <c r="W6041" s="110"/>
      <c r="X6041" s="110"/>
    </row>
    <row r="6042" spans="1:24" ht="14.25" customHeight="1">
      <c r="A6042" s="110"/>
      <c r="B6042" s="125">
        <v>46203</v>
      </c>
      <c r="C6042" s="126" t="s">
        <v>3755</v>
      </c>
      <c r="D6042" s="68" t="s">
        <v>63</v>
      </c>
      <c r="E6042" s="10" t="str">
        <f>TRIM(VLOOKUP(D6042,TB!$B$9:$C$1500,2,FALSE))</f>
        <v>City Ledger</v>
      </c>
      <c r="F6042" s="173" t="s">
        <v>3761</v>
      </c>
      <c r="G6042" s="130"/>
      <c r="H6042" s="10"/>
      <c r="I6042" s="10">
        <v>176550</v>
      </c>
      <c r="J6042" s="79" t="e">
        <f t="shared" si="351"/>
        <v>#VALUE!</v>
      </c>
      <c r="K6042" s="106"/>
      <c r="L6042" s="107"/>
      <c r="M6042" s="106"/>
      <c r="N6042" s="106"/>
      <c r="O6042" s="108"/>
      <c r="P6042" s="108"/>
      <c r="Q6042" s="108"/>
      <c r="R6042" s="109"/>
      <c r="S6042" s="109"/>
      <c r="T6042" s="108"/>
      <c r="U6042" s="110"/>
      <c r="V6042" s="110"/>
      <c r="W6042" s="110"/>
      <c r="X6042" s="110"/>
    </row>
    <row r="6043" spans="1:24" ht="14.25" customHeight="1">
      <c r="A6043" s="110"/>
      <c r="B6043" s="125">
        <v>46203</v>
      </c>
      <c r="C6043" s="126" t="s">
        <v>3755</v>
      </c>
      <c r="D6043" s="68" t="s">
        <v>63</v>
      </c>
      <c r="E6043" s="10" t="str">
        <f>TRIM(VLOOKUP(D6043,TB!$B$9:$C$1500,2,FALSE))</f>
        <v>City Ledger</v>
      </c>
      <c r="F6043" s="173" t="s">
        <v>3762</v>
      </c>
      <c r="G6043" s="130"/>
      <c r="H6043" s="10"/>
      <c r="I6043" s="10">
        <v>76505</v>
      </c>
      <c r="J6043" s="79" t="e">
        <f t="shared" si="351"/>
        <v>#VALUE!</v>
      </c>
      <c r="K6043" s="106"/>
      <c r="L6043" s="107"/>
      <c r="M6043" s="106"/>
      <c r="N6043" s="106"/>
      <c r="O6043" s="108"/>
      <c r="P6043" s="108"/>
      <c r="Q6043" s="108"/>
      <c r="R6043" s="109"/>
      <c r="S6043" s="109"/>
      <c r="T6043" s="108"/>
      <c r="U6043" s="110"/>
      <c r="V6043" s="110"/>
      <c r="W6043" s="110"/>
      <c r="X6043" s="110"/>
    </row>
    <row r="6044" spans="1:24" ht="14.25" customHeight="1">
      <c r="A6044" s="110"/>
      <c r="B6044" s="125">
        <v>46203</v>
      </c>
      <c r="C6044" s="126" t="s">
        <v>3755</v>
      </c>
      <c r="D6044" s="68" t="s">
        <v>63</v>
      </c>
      <c r="E6044" s="10" t="str">
        <f>TRIM(VLOOKUP(D6044,TB!$B$9:$C$1500,2,FALSE))</f>
        <v>City Ledger</v>
      </c>
      <c r="F6044" s="173" t="s">
        <v>3763</v>
      </c>
      <c r="G6044" s="130"/>
      <c r="H6044" s="10"/>
      <c r="I6044" s="10">
        <v>76505</v>
      </c>
      <c r="J6044" s="79" t="e">
        <f t="shared" si="351"/>
        <v>#VALUE!</v>
      </c>
      <c r="K6044" s="106"/>
      <c r="L6044" s="107"/>
      <c r="M6044" s="106"/>
      <c r="N6044" s="106"/>
      <c r="O6044" s="108"/>
      <c r="P6044" s="108"/>
      <c r="Q6044" s="108"/>
      <c r="R6044" s="109"/>
      <c r="S6044" s="109"/>
      <c r="T6044" s="108"/>
      <c r="U6044" s="110"/>
      <c r="V6044" s="110"/>
      <c r="W6044" s="110"/>
      <c r="X6044" s="110"/>
    </row>
    <row r="6045" spans="1:24" ht="14.25" customHeight="1">
      <c r="A6045" s="110"/>
      <c r="B6045" s="125">
        <v>46203</v>
      </c>
      <c r="C6045" s="126" t="s">
        <v>3755</v>
      </c>
      <c r="D6045" s="68" t="s">
        <v>63</v>
      </c>
      <c r="E6045" s="10" t="str">
        <f>TRIM(VLOOKUP(D6045,TB!$B$9:$C$1500,2,FALSE))</f>
        <v>City Ledger</v>
      </c>
      <c r="F6045" s="173" t="s">
        <v>3764</v>
      </c>
      <c r="G6045" s="130"/>
      <c r="H6045" s="10"/>
      <c r="I6045" s="10">
        <v>117701</v>
      </c>
      <c r="J6045" s="79" t="e">
        <f t="shared" si="351"/>
        <v>#VALUE!</v>
      </c>
      <c r="K6045" s="106"/>
      <c r="L6045" s="107"/>
      <c r="M6045" s="106"/>
      <c r="N6045" s="106"/>
      <c r="O6045" s="108"/>
      <c r="P6045" s="108"/>
      <c r="Q6045" s="108"/>
      <c r="R6045" s="109"/>
      <c r="S6045" s="109"/>
      <c r="T6045" s="108"/>
      <c r="U6045" s="110"/>
      <c r="V6045" s="110"/>
      <c r="W6045" s="110"/>
      <c r="X6045" s="110"/>
    </row>
    <row r="6046" spans="1:24" ht="14.25" customHeight="1">
      <c r="A6046" s="110"/>
      <c r="B6046" s="125">
        <v>46203</v>
      </c>
      <c r="C6046" s="126" t="s">
        <v>3755</v>
      </c>
      <c r="D6046" s="68" t="s">
        <v>63</v>
      </c>
      <c r="E6046" s="10" t="str">
        <f>TRIM(VLOOKUP(D6046,TB!$B$9:$C$1500,2,FALSE))</f>
        <v>City Ledger</v>
      </c>
      <c r="F6046" s="173" t="s">
        <v>3765</v>
      </c>
      <c r="G6046" s="130"/>
      <c r="H6046" s="10"/>
      <c r="I6046" s="10">
        <v>79448</v>
      </c>
      <c r="J6046" s="79" t="e">
        <f t="shared" si="351"/>
        <v>#VALUE!</v>
      </c>
      <c r="K6046" s="106"/>
      <c r="L6046" s="107"/>
      <c r="M6046" s="106"/>
      <c r="N6046" s="106"/>
      <c r="O6046" s="108"/>
      <c r="P6046" s="108"/>
      <c r="Q6046" s="108"/>
      <c r="R6046" s="109"/>
      <c r="S6046" s="109"/>
      <c r="T6046" s="108"/>
      <c r="U6046" s="110"/>
      <c r="V6046" s="110"/>
      <c r="W6046" s="110"/>
      <c r="X6046" s="110"/>
    </row>
    <row r="6047" spans="1:24" ht="14.25" customHeight="1">
      <c r="A6047" s="110"/>
      <c r="B6047" s="125">
        <v>46203</v>
      </c>
      <c r="C6047" s="126" t="s">
        <v>3755</v>
      </c>
      <c r="D6047" s="68" t="s">
        <v>63</v>
      </c>
      <c r="E6047" s="10" t="str">
        <f>TRIM(VLOOKUP(D6047,TB!$B$9:$C$1500,2,FALSE))</f>
        <v>City Ledger</v>
      </c>
      <c r="F6047" s="173" t="s">
        <v>3766</v>
      </c>
      <c r="G6047" s="130"/>
      <c r="H6047" s="10"/>
      <c r="I6047" s="10">
        <v>44138</v>
      </c>
      <c r="J6047" s="79" t="e">
        <f t="shared" si="351"/>
        <v>#VALUE!</v>
      </c>
      <c r="K6047" s="106"/>
      <c r="L6047" s="107"/>
      <c r="M6047" s="106"/>
      <c r="N6047" s="106"/>
      <c r="O6047" s="108"/>
      <c r="P6047" s="108"/>
      <c r="Q6047" s="108"/>
      <c r="R6047" s="109"/>
      <c r="S6047" s="109"/>
      <c r="T6047" s="108"/>
      <c r="U6047" s="110"/>
      <c r="V6047" s="110"/>
      <c r="W6047" s="110"/>
      <c r="X6047" s="110"/>
    </row>
    <row r="6048" spans="1:24" ht="14.25" customHeight="1">
      <c r="A6048" s="110"/>
      <c r="B6048" s="125">
        <v>46203</v>
      </c>
      <c r="C6048" s="126" t="s">
        <v>3755</v>
      </c>
      <c r="D6048" s="68" t="s">
        <v>63</v>
      </c>
      <c r="E6048" s="10" t="str">
        <f>TRIM(VLOOKUP(D6048,TB!$B$9:$C$1500,2,FALSE))</f>
        <v>City Ledger</v>
      </c>
      <c r="F6048" s="173" t="s">
        <v>3767</v>
      </c>
      <c r="G6048" s="130"/>
      <c r="H6048" s="10"/>
      <c r="I6048" s="10">
        <v>238343</v>
      </c>
      <c r="J6048" s="79" t="e">
        <f t="shared" si="351"/>
        <v>#VALUE!</v>
      </c>
      <c r="K6048" s="106"/>
      <c r="L6048" s="107"/>
      <c r="M6048" s="106"/>
      <c r="N6048" s="106"/>
      <c r="O6048" s="108"/>
      <c r="P6048" s="108"/>
      <c r="Q6048" s="108"/>
      <c r="R6048" s="109"/>
      <c r="S6048" s="109"/>
      <c r="T6048" s="108"/>
      <c r="U6048" s="110"/>
      <c r="V6048" s="110"/>
      <c r="W6048" s="110"/>
      <c r="X6048" s="110"/>
    </row>
    <row r="6049" spans="1:24" ht="14.25" customHeight="1">
      <c r="A6049" s="110"/>
      <c r="B6049" s="125">
        <v>46203</v>
      </c>
      <c r="C6049" s="126" t="s">
        <v>3755</v>
      </c>
      <c r="D6049" s="68" t="s">
        <v>63</v>
      </c>
      <c r="E6049" s="10" t="str">
        <f>TRIM(VLOOKUP(D6049,TB!$B$9:$C$1500,2,FALSE))</f>
        <v>City Ledger</v>
      </c>
      <c r="F6049" s="173" t="s">
        <v>3768</v>
      </c>
      <c r="G6049" s="130"/>
      <c r="H6049" s="10"/>
      <c r="I6049" s="10">
        <v>466752</v>
      </c>
      <c r="J6049" s="79" t="e">
        <f t="shared" si="351"/>
        <v>#VALUE!</v>
      </c>
      <c r="K6049" s="106"/>
      <c r="L6049" s="107"/>
      <c r="M6049" s="106"/>
      <c r="N6049" s="106"/>
      <c r="O6049" s="108"/>
      <c r="P6049" s="108"/>
      <c r="Q6049" s="108"/>
      <c r="R6049" s="109"/>
      <c r="S6049" s="109"/>
      <c r="T6049" s="108"/>
      <c r="U6049" s="110"/>
      <c r="V6049" s="110"/>
      <c r="W6049" s="110"/>
      <c r="X6049" s="110"/>
    </row>
    <row r="6050" spans="1:24" ht="14.25" customHeight="1">
      <c r="A6050" s="110"/>
      <c r="B6050" s="125">
        <v>46203</v>
      </c>
      <c r="C6050" s="126" t="s">
        <v>3755</v>
      </c>
      <c r="D6050" s="68" t="s">
        <v>285</v>
      </c>
      <c r="E6050" s="10" t="str">
        <f>TRIM(VLOOKUP(D6050,TB!$B$9:$C$1500,2,FALSE))</f>
        <v>Misc Cash Purchase</v>
      </c>
      <c r="F6050" s="142" t="s">
        <v>3769</v>
      </c>
      <c r="G6050" s="130"/>
      <c r="H6050" s="10"/>
      <c r="I6050" s="10">
        <v>16540373</v>
      </c>
      <c r="J6050" s="79" t="e">
        <f t="shared" si="351"/>
        <v>#VALUE!</v>
      </c>
      <c r="K6050" s="106"/>
      <c r="L6050" s="107"/>
      <c r="M6050" s="106"/>
      <c r="N6050" s="106"/>
      <c r="O6050" s="108"/>
      <c r="P6050" s="108"/>
      <c r="Q6050" s="108"/>
      <c r="R6050" s="109"/>
      <c r="S6050" s="109"/>
      <c r="T6050" s="108"/>
      <c r="U6050" s="110"/>
      <c r="V6050" s="110"/>
      <c r="W6050" s="110"/>
      <c r="X6050" s="110"/>
    </row>
    <row r="6051" spans="1:24" ht="14.25" customHeight="1">
      <c r="A6051" s="110"/>
      <c r="B6051" s="125"/>
      <c r="C6051" s="126"/>
      <c r="D6051" s="159"/>
      <c r="E6051" s="10" t="e">
        <f>TRIM(VLOOKUP(D6051,TB!$B$9:$C$1500,2,FALSE))</f>
        <v>#N/A</v>
      </c>
      <c r="F6051" s="142"/>
      <c r="G6051" s="130"/>
      <c r="H6051" s="10"/>
      <c r="I6051" s="10"/>
      <c r="J6051" s="79" t="e">
        <f t="shared" si="351"/>
        <v>#VALUE!</v>
      </c>
      <c r="K6051" s="106"/>
      <c r="L6051" s="107"/>
      <c r="M6051" s="106"/>
      <c r="N6051" s="106"/>
      <c r="O6051" s="108"/>
      <c r="P6051" s="108"/>
      <c r="Q6051" s="108"/>
      <c r="R6051" s="109"/>
      <c r="S6051" s="109"/>
      <c r="T6051" s="108"/>
      <c r="U6051" s="110"/>
      <c r="V6051" s="110"/>
      <c r="W6051" s="110"/>
      <c r="X6051" s="110"/>
    </row>
    <row r="6052" spans="1:24" ht="14.25" customHeight="1">
      <c r="A6052" s="110"/>
      <c r="B6052" s="125">
        <v>46203</v>
      </c>
      <c r="C6052" s="126" t="s">
        <v>3770</v>
      </c>
      <c r="D6052" s="15" t="s">
        <v>1155</v>
      </c>
      <c r="E6052" s="10" t="str">
        <f>TRIM(VLOOKUP(D6052,TB!$B$9:$C$1500,2,FALSE))</f>
        <v>Kitchen Supplies</v>
      </c>
      <c r="F6052" s="142" t="s">
        <v>3771</v>
      </c>
      <c r="G6052" s="130"/>
      <c r="H6052" s="10">
        <v>37500</v>
      </c>
      <c r="I6052" s="10"/>
      <c r="J6052" s="79" t="e">
        <f t="shared" si="351"/>
        <v>#VALUE!</v>
      </c>
      <c r="K6052" s="106"/>
      <c r="L6052" s="107"/>
      <c r="M6052" s="106"/>
      <c r="N6052" s="106"/>
      <c r="O6052" s="108"/>
      <c r="P6052" s="108"/>
      <c r="Q6052" s="108"/>
      <c r="R6052" s="109"/>
      <c r="S6052" s="109"/>
      <c r="T6052" s="108"/>
      <c r="U6052" s="110"/>
      <c r="V6052" s="110"/>
      <c r="W6052" s="110"/>
      <c r="X6052" s="110"/>
    </row>
    <row r="6053" spans="1:24" ht="14.25" customHeight="1">
      <c r="A6053" s="110"/>
      <c r="B6053" s="125">
        <v>46203</v>
      </c>
      <c r="C6053" s="126" t="s">
        <v>3770</v>
      </c>
      <c r="D6053" s="15" t="s">
        <v>1155</v>
      </c>
      <c r="E6053" s="10" t="str">
        <f>TRIM(VLOOKUP(D6053,TB!$B$9:$C$1500,2,FALSE))</f>
        <v>Kitchen Supplies</v>
      </c>
      <c r="F6053" s="142" t="s">
        <v>3772</v>
      </c>
      <c r="G6053" s="130"/>
      <c r="H6053" s="10">
        <v>53900</v>
      </c>
      <c r="I6053" s="10"/>
      <c r="J6053" s="79" t="e">
        <f t="shared" si="351"/>
        <v>#VALUE!</v>
      </c>
      <c r="K6053" s="106"/>
      <c r="L6053" s="107"/>
      <c r="M6053" s="106"/>
      <c r="N6053" s="106"/>
      <c r="O6053" s="108"/>
      <c r="P6053" s="108"/>
      <c r="Q6053" s="108"/>
      <c r="R6053" s="109"/>
      <c r="S6053" s="109"/>
      <c r="T6053" s="108"/>
      <c r="U6053" s="110"/>
      <c r="V6053" s="110"/>
      <c r="W6053" s="110"/>
      <c r="X6053" s="110"/>
    </row>
    <row r="6054" spans="1:24" ht="14.25" customHeight="1">
      <c r="A6054" s="110"/>
      <c r="B6054" s="125">
        <v>46203</v>
      </c>
      <c r="C6054" s="126" t="s">
        <v>3770</v>
      </c>
      <c r="D6054" s="15" t="s">
        <v>1404</v>
      </c>
      <c r="E6054" s="10" t="str">
        <f>TRIM(VLOOKUP(D6054,TB!$B$9:$C$1500,2,FALSE))</f>
        <v>Stationary &amp; Office Supplies</v>
      </c>
      <c r="F6054" s="142" t="s">
        <v>3773</v>
      </c>
      <c r="G6054" s="130"/>
      <c r="H6054" s="10">
        <v>28400</v>
      </c>
      <c r="I6054" s="10"/>
      <c r="J6054" s="79" t="e">
        <f t="shared" si="351"/>
        <v>#VALUE!</v>
      </c>
      <c r="K6054" s="106"/>
      <c r="L6054" s="107"/>
      <c r="M6054" s="106"/>
      <c r="N6054" s="106"/>
      <c r="O6054" s="108"/>
      <c r="P6054" s="108"/>
      <c r="Q6054" s="108"/>
      <c r="R6054" s="109"/>
      <c r="S6054" s="109"/>
      <c r="T6054" s="108"/>
      <c r="U6054" s="110"/>
      <c r="V6054" s="110"/>
      <c r="W6054" s="110"/>
      <c r="X6054" s="110"/>
    </row>
    <row r="6055" spans="1:24" ht="14.25" customHeight="1">
      <c r="A6055" s="110"/>
      <c r="B6055" s="125">
        <v>46203</v>
      </c>
      <c r="C6055" s="126" t="s">
        <v>3770</v>
      </c>
      <c r="D6055" s="68" t="s">
        <v>140</v>
      </c>
      <c r="E6055" s="10" t="str">
        <f>TRIM(VLOOKUP(D6055,TB!$B$9:$C$1500,2,FALSE))</f>
        <v>Prepaid others</v>
      </c>
      <c r="F6055" s="142" t="s">
        <v>3774</v>
      </c>
      <c r="G6055" s="130"/>
      <c r="H6055" s="10"/>
      <c r="I6055" s="184">
        <v>128070</v>
      </c>
      <c r="J6055" s="79" t="e">
        <f t="shared" si="351"/>
        <v>#VALUE!</v>
      </c>
      <c r="K6055" s="106"/>
      <c r="L6055" s="107"/>
      <c r="M6055" s="106"/>
      <c r="N6055" s="106"/>
      <c r="O6055" s="108"/>
      <c r="P6055" s="108"/>
      <c r="Q6055" s="108"/>
      <c r="R6055" s="109"/>
      <c r="S6055" s="109"/>
      <c r="T6055" s="108"/>
      <c r="U6055" s="110"/>
      <c r="V6055" s="110"/>
      <c r="W6055" s="110"/>
      <c r="X6055" s="110"/>
    </row>
    <row r="6056" spans="1:24" ht="14.25" customHeight="1">
      <c r="A6056" s="110"/>
      <c r="B6056" s="125">
        <v>46203</v>
      </c>
      <c r="C6056" s="126" t="s">
        <v>3770</v>
      </c>
      <c r="D6056" s="68" t="s">
        <v>140</v>
      </c>
      <c r="E6056" s="10" t="str">
        <f>TRIM(VLOOKUP(D6056,TB!$B$9:$C$1500,2,FALSE))</f>
        <v>Prepaid others</v>
      </c>
      <c r="F6056" s="142" t="s">
        <v>3775</v>
      </c>
      <c r="G6056" s="130"/>
      <c r="H6056" s="10">
        <v>8270</v>
      </c>
      <c r="I6056" s="10"/>
      <c r="J6056" s="79" t="e">
        <f t="shared" si="351"/>
        <v>#VALUE!</v>
      </c>
      <c r="K6056" s="106"/>
      <c r="L6056" s="107"/>
      <c r="M6056" s="106"/>
      <c r="N6056" s="106"/>
      <c r="O6056" s="108"/>
      <c r="P6056" s="108"/>
      <c r="Q6056" s="108"/>
      <c r="R6056" s="109"/>
      <c r="S6056" s="109"/>
      <c r="T6056" s="108"/>
      <c r="U6056" s="110"/>
      <c r="V6056" s="110"/>
      <c r="W6056" s="110"/>
      <c r="X6056" s="110"/>
    </row>
    <row r="6057" spans="1:24" ht="14.25" customHeight="1">
      <c r="A6057" s="110"/>
      <c r="B6057" s="125"/>
      <c r="C6057" s="126"/>
      <c r="D6057" s="159"/>
      <c r="E6057" s="10" t="e">
        <f>TRIM(VLOOKUP(D6057,TB!$B$9:$C$1500,2,FALSE))</f>
        <v>#N/A</v>
      </c>
      <c r="F6057" s="142"/>
      <c r="G6057" s="130"/>
      <c r="H6057" s="10"/>
      <c r="I6057" s="10"/>
      <c r="J6057" s="79" t="e">
        <f t="shared" si="351"/>
        <v>#VALUE!</v>
      </c>
      <c r="K6057" s="106"/>
      <c r="L6057" s="107"/>
      <c r="M6057" s="106"/>
      <c r="N6057" s="106"/>
      <c r="O6057" s="108"/>
      <c r="P6057" s="108"/>
      <c r="Q6057" s="108"/>
      <c r="R6057" s="109"/>
      <c r="S6057" s="109"/>
      <c r="T6057" s="108"/>
      <c r="U6057" s="110"/>
      <c r="V6057" s="110"/>
      <c r="W6057" s="110"/>
      <c r="X6057" s="110"/>
    </row>
    <row r="6058" spans="1:24" ht="14.25" customHeight="1">
      <c r="A6058" s="110"/>
      <c r="B6058" s="125">
        <v>46203</v>
      </c>
      <c r="C6058" s="126" t="s">
        <v>3776</v>
      </c>
      <c r="D6058" s="15" t="s">
        <v>3777</v>
      </c>
      <c r="E6058" s="10" t="str">
        <f>TRIM(VLOOKUP(D6058,TB!$B$9:$C$1500,2,FALSE))</f>
        <v>Repairs Sound Systems</v>
      </c>
      <c r="F6058" s="142" t="s">
        <v>3778</v>
      </c>
      <c r="G6058" s="130"/>
      <c r="H6058" s="10">
        <v>1998000</v>
      </c>
      <c r="I6058" s="10"/>
      <c r="J6058" s="79" t="e">
        <f t="shared" si="351"/>
        <v>#VALUE!</v>
      </c>
      <c r="K6058" s="106"/>
      <c r="L6058" s="107"/>
      <c r="M6058" s="106"/>
      <c r="N6058" s="106"/>
      <c r="O6058" s="108"/>
      <c r="P6058" s="108"/>
      <c r="Q6058" s="108"/>
      <c r="R6058" s="109"/>
      <c r="S6058" s="109"/>
      <c r="T6058" s="108"/>
      <c r="U6058" s="110"/>
      <c r="V6058" s="110"/>
      <c r="W6058" s="110"/>
      <c r="X6058" s="110"/>
    </row>
    <row r="6059" spans="1:24" ht="14.25" customHeight="1">
      <c r="A6059" s="110"/>
      <c r="B6059" s="125">
        <v>46203</v>
      </c>
      <c r="C6059" s="126" t="s">
        <v>3776</v>
      </c>
      <c r="D6059" s="68" t="s">
        <v>140</v>
      </c>
      <c r="E6059" s="10" t="str">
        <f>TRIM(VLOOKUP(D6059,TB!$B$9:$C$1500,2,FALSE))</f>
        <v>Prepaid others</v>
      </c>
      <c r="F6059" s="142" t="s">
        <v>3778</v>
      </c>
      <c r="G6059" s="130"/>
      <c r="H6059" s="10"/>
      <c r="I6059" s="10">
        <v>1998000</v>
      </c>
      <c r="J6059" s="79" t="e">
        <f t="shared" si="351"/>
        <v>#VALUE!</v>
      </c>
      <c r="K6059" s="106"/>
      <c r="L6059" s="107"/>
      <c r="M6059" s="106"/>
      <c r="N6059" s="106"/>
      <c r="O6059" s="108"/>
      <c r="P6059" s="108"/>
      <c r="Q6059" s="108"/>
      <c r="R6059" s="109"/>
      <c r="S6059" s="109"/>
      <c r="T6059" s="108"/>
      <c r="U6059" s="110"/>
      <c r="V6059" s="110"/>
      <c r="W6059" s="110"/>
      <c r="X6059" s="110"/>
    </row>
    <row r="6060" spans="1:24" ht="14.25" customHeight="1">
      <c r="A6060" s="110"/>
      <c r="B6060" s="125"/>
      <c r="C6060" s="126"/>
      <c r="D6060" s="159"/>
      <c r="E6060" s="10" t="e">
        <f>TRIM(VLOOKUP(D6060,TB!$B$9:$C$1500,2,FALSE))</f>
        <v>#N/A</v>
      </c>
      <c r="F6060" s="142"/>
      <c r="G6060" s="130"/>
      <c r="H6060" s="10"/>
      <c r="I6060" s="10"/>
      <c r="J6060" s="79" t="e">
        <f t="shared" si="351"/>
        <v>#VALUE!</v>
      </c>
      <c r="K6060" s="106"/>
      <c r="L6060" s="107"/>
      <c r="M6060" s="106"/>
      <c r="N6060" s="106"/>
      <c r="O6060" s="108"/>
      <c r="P6060" s="108"/>
      <c r="Q6060" s="108"/>
      <c r="R6060" s="109"/>
      <c r="S6060" s="109"/>
      <c r="T6060" s="108"/>
      <c r="U6060" s="110"/>
      <c r="V6060" s="110"/>
      <c r="W6060" s="110"/>
      <c r="X6060" s="110"/>
    </row>
    <row r="6061" spans="1:24" ht="14.25" customHeight="1">
      <c r="A6061" s="110"/>
      <c r="B6061" s="125">
        <v>46203</v>
      </c>
      <c r="C6061" s="126" t="s">
        <v>3779</v>
      </c>
      <c r="D6061" s="15" t="s">
        <v>124</v>
      </c>
      <c r="E6061" s="10" t="str">
        <f>TRIM(VLOOKUP(D6061,TB!$B$9:$C$1500,2,FALSE))</f>
        <v>Bank charges</v>
      </c>
      <c r="F6061" s="142" t="s">
        <v>3780</v>
      </c>
      <c r="G6061" s="130"/>
      <c r="H6061" s="10">
        <v>8</v>
      </c>
      <c r="I6061" s="10"/>
      <c r="J6061" s="79" t="e">
        <f t="shared" si="351"/>
        <v>#VALUE!</v>
      </c>
      <c r="K6061" s="106"/>
      <c r="L6061" s="107"/>
      <c r="M6061" s="106"/>
      <c r="N6061" s="106"/>
      <c r="O6061" s="108"/>
      <c r="P6061" s="108"/>
      <c r="Q6061" s="108"/>
      <c r="R6061" s="109"/>
      <c r="S6061" s="109"/>
      <c r="T6061" s="108"/>
      <c r="U6061" s="110"/>
      <c r="V6061" s="110"/>
      <c r="W6061" s="110"/>
      <c r="X6061" s="110"/>
    </row>
    <row r="6062" spans="1:24" ht="14.25" customHeight="1">
      <c r="A6062" s="110"/>
      <c r="B6062" s="125">
        <v>46203</v>
      </c>
      <c r="C6062" s="126" t="s">
        <v>3779</v>
      </c>
      <c r="D6062" s="68" t="s">
        <v>140</v>
      </c>
      <c r="E6062" s="10" t="str">
        <f>TRIM(VLOOKUP(D6062,TB!$B$9:$C$1500,2,FALSE))</f>
        <v>Prepaid others</v>
      </c>
      <c r="F6062" s="142" t="s">
        <v>3780</v>
      </c>
      <c r="G6062" s="130"/>
      <c r="H6062" s="10"/>
      <c r="I6062" s="10">
        <v>8</v>
      </c>
      <c r="J6062" s="79" t="e">
        <f t="shared" si="351"/>
        <v>#VALUE!</v>
      </c>
      <c r="K6062" s="106"/>
      <c r="L6062" s="107"/>
      <c r="M6062" s="106"/>
      <c r="N6062" s="106"/>
      <c r="O6062" s="108"/>
      <c r="P6062" s="108"/>
      <c r="Q6062" s="108"/>
      <c r="R6062" s="109"/>
      <c r="S6062" s="109"/>
      <c r="T6062" s="108"/>
      <c r="U6062" s="110"/>
      <c r="V6062" s="110"/>
      <c r="W6062" s="110"/>
      <c r="X6062" s="110"/>
    </row>
    <row r="6063" spans="1:24" ht="14.25" customHeight="1">
      <c r="A6063" s="110"/>
      <c r="B6063" s="125">
        <v>46203</v>
      </c>
      <c r="C6063" s="126" t="s">
        <v>3779</v>
      </c>
      <c r="D6063" s="68" t="s">
        <v>140</v>
      </c>
      <c r="E6063" s="10" t="str">
        <f>TRIM(VLOOKUP(D6063,TB!$B$9:$C$1500,2,FALSE))</f>
        <v>Prepaid others</v>
      </c>
      <c r="F6063" s="142" t="s">
        <v>3781</v>
      </c>
      <c r="G6063" s="130"/>
      <c r="H6063" s="10">
        <v>4</v>
      </c>
      <c r="I6063" s="10"/>
      <c r="J6063" s="79" t="e">
        <f t="shared" si="351"/>
        <v>#VALUE!</v>
      </c>
      <c r="K6063" s="106"/>
      <c r="L6063" s="107"/>
      <c r="M6063" s="106"/>
      <c r="N6063" s="106"/>
      <c r="O6063" s="108"/>
      <c r="P6063" s="108"/>
      <c r="Q6063" s="108"/>
      <c r="R6063" s="109"/>
      <c r="S6063" s="109"/>
      <c r="T6063" s="108"/>
      <c r="U6063" s="110"/>
      <c r="V6063" s="110"/>
      <c r="W6063" s="110"/>
      <c r="X6063" s="110"/>
    </row>
    <row r="6064" spans="1:24" ht="14.25" customHeight="1">
      <c r="A6064" s="110"/>
      <c r="B6064" s="125">
        <v>46203</v>
      </c>
      <c r="C6064" s="126" t="s">
        <v>3779</v>
      </c>
      <c r="D6064" s="15" t="s">
        <v>124</v>
      </c>
      <c r="E6064" s="10" t="str">
        <f>TRIM(VLOOKUP(D6064,TB!$B$9:$C$1500,2,FALSE))</f>
        <v>Bank charges</v>
      </c>
      <c r="F6064" s="142" t="s">
        <v>3781</v>
      </c>
      <c r="G6064" s="130"/>
      <c r="H6064" s="10"/>
      <c r="I6064" s="10">
        <v>4</v>
      </c>
      <c r="J6064" s="79" t="e">
        <f t="shared" si="351"/>
        <v>#VALUE!</v>
      </c>
      <c r="K6064" s="106"/>
      <c r="L6064" s="107"/>
      <c r="M6064" s="106"/>
      <c r="N6064" s="106"/>
      <c r="O6064" s="108"/>
      <c r="P6064" s="108"/>
      <c r="Q6064" s="108"/>
      <c r="R6064" s="109"/>
      <c r="S6064" s="109"/>
      <c r="T6064" s="108"/>
      <c r="U6064" s="110"/>
      <c r="V6064" s="110"/>
      <c r="W6064" s="110"/>
      <c r="X6064" s="110"/>
    </row>
    <row r="6065" spans="1:24" ht="14.25" customHeight="1">
      <c r="A6065" s="110"/>
      <c r="B6065" s="125"/>
      <c r="C6065" s="126"/>
      <c r="D6065" s="159"/>
      <c r="E6065" s="10" t="e">
        <f>TRIM(VLOOKUP(D6065,TB!$B$9:$C$1500,2,FALSE))</f>
        <v>#N/A</v>
      </c>
      <c r="F6065" s="142"/>
      <c r="G6065" s="130"/>
      <c r="H6065" s="10"/>
      <c r="I6065" s="10"/>
      <c r="J6065" s="79" t="e">
        <f t="shared" si="351"/>
        <v>#VALUE!</v>
      </c>
      <c r="K6065" s="106"/>
      <c r="L6065" s="107"/>
      <c r="M6065" s="106"/>
      <c r="N6065" s="106"/>
      <c r="O6065" s="108"/>
      <c r="P6065" s="108"/>
      <c r="Q6065" s="108"/>
      <c r="R6065" s="109"/>
      <c r="S6065" s="109"/>
      <c r="T6065" s="108"/>
      <c r="U6065" s="110"/>
      <c r="V6065" s="110"/>
      <c r="W6065" s="110"/>
      <c r="X6065" s="110"/>
    </row>
    <row r="6066" spans="1:24" ht="14.25" customHeight="1">
      <c r="A6066" s="110"/>
      <c r="B6066" s="125">
        <v>46203</v>
      </c>
      <c r="C6066" s="126" t="s">
        <v>3782</v>
      </c>
      <c r="D6066" s="68" t="s">
        <v>285</v>
      </c>
      <c r="E6066" s="10" t="str">
        <f>TRIM(VLOOKUP(D6066,TB!$B$9:$C$1500,2,FALSE))</f>
        <v>Misc Cash Purchase</v>
      </c>
      <c r="F6066" s="142" t="s">
        <v>3783</v>
      </c>
      <c r="G6066" s="130"/>
      <c r="H6066" s="170">
        <v>20597</v>
      </c>
      <c r="I6066" s="10"/>
      <c r="J6066" s="79" t="e">
        <f t="shared" si="351"/>
        <v>#VALUE!</v>
      </c>
      <c r="K6066" s="106"/>
      <c r="L6066" s="107"/>
      <c r="M6066" s="106"/>
      <c r="N6066" s="106"/>
      <c r="O6066" s="108"/>
      <c r="P6066" s="108"/>
      <c r="Q6066" s="108"/>
      <c r="R6066" s="109"/>
      <c r="S6066" s="109"/>
      <c r="T6066" s="108"/>
      <c r="U6066" s="110"/>
      <c r="V6066" s="110"/>
      <c r="W6066" s="110"/>
      <c r="X6066" s="110"/>
    </row>
    <row r="6067" spans="1:24" ht="14.25" customHeight="1">
      <c r="A6067" s="110"/>
      <c r="B6067" s="125">
        <v>46203</v>
      </c>
      <c r="C6067" s="126" t="s">
        <v>3782</v>
      </c>
      <c r="D6067" s="68" t="s">
        <v>285</v>
      </c>
      <c r="E6067" s="10" t="str">
        <f>TRIM(VLOOKUP(D6067,TB!$B$9:$C$1500,2,FALSE))</f>
        <v>Misc Cash Purchase</v>
      </c>
      <c r="F6067" s="142" t="s">
        <v>3784</v>
      </c>
      <c r="G6067" s="130"/>
      <c r="H6067" s="155">
        <v>47080</v>
      </c>
      <c r="I6067" s="10"/>
      <c r="J6067" s="79" t="e">
        <f t="shared" si="351"/>
        <v>#VALUE!</v>
      </c>
      <c r="K6067" s="106"/>
      <c r="L6067" s="107"/>
      <c r="M6067" s="106"/>
      <c r="N6067" s="106"/>
      <c r="O6067" s="108"/>
      <c r="P6067" s="108"/>
      <c r="Q6067" s="108"/>
      <c r="R6067" s="109"/>
      <c r="S6067" s="109"/>
      <c r="T6067" s="108"/>
      <c r="U6067" s="110"/>
      <c r="V6067" s="110"/>
      <c r="W6067" s="110"/>
      <c r="X6067" s="110"/>
    </row>
    <row r="6068" spans="1:24" ht="14.25" customHeight="1">
      <c r="A6068" s="110"/>
      <c r="B6068" s="125">
        <v>46203</v>
      </c>
      <c r="C6068" s="126" t="s">
        <v>3782</v>
      </c>
      <c r="D6068" s="68" t="s">
        <v>285</v>
      </c>
      <c r="E6068" s="10" t="str">
        <f>TRIM(VLOOKUP(D6068,TB!$B$9:$C$1500,2,FALSE))</f>
        <v>Misc Cash Purchase</v>
      </c>
      <c r="F6068" s="142" t="s">
        <v>3785</v>
      </c>
      <c r="G6068" s="130"/>
      <c r="H6068" s="170">
        <v>70620</v>
      </c>
      <c r="I6068" s="10"/>
      <c r="J6068" s="79" t="e">
        <f t="shared" si="351"/>
        <v>#VALUE!</v>
      </c>
      <c r="K6068" s="106"/>
      <c r="L6068" s="107"/>
      <c r="M6068" s="106"/>
      <c r="N6068" s="106"/>
      <c r="O6068" s="108"/>
      <c r="P6068" s="108"/>
      <c r="Q6068" s="108"/>
      <c r="R6068" s="109"/>
      <c r="S6068" s="109"/>
      <c r="T6068" s="108"/>
      <c r="U6068" s="110"/>
      <c r="V6068" s="110"/>
      <c r="W6068" s="110"/>
      <c r="X6068" s="110"/>
    </row>
    <row r="6069" spans="1:24" ht="14.25" customHeight="1">
      <c r="A6069" s="110"/>
      <c r="B6069" s="125">
        <v>46203</v>
      </c>
      <c r="C6069" s="126" t="s">
        <v>3782</v>
      </c>
      <c r="D6069" s="68" t="s">
        <v>285</v>
      </c>
      <c r="E6069" s="10" t="str">
        <f>TRIM(VLOOKUP(D6069,TB!$B$9:$C$1500,2,FALSE))</f>
        <v>Misc Cash Purchase</v>
      </c>
      <c r="F6069" s="142" t="s">
        <v>3786</v>
      </c>
      <c r="G6069" s="130"/>
      <c r="H6069" s="170">
        <v>44138</v>
      </c>
      <c r="I6069" s="10"/>
      <c r="J6069" s="79" t="e">
        <f t="shared" si="351"/>
        <v>#VALUE!</v>
      </c>
      <c r="K6069" s="106"/>
      <c r="L6069" s="107"/>
      <c r="M6069" s="106"/>
      <c r="N6069" s="106"/>
      <c r="O6069" s="108"/>
      <c r="P6069" s="108"/>
      <c r="Q6069" s="108"/>
      <c r="R6069" s="109"/>
      <c r="S6069" s="109"/>
      <c r="T6069" s="108"/>
      <c r="U6069" s="110"/>
      <c r="V6069" s="110"/>
      <c r="W6069" s="110"/>
      <c r="X6069" s="110"/>
    </row>
    <row r="6070" spans="1:24" ht="14.25" customHeight="1">
      <c r="A6070" s="110"/>
      <c r="B6070" s="125">
        <v>46203</v>
      </c>
      <c r="C6070" s="126" t="s">
        <v>3782</v>
      </c>
      <c r="D6070" s="68" t="s">
        <v>285</v>
      </c>
      <c r="E6070" s="10" t="str">
        <f>TRIM(VLOOKUP(D6070,TB!$B$9:$C$1500,2,FALSE))</f>
        <v>Misc Cash Purchase</v>
      </c>
      <c r="F6070" s="142" t="s">
        <v>3787</v>
      </c>
      <c r="G6070" s="130"/>
      <c r="H6070" s="170">
        <v>70620</v>
      </c>
      <c r="I6070" s="10"/>
      <c r="J6070" s="79" t="e">
        <f t="shared" si="351"/>
        <v>#VALUE!</v>
      </c>
      <c r="K6070" s="106"/>
      <c r="L6070" s="107"/>
      <c r="M6070" s="106"/>
      <c r="N6070" s="106"/>
      <c r="O6070" s="108"/>
      <c r="P6070" s="108"/>
      <c r="Q6070" s="108"/>
      <c r="R6070" s="109"/>
      <c r="S6070" s="109"/>
      <c r="T6070" s="108"/>
      <c r="U6070" s="110"/>
      <c r="V6070" s="110"/>
      <c r="W6070" s="110"/>
      <c r="X6070" s="110"/>
    </row>
    <row r="6071" spans="1:24" ht="14.25" customHeight="1">
      <c r="A6071" s="110"/>
      <c r="B6071" s="125">
        <v>46203</v>
      </c>
      <c r="C6071" s="126" t="s">
        <v>3782</v>
      </c>
      <c r="D6071" s="68" t="s">
        <v>285</v>
      </c>
      <c r="E6071" s="10" t="str">
        <f>TRIM(VLOOKUP(D6071,TB!$B$9:$C$1500,2,FALSE))</f>
        <v>Misc Cash Purchase</v>
      </c>
      <c r="F6071" s="142" t="s">
        <v>3788</v>
      </c>
      <c r="G6071" s="130"/>
      <c r="H6071" s="170">
        <v>44138</v>
      </c>
      <c r="I6071" s="10"/>
      <c r="J6071" s="79" t="e">
        <f t="shared" si="351"/>
        <v>#VALUE!</v>
      </c>
      <c r="K6071" s="106"/>
      <c r="L6071" s="107"/>
      <c r="M6071" s="106"/>
      <c r="N6071" s="106"/>
      <c r="O6071" s="108"/>
      <c r="P6071" s="108"/>
      <c r="Q6071" s="108"/>
      <c r="R6071" s="109"/>
      <c r="S6071" s="109"/>
      <c r="T6071" s="108"/>
      <c r="U6071" s="110"/>
      <c r="V6071" s="110"/>
      <c r="W6071" s="110"/>
      <c r="X6071" s="110"/>
    </row>
    <row r="6072" spans="1:24" ht="14.25" customHeight="1">
      <c r="A6072" s="110"/>
      <c r="B6072" s="125">
        <v>46203</v>
      </c>
      <c r="C6072" s="126" t="s">
        <v>3782</v>
      </c>
      <c r="D6072" s="68" t="s">
        <v>285</v>
      </c>
      <c r="E6072" s="10" t="str">
        <f>TRIM(VLOOKUP(D6072,TB!$B$9:$C$1500,2,FALSE))</f>
        <v>Misc Cash Purchase</v>
      </c>
      <c r="F6072" s="142" t="s">
        <v>3789</v>
      </c>
      <c r="G6072" s="130"/>
      <c r="H6072" s="170">
        <v>70620</v>
      </c>
      <c r="I6072" s="10"/>
      <c r="J6072" s="79" t="e">
        <f t="shared" si="351"/>
        <v>#VALUE!</v>
      </c>
      <c r="K6072" s="106"/>
      <c r="L6072" s="107"/>
      <c r="M6072" s="106"/>
      <c r="N6072" s="106"/>
      <c r="O6072" s="108"/>
      <c r="P6072" s="108"/>
      <c r="Q6072" s="108"/>
      <c r="R6072" s="109"/>
      <c r="S6072" s="109"/>
      <c r="T6072" s="108"/>
      <c r="U6072" s="110"/>
      <c r="V6072" s="110"/>
      <c r="W6072" s="110"/>
      <c r="X6072" s="110"/>
    </row>
    <row r="6073" spans="1:24" ht="14.25" customHeight="1">
      <c r="A6073" s="110"/>
      <c r="B6073" s="125">
        <v>46203</v>
      </c>
      <c r="C6073" s="126" t="s">
        <v>3782</v>
      </c>
      <c r="D6073" s="68" t="s">
        <v>285</v>
      </c>
      <c r="E6073" s="10" t="str">
        <f>TRIM(VLOOKUP(D6073,TB!$B$9:$C$1500,2,FALSE))</f>
        <v>Misc Cash Purchase</v>
      </c>
      <c r="F6073" s="142" t="s">
        <v>3790</v>
      </c>
      <c r="G6073" s="130"/>
      <c r="H6073" s="170">
        <v>207218</v>
      </c>
      <c r="I6073" s="10"/>
      <c r="J6073" s="79" t="e">
        <f t="shared" si="351"/>
        <v>#VALUE!</v>
      </c>
      <c r="K6073" s="106"/>
      <c r="L6073" s="107"/>
      <c r="M6073" s="106"/>
      <c r="N6073" s="106"/>
      <c r="O6073" s="108"/>
      <c r="P6073" s="108"/>
      <c r="Q6073" s="108"/>
      <c r="R6073" s="109"/>
      <c r="S6073" s="109"/>
      <c r="T6073" s="108"/>
      <c r="U6073" s="110"/>
      <c r="V6073" s="110"/>
      <c r="W6073" s="110"/>
      <c r="X6073" s="110"/>
    </row>
    <row r="6074" spans="1:24" ht="14.25" customHeight="1">
      <c r="A6074" s="110"/>
      <c r="B6074" s="125">
        <v>46203</v>
      </c>
      <c r="C6074" s="126" t="s">
        <v>3782</v>
      </c>
      <c r="D6074" s="68" t="s">
        <v>285</v>
      </c>
      <c r="E6074" s="10" t="str">
        <f>TRIM(VLOOKUP(D6074,TB!$B$9:$C$1500,2,FALSE))</f>
        <v>Misc Cash Purchase</v>
      </c>
      <c r="F6074" s="142" t="s">
        <v>3791</v>
      </c>
      <c r="G6074" s="130"/>
      <c r="H6074" s="170">
        <v>52965</v>
      </c>
      <c r="I6074" s="10"/>
      <c r="J6074" s="79" t="e">
        <f t="shared" si="351"/>
        <v>#VALUE!</v>
      </c>
      <c r="K6074" s="106"/>
      <c r="L6074" s="107"/>
      <c r="M6074" s="106"/>
      <c r="N6074" s="106"/>
      <c r="O6074" s="108"/>
      <c r="P6074" s="108"/>
      <c r="Q6074" s="108"/>
      <c r="R6074" s="109"/>
      <c r="S6074" s="109"/>
      <c r="T6074" s="108"/>
      <c r="U6074" s="110"/>
      <c r="V6074" s="110"/>
      <c r="W6074" s="110"/>
      <c r="X6074" s="110"/>
    </row>
    <row r="6075" spans="1:24" ht="14.25" customHeight="1">
      <c r="A6075" s="110"/>
      <c r="B6075" s="125">
        <v>46203</v>
      </c>
      <c r="C6075" s="126" t="s">
        <v>3782</v>
      </c>
      <c r="D6075" s="15" t="s">
        <v>1538</v>
      </c>
      <c r="E6075" s="10" t="str">
        <f>TRIM(VLOOKUP(D6075,TB!$B$9:$C$1500,2,FALSE))</f>
        <v>Salaries</v>
      </c>
      <c r="F6075" s="142" t="s">
        <v>3792</v>
      </c>
      <c r="G6075" s="130"/>
      <c r="H6075" s="10"/>
      <c r="I6075" s="10">
        <v>627996</v>
      </c>
      <c r="J6075" s="79" t="e">
        <f t="shared" si="351"/>
        <v>#VALUE!</v>
      </c>
      <c r="K6075" s="106"/>
      <c r="L6075" s="107"/>
      <c r="M6075" s="106"/>
      <c r="N6075" s="106"/>
      <c r="O6075" s="108"/>
      <c r="P6075" s="108"/>
      <c r="Q6075" s="108"/>
      <c r="R6075" s="109"/>
      <c r="S6075" s="109"/>
      <c r="T6075" s="108"/>
      <c r="U6075" s="110"/>
      <c r="V6075" s="110"/>
      <c r="W6075" s="110"/>
      <c r="X6075" s="110"/>
    </row>
    <row r="6076" spans="1:24" ht="14.25" customHeight="1">
      <c r="A6076" s="110"/>
      <c r="B6076" s="125"/>
      <c r="C6076" s="126"/>
      <c r="D6076" s="159"/>
      <c r="E6076" s="10" t="e">
        <f>TRIM(VLOOKUP(D6076,TB!$B$9:$C$1500,2,FALSE))</f>
        <v>#N/A</v>
      </c>
      <c r="F6076" s="142"/>
      <c r="G6076" s="130"/>
      <c r="H6076" s="10"/>
      <c r="I6076" s="10"/>
      <c r="J6076" s="79" t="e">
        <f t="shared" si="351"/>
        <v>#VALUE!</v>
      </c>
      <c r="K6076" s="106"/>
      <c r="L6076" s="107"/>
      <c r="M6076" s="106"/>
      <c r="N6076" s="106"/>
      <c r="O6076" s="108"/>
      <c r="P6076" s="108"/>
      <c r="Q6076" s="108"/>
      <c r="R6076" s="109"/>
      <c r="S6076" s="109"/>
      <c r="T6076" s="108"/>
      <c r="U6076" s="110"/>
      <c r="V6076" s="110"/>
      <c r="W6076" s="110"/>
      <c r="X6076" s="110"/>
    </row>
    <row r="6077" spans="1:24" ht="14.25" customHeight="1">
      <c r="A6077" s="110"/>
      <c r="B6077" s="125">
        <v>46203</v>
      </c>
      <c r="C6077" s="126" t="s">
        <v>3793</v>
      </c>
      <c r="D6077" s="24" t="s">
        <v>1729</v>
      </c>
      <c r="E6077" s="10" t="str">
        <f>TRIM(VLOOKUP(D6077,TB!$B$9:$C$1500,2,FALSE))</f>
        <v>Shareholders Loans - William</v>
      </c>
      <c r="F6077" s="173" t="s">
        <v>3794</v>
      </c>
      <c r="G6077" s="130"/>
      <c r="H6077" s="10">
        <v>406065</v>
      </c>
      <c r="I6077" s="10"/>
      <c r="J6077" s="79" t="e">
        <f t="shared" si="351"/>
        <v>#VALUE!</v>
      </c>
      <c r="K6077" s="106"/>
      <c r="L6077" s="107"/>
      <c r="M6077" s="106"/>
      <c r="N6077" s="106"/>
      <c r="O6077" s="108"/>
      <c r="P6077" s="108"/>
      <c r="Q6077" s="108"/>
      <c r="R6077" s="109"/>
      <c r="S6077" s="109"/>
      <c r="T6077" s="108"/>
      <c r="U6077" s="110"/>
      <c r="V6077" s="110"/>
      <c r="W6077" s="110"/>
      <c r="X6077" s="110"/>
    </row>
    <row r="6078" spans="1:24" ht="14.25" customHeight="1">
      <c r="A6078" s="110"/>
      <c r="B6078" s="125">
        <v>46203</v>
      </c>
      <c r="C6078" s="126" t="s">
        <v>3793</v>
      </c>
      <c r="D6078" s="24" t="s">
        <v>1729</v>
      </c>
      <c r="E6078" s="10" t="str">
        <f>TRIM(VLOOKUP(D6078,TB!$B$9:$C$1500,2,FALSE))</f>
        <v>Shareholders Loans - William</v>
      </c>
      <c r="F6078" s="173" t="s">
        <v>3795</v>
      </c>
      <c r="G6078" s="130"/>
      <c r="H6078" s="10">
        <v>406065</v>
      </c>
      <c r="I6078" s="10"/>
      <c r="J6078" s="79" t="e">
        <f t="shared" si="351"/>
        <v>#VALUE!</v>
      </c>
      <c r="K6078" s="106"/>
      <c r="L6078" s="107"/>
      <c r="M6078" s="106"/>
      <c r="N6078" s="106"/>
      <c r="O6078" s="108"/>
      <c r="P6078" s="108"/>
      <c r="Q6078" s="108"/>
      <c r="R6078" s="109"/>
      <c r="S6078" s="109"/>
      <c r="T6078" s="108"/>
      <c r="U6078" s="110"/>
      <c r="V6078" s="110"/>
      <c r="W6078" s="110"/>
      <c r="X6078" s="110"/>
    </row>
    <row r="6079" spans="1:24" ht="14.25" customHeight="1">
      <c r="A6079" s="110"/>
      <c r="B6079" s="125">
        <v>46203</v>
      </c>
      <c r="C6079" s="126" t="s">
        <v>3793</v>
      </c>
      <c r="D6079" s="24" t="s">
        <v>1729</v>
      </c>
      <c r="E6079" s="10" t="str">
        <f>TRIM(VLOOKUP(D6079,TB!$B$9:$C$1500,2,FALSE))</f>
        <v>Shareholders Loans - William</v>
      </c>
      <c r="F6079" s="142" t="s">
        <v>3796</v>
      </c>
      <c r="G6079" s="130"/>
      <c r="H6079" s="10">
        <v>406065</v>
      </c>
      <c r="I6079" s="10"/>
      <c r="J6079" s="79" t="e">
        <f t="shared" si="351"/>
        <v>#VALUE!</v>
      </c>
      <c r="K6079" s="106"/>
      <c r="L6079" s="107"/>
      <c r="M6079" s="106"/>
      <c r="N6079" s="106"/>
      <c r="O6079" s="108"/>
      <c r="P6079" s="108"/>
      <c r="Q6079" s="108"/>
      <c r="R6079" s="109"/>
      <c r="S6079" s="109"/>
      <c r="T6079" s="108"/>
      <c r="U6079" s="110"/>
      <c r="V6079" s="110"/>
      <c r="W6079" s="110"/>
      <c r="X6079" s="110"/>
    </row>
    <row r="6080" spans="1:24" ht="14.25" customHeight="1">
      <c r="A6080" s="110"/>
      <c r="B6080" s="125">
        <v>46203</v>
      </c>
      <c r="C6080" s="126" t="s">
        <v>3793</v>
      </c>
      <c r="D6080" s="24" t="s">
        <v>1729</v>
      </c>
      <c r="E6080" s="10" t="str">
        <f>TRIM(VLOOKUP(D6080,TB!$B$9:$C$1500,2,FALSE))</f>
        <v>Shareholders Loans - William</v>
      </c>
      <c r="F6080" s="142" t="s">
        <v>3797</v>
      </c>
      <c r="G6080" s="130"/>
      <c r="H6080" s="10">
        <v>406065</v>
      </c>
      <c r="I6080" s="10"/>
      <c r="J6080" s="79" t="e">
        <f t="shared" si="351"/>
        <v>#VALUE!</v>
      </c>
      <c r="K6080" s="106"/>
      <c r="L6080" s="107"/>
      <c r="M6080" s="106"/>
      <c r="N6080" s="106"/>
      <c r="O6080" s="108"/>
      <c r="P6080" s="108"/>
      <c r="Q6080" s="108"/>
      <c r="R6080" s="109"/>
      <c r="S6080" s="109"/>
      <c r="T6080" s="108"/>
      <c r="U6080" s="110"/>
      <c r="V6080" s="110"/>
      <c r="W6080" s="110"/>
      <c r="X6080" s="110"/>
    </row>
    <row r="6081" spans="1:24" ht="14.25" customHeight="1">
      <c r="A6081" s="110"/>
      <c r="B6081" s="125">
        <v>46203</v>
      </c>
      <c r="C6081" s="126" t="s">
        <v>3793</v>
      </c>
      <c r="D6081" s="24" t="s">
        <v>1729</v>
      </c>
      <c r="E6081" s="10" t="str">
        <f>TRIM(VLOOKUP(D6081,TB!$B$9:$C$1500,2,FALSE))</f>
        <v>Shareholders Loans - William</v>
      </c>
      <c r="F6081" s="142" t="s">
        <v>3798</v>
      </c>
      <c r="G6081" s="130"/>
      <c r="H6081" s="10">
        <v>406065</v>
      </c>
      <c r="I6081" s="10"/>
      <c r="J6081" s="79" t="e">
        <f t="shared" si="351"/>
        <v>#VALUE!</v>
      </c>
      <c r="K6081" s="106"/>
      <c r="L6081" s="107"/>
      <c r="M6081" s="106"/>
      <c r="N6081" s="106"/>
      <c r="O6081" s="108"/>
      <c r="P6081" s="108"/>
      <c r="Q6081" s="108"/>
      <c r="R6081" s="109"/>
      <c r="S6081" s="109"/>
      <c r="T6081" s="108"/>
      <c r="U6081" s="110"/>
      <c r="V6081" s="110"/>
      <c r="W6081" s="110"/>
      <c r="X6081" s="110"/>
    </row>
    <row r="6082" spans="1:24" ht="14.25" customHeight="1">
      <c r="A6082" s="110"/>
      <c r="B6082" s="125">
        <v>46203</v>
      </c>
      <c r="C6082" s="126" t="s">
        <v>3793</v>
      </c>
      <c r="D6082" s="68" t="s">
        <v>63</v>
      </c>
      <c r="E6082" s="10" t="str">
        <f>TRIM(VLOOKUP(D6082,TB!$B$9:$C$1500,2,FALSE))</f>
        <v>City Ledger</v>
      </c>
      <c r="F6082" s="173" t="s">
        <v>3794</v>
      </c>
      <c r="G6082" s="130"/>
      <c r="H6082" s="10"/>
      <c r="I6082" s="10">
        <v>406065</v>
      </c>
      <c r="J6082" s="79" t="e">
        <f t="shared" si="351"/>
        <v>#VALUE!</v>
      </c>
      <c r="K6082" s="106"/>
      <c r="L6082" s="107"/>
      <c r="M6082" s="106"/>
      <c r="N6082" s="106"/>
      <c r="O6082" s="108"/>
      <c r="P6082" s="108"/>
      <c r="Q6082" s="108"/>
      <c r="R6082" s="109"/>
      <c r="S6082" s="109"/>
      <c r="T6082" s="108"/>
      <c r="U6082" s="110"/>
      <c r="V6082" s="110"/>
      <c r="W6082" s="110"/>
      <c r="X6082" s="110"/>
    </row>
    <row r="6083" spans="1:24" ht="14.25" customHeight="1">
      <c r="A6083" s="110"/>
      <c r="B6083" s="125">
        <v>46203</v>
      </c>
      <c r="C6083" s="126" t="s">
        <v>3793</v>
      </c>
      <c r="D6083" s="68" t="s">
        <v>63</v>
      </c>
      <c r="E6083" s="10" t="str">
        <f>TRIM(VLOOKUP(D6083,TB!$B$9:$C$1500,2,FALSE))</f>
        <v>City Ledger</v>
      </c>
      <c r="F6083" s="173" t="s">
        <v>3795</v>
      </c>
      <c r="G6083" s="130"/>
      <c r="H6083" s="10"/>
      <c r="I6083" s="10">
        <v>406065</v>
      </c>
      <c r="J6083" s="79" t="e">
        <f t="shared" si="351"/>
        <v>#VALUE!</v>
      </c>
      <c r="K6083" s="106"/>
      <c r="L6083" s="107"/>
      <c r="M6083" s="106"/>
      <c r="N6083" s="106"/>
      <c r="O6083" s="108"/>
      <c r="P6083" s="108"/>
      <c r="Q6083" s="108"/>
      <c r="R6083" s="109"/>
      <c r="S6083" s="109"/>
      <c r="T6083" s="108"/>
      <c r="U6083" s="110"/>
      <c r="V6083" s="110"/>
      <c r="W6083" s="110"/>
      <c r="X6083" s="110"/>
    </row>
    <row r="6084" spans="1:24" ht="14.25" customHeight="1">
      <c r="A6084" s="110"/>
      <c r="B6084" s="125">
        <v>46203</v>
      </c>
      <c r="C6084" s="126" t="s">
        <v>3793</v>
      </c>
      <c r="D6084" s="68" t="s">
        <v>63</v>
      </c>
      <c r="E6084" s="10" t="str">
        <f>TRIM(VLOOKUP(D6084,TB!$B$9:$C$1500,2,FALSE))</f>
        <v>City Ledger</v>
      </c>
      <c r="F6084" s="142" t="s">
        <v>3796</v>
      </c>
      <c r="G6084" s="130"/>
      <c r="H6084" s="10"/>
      <c r="I6084" s="10">
        <v>406065</v>
      </c>
      <c r="J6084" s="79" t="e">
        <f t="shared" si="351"/>
        <v>#VALUE!</v>
      </c>
      <c r="K6084" s="106"/>
      <c r="L6084" s="107"/>
      <c r="M6084" s="106"/>
      <c r="N6084" s="106"/>
      <c r="O6084" s="108"/>
      <c r="P6084" s="108"/>
      <c r="Q6084" s="108"/>
      <c r="R6084" s="109"/>
      <c r="S6084" s="109"/>
      <c r="T6084" s="108"/>
      <c r="U6084" s="110"/>
      <c r="V6084" s="110"/>
      <c r="W6084" s="110"/>
      <c r="X6084" s="110"/>
    </row>
    <row r="6085" spans="1:24" ht="14.25" customHeight="1">
      <c r="A6085" s="110"/>
      <c r="B6085" s="125">
        <v>46203</v>
      </c>
      <c r="C6085" s="126" t="s">
        <v>3793</v>
      </c>
      <c r="D6085" s="68" t="s">
        <v>63</v>
      </c>
      <c r="E6085" s="10" t="str">
        <f>TRIM(VLOOKUP(D6085,TB!$B$9:$C$1500,2,FALSE))</f>
        <v>City Ledger</v>
      </c>
      <c r="F6085" s="142" t="s">
        <v>3797</v>
      </c>
      <c r="G6085" s="130"/>
      <c r="H6085" s="10"/>
      <c r="I6085" s="10">
        <v>406065</v>
      </c>
      <c r="J6085" s="79" t="e">
        <f t="shared" si="351"/>
        <v>#VALUE!</v>
      </c>
      <c r="K6085" s="106"/>
      <c r="L6085" s="107"/>
      <c r="M6085" s="106"/>
      <c r="N6085" s="106"/>
      <c r="O6085" s="108"/>
      <c r="P6085" s="108"/>
      <c r="Q6085" s="108"/>
      <c r="R6085" s="109"/>
      <c r="S6085" s="109"/>
      <c r="T6085" s="108"/>
      <c r="U6085" s="110"/>
      <c r="V6085" s="110"/>
      <c r="W6085" s="110"/>
      <c r="X6085" s="110"/>
    </row>
    <row r="6086" spans="1:24" ht="14.25" customHeight="1">
      <c r="A6086" s="110"/>
      <c r="B6086" s="125">
        <v>46203</v>
      </c>
      <c r="C6086" s="126" t="s">
        <v>3793</v>
      </c>
      <c r="D6086" s="68" t="s">
        <v>63</v>
      </c>
      <c r="E6086" s="10" t="str">
        <f>TRIM(VLOOKUP(D6086,TB!$B$9:$C$1500,2,FALSE))</f>
        <v>City Ledger</v>
      </c>
      <c r="F6086" s="142" t="s">
        <v>3798</v>
      </c>
      <c r="G6086" s="130"/>
      <c r="H6086" s="10"/>
      <c r="I6086" s="10">
        <v>406065</v>
      </c>
      <c r="J6086" s="79" t="e">
        <f t="shared" si="351"/>
        <v>#VALUE!</v>
      </c>
      <c r="K6086" s="106"/>
      <c r="L6086" s="107"/>
      <c r="M6086" s="106"/>
      <c r="N6086" s="106"/>
      <c r="O6086" s="108"/>
      <c r="P6086" s="108"/>
      <c r="Q6086" s="108"/>
      <c r="R6086" s="109"/>
      <c r="S6086" s="109"/>
      <c r="T6086" s="108"/>
      <c r="U6086" s="110"/>
      <c r="V6086" s="110"/>
      <c r="W6086" s="110"/>
      <c r="X6086" s="110"/>
    </row>
    <row r="6087" spans="1:24" ht="14.25" customHeight="1">
      <c r="A6087" s="110"/>
      <c r="B6087" s="125"/>
      <c r="C6087" s="126"/>
      <c r="D6087" s="159"/>
      <c r="E6087" s="10" t="e">
        <f>TRIM(VLOOKUP(D6087,TB!$B$9:$C$1500,2,FALSE))</f>
        <v>#N/A</v>
      </c>
      <c r="F6087" s="142"/>
      <c r="G6087" s="130"/>
      <c r="H6087" s="10"/>
      <c r="I6087" s="10"/>
      <c r="J6087" s="79" t="e">
        <f t="shared" si="351"/>
        <v>#VALUE!</v>
      </c>
      <c r="K6087" s="106"/>
      <c r="L6087" s="107"/>
      <c r="M6087" s="106"/>
      <c r="N6087" s="106"/>
      <c r="O6087" s="108"/>
      <c r="P6087" s="108"/>
      <c r="Q6087" s="108"/>
      <c r="R6087" s="109"/>
      <c r="S6087" s="109"/>
      <c r="T6087" s="108"/>
      <c r="U6087" s="110"/>
      <c r="V6087" s="110"/>
      <c r="W6087" s="110"/>
      <c r="X6087" s="110"/>
    </row>
    <row r="6088" spans="1:24" ht="14.25" customHeight="1">
      <c r="A6088" s="110"/>
      <c r="B6088" s="125">
        <v>46203</v>
      </c>
      <c r="C6088" s="126" t="s">
        <v>3799</v>
      </c>
      <c r="D6088" s="176" t="s">
        <v>285</v>
      </c>
      <c r="E6088" s="10" t="str">
        <f>TRIM(VLOOKUP(D6088,TB!$B$9:$C$1500,2,FALSE))</f>
        <v>Misc Cash Purchase</v>
      </c>
      <c r="F6088" s="186" t="s">
        <v>3800</v>
      </c>
      <c r="G6088" s="130"/>
      <c r="H6088" s="10">
        <v>150000</v>
      </c>
      <c r="I6088" s="10"/>
      <c r="J6088" s="79" t="e">
        <f t="shared" si="351"/>
        <v>#VALUE!</v>
      </c>
      <c r="K6088" s="106"/>
      <c r="L6088" s="107"/>
      <c r="M6088" s="106"/>
      <c r="N6088" s="106"/>
      <c r="O6088" s="108"/>
      <c r="P6088" s="108"/>
      <c r="Q6088" s="108"/>
      <c r="R6088" s="109"/>
      <c r="S6088" s="109"/>
      <c r="T6088" s="108"/>
      <c r="U6088" s="110"/>
      <c r="V6088" s="110"/>
      <c r="W6088" s="110"/>
      <c r="X6088" s="110"/>
    </row>
    <row r="6089" spans="1:24" ht="14.25" customHeight="1">
      <c r="A6089" s="110"/>
      <c r="B6089" s="125">
        <v>46203</v>
      </c>
      <c r="C6089" s="126" t="s">
        <v>3799</v>
      </c>
      <c r="D6089" s="15" t="s">
        <v>3149</v>
      </c>
      <c r="E6089" s="10" t="str">
        <f>TRIM(VLOOKUP(D6089,TB!$B$9:$C$1500,2,FALSE))</f>
        <v>COS - Promotor Fees Internal</v>
      </c>
      <c r="F6089" s="186" t="s">
        <v>3800</v>
      </c>
      <c r="G6089" s="130"/>
      <c r="H6089" s="10"/>
      <c r="I6089" s="10">
        <v>150000</v>
      </c>
      <c r="J6089" s="79" t="e">
        <f t="shared" si="351"/>
        <v>#VALUE!</v>
      </c>
      <c r="K6089" s="106"/>
      <c r="L6089" s="107"/>
      <c r="M6089" s="106"/>
      <c r="N6089" s="106"/>
      <c r="O6089" s="108"/>
      <c r="P6089" s="108"/>
      <c r="Q6089" s="108"/>
      <c r="R6089" s="109"/>
      <c r="S6089" s="109"/>
      <c r="T6089" s="108"/>
      <c r="U6089" s="110"/>
      <c r="V6089" s="110"/>
      <c r="W6089" s="110"/>
      <c r="X6089" s="110"/>
    </row>
    <row r="6090" spans="1:24" ht="14.25" customHeight="1">
      <c r="A6090" s="110"/>
      <c r="B6090" s="125"/>
      <c r="C6090" s="126"/>
      <c r="D6090" s="159"/>
      <c r="E6090" s="10" t="e">
        <f>TRIM(VLOOKUP(D6090,TB!$B$9:$C$1500,2,FALSE))</f>
        <v>#N/A</v>
      </c>
      <c r="F6090" s="142"/>
      <c r="G6090" s="130"/>
      <c r="H6090" s="10"/>
      <c r="I6090" s="10"/>
      <c r="J6090" s="79" t="e">
        <f t="shared" si="351"/>
        <v>#VALUE!</v>
      </c>
      <c r="K6090" s="106"/>
      <c r="L6090" s="107"/>
      <c r="M6090" s="106"/>
      <c r="N6090" s="106"/>
      <c r="O6090" s="108"/>
      <c r="P6090" s="108"/>
      <c r="Q6090" s="108"/>
      <c r="R6090" s="109"/>
      <c r="S6090" s="109"/>
      <c r="T6090" s="108"/>
      <c r="U6090" s="110"/>
      <c r="V6090" s="110"/>
      <c r="W6090" s="110"/>
      <c r="X6090" s="110"/>
    </row>
    <row r="6091" spans="1:24" ht="14.25" customHeight="1">
      <c r="A6091" s="110"/>
      <c r="B6091" s="125">
        <v>46203</v>
      </c>
      <c r="C6091" s="126" t="s">
        <v>3801</v>
      </c>
      <c r="D6091" s="176" t="s">
        <v>285</v>
      </c>
      <c r="E6091" s="10" t="str">
        <f>TRIM(VLOOKUP(D6091,TB!$B$9:$C$1500,2,FALSE))</f>
        <v>Misc Cash Purchase</v>
      </c>
      <c r="F6091" s="173" t="s">
        <v>3802</v>
      </c>
      <c r="G6091" s="130"/>
      <c r="H6091" s="155">
        <v>180000</v>
      </c>
      <c r="I6091" s="10"/>
      <c r="J6091" s="79" t="e">
        <f t="shared" si="351"/>
        <v>#VALUE!</v>
      </c>
      <c r="K6091" s="106"/>
      <c r="L6091" s="107"/>
      <c r="M6091" s="106"/>
      <c r="N6091" s="106"/>
      <c r="O6091" s="108"/>
      <c r="P6091" s="108"/>
      <c r="Q6091" s="108"/>
      <c r="R6091" s="109"/>
      <c r="S6091" s="109"/>
      <c r="T6091" s="108"/>
      <c r="U6091" s="110"/>
      <c r="V6091" s="110"/>
      <c r="W6091" s="110"/>
      <c r="X6091" s="110"/>
    </row>
    <row r="6092" spans="1:24" ht="14.25" customHeight="1">
      <c r="A6092" s="110"/>
      <c r="B6092" s="125">
        <v>46203</v>
      </c>
      <c r="C6092" s="126" t="s">
        <v>3801</v>
      </c>
      <c r="D6092" s="15" t="s">
        <v>3108</v>
      </c>
      <c r="E6092" s="10" t="str">
        <f>TRIM(VLOOKUP(D6092,TB!$B$9:$C$1500,2,FALSE))</f>
        <v>Promotional Costs</v>
      </c>
      <c r="F6092" s="173" t="s">
        <v>3802</v>
      </c>
      <c r="G6092" s="130"/>
      <c r="H6092" s="10"/>
      <c r="I6092" s="155">
        <v>180000</v>
      </c>
      <c r="J6092" s="79" t="e">
        <f t="shared" si="351"/>
        <v>#VALUE!</v>
      </c>
      <c r="K6092" s="106"/>
      <c r="L6092" s="107"/>
      <c r="M6092" s="106"/>
      <c r="N6092" s="106"/>
      <c r="O6092" s="108"/>
      <c r="P6092" s="108"/>
      <c r="Q6092" s="108"/>
      <c r="R6092" s="109"/>
      <c r="S6092" s="109"/>
      <c r="T6092" s="108"/>
      <c r="U6092" s="110"/>
      <c r="V6092" s="110"/>
      <c r="W6092" s="110"/>
      <c r="X6092" s="110"/>
    </row>
    <row r="6093" spans="1:24" ht="14.25" customHeight="1">
      <c r="A6093" s="110"/>
      <c r="B6093" s="125"/>
      <c r="C6093" s="126"/>
      <c r="D6093" s="159"/>
      <c r="E6093" s="10" t="e">
        <f>TRIM(VLOOKUP(D6093,TB!$B$9:$C$1500,2,FALSE))</f>
        <v>#N/A</v>
      </c>
      <c r="F6093" s="142"/>
      <c r="G6093" s="130"/>
      <c r="H6093" s="10"/>
      <c r="I6093" s="10"/>
      <c r="J6093" s="79" t="e">
        <f t="shared" si="351"/>
        <v>#VALUE!</v>
      </c>
      <c r="K6093" s="106"/>
      <c r="L6093" s="107"/>
      <c r="M6093" s="106"/>
      <c r="N6093" s="106"/>
      <c r="O6093" s="108"/>
      <c r="P6093" s="108"/>
      <c r="Q6093" s="108"/>
      <c r="R6093" s="109"/>
      <c r="S6093" s="109"/>
      <c r="T6093" s="108"/>
      <c r="U6093" s="110"/>
      <c r="V6093" s="110"/>
      <c r="W6093" s="110"/>
      <c r="X6093" s="110"/>
    </row>
    <row r="6094" spans="1:24" ht="14.25" customHeight="1">
      <c r="A6094" s="110"/>
      <c r="B6094" s="125">
        <v>46203</v>
      </c>
      <c r="C6094" s="126" t="s">
        <v>3803</v>
      </c>
      <c r="D6094" s="15" t="s">
        <v>1595</v>
      </c>
      <c r="E6094" s="10" t="str">
        <f>TRIM(VLOOKUP(D6094,TB!$B$9:$C$1500,2,FALSE))</f>
        <v>Salaries payable</v>
      </c>
      <c r="F6094" s="142" t="s">
        <v>3804</v>
      </c>
      <c r="G6094" s="130"/>
      <c r="H6094" s="177">
        <v>294251</v>
      </c>
      <c r="I6094" s="10"/>
      <c r="J6094" s="79" t="e">
        <f t="shared" si="351"/>
        <v>#VALUE!</v>
      </c>
      <c r="K6094" s="106"/>
      <c r="L6094" s="107"/>
      <c r="M6094" s="106"/>
      <c r="N6094" s="106"/>
      <c r="O6094" s="108"/>
      <c r="P6094" s="108"/>
      <c r="Q6094" s="108"/>
      <c r="R6094" s="109"/>
      <c r="S6094" s="109"/>
      <c r="T6094" s="108"/>
      <c r="U6094" s="110"/>
      <c r="V6094" s="110"/>
      <c r="W6094" s="110"/>
      <c r="X6094" s="110"/>
    </row>
    <row r="6095" spans="1:24" ht="14.25" customHeight="1">
      <c r="A6095" s="110"/>
      <c r="B6095" s="125">
        <v>46203</v>
      </c>
      <c r="C6095" s="126" t="s">
        <v>3803</v>
      </c>
      <c r="D6095" s="15" t="s">
        <v>1538</v>
      </c>
      <c r="E6095" s="10" t="str">
        <f>TRIM(VLOOKUP(D6095,TB!$B$9:$C$1500,2,FALSE))</f>
        <v>Salaries</v>
      </c>
      <c r="F6095" s="142" t="s">
        <v>3804</v>
      </c>
      <c r="G6095" s="130"/>
      <c r="H6095" s="10"/>
      <c r="I6095" s="177">
        <v>294251</v>
      </c>
      <c r="J6095" s="79" t="e">
        <f t="shared" si="351"/>
        <v>#VALUE!</v>
      </c>
      <c r="K6095" s="106"/>
      <c r="L6095" s="107"/>
      <c r="M6095" s="106"/>
      <c r="N6095" s="106"/>
      <c r="O6095" s="108"/>
      <c r="P6095" s="108"/>
      <c r="Q6095" s="108"/>
      <c r="R6095" s="109"/>
      <c r="S6095" s="109"/>
      <c r="T6095" s="108"/>
      <c r="U6095" s="110"/>
      <c r="V6095" s="110"/>
      <c r="W6095" s="110"/>
      <c r="X6095" s="110"/>
    </row>
    <row r="6096" spans="1:24" ht="14.25" customHeight="1">
      <c r="A6096" s="110"/>
      <c r="B6096" s="125"/>
      <c r="C6096" s="126"/>
      <c r="D6096" s="159"/>
      <c r="E6096" s="10" t="e">
        <f>TRIM(VLOOKUP(D6096,TB!$B$9:$C$1500,2,FALSE))</f>
        <v>#N/A</v>
      </c>
      <c r="F6096" s="142"/>
      <c r="G6096" s="130"/>
      <c r="H6096" s="10"/>
      <c r="I6096" s="10"/>
      <c r="J6096" s="79" t="e">
        <f t="shared" si="351"/>
        <v>#VALUE!</v>
      </c>
      <c r="K6096" s="106"/>
      <c r="L6096" s="107"/>
      <c r="M6096" s="106"/>
      <c r="N6096" s="106"/>
      <c r="O6096" s="108"/>
      <c r="P6096" s="108"/>
      <c r="Q6096" s="108"/>
      <c r="R6096" s="109"/>
      <c r="S6096" s="109"/>
      <c r="T6096" s="108"/>
      <c r="U6096" s="110"/>
      <c r="V6096" s="110"/>
      <c r="W6096" s="110"/>
      <c r="X6096" s="110"/>
    </row>
    <row r="6097" spans="1:24" ht="14.25" customHeight="1">
      <c r="A6097" s="110"/>
      <c r="B6097" s="125">
        <v>46203</v>
      </c>
      <c r="C6097" s="126" t="s">
        <v>3805</v>
      </c>
      <c r="D6097" s="15" t="s">
        <v>1155</v>
      </c>
      <c r="E6097" s="10" t="str">
        <f>TRIM(VLOOKUP(D6097,TB!$B$9:$C$1500,2,FALSE))</f>
        <v>Kitchen Supplies</v>
      </c>
      <c r="F6097" s="142" t="s">
        <v>3806</v>
      </c>
      <c r="G6097" s="130">
        <v>2.2000000000000002</v>
      </c>
      <c r="H6097" s="10">
        <f>2.2*16000</f>
        <v>35200</v>
      </c>
      <c r="I6097" s="10"/>
      <c r="J6097" s="79" t="e">
        <f t="shared" si="351"/>
        <v>#VALUE!</v>
      </c>
      <c r="K6097" s="106"/>
      <c r="L6097" s="107"/>
      <c r="M6097" s="106"/>
      <c r="N6097" s="106"/>
      <c r="O6097" s="108"/>
      <c r="P6097" s="108"/>
      <c r="Q6097" s="108"/>
      <c r="R6097" s="109"/>
      <c r="S6097" s="109"/>
      <c r="T6097" s="108"/>
      <c r="U6097" s="110"/>
      <c r="V6097" s="110"/>
      <c r="W6097" s="110"/>
      <c r="X6097" s="110"/>
    </row>
    <row r="6098" spans="1:24" ht="14.25" customHeight="1">
      <c r="A6098" s="110"/>
      <c r="B6098" s="125">
        <v>46203</v>
      </c>
      <c r="C6098" s="126" t="s">
        <v>3805</v>
      </c>
      <c r="D6098" s="159" t="s">
        <v>3611</v>
      </c>
      <c r="E6098" s="10" t="str">
        <f>TRIM(VLOOKUP(D6098,TB!$B$9:$C$1500,2,FALSE))</f>
        <v>COS - Food</v>
      </c>
      <c r="F6098" s="142" t="s">
        <v>3806</v>
      </c>
      <c r="G6098" s="130"/>
      <c r="H6098" s="10"/>
      <c r="I6098" s="10">
        <f>2.2*16000</f>
        <v>35200</v>
      </c>
      <c r="J6098" s="79" t="e">
        <f t="shared" si="351"/>
        <v>#VALUE!</v>
      </c>
      <c r="K6098" s="106"/>
      <c r="L6098" s="107"/>
      <c r="M6098" s="106"/>
      <c r="N6098" s="106"/>
      <c r="O6098" s="108"/>
      <c r="P6098" s="108"/>
      <c r="Q6098" s="108"/>
      <c r="R6098" s="109"/>
      <c r="S6098" s="109"/>
      <c r="T6098" s="108"/>
      <c r="U6098" s="110"/>
      <c r="V6098" s="110"/>
      <c r="W6098" s="110"/>
      <c r="X6098" s="110"/>
    </row>
    <row r="6099" spans="1:24" ht="14.25" customHeight="1">
      <c r="A6099" s="110"/>
      <c r="B6099" s="125"/>
      <c r="C6099" s="126"/>
      <c r="D6099" s="159"/>
      <c r="E6099" s="10" t="e">
        <f>TRIM(VLOOKUP(D6099,TB!$B$9:$C$1500,2,FALSE))</f>
        <v>#N/A</v>
      </c>
      <c r="F6099" s="142"/>
      <c r="G6099" s="130"/>
      <c r="H6099" s="10"/>
      <c r="I6099" s="10"/>
      <c r="J6099" s="79" t="e">
        <f t="shared" si="351"/>
        <v>#VALUE!</v>
      </c>
      <c r="K6099" s="106"/>
      <c r="L6099" s="107"/>
      <c r="M6099" s="106"/>
      <c r="N6099" s="106"/>
      <c r="O6099" s="108"/>
      <c r="P6099" s="108"/>
      <c r="Q6099" s="108"/>
      <c r="R6099" s="109"/>
      <c r="S6099" s="109"/>
      <c r="T6099" s="108"/>
      <c r="U6099" s="110"/>
      <c r="V6099" s="110"/>
      <c r="W6099" s="110"/>
      <c r="X6099" s="110"/>
    </row>
    <row r="6100" spans="1:24" ht="14.25" customHeight="1">
      <c r="A6100" s="110"/>
      <c r="B6100" s="125"/>
      <c r="C6100" s="126"/>
      <c r="D6100" s="159"/>
      <c r="E6100" s="10" t="e">
        <f>TRIM(VLOOKUP(D6100,TB!$B$9:$C$1500,2,FALSE))</f>
        <v>#N/A</v>
      </c>
      <c r="F6100" s="142"/>
      <c r="G6100" s="130"/>
      <c r="H6100" s="10"/>
      <c r="I6100" s="10"/>
      <c r="J6100" s="79" t="e">
        <f t="shared" si="351"/>
        <v>#VALUE!</v>
      </c>
      <c r="K6100" s="106"/>
      <c r="L6100" s="107"/>
      <c r="M6100" s="106"/>
      <c r="N6100" s="106"/>
      <c r="O6100" s="108"/>
      <c r="P6100" s="108"/>
      <c r="Q6100" s="108"/>
      <c r="R6100" s="109"/>
      <c r="S6100" s="109"/>
      <c r="T6100" s="108"/>
      <c r="U6100" s="110"/>
      <c r="V6100" s="110"/>
      <c r="W6100" s="110"/>
      <c r="X6100" s="110"/>
    </row>
    <row r="6101" spans="1:24" ht="14.25" customHeight="1">
      <c r="A6101" s="110"/>
      <c r="B6101" s="125"/>
      <c r="C6101" s="126"/>
      <c r="D6101" s="159"/>
      <c r="E6101" s="10" t="e">
        <f>TRIM(VLOOKUP(D6101,TB!$B$9:$C$1500,2,FALSE))</f>
        <v>#N/A</v>
      </c>
      <c r="F6101" s="142"/>
      <c r="G6101" s="130"/>
      <c r="H6101" s="10"/>
      <c r="I6101" s="10"/>
      <c r="J6101" s="79" t="e">
        <f t="shared" si="351"/>
        <v>#VALUE!</v>
      </c>
      <c r="K6101" s="106"/>
      <c r="L6101" s="107"/>
      <c r="M6101" s="106"/>
      <c r="N6101" s="106"/>
      <c r="O6101" s="108"/>
      <c r="P6101" s="108"/>
      <c r="Q6101" s="108"/>
      <c r="R6101" s="109"/>
      <c r="S6101" s="109"/>
      <c r="T6101" s="108"/>
      <c r="U6101" s="110"/>
      <c r="V6101" s="110"/>
      <c r="W6101" s="110"/>
      <c r="X6101" s="110"/>
    </row>
    <row r="6102" spans="1:24" ht="14.25" customHeight="1">
      <c r="A6102" s="110"/>
      <c r="B6102" s="125"/>
      <c r="C6102" s="126"/>
      <c r="D6102" s="159"/>
      <c r="E6102" s="10" t="e">
        <f>TRIM(VLOOKUP(D6102,TB!$B$9:$C$1500,2,FALSE))</f>
        <v>#N/A</v>
      </c>
      <c r="F6102" s="142"/>
      <c r="G6102" s="130"/>
      <c r="H6102" s="10"/>
      <c r="I6102" s="10"/>
      <c r="J6102" s="79" t="e">
        <f t="shared" si="351"/>
        <v>#VALUE!</v>
      </c>
      <c r="K6102" s="106"/>
      <c r="L6102" s="107"/>
      <c r="M6102" s="106"/>
      <c r="N6102" s="106"/>
      <c r="O6102" s="108"/>
      <c r="P6102" s="108"/>
      <c r="Q6102" s="108"/>
      <c r="R6102" s="109"/>
      <c r="S6102" s="109"/>
      <c r="T6102" s="108"/>
      <c r="U6102" s="110"/>
      <c r="V6102" s="110"/>
      <c r="W6102" s="110"/>
      <c r="X6102" s="110"/>
    </row>
    <row r="6103" spans="1:24" ht="14.25" customHeight="1">
      <c r="A6103" s="110"/>
      <c r="B6103" s="125"/>
      <c r="C6103" s="126"/>
      <c r="D6103" s="159"/>
      <c r="E6103" s="10" t="e">
        <f>TRIM(VLOOKUP(D6103,TB!$B$9:$C$1500,2,FALSE))</f>
        <v>#N/A</v>
      </c>
      <c r="F6103" s="142"/>
      <c r="G6103" s="130"/>
      <c r="H6103" s="10"/>
      <c r="I6103" s="10"/>
      <c r="J6103" s="79" t="e">
        <f t="shared" si="351"/>
        <v>#VALUE!</v>
      </c>
      <c r="K6103" s="106"/>
      <c r="L6103" s="107"/>
      <c r="M6103" s="106"/>
      <c r="N6103" s="106"/>
      <c r="O6103" s="108"/>
      <c r="P6103" s="108"/>
      <c r="Q6103" s="108"/>
      <c r="R6103" s="109"/>
      <c r="S6103" s="109"/>
      <c r="T6103" s="108"/>
      <c r="U6103" s="110"/>
      <c r="V6103" s="110"/>
      <c r="W6103" s="110"/>
      <c r="X6103" s="110"/>
    </row>
    <row r="6104" spans="1:24" ht="14.25" customHeight="1">
      <c r="A6104" s="110"/>
      <c r="B6104" s="125"/>
      <c r="C6104" s="126"/>
      <c r="D6104" s="159"/>
      <c r="E6104" s="10" t="e">
        <f>TRIM(VLOOKUP(D6104,TB!$B$9:$C$1500,2,FALSE))</f>
        <v>#N/A</v>
      </c>
      <c r="F6104" s="142"/>
      <c r="G6104" s="130"/>
      <c r="H6104" s="10"/>
      <c r="I6104" s="10"/>
      <c r="J6104" s="79" t="e">
        <f t="shared" si="351"/>
        <v>#VALUE!</v>
      </c>
      <c r="K6104" s="106"/>
      <c r="L6104" s="107"/>
      <c r="M6104" s="106"/>
      <c r="N6104" s="106"/>
      <c r="O6104" s="108"/>
      <c r="P6104" s="108"/>
      <c r="Q6104" s="108"/>
      <c r="R6104" s="109"/>
      <c r="S6104" s="109"/>
      <c r="T6104" s="108"/>
      <c r="U6104" s="110"/>
      <c r="V6104" s="110"/>
      <c r="W6104" s="110"/>
      <c r="X6104" s="110"/>
    </row>
    <row r="6105" spans="1:24" ht="14.25" customHeight="1">
      <c r="A6105" s="110"/>
      <c r="B6105" s="125"/>
      <c r="C6105" s="126"/>
      <c r="D6105" s="159"/>
      <c r="E6105" s="10" t="e">
        <f>TRIM(VLOOKUP(D6105,TB!$B$9:$C$1500,2,FALSE))</f>
        <v>#N/A</v>
      </c>
      <c r="F6105" s="142"/>
      <c r="G6105" s="130"/>
      <c r="H6105" s="10"/>
      <c r="I6105" s="10"/>
      <c r="J6105" s="79" t="e">
        <f t="shared" si="351"/>
        <v>#VALUE!</v>
      </c>
      <c r="K6105" s="106"/>
      <c r="L6105" s="107"/>
      <c r="M6105" s="106"/>
      <c r="N6105" s="106"/>
      <c r="O6105" s="108"/>
      <c r="P6105" s="108"/>
      <c r="Q6105" s="108"/>
      <c r="R6105" s="109"/>
      <c r="S6105" s="109"/>
      <c r="T6105" s="108"/>
      <c r="U6105" s="110"/>
      <c r="V6105" s="110"/>
      <c r="W6105" s="110"/>
      <c r="X6105" s="110"/>
    </row>
    <row r="6106" spans="1:24" ht="14.25" customHeight="1">
      <c r="A6106" s="110"/>
      <c r="B6106" s="125"/>
      <c r="C6106" s="126"/>
      <c r="D6106" s="159"/>
      <c r="E6106" s="10" t="e">
        <f>TRIM(VLOOKUP(D6106,TB!$B$9:$C$1500,2,FALSE))</f>
        <v>#N/A</v>
      </c>
      <c r="F6106" s="142"/>
      <c r="G6106" s="130"/>
      <c r="H6106" s="10"/>
      <c r="I6106" s="10"/>
      <c r="J6106" s="79" t="e">
        <f t="shared" si="351"/>
        <v>#VALUE!</v>
      </c>
      <c r="K6106" s="106"/>
      <c r="L6106" s="107"/>
      <c r="M6106" s="106"/>
      <c r="N6106" s="106"/>
      <c r="O6106" s="108"/>
      <c r="P6106" s="108"/>
      <c r="Q6106" s="108"/>
      <c r="R6106" s="109"/>
      <c r="S6106" s="109"/>
      <c r="T6106" s="108"/>
      <c r="U6106" s="110"/>
      <c r="V6106" s="110"/>
      <c r="W6106" s="110"/>
      <c r="X6106" s="110"/>
    </row>
    <row r="6107" spans="1:24" ht="14.25" customHeight="1">
      <c r="A6107" s="110"/>
      <c r="B6107" s="125"/>
      <c r="C6107" s="126"/>
      <c r="D6107" s="159"/>
      <c r="E6107" s="10" t="e">
        <f>TRIM(VLOOKUP(D6107,TB!$B$9:$C$1500,2,FALSE))</f>
        <v>#N/A</v>
      </c>
      <c r="F6107" s="142"/>
      <c r="G6107" s="130"/>
      <c r="H6107" s="10"/>
      <c r="I6107" s="10"/>
      <c r="J6107" s="79" t="e">
        <f t="shared" si="351"/>
        <v>#VALUE!</v>
      </c>
      <c r="K6107" s="106"/>
      <c r="L6107" s="107"/>
      <c r="M6107" s="106"/>
      <c r="N6107" s="106"/>
      <c r="O6107" s="108"/>
      <c r="P6107" s="108"/>
      <c r="Q6107" s="108"/>
      <c r="R6107" s="109"/>
      <c r="S6107" s="109"/>
      <c r="T6107" s="108"/>
      <c r="U6107" s="110"/>
      <c r="V6107" s="110"/>
      <c r="W6107" s="110"/>
      <c r="X6107" s="110"/>
    </row>
    <row r="6108" spans="1:24" ht="14.25" customHeight="1">
      <c r="A6108" s="110"/>
      <c r="B6108" s="125"/>
      <c r="C6108" s="126"/>
      <c r="D6108" s="159"/>
      <c r="E6108" s="10" t="e">
        <f>TRIM(VLOOKUP(D6108,TB!$B$9:$C$1500,2,FALSE))</f>
        <v>#N/A</v>
      </c>
      <c r="F6108" s="142"/>
      <c r="G6108" s="130"/>
      <c r="H6108" s="10"/>
      <c r="I6108" s="10"/>
      <c r="J6108" s="79" t="e">
        <f t="shared" si="351"/>
        <v>#VALUE!</v>
      </c>
      <c r="K6108" s="106"/>
      <c r="L6108" s="107"/>
      <c r="M6108" s="106"/>
      <c r="N6108" s="106"/>
      <c r="O6108" s="108"/>
      <c r="P6108" s="108"/>
      <c r="Q6108" s="108"/>
      <c r="R6108" s="109"/>
      <c r="S6108" s="109"/>
      <c r="T6108" s="108"/>
      <c r="U6108" s="110"/>
      <c r="V6108" s="110"/>
      <c r="W6108" s="110"/>
      <c r="X6108" s="110"/>
    </row>
    <row r="6109" spans="1:24" ht="14.25" customHeight="1">
      <c r="A6109" s="110"/>
      <c r="B6109" s="125"/>
      <c r="C6109" s="126"/>
      <c r="D6109" s="159"/>
      <c r="E6109" s="10" t="e">
        <f>TRIM(VLOOKUP(D6109,TB!$B$9:$C$1500,2,FALSE))</f>
        <v>#N/A</v>
      </c>
      <c r="F6109" s="142"/>
      <c r="G6109" s="130"/>
      <c r="H6109" s="10"/>
      <c r="I6109" s="10"/>
      <c r="J6109" s="79" t="e">
        <f t="shared" si="351"/>
        <v>#VALUE!</v>
      </c>
      <c r="K6109" s="106"/>
      <c r="L6109" s="107"/>
      <c r="M6109" s="106"/>
      <c r="N6109" s="106"/>
      <c r="O6109" s="108"/>
      <c r="P6109" s="108"/>
      <c r="Q6109" s="108"/>
      <c r="R6109" s="109"/>
      <c r="S6109" s="109"/>
      <c r="T6109" s="108"/>
      <c r="U6109" s="110"/>
      <c r="V6109" s="110"/>
      <c r="W6109" s="110"/>
      <c r="X6109" s="110"/>
    </row>
    <row r="6110" spans="1:24" ht="14.25" customHeight="1">
      <c r="A6110" s="110"/>
      <c r="B6110" s="125"/>
      <c r="C6110" s="126"/>
      <c r="D6110" s="159"/>
      <c r="E6110" s="10" t="e">
        <f>TRIM(VLOOKUP(D6110,TB!$B$9:$C$1500,2,FALSE))</f>
        <v>#N/A</v>
      </c>
      <c r="F6110" s="142"/>
      <c r="G6110" s="130"/>
      <c r="H6110" s="10"/>
      <c r="I6110" s="10"/>
      <c r="J6110" s="79" t="e">
        <f t="shared" si="351"/>
        <v>#VALUE!</v>
      </c>
      <c r="K6110" s="106"/>
      <c r="L6110" s="107"/>
      <c r="M6110" s="106"/>
      <c r="N6110" s="106"/>
      <c r="O6110" s="108"/>
      <c r="P6110" s="108"/>
      <c r="Q6110" s="108"/>
      <c r="R6110" s="109"/>
      <c r="S6110" s="109"/>
      <c r="T6110" s="108"/>
      <c r="U6110" s="110"/>
      <c r="V6110" s="110"/>
      <c r="W6110" s="110"/>
      <c r="X6110" s="110"/>
    </row>
    <row r="6111" spans="1:24" ht="14.25" customHeight="1">
      <c r="A6111" s="110"/>
      <c r="B6111" s="125"/>
      <c r="C6111" s="126"/>
      <c r="D6111" s="159"/>
      <c r="E6111" s="10" t="e">
        <f>TRIM(VLOOKUP(D6111,TB!$B$9:$C$1500,2,FALSE))</f>
        <v>#N/A</v>
      </c>
      <c r="F6111" s="142"/>
      <c r="G6111" s="130"/>
      <c r="H6111" s="10"/>
      <c r="I6111" s="10"/>
      <c r="J6111" s="79" t="e">
        <f t="shared" si="351"/>
        <v>#VALUE!</v>
      </c>
      <c r="K6111" s="106"/>
      <c r="L6111" s="107"/>
      <c r="M6111" s="106"/>
      <c r="N6111" s="106"/>
      <c r="O6111" s="108"/>
      <c r="P6111" s="108"/>
      <c r="Q6111" s="108"/>
      <c r="R6111" s="109"/>
      <c r="S6111" s="109"/>
      <c r="T6111" s="108"/>
      <c r="U6111" s="110"/>
      <c r="V6111" s="110"/>
      <c r="W6111" s="110"/>
      <c r="X6111" s="110"/>
    </row>
    <row r="6112" spans="1:24" ht="14.25" customHeight="1">
      <c r="A6112" s="110"/>
      <c r="B6112" s="125"/>
      <c r="C6112" s="126"/>
      <c r="D6112" s="159"/>
      <c r="E6112" s="10" t="e">
        <f>TRIM(VLOOKUP(D6112,TB!$B$9:$C$1500,2,FALSE))</f>
        <v>#N/A</v>
      </c>
      <c r="F6112" s="142"/>
      <c r="G6112" s="130"/>
      <c r="H6112" s="10"/>
      <c r="I6112" s="10"/>
      <c r="J6112" s="79" t="e">
        <f t="shared" si="351"/>
        <v>#VALUE!</v>
      </c>
      <c r="K6112" s="106"/>
      <c r="L6112" s="107"/>
      <c r="M6112" s="106"/>
      <c r="N6112" s="106"/>
      <c r="O6112" s="108"/>
      <c r="P6112" s="108"/>
      <c r="Q6112" s="108"/>
      <c r="R6112" s="109"/>
      <c r="S6112" s="109"/>
      <c r="T6112" s="108"/>
      <c r="U6112" s="110"/>
      <c r="V6112" s="110"/>
      <c r="W6112" s="110"/>
      <c r="X6112" s="110"/>
    </row>
    <row r="6113" spans="1:24" ht="14.25" customHeight="1">
      <c r="A6113" s="110"/>
      <c r="B6113" s="125"/>
      <c r="C6113" s="126"/>
      <c r="D6113" s="159"/>
      <c r="E6113" s="10" t="e">
        <f>TRIM(VLOOKUP(D6113,TB!$B$9:$C$1500,2,FALSE))</f>
        <v>#N/A</v>
      </c>
      <c r="F6113" s="142"/>
      <c r="G6113" s="130"/>
      <c r="H6113" s="10"/>
      <c r="I6113" s="10"/>
      <c r="J6113" s="79" t="e">
        <f t="shared" si="351"/>
        <v>#VALUE!</v>
      </c>
      <c r="K6113" s="106"/>
      <c r="L6113" s="107"/>
      <c r="M6113" s="106"/>
      <c r="N6113" s="106"/>
      <c r="O6113" s="108"/>
      <c r="P6113" s="108"/>
      <c r="Q6113" s="108"/>
      <c r="R6113" s="109"/>
      <c r="S6113" s="109"/>
      <c r="T6113" s="108"/>
      <c r="U6113" s="110"/>
      <c r="V6113" s="110"/>
      <c r="W6113" s="110"/>
      <c r="X6113" s="110"/>
    </row>
    <row r="6114" spans="1:24" ht="14.25" customHeight="1">
      <c r="A6114" s="110"/>
      <c r="B6114" s="125"/>
      <c r="C6114" s="126"/>
      <c r="D6114" s="159"/>
      <c r="E6114" s="10" t="e">
        <f>TRIM(VLOOKUP(D6114,TB!$B$9:$C$1500,2,FALSE))</f>
        <v>#N/A</v>
      </c>
      <c r="F6114" s="142"/>
      <c r="G6114" s="130"/>
      <c r="H6114" s="10"/>
      <c r="I6114" s="10"/>
      <c r="J6114" s="79" t="e">
        <f t="shared" si="351"/>
        <v>#VALUE!</v>
      </c>
      <c r="K6114" s="106"/>
      <c r="L6114" s="107"/>
      <c r="M6114" s="106"/>
      <c r="N6114" s="106"/>
      <c r="O6114" s="108"/>
      <c r="P6114" s="108"/>
      <c r="Q6114" s="108"/>
      <c r="R6114" s="109"/>
      <c r="S6114" s="109"/>
      <c r="T6114" s="108"/>
      <c r="U6114" s="110"/>
      <c r="V6114" s="110"/>
      <c r="W6114" s="110"/>
      <c r="X6114" s="110"/>
    </row>
    <row r="6115" spans="1:24" ht="14.25" customHeight="1">
      <c r="A6115" s="110"/>
      <c r="B6115" s="125"/>
      <c r="C6115" s="126"/>
      <c r="D6115" s="159"/>
      <c r="E6115" s="10" t="e">
        <f>TRIM(VLOOKUP(D6115,TB!$B$9:$C$1500,2,FALSE))</f>
        <v>#N/A</v>
      </c>
      <c r="F6115" s="142"/>
      <c r="G6115" s="130"/>
      <c r="H6115" s="10"/>
      <c r="I6115" s="10"/>
      <c r="J6115" s="79" t="e">
        <f t="shared" si="351"/>
        <v>#VALUE!</v>
      </c>
      <c r="K6115" s="106"/>
      <c r="L6115" s="107"/>
      <c r="M6115" s="106"/>
      <c r="N6115" s="106"/>
      <c r="O6115" s="108"/>
      <c r="P6115" s="108"/>
      <c r="Q6115" s="108"/>
      <c r="R6115" s="109"/>
      <c r="S6115" s="109"/>
      <c r="T6115" s="108"/>
      <c r="U6115" s="110"/>
      <c r="V6115" s="110"/>
      <c r="W6115" s="110"/>
      <c r="X6115" s="110"/>
    </row>
    <row r="6116" spans="1:24" ht="14.25" customHeight="1">
      <c r="A6116" s="110"/>
      <c r="B6116" s="125"/>
      <c r="C6116" s="126"/>
      <c r="D6116" s="159"/>
      <c r="E6116" s="10" t="e">
        <f>TRIM(VLOOKUP(D6116,TB!$B$9:$C$1500,2,FALSE))</f>
        <v>#N/A</v>
      </c>
      <c r="F6116" s="142"/>
      <c r="G6116" s="130"/>
      <c r="H6116" s="10"/>
      <c r="I6116" s="10"/>
      <c r="J6116" s="79" t="e">
        <f t="shared" si="351"/>
        <v>#VALUE!</v>
      </c>
      <c r="K6116" s="106"/>
      <c r="L6116" s="107"/>
      <c r="M6116" s="106"/>
      <c r="N6116" s="106"/>
      <c r="O6116" s="108"/>
      <c r="P6116" s="108"/>
      <c r="Q6116" s="108"/>
      <c r="R6116" s="109"/>
      <c r="S6116" s="109"/>
      <c r="T6116" s="108"/>
      <c r="U6116" s="110"/>
      <c r="V6116" s="110"/>
      <c r="W6116" s="110"/>
      <c r="X6116" s="110"/>
    </row>
    <row r="6117" spans="1:24" ht="14.25" customHeight="1">
      <c r="A6117" s="110"/>
      <c r="B6117" s="125"/>
      <c r="C6117" s="126"/>
      <c r="D6117" s="68"/>
      <c r="E6117" s="10" t="e">
        <f>TRIM(VLOOKUP(D6117,TB!$B$9:$C$1500,2,FALSE))</f>
        <v>#N/A</v>
      </c>
      <c r="F6117" s="207"/>
      <c r="G6117" s="130"/>
      <c r="H6117" s="10"/>
      <c r="I6117" s="10"/>
      <c r="J6117" s="79" t="e">
        <f t="shared" si="351"/>
        <v>#VALUE!</v>
      </c>
      <c r="K6117" s="106"/>
      <c r="L6117" s="107"/>
      <c r="M6117" s="106"/>
      <c r="N6117" s="106"/>
      <c r="O6117" s="108"/>
      <c r="P6117" s="108"/>
      <c r="Q6117" s="108"/>
      <c r="R6117" s="109"/>
      <c r="S6117" s="109"/>
      <c r="T6117" s="108"/>
      <c r="U6117" s="110"/>
      <c r="V6117" s="110"/>
      <c r="W6117" s="110"/>
      <c r="X6117" s="110"/>
    </row>
    <row r="6118" spans="1:24" ht="14.25" customHeight="1">
      <c r="A6118" s="110"/>
      <c r="B6118" s="125"/>
      <c r="C6118" s="126"/>
      <c r="D6118" s="68"/>
      <c r="E6118" s="10" t="e">
        <f>TRIM(VLOOKUP(D6118,TB!$B$9:$C$1500,2,FALSE))</f>
        <v>#N/A</v>
      </c>
      <c r="F6118" s="212"/>
      <c r="G6118" s="130"/>
      <c r="H6118" s="10"/>
      <c r="I6118" s="213"/>
      <c r="J6118" s="79" t="e">
        <f t="shared" si="351"/>
        <v>#VALUE!</v>
      </c>
      <c r="K6118" s="106"/>
      <c r="L6118" s="107"/>
      <c r="M6118" s="106"/>
      <c r="N6118" s="106"/>
      <c r="O6118" s="108"/>
      <c r="P6118" s="108"/>
      <c r="Q6118" s="108"/>
      <c r="R6118" s="109"/>
      <c r="S6118" s="109"/>
      <c r="T6118" s="108"/>
      <c r="U6118" s="110"/>
      <c r="V6118" s="110"/>
      <c r="W6118" s="110"/>
      <c r="X6118" s="110"/>
    </row>
    <row r="6119" spans="1:24" ht="14.25" customHeight="1">
      <c r="A6119" s="110"/>
      <c r="B6119" s="214"/>
      <c r="C6119" s="215"/>
      <c r="D6119" s="216"/>
      <c r="E6119" s="10" t="e">
        <f>TRIM(VLOOKUP(D6119,TB!$B$9:$C$1500,2,FALSE))</f>
        <v>#N/A</v>
      </c>
      <c r="F6119" s="217"/>
      <c r="G6119" s="218"/>
      <c r="H6119" s="213"/>
      <c r="I6119" s="213"/>
      <c r="J6119" s="79" t="e">
        <f t="shared" si="351"/>
        <v>#VALUE!</v>
      </c>
      <c r="K6119" s="132"/>
      <c r="L6119" s="107"/>
      <c r="M6119" s="106"/>
      <c r="N6119" s="106"/>
      <c r="O6119" s="108"/>
      <c r="P6119" s="108"/>
      <c r="Q6119" s="108"/>
      <c r="R6119" s="109"/>
      <c r="S6119" s="109"/>
      <c r="T6119" s="108"/>
      <c r="U6119" s="110"/>
      <c r="V6119" s="110"/>
      <c r="W6119" s="110"/>
      <c r="X6119" s="110"/>
    </row>
    <row r="6120" spans="1:24" ht="14.25" customHeight="1">
      <c r="A6120" s="110"/>
      <c r="B6120" s="219"/>
      <c r="C6120" s="118"/>
      <c r="D6120" s="220"/>
      <c r="E6120" s="79"/>
      <c r="F6120" s="110"/>
      <c r="G6120" s="221"/>
      <c r="H6120" s="120"/>
      <c r="I6120" s="120"/>
      <c r="J6120" s="79"/>
      <c r="K6120" s="132"/>
      <c r="L6120" s="107"/>
      <c r="M6120" s="106"/>
      <c r="N6120" s="106"/>
      <c r="O6120" s="108"/>
      <c r="P6120" s="108"/>
      <c r="Q6120" s="108"/>
      <c r="R6120" s="109"/>
      <c r="S6120" s="109"/>
      <c r="T6120" s="108"/>
      <c r="U6120" s="110"/>
      <c r="V6120" s="110"/>
      <c r="W6120" s="110"/>
      <c r="X6120" s="110"/>
    </row>
    <row r="6121" spans="1:24" ht="14.25" customHeight="1">
      <c r="A6121" s="110"/>
      <c r="B6121" s="219"/>
      <c r="C6121" s="118"/>
      <c r="D6121" s="220"/>
      <c r="E6121" s="79"/>
      <c r="F6121" s="110"/>
      <c r="G6121" s="221"/>
      <c r="H6121" s="120"/>
      <c r="I6121" s="120"/>
      <c r="J6121" s="79"/>
      <c r="K6121" s="132"/>
      <c r="L6121" s="107"/>
      <c r="M6121" s="106"/>
      <c r="N6121" s="106"/>
      <c r="O6121" s="108"/>
      <c r="P6121" s="108"/>
      <c r="Q6121" s="108"/>
      <c r="R6121" s="109"/>
      <c r="S6121" s="109"/>
      <c r="T6121" s="108"/>
      <c r="U6121" s="110"/>
      <c r="V6121" s="110"/>
      <c r="W6121" s="110"/>
      <c r="X6121" s="110"/>
    </row>
    <row r="6122" spans="1:24" ht="14.25" customHeight="1">
      <c r="A6122" s="110"/>
      <c r="B6122" s="219"/>
      <c r="C6122" s="118"/>
      <c r="D6122" s="220"/>
      <c r="E6122" s="79"/>
      <c r="F6122" s="110"/>
      <c r="G6122" s="221"/>
      <c r="H6122" s="120"/>
      <c r="I6122" s="120"/>
      <c r="J6122" s="79"/>
      <c r="K6122" s="132"/>
      <c r="L6122" s="107"/>
      <c r="M6122" s="106"/>
      <c r="N6122" s="106"/>
      <c r="O6122" s="108"/>
      <c r="P6122" s="108"/>
      <c r="Q6122" s="108"/>
      <c r="R6122" s="109"/>
      <c r="S6122" s="109"/>
      <c r="T6122" s="108"/>
      <c r="U6122" s="110"/>
      <c r="V6122" s="110"/>
      <c r="W6122" s="110"/>
      <c r="X6122" s="110"/>
    </row>
    <row r="6123" spans="1:24" ht="14.25" customHeight="1">
      <c r="A6123" s="110"/>
      <c r="B6123" s="219"/>
      <c r="C6123" s="118"/>
      <c r="D6123" s="220"/>
      <c r="E6123" s="79"/>
      <c r="F6123" s="110"/>
      <c r="G6123" s="221"/>
      <c r="H6123" s="120"/>
      <c r="I6123" s="120"/>
      <c r="J6123" s="79"/>
      <c r="K6123" s="132"/>
      <c r="L6123" s="107"/>
      <c r="M6123" s="106"/>
      <c r="N6123" s="106"/>
      <c r="O6123" s="108"/>
      <c r="P6123" s="108"/>
      <c r="Q6123" s="108"/>
      <c r="R6123" s="109"/>
      <c r="S6123" s="109"/>
      <c r="T6123" s="108"/>
      <c r="U6123" s="110"/>
      <c r="V6123" s="110"/>
      <c r="W6123" s="110"/>
      <c r="X6123" s="110"/>
    </row>
    <row r="6124" spans="1:24" ht="14.25" customHeight="1">
      <c r="A6124" s="110"/>
      <c r="B6124" s="219"/>
      <c r="C6124" s="118"/>
      <c r="D6124" s="220"/>
      <c r="E6124" s="79"/>
      <c r="F6124" s="110"/>
      <c r="G6124" s="221"/>
      <c r="H6124" s="120"/>
      <c r="I6124" s="120"/>
      <c r="J6124" s="79"/>
      <c r="K6124" s="132"/>
      <c r="L6124" s="107"/>
      <c r="M6124" s="106"/>
      <c r="N6124" s="106"/>
      <c r="O6124" s="108"/>
      <c r="P6124" s="108"/>
      <c r="Q6124" s="108"/>
      <c r="R6124" s="109"/>
      <c r="S6124" s="109"/>
      <c r="T6124" s="108"/>
      <c r="U6124" s="110"/>
      <c r="V6124" s="110"/>
      <c r="W6124" s="110"/>
      <c r="X6124" s="110"/>
    </row>
    <row r="6125" spans="1:24" ht="14.25" customHeight="1">
      <c r="A6125" s="110"/>
      <c r="B6125" s="219"/>
      <c r="C6125" s="118"/>
      <c r="D6125" s="220"/>
      <c r="E6125" s="79"/>
      <c r="F6125" s="110"/>
      <c r="G6125" s="221"/>
      <c r="H6125" s="120"/>
      <c r="I6125" s="120"/>
      <c r="J6125" s="79"/>
      <c r="K6125" s="132"/>
      <c r="L6125" s="107"/>
      <c r="M6125" s="106"/>
      <c r="N6125" s="106"/>
      <c r="O6125" s="108"/>
      <c r="P6125" s="108"/>
      <c r="Q6125" s="108"/>
      <c r="R6125" s="109"/>
      <c r="S6125" s="109"/>
      <c r="T6125" s="108"/>
      <c r="U6125" s="110"/>
      <c r="V6125" s="110"/>
      <c r="W6125" s="110"/>
      <c r="X6125" s="110"/>
    </row>
    <row r="6126" spans="1:24" ht="14.25" customHeight="1">
      <c r="A6126" s="110"/>
      <c r="B6126" s="219"/>
      <c r="C6126" s="118"/>
      <c r="D6126" s="220"/>
      <c r="E6126" s="79"/>
      <c r="F6126" s="110"/>
      <c r="G6126" s="221"/>
      <c r="H6126" s="120"/>
      <c r="I6126" s="120"/>
      <c r="J6126" s="79"/>
      <c r="K6126" s="132"/>
      <c r="L6126" s="107"/>
      <c r="M6126" s="106"/>
      <c r="N6126" s="106"/>
      <c r="O6126" s="108"/>
      <c r="P6126" s="108"/>
      <c r="Q6126" s="108"/>
      <c r="R6126" s="109"/>
      <c r="S6126" s="109"/>
      <c r="T6126" s="108"/>
      <c r="U6126" s="110"/>
      <c r="V6126" s="110"/>
      <c r="W6126" s="110"/>
      <c r="X6126" s="110"/>
    </row>
    <row r="6127" spans="1:24" ht="14.25" customHeight="1">
      <c r="A6127" s="110"/>
      <c r="B6127" s="219"/>
      <c r="C6127" s="118"/>
      <c r="D6127" s="220"/>
      <c r="E6127" s="79"/>
      <c r="F6127" s="110"/>
      <c r="G6127" s="221"/>
      <c r="H6127" s="120"/>
      <c r="I6127" s="120"/>
      <c r="J6127" s="79"/>
      <c r="K6127" s="132"/>
      <c r="L6127" s="107"/>
      <c r="M6127" s="106"/>
      <c r="N6127" s="106"/>
      <c r="O6127" s="108"/>
      <c r="P6127" s="108"/>
      <c r="Q6127" s="108"/>
      <c r="R6127" s="109"/>
      <c r="S6127" s="109"/>
      <c r="T6127" s="108"/>
      <c r="U6127" s="110"/>
      <c r="V6127" s="110"/>
      <c r="W6127" s="110"/>
      <c r="X6127" s="110"/>
    </row>
    <row r="6128" spans="1:24" ht="14.25" customHeight="1">
      <c r="A6128" s="110"/>
      <c r="B6128" s="219"/>
      <c r="C6128" s="118"/>
      <c r="D6128" s="220"/>
      <c r="E6128" s="79"/>
      <c r="F6128" s="110"/>
      <c r="G6128" s="221"/>
      <c r="H6128" s="120"/>
      <c r="I6128" s="120"/>
      <c r="J6128" s="79"/>
      <c r="K6128" s="132"/>
      <c r="L6128" s="107"/>
      <c r="M6128" s="106"/>
      <c r="N6128" s="106"/>
      <c r="O6128" s="108"/>
      <c r="P6128" s="108"/>
      <c r="Q6128" s="108"/>
      <c r="R6128" s="109"/>
      <c r="S6128" s="109"/>
      <c r="T6128" s="108"/>
      <c r="U6128" s="110"/>
      <c r="V6128" s="110"/>
      <c r="W6128" s="110"/>
      <c r="X6128" s="110"/>
    </row>
    <row r="6129" spans="1:24" ht="14.25" customHeight="1">
      <c r="A6129" s="110"/>
      <c r="B6129" s="219"/>
      <c r="C6129" s="118"/>
      <c r="D6129" s="220"/>
      <c r="E6129" s="79"/>
      <c r="F6129" s="110"/>
      <c r="G6129" s="221"/>
      <c r="H6129" s="120"/>
      <c r="I6129" s="120"/>
      <c r="J6129" s="79"/>
      <c r="K6129" s="132"/>
      <c r="L6129" s="107"/>
      <c r="M6129" s="106"/>
      <c r="N6129" s="106"/>
      <c r="O6129" s="108"/>
      <c r="P6129" s="108"/>
      <c r="Q6129" s="108"/>
      <c r="R6129" s="109"/>
      <c r="S6129" s="109"/>
      <c r="T6129" s="108"/>
      <c r="U6129" s="110"/>
      <c r="V6129" s="110"/>
      <c r="W6129" s="110"/>
      <c r="X6129" s="110"/>
    </row>
    <row r="6130" spans="1:24" ht="14.25" customHeight="1">
      <c r="A6130" s="110"/>
      <c r="B6130" s="219"/>
      <c r="C6130" s="118"/>
      <c r="D6130" s="220"/>
      <c r="E6130" s="79"/>
      <c r="F6130" s="110"/>
      <c r="G6130" s="221"/>
      <c r="H6130" s="120"/>
      <c r="I6130" s="120"/>
      <c r="J6130" s="79"/>
      <c r="K6130" s="132"/>
      <c r="L6130" s="107"/>
      <c r="M6130" s="106"/>
      <c r="N6130" s="106"/>
      <c r="O6130" s="108"/>
      <c r="P6130" s="108"/>
      <c r="Q6130" s="108"/>
      <c r="R6130" s="109"/>
      <c r="S6130" s="109"/>
      <c r="T6130" s="108"/>
      <c r="U6130" s="110"/>
      <c r="V6130" s="110"/>
      <c r="W6130" s="110"/>
      <c r="X6130" s="110"/>
    </row>
    <row r="6131" spans="1:24" ht="14.25" customHeight="1">
      <c r="A6131" s="110"/>
      <c r="B6131" s="219"/>
      <c r="C6131" s="118"/>
      <c r="D6131" s="220"/>
      <c r="E6131" s="79"/>
      <c r="F6131" s="110"/>
      <c r="G6131" s="221"/>
      <c r="H6131" s="120"/>
      <c r="I6131" s="120"/>
      <c r="J6131" s="79"/>
      <c r="K6131" s="132"/>
      <c r="L6131" s="107"/>
      <c r="M6131" s="106"/>
      <c r="N6131" s="106"/>
      <c r="O6131" s="108"/>
      <c r="P6131" s="108"/>
      <c r="Q6131" s="108"/>
      <c r="R6131" s="109"/>
      <c r="S6131" s="109"/>
      <c r="T6131" s="108"/>
      <c r="U6131" s="110"/>
      <c r="V6131" s="110"/>
      <c r="W6131" s="110"/>
      <c r="X6131" s="110"/>
    </row>
    <row r="6132" spans="1:24" ht="14.25" customHeight="1">
      <c r="A6132" s="110"/>
      <c r="B6132" s="219"/>
      <c r="C6132" s="118"/>
      <c r="D6132" s="220"/>
      <c r="E6132" s="79"/>
      <c r="F6132" s="110"/>
      <c r="G6132" s="221"/>
      <c r="H6132" s="120"/>
      <c r="I6132" s="120"/>
      <c r="J6132" s="79"/>
      <c r="K6132" s="132"/>
      <c r="L6132" s="107"/>
      <c r="M6132" s="106"/>
      <c r="N6132" s="106"/>
      <c r="O6132" s="108"/>
      <c r="P6132" s="108"/>
      <c r="Q6132" s="108"/>
      <c r="R6132" s="109"/>
      <c r="S6132" s="109"/>
      <c r="T6132" s="108"/>
      <c r="U6132" s="110"/>
      <c r="V6132" s="110"/>
      <c r="W6132" s="110"/>
      <c r="X6132" s="110"/>
    </row>
    <row r="6133" spans="1:24" ht="14.25" customHeight="1">
      <c r="A6133" s="110"/>
      <c r="B6133" s="219"/>
      <c r="C6133" s="118"/>
      <c r="D6133" s="220"/>
      <c r="E6133" s="79"/>
      <c r="F6133" s="110"/>
      <c r="G6133" s="221"/>
      <c r="H6133" s="120"/>
      <c r="I6133" s="120"/>
      <c r="J6133" s="79"/>
      <c r="K6133" s="132"/>
      <c r="L6133" s="107"/>
      <c r="M6133" s="106"/>
      <c r="N6133" s="106"/>
      <c r="O6133" s="108"/>
      <c r="P6133" s="108"/>
      <c r="Q6133" s="108"/>
      <c r="R6133" s="109"/>
      <c r="S6133" s="109"/>
      <c r="T6133" s="108"/>
      <c r="U6133" s="110"/>
      <c r="V6133" s="110"/>
      <c r="W6133" s="110"/>
      <c r="X6133" s="110"/>
    </row>
    <row r="6134" spans="1:24" ht="14.25" customHeight="1">
      <c r="A6134" s="110"/>
      <c r="B6134" s="219"/>
      <c r="C6134" s="118"/>
      <c r="D6134" s="220"/>
      <c r="E6134" s="79"/>
      <c r="F6134" s="110"/>
      <c r="G6134" s="221"/>
      <c r="H6134" s="120"/>
      <c r="I6134" s="120"/>
      <c r="J6134" s="79"/>
      <c r="K6134" s="132"/>
      <c r="L6134" s="107"/>
      <c r="M6134" s="106"/>
      <c r="N6134" s="106"/>
      <c r="O6134" s="108"/>
      <c r="P6134" s="108"/>
      <c r="Q6134" s="108"/>
      <c r="R6134" s="109"/>
      <c r="S6134" s="109"/>
      <c r="T6134" s="108"/>
      <c r="U6134" s="110"/>
      <c r="V6134" s="110"/>
      <c r="W6134" s="110"/>
      <c r="X6134" s="110"/>
    </row>
    <row r="6135" spans="1:24" ht="14.25" customHeight="1">
      <c r="A6135" s="110"/>
      <c r="B6135" s="219"/>
      <c r="C6135" s="118"/>
      <c r="D6135" s="220"/>
      <c r="E6135" s="79"/>
      <c r="F6135" s="110"/>
      <c r="G6135" s="221"/>
      <c r="H6135" s="120"/>
      <c r="I6135" s="120"/>
      <c r="J6135" s="79"/>
      <c r="K6135" s="132"/>
      <c r="L6135" s="107"/>
      <c r="M6135" s="106"/>
      <c r="N6135" s="106"/>
      <c r="O6135" s="108"/>
      <c r="P6135" s="108"/>
      <c r="Q6135" s="108"/>
      <c r="R6135" s="109"/>
      <c r="S6135" s="109"/>
      <c r="T6135" s="108"/>
      <c r="U6135" s="110"/>
      <c r="V6135" s="110"/>
      <c r="W6135" s="110"/>
      <c r="X6135" s="110"/>
    </row>
    <row r="6136" spans="1:24" ht="14.25" customHeight="1">
      <c r="A6136" s="110"/>
      <c r="B6136" s="219"/>
      <c r="C6136" s="118"/>
      <c r="D6136" s="220"/>
      <c r="E6136" s="79"/>
      <c r="F6136" s="110"/>
      <c r="G6136" s="221"/>
      <c r="H6136" s="120"/>
      <c r="I6136" s="120"/>
      <c r="J6136" s="79"/>
      <c r="K6136" s="132"/>
      <c r="L6136" s="107"/>
      <c r="M6136" s="106"/>
      <c r="N6136" s="106"/>
      <c r="O6136" s="108"/>
      <c r="P6136" s="108"/>
      <c r="Q6136" s="108"/>
      <c r="R6136" s="109"/>
      <c r="S6136" s="109"/>
      <c r="T6136" s="108"/>
      <c r="U6136" s="110"/>
      <c r="V6136" s="110"/>
      <c r="W6136" s="110"/>
      <c r="X6136" s="110"/>
    </row>
    <row r="6137" spans="1:24" ht="14.25" customHeight="1">
      <c r="A6137" s="110"/>
      <c r="B6137" s="219"/>
      <c r="C6137" s="118"/>
      <c r="D6137" s="220"/>
      <c r="E6137" s="79"/>
      <c r="F6137" s="110"/>
      <c r="G6137" s="221"/>
      <c r="H6137" s="120"/>
      <c r="I6137" s="120"/>
      <c r="J6137" s="79"/>
      <c r="K6137" s="132"/>
      <c r="L6137" s="107"/>
      <c r="M6137" s="106"/>
      <c r="N6137" s="106"/>
      <c r="O6137" s="108"/>
      <c r="P6137" s="108"/>
      <c r="Q6137" s="108"/>
      <c r="R6137" s="109"/>
      <c r="S6137" s="109"/>
      <c r="T6137" s="108"/>
      <c r="U6137" s="110"/>
      <c r="V6137" s="110"/>
      <c r="W6137" s="110"/>
      <c r="X6137" s="110"/>
    </row>
    <row r="6138" spans="1:24" ht="14.25" customHeight="1">
      <c r="A6138" s="110"/>
      <c r="B6138" s="219"/>
      <c r="C6138" s="118"/>
      <c r="D6138" s="220"/>
      <c r="E6138" s="79"/>
      <c r="F6138" s="110"/>
      <c r="G6138" s="221"/>
      <c r="H6138" s="120"/>
      <c r="I6138" s="120"/>
      <c r="J6138" s="79"/>
      <c r="K6138" s="132"/>
      <c r="L6138" s="107"/>
      <c r="M6138" s="106"/>
      <c r="N6138" s="106"/>
      <c r="O6138" s="108"/>
      <c r="P6138" s="108"/>
      <c r="Q6138" s="108"/>
      <c r="R6138" s="109"/>
      <c r="S6138" s="109"/>
      <c r="T6138" s="108"/>
      <c r="U6138" s="110"/>
      <c r="V6138" s="110"/>
      <c r="W6138" s="110"/>
      <c r="X6138" s="110"/>
    </row>
    <row r="6139" spans="1:24" ht="14.25" customHeight="1">
      <c r="A6139" s="110"/>
      <c r="B6139" s="219"/>
      <c r="C6139" s="118"/>
      <c r="D6139" s="220"/>
      <c r="E6139" s="79"/>
      <c r="F6139" s="110"/>
      <c r="G6139" s="221"/>
      <c r="H6139" s="120"/>
      <c r="I6139" s="120"/>
      <c r="J6139" s="79"/>
      <c r="K6139" s="132"/>
      <c r="L6139" s="107"/>
      <c r="M6139" s="106"/>
      <c r="N6139" s="106"/>
      <c r="O6139" s="108"/>
      <c r="P6139" s="108"/>
      <c r="Q6139" s="108"/>
      <c r="R6139" s="109"/>
      <c r="S6139" s="109"/>
      <c r="T6139" s="108"/>
      <c r="U6139" s="110"/>
      <c r="V6139" s="110"/>
      <c r="W6139" s="110"/>
      <c r="X6139" s="110"/>
    </row>
    <row r="6140" spans="1:24" ht="14.25" customHeight="1">
      <c r="A6140" s="110"/>
      <c r="B6140" s="219"/>
      <c r="C6140" s="118"/>
      <c r="D6140" s="220"/>
      <c r="E6140" s="79"/>
      <c r="F6140" s="110"/>
      <c r="G6140" s="221"/>
      <c r="H6140" s="120"/>
      <c r="I6140" s="120"/>
      <c r="J6140" s="79"/>
      <c r="K6140" s="132"/>
      <c r="L6140" s="107"/>
      <c r="M6140" s="106"/>
      <c r="N6140" s="106"/>
      <c r="O6140" s="108"/>
      <c r="P6140" s="108"/>
      <c r="Q6140" s="108"/>
      <c r="R6140" s="109"/>
      <c r="S6140" s="109"/>
      <c r="T6140" s="108"/>
      <c r="U6140" s="110"/>
      <c r="V6140" s="110"/>
      <c r="W6140" s="110"/>
      <c r="X6140" s="110"/>
    </row>
    <row r="6141" spans="1:24" ht="14.25" customHeight="1">
      <c r="A6141" s="110"/>
      <c r="B6141" s="219"/>
      <c r="C6141" s="118"/>
      <c r="D6141" s="220"/>
      <c r="E6141" s="79"/>
      <c r="F6141" s="110"/>
      <c r="G6141" s="221"/>
      <c r="H6141" s="120"/>
      <c r="I6141" s="120"/>
      <c r="J6141" s="79"/>
      <c r="K6141" s="132"/>
      <c r="L6141" s="107"/>
      <c r="M6141" s="106"/>
      <c r="N6141" s="106"/>
      <c r="O6141" s="108"/>
      <c r="P6141" s="108"/>
      <c r="Q6141" s="108"/>
      <c r="R6141" s="109"/>
      <c r="S6141" s="109"/>
      <c r="T6141" s="108"/>
      <c r="U6141" s="110"/>
      <c r="V6141" s="110"/>
      <c r="W6141" s="110"/>
      <c r="X6141" s="110"/>
    </row>
    <row r="6142" spans="1:24" ht="14.25" customHeight="1">
      <c r="A6142" s="110"/>
      <c r="B6142" s="219"/>
      <c r="C6142" s="118"/>
      <c r="D6142" s="220"/>
      <c r="E6142" s="79"/>
      <c r="F6142" s="110"/>
      <c r="G6142" s="221"/>
      <c r="H6142" s="120"/>
      <c r="I6142" s="120"/>
      <c r="J6142" s="79"/>
      <c r="K6142" s="132"/>
      <c r="L6142" s="107"/>
      <c r="M6142" s="106"/>
      <c r="N6142" s="106"/>
      <c r="O6142" s="108"/>
      <c r="P6142" s="108"/>
      <c r="Q6142" s="108"/>
      <c r="R6142" s="109"/>
      <c r="S6142" s="109"/>
      <c r="T6142" s="108"/>
      <c r="U6142" s="110"/>
      <c r="V6142" s="110"/>
      <c r="W6142" s="110"/>
      <c r="X6142" s="110"/>
    </row>
    <row r="6143" spans="1:24" ht="14.25" customHeight="1">
      <c r="A6143" s="110"/>
      <c r="B6143" s="219"/>
      <c r="C6143" s="118"/>
      <c r="D6143" s="220"/>
      <c r="E6143" s="79"/>
      <c r="F6143" s="110"/>
      <c r="G6143" s="221"/>
      <c r="H6143" s="120"/>
      <c r="I6143" s="120"/>
      <c r="J6143" s="79"/>
      <c r="K6143" s="132"/>
      <c r="L6143" s="107"/>
      <c r="M6143" s="106"/>
      <c r="N6143" s="106"/>
      <c r="O6143" s="108"/>
      <c r="P6143" s="108"/>
      <c r="Q6143" s="108"/>
      <c r="R6143" s="109"/>
      <c r="S6143" s="109"/>
      <c r="T6143" s="108"/>
      <c r="U6143" s="110"/>
      <c r="V6143" s="110"/>
      <c r="W6143" s="110"/>
      <c r="X6143" s="110"/>
    </row>
    <row r="6144" spans="1:24" ht="14.25" customHeight="1">
      <c r="A6144" s="110"/>
      <c r="B6144" s="219"/>
      <c r="C6144" s="118"/>
      <c r="D6144" s="220"/>
      <c r="E6144" s="79"/>
      <c r="F6144" s="110"/>
      <c r="G6144" s="221"/>
      <c r="H6144" s="120"/>
      <c r="I6144" s="120"/>
      <c r="J6144" s="79"/>
      <c r="K6144" s="132"/>
      <c r="L6144" s="107"/>
      <c r="M6144" s="106"/>
      <c r="N6144" s="106"/>
      <c r="O6144" s="108"/>
      <c r="P6144" s="108"/>
      <c r="Q6144" s="108"/>
      <c r="R6144" s="109"/>
      <c r="S6144" s="109"/>
      <c r="T6144" s="108"/>
      <c r="U6144" s="110"/>
      <c r="V6144" s="110"/>
      <c r="W6144" s="110"/>
      <c r="X6144" s="110"/>
    </row>
    <row r="6145" spans="1:24" ht="14.25" customHeight="1">
      <c r="A6145" s="110"/>
      <c r="B6145" s="219"/>
      <c r="C6145" s="118"/>
      <c r="D6145" s="220"/>
      <c r="E6145" s="79"/>
      <c r="F6145" s="110"/>
      <c r="G6145" s="221"/>
      <c r="H6145" s="120"/>
      <c r="I6145" s="120"/>
      <c r="J6145" s="79"/>
      <c r="K6145" s="132"/>
      <c r="L6145" s="107"/>
      <c r="M6145" s="106"/>
      <c r="N6145" s="106"/>
      <c r="O6145" s="108"/>
      <c r="P6145" s="108"/>
      <c r="Q6145" s="108"/>
      <c r="R6145" s="109"/>
      <c r="S6145" s="109"/>
      <c r="T6145" s="108"/>
      <c r="U6145" s="110"/>
      <c r="V6145" s="110"/>
      <c r="W6145" s="110"/>
      <c r="X6145" s="110"/>
    </row>
    <row r="6146" spans="1:24" ht="14.25" customHeight="1">
      <c r="A6146" s="110"/>
      <c r="B6146" s="219"/>
      <c r="C6146" s="118"/>
      <c r="D6146" s="220"/>
      <c r="E6146" s="79"/>
      <c r="F6146" s="110"/>
      <c r="G6146" s="221"/>
      <c r="H6146" s="120"/>
      <c r="I6146" s="120"/>
      <c r="J6146" s="79"/>
      <c r="K6146" s="132"/>
      <c r="L6146" s="107"/>
      <c r="M6146" s="106"/>
      <c r="N6146" s="106"/>
      <c r="O6146" s="108"/>
      <c r="P6146" s="108"/>
      <c r="Q6146" s="108"/>
      <c r="R6146" s="109"/>
      <c r="S6146" s="109"/>
      <c r="T6146" s="108"/>
      <c r="U6146" s="110"/>
      <c r="V6146" s="110"/>
      <c r="W6146" s="110"/>
      <c r="X6146" s="110"/>
    </row>
    <row r="6147" spans="1:24" ht="14.25" customHeight="1">
      <c r="A6147" s="110"/>
      <c r="B6147" s="219"/>
      <c r="C6147" s="118"/>
      <c r="D6147" s="220"/>
      <c r="E6147" s="79"/>
      <c r="F6147" s="110"/>
      <c r="G6147" s="221"/>
      <c r="H6147" s="120"/>
      <c r="I6147" s="120"/>
      <c r="J6147" s="79"/>
      <c r="K6147" s="132"/>
      <c r="L6147" s="107"/>
      <c r="M6147" s="106"/>
      <c r="N6147" s="106"/>
      <c r="O6147" s="108"/>
      <c r="P6147" s="108"/>
      <c r="Q6147" s="108"/>
      <c r="R6147" s="109"/>
      <c r="S6147" s="109"/>
      <c r="T6147" s="108"/>
      <c r="U6147" s="110"/>
      <c r="V6147" s="110"/>
      <c r="W6147" s="110"/>
      <c r="X6147" s="110"/>
    </row>
    <row r="6148" spans="1:24" ht="14.25" customHeight="1">
      <c r="A6148" s="110"/>
      <c r="B6148" s="219"/>
      <c r="C6148" s="118"/>
      <c r="D6148" s="220"/>
      <c r="E6148" s="79"/>
      <c r="F6148" s="110"/>
      <c r="G6148" s="221"/>
      <c r="H6148" s="120"/>
      <c r="I6148" s="120"/>
      <c r="J6148" s="79"/>
      <c r="K6148" s="132"/>
      <c r="L6148" s="107"/>
      <c r="M6148" s="106"/>
      <c r="N6148" s="106"/>
      <c r="O6148" s="108"/>
      <c r="P6148" s="108"/>
      <c r="Q6148" s="108"/>
      <c r="R6148" s="109"/>
      <c r="S6148" s="109"/>
      <c r="T6148" s="108"/>
      <c r="U6148" s="110"/>
      <c r="V6148" s="110"/>
      <c r="W6148" s="110"/>
      <c r="X6148" s="110"/>
    </row>
    <row r="6149" spans="1:24" ht="14.25" customHeight="1">
      <c r="A6149" s="110"/>
      <c r="B6149" s="219"/>
      <c r="C6149" s="118"/>
      <c r="D6149" s="220"/>
      <c r="E6149" s="79"/>
      <c r="F6149" s="110"/>
      <c r="G6149" s="221"/>
      <c r="H6149" s="120"/>
      <c r="I6149" s="120"/>
      <c r="J6149" s="79"/>
      <c r="K6149" s="132"/>
      <c r="L6149" s="107"/>
      <c r="M6149" s="106"/>
      <c r="N6149" s="106"/>
      <c r="O6149" s="108"/>
      <c r="P6149" s="108"/>
      <c r="Q6149" s="108"/>
      <c r="R6149" s="109"/>
      <c r="S6149" s="109"/>
      <c r="T6149" s="108"/>
      <c r="U6149" s="110"/>
      <c r="V6149" s="110"/>
      <c r="W6149" s="110"/>
      <c r="X6149" s="110"/>
    </row>
    <row r="6150" spans="1:24" ht="14.25" customHeight="1">
      <c r="A6150" s="110"/>
      <c r="B6150" s="219"/>
      <c r="C6150" s="118"/>
      <c r="D6150" s="220"/>
      <c r="E6150" s="79"/>
      <c r="F6150" s="110"/>
      <c r="G6150" s="221"/>
      <c r="H6150" s="120"/>
      <c r="I6150" s="120"/>
      <c r="J6150" s="79"/>
      <c r="K6150" s="132"/>
      <c r="L6150" s="107"/>
      <c r="M6150" s="106"/>
      <c r="N6150" s="106"/>
      <c r="O6150" s="108"/>
      <c r="P6150" s="108"/>
      <c r="Q6150" s="108"/>
      <c r="R6150" s="109"/>
      <c r="S6150" s="109"/>
      <c r="T6150" s="108"/>
      <c r="U6150" s="110"/>
      <c r="V6150" s="110"/>
      <c r="W6150" s="110"/>
      <c r="X6150" s="110"/>
    </row>
    <row r="6151" spans="1:24" ht="14.25" customHeight="1">
      <c r="A6151" s="110"/>
      <c r="B6151" s="219"/>
      <c r="C6151" s="118"/>
      <c r="D6151" s="220"/>
      <c r="E6151" s="79"/>
      <c r="F6151" s="110"/>
      <c r="G6151" s="221"/>
      <c r="H6151" s="120"/>
      <c r="I6151" s="120"/>
      <c r="J6151" s="79"/>
      <c r="K6151" s="132"/>
      <c r="L6151" s="107"/>
      <c r="M6151" s="106"/>
      <c r="N6151" s="106"/>
      <c r="O6151" s="108"/>
      <c r="P6151" s="108"/>
      <c r="Q6151" s="108"/>
      <c r="R6151" s="109"/>
      <c r="S6151" s="109"/>
      <c r="T6151" s="108"/>
      <c r="U6151" s="110"/>
      <c r="V6151" s="110"/>
      <c r="W6151" s="110"/>
      <c r="X6151" s="110"/>
    </row>
    <row r="6152" spans="1:24" ht="14.25" customHeight="1">
      <c r="A6152" s="110"/>
      <c r="B6152" s="219"/>
      <c r="C6152" s="118"/>
      <c r="D6152" s="220"/>
      <c r="E6152" s="79"/>
      <c r="F6152" s="110"/>
      <c r="G6152" s="221"/>
      <c r="H6152" s="120"/>
      <c r="I6152" s="120"/>
      <c r="J6152" s="79"/>
      <c r="K6152" s="132"/>
      <c r="L6152" s="107"/>
      <c r="M6152" s="106"/>
      <c r="N6152" s="106"/>
      <c r="O6152" s="108"/>
      <c r="P6152" s="108"/>
      <c r="Q6152" s="108"/>
      <c r="R6152" s="109"/>
      <c r="S6152" s="109"/>
      <c r="T6152" s="108"/>
      <c r="U6152" s="110"/>
      <c r="V6152" s="110"/>
      <c r="W6152" s="110"/>
      <c r="X6152" s="110"/>
    </row>
    <row r="6153" spans="1:24" ht="14.25" customHeight="1">
      <c r="A6153" s="110"/>
      <c r="B6153" s="219"/>
      <c r="C6153" s="118"/>
      <c r="D6153" s="220"/>
      <c r="E6153" s="79"/>
      <c r="F6153" s="110"/>
      <c r="G6153" s="221"/>
      <c r="H6153" s="120"/>
      <c r="I6153" s="120"/>
      <c r="J6153" s="79"/>
      <c r="K6153" s="132"/>
      <c r="L6153" s="107"/>
      <c r="M6153" s="106"/>
      <c r="N6153" s="106"/>
      <c r="O6153" s="108"/>
      <c r="P6153" s="108"/>
      <c r="Q6153" s="108"/>
      <c r="R6153" s="109"/>
      <c r="S6153" s="109"/>
      <c r="T6153" s="108"/>
      <c r="U6153" s="110"/>
      <c r="V6153" s="110"/>
      <c r="W6153" s="110"/>
      <c r="X6153" s="110"/>
    </row>
    <row r="6154" spans="1:24" ht="14.25" customHeight="1">
      <c r="A6154" s="110"/>
      <c r="B6154" s="219"/>
      <c r="C6154" s="118"/>
      <c r="D6154" s="220"/>
      <c r="E6154" s="79"/>
      <c r="F6154" s="110"/>
      <c r="G6154" s="221"/>
      <c r="H6154" s="120"/>
      <c r="I6154" s="120"/>
      <c r="J6154" s="79"/>
      <c r="K6154" s="132"/>
      <c r="L6154" s="107"/>
      <c r="M6154" s="106"/>
      <c r="N6154" s="106"/>
      <c r="O6154" s="108"/>
      <c r="P6154" s="108"/>
      <c r="Q6154" s="108"/>
      <c r="R6154" s="109"/>
      <c r="S6154" s="109"/>
      <c r="T6154" s="108"/>
      <c r="U6154" s="110"/>
      <c r="V6154" s="110"/>
      <c r="W6154" s="110"/>
      <c r="X6154" s="110"/>
    </row>
    <row r="6155" spans="1:24" ht="14.25" customHeight="1">
      <c r="A6155" s="110"/>
      <c r="B6155" s="219"/>
      <c r="C6155" s="118"/>
      <c r="D6155" s="220"/>
      <c r="E6155" s="79"/>
      <c r="F6155" s="110"/>
      <c r="G6155" s="221"/>
      <c r="H6155" s="120"/>
      <c r="I6155" s="120"/>
      <c r="J6155" s="79"/>
      <c r="K6155" s="132"/>
      <c r="L6155" s="107"/>
      <c r="M6155" s="106"/>
      <c r="N6155" s="106"/>
      <c r="O6155" s="108"/>
      <c r="P6155" s="108"/>
      <c r="Q6155" s="108"/>
      <c r="R6155" s="109"/>
      <c r="S6155" s="109"/>
      <c r="T6155" s="108"/>
      <c r="U6155" s="110"/>
      <c r="V6155" s="110"/>
      <c r="W6155" s="110"/>
      <c r="X6155" s="110"/>
    </row>
    <row r="6156" spans="1:24" ht="14.25" customHeight="1">
      <c r="A6156" s="110"/>
      <c r="B6156" s="219"/>
      <c r="C6156" s="118"/>
      <c r="D6156" s="220"/>
      <c r="E6156" s="79"/>
      <c r="F6156" s="110"/>
      <c r="G6156" s="221"/>
      <c r="H6156" s="120"/>
      <c r="I6156" s="120"/>
      <c r="J6156" s="79"/>
      <c r="K6156" s="132"/>
      <c r="L6156" s="107"/>
      <c r="M6156" s="106"/>
      <c r="N6156" s="106"/>
      <c r="O6156" s="108"/>
      <c r="P6156" s="108"/>
      <c r="Q6156" s="108"/>
      <c r="R6156" s="109"/>
      <c r="S6156" s="109"/>
      <c r="T6156" s="108"/>
      <c r="U6156" s="110"/>
      <c r="V6156" s="110"/>
      <c r="W6156" s="110"/>
      <c r="X6156" s="110"/>
    </row>
    <row r="6157" spans="1:24" ht="14.25" customHeight="1">
      <c r="A6157" s="110"/>
      <c r="B6157" s="219"/>
      <c r="C6157" s="118"/>
      <c r="D6157" s="220"/>
      <c r="E6157" s="79"/>
      <c r="F6157" s="110"/>
      <c r="G6157" s="221"/>
      <c r="H6157" s="120"/>
      <c r="I6157" s="120"/>
      <c r="J6157" s="79"/>
      <c r="K6157" s="132"/>
      <c r="L6157" s="107"/>
      <c r="M6157" s="106"/>
      <c r="N6157" s="106"/>
      <c r="O6157" s="108"/>
      <c r="P6157" s="108"/>
      <c r="Q6157" s="108"/>
      <c r="R6157" s="109"/>
      <c r="S6157" s="109"/>
      <c r="T6157" s="108"/>
      <c r="U6157" s="110"/>
      <c r="V6157" s="110"/>
      <c r="W6157" s="110"/>
      <c r="X6157" s="110"/>
    </row>
    <row r="6158" spans="1:24" ht="14.25" customHeight="1">
      <c r="A6158" s="110"/>
      <c r="B6158" s="219"/>
      <c r="C6158" s="118"/>
      <c r="D6158" s="220"/>
      <c r="E6158" s="79"/>
      <c r="F6158" s="110"/>
      <c r="G6158" s="221"/>
      <c r="H6158" s="120"/>
      <c r="I6158" s="120"/>
      <c r="J6158" s="79"/>
      <c r="K6158" s="132"/>
      <c r="L6158" s="107"/>
      <c r="M6158" s="106"/>
      <c r="N6158" s="106"/>
      <c r="O6158" s="108"/>
      <c r="P6158" s="108"/>
      <c r="Q6158" s="108"/>
      <c r="R6158" s="109"/>
      <c r="S6158" s="109"/>
      <c r="T6158" s="108"/>
      <c r="U6158" s="110"/>
      <c r="V6158" s="110"/>
      <c r="W6158" s="110"/>
      <c r="X6158" s="110"/>
    </row>
    <row r="6159" spans="1:24" ht="14.25" customHeight="1">
      <c r="A6159" s="110"/>
      <c r="B6159" s="219"/>
      <c r="C6159" s="118"/>
      <c r="D6159" s="220"/>
      <c r="E6159" s="79"/>
      <c r="F6159" s="110"/>
      <c r="G6159" s="221"/>
      <c r="H6159" s="120"/>
      <c r="I6159" s="120"/>
      <c r="J6159" s="79"/>
      <c r="K6159" s="132"/>
      <c r="L6159" s="107"/>
      <c r="M6159" s="106"/>
      <c r="N6159" s="106"/>
      <c r="O6159" s="108"/>
      <c r="P6159" s="108"/>
      <c r="Q6159" s="108"/>
      <c r="R6159" s="109"/>
      <c r="S6159" s="109"/>
      <c r="T6159" s="108"/>
      <c r="U6159" s="110"/>
      <c r="V6159" s="110"/>
      <c r="W6159" s="110"/>
      <c r="X6159" s="110"/>
    </row>
    <row r="6160" spans="1:24" ht="14.25" customHeight="1">
      <c r="A6160" s="110"/>
      <c r="B6160" s="219"/>
      <c r="C6160" s="118"/>
      <c r="D6160" s="220"/>
      <c r="E6160" s="79"/>
      <c r="F6160" s="110"/>
      <c r="G6160" s="221"/>
      <c r="H6160" s="120"/>
      <c r="I6160" s="120"/>
      <c r="J6160" s="79"/>
      <c r="K6160" s="132"/>
      <c r="L6160" s="107"/>
      <c r="M6160" s="106"/>
      <c r="N6160" s="106"/>
      <c r="O6160" s="108"/>
      <c r="P6160" s="108"/>
      <c r="Q6160" s="108"/>
      <c r="R6160" s="109"/>
      <c r="S6160" s="109"/>
      <c r="T6160" s="108"/>
      <c r="U6160" s="110"/>
      <c r="V6160" s="110"/>
      <c r="W6160" s="110"/>
      <c r="X6160" s="110"/>
    </row>
    <row r="6161" spans="1:24" ht="14.25" customHeight="1">
      <c r="A6161" s="110"/>
      <c r="B6161" s="219"/>
      <c r="C6161" s="118"/>
      <c r="D6161" s="220"/>
      <c r="E6161" s="79"/>
      <c r="F6161" s="110"/>
      <c r="G6161" s="221"/>
      <c r="H6161" s="120"/>
      <c r="I6161" s="120"/>
      <c r="J6161" s="79"/>
      <c r="K6161" s="132"/>
      <c r="L6161" s="107"/>
      <c r="M6161" s="106"/>
      <c r="N6161" s="106"/>
      <c r="O6161" s="108"/>
      <c r="P6161" s="108"/>
      <c r="Q6161" s="108"/>
      <c r="R6161" s="109"/>
      <c r="S6161" s="109"/>
      <c r="T6161" s="108"/>
      <c r="U6161" s="110"/>
      <c r="V6161" s="110"/>
      <c r="W6161" s="110"/>
      <c r="X6161" s="110"/>
    </row>
    <row r="6162" spans="1:24" ht="14.25" customHeight="1">
      <c r="A6162" s="110"/>
      <c r="B6162" s="219"/>
      <c r="C6162" s="118"/>
      <c r="D6162" s="220"/>
      <c r="E6162" s="79"/>
      <c r="F6162" s="110"/>
      <c r="G6162" s="221"/>
      <c r="H6162" s="120"/>
      <c r="I6162" s="120"/>
      <c r="J6162" s="79"/>
      <c r="K6162" s="132"/>
      <c r="L6162" s="107"/>
      <c r="M6162" s="106"/>
      <c r="N6162" s="106"/>
      <c r="O6162" s="108"/>
      <c r="P6162" s="108"/>
      <c r="Q6162" s="108"/>
      <c r="R6162" s="109"/>
      <c r="S6162" s="109"/>
      <c r="T6162" s="108"/>
      <c r="U6162" s="110"/>
      <c r="V6162" s="110"/>
      <c r="W6162" s="110"/>
      <c r="X6162" s="110"/>
    </row>
    <row r="6163" spans="1:24" ht="14.25" customHeight="1">
      <c r="A6163" s="110"/>
      <c r="B6163" s="219"/>
      <c r="C6163" s="118"/>
      <c r="D6163" s="220"/>
      <c r="E6163" s="79"/>
      <c r="F6163" s="110"/>
      <c r="G6163" s="221"/>
      <c r="H6163" s="120"/>
      <c r="I6163" s="120"/>
      <c r="J6163" s="79"/>
      <c r="K6163" s="132"/>
      <c r="L6163" s="107"/>
      <c r="M6163" s="106"/>
      <c r="N6163" s="106"/>
      <c r="O6163" s="108"/>
      <c r="P6163" s="108"/>
      <c r="Q6163" s="108"/>
      <c r="R6163" s="109"/>
      <c r="S6163" s="109"/>
      <c r="T6163" s="108"/>
      <c r="U6163" s="110"/>
      <c r="V6163" s="110"/>
      <c r="W6163" s="110"/>
      <c r="X6163" s="110"/>
    </row>
    <row r="6164" spans="1:24" ht="14.25" customHeight="1">
      <c r="A6164" s="110"/>
      <c r="B6164" s="219"/>
      <c r="C6164" s="118"/>
      <c r="D6164" s="220"/>
      <c r="E6164" s="79"/>
      <c r="F6164" s="110"/>
      <c r="G6164" s="221"/>
      <c r="H6164" s="120"/>
      <c r="I6164" s="120"/>
      <c r="J6164" s="79"/>
      <c r="K6164" s="132"/>
      <c r="L6164" s="107"/>
      <c r="M6164" s="106"/>
      <c r="N6164" s="106"/>
      <c r="O6164" s="108"/>
      <c r="P6164" s="108"/>
      <c r="Q6164" s="108"/>
      <c r="R6164" s="109"/>
      <c r="S6164" s="109"/>
      <c r="T6164" s="108"/>
      <c r="U6164" s="110"/>
      <c r="V6164" s="110"/>
      <c r="W6164" s="110"/>
      <c r="X6164" s="110"/>
    </row>
    <row r="6165" spans="1:24" ht="14.25" customHeight="1">
      <c r="A6165" s="110"/>
      <c r="B6165" s="219"/>
      <c r="C6165" s="118"/>
      <c r="D6165" s="220"/>
      <c r="E6165" s="79"/>
      <c r="F6165" s="110"/>
      <c r="G6165" s="221"/>
      <c r="H6165" s="120"/>
      <c r="I6165" s="120"/>
      <c r="J6165" s="79"/>
      <c r="K6165" s="132"/>
      <c r="L6165" s="107"/>
      <c r="M6165" s="106"/>
      <c r="N6165" s="106"/>
      <c r="O6165" s="108"/>
      <c r="P6165" s="108"/>
      <c r="Q6165" s="108"/>
      <c r="R6165" s="109"/>
      <c r="S6165" s="109"/>
      <c r="T6165" s="108"/>
      <c r="U6165" s="110"/>
      <c r="V6165" s="110"/>
      <c r="W6165" s="110"/>
      <c r="X6165" s="110"/>
    </row>
    <row r="6166" spans="1:24" ht="14.25" customHeight="1">
      <c r="A6166" s="110"/>
      <c r="B6166" s="219"/>
      <c r="C6166" s="118"/>
      <c r="D6166" s="220"/>
      <c r="E6166" s="79"/>
      <c r="F6166" s="110"/>
      <c r="G6166" s="221"/>
      <c r="H6166" s="120"/>
      <c r="I6166" s="120"/>
      <c r="J6166" s="79"/>
      <c r="K6166" s="132"/>
      <c r="L6166" s="107"/>
      <c r="M6166" s="106"/>
      <c r="N6166" s="106"/>
      <c r="O6166" s="108"/>
      <c r="P6166" s="108"/>
      <c r="Q6166" s="108"/>
      <c r="R6166" s="109"/>
      <c r="S6166" s="109"/>
      <c r="T6166" s="108"/>
      <c r="U6166" s="110"/>
      <c r="V6166" s="110"/>
      <c r="W6166" s="110"/>
      <c r="X6166" s="110"/>
    </row>
    <row r="6167" spans="1:24" ht="14.25" customHeight="1">
      <c r="A6167" s="110"/>
      <c r="B6167" s="219"/>
      <c r="C6167" s="118"/>
      <c r="D6167" s="220"/>
      <c r="E6167" s="79"/>
      <c r="F6167" s="110"/>
      <c r="G6167" s="221"/>
      <c r="H6167" s="120"/>
      <c r="I6167" s="120"/>
      <c r="J6167" s="79"/>
      <c r="K6167" s="132"/>
      <c r="L6167" s="107"/>
      <c r="M6167" s="106"/>
      <c r="N6167" s="106"/>
      <c r="O6167" s="108"/>
      <c r="P6167" s="108"/>
      <c r="Q6167" s="108"/>
      <c r="R6167" s="109"/>
      <c r="S6167" s="109"/>
      <c r="T6167" s="108"/>
      <c r="U6167" s="110"/>
      <c r="V6167" s="110"/>
      <c r="W6167" s="110"/>
      <c r="X6167" s="110"/>
    </row>
    <row r="6168" spans="1:24" ht="14.25" customHeight="1">
      <c r="A6168" s="110"/>
      <c r="B6168" s="219"/>
      <c r="C6168" s="118"/>
      <c r="D6168" s="220"/>
      <c r="E6168" s="79"/>
      <c r="F6168" s="110"/>
      <c r="G6168" s="221"/>
      <c r="H6168" s="120"/>
      <c r="I6168" s="120"/>
      <c r="J6168" s="79"/>
      <c r="K6168" s="132"/>
      <c r="L6168" s="107"/>
      <c r="M6168" s="106"/>
      <c r="N6168" s="106"/>
      <c r="O6168" s="108"/>
      <c r="P6168" s="108"/>
      <c r="Q6168" s="108"/>
      <c r="R6168" s="109"/>
      <c r="S6168" s="109"/>
      <c r="T6168" s="108"/>
      <c r="U6168" s="110"/>
      <c r="V6168" s="110"/>
      <c r="W6168" s="110"/>
      <c r="X6168" s="110"/>
    </row>
    <row r="6169" spans="1:24" ht="14.25" customHeight="1">
      <c r="A6169" s="110"/>
      <c r="B6169" s="219"/>
      <c r="C6169" s="118"/>
      <c r="D6169" s="220"/>
      <c r="E6169" s="79"/>
      <c r="F6169" s="110"/>
      <c r="G6169" s="221"/>
      <c r="H6169" s="120"/>
      <c r="I6169" s="120"/>
      <c r="J6169" s="79"/>
      <c r="K6169" s="132"/>
      <c r="L6169" s="107"/>
      <c r="M6169" s="106"/>
      <c r="N6169" s="106"/>
      <c r="O6169" s="108"/>
      <c r="P6169" s="108"/>
      <c r="Q6169" s="108"/>
      <c r="R6169" s="109"/>
      <c r="S6169" s="109"/>
      <c r="T6169" s="108"/>
      <c r="U6169" s="110"/>
      <c r="V6169" s="110"/>
      <c r="W6169" s="110"/>
      <c r="X6169" s="110"/>
    </row>
    <row r="6170" spans="1:24" ht="14.25" customHeight="1">
      <c r="A6170" s="110"/>
      <c r="B6170" s="219"/>
      <c r="C6170" s="118"/>
      <c r="D6170" s="220"/>
      <c r="E6170" s="79"/>
      <c r="F6170" s="110"/>
      <c r="G6170" s="221"/>
      <c r="H6170" s="120"/>
      <c r="I6170" s="120"/>
      <c r="J6170" s="79"/>
      <c r="K6170" s="132"/>
      <c r="L6170" s="107"/>
      <c r="M6170" s="106"/>
      <c r="N6170" s="106"/>
      <c r="O6170" s="108"/>
      <c r="P6170" s="108"/>
      <c r="Q6170" s="108"/>
      <c r="R6170" s="109"/>
      <c r="S6170" s="109"/>
      <c r="T6170" s="108"/>
      <c r="U6170" s="110"/>
      <c r="V6170" s="110"/>
      <c r="W6170" s="110"/>
      <c r="X6170" s="110"/>
    </row>
    <row r="6171" spans="1:24" ht="14.25" customHeight="1">
      <c r="A6171" s="110"/>
      <c r="B6171" s="219"/>
      <c r="C6171" s="118"/>
      <c r="D6171" s="220"/>
      <c r="E6171" s="79"/>
      <c r="F6171" s="110"/>
      <c r="G6171" s="221"/>
      <c r="H6171" s="120"/>
      <c r="I6171" s="120"/>
      <c r="J6171" s="79"/>
      <c r="K6171" s="132"/>
      <c r="L6171" s="107"/>
      <c r="M6171" s="106"/>
      <c r="N6171" s="106"/>
      <c r="O6171" s="108"/>
      <c r="P6171" s="108"/>
      <c r="Q6171" s="108"/>
      <c r="R6171" s="109"/>
      <c r="S6171" s="109"/>
      <c r="T6171" s="108"/>
      <c r="U6171" s="110"/>
      <c r="V6171" s="110"/>
      <c r="W6171" s="110"/>
      <c r="X6171" s="110"/>
    </row>
    <row r="6172" spans="1:24" ht="14.25" customHeight="1">
      <c r="A6172" s="110"/>
      <c r="B6172" s="219"/>
      <c r="C6172" s="118"/>
      <c r="D6172" s="220"/>
      <c r="E6172" s="79"/>
      <c r="F6172" s="110"/>
      <c r="G6172" s="221"/>
      <c r="H6172" s="120"/>
      <c r="I6172" s="120"/>
      <c r="J6172" s="79"/>
      <c r="K6172" s="132"/>
      <c r="L6172" s="107"/>
      <c r="M6172" s="106"/>
      <c r="N6172" s="106"/>
      <c r="O6172" s="108"/>
      <c r="P6172" s="108"/>
      <c r="Q6172" s="108"/>
      <c r="R6172" s="109"/>
      <c r="S6172" s="109"/>
      <c r="T6172" s="108"/>
      <c r="U6172" s="110"/>
      <c r="V6172" s="110"/>
      <c r="W6172" s="110"/>
      <c r="X6172" s="110"/>
    </row>
    <row r="6173" spans="1:24" ht="14.25" customHeight="1">
      <c r="A6173" s="110"/>
      <c r="B6173" s="219"/>
      <c r="C6173" s="118"/>
      <c r="D6173" s="220"/>
      <c r="E6173" s="79"/>
      <c r="F6173" s="110"/>
      <c r="G6173" s="221"/>
      <c r="H6173" s="120"/>
      <c r="I6173" s="120"/>
      <c r="J6173" s="79"/>
      <c r="K6173" s="132"/>
      <c r="L6173" s="107"/>
      <c r="M6173" s="106"/>
      <c r="N6173" s="106"/>
      <c r="O6173" s="108"/>
      <c r="P6173" s="108"/>
      <c r="Q6173" s="108"/>
      <c r="R6173" s="109"/>
      <c r="S6173" s="109"/>
      <c r="T6173" s="108"/>
      <c r="U6173" s="110"/>
      <c r="V6173" s="110"/>
      <c r="W6173" s="110"/>
      <c r="X6173" s="110"/>
    </row>
    <row r="6174" spans="1:24" ht="14.25" customHeight="1">
      <c r="A6174" s="110"/>
      <c r="B6174" s="219"/>
      <c r="C6174" s="118"/>
      <c r="D6174" s="220"/>
      <c r="E6174" s="79"/>
      <c r="F6174" s="110"/>
      <c r="G6174" s="221"/>
      <c r="H6174" s="120"/>
      <c r="I6174" s="120"/>
      <c r="J6174" s="79"/>
      <c r="K6174" s="132"/>
      <c r="L6174" s="107"/>
      <c r="M6174" s="106"/>
      <c r="N6174" s="106"/>
      <c r="O6174" s="108"/>
      <c r="P6174" s="108"/>
      <c r="Q6174" s="108"/>
      <c r="R6174" s="109"/>
      <c r="S6174" s="109"/>
      <c r="T6174" s="108"/>
      <c r="U6174" s="110"/>
      <c r="V6174" s="110"/>
      <c r="W6174" s="110"/>
      <c r="X6174" s="110"/>
    </row>
    <row r="6175" spans="1:24" ht="14.25" customHeight="1">
      <c r="A6175" s="110"/>
      <c r="B6175" s="219"/>
      <c r="C6175" s="118"/>
      <c r="D6175" s="220"/>
      <c r="E6175" s="79"/>
      <c r="F6175" s="110"/>
      <c r="G6175" s="221"/>
      <c r="H6175" s="120"/>
      <c r="I6175" s="120"/>
      <c r="J6175" s="79"/>
      <c r="K6175" s="132"/>
      <c r="L6175" s="107"/>
      <c r="M6175" s="106"/>
      <c r="N6175" s="106"/>
      <c r="O6175" s="108"/>
      <c r="P6175" s="108"/>
      <c r="Q6175" s="108"/>
      <c r="R6175" s="109"/>
      <c r="S6175" s="109"/>
      <c r="T6175" s="108"/>
      <c r="U6175" s="110"/>
      <c r="V6175" s="110"/>
      <c r="W6175" s="110"/>
      <c r="X6175" s="110"/>
    </row>
    <row r="6176" spans="1:24" ht="14.25" customHeight="1">
      <c r="A6176" s="110"/>
      <c r="B6176" s="219"/>
      <c r="C6176" s="118"/>
      <c r="D6176" s="220"/>
      <c r="E6176" s="79"/>
      <c r="F6176" s="110"/>
      <c r="G6176" s="221"/>
      <c r="H6176" s="120"/>
      <c r="I6176" s="120"/>
      <c r="J6176" s="79"/>
      <c r="K6176" s="132"/>
      <c r="L6176" s="107"/>
      <c r="M6176" s="106"/>
      <c r="N6176" s="106"/>
      <c r="O6176" s="108"/>
      <c r="P6176" s="108"/>
      <c r="Q6176" s="108"/>
      <c r="R6176" s="109"/>
      <c r="S6176" s="109"/>
      <c r="T6176" s="108"/>
      <c r="U6176" s="110"/>
      <c r="V6176" s="110"/>
      <c r="W6176" s="110"/>
      <c r="X6176" s="110"/>
    </row>
    <row r="6177" spans="1:24" ht="14.25" customHeight="1">
      <c r="A6177" s="110"/>
      <c r="B6177" s="219"/>
      <c r="C6177" s="118"/>
      <c r="D6177" s="220"/>
      <c r="E6177" s="79"/>
      <c r="F6177" s="110"/>
      <c r="G6177" s="221"/>
      <c r="H6177" s="120"/>
      <c r="I6177" s="120"/>
      <c r="J6177" s="79"/>
      <c r="K6177" s="132"/>
      <c r="L6177" s="107"/>
      <c r="M6177" s="106"/>
      <c r="N6177" s="106"/>
      <c r="O6177" s="108"/>
      <c r="P6177" s="108"/>
      <c r="Q6177" s="108"/>
      <c r="R6177" s="109"/>
      <c r="S6177" s="109"/>
      <c r="T6177" s="108"/>
      <c r="U6177" s="110"/>
      <c r="V6177" s="110"/>
      <c r="W6177" s="110"/>
      <c r="X6177" s="110"/>
    </row>
    <row r="6178" spans="1:24" ht="14.25" customHeight="1">
      <c r="A6178" s="110"/>
      <c r="B6178" s="219"/>
      <c r="C6178" s="118"/>
      <c r="D6178" s="220"/>
      <c r="E6178" s="79"/>
      <c r="F6178" s="110"/>
      <c r="G6178" s="221"/>
      <c r="H6178" s="120"/>
      <c r="I6178" s="120"/>
      <c r="J6178" s="79"/>
      <c r="K6178" s="132"/>
      <c r="L6178" s="107"/>
      <c r="M6178" s="106"/>
      <c r="N6178" s="106"/>
      <c r="O6178" s="108"/>
      <c r="P6178" s="108"/>
      <c r="Q6178" s="108"/>
      <c r="R6178" s="109"/>
      <c r="S6178" s="109"/>
      <c r="T6178" s="108"/>
      <c r="U6178" s="110"/>
      <c r="V6178" s="110"/>
      <c r="W6178" s="110"/>
      <c r="X6178" s="110"/>
    </row>
    <row r="6179" spans="1:24" ht="14.25" customHeight="1">
      <c r="A6179" s="110"/>
      <c r="B6179" s="219"/>
      <c r="C6179" s="118"/>
      <c r="D6179" s="220"/>
      <c r="E6179" s="79"/>
      <c r="F6179" s="110"/>
      <c r="G6179" s="221"/>
      <c r="H6179" s="120"/>
      <c r="I6179" s="120"/>
      <c r="J6179" s="79"/>
      <c r="K6179" s="132"/>
      <c r="L6179" s="107"/>
      <c r="M6179" s="106"/>
      <c r="N6179" s="106"/>
      <c r="O6179" s="108"/>
      <c r="P6179" s="108"/>
      <c r="Q6179" s="108"/>
      <c r="R6179" s="109"/>
      <c r="S6179" s="109"/>
      <c r="T6179" s="108"/>
      <c r="U6179" s="110"/>
      <c r="V6179" s="110"/>
      <c r="W6179" s="110"/>
      <c r="X6179" s="110"/>
    </row>
    <row r="6180" spans="1:24" ht="14.25" customHeight="1">
      <c r="A6180" s="110"/>
      <c r="B6180" s="219"/>
      <c r="C6180" s="118"/>
      <c r="D6180" s="220"/>
      <c r="E6180" s="79"/>
      <c r="F6180" s="110"/>
      <c r="G6180" s="221"/>
      <c r="H6180" s="120"/>
      <c r="I6180" s="120"/>
      <c r="J6180" s="79"/>
      <c r="K6180" s="132"/>
      <c r="L6180" s="107"/>
      <c r="M6180" s="106"/>
      <c r="N6180" s="106"/>
      <c r="O6180" s="108"/>
      <c r="P6180" s="108"/>
      <c r="Q6180" s="108"/>
      <c r="R6180" s="109"/>
      <c r="S6180" s="109"/>
      <c r="T6180" s="108"/>
      <c r="U6180" s="110"/>
      <c r="V6180" s="110"/>
      <c r="W6180" s="110"/>
      <c r="X6180" s="110"/>
    </row>
    <row r="6181" spans="1:24" ht="14.25" customHeight="1">
      <c r="A6181" s="110"/>
      <c r="B6181" s="219"/>
      <c r="C6181" s="118"/>
      <c r="D6181" s="220"/>
      <c r="E6181" s="79"/>
      <c r="F6181" s="110"/>
      <c r="G6181" s="221"/>
      <c r="H6181" s="120"/>
      <c r="I6181" s="120"/>
      <c r="J6181" s="79"/>
      <c r="K6181" s="132"/>
      <c r="L6181" s="107"/>
      <c r="M6181" s="106"/>
      <c r="N6181" s="106"/>
      <c r="O6181" s="108"/>
      <c r="P6181" s="108"/>
      <c r="Q6181" s="108"/>
      <c r="R6181" s="109"/>
      <c r="S6181" s="109"/>
      <c r="T6181" s="108"/>
      <c r="U6181" s="110"/>
      <c r="V6181" s="110"/>
      <c r="W6181" s="110"/>
      <c r="X6181" s="110"/>
    </row>
    <row r="6182" spans="1:24" ht="14.25" customHeight="1">
      <c r="A6182" s="110"/>
      <c r="B6182" s="219"/>
      <c r="C6182" s="118"/>
      <c r="D6182" s="220"/>
      <c r="E6182" s="79"/>
      <c r="F6182" s="110"/>
      <c r="G6182" s="221"/>
      <c r="H6182" s="120"/>
      <c r="I6182" s="120"/>
      <c r="J6182" s="79"/>
      <c r="K6182" s="132"/>
      <c r="L6182" s="107"/>
      <c r="M6182" s="106"/>
      <c r="N6182" s="106"/>
      <c r="O6182" s="108"/>
      <c r="P6182" s="108"/>
      <c r="Q6182" s="108"/>
      <c r="R6182" s="109"/>
      <c r="S6182" s="109"/>
      <c r="T6182" s="108"/>
      <c r="U6182" s="110"/>
      <c r="V6182" s="110"/>
      <c r="W6182" s="110"/>
      <c r="X6182" s="110"/>
    </row>
    <row r="6183" spans="1:24" ht="14.25" customHeight="1">
      <c r="A6183" s="110"/>
      <c r="B6183" s="219"/>
      <c r="C6183" s="118"/>
      <c r="D6183" s="220"/>
      <c r="E6183" s="79"/>
      <c r="F6183" s="110"/>
      <c r="G6183" s="221"/>
      <c r="H6183" s="120"/>
      <c r="I6183" s="120"/>
      <c r="J6183" s="79"/>
      <c r="K6183" s="132"/>
      <c r="L6183" s="107"/>
      <c r="M6183" s="106"/>
      <c r="N6183" s="106"/>
      <c r="O6183" s="108"/>
      <c r="P6183" s="108"/>
      <c r="Q6183" s="108"/>
      <c r="R6183" s="109"/>
      <c r="S6183" s="109"/>
      <c r="T6183" s="108"/>
      <c r="U6183" s="110"/>
      <c r="V6183" s="110"/>
      <c r="W6183" s="110"/>
      <c r="X6183" s="110"/>
    </row>
    <row r="6184" spans="1:24" ht="14.25" customHeight="1">
      <c r="A6184" s="110"/>
      <c r="B6184" s="219"/>
      <c r="C6184" s="118"/>
      <c r="D6184" s="220"/>
      <c r="E6184" s="79"/>
      <c r="F6184" s="110"/>
      <c r="G6184" s="221"/>
      <c r="H6184" s="120"/>
      <c r="I6184" s="120"/>
      <c r="J6184" s="79"/>
      <c r="K6184" s="132"/>
      <c r="L6184" s="107"/>
      <c r="M6184" s="106"/>
      <c r="N6184" s="106"/>
      <c r="O6184" s="108"/>
      <c r="P6184" s="108"/>
      <c r="Q6184" s="108"/>
      <c r="R6184" s="109"/>
      <c r="S6184" s="109"/>
      <c r="T6184" s="108"/>
      <c r="U6184" s="110"/>
      <c r="V6184" s="110"/>
      <c r="W6184" s="110"/>
      <c r="X6184" s="110"/>
    </row>
    <row r="6185" spans="1:24" ht="14.25" customHeight="1">
      <c r="A6185" s="110"/>
      <c r="B6185" s="219"/>
      <c r="C6185" s="118"/>
      <c r="D6185" s="220"/>
      <c r="E6185" s="79"/>
      <c r="F6185" s="110"/>
      <c r="G6185" s="221"/>
      <c r="H6185" s="120"/>
      <c r="I6185" s="120"/>
      <c r="J6185" s="79"/>
      <c r="K6185" s="132"/>
      <c r="L6185" s="107"/>
      <c r="M6185" s="106"/>
      <c r="N6185" s="106"/>
      <c r="O6185" s="108"/>
      <c r="P6185" s="108"/>
      <c r="Q6185" s="108"/>
      <c r="R6185" s="109"/>
      <c r="S6185" s="109"/>
      <c r="T6185" s="108"/>
      <c r="U6185" s="110"/>
      <c r="V6185" s="110"/>
      <c r="W6185" s="110"/>
      <c r="X6185" s="110"/>
    </row>
    <row r="6186" spans="1:24" ht="14.25" customHeight="1">
      <c r="A6186" s="110"/>
      <c r="B6186" s="219"/>
      <c r="C6186" s="118"/>
      <c r="D6186" s="220"/>
      <c r="E6186" s="79"/>
      <c r="F6186" s="110"/>
      <c r="G6186" s="221"/>
      <c r="H6186" s="120"/>
      <c r="I6186" s="120"/>
      <c r="J6186" s="79"/>
      <c r="K6186" s="132"/>
      <c r="L6186" s="107"/>
      <c r="M6186" s="106"/>
      <c r="N6186" s="106"/>
      <c r="O6186" s="108"/>
      <c r="P6186" s="108"/>
      <c r="Q6186" s="108"/>
      <c r="R6186" s="109"/>
      <c r="S6186" s="109"/>
      <c r="T6186" s="108"/>
      <c r="U6186" s="110"/>
      <c r="V6186" s="110"/>
      <c r="W6186" s="110"/>
      <c r="X6186" s="110"/>
    </row>
    <row r="6187" spans="1:24" ht="14.25" customHeight="1">
      <c r="A6187" s="110"/>
      <c r="B6187" s="219"/>
      <c r="C6187" s="118"/>
      <c r="D6187" s="220"/>
      <c r="E6187" s="79"/>
      <c r="F6187" s="110"/>
      <c r="G6187" s="221"/>
      <c r="H6187" s="120"/>
      <c r="I6187" s="120"/>
      <c r="J6187" s="79"/>
      <c r="K6187" s="132"/>
      <c r="L6187" s="107"/>
      <c r="M6187" s="106"/>
      <c r="N6187" s="106"/>
      <c r="O6187" s="108"/>
      <c r="P6187" s="108"/>
      <c r="Q6187" s="108"/>
      <c r="R6187" s="109"/>
      <c r="S6187" s="109"/>
      <c r="T6187" s="108"/>
      <c r="U6187" s="110"/>
      <c r="V6187" s="110"/>
      <c r="W6187" s="110"/>
      <c r="X6187" s="110"/>
    </row>
    <row r="6188" spans="1:24" ht="14.25" customHeight="1">
      <c r="A6188" s="110"/>
      <c r="B6188" s="219"/>
      <c r="C6188" s="118"/>
      <c r="D6188" s="220"/>
      <c r="E6188" s="79"/>
      <c r="F6188" s="110"/>
      <c r="G6188" s="221"/>
      <c r="H6188" s="120"/>
      <c r="I6188" s="120"/>
      <c r="J6188" s="79"/>
      <c r="K6188" s="132"/>
      <c r="L6188" s="107"/>
      <c r="M6188" s="106"/>
      <c r="N6188" s="106"/>
      <c r="O6188" s="108"/>
      <c r="P6188" s="108"/>
      <c r="Q6188" s="108"/>
      <c r="R6188" s="109"/>
      <c r="S6188" s="109"/>
      <c r="T6188" s="108"/>
      <c r="U6188" s="110"/>
      <c r="V6188" s="110"/>
      <c r="W6188" s="110"/>
      <c r="X6188" s="110"/>
    </row>
    <row r="6189" spans="1:24" ht="14.25" customHeight="1">
      <c r="A6189" s="110"/>
      <c r="B6189" s="219"/>
      <c r="C6189" s="118"/>
      <c r="D6189" s="220"/>
      <c r="E6189" s="79"/>
      <c r="F6189" s="110"/>
      <c r="G6189" s="221"/>
      <c r="H6189" s="120"/>
      <c r="I6189" s="120"/>
      <c r="J6189" s="79"/>
      <c r="K6189" s="132"/>
      <c r="L6189" s="107"/>
      <c r="M6189" s="106"/>
      <c r="N6189" s="106"/>
      <c r="O6189" s="108"/>
      <c r="P6189" s="108"/>
      <c r="Q6189" s="108"/>
      <c r="R6189" s="109"/>
      <c r="S6189" s="109"/>
      <c r="T6189" s="108"/>
      <c r="U6189" s="110"/>
      <c r="V6189" s="110"/>
      <c r="W6189" s="110"/>
      <c r="X6189" s="110"/>
    </row>
    <row r="6190" spans="1:24" ht="14.25" customHeight="1">
      <c r="A6190" s="110"/>
      <c r="B6190" s="219"/>
      <c r="C6190" s="118"/>
      <c r="D6190" s="220"/>
      <c r="E6190" s="79"/>
      <c r="F6190" s="110"/>
      <c r="G6190" s="221"/>
      <c r="H6190" s="120"/>
      <c r="I6190" s="120"/>
      <c r="J6190" s="79"/>
      <c r="K6190" s="132"/>
      <c r="L6190" s="107"/>
      <c r="M6190" s="106"/>
      <c r="N6190" s="106"/>
      <c r="O6190" s="108"/>
      <c r="P6190" s="108"/>
      <c r="Q6190" s="108"/>
      <c r="R6190" s="109"/>
      <c r="S6190" s="109"/>
      <c r="T6190" s="108"/>
      <c r="U6190" s="110"/>
      <c r="V6190" s="110"/>
      <c r="W6190" s="110"/>
      <c r="X6190" s="110"/>
    </row>
    <row r="6191" spans="1:24" ht="14.25" customHeight="1">
      <c r="A6191" s="110"/>
      <c r="B6191" s="219"/>
      <c r="C6191" s="118"/>
      <c r="D6191" s="220"/>
      <c r="E6191" s="79"/>
      <c r="F6191" s="110"/>
      <c r="G6191" s="221"/>
      <c r="H6191" s="120"/>
      <c r="I6191" s="120"/>
      <c r="J6191" s="79"/>
      <c r="K6191" s="132"/>
      <c r="L6191" s="107"/>
      <c r="M6191" s="106"/>
      <c r="N6191" s="106"/>
      <c r="O6191" s="108"/>
      <c r="P6191" s="108"/>
      <c r="Q6191" s="108"/>
      <c r="R6191" s="109"/>
      <c r="S6191" s="109"/>
      <c r="T6191" s="108"/>
      <c r="U6191" s="110"/>
      <c r="V6191" s="110"/>
      <c r="W6191" s="110"/>
      <c r="X6191" s="110"/>
    </row>
    <row r="6192" spans="1:24" ht="14.25" customHeight="1">
      <c r="A6192" s="110"/>
      <c r="B6192" s="219"/>
      <c r="C6192" s="118"/>
      <c r="D6192" s="220"/>
      <c r="E6192" s="79"/>
      <c r="F6192" s="110"/>
      <c r="G6192" s="221"/>
      <c r="H6192" s="120"/>
      <c r="I6192" s="120"/>
      <c r="J6192" s="79"/>
      <c r="K6192" s="132"/>
      <c r="L6192" s="107"/>
      <c r="M6192" s="106"/>
      <c r="N6192" s="106"/>
      <c r="O6192" s="108"/>
      <c r="P6192" s="108"/>
      <c r="Q6192" s="108"/>
      <c r="R6192" s="109"/>
      <c r="S6192" s="109"/>
      <c r="T6192" s="108"/>
      <c r="U6192" s="110"/>
      <c r="V6192" s="110"/>
      <c r="W6192" s="110"/>
      <c r="X6192" s="110"/>
    </row>
    <row r="6193" spans="1:24" ht="14.25" customHeight="1">
      <c r="A6193" s="110"/>
      <c r="B6193" s="219"/>
      <c r="C6193" s="118"/>
      <c r="D6193" s="220"/>
      <c r="E6193" s="79"/>
      <c r="F6193" s="110"/>
      <c r="G6193" s="221"/>
      <c r="H6193" s="120"/>
      <c r="I6193" s="120"/>
      <c r="J6193" s="79"/>
      <c r="K6193" s="132"/>
      <c r="L6193" s="107"/>
      <c r="M6193" s="106"/>
      <c r="N6193" s="106"/>
      <c r="O6193" s="108"/>
      <c r="P6193" s="108"/>
      <c r="Q6193" s="108"/>
      <c r="R6193" s="109"/>
      <c r="S6193" s="109"/>
      <c r="T6193" s="108"/>
      <c r="U6193" s="110"/>
      <c r="V6193" s="110"/>
      <c r="W6193" s="110"/>
      <c r="X6193" s="110"/>
    </row>
    <row r="6194" spans="1:24" ht="14.25" customHeight="1">
      <c r="A6194" s="110"/>
      <c r="B6194" s="219"/>
      <c r="C6194" s="118"/>
      <c r="D6194" s="220"/>
      <c r="E6194" s="79"/>
      <c r="F6194" s="110"/>
      <c r="G6194" s="221"/>
      <c r="H6194" s="120"/>
      <c r="I6194" s="120"/>
      <c r="J6194" s="79"/>
      <c r="K6194" s="132"/>
      <c r="L6194" s="107"/>
      <c r="M6194" s="106"/>
      <c r="N6194" s="106"/>
      <c r="O6194" s="108"/>
      <c r="P6194" s="108"/>
      <c r="Q6194" s="108"/>
      <c r="R6194" s="109"/>
      <c r="S6194" s="109"/>
      <c r="T6194" s="108"/>
      <c r="U6194" s="110"/>
      <c r="V6194" s="110"/>
      <c r="W6194" s="110"/>
      <c r="X6194" s="110"/>
    </row>
    <row r="6195" spans="1:24" ht="14.25" customHeight="1">
      <c r="A6195" s="110"/>
      <c r="B6195" s="219"/>
      <c r="C6195" s="118"/>
      <c r="D6195" s="220"/>
      <c r="E6195" s="79"/>
      <c r="F6195" s="110"/>
      <c r="G6195" s="221"/>
      <c r="H6195" s="120"/>
      <c r="I6195" s="120"/>
      <c r="J6195" s="79"/>
      <c r="K6195" s="132"/>
      <c r="L6195" s="107"/>
      <c r="M6195" s="106"/>
      <c r="N6195" s="106"/>
      <c r="O6195" s="108"/>
      <c r="P6195" s="108"/>
      <c r="Q6195" s="108"/>
      <c r="R6195" s="109"/>
      <c r="S6195" s="109"/>
      <c r="T6195" s="108"/>
      <c r="U6195" s="110"/>
      <c r="V6195" s="110"/>
      <c r="W6195" s="110"/>
      <c r="X6195" s="110"/>
    </row>
    <row r="6196" spans="1:24" ht="14.25" customHeight="1">
      <c r="A6196" s="110"/>
      <c r="B6196" s="219"/>
      <c r="C6196" s="118"/>
      <c r="D6196" s="220"/>
      <c r="E6196" s="79"/>
      <c r="F6196" s="110"/>
      <c r="G6196" s="221"/>
      <c r="H6196" s="120"/>
      <c r="I6196" s="120"/>
      <c r="J6196" s="79"/>
      <c r="K6196" s="132"/>
      <c r="L6196" s="107"/>
      <c r="M6196" s="106"/>
      <c r="N6196" s="106"/>
      <c r="O6196" s="108"/>
      <c r="P6196" s="108"/>
      <c r="Q6196" s="108"/>
      <c r="R6196" s="109"/>
      <c r="S6196" s="109"/>
      <c r="T6196" s="108"/>
      <c r="U6196" s="110"/>
      <c r="V6196" s="110"/>
      <c r="W6196" s="110"/>
      <c r="X6196" s="110"/>
    </row>
    <row r="6197" spans="1:24" ht="14.25" customHeight="1">
      <c r="A6197" s="110"/>
      <c r="B6197" s="219"/>
      <c r="C6197" s="118"/>
      <c r="D6197" s="220"/>
      <c r="E6197" s="79"/>
      <c r="F6197" s="110"/>
      <c r="G6197" s="221"/>
      <c r="H6197" s="120"/>
      <c r="I6197" s="120"/>
      <c r="J6197" s="79"/>
      <c r="K6197" s="132"/>
      <c r="L6197" s="107"/>
      <c r="M6197" s="106"/>
      <c r="N6197" s="106"/>
      <c r="O6197" s="108"/>
      <c r="P6197" s="108"/>
      <c r="Q6197" s="108"/>
      <c r="R6197" s="109"/>
      <c r="S6197" s="109"/>
      <c r="T6197" s="108"/>
      <c r="U6197" s="110"/>
      <c r="V6197" s="110"/>
      <c r="W6197" s="110"/>
      <c r="X6197" s="110"/>
    </row>
    <row r="6198" spans="1:24" ht="14.25" customHeight="1">
      <c r="A6198" s="110"/>
      <c r="B6198" s="219"/>
      <c r="C6198" s="118"/>
      <c r="D6198" s="220"/>
      <c r="E6198" s="79"/>
      <c r="F6198" s="110"/>
      <c r="G6198" s="221"/>
      <c r="H6198" s="120"/>
      <c r="I6198" s="120"/>
      <c r="J6198" s="79"/>
      <c r="K6198" s="132"/>
      <c r="L6198" s="107"/>
      <c r="M6198" s="106"/>
      <c r="N6198" s="106"/>
      <c r="O6198" s="108"/>
      <c r="P6198" s="108"/>
      <c r="Q6198" s="108"/>
      <c r="R6198" s="109"/>
      <c r="S6198" s="109"/>
      <c r="T6198" s="108"/>
      <c r="U6198" s="110"/>
      <c r="V6198" s="110"/>
      <c r="W6198" s="110"/>
      <c r="X6198" s="110"/>
    </row>
    <row r="6199" spans="1:24" ht="14.25" customHeight="1">
      <c r="A6199" s="110"/>
      <c r="B6199" s="219"/>
      <c r="C6199" s="118"/>
      <c r="D6199" s="220"/>
      <c r="E6199" s="79"/>
      <c r="F6199" s="110"/>
      <c r="G6199" s="221"/>
      <c r="H6199" s="120"/>
      <c r="I6199" s="120"/>
      <c r="J6199" s="79"/>
      <c r="K6199" s="132"/>
      <c r="L6199" s="107"/>
      <c r="M6199" s="106"/>
      <c r="N6199" s="106"/>
      <c r="O6199" s="108"/>
      <c r="P6199" s="108"/>
      <c r="Q6199" s="108"/>
      <c r="R6199" s="109"/>
      <c r="S6199" s="109"/>
      <c r="T6199" s="108"/>
      <c r="U6199" s="110"/>
      <c r="V6199" s="110"/>
      <c r="W6199" s="110"/>
      <c r="X6199" s="110"/>
    </row>
    <row r="6200" spans="1:24" ht="14.25" customHeight="1">
      <c r="A6200" s="110"/>
      <c r="B6200" s="219"/>
      <c r="C6200" s="118"/>
      <c r="D6200" s="220"/>
      <c r="E6200" s="79"/>
      <c r="F6200" s="110"/>
      <c r="G6200" s="221"/>
      <c r="H6200" s="120"/>
      <c r="I6200" s="120"/>
      <c r="J6200" s="79"/>
      <c r="K6200" s="132"/>
      <c r="L6200" s="107"/>
      <c r="M6200" s="106"/>
      <c r="N6200" s="106"/>
      <c r="O6200" s="108"/>
      <c r="P6200" s="108"/>
      <c r="Q6200" s="108"/>
      <c r="R6200" s="109"/>
      <c r="S6200" s="109"/>
      <c r="T6200" s="108"/>
      <c r="U6200" s="110"/>
      <c r="V6200" s="110"/>
      <c r="W6200" s="110"/>
      <c r="X6200" s="110"/>
    </row>
    <row r="6201" spans="1:24" ht="14.25" customHeight="1">
      <c r="A6201" s="110"/>
      <c r="B6201" s="219"/>
      <c r="C6201" s="118"/>
      <c r="D6201" s="220"/>
      <c r="E6201" s="79"/>
      <c r="F6201" s="110"/>
      <c r="G6201" s="221"/>
      <c r="H6201" s="120"/>
      <c r="I6201" s="120"/>
      <c r="J6201" s="79"/>
      <c r="K6201" s="132"/>
      <c r="L6201" s="107"/>
      <c r="M6201" s="106"/>
      <c r="N6201" s="106"/>
      <c r="O6201" s="108"/>
      <c r="P6201" s="108"/>
      <c r="Q6201" s="108"/>
      <c r="R6201" s="109"/>
      <c r="S6201" s="109"/>
      <c r="T6201" s="108"/>
      <c r="U6201" s="110"/>
      <c r="V6201" s="110"/>
      <c r="W6201" s="110"/>
      <c r="X6201" s="110"/>
    </row>
    <row r="6202" spans="1:24" ht="14.25" customHeight="1">
      <c r="A6202" s="110"/>
      <c r="B6202" s="219"/>
      <c r="C6202" s="118"/>
      <c r="D6202" s="220"/>
      <c r="E6202" s="79"/>
      <c r="F6202" s="110"/>
      <c r="G6202" s="221"/>
      <c r="H6202" s="120"/>
      <c r="I6202" s="120"/>
      <c r="J6202" s="79"/>
      <c r="K6202" s="132"/>
      <c r="L6202" s="107"/>
      <c r="M6202" s="106"/>
      <c r="N6202" s="106"/>
      <c r="O6202" s="108"/>
      <c r="P6202" s="108"/>
      <c r="Q6202" s="108"/>
      <c r="R6202" s="109"/>
      <c r="S6202" s="109"/>
      <c r="T6202" s="108"/>
      <c r="U6202" s="110"/>
      <c r="V6202" s="110"/>
      <c r="W6202" s="110"/>
      <c r="X6202" s="110"/>
    </row>
    <row r="6203" spans="1:24" ht="14.25" customHeight="1">
      <c r="A6203" s="110"/>
      <c r="B6203" s="219"/>
      <c r="C6203" s="118"/>
      <c r="D6203" s="220"/>
      <c r="E6203" s="79"/>
      <c r="F6203" s="110"/>
      <c r="G6203" s="221"/>
      <c r="H6203" s="120"/>
      <c r="I6203" s="120"/>
      <c r="J6203" s="79"/>
      <c r="K6203" s="132"/>
      <c r="L6203" s="107"/>
      <c r="M6203" s="106"/>
      <c r="N6203" s="106"/>
      <c r="O6203" s="108"/>
      <c r="P6203" s="108"/>
      <c r="Q6203" s="108"/>
      <c r="R6203" s="109"/>
      <c r="S6203" s="109"/>
      <c r="T6203" s="108"/>
      <c r="U6203" s="110"/>
      <c r="V6203" s="110"/>
      <c r="W6203" s="110"/>
      <c r="X6203" s="110"/>
    </row>
    <row r="6204" spans="1:24" ht="14.25" customHeight="1">
      <c r="A6204" s="110"/>
      <c r="B6204" s="219"/>
      <c r="C6204" s="118"/>
      <c r="D6204" s="220"/>
      <c r="E6204" s="79"/>
      <c r="F6204" s="110"/>
      <c r="G6204" s="221"/>
      <c r="H6204" s="120"/>
      <c r="I6204" s="120"/>
      <c r="J6204" s="79"/>
      <c r="K6204" s="132"/>
      <c r="L6204" s="107"/>
      <c r="M6204" s="106"/>
      <c r="N6204" s="106"/>
      <c r="O6204" s="108"/>
      <c r="P6204" s="108"/>
      <c r="Q6204" s="108"/>
      <c r="R6204" s="109"/>
      <c r="S6204" s="109"/>
      <c r="T6204" s="108"/>
      <c r="U6204" s="110"/>
      <c r="V6204" s="110"/>
      <c r="W6204" s="110"/>
      <c r="X6204" s="110"/>
    </row>
    <row r="6205" spans="1:24" ht="14.25" customHeight="1">
      <c r="A6205" s="110"/>
      <c r="B6205" s="219"/>
      <c r="C6205" s="118"/>
      <c r="D6205" s="220"/>
      <c r="E6205" s="79"/>
      <c r="F6205" s="110"/>
      <c r="G6205" s="221"/>
      <c r="H6205" s="120"/>
      <c r="I6205" s="120"/>
      <c r="J6205" s="79"/>
      <c r="K6205" s="132"/>
      <c r="L6205" s="107"/>
      <c r="M6205" s="106"/>
      <c r="N6205" s="106"/>
      <c r="O6205" s="108"/>
      <c r="P6205" s="108"/>
      <c r="Q6205" s="108"/>
      <c r="R6205" s="109"/>
      <c r="S6205" s="109"/>
      <c r="T6205" s="108"/>
      <c r="U6205" s="110"/>
      <c r="V6205" s="110"/>
      <c r="W6205" s="110"/>
      <c r="X6205" s="110"/>
    </row>
    <row r="6206" spans="1:24" ht="14.25" customHeight="1">
      <c r="A6206" s="110"/>
      <c r="B6206" s="219"/>
      <c r="C6206" s="118"/>
      <c r="D6206" s="220"/>
      <c r="E6206" s="79"/>
      <c r="F6206" s="110"/>
      <c r="G6206" s="221"/>
      <c r="H6206" s="120"/>
      <c r="I6206" s="120"/>
      <c r="J6206" s="79"/>
      <c r="K6206" s="132"/>
      <c r="L6206" s="107"/>
      <c r="M6206" s="106"/>
      <c r="N6206" s="106"/>
      <c r="O6206" s="108"/>
      <c r="P6206" s="108"/>
      <c r="Q6206" s="108"/>
      <c r="R6206" s="109"/>
      <c r="S6206" s="109"/>
      <c r="T6206" s="108"/>
      <c r="U6206" s="110"/>
      <c r="V6206" s="110"/>
      <c r="W6206" s="110"/>
      <c r="X6206" s="110"/>
    </row>
    <row r="6207" spans="1:24" ht="14.25" customHeight="1">
      <c r="A6207" s="110"/>
      <c r="B6207" s="219"/>
      <c r="C6207" s="118"/>
      <c r="D6207" s="220"/>
      <c r="E6207" s="79"/>
      <c r="F6207" s="110"/>
      <c r="G6207" s="221"/>
      <c r="H6207" s="120"/>
      <c r="I6207" s="120"/>
      <c r="J6207" s="79"/>
      <c r="K6207" s="132"/>
      <c r="L6207" s="107"/>
      <c r="M6207" s="106"/>
      <c r="N6207" s="106"/>
      <c r="O6207" s="108"/>
      <c r="P6207" s="108"/>
      <c r="Q6207" s="108"/>
      <c r="R6207" s="109"/>
      <c r="S6207" s="109"/>
      <c r="T6207" s="108"/>
      <c r="U6207" s="110"/>
      <c r="V6207" s="110"/>
      <c r="W6207" s="110"/>
      <c r="X6207" s="110"/>
    </row>
    <row r="6208" spans="1:24" ht="14.25" customHeight="1">
      <c r="A6208" s="110"/>
      <c r="B6208" s="219"/>
      <c r="C6208" s="118"/>
      <c r="D6208" s="220"/>
      <c r="E6208" s="79"/>
      <c r="F6208" s="110"/>
      <c r="G6208" s="221"/>
      <c r="H6208" s="120"/>
      <c r="I6208" s="120"/>
      <c r="J6208" s="79"/>
      <c r="K6208" s="132"/>
      <c r="L6208" s="107"/>
      <c r="M6208" s="106"/>
      <c r="N6208" s="106"/>
      <c r="O6208" s="108"/>
      <c r="P6208" s="108"/>
      <c r="Q6208" s="108"/>
      <c r="R6208" s="109"/>
      <c r="S6208" s="109"/>
      <c r="T6208" s="108"/>
      <c r="U6208" s="110"/>
      <c r="V6208" s="110"/>
      <c r="W6208" s="110"/>
      <c r="X6208" s="110"/>
    </row>
    <row r="6209" spans="1:24" ht="14.25" customHeight="1">
      <c r="A6209" s="110"/>
      <c r="B6209" s="219"/>
      <c r="C6209" s="118"/>
      <c r="D6209" s="220"/>
      <c r="E6209" s="79"/>
      <c r="F6209" s="110"/>
      <c r="G6209" s="221"/>
      <c r="H6209" s="120"/>
      <c r="I6209" s="120"/>
      <c r="J6209" s="79"/>
      <c r="K6209" s="132"/>
      <c r="L6209" s="107"/>
      <c r="M6209" s="106"/>
      <c r="N6209" s="106"/>
      <c r="O6209" s="108"/>
      <c r="P6209" s="108"/>
      <c r="Q6209" s="108"/>
      <c r="R6209" s="109"/>
      <c r="S6209" s="109"/>
      <c r="T6209" s="108"/>
      <c r="U6209" s="110"/>
      <c r="V6209" s="110"/>
      <c r="W6209" s="110"/>
      <c r="X6209" s="110"/>
    </row>
    <row r="6210" spans="1:24" ht="14.25" customHeight="1">
      <c r="A6210" s="110"/>
      <c r="B6210" s="219"/>
      <c r="C6210" s="118"/>
      <c r="D6210" s="220"/>
      <c r="E6210" s="79"/>
      <c r="F6210" s="110"/>
      <c r="G6210" s="221"/>
      <c r="H6210" s="120"/>
      <c r="I6210" s="120"/>
      <c r="J6210" s="79"/>
      <c r="K6210" s="132"/>
      <c r="L6210" s="107"/>
      <c r="M6210" s="106"/>
      <c r="N6210" s="106"/>
      <c r="O6210" s="108"/>
      <c r="P6210" s="108"/>
      <c r="Q6210" s="108"/>
      <c r="R6210" s="109"/>
      <c r="S6210" s="109"/>
      <c r="T6210" s="108"/>
      <c r="U6210" s="110"/>
      <c r="V6210" s="110"/>
      <c r="W6210" s="110"/>
      <c r="X6210" s="110"/>
    </row>
    <row r="6211" spans="1:24" ht="14.25" customHeight="1">
      <c r="A6211" s="110"/>
      <c r="B6211" s="219"/>
      <c r="C6211" s="118"/>
      <c r="D6211" s="220"/>
      <c r="E6211" s="79"/>
      <c r="F6211" s="110"/>
      <c r="G6211" s="221"/>
      <c r="H6211" s="120"/>
      <c r="I6211" s="120"/>
      <c r="J6211" s="79"/>
      <c r="K6211" s="132"/>
      <c r="L6211" s="107"/>
      <c r="M6211" s="106"/>
      <c r="N6211" s="106"/>
      <c r="O6211" s="108"/>
      <c r="P6211" s="108"/>
      <c r="Q6211" s="108"/>
      <c r="R6211" s="109"/>
      <c r="S6211" s="109"/>
      <c r="T6211" s="108"/>
      <c r="U6211" s="110"/>
      <c r="V6211" s="110"/>
      <c r="W6211" s="110"/>
      <c r="X6211" s="110"/>
    </row>
    <row r="6212" spans="1:24" ht="14.25" customHeight="1">
      <c r="A6212" s="110"/>
      <c r="B6212" s="219"/>
      <c r="C6212" s="118"/>
      <c r="D6212" s="220"/>
      <c r="E6212" s="79"/>
      <c r="F6212" s="110"/>
      <c r="G6212" s="221"/>
      <c r="H6212" s="120"/>
      <c r="I6212" s="120"/>
      <c r="J6212" s="79"/>
      <c r="K6212" s="132"/>
      <c r="L6212" s="107"/>
      <c r="M6212" s="106"/>
      <c r="N6212" s="106"/>
      <c r="O6212" s="108"/>
      <c r="P6212" s="108"/>
      <c r="Q6212" s="108"/>
      <c r="R6212" s="109"/>
      <c r="S6212" s="109"/>
      <c r="T6212" s="108"/>
      <c r="U6212" s="110"/>
      <c r="V6212" s="110"/>
      <c r="W6212" s="110"/>
      <c r="X6212" s="110"/>
    </row>
    <row r="6213" spans="1:24" ht="14.25" customHeight="1">
      <c r="A6213" s="110"/>
      <c r="B6213" s="219"/>
      <c r="C6213" s="118"/>
      <c r="D6213" s="220"/>
      <c r="E6213" s="79"/>
      <c r="F6213" s="110"/>
      <c r="G6213" s="221"/>
      <c r="H6213" s="120"/>
      <c r="I6213" s="120"/>
      <c r="J6213" s="79"/>
      <c r="K6213" s="132"/>
      <c r="L6213" s="107"/>
      <c r="M6213" s="106"/>
      <c r="N6213" s="106"/>
      <c r="O6213" s="108"/>
      <c r="P6213" s="108"/>
      <c r="Q6213" s="108"/>
      <c r="R6213" s="109"/>
      <c r="S6213" s="109"/>
      <c r="T6213" s="108"/>
      <c r="U6213" s="110"/>
      <c r="V6213" s="110"/>
      <c r="W6213" s="110"/>
      <c r="X6213" s="110"/>
    </row>
    <row r="6214" spans="1:24" ht="14.25" customHeight="1">
      <c r="A6214" s="110"/>
      <c r="B6214" s="219"/>
      <c r="C6214" s="118"/>
      <c r="D6214" s="220"/>
      <c r="E6214" s="79"/>
      <c r="F6214" s="110"/>
      <c r="G6214" s="221"/>
      <c r="H6214" s="120"/>
      <c r="I6214" s="120"/>
      <c r="J6214" s="79"/>
      <c r="K6214" s="132"/>
      <c r="L6214" s="107"/>
      <c r="M6214" s="106"/>
      <c r="N6214" s="106"/>
      <c r="O6214" s="108"/>
      <c r="P6214" s="108"/>
      <c r="Q6214" s="108"/>
      <c r="R6214" s="109"/>
      <c r="S6214" s="109"/>
      <c r="T6214" s="108"/>
      <c r="U6214" s="110"/>
      <c r="V6214" s="110"/>
      <c r="W6214" s="110"/>
      <c r="X6214" s="110"/>
    </row>
    <row r="6215" spans="1:24" ht="14.25" customHeight="1">
      <c r="A6215" s="110"/>
      <c r="B6215" s="219"/>
      <c r="C6215" s="118"/>
      <c r="D6215" s="220"/>
      <c r="E6215" s="79"/>
      <c r="F6215" s="110"/>
      <c r="G6215" s="221"/>
      <c r="H6215" s="120"/>
      <c r="I6215" s="120"/>
      <c r="J6215" s="79"/>
      <c r="K6215" s="132"/>
      <c r="L6215" s="107"/>
      <c r="M6215" s="106"/>
      <c r="N6215" s="106"/>
      <c r="O6215" s="108"/>
      <c r="P6215" s="108"/>
      <c r="Q6215" s="108"/>
      <c r="R6215" s="109"/>
      <c r="S6215" s="109"/>
      <c r="T6215" s="108"/>
      <c r="U6215" s="110"/>
      <c r="V6215" s="110"/>
      <c r="W6215" s="110"/>
      <c r="X6215" s="110"/>
    </row>
    <row r="6216" spans="1:24" ht="14.25" customHeight="1">
      <c r="A6216" s="110"/>
      <c r="B6216" s="219"/>
      <c r="C6216" s="118"/>
      <c r="D6216" s="220"/>
      <c r="E6216" s="79"/>
      <c r="F6216" s="110"/>
      <c r="G6216" s="221"/>
      <c r="H6216" s="120"/>
      <c r="I6216" s="120"/>
      <c r="J6216" s="79"/>
      <c r="K6216" s="132"/>
      <c r="L6216" s="107"/>
      <c r="M6216" s="106"/>
      <c r="N6216" s="106"/>
      <c r="O6216" s="108"/>
      <c r="P6216" s="108"/>
      <c r="Q6216" s="108"/>
      <c r="R6216" s="109"/>
      <c r="S6216" s="109"/>
      <c r="T6216" s="108"/>
      <c r="U6216" s="110"/>
      <c r="V6216" s="110"/>
      <c r="W6216" s="110"/>
      <c r="X6216" s="110"/>
    </row>
    <row r="6217" spans="1:24" ht="14.25" customHeight="1">
      <c r="A6217" s="110"/>
      <c r="B6217" s="219"/>
      <c r="C6217" s="118"/>
      <c r="D6217" s="220"/>
      <c r="E6217" s="79"/>
      <c r="F6217" s="110"/>
      <c r="G6217" s="221"/>
      <c r="H6217" s="120"/>
      <c r="I6217" s="120"/>
      <c r="J6217" s="79"/>
      <c r="K6217" s="132"/>
      <c r="L6217" s="107"/>
      <c r="M6217" s="106"/>
      <c r="N6217" s="106"/>
      <c r="O6217" s="108"/>
      <c r="P6217" s="108"/>
      <c r="Q6217" s="108"/>
      <c r="R6217" s="109"/>
      <c r="S6217" s="109"/>
      <c r="T6217" s="108"/>
      <c r="U6217" s="110"/>
      <c r="V6217" s="110"/>
      <c r="W6217" s="110"/>
      <c r="X6217" s="110"/>
    </row>
    <row r="6218" spans="1:24" ht="14.25" customHeight="1">
      <c r="A6218" s="110"/>
      <c r="B6218" s="219"/>
      <c r="C6218" s="118"/>
      <c r="D6218" s="220"/>
      <c r="E6218" s="79"/>
      <c r="F6218" s="110"/>
      <c r="G6218" s="221"/>
      <c r="H6218" s="120"/>
      <c r="I6218" s="120"/>
      <c r="J6218" s="79"/>
      <c r="K6218" s="132"/>
      <c r="L6218" s="107"/>
      <c r="M6218" s="106"/>
      <c r="N6218" s="106"/>
      <c r="O6218" s="108"/>
      <c r="P6218" s="108"/>
      <c r="Q6218" s="108"/>
      <c r="R6218" s="109"/>
      <c r="S6218" s="109"/>
      <c r="T6218" s="108"/>
      <c r="U6218" s="110"/>
      <c r="V6218" s="110"/>
      <c r="W6218" s="110"/>
      <c r="X6218" s="110"/>
    </row>
    <row r="6219" spans="1:24" ht="14.25" customHeight="1">
      <c r="A6219" s="110"/>
      <c r="B6219" s="219"/>
      <c r="C6219" s="118"/>
      <c r="D6219" s="220"/>
      <c r="E6219" s="79"/>
      <c r="F6219" s="110"/>
      <c r="G6219" s="221"/>
      <c r="H6219" s="120"/>
      <c r="I6219" s="120"/>
      <c r="J6219" s="79"/>
      <c r="K6219" s="132"/>
      <c r="L6219" s="107"/>
      <c r="M6219" s="106"/>
      <c r="N6219" s="106"/>
      <c r="O6219" s="108"/>
      <c r="P6219" s="108"/>
      <c r="Q6219" s="108"/>
      <c r="R6219" s="109"/>
      <c r="S6219" s="109"/>
      <c r="T6219" s="108"/>
      <c r="U6219" s="110"/>
      <c r="V6219" s="110"/>
      <c r="W6219" s="110"/>
      <c r="X6219" s="110"/>
    </row>
    <row r="6220" spans="1:24" ht="14.25" customHeight="1">
      <c r="A6220" s="110"/>
      <c r="B6220" s="219"/>
      <c r="C6220" s="118"/>
      <c r="D6220" s="220"/>
      <c r="E6220" s="79"/>
      <c r="F6220" s="110"/>
      <c r="G6220" s="221"/>
      <c r="H6220" s="120"/>
      <c r="I6220" s="120"/>
      <c r="J6220" s="79"/>
      <c r="K6220" s="132"/>
      <c r="L6220" s="107"/>
      <c r="M6220" s="106"/>
      <c r="N6220" s="106"/>
      <c r="O6220" s="108"/>
      <c r="P6220" s="108"/>
      <c r="Q6220" s="108"/>
      <c r="R6220" s="109"/>
      <c r="S6220" s="109"/>
      <c r="T6220" s="108"/>
      <c r="U6220" s="110"/>
      <c r="V6220" s="110"/>
      <c r="W6220" s="110"/>
      <c r="X6220" s="110"/>
    </row>
    <row r="6221" spans="1:24" ht="14.25" customHeight="1">
      <c r="A6221" s="110"/>
      <c r="B6221" s="219"/>
      <c r="C6221" s="118"/>
      <c r="D6221" s="220"/>
      <c r="E6221" s="79"/>
      <c r="F6221" s="110"/>
      <c r="G6221" s="221"/>
      <c r="H6221" s="120"/>
      <c r="I6221" s="120"/>
      <c r="J6221" s="79"/>
      <c r="K6221" s="132"/>
      <c r="L6221" s="107"/>
      <c r="M6221" s="106"/>
      <c r="N6221" s="106"/>
      <c r="O6221" s="108"/>
      <c r="P6221" s="108"/>
      <c r="Q6221" s="108"/>
      <c r="R6221" s="109"/>
      <c r="S6221" s="109"/>
      <c r="T6221" s="108"/>
      <c r="U6221" s="110"/>
      <c r="V6221" s="110"/>
      <c r="W6221" s="110"/>
      <c r="X6221" s="110"/>
    </row>
    <row r="6222" spans="1:24" ht="14.25" customHeight="1">
      <c r="A6222" s="110"/>
      <c r="B6222" s="219"/>
      <c r="C6222" s="118"/>
      <c r="D6222" s="220"/>
      <c r="E6222" s="79"/>
      <c r="F6222" s="110"/>
      <c r="G6222" s="221"/>
      <c r="H6222" s="120"/>
      <c r="I6222" s="120"/>
      <c r="J6222" s="79"/>
      <c r="K6222" s="132"/>
      <c r="L6222" s="107"/>
      <c r="M6222" s="106"/>
      <c r="N6222" s="106"/>
      <c r="O6222" s="108"/>
      <c r="P6222" s="108"/>
      <c r="Q6222" s="108"/>
      <c r="R6222" s="109"/>
      <c r="S6222" s="109"/>
      <c r="T6222" s="108"/>
      <c r="U6222" s="110"/>
      <c r="V6222" s="110"/>
      <c r="W6222" s="110"/>
      <c r="X6222" s="110"/>
    </row>
    <row r="6223" spans="1:24" ht="14.25" customHeight="1">
      <c r="A6223" s="110"/>
      <c r="B6223" s="219"/>
      <c r="C6223" s="118"/>
      <c r="D6223" s="220"/>
      <c r="E6223" s="79"/>
      <c r="F6223" s="110"/>
      <c r="G6223" s="221"/>
      <c r="H6223" s="120"/>
      <c r="I6223" s="120"/>
      <c r="J6223" s="79"/>
      <c r="K6223" s="132"/>
      <c r="L6223" s="107"/>
      <c r="M6223" s="106"/>
      <c r="N6223" s="106"/>
      <c r="O6223" s="108"/>
      <c r="P6223" s="108"/>
      <c r="Q6223" s="108"/>
      <c r="R6223" s="109"/>
      <c r="S6223" s="109"/>
      <c r="T6223" s="108"/>
      <c r="U6223" s="110"/>
      <c r="V6223" s="110"/>
      <c r="W6223" s="110"/>
      <c r="X6223" s="110"/>
    </row>
    <row r="6224" spans="1:24" ht="14.25" customHeight="1">
      <c r="A6224" s="110"/>
      <c r="B6224" s="219"/>
      <c r="C6224" s="118"/>
      <c r="D6224" s="220"/>
      <c r="E6224" s="79"/>
      <c r="F6224" s="110"/>
      <c r="G6224" s="221"/>
      <c r="H6224" s="120"/>
      <c r="I6224" s="120"/>
      <c r="J6224" s="79"/>
      <c r="K6224" s="132"/>
      <c r="L6224" s="107"/>
      <c r="M6224" s="106"/>
      <c r="N6224" s="106"/>
      <c r="O6224" s="108"/>
      <c r="P6224" s="108"/>
      <c r="Q6224" s="108"/>
      <c r="R6224" s="109"/>
      <c r="S6224" s="109"/>
      <c r="T6224" s="108"/>
      <c r="U6224" s="110"/>
      <c r="V6224" s="110"/>
      <c r="W6224" s="110"/>
      <c r="X6224" s="110"/>
    </row>
    <row r="6225" spans="1:24" ht="14.25" customHeight="1">
      <c r="A6225" s="110"/>
      <c r="B6225" s="219"/>
      <c r="C6225" s="118"/>
      <c r="D6225" s="220"/>
      <c r="E6225" s="79"/>
      <c r="F6225" s="110"/>
      <c r="G6225" s="221"/>
      <c r="H6225" s="120"/>
      <c r="I6225" s="120"/>
      <c r="J6225" s="79"/>
      <c r="K6225" s="132"/>
      <c r="L6225" s="107"/>
      <c r="M6225" s="106"/>
      <c r="N6225" s="106"/>
      <c r="O6225" s="108"/>
      <c r="P6225" s="108"/>
      <c r="Q6225" s="108"/>
      <c r="R6225" s="109"/>
      <c r="S6225" s="109"/>
      <c r="T6225" s="108"/>
      <c r="U6225" s="110"/>
      <c r="V6225" s="110"/>
      <c r="W6225" s="110"/>
      <c r="X6225" s="110"/>
    </row>
    <row r="6226" spans="1:24" ht="14.25" customHeight="1">
      <c r="A6226" s="110"/>
      <c r="B6226" s="219"/>
      <c r="C6226" s="118"/>
      <c r="D6226" s="220"/>
      <c r="E6226" s="79"/>
      <c r="F6226" s="110"/>
      <c r="G6226" s="221"/>
      <c r="H6226" s="120"/>
      <c r="I6226" s="120"/>
      <c r="J6226" s="79"/>
      <c r="K6226" s="132"/>
      <c r="L6226" s="107"/>
      <c r="M6226" s="106"/>
      <c r="N6226" s="106"/>
      <c r="O6226" s="108"/>
      <c r="P6226" s="108"/>
      <c r="Q6226" s="108"/>
      <c r="R6226" s="109"/>
      <c r="S6226" s="109"/>
      <c r="T6226" s="108"/>
      <c r="U6226" s="110"/>
      <c r="V6226" s="110"/>
      <c r="W6226" s="110"/>
      <c r="X6226" s="110"/>
    </row>
    <row r="6227" spans="1:24" ht="14.25" customHeight="1">
      <c r="A6227" s="110"/>
      <c r="B6227" s="219"/>
      <c r="C6227" s="118"/>
      <c r="D6227" s="220"/>
      <c r="E6227" s="79"/>
      <c r="F6227" s="110"/>
      <c r="G6227" s="221"/>
      <c r="H6227" s="120"/>
      <c r="I6227" s="120"/>
      <c r="J6227" s="79"/>
      <c r="K6227" s="132"/>
      <c r="L6227" s="107"/>
      <c r="M6227" s="106"/>
      <c r="N6227" s="106"/>
      <c r="O6227" s="108"/>
      <c r="P6227" s="108"/>
      <c r="Q6227" s="108"/>
      <c r="R6227" s="109"/>
      <c r="S6227" s="109"/>
      <c r="T6227" s="108"/>
      <c r="U6227" s="110"/>
      <c r="V6227" s="110"/>
      <c r="W6227" s="110"/>
      <c r="X6227" s="110"/>
    </row>
    <row r="6228" spans="1:24" ht="14.25" customHeight="1">
      <c r="A6228" s="110"/>
      <c r="B6228" s="219"/>
      <c r="C6228" s="118"/>
      <c r="D6228" s="220"/>
      <c r="E6228" s="79"/>
      <c r="F6228" s="110"/>
      <c r="G6228" s="221"/>
      <c r="H6228" s="120"/>
      <c r="I6228" s="120"/>
      <c r="J6228" s="79"/>
      <c r="K6228" s="132"/>
      <c r="L6228" s="107"/>
      <c r="M6228" s="106"/>
      <c r="N6228" s="106"/>
      <c r="O6228" s="108"/>
      <c r="P6228" s="108"/>
      <c r="Q6228" s="108"/>
      <c r="R6228" s="109"/>
      <c r="S6228" s="109"/>
      <c r="T6228" s="108"/>
      <c r="U6228" s="110"/>
      <c r="V6228" s="110"/>
      <c r="W6228" s="110"/>
      <c r="X6228" s="110"/>
    </row>
    <row r="6229" spans="1:24" ht="14.25" customHeight="1">
      <c r="A6229" s="110"/>
      <c r="B6229" s="219"/>
      <c r="C6229" s="118"/>
      <c r="D6229" s="220"/>
      <c r="E6229" s="79"/>
      <c r="F6229" s="110"/>
      <c r="G6229" s="221"/>
      <c r="H6229" s="120"/>
      <c r="I6229" s="120"/>
      <c r="J6229" s="79"/>
      <c r="K6229" s="132"/>
      <c r="L6229" s="107"/>
      <c r="M6229" s="106"/>
      <c r="N6229" s="106"/>
      <c r="O6229" s="108"/>
      <c r="P6229" s="108"/>
      <c r="Q6229" s="108"/>
      <c r="R6229" s="109"/>
      <c r="S6229" s="109"/>
      <c r="T6229" s="108"/>
      <c r="U6229" s="110"/>
      <c r="V6229" s="110"/>
      <c r="W6229" s="110"/>
      <c r="X6229" s="110"/>
    </row>
    <row r="6230" spans="1:24" ht="14.25" customHeight="1">
      <c r="A6230" s="110"/>
      <c r="B6230" s="219"/>
      <c r="C6230" s="118"/>
      <c r="D6230" s="220"/>
      <c r="E6230" s="79"/>
      <c r="F6230" s="110"/>
      <c r="G6230" s="221"/>
      <c r="H6230" s="120"/>
      <c r="I6230" s="120"/>
      <c r="J6230" s="79"/>
      <c r="K6230" s="132"/>
      <c r="L6230" s="107"/>
      <c r="M6230" s="106"/>
      <c r="N6230" s="106"/>
      <c r="O6230" s="108"/>
      <c r="P6230" s="108"/>
      <c r="Q6230" s="108"/>
      <c r="R6230" s="109"/>
      <c r="S6230" s="109"/>
      <c r="T6230" s="108"/>
      <c r="U6230" s="110"/>
      <c r="V6230" s="110"/>
      <c r="W6230" s="110"/>
      <c r="X6230" s="110"/>
    </row>
    <row r="6231" spans="1:24" ht="14.25" customHeight="1">
      <c r="A6231" s="110"/>
      <c r="B6231" s="219"/>
      <c r="C6231" s="118"/>
      <c r="D6231" s="220"/>
      <c r="E6231" s="79"/>
      <c r="F6231" s="110"/>
      <c r="G6231" s="221"/>
      <c r="H6231" s="120"/>
      <c r="I6231" s="120"/>
      <c r="J6231" s="79"/>
      <c r="K6231" s="132"/>
      <c r="L6231" s="107"/>
      <c r="M6231" s="106"/>
      <c r="N6231" s="106"/>
      <c r="O6231" s="108"/>
      <c r="P6231" s="108"/>
      <c r="Q6231" s="108"/>
      <c r="R6231" s="109"/>
      <c r="S6231" s="109"/>
      <c r="T6231" s="108"/>
      <c r="U6231" s="110"/>
      <c r="V6231" s="110"/>
      <c r="W6231" s="110"/>
      <c r="X6231" s="110"/>
    </row>
    <row r="6232" spans="1:24" ht="14.25" customHeight="1">
      <c r="A6232" s="110"/>
      <c r="B6232" s="219"/>
      <c r="C6232" s="118"/>
      <c r="D6232" s="220"/>
      <c r="E6232" s="79"/>
      <c r="F6232" s="110"/>
      <c r="G6232" s="221"/>
      <c r="H6232" s="120"/>
      <c r="I6232" s="120"/>
      <c r="J6232" s="79"/>
      <c r="K6232" s="132"/>
      <c r="L6232" s="107"/>
      <c r="M6232" s="106"/>
      <c r="N6232" s="106"/>
      <c r="O6232" s="108"/>
      <c r="P6232" s="108"/>
      <c r="Q6232" s="108"/>
      <c r="R6232" s="109"/>
      <c r="S6232" s="109"/>
      <c r="T6232" s="108"/>
      <c r="U6232" s="110"/>
      <c r="V6232" s="110"/>
      <c r="W6232" s="110"/>
      <c r="X6232" s="110"/>
    </row>
    <row r="6233" spans="1:24" ht="14.25" customHeight="1">
      <c r="A6233" s="110"/>
      <c r="B6233" s="219"/>
      <c r="C6233" s="118"/>
      <c r="D6233" s="220"/>
      <c r="E6233" s="79"/>
      <c r="F6233" s="110"/>
      <c r="G6233" s="221"/>
      <c r="H6233" s="120"/>
      <c r="I6233" s="120"/>
      <c r="J6233" s="79"/>
      <c r="K6233" s="132"/>
      <c r="L6233" s="107"/>
      <c r="M6233" s="106"/>
      <c r="N6233" s="106"/>
      <c r="O6233" s="108"/>
      <c r="P6233" s="108"/>
      <c r="Q6233" s="108"/>
      <c r="R6233" s="109"/>
      <c r="S6233" s="109"/>
      <c r="T6233" s="108"/>
      <c r="U6233" s="110"/>
      <c r="V6233" s="110"/>
      <c r="W6233" s="110"/>
      <c r="X6233" s="110"/>
    </row>
    <row r="6234" spans="1:24" ht="14.25" customHeight="1">
      <c r="A6234" s="110"/>
      <c r="B6234" s="219"/>
      <c r="C6234" s="118"/>
      <c r="D6234" s="220"/>
      <c r="E6234" s="79"/>
      <c r="F6234" s="110"/>
      <c r="G6234" s="221"/>
      <c r="H6234" s="120"/>
      <c r="I6234" s="120"/>
      <c r="J6234" s="79"/>
      <c r="K6234" s="132"/>
      <c r="L6234" s="107"/>
      <c r="M6234" s="106"/>
      <c r="N6234" s="106"/>
      <c r="O6234" s="108"/>
      <c r="P6234" s="108"/>
      <c r="Q6234" s="108"/>
      <c r="R6234" s="109"/>
      <c r="S6234" s="109"/>
      <c r="T6234" s="108"/>
      <c r="U6234" s="110"/>
      <c r="V6234" s="110"/>
      <c r="W6234" s="110"/>
      <c r="X6234" s="110"/>
    </row>
    <row r="6235" spans="1:24" ht="14.25" customHeight="1">
      <c r="A6235" s="110"/>
      <c r="B6235" s="219"/>
      <c r="C6235" s="118"/>
      <c r="D6235" s="220"/>
      <c r="E6235" s="79"/>
      <c r="F6235" s="110"/>
      <c r="G6235" s="221"/>
      <c r="H6235" s="120"/>
      <c r="I6235" s="120"/>
      <c r="J6235" s="79"/>
      <c r="K6235" s="132"/>
      <c r="L6235" s="107"/>
      <c r="M6235" s="106"/>
      <c r="N6235" s="106"/>
      <c r="O6235" s="108"/>
      <c r="P6235" s="108"/>
      <c r="Q6235" s="108"/>
      <c r="R6235" s="109"/>
      <c r="S6235" s="109"/>
      <c r="T6235" s="108"/>
      <c r="U6235" s="110"/>
      <c r="V6235" s="110"/>
      <c r="W6235" s="110"/>
      <c r="X6235" s="110"/>
    </row>
    <row r="6236" spans="1:24" ht="14.25" customHeight="1">
      <c r="A6236" s="110"/>
      <c r="B6236" s="219"/>
      <c r="C6236" s="118"/>
      <c r="D6236" s="220"/>
      <c r="E6236" s="79"/>
      <c r="F6236" s="110"/>
      <c r="G6236" s="221"/>
      <c r="H6236" s="120"/>
      <c r="I6236" s="120"/>
      <c r="J6236" s="79"/>
      <c r="K6236" s="132"/>
      <c r="L6236" s="107"/>
      <c r="M6236" s="106"/>
      <c r="N6236" s="106"/>
      <c r="O6236" s="108"/>
      <c r="P6236" s="108"/>
      <c r="Q6236" s="108"/>
      <c r="R6236" s="109"/>
      <c r="S6236" s="109"/>
      <c r="T6236" s="108"/>
      <c r="U6236" s="110"/>
      <c r="V6236" s="110"/>
      <c r="W6236" s="110"/>
      <c r="X6236" s="110"/>
    </row>
    <row r="6237" spans="1:24" ht="14.25" customHeight="1">
      <c r="A6237" s="110"/>
      <c r="B6237" s="219"/>
      <c r="C6237" s="118"/>
      <c r="D6237" s="220"/>
      <c r="E6237" s="79"/>
      <c r="F6237" s="110"/>
      <c r="G6237" s="221"/>
      <c r="H6237" s="120"/>
      <c r="I6237" s="120"/>
      <c r="J6237" s="79"/>
      <c r="K6237" s="132"/>
      <c r="L6237" s="107"/>
      <c r="M6237" s="106"/>
      <c r="N6237" s="106"/>
      <c r="O6237" s="108"/>
      <c r="P6237" s="108"/>
      <c r="Q6237" s="108"/>
      <c r="R6237" s="109"/>
      <c r="S6237" s="109"/>
      <c r="T6237" s="108"/>
      <c r="U6237" s="110"/>
      <c r="V6237" s="110"/>
      <c r="W6237" s="110"/>
      <c r="X6237" s="110"/>
    </row>
    <row r="6238" spans="1:24" ht="14.25" customHeight="1">
      <c r="A6238" s="110"/>
      <c r="B6238" s="219"/>
      <c r="C6238" s="118"/>
      <c r="D6238" s="220"/>
      <c r="E6238" s="79"/>
      <c r="F6238" s="110"/>
      <c r="G6238" s="221"/>
      <c r="H6238" s="120"/>
      <c r="I6238" s="120"/>
      <c r="J6238" s="79"/>
      <c r="K6238" s="132"/>
      <c r="L6238" s="107"/>
      <c r="M6238" s="106"/>
      <c r="N6238" s="106"/>
      <c r="O6238" s="108"/>
      <c r="P6238" s="108"/>
      <c r="Q6238" s="108"/>
      <c r="R6238" s="109"/>
      <c r="S6238" s="109"/>
      <c r="T6238" s="108"/>
      <c r="U6238" s="110"/>
      <c r="V6238" s="110"/>
      <c r="W6238" s="110"/>
      <c r="X6238" s="110"/>
    </row>
    <row r="6239" spans="1:24" ht="14.25" customHeight="1">
      <c r="A6239" s="110"/>
      <c r="B6239" s="219"/>
      <c r="C6239" s="118"/>
      <c r="D6239" s="220"/>
      <c r="E6239" s="79"/>
      <c r="F6239" s="110"/>
      <c r="G6239" s="221"/>
      <c r="H6239" s="120"/>
      <c r="I6239" s="120"/>
      <c r="J6239" s="79"/>
      <c r="K6239" s="132"/>
      <c r="L6239" s="107"/>
      <c r="M6239" s="106"/>
      <c r="N6239" s="106"/>
      <c r="O6239" s="108"/>
      <c r="P6239" s="108"/>
      <c r="Q6239" s="108"/>
      <c r="R6239" s="109"/>
      <c r="S6239" s="109"/>
      <c r="T6239" s="108"/>
      <c r="U6239" s="110"/>
      <c r="V6239" s="110"/>
      <c r="W6239" s="110"/>
      <c r="X6239" s="110"/>
    </row>
    <row r="6240" spans="1:24" ht="14.25" customHeight="1">
      <c r="A6240" s="110"/>
      <c r="B6240" s="219"/>
      <c r="C6240" s="118"/>
      <c r="D6240" s="220"/>
      <c r="E6240" s="79"/>
      <c r="F6240" s="110"/>
      <c r="G6240" s="221"/>
      <c r="H6240" s="120"/>
      <c r="I6240" s="120"/>
      <c r="J6240" s="79"/>
      <c r="K6240" s="132"/>
      <c r="L6240" s="107"/>
      <c r="M6240" s="106"/>
      <c r="N6240" s="106"/>
      <c r="O6240" s="108"/>
      <c r="P6240" s="108"/>
      <c r="Q6240" s="108"/>
      <c r="R6240" s="109"/>
      <c r="S6240" s="109"/>
      <c r="T6240" s="108"/>
      <c r="U6240" s="110"/>
      <c r="V6240" s="110"/>
      <c r="W6240" s="110"/>
      <c r="X6240" s="110"/>
    </row>
    <row r="6241" spans="1:24" ht="14.25" customHeight="1">
      <c r="A6241" s="110"/>
      <c r="B6241" s="219"/>
      <c r="C6241" s="118"/>
      <c r="D6241" s="220"/>
      <c r="E6241" s="79"/>
      <c r="F6241" s="110"/>
      <c r="G6241" s="221"/>
      <c r="H6241" s="120"/>
      <c r="I6241" s="120"/>
      <c r="J6241" s="79"/>
      <c r="K6241" s="132"/>
      <c r="L6241" s="107"/>
      <c r="M6241" s="106"/>
      <c r="N6241" s="106"/>
      <c r="O6241" s="108"/>
      <c r="P6241" s="108"/>
      <c r="Q6241" s="108"/>
      <c r="R6241" s="109"/>
      <c r="S6241" s="109"/>
      <c r="T6241" s="108"/>
      <c r="U6241" s="110"/>
      <c r="V6241" s="110"/>
      <c r="W6241" s="110"/>
      <c r="X6241" s="110"/>
    </row>
    <row r="6242" spans="1:24" ht="14.25" customHeight="1">
      <c r="A6242" s="110"/>
      <c r="B6242" s="219"/>
      <c r="C6242" s="118"/>
      <c r="D6242" s="220"/>
      <c r="E6242" s="79"/>
      <c r="F6242" s="110"/>
      <c r="G6242" s="221"/>
      <c r="H6242" s="120"/>
      <c r="I6242" s="120"/>
      <c r="J6242" s="79"/>
      <c r="K6242" s="132"/>
      <c r="L6242" s="107"/>
      <c r="M6242" s="106"/>
      <c r="N6242" s="106"/>
      <c r="O6242" s="108"/>
      <c r="P6242" s="108"/>
      <c r="Q6242" s="108"/>
      <c r="R6242" s="109"/>
      <c r="S6242" s="109"/>
      <c r="T6242" s="108"/>
      <c r="U6242" s="110"/>
      <c r="V6242" s="110"/>
      <c r="W6242" s="110"/>
      <c r="X6242" s="110"/>
    </row>
    <row r="6243" spans="1:24" ht="14.25" customHeight="1">
      <c r="A6243" s="110"/>
      <c r="B6243" s="219"/>
      <c r="C6243" s="118"/>
      <c r="D6243" s="220"/>
      <c r="E6243" s="79"/>
      <c r="F6243" s="110"/>
      <c r="G6243" s="221"/>
      <c r="H6243" s="120"/>
      <c r="I6243" s="120"/>
      <c r="J6243" s="79"/>
      <c r="K6243" s="132"/>
      <c r="L6243" s="107"/>
      <c r="M6243" s="106"/>
      <c r="N6243" s="106"/>
      <c r="O6243" s="108"/>
      <c r="P6243" s="108"/>
      <c r="Q6243" s="108"/>
      <c r="R6243" s="109"/>
      <c r="S6243" s="109"/>
      <c r="T6243" s="108"/>
      <c r="U6243" s="110"/>
      <c r="V6243" s="110"/>
      <c r="W6243" s="110"/>
      <c r="X6243" s="110"/>
    </row>
    <row r="6244" spans="1:24" ht="14.25" customHeight="1">
      <c r="A6244" s="110"/>
      <c r="B6244" s="219"/>
      <c r="C6244" s="118"/>
      <c r="D6244" s="220"/>
      <c r="E6244" s="79"/>
      <c r="F6244" s="110"/>
      <c r="G6244" s="221"/>
      <c r="H6244" s="120"/>
      <c r="I6244" s="120"/>
      <c r="J6244" s="79"/>
      <c r="K6244" s="132"/>
      <c r="L6244" s="107"/>
      <c r="M6244" s="106"/>
      <c r="N6244" s="106"/>
      <c r="O6244" s="108"/>
      <c r="P6244" s="108"/>
      <c r="Q6244" s="108"/>
      <c r="R6244" s="109"/>
      <c r="S6244" s="109"/>
      <c r="T6244" s="108"/>
      <c r="U6244" s="110"/>
      <c r="V6244" s="110"/>
      <c r="W6244" s="110"/>
      <c r="X6244" s="110"/>
    </row>
    <row r="6245" spans="1:24" ht="14.25" customHeight="1">
      <c r="A6245" s="110"/>
      <c r="B6245" s="219"/>
      <c r="C6245" s="118"/>
      <c r="D6245" s="220"/>
      <c r="E6245" s="79"/>
      <c r="F6245" s="110"/>
      <c r="G6245" s="221"/>
      <c r="H6245" s="120"/>
      <c r="I6245" s="120"/>
      <c r="J6245" s="79"/>
      <c r="K6245" s="132"/>
      <c r="L6245" s="107"/>
      <c r="M6245" s="106"/>
      <c r="N6245" s="106"/>
      <c r="O6245" s="108"/>
      <c r="P6245" s="108"/>
      <c r="Q6245" s="108"/>
      <c r="R6245" s="109"/>
      <c r="S6245" s="109"/>
      <c r="T6245" s="108"/>
      <c r="U6245" s="110"/>
      <c r="V6245" s="110"/>
      <c r="W6245" s="110"/>
      <c r="X6245" s="110"/>
    </row>
    <row r="6246" spans="1:24" ht="14.25" customHeight="1">
      <c r="A6246" s="110"/>
      <c r="B6246" s="219"/>
      <c r="C6246" s="118"/>
      <c r="D6246" s="220"/>
      <c r="E6246" s="79"/>
      <c r="F6246" s="110"/>
      <c r="G6246" s="221"/>
      <c r="H6246" s="120"/>
      <c r="I6246" s="120"/>
      <c r="J6246" s="79"/>
      <c r="K6246" s="132"/>
      <c r="L6246" s="107"/>
      <c r="M6246" s="106"/>
      <c r="N6246" s="106"/>
      <c r="O6246" s="108"/>
      <c r="P6246" s="108"/>
      <c r="Q6246" s="108"/>
      <c r="R6246" s="109"/>
      <c r="S6246" s="109"/>
      <c r="T6246" s="108"/>
      <c r="U6246" s="110"/>
      <c r="V6246" s="110"/>
      <c r="W6246" s="110"/>
      <c r="X6246" s="110"/>
    </row>
    <row r="6247" spans="1:24" ht="14.25" customHeight="1">
      <c r="A6247" s="110"/>
      <c r="B6247" s="219"/>
      <c r="C6247" s="118"/>
      <c r="D6247" s="220"/>
      <c r="E6247" s="79"/>
      <c r="F6247" s="110"/>
      <c r="G6247" s="221"/>
      <c r="H6247" s="120"/>
      <c r="I6247" s="120"/>
      <c r="J6247" s="79"/>
      <c r="K6247" s="132"/>
      <c r="L6247" s="107"/>
      <c r="M6247" s="106"/>
      <c r="N6247" s="106"/>
      <c r="O6247" s="108"/>
      <c r="P6247" s="108"/>
      <c r="Q6247" s="108"/>
      <c r="R6247" s="109"/>
      <c r="S6247" s="109"/>
      <c r="T6247" s="108"/>
      <c r="U6247" s="110"/>
      <c r="V6247" s="110"/>
      <c r="W6247" s="110"/>
      <c r="X6247" s="110"/>
    </row>
    <row r="6248" spans="1:24" ht="14.25" customHeight="1">
      <c r="A6248" s="110"/>
      <c r="B6248" s="219"/>
      <c r="C6248" s="118"/>
      <c r="D6248" s="220"/>
      <c r="E6248" s="79"/>
      <c r="F6248" s="110"/>
      <c r="G6248" s="221"/>
      <c r="H6248" s="120"/>
      <c r="I6248" s="120"/>
      <c r="J6248" s="79"/>
      <c r="K6248" s="132"/>
      <c r="L6248" s="107"/>
      <c r="M6248" s="106"/>
      <c r="N6248" s="106"/>
      <c r="O6248" s="108"/>
      <c r="P6248" s="108"/>
      <c r="Q6248" s="108"/>
      <c r="R6248" s="109"/>
      <c r="S6248" s="109"/>
      <c r="T6248" s="108"/>
      <c r="U6248" s="110"/>
      <c r="V6248" s="110"/>
      <c r="W6248" s="110"/>
      <c r="X6248" s="110"/>
    </row>
  </sheetData>
  <autoFilter ref="A5:X6119" xr:uid="{00000000-0009-0000-0000-000001000000}"/>
  <mergeCells count="2">
    <mergeCell ref="H5:I5"/>
    <mergeCell ref="L5881:L5882"/>
  </mergeCells>
  <printOptions horizontalCentered="1"/>
  <pageMargins left="0.7" right="0.7" top="0.75" bottom="0.75" header="0" footer="0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'Daily Sales'!$B$3:$B$52</xm:f>
          </x14:formula1>
          <xm:sqref>E7:E485 E487:E517 E519:E549 E551:E581 E583:E613 E615:E645 E647:E677 E679:E709 E711:E741 E743:E773 E775:E805 E807:E837 E839:E869 E871:E901 E903:E933 E935:E965 E967:E997</xm:sqref>
        </x14:dataValidation>
        <x14:dataValidation type="list" allowBlank="1" showErrorMessage="1" xr:uid="{00000000-0002-0000-0100-000001000000}">
          <x14:formula1>
            <xm:f>'Daily Sales'!$C$2:$AF$2</xm:f>
          </x14:formula1>
          <xm:sqref>B7:B485 B487:B517 B519:B549 B551:B581 B583:B613 B615:B645 B647:B677 B679:B709 B711:B741 B743:B773 B775:B805 B807:B837 B839:B869 B871:B901 B903:B933 B935:B965 B967:B997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2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4.42578125" defaultRowHeight="15" customHeight="1"/>
  <cols>
    <col min="1" max="1" width="2.7109375" customWidth="1"/>
    <col min="2" max="2" width="8.7109375" customWidth="1"/>
    <col min="3" max="3" width="44.28515625" customWidth="1"/>
    <col min="4" max="4" width="10" customWidth="1"/>
    <col min="5" max="6" width="14.5703125" customWidth="1"/>
    <col min="7" max="8" width="4.7109375" customWidth="1"/>
    <col min="9" max="10" width="13.5703125" customWidth="1"/>
    <col min="11" max="11" width="4.7109375" customWidth="1"/>
    <col min="12" max="12" width="14.140625" customWidth="1"/>
    <col min="13" max="13" width="14.5703125" customWidth="1"/>
    <col min="14" max="14" width="17.7109375" customWidth="1"/>
    <col min="15" max="15" width="14.42578125" customWidth="1"/>
    <col min="16" max="16" width="4.7109375" customWidth="1"/>
    <col min="17" max="17" width="13.42578125" customWidth="1"/>
    <col min="18" max="18" width="14.5703125" customWidth="1"/>
    <col min="19" max="19" width="14.42578125" customWidth="1"/>
    <col min="20" max="23" width="4.7109375" customWidth="1"/>
    <col min="24" max="25" width="14.42578125" customWidth="1"/>
    <col min="26" max="26" width="11.7109375" customWidth="1"/>
    <col min="27" max="27" width="13.28515625" customWidth="1"/>
    <col min="28" max="28" width="16.140625" customWidth="1"/>
    <col min="29" max="29" width="19.42578125" customWidth="1"/>
    <col min="30" max="30" width="5.140625" customWidth="1"/>
    <col min="31" max="31" width="13.140625" customWidth="1"/>
    <col min="32" max="35" width="15.28515625" customWidth="1"/>
  </cols>
  <sheetData>
    <row r="1" spans="1:35" ht="13.5" customHeight="1">
      <c r="A1" s="4"/>
      <c r="B1" s="497" t="s">
        <v>3807</v>
      </c>
      <c r="C1" s="482"/>
      <c r="D1" s="224"/>
      <c r="E1" s="4"/>
      <c r="F1" s="81"/>
      <c r="G1" s="81"/>
      <c r="H1" s="81"/>
      <c r="I1" s="4"/>
      <c r="J1" s="329"/>
      <c r="K1" s="110"/>
      <c r="L1" s="330"/>
      <c r="M1" s="330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331"/>
      <c r="AA1" s="110"/>
      <c r="AB1" s="330"/>
      <c r="AC1" s="332"/>
      <c r="AD1" s="110"/>
      <c r="AE1" s="110"/>
      <c r="AF1" s="110"/>
      <c r="AG1" s="110"/>
      <c r="AH1" s="110"/>
      <c r="AI1" s="110"/>
    </row>
    <row r="2" spans="1:35" ht="13.5" customHeight="1">
      <c r="A2" s="4"/>
      <c r="B2" s="498" t="str">
        <f>GL!I1</f>
        <v>PT TAMAN BINTANG BALI</v>
      </c>
      <c r="C2" s="482"/>
      <c r="D2" s="224"/>
      <c r="E2" s="225"/>
      <c r="F2" s="225"/>
      <c r="G2" s="79"/>
      <c r="H2" s="81"/>
      <c r="I2" s="4"/>
      <c r="J2" s="110"/>
      <c r="K2" s="110"/>
      <c r="L2" s="330"/>
      <c r="M2" s="330"/>
      <c r="N2" s="81"/>
      <c r="O2" s="79"/>
      <c r="P2" s="4"/>
      <c r="Q2" s="4"/>
      <c r="R2" s="81"/>
      <c r="S2" s="81"/>
      <c r="T2" s="4"/>
      <c r="U2" s="4"/>
      <c r="V2" s="4"/>
      <c r="W2" s="4"/>
      <c r="X2" s="4"/>
      <c r="Y2" s="4"/>
      <c r="Z2" s="331"/>
      <c r="AA2" s="110"/>
      <c r="AB2" s="330"/>
      <c r="AC2" s="332"/>
      <c r="AD2" s="110"/>
      <c r="AE2" s="110"/>
      <c r="AF2" s="110"/>
      <c r="AG2" s="110"/>
      <c r="AH2" s="110"/>
      <c r="AI2" s="110"/>
    </row>
    <row r="3" spans="1:35" ht="13.5" customHeight="1">
      <c r="A3" s="4"/>
      <c r="B3" s="498" t="str">
        <f>GL!I3</f>
        <v>MONTH OF June 2026</v>
      </c>
      <c r="C3" s="482"/>
      <c r="D3" s="224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331"/>
      <c r="AA3" s="110"/>
      <c r="AB3" s="330"/>
      <c r="AC3" s="332"/>
      <c r="AD3" s="110"/>
      <c r="AE3" s="110"/>
      <c r="AF3" s="110"/>
      <c r="AG3" s="110"/>
      <c r="AH3" s="110"/>
      <c r="AI3" s="110"/>
    </row>
    <row r="4" spans="1:35" ht="13.5" customHeight="1">
      <c r="A4" s="4"/>
      <c r="B4" s="499" t="s">
        <v>1</v>
      </c>
      <c r="C4" s="490"/>
      <c r="D4" s="502" t="s">
        <v>89</v>
      </c>
      <c r="E4" s="496" t="s">
        <v>3939</v>
      </c>
      <c r="F4" s="484"/>
      <c r="G4" s="233"/>
      <c r="H4" s="233"/>
      <c r="I4" s="496" t="s">
        <v>3940</v>
      </c>
      <c r="J4" s="484"/>
      <c r="K4" s="233"/>
      <c r="L4" s="495"/>
      <c r="M4" s="484"/>
      <c r="N4" s="496" t="s">
        <v>3941</v>
      </c>
      <c r="O4" s="484"/>
      <c r="P4" s="496" t="s">
        <v>3942</v>
      </c>
      <c r="Q4" s="484"/>
      <c r="R4" s="496" t="s">
        <v>3943</v>
      </c>
      <c r="S4" s="484"/>
      <c r="T4" s="496" t="s">
        <v>3944</v>
      </c>
      <c r="U4" s="484"/>
      <c r="V4" s="496" t="s">
        <v>3945</v>
      </c>
      <c r="W4" s="484"/>
      <c r="X4" s="496" t="s">
        <v>3946</v>
      </c>
      <c r="Y4" s="484"/>
      <c r="Z4" s="331"/>
      <c r="AA4" s="110"/>
      <c r="AB4" s="330"/>
      <c r="AC4" s="332"/>
      <c r="AD4" s="110"/>
      <c r="AE4" s="110"/>
      <c r="AF4" s="110"/>
      <c r="AG4" s="110"/>
      <c r="AH4" s="110"/>
      <c r="AI4" s="110"/>
    </row>
    <row r="5" spans="1:35" ht="13.5" customHeight="1">
      <c r="A5" s="4"/>
      <c r="B5" s="500"/>
      <c r="C5" s="501"/>
      <c r="D5" s="503"/>
      <c r="E5" s="233" t="s">
        <v>3814</v>
      </c>
      <c r="F5" s="233" t="s">
        <v>3815</v>
      </c>
      <c r="G5" s="233"/>
      <c r="H5" s="233"/>
      <c r="I5" s="233" t="s">
        <v>3814</v>
      </c>
      <c r="J5" s="233" t="s">
        <v>3815</v>
      </c>
      <c r="K5" s="233"/>
      <c r="L5" s="333"/>
      <c r="M5" s="333"/>
      <c r="N5" s="233" t="s">
        <v>3814</v>
      </c>
      <c r="O5" s="233" t="s">
        <v>3815</v>
      </c>
      <c r="P5" s="233" t="s">
        <v>3814</v>
      </c>
      <c r="Q5" s="233" t="s">
        <v>3815</v>
      </c>
      <c r="R5" s="233" t="s">
        <v>3814</v>
      </c>
      <c r="S5" s="233" t="s">
        <v>3815</v>
      </c>
      <c r="T5" s="233" t="s">
        <v>3814</v>
      </c>
      <c r="U5" s="233" t="s">
        <v>3815</v>
      </c>
      <c r="V5" s="233" t="s">
        <v>3814</v>
      </c>
      <c r="W5" s="233" t="s">
        <v>3815</v>
      </c>
      <c r="X5" s="233" t="s">
        <v>3814</v>
      </c>
      <c r="Y5" s="233" t="s">
        <v>3815</v>
      </c>
      <c r="Z5" s="331"/>
      <c r="AA5" s="110"/>
      <c r="AB5" s="330"/>
      <c r="AC5" s="332"/>
      <c r="AD5" s="110"/>
      <c r="AE5" s="110"/>
      <c r="AF5" s="110"/>
      <c r="AG5" s="110"/>
      <c r="AH5" s="110"/>
      <c r="AI5" s="110"/>
    </row>
    <row r="6" spans="1:35" ht="13.5" customHeight="1">
      <c r="A6" s="4"/>
      <c r="B6" s="334"/>
      <c r="C6" s="335"/>
      <c r="D6" s="336"/>
      <c r="E6" s="335"/>
      <c r="F6" s="335"/>
      <c r="G6" s="335"/>
      <c r="H6" s="335"/>
      <c r="I6" s="335"/>
      <c r="J6" s="335"/>
      <c r="K6" s="335"/>
      <c r="L6" s="337"/>
      <c r="M6" s="337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1"/>
      <c r="AA6" s="110"/>
      <c r="AB6" s="330"/>
      <c r="AC6" s="332"/>
      <c r="AD6" s="110"/>
      <c r="AE6" s="110"/>
      <c r="AF6" s="110"/>
      <c r="AG6" s="110"/>
      <c r="AH6" s="110"/>
      <c r="AI6" s="110"/>
    </row>
    <row r="7" spans="1:35" ht="13.5" customHeight="1">
      <c r="A7" s="2"/>
      <c r="B7" s="127" t="s">
        <v>3947</v>
      </c>
      <c r="C7" s="22" t="s">
        <v>3948</v>
      </c>
      <c r="D7" s="322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22"/>
      <c r="Q7" s="22"/>
      <c r="R7" s="338"/>
      <c r="S7" s="338"/>
      <c r="T7" s="22"/>
      <c r="U7" s="22"/>
      <c r="V7" s="22"/>
      <c r="W7" s="22"/>
      <c r="X7" s="339"/>
      <c r="Y7" s="339"/>
      <c r="Z7" s="331"/>
      <c r="AA7" s="110"/>
      <c r="AB7" s="330"/>
      <c r="AC7" s="332"/>
      <c r="AD7" s="110"/>
      <c r="AE7" s="110"/>
      <c r="AF7" s="110"/>
      <c r="AG7" s="110"/>
      <c r="AH7" s="110"/>
      <c r="AI7" s="110"/>
    </row>
    <row r="8" spans="1:35" ht="13.5" customHeight="1">
      <c r="A8" s="2"/>
      <c r="B8" s="127" t="s">
        <v>3949</v>
      </c>
      <c r="C8" s="22" t="s">
        <v>3950</v>
      </c>
      <c r="D8" s="322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22"/>
      <c r="Q8" s="22"/>
      <c r="R8" s="338"/>
      <c r="S8" s="338"/>
      <c r="T8" s="22"/>
      <c r="U8" s="22"/>
      <c r="V8" s="22"/>
      <c r="W8" s="22"/>
      <c r="X8" s="339"/>
      <c r="Y8" s="339"/>
      <c r="Z8" s="331"/>
      <c r="AA8" s="110"/>
      <c r="AB8" s="330"/>
      <c r="AC8" s="332"/>
      <c r="AD8" s="110"/>
      <c r="AE8" s="110"/>
      <c r="AF8" s="110"/>
      <c r="AG8" s="110"/>
      <c r="AH8" s="110"/>
      <c r="AI8" s="110"/>
    </row>
    <row r="9" spans="1:35" ht="13.5" customHeight="1">
      <c r="A9" s="4"/>
      <c r="B9" s="127" t="s">
        <v>3951</v>
      </c>
      <c r="C9" s="22" t="s">
        <v>3952</v>
      </c>
      <c r="D9" s="322"/>
      <c r="E9" s="338">
        <f t="shared" ref="E9:F9" si="0">SUM(E10:E11)</f>
        <v>638838402</v>
      </c>
      <c r="F9" s="338">
        <f t="shared" si="0"/>
        <v>642880644</v>
      </c>
      <c r="G9" s="338"/>
      <c r="H9" s="338"/>
      <c r="I9" s="338">
        <f t="shared" ref="I9:Y9" si="1">SUM(I10:I11)</f>
        <v>10730518</v>
      </c>
      <c r="J9" s="338">
        <f t="shared" si="1"/>
        <v>14772760</v>
      </c>
      <c r="K9" s="338">
        <f t="shared" si="1"/>
        <v>0</v>
      </c>
      <c r="L9" s="338">
        <f t="shared" si="1"/>
        <v>25194675</v>
      </c>
      <c r="M9" s="338">
        <f t="shared" si="1"/>
        <v>0</v>
      </c>
      <c r="N9" s="338">
        <f t="shared" si="1"/>
        <v>21152433</v>
      </c>
      <c r="O9" s="338">
        <f t="shared" si="1"/>
        <v>0</v>
      </c>
      <c r="P9" s="338">
        <f t="shared" si="1"/>
        <v>0</v>
      </c>
      <c r="Q9" s="338">
        <f t="shared" si="1"/>
        <v>0</v>
      </c>
      <c r="R9" s="338">
        <f t="shared" si="1"/>
        <v>21152433</v>
      </c>
      <c r="S9" s="338">
        <f t="shared" si="1"/>
        <v>0</v>
      </c>
      <c r="T9" s="338">
        <f t="shared" si="1"/>
        <v>0</v>
      </c>
      <c r="U9" s="338">
        <f t="shared" si="1"/>
        <v>0</v>
      </c>
      <c r="V9" s="338">
        <f t="shared" si="1"/>
        <v>0</v>
      </c>
      <c r="W9" s="338">
        <f t="shared" si="1"/>
        <v>0</v>
      </c>
      <c r="X9" s="338">
        <f t="shared" si="1"/>
        <v>21152433</v>
      </c>
      <c r="Y9" s="338">
        <f t="shared" si="1"/>
        <v>0</v>
      </c>
      <c r="Z9" s="331"/>
      <c r="AA9" s="110"/>
      <c r="AB9" s="330"/>
      <c r="AC9" s="332"/>
      <c r="AD9" s="110"/>
      <c r="AE9" s="110"/>
      <c r="AF9" s="110"/>
      <c r="AG9" s="110"/>
      <c r="AH9" s="110"/>
      <c r="AI9" s="110"/>
    </row>
    <row r="10" spans="1:35" ht="13.5" customHeight="1">
      <c r="A10" s="4"/>
      <c r="B10" s="15" t="s">
        <v>1745</v>
      </c>
      <c r="C10" s="340" t="s">
        <v>3953</v>
      </c>
      <c r="D10" s="254"/>
      <c r="E10" s="341">
        <f>SUMIF(GL!$D$6:$D$6487,B10,GL!$H$6:$H$6487)</f>
        <v>326805581</v>
      </c>
      <c r="F10" s="341">
        <f>SUMIF(GL!$D$6:$D$6487,B10,GL!$I$6:$I$6487)</f>
        <v>316075063</v>
      </c>
      <c r="G10" s="341"/>
      <c r="H10" s="341"/>
      <c r="I10" s="341">
        <f t="shared" ref="I10:I11" si="2">IF(E10&gt;F10,E10-F10,0)</f>
        <v>10730518</v>
      </c>
      <c r="J10" s="341">
        <f t="shared" ref="J10:J11" si="3">IF(F10&gt;E10,F10-E10,0)</f>
        <v>0</v>
      </c>
      <c r="K10" s="341"/>
      <c r="L10" s="342">
        <v>5921915</v>
      </c>
      <c r="M10" s="342"/>
      <c r="N10" s="341">
        <f t="shared" ref="N10:N11" si="4">IF(I10+L10&gt;J10+M10,(I10+L10)-(J10+M10),0)</f>
        <v>16652433</v>
      </c>
      <c r="O10" s="341">
        <f t="shared" ref="O10:O11" si="5">IF(J10+M10&gt;I10+L10,(J10+M10)-(I10+L10),0)</f>
        <v>0</v>
      </c>
      <c r="P10" s="341">
        <f>SUMIF(GL!$D$6488:$D$6532,B10,GL!$H$6488:$H$6532)</f>
        <v>0</v>
      </c>
      <c r="Q10" s="341">
        <f>SUMIF(GL!$D$6408:$D$6452,B10,GL!$I$6408:$I$6452)</f>
        <v>0</v>
      </c>
      <c r="R10" s="341">
        <f t="shared" ref="R10:S10" si="6">P10+N10</f>
        <v>16652433</v>
      </c>
      <c r="S10" s="341">
        <f t="shared" si="6"/>
        <v>0</v>
      </c>
      <c r="T10" s="340"/>
      <c r="U10" s="340"/>
      <c r="V10" s="340"/>
      <c r="W10" s="340"/>
      <c r="X10" s="341">
        <f t="shared" ref="X10:X11" si="7">IF(R10&gt;S10,R10-S10,0)</f>
        <v>16652433</v>
      </c>
      <c r="Y10" s="341">
        <f t="shared" ref="Y10:Y11" si="8">IF(S10&gt;R10,S10-R10,0)</f>
        <v>0</v>
      </c>
      <c r="Z10" s="331" t="s">
        <v>3954</v>
      </c>
      <c r="AA10" s="330">
        <v>16652433</v>
      </c>
      <c r="AB10" s="330">
        <f>X10-AA10</f>
        <v>0</v>
      </c>
      <c r="AC10" s="332"/>
      <c r="AD10" s="110"/>
      <c r="AE10" s="110"/>
      <c r="AF10" s="110"/>
      <c r="AG10" s="110"/>
      <c r="AH10" s="110"/>
      <c r="AI10" s="110"/>
    </row>
    <row r="11" spans="1:35" ht="13.5" customHeight="1">
      <c r="A11" s="4"/>
      <c r="B11" s="15" t="s">
        <v>39</v>
      </c>
      <c r="C11" s="340" t="s">
        <v>3955</v>
      </c>
      <c r="D11" s="254"/>
      <c r="E11" s="341">
        <f>SUMIF(GL!$D$6:$D$6487,B11,GL!$H$6:$H$6487)</f>
        <v>312032821</v>
      </c>
      <c r="F11" s="341">
        <f>SUMIF(GL!$D$6:$D$6487,B11,GL!$I$6:$I$6487)</f>
        <v>326805581</v>
      </c>
      <c r="G11" s="341"/>
      <c r="H11" s="341"/>
      <c r="I11" s="341">
        <f t="shared" si="2"/>
        <v>0</v>
      </c>
      <c r="J11" s="341">
        <f t="shared" si="3"/>
        <v>14772760</v>
      </c>
      <c r="K11" s="341"/>
      <c r="L11" s="343">
        <v>19272760</v>
      </c>
      <c r="M11" s="342"/>
      <c r="N11" s="341">
        <f t="shared" si="4"/>
        <v>4500000</v>
      </c>
      <c r="O11" s="341">
        <f t="shared" si="5"/>
        <v>0</v>
      </c>
      <c r="P11" s="341">
        <f>SUMIF(GL!$D$6488:$D$6532,B11,GL!$H$6488:$H$6532)</f>
        <v>0</v>
      </c>
      <c r="Q11" s="341">
        <f>SUMIF(GL!$D$6408:$D$6452,B11,GL!$I$6408:$I$6452)</f>
        <v>0</v>
      </c>
      <c r="R11" s="341">
        <f t="shared" ref="R11:S11" si="9">P11+N11</f>
        <v>4500000</v>
      </c>
      <c r="S11" s="341">
        <f t="shared" si="9"/>
        <v>0</v>
      </c>
      <c r="T11" s="340"/>
      <c r="U11" s="340"/>
      <c r="V11" s="340"/>
      <c r="W11" s="340"/>
      <c r="X11" s="341">
        <f t="shared" si="7"/>
        <v>4500000</v>
      </c>
      <c r="Y11" s="341">
        <f t="shared" si="8"/>
        <v>0</v>
      </c>
      <c r="Z11" s="331"/>
      <c r="AA11" s="330"/>
      <c r="AB11" s="330"/>
      <c r="AC11" s="332"/>
      <c r="AD11" s="110"/>
      <c r="AE11" s="110"/>
      <c r="AF11" s="110"/>
      <c r="AG11" s="110"/>
      <c r="AH11" s="110"/>
      <c r="AI11" s="110"/>
    </row>
    <row r="12" spans="1:35" ht="13.5" customHeight="1">
      <c r="A12" s="2"/>
      <c r="B12" s="127" t="s">
        <v>3956</v>
      </c>
      <c r="C12" s="22" t="s">
        <v>3957</v>
      </c>
      <c r="D12" s="322"/>
      <c r="E12" s="338">
        <f t="shared" ref="E12:Y12" si="10">SUM(E13:E22)</f>
        <v>3394951830.6120014</v>
      </c>
      <c r="F12" s="338">
        <f t="shared" si="10"/>
        <v>3568155689.79</v>
      </c>
      <c r="G12" s="338">
        <f t="shared" si="10"/>
        <v>0</v>
      </c>
      <c r="H12" s="338">
        <f t="shared" si="10"/>
        <v>0</v>
      </c>
      <c r="I12" s="338">
        <f t="shared" si="10"/>
        <v>1400779</v>
      </c>
      <c r="J12" s="338">
        <f t="shared" si="10"/>
        <v>174604638.17799911</v>
      </c>
      <c r="K12" s="338">
        <f t="shared" si="10"/>
        <v>0</v>
      </c>
      <c r="L12" s="338">
        <f t="shared" si="10"/>
        <v>496257319</v>
      </c>
      <c r="M12" s="338">
        <f t="shared" si="10"/>
        <v>0</v>
      </c>
      <c r="N12" s="338">
        <f t="shared" si="10"/>
        <v>323053459.82200086</v>
      </c>
      <c r="O12" s="338">
        <f t="shared" si="10"/>
        <v>0</v>
      </c>
      <c r="P12" s="338">
        <f t="shared" si="10"/>
        <v>0</v>
      </c>
      <c r="Q12" s="338">
        <f t="shared" si="10"/>
        <v>0</v>
      </c>
      <c r="R12" s="338">
        <f t="shared" si="10"/>
        <v>323053459.82200086</v>
      </c>
      <c r="S12" s="338">
        <f t="shared" si="10"/>
        <v>0</v>
      </c>
      <c r="T12" s="338">
        <f t="shared" si="10"/>
        <v>0</v>
      </c>
      <c r="U12" s="338">
        <f t="shared" si="10"/>
        <v>0</v>
      </c>
      <c r="V12" s="338">
        <f t="shared" si="10"/>
        <v>0</v>
      </c>
      <c r="W12" s="338">
        <f t="shared" si="10"/>
        <v>0</v>
      </c>
      <c r="X12" s="338">
        <f t="shared" si="10"/>
        <v>323053459.82200086</v>
      </c>
      <c r="Y12" s="338">
        <f t="shared" si="10"/>
        <v>0</v>
      </c>
      <c r="Z12" s="331"/>
      <c r="AA12" s="110"/>
      <c r="AB12" s="330"/>
      <c r="AC12" s="332"/>
      <c r="AD12" s="110"/>
      <c r="AE12" s="110"/>
      <c r="AF12" s="110"/>
      <c r="AG12" s="110"/>
      <c r="AH12" s="110"/>
      <c r="AI12" s="110"/>
    </row>
    <row r="13" spans="1:35" ht="13.5" customHeight="1">
      <c r="A13" s="4"/>
      <c r="B13" s="68" t="s">
        <v>3958</v>
      </c>
      <c r="C13" s="340" t="s">
        <v>3959</v>
      </c>
      <c r="D13" s="254"/>
      <c r="E13" s="341">
        <f>SUMIF(GL!$D$6:$D$6487,B13,GL!$H$6:$H$6487)</f>
        <v>0</v>
      </c>
      <c r="F13" s="341">
        <f>SUMIF(GL!$D$6:$D$6487,B13,GL!$I$6:$I$6487)</f>
        <v>0</v>
      </c>
      <c r="G13" s="341"/>
      <c r="H13" s="341"/>
      <c r="I13" s="341">
        <f t="shared" ref="I13:I22" si="11">IF(E13&gt;F13,E13-F13,0)</f>
        <v>0</v>
      </c>
      <c r="J13" s="341">
        <f t="shared" ref="J13:J22" si="12">IF(F13&gt;E13,F13-E13,0)</f>
        <v>0</v>
      </c>
      <c r="K13" s="341"/>
      <c r="L13" s="342"/>
      <c r="M13" s="342"/>
      <c r="N13" s="341">
        <f t="shared" ref="N13:N22" si="13">IF(I13+L13&gt;J13+M13,(I13+L13)-(J13+M13),0)</f>
        <v>0</v>
      </c>
      <c r="O13" s="341">
        <f t="shared" ref="O13:O22" si="14">IF(J13+M13&gt;I13+L13,(J13+M13)-(I13+L13),0)</f>
        <v>0</v>
      </c>
      <c r="P13" s="341">
        <f>SUMIF(GL!$D$6488:$D$6532,B13,GL!$H$6488:$H$6532)</f>
        <v>0</v>
      </c>
      <c r="Q13" s="341">
        <f>SUMIF(GL!$D$6408:$D$6452,B13,GL!$I$6408:$I$6452)</f>
        <v>0</v>
      </c>
      <c r="R13" s="341">
        <f t="shared" ref="R13:S13" si="15">P13+N13</f>
        <v>0</v>
      </c>
      <c r="S13" s="341">
        <f t="shared" si="15"/>
        <v>0</v>
      </c>
      <c r="T13" s="340"/>
      <c r="U13" s="340"/>
      <c r="V13" s="340"/>
      <c r="W13" s="340"/>
      <c r="X13" s="341">
        <f t="shared" ref="X13:X22" si="16">IF(R13&gt;S13,R13-S13,0)</f>
        <v>0</v>
      </c>
      <c r="Y13" s="341">
        <f t="shared" ref="Y13:Y22" si="17">IF(S13&gt;R13,S13-R13,0)</f>
        <v>0</v>
      </c>
      <c r="Z13" s="331"/>
      <c r="AA13" s="110"/>
      <c r="AB13" s="330"/>
      <c r="AC13" s="332"/>
      <c r="AD13" s="110"/>
      <c r="AE13" s="110"/>
      <c r="AF13" s="110"/>
      <c r="AG13" s="110"/>
      <c r="AH13" s="110"/>
      <c r="AI13" s="110"/>
    </row>
    <row r="14" spans="1:35" ht="13.5" customHeight="1">
      <c r="A14" s="4"/>
      <c r="B14" s="68" t="s">
        <v>229</v>
      </c>
      <c r="C14" s="340" t="s">
        <v>3960</v>
      </c>
      <c r="D14" s="254"/>
      <c r="E14" s="341">
        <f>SUMIF(GL!$D$6:$D$6487,B14,GL!$H$6:$H$6487)</f>
        <v>223920000</v>
      </c>
      <c r="F14" s="341">
        <f>SUMIF(GL!$D$6:$D$6487,B14,GL!$I$6:$I$6487)</f>
        <v>223703177</v>
      </c>
      <c r="G14" s="341"/>
      <c r="H14" s="341"/>
      <c r="I14" s="341">
        <f t="shared" si="11"/>
        <v>216823</v>
      </c>
      <c r="J14" s="341">
        <f t="shared" si="12"/>
        <v>0</v>
      </c>
      <c r="K14" s="341"/>
      <c r="L14" s="342">
        <v>9215363</v>
      </c>
      <c r="M14" s="342"/>
      <c r="N14" s="341">
        <f t="shared" si="13"/>
        <v>9432186</v>
      </c>
      <c r="O14" s="341">
        <f t="shared" si="14"/>
        <v>0</v>
      </c>
      <c r="P14" s="341">
        <f>SUMIF(GL!$D$6488:$D$6532,B14,GL!$H$6488:$H$6532)</f>
        <v>0</v>
      </c>
      <c r="Q14" s="341">
        <f>SUMIF(GL!$D$6408:$D$6452,B14,GL!$I$6408:$I$6452)</f>
        <v>0</v>
      </c>
      <c r="R14" s="341">
        <f t="shared" ref="R14:S14" si="18">P14+N14</f>
        <v>9432186</v>
      </c>
      <c r="S14" s="341">
        <f t="shared" si="18"/>
        <v>0</v>
      </c>
      <c r="T14" s="340"/>
      <c r="U14" s="340"/>
      <c r="V14" s="340"/>
      <c r="W14" s="340"/>
      <c r="X14" s="341">
        <f t="shared" si="16"/>
        <v>9432186</v>
      </c>
      <c r="Y14" s="341">
        <f t="shared" si="17"/>
        <v>0</v>
      </c>
      <c r="Z14" s="331" t="s">
        <v>3954</v>
      </c>
      <c r="AA14" s="329">
        <f>528.71*17840</f>
        <v>9432186.4000000004</v>
      </c>
      <c r="AB14" s="330">
        <f>X14-AA14</f>
        <v>-0.40000000037252903</v>
      </c>
      <c r="AC14" s="110"/>
      <c r="AD14" s="110"/>
      <c r="AE14" s="110"/>
      <c r="AF14" s="110"/>
      <c r="AG14" s="110"/>
      <c r="AH14" s="110"/>
      <c r="AI14" s="332"/>
    </row>
    <row r="15" spans="1:35" ht="13.5" customHeight="1">
      <c r="A15" s="4"/>
      <c r="B15" s="68" t="s">
        <v>158</v>
      </c>
      <c r="C15" s="340" t="s">
        <v>3961</v>
      </c>
      <c r="D15" s="254"/>
      <c r="E15" s="341">
        <f>SUMIF(GL!$D$6:$D$6487,B15,GL!$H$6:$H$6487)</f>
        <v>1878288242.7180009</v>
      </c>
      <c r="F15" s="341">
        <f>SUMIF(GL!$D$6:$D$6487,B15,GL!$I$6:$I$6487)</f>
        <v>1975702213.79</v>
      </c>
      <c r="G15" s="341"/>
      <c r="H15" s="341"/>
      <c r="I15" s="341">
        <f t="shared" si="11"/>
        <v>0</v>
      </c>
      <c r="J15" s="341">
        <f t="shared" si="12"/>
        <v>97413971.071999073</v>
      </c>
      <c r="K15" s="341"/>
      <c r="L15" s="342">
        <v>98857588</v>
      </c>
      <c r="M15" s="342"/>
      <c r="N15" s="341">
        <f t="shared" si="13"/>
        <v>1443616.928000927</v>
      </c>
      <c r="O15" s="341">
        <f t="shared" si="14"/>
        <v>0</v>
      </c>
      <c r="P15" s="341">
        <f>SUMIF(GL!$D$6488:$D$6532,B15,GL!$H$6488:$H$6532)</f>
        <v>0</v>
      </c>
      <c r="Q15" s="341">
        <f>SUMIF(GL!$D$6408:$D$6452,B15,GL!$I$6408:$I$6452)</f>
        <v>0</v>
      </c>
      <c r="R15" s="341">
        <f t="shared" ref="R15:S15" si="19">P15+N15</f>
        <v>1443616.928000927</v>
      </c>
      <c r="S15" s="341">
        <f t="shared" si="19"/>
        <v>0</v>
      </c>
      <c r="T15" s="340"/>
      <c r="U15" s="340"/>
      <c r="V15" s="340"/>
      <c r="W15" s="340"/>
      <c r="X15" s="341">
        <f t="shared" si="16"/>
        <v>1443616.928000927</v>
      </c>
      <c r="Y15" s="341">
        <f t="shared" si="17"/>
        <v>0</v>
      </c>
      <c r="Z15" s="331" t="s">
        <v>3954</v>
      </c>
      <c r="AA15" s="329">
        <v>1443616.93</v>
      </c>
      <c r="AB15" s="329">
        <f t="shared" ref="AB15:AB17" si="20">X15-Y15-AA15</f>
        <v>-1.9990729633718729E-3</v>
      </c>
      <c r="AC15" s="329"/>
      <c r="AD15" s="329"/>
      <c r="AE15" s="329"/>
      <c r="AF15" s="329"/>
      <c r="AG15" s="329"/>
      <c r="AH15" s="110"/>
      <c r="AI15" s="332"/>
    </row>
    <row r="16" spans="1:35" ht="13.5" customHeight="1">
      <c r="A16" s="4"/>
      <c r="B16" s="68" t="s">
        <v>172</v>
      </c>
      <c r="C16" s="340" t="s">
        <v>3962</v>
      </c>
      <c r="D16" s="254"/>
      <c r="E16" s="341">
        <f>SUMIF(GL!$D$6:$D$6487,B16,GL!$H$6:$H$6487)</f>
        <v>16898675.001999997</v>
      </c>
      <c r="F16" s="341">
        <f>SUMIF(GL!$D$6:$D$6487,B16,GL!$I$6:$I$6487)</f>
        <v>18557500</v>
      </c>
      <c r="G16" s="341"/>
      <c r="H16" s="341"/>
      <c r="I16" s="341">
        <f t="shared" si="11"/>
        <v>0</v>
      </c>
      <c r="J16" s="341">
        <f t="shared" si="12"/>
        <v>1658824.9980000034</v>
      </c>
      <c r="K16" s="341"/>
      <c r="L16" s="342">
        <v>2008743</v>
      </c>
      <c r="M16" s="342"/>
      <c r="N16" s="341">
        <f t="shared" si="13"/>
        <v>349918.0019999966</v>
      </c>
      <c r="O16" s="341">
        <f t="shared" si="14"/>
        <v>0</v>
      </c>
      <c r="P16" s="341">
        <f>SUMIF(GL!$D$6488:$D$6532,B16,GL!$H$6488:$H$6532)</f>
        <v>0</v>
      </c>
      <c r="Q16" s="341">
        <f>SUMIF(GL!$D$6408:$D$6452,B16,GL!$I$6408:$I$6452)</f>
        <v>0</v>
      </c>
      <c r="R16" s="341">
        <f t="shared" ref="R16:S16" si="21">P16+N16</f>
        <v>349918.0019999966</v>
      </c>
      <c r="S16" s="341">
        <f t="shared" si="21"/>
        <v>0</v>
      </c>
      <c r="T16" s="340"/>
      <c r="U16" s="340"/>
      <c r="V16" s="340"/>
      <c r="W16" s="340"/>
      <c r="X16" s="341">
        <f t="shared" si="16"/>
        <v>349918.0019999966</v>
      </c>
      <c r="Y16" s="341">
        <f t="shared" si="17"/>
        <v>0</v>
      </c>
      <c r="Z16" s="331" t="s">
        <v>3954</v>
      </c>
      <c r="AA16" s="329">
        <v>349918</v>
      </c>
      <c r="AB16" s="329">
        <f t="shared" si="20"/>
        <v>1.9999966025352478E-3</v>
      </c>
      <c r="AC16" s="332"/>
      <c r="AD16" s="110"/>
      <c r="AE16" s="110"/>
      <c r="AF16" s="110"/>
      <c r="AG16" s="110"/>
      <c r="AH16" s="110"/>
      <c r="AI16" s="110"/>
    </row>
    <row r="17" spans="1:35" ht="13.5" customHeight="1">
      <c r="A17" s="4"/>
      <c r="B17" s="68" t="s">
        <v>219</v>
      </c>
      <c r="C17" s="340" t="s">
        <v>3963</v>
      </c>
      <c r="D17" s="254"/>
      <c r="E17" s="341">
        <f>SUMIF(GL!$D$6:$D$6487,B17,GL!$H$6:$H$6487)</f>
        <v>8549673</v>
      </c>
      <c r="F17" s="341">
        <f>SUMIF(GL!$D$6:$D$6487,B17,GL!$I$6:$I$6487)</f>
        <v>8977500</v>
      </c>
      <c r="G17" s="341"/>
      <c r="H17" s="341"/>
      <c r="I17" s="341">
        <f t="shared" si="11"/>
        <v>0</v>
      </c>
      <c r="J17" s="341">
        <f t="shared" si="12"/>
        <v>427827</v>
      </c>
      <c r="K17" s="341"/>
      <c r="L17" s="342">
        <v>1452954</v>
      </c>
      <c r="M17" s="342"/>
      <c r="N17" s="341">
        <f t="shared" si="13"/>
        <v>1025127</v>
      </c>
      <c r="O17" s="341">
        <f t="shared" si="14"/>
        <v>0</v>
      </c>
      <c r="P17" s="341">
        <f>SUMIF(GL!$D$6488:$D$6532,B17,GL!$H$6488:$H$6532)</f>
        <v>0</v>
      </c>
      <c r="Q17" s="341">
        <f>SUMIF(GL!$D$6408:$D$6452,B17,GL!$I$6408:$I$6452)</f>
        <v>0</v>
      </c>
      <c r="R17" s="341">
        <f t="shared" ref="R17:S17" si="22">P17+N17</f>
        <v>1025127</v>
      </c>
      <c r="S17" s="341">
        <f t="shared" si="22"/>
        <v>0</v>
      </c>
      <c r="T17" s="340"/>
      <c r="U17" s="340"/>
      <c r="V17" s="340"/>
      <c r="W17" s="340"/>
      <c r="X17" s="341">
        <f t="shared" si="16"/>
        <v>1025127</v>
      </c>
      <c r="Y17" s="341">
        <f t="shared" si="17"/>
        <v>0</v>
      </c>
      <c r="Z17" s="331" t="s">
        <v>3954</v>
      </c>
      <c r="AA17" s="329">
        <v>1025127</v>
      </c>
      <c r="AB17" s="329">
        <f t="shared" si="20"/>
        <v>0</v>
      </c>
      <c r="AC17" s="329"/>
      <c r="AD17" s="329"/>
      <c r="AE17" s="329"/>
      <c r="AF17" s="329"/>
      <c r="AG17" s="329"/>
      <c r="AH17" s="344"/>
      <c r="AI17" s="110"/>
    </row>
    <row r="18" spans="1:35" ht="13.5" customHeight="1">
      <c r="A18" s="4"/>
      <c r="B18" s="68" t="s">
        <v>122</v>
      </c>
      <c r="C18" s="340" t="s">
        <v>3964</v>
      </c>
      <c r="D18" s="254"/>
      <c r="E18" s="341">
        <f>SUMIF(GL!$D$6:$D$6487,B18,GL!$H$6:$H$6487)</f>
        <v>102154080</v>
      </c>
      <c r="F18" s="341">
        <f>SUMIF(GL!$D$6:$D$6487,B18,GL!$I$6:$I$6487)</f>
        <v>102157500</v>
      </c>
      <c r="G18" s="341"/>
      <c r="H18" s="341"/>
      <c r="I18" s="341">
        <f t="shared" si="11"/>
        <v>0</v>
      </c>
      <c r="J18" s="341">
        <f t="shared" si="12"/>
        <v>3420</v>
      </c>
      <c r="K18" s="341"/>
      <c r="L18" s="342">
        <v>1058653</v>
      </c>
      <c r="M18" s="342"/>
      <c r="N18" s="341">
        <f t="shared" si="13"/>
        <v>1055233</v>
      </c>
      <c r="O18" s="341">
        <f t="shared" si="14"/>
        <v>0</v>
      </c>
      <c r="P18" s="341">
        <f>SUMIF(GL!$D$6488:$D$6532,B18,GL!$H$6488:$H$6532)</f>
        <v>0</v>
      </c>
      <c r="Q18" s="341">
        <f>SUMIF(GL!$D$6408:$D$6452,B18,GL!$I$6408:$I$6452)</f>
        <v>0</v>
      </c>
      <c r="R18" s="341">
        <f t="shared" ref="R18:S18" si="23">P18+N18</f>
        <v>1055233</v>
      </c>
      <c r="S18" s="341">
        <f t="shared" si="23"/>
        <v>0</v>
      </c>
      <c r="T18" s="340"/>
      <c r="U18" s="340"/>
      <c r="V18" s="340"/>
      <c r="W18" s="340"/>
      <c r="X18" s="341">
        <f t="shared" si="16"/>
        <v>1055233</v>
      </c>
      <c r="Y18" s="341">
        <f t="shared" si="17"/>
        <v>0</v>
      </c>
      <c r="Z18" s="331" t="s">
        <v>3954</v>
      </c>
      <c r="AA18" s="329">
        <v>1055233.43</v>
      </c>
      <c r="AB18" s="330">
        <f>X18-AA18</f>
        <v>-0.42999999993480742</v>
      </c>
      <c r="AC18" s="332"/>
      <c r="AD18" s="110"/>
      <c r="AE18" s="110"/>
      <c r="AF18" s="110"/>
      <c r="AG18" s="110"/>
      <c r="AH18" s="110"/>
      <c r="AI18" s="110"/>
    </row>
    <row r="19" spans="1:35" ht="13.5" customHeight="1">
      <c r="A19" s="4"/>
      <c r="B19" s="68" t="s">
        <v>130</v>
      </c>
      <c r="C19" s="340" t="s">
        <v>3965</v>
      </c>
      <c r="D19" s="254"/>
      <c r="E19" s="341">
        <f>SUMIF(GL!$D$6:$D$6487,B19,GL!$H$6:$H$6487)</f>
        <v>1163369774.892</v>
      </c>
      <c r="F19" s="341">
        <f>SUMIF(GL!$D$6:$D$6487,B19,GL!$I$6:$I$6487)</f>
        <v>1238470370</v>
      </c>
      <c r="G19" s="341"/>
      <c r="H19" s="341"/>
      <c r="I19" s="341">
        <f t="shared" si="11"/>
        <v>0</v>
      </c>
      <c r="J19" s="341">
        <f t="shared" si="12"/>
        <v>75100595.10800004</v>
      </c>
      <c r="K19" s="341"/>
      <c r="L19" s="342">
        <v>75507728</v>
      </c>
      <c r="M19" s="342"/>
      <c r="N19" s="341">
        <f t="shared" si="13"/>
        <v>407132.89199995995</v>
      </c>
      <c r="O19" s="341">
        <f t="shared" si="14"/>
        <v>0</v>
      </c>
      <c r="P19" s="341">
        <f>SUMIF(GL!$D$6488:$D$6532,B19,GL!$H$6488:$H$6532)</f>
        <v>0</v>
      </c>
      <c r="Q19" s="341">
        <f>SUMIF(GL!$D$6408:$D$6452,B19,GL!$I$6408:$I$6452)</f>
        <v>0</v>
      </c>
      <c r="R19" s="341">
        <f t="shared" ref="R19:S19" si="24">P19+N19</f>
        <v>407132.89199995995</v>
      </c>
      <c r="S19" s="341">
        <f t="shared" si="24"/>
        <v>0</v>
      </c>
      <c r="T19" s="340"/>
      <c r="U19" s="340"/>
      <c r="V19" s="340"/>
      <c r="W19" s="340"/>
      <c r="X19" s="341">
        <f t="shared" si="16"/>
        <v>407132.89199995995</v>
      </c>
      <c r="Y19" s="341">
        <f t="shared" si="17"/>
        <v>0</v>
      </c>
      <c r="Z19" s="331" t="s">
        <v>3954</v>
      </c>
      <c r="AA19" s="110">
        <v>407132.89</v>
      </c>
      <c r="AB19" s="329">
        <f>X19-Y19-AA19</f>
        <v>1.9999599317088723E-3</v>
      </c>
      <c r="AC19" s="332"/>
      <c r="AD19" s="110"/>
      <c r="AE19" s="110"/>
      <c r="AF19" s="110"/>
      <c r="AG19" s="110"/>
      <c r="AH19" s="110"/>
      <c r="AI19" s="110"/>
    </row>
    <row r="20" spans="1:35" ht="13.5" customHeight="1">
      <c r="A20" s="2"/>
      <c r="B20" s="68" t="s">
        <v>3966</v>
      </c>
      <c r="C20" s="340" t="s">
        <v>3967</v>
      </c>
      <c r="D20" s="322"/>
      <c r="E20" s="341">
        <f>SUMIF(GL!$D$6:$D$6487,B20,GL!$H$6:$H$6487)</f>
        <v>0</v>
      </c>
      <c r="F20" s="341">
        <f>SUMIF(GL!$D$6:$D$6487,B20,GL!$I$6:$I$6487)</f>
        <v>0</v>
      </c>
      <c r="G20" s="341"/>
      <c r="H20" s="341"/>
      <c r="I20" s="341">
        <f t="shared" si="11"/>
        <v>0</v>
      </c>
      <c r="J20" s="341">
        <f t="shared" si="12"/>
        <v>0</v>
      </c>
      <c r="K20" s="338"/>
      <c r="L20" s="342"/>
      <c r="M20" s="345"/>
      <c r="N20" s="341">
        <f t="shared" si="13"/>
        <v>0</v>
      </c>
      <c r="O20" s="341">
        <f t="shared" si="14"/>
        <v>0</v>
      </c>
      <c r="P20" s="341">
        <f>SUMIF(GL!$D$6488:$D$6532,B20,GL!$H$6488:$H$6532)</f>
        <v>0</v>
      </c>
      <c r="Q20" s="341">
        <f>SUMIF(GL!$D$6408:$D$6452,B20,GL!$I$6408:$I$6452)</f>
        <v>0</v>
      </c>
      <c r="R20" s="341">
        <f t="shared" ref="R20:S20" si="25">P20+N20</f>
        <v>0</v>
      </c>
      <c r="S20" s="341">
        <f t="shared" si="25"/>
        <v>0</v>
      </c>
      <c r="T20" s="340"/>
      <c r="U20" s="340"/>
      <c r="V20" s="340"/>
      <c r="W20" s="340"/>
      <c r="X20" s="341">
        <f t="shared" si="16"/>
        <v>0</v>
      </c>
      <c r="Y20" s="341">
        <f t="shared" si="17"/>
        <v>0</v>
      </c>
      <c r="Z20" s="331"/>
      <c r="AA20" s="110"/>
      <c r="AB20" s="330"/>
      <c r="AC20" s="332"/>
      <c r="AD20" s="110"/>
      <c r="AE20" s="110"/>
      <c r="AF20" s="110"/>
      <c r="AG20" s="110"/>
      <c r="AH20" s="110"/>
      <c r="AI20" s="110"/>
    </row>
    <row r="21" spans="1:35" ht="13.5" customHeight="1">
      <c r="A21" s="2"/>
      <c r="B21" s="68" t="s">
        <v>65</v>
      </c>
      <c r="C21" s="340" t="s">
        <v>3968</v>
      </c>
      <c r="D21" s="322"/>
      <c r="E21" s="341">
        <f>SUMIF(GL!$D$6:$D$6487,B21,GL!$H$6:$H$6487)</f>
        <v>1771385</v>
      </c>
      <c r="F21" s="341">
        <f>SUMIF(GL!$D$6:$D$6487,B21,GL!$I$6:$I$6487)</f>
        <v>587429</v>
      </c>
      <c r="G21" s="341"/>
      <c r="H21" s="341"/>
      <c r="I21" s="341">
        <f t="shared" si="11"/>
        <v>1183956</v>
      </c>
      <c r="J21" s="341">
        <f t="shared" si="12"/>
        <v>0</v>
      </c>
      <c r="K21" s="338"/>
      <c r="L21" s="342">
        <v>308156290</v>
      </c>
      <c r="M21" s="345"/>
      <c r="N21" s="341">
        <f t="shared" si="13"/>
        <v>309340246</v>
      </c>
      <c r="O21" s="341">
        <f t="shared" si="14"/>
        <v>0</v>
      </c>
      <c r="P21" s="341">
        <f>SUMIF(GL!$D$6488:$D$6532,B21,GL!$H$6488:$H$6532)</f>
        <v>0</v>
      </c>
      <c r="Q21" s="341">
        <f>SUMIF(GL!$D$6408:$D$6452,B21,GL!$I$6408:$I$6452)</f>
        <v>0</v>
      </c>
      <c r="R21" s="341">
        <f t="shared" ref="R21:S21" si="26">P21+N21</f>
        <v>309340246</v>
      </c>
      <c r="S21" s="341">
        <f t="shared" si="26"/>
        <v>0</v>
      </c>
      <c r="T21" s="340"/>
      <c r="U21" s="340"/>
      <c r="V21" s="340"/>
      <c r="W21" s="340"/>
      <c r="X21" s="341">
        <f t="shared" si="16"/>
        <v>309340246</v>
      </c>
      <c r="Y21" s="341">
        <f t="shared" si="17"/>
        <v>0</v>
      </c>
      <c r="Z21" s="331"/>
      <c r="AA21" s="110"/>
      <c r="AB21" s="330"/>
      <c r="AC21" s="332"/>
      <c r="AD21" s="110"/>
      <c r="AE21" s="110"/>
      <c r="AF21" s="110"/>
      <c r="AG21" s="110"/>
      <c r="AH21" s="110"/>
      <c r="AI21" s="110"/>
    </row>
    <row r="22" spans="1:35" ht="12.75" customHeight="1">
      <c r="A22" s="2"/>
      <c r="B22" s="68" t="s">
        <v>3969</v>
      </c>
      <c r="C22" s="340" t="s">
        <v>3970</v>
      </c>
      <c r="D22" s="322"/>
      <c r="E22" s="341">
        <f>SUMIF(GL!$D$6:$D$6487,B22,GL!$H$6:$H$6487)</f>
        <v>0</v>
      </c>
      <c r="F22" s="341">
        <f>SUMIF(GL!$D$6:$D$6487,B22,GL!$I$6:$I$6487)</f>
        <v>0</v>
      </c>
      <c r="G22" s="341"/>
      <c r="H22" s="341"/>
      <c r="I22" s="341">
        <f t="shared" si="11"/>
        <v>0</v>
      </c>
      <c r="J22" s="341">
        <f t="shared" si="12"/>
        <v>0</v>
      </c>
      <c r="K22" s="338"/>
      <c r="L22" s="342"/>
      <c r="M22" s="345"/>
      <c r="N22" s="341">
        <f t="shared" si="13"/>
        <v>0</v>
      </c>
      <c r="O22" s="341">
        <f t="shared" si="14"/>
        <v>0</v>
      </c>
      <c r="P22" s="341">
        <f>SUMIF(GL!$D$6488:$D$6532,B22,GL!$H$6488:$H$6532)</f>
        <v>0</v>
      </c>
      <c r="Q22" s="341">
        <f>SUMIF(GL!$D$6408:$D$6452,B22,GL!$I$6408:$I$6452)</f>
        <v>0</v>
      </c>
      <c r="R22" s="341">
        <f t="shared" ref="R22:S22" si="27">P22+N22</f>
        <v>0</v>
      </c>
      <c r="S22" s="341">
        <f t="shared" si="27"/>
        <v>0</v>
      </c>
      <c r="T22" s="340"/>
      <c r="U22" s="340"/>
      <c r="V22" s="340"/>
      <c r="W22" s="340"/>
      <c r="X22" s="341">
        <f t="shared" si="16"/>
        <v>0</v>
      </c>
      <c r="Y22" s="341">
        <f t="shared" si="17"/>
        <v>0</v>
      </c>
      <c r="Z22" s="331"/>
      <c r="AA22" s="110"/>
      <c r="AB22" s="330"/>
      <c r="AC22" s="332"/>
      <c r="AD22" s="110"/>
      <c r="AE22" s="110"/>
      <c r="AF22" s="110"/>
      <c r="AG22" s="110"/>
      <c r="AH22" s="110"/>
      <c r="AI22" s="110"/>
    </row>
    <row r="23" spans="1:35" ht="13.5" customHeight="1">
      <c r="A23" s="2"/>
      <c r="B23" s="127" t="s">
        <v>3971</v>
      </c>
      <c r="C23" s="22" t="s">
        <v>3972</v>
      </c>
      <c r="D23" s="322"/>
      <c r="E23" s="338">
        <f t="shared" ref="E23:F23" si="28">E12+E9</f>
        <v>4033790232.6120014</v>
      </c>
      <c r="F23" s="338">
        <f t="shared" si="28"/>
        <v>4211036333.79</v>
      </c>
      <c r="G23" s="338"/>
      <c r="H23" s="338"/>
      <c r="I23" s="338">
        <f t="shared" ref="I23:J23" si="29">I12+I9</f>
        <v>12131297</v>
      </c>
      <c r="J23" s="338">
        <f t="shared" si="29"/>
        <v>189377398.17799911</v>
      </c>
      <c r="K23" s="338"/>
      <c r="L23" s="345">
        <f t="shared" ref="L23:M23" si="30">L9+L12</f>
        <v>521451994</v>
      </c>
      <c r="M23" s="345">
        <f t="shared" si="30"/>
        <v>0</v>
      </c>
      <c r="N23" s="338">
        <f t="shared" ref="N23:Y23" si="31">N12+N9</f>
        <v>344205892.82200086</v>
      </c>
      <c r="O23" s="338">
        <f t="shared" si="31"/>
        <v>0</v>
      </c>
      <c r="P23" s="338">
        <f t="shared" si="31"/>
        <v>0</v>
      </c>
      <c r="Q23" s="338">
        <f t="shared" si="31"/>
        <v>0</v>
      </c>
      <c r="R23" s="338">
        <f t="shared" si="31"/>
        <v>344205892.82200086</v>
      </c>
      <c r="S23" s="338">
        <f t="shared" si="31"/>
        <v>0</v>
      </c>
      <c r="T23" s="338">
        <f t="shared" si="31"/>
        <v>0</v>
      </c>
      <c r="U23" s="338">
        <f t="shared" si="31"/>
        <v>0</v>
      </c>
      <c r="V23" s="338">
        <f t="shared" si="31"/>
        <v>0</v>
      </c>
      <c r="W23" s="338">
        <f t="shared" si="31"/>
        <v>0</v>
      </c>
      <c r="X23" s="338">
        <f t="shared" si="31"/>
        <v>344205892.82200086</v>
      </c>
      <c r="Y23" s="338">
        <f t="shared" si="31"/>
        <v>0</v>
      </c>
      <c r="Z23" s="331"/>
      <c r="AA23" s="110"/>
      <c r="AB23" s="330"/>
      <c r="AC23" s="332"/>
      <c r="AD23" s="110"/>
      <c r="AE23" s="110"/>
      <c r="AF23" s="110"/>
      <c r="AG23" s="110"/>
      <c r="AH23" s="110"/>
      <c r="AI23" s="110"/>
    </row>
    <row r="24" spans="1:35" ht="13.5" customHeight="1">
      <c r="A24" s="4"/>
      <c r="B24" s="15"/>
      <c r="C24" s="340"/>
      <c r="D24" s="254"/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0"/>
      <c r="Q24" s="340"/>
      <c r="R24" s="341"/>
      <c r="S24" s="341"/>
      <c r="T24" s="340"/>
      <c r="U24" s="340"/>
      <c r="V24" s="340"/>
      <c r="W24" s="340"/>
      <c r="X24" s="346"/>
      <c r="Y24" s="346"/>
      <c r="Z24" s="331"/>
      <c r="AA24" s="110"/>
      <c r="AB24" s="330"/>
      <c r="AC24" s="332"/>
      <c r="AD24" s="110"/>
      <c r="AE24" s="110"/>
      <c r="AF24" s="110"/>
      <c r="AG24" s="110"/>
      <c r="AH24" s="110"/>
      <c r="AI24" s="110"/>
    </row>
    <row r="25" spans="1:35" ht="13.5" customHeight="1">
      <c r="A25" s="2"/>
      <c r="B25" s="127" t="s">
        <v>3973</v>
      </c>
      <c r="C25" s="22" t="s">
        <v>3974</v>
      </c>
      <c r="D25" s="322"/>
      <c r="E25" s="338">
        <f t="shared" ref="E25:Y25" si="32">SUM(E26:E28)</f>
        <v>52938163</v>
      </c>
      <c r="F25" s="338">
        <f t="shared" si="32"/>
        <v>65886554</v>
      </c>
      <c r="G25" s="338">
        <f t="shared" si="32"/>
        <v>0</v>
      </c>
      <c r="H25" s="338">
        <f t="shared" si="32"/>
        <v>0</v>
      </c>
      <c r="I25" s="338">
        <f t="shared" si="32"/>
        <v>0</v>
      </c>
      <c r="J25" s="338">
        <f t="shared" si="32"/>
        <v>12948391</v>
      </c>
      <c r="K25" s="338">
        <f t="shared" si="32"/>
        <v>0</v>
      </c>
      <c r="L25" s="338">
        <f t="shared" si="32"/>
        <v>120303822</v>
      </c>
      <c r="M25" s="338">
        <f t="shared" si="32"/>
        <v>0</v>
      </c>
      <c r="N25" s="338">
        <f t="shared" si="32"/>
        <v>107355431</v>
      </c>
      <c r="O25" s="338">
        <f t="shared" si="32"/>
        <v>0</v>
      </c>
      <c r="P25" s="338">
        <f t="shared" si="32"/>
        <v>0</v>
      </c>
      <c r="Q25" s="338">
        <f t="shared" si="32"/>
        <v>0</v>
      </c>
      <c r="R25" s="338">
        <f t="shared" si="32"/>
        <v>107355431</v>
      </c>
      <c r="S25" s="338">
        <f t="shared" si="32"/>
        <v>0</v>
      </c>
      <c r="T25" s="338">
        <f t="shared" si="32"/>
        <v>0</v>
      </c>
      <c r="U25" s="338">
        <f t="shared" si="32"/>
        <v>0</v>
      </c>
      <c r="V25" s="338">
        <f t="shared" si="32"/>
        <v>0</v>
      </c>
      <c r="W25" s="338">
        <f t="shared" si="32"/>
        <v>0</v>
      </c>
      <c r="X25" s="338">
        <f t="shared" si="32"/>
        <v>107355431</v>
      </c>
      <c r="Y25" s="338">
        <f t="shared" si="32"/>
        <v>0</v>
      </c>
      <c r="Z25" s="331"/>
      <c r="AA25" s="110"/>
      <c r="AB25" s="330"/>
      <c r="AC25" s="332"/>
      <c r="AD25" s="110"/>
      <c r="AE25" s="110"/>
      <c r="AF25" s="110"/>
      <c r="AG25" s="110"/>
      <c r="AH25" s="110"/>
      <c r="AI25" s="110"/>
    </row>
    <row r="26" spans="1:35" ht="13.5" customHeight="1">
      <c r="A26" s="4"/>
      <c r="B26" s="15" t="s">
        <v>3975</v>
      </c>
      <c r="C26" s="340" t="s">
        <v>3976</v>
      </c>
      <c r="D26" s="254"/>
      <c r="E26" s="341">
        <f>SUMIF(GL!$D$6:$D$6487,B26,GL!$H$6:$H$6487)</f>
        <v>0</v>
      </c>
      <c r="F26" s="341">
        <f>SUMIF(GL!$D$6:$D$6487,B26,GL!$I$6:$I$6487)</f>
        <v>0</v>
      </c>
      <c r="G26" s="341"/>
      <c r="H26" s="341"/>
      <c r="I26" s="341">
        <f t="shared" ref="I26:I28" si="33">IF(E26&gt;F26,E26-F26,0)</f>
        <v>0</v>
      </c>
      <c r="J26" s="341">
        <f t="shared" ref="J26:J28" si="34">IF(F26&gt;E26,F26-E26,0)</f>
        <v>0</v>
      </c>
      <c r="K26" s="341"/>
      <c r="L26" s="342"/>
      <c r="M26" s="342"/>
      <c r="N26" s="341">
        <f t="shared" ref="N26:N28" si="35">IF(I26+L26&gt;J26+M26,(I26+L26)-(J26+M26),0)</f>
        <v>0</v>
      </c>
      <c r="O26" s="341">
        <f t="shared" ref="O26:O28" si="36">IF(J26+M26&gt;I26+L26,(J26+M26)-(I26+L26),0)</f>
        <v>0</v>
      </c>
      <c r="P26" s="341">
        <f>SUMIF(GL!$D$6488:$D$6532,B26,GL!$H$6488:$H$6532)</f>
        <v>0</v>
      </c>
      <c r="Q26" s="341">
        <f>SUMIF(GL!$D$6408:$D$6452,B26,GL!$I$6408:$I$6452)</f>
        <v>0</v>
      </c>
      <c r="R26" s="341">
        <f t="shared" ref="R26:S26" si="37">P26+N26</f>
        <v>0</v>
      </c>
      <c r="S26" s="341">
        <f t="shared" si="37"/>
        <v>0</v>
      </c>
      <c r="T26" s="340"/>
      <c r="U26" s="340"/>
      <c r="V26" s="340"/>
      <c r="W26" s="340"/>
      <c r="X26" s="341">
        <f t="shared" ref="X26:X28" si="38">IF(R26&gt;S26,R26-S26,0)</f>
        <v>0</v>
      </c>
      <c r="Y26" s="341">
        <f t="shared" ref="Y26:Y28" si="39">IF(S26&gt;R26,S26-R26,0)</f>
        <v>0</v>
      </c>
      <c r="Z26" s="331"/>
      <c r="AA26" s="110"/>
      <c r="AB26" s="330"/>
      <c r="AC26" s="332"/>
      <c r="AD26" s="110"/>
      <c r="AE26" s="110"/>
      <c r="AF26" s="110"/>
      <c r="AG26" s="110"/>
      <c r="AH26" s="110"/>
      <c r="AI26" s="110"/>
    </row>
    <row r="27" spans="1:35" ht="13.5" customHeight="1">
      <c r="A27" s="4"/>
      <c r="B27" s="15" t="s">
        <v>63</v>
      </c>
      <c r="C27" s="340" t="s">
        <v>3977</v>
      </c>
      <c r="D27" s="254"/>
      <c r="E27" s="341">
        <f>SUMIF(GL!$D$6:$D$6487,B27,GL!$H$6:$H$6487)</f>
        <v>23626023</v>
      </c>
      <c r="F27" s="341">
        <f>SUMIF(GL!$D$6:$D$6487,B27,GL!$I$6:$I$6487)</f>
        <v>23957403</v>
      </c>
      <c r="G27" s="341"/>
      <c r="H27" s="341"/>
      <c r="I27" s="341">
        <f t="shared" si="33"/>
        <v>0</v>
      </c>
      <c r="J27" s="341">
        <f t="shared" si="34"/>
        <v>331380</v>
      </c>
      <c r="K27" s="341"/>
      <c r="L27" s="342">
        <v>81266358</v>
      </c>
      <c r="M27" s="342"/>
      <c r="N27" s="341">
        <f t="shared" si="35"/>
        <v>80934978</v>
      </c>
      <c r="O27" s="341">
        <f t="shared" si="36"/>
        <v>0</v>
      </c>
      <c r="P27" s="341">
        <f>SUMIF(GL!$D$6488:$D$6532,B27,GL!$H$6488:$H$6532)</f>
        <v>0</v>
      </c>
      <c r="Q27" s="341">
        <f>SUMIF(GL!$D$6408:$D$6452,B27,GL!$I$6408:$I$6452)</f>
        <v>0</v>
      </c>
      <c r="R27" s="341">
        <f t="shared" ref="R27:S27" si="40">P27+N27</f>
        <v>80934978</v>
      </c>
      <c r="S27" s="341">
        <f t="shared" si="40"/>
        <v>0</v>
      </c>
      <c r="T27" s="340"/>
      <c r="U27" s="340"/>
      <c r="V27" s="340"/>
      <c r="W27" s="340"/>
      <c r="X27" s="341">
        <f t="shared" si="38"/>
        <v>80934978</v>
      </c>
      <c r="Y27" s="341">
        <f t="shared" si="39"/>
        <v>0</v>
      </c>
      <c r="Z27" s="331"/>
      <c r="AA27" s="110"/>
      <c r="AB27" s="330"/>
      <c r="AC27" s="332"/>
      <c r="AD27" s="110"/>
      <c r="AE27" s="110"/>
      <c r="AF27" s="110"/>
      <c r="AG27" s="110"/>
      <c r="AH27" s="110"/>
      <c r="AI27" s="110"/>
    </row>
    <row r="28" spans="1:35" ht="13.5" customHeight="1">
      <c r="A28" s="4"/>
      <c r="B28" s="15" t="s">
        <v>1573</v>
      </c>
      <c r="C28" s="340" t="s">
        <v>3978</v>
      </c>
      <c r="D28" s="254"/>
      <c r="E28" s="341">
        <f>SUMIF(GL!$D$6:$D$6487,B28,GL!$H$6:$H$6487)</f>
        <v>29312140</v>
      </c>
      <c r="F28" s="341">
        <f>SUMIF(GL!$D$6:$D$6487,B28,GL!$I$6:$I$6487)</f>
        <v>41929151</v>
      </c>
      <c r="G28" s="341"/>
      <c r="H28" s="341"/>
      <c r="I28" s="341">
        <f t="shared" si="33"/>
        <v>0</v>
      </c>
      <c r="J28" s="341">
        <f t="shared" si="34"/>
        <v>12617011</v>
      </c>
      <c r="K28" s="341"/>
      <c r="L28" s="342">
        <v>39037464</v>
      </c>
      <c r="M28" s="342"/>
      <c r="N28" s="341">
        <f t="shared" si="35"/>
        <v>26420453</v>
      </c>
      <c r="O28" s="341">
        <f t="shared" si="36"/>
        <v>0</v>
      </c>
      <c r="P28" s="341">
        <f>SUMIF(GL!$D$6488:$D$6532,B28,GL!$H$6488:$H$6532)</f>
        <v>0</v>
      </c>
      <c r="Q28" s="341">
        <f>SUMIF(GL!$D$6408:$D$6452,B28,GL!$I$6408:$I$6452)</f>
        <v>0</v>
      </c>
      <c r="R28" s="341">
        <f t="shared" ref="R28:S28" si="41">P28+N28</f>
        <v>26420453</v>
      </c>
      <c r="S28" s="341">
        <f t="shared" si="41"/>
        <v>0</v>
      </c>
      <c r="T28" s="340"/>
      <c r="U28" s="340"/>
      <c r="V28" s="340"/>
      <c r="W28" s="340"/>
      <c r="X28" s="341">
        <f t="shared" si="38"/>
        <v>26420453</v>
      </c>
      <c r="Y28" s="341">
        <f t="shared" si="39"/>
        <v>0</v>
      </c>
      <c r="Z28" s="331"/>
      <c r="AA28" s="110"/>
      <c r="AB28" s="330"/>
      <c r="AC28" s="332"/>
      <c r="AD28" s="110"/>
      <c r="AE28" s="110"/>
      <c r="AF28" s="110"/>
      <c r="AG28" s="110"/>
      <c r="AH28" s="110"/>
      <c r="AI28" s="110"/>
    </row>
    <row r="29" spans="1:35" ht="13.5" customHeight="1">
      <c r="A29" s="2"/>
      <c r="B29" s="127" t="s">
        <v>3979</v>
      </c>
      <c r="C29" s="22" t="s">
        <v>3980</v>
      </c>
      <c r="D29" s="322"/>
      <c r="E29" s="338">
        <f t="shared" ref="E29:Y29" si="42">SUM(E30:E37)</f>
        <v>1988881010</v>
      </c>
      <c r="F29" s="338">
        <f t="shared" si="42"/>
        <v>2116535501</v>
      </c>
      <c r="G29" s="338">
        <f t="shared" si="42"/>
        <v>0</v>
      </c>
      <c r="H29" s="338">
        <f t="shared" si="42"/>
        <v>0</v>
      </c>
      <c r="I29" s="338">
        <f t="shared" si="42"/>
        <v>143750</v>
      </c>
      <c r="J29" s="338">
        <f t="shared" si="42"/>
        <v>127798241</v>
      </c>
      <c r="K29" s="338">
        <f t="shared" si="42"/>
        <v>0</v>
      </c>
      <c r="L29" s="338">
        <f t="shared" si="42"/>
        <v>192358312</v>
      </c>
      <c r="M29" s="338">
        <f t="shared" si="42"/>
        <v>0</v>
      </c>
      <c r="N29" s="338">
        <f t="shared" si="42"/>
        <v>64703821</v>
      </c>
      <c r="O29" s="338">
        <f t="shared" si="42"/>
        <v>0</v>
      </c>
      <c r="P29" s="338">
        <f t="shared" si="42"/>
        <v>0</v>
      </c>
      <c r="Q29" s="338">
        <f t="shared" si="42"/>
        <v>0</v>
      </c>
      <c r="R29" s="338">
        <f t="shared" si="42"/>
        <v>64703821</v>
      </c>
      <c r="S29" s="338">
        <f t="shared" si="42"/>
        <v>0</v>
      </c>
      <c r="T29" s="338">
        <f t="shared" si="42"/>
        <v>0</v>
      </c>
      <c r="U29" s="338">
        <f t="shared" si="42"/>
        <v>0</v>
      </c>
      <c r="V29" s="338">
        <f t="shared" si="42"/>
        <v>0</v>
      </c>
      <c r="W29" s="338">
        <f t="shared" si="42"/>
        <v>0</v>
      </c>
      <c r="X29" s="338">
        <f t="shared" si="42"/>
        <v>64703821</v>
      </c>
      <c r="Y29" s="338">
        <f t="shared" si="42"/>
        <v>0</v>
      </c>
      <c r="Z29" s="331"/>
      <c r="AA29" s="110"/>
      <c r="AB29" s="330"/>
      <c r="AC29" s="332"/>
      <c r="AD29" s="110"/>
      <c r="AE29" s="110"/>
      <c r="AF29" s="110"/>
      <c r="AG29" s="110"/>
      <c r="AH29" s="110"/>
      <c r="AI29" s="110"/>
    </row>
    <row r="30" spans="1:35" ht="13.5" customHeight="1">
      <c r="A30" s="4"/>
      <c r="B30" s="15" t="s">
        <v>69</v>
      </c>
      <c r="C30" s="328" t="s">
        <v>3981</v>
      </c>
      <c r="D30" s="254"/>
      <c r="E30" s="341">
        <f>SUMIF(GL!$D$6:$D$6487,B30,GL!$H$6:$H$6487)</f>
        <v>222000</v>
      </c>
      <c r="F30" s="341">
        <f>SUMIF(GL!$D$6:$D$6487,B30,GL!$I$6:$I$6487)</f>
        <v>222000</v>
      </c>
      <c r="G30" s="341"/>
      <c r="H30" s="341"/>
      <c r="I30" s="341">
        <f t="shared" ref="I30:I37" si="43">IF(E30&gt;F30,E30-F30,0)</f>
        <v>0</v>
      </c>
      <c r="J30" s="341">
        <f t="shared" ref="J30:J37" si="44">IF(F30&gt;E30,F30-E30,0)</f>
        <v>0</v>
      </c>
      <c r="K30" s="341"/>
      <c r="L30" s="342"/>
      <c r="M30" s="342"/>
      <c r="N30" s="341">
        <f t="shared" ref="N30:N37" si="45">IF(I30+L30&gt;J30+M30,(I30+L30)-(J30+M30),0)</f>
        <v>0</v>
      </c>
      <c r="O30" s="341">
        <f t="shared" ref="O30:O37" si="46">IF(J30+M30&gt;I30+L30,(J30+M30)-(I30+L30),0)</f>
        <v>0</v>
      </c>
      <c r="P30" s="341">
        <f>SUMIF(GL!$D$6488:$D$6532,B30,GL!$H$6488:$H$6532)</f>
        <v>0</v>
      </c>
      <c r="Q30" s="341">
        <f>SUMIF(GL!$D$6408:$D$6452,B30,GL!$I$6408:$I$6452)</f>
        <v>0</v>
      </c>
      <c r="R30" s="341">
        <f t="shared" ref="R30:S30" si="47">P30+N30</f>
        <v>0</v>
      </c>
      <c r="S30" s="341">
        <f t="shared" si="47"/>
        <v>0</v>
      </c>
      <c r="T30" s="340"/>
      <c r="U30" s="340"/>
      <c r="V30" s="340"/>
      <c r="W30" s="340"/>
      <c r="X30" s="341">
        <f t="shared" ref="X30:X37" si="48">IF(R30&gt;S30,R30-S30,0)</f>
        <v>0</v>
      </c>
      <c r="Y30" s="341">
        <f t="shared" ref="Y30:Y37" si="49">IF(S30&gt;R30,S30-R30,0)</f>
        <v>0</v>
      </c>
      <c r="Z30" s="331"/>
      <c r="AA30" s="110"/>
      <c r="AB30" s="330"/>
      <c r="AC30" s="332"/>
      <c r="AD30" s="110"/>
      <c r="AE30" s="110"/>
      <c r="AF30" s="110"/>
      <c r="AG30" s="110"/>
      <c r="AH30" s="110"/>
      <c r="AI30" s="110"/>
    </row>
    <row r="31" spans="1:35" ht="13.5" customHeight="1">
      <c r="A31" s="4"/>
      <c r="B31" s="15" t="s">
        <v>3982</v>
      </c>
      <c r="C31" s="328" t="s">
        <v>3983</v>
      </c>
      <c r="D31" s="254"/>
      <c r="E31" s="341">
        <f>SUMIF(GL!$D$6:$D$6487,B31,GL!$H$6:$H$6487)</f>
        <v>0</v>
      </c>
      <c r="F31" s="341">
        <f>SUMIF(GL!$D$6:$D$6487,B31,GL!$I$6:$I$6487)</f>
        <v>0</v>
      </c>
      <c r="G31" s="341"/>
      <c r="H31" s="341"/>
      <c r="I31" s="341">
        <f t="shared" si="43"/>
        <v>0</v>
      </c>
      <c r="J31" s="341">
        <f t="shared" si="44"/>
        <v>0</v>
      </c>
      <c r="K31" s="341"/>
      <c r="L31" s="342"/>
      <c r="M31" s="342"/>
      <c r="N31" s="341">
        <f t="shared" si="45"/>
        <v>0</v>
      </c>
      <c r="O31" s="341">
        <f t="shared" si="46"/>
        <v>0</v>
      </c>
      <c r="P31" s="341">
        <f>SUMIF(GL!$D$6488:$D$6532,B31,GL!$H$6488:$H$6532)</f>
        <v>0</v>
      </c>
      <c r="Q31" s="341">
        <f>SUMIF(GL!$D$6408:$D$6452,B31,GL!$I$6408:$I$6452)</f>
        <v>0</v>
      </c>
      <c r="R31" s="341">
        <f t="shared" ref="R31:S31" si="50">P31+N31</f>
        <v>0</v>
      </c>
      <c r="S31" s="341">
        <f t="shared" si="50"/>
        <v>0</v>
      </c>
      <c r="T31" s="340"/>
      <c r="U31" s="340"/>
      <c r="V31" s="340"/>
      <c r="W31" s="340"/>
      <c r="X31" s="341">
        <f t="shared" si="48"/>
        <v>0</v>
      </c>
      <c r="Y31" s="341">
        <f t="shared" si="49"/>
        <v>0</v>
      </c>
      <c r="Z31" s="331"/>
      <c r="AA31" s="110"/>
      <c r="AB31" s="330"/>
      <c r="AC31" s="332"/>
      <c r="AD31" s="110"/>
      <c r="AE31" s="110"/>
      <c r="AF31" s="110"/>
      <c r="AG31" s="110"/>
      <c r="AH31" s="110"/>
      <c r="AI31" s="110"/>
    </row>
    <row r="32" spans="1:35" ht="13.5" customHeight="1">
      <c r="A32" s="4"/>
      <c r="B32" s="15" t="s">
        <v>48</v>
      </c>
      <c r="C32" s="328" t="s">
        <v>3984</v>
      </c>
      <c r="D32" s="254"/>
      <c r="E32" s="341">
        <f>SUMIF(GL!$D$6:$D$6487,B32,GL!$H$6:$H$6487)</f>
        <v>1543583788</v>
      </c>
      <c r="F32" s="341">
        <f>SUMIF(GL!$D$6:$D$6487,B32,GL!$I$6:$I$6487)</f>
        <v>1608132299</v>
      </c>
      <c r="G32" s="341"/>
      <c r="H32" s="341"/>
      <c r="I32" s="341">
        <f t="shared" si="43"/>
        <v>0</v>
      </c>
      <c r="J32" s="341">
        <f t="shared" si="44"/>
        <v>64548511</v>
      </c>
      <c r="K32" s="341"/>
      <c r="L32" s="342">
        <v>122329062</v>
      </c>
      <c r="M32" s="342"/>
      <c r="N32" s="341">
        <f t="shared" si="45"/>
        <v>57780551</v>
      </c>
      <c r="O32" s="341">
        <f t="shared" si="46"/>
        <v>0</v>
      </c>
      <c r="P32" s="341">
        <f>SUMIF(GL!$D$6488:$D$6532,B32,GL!$H$6488:$H$6532)</f>
        <v>0</v>
      </c>
      <c r="Q32" s="341">
        <f>SUMIF(GL!$D$6408:$D$6452,B32,GL!$I$6408:$I$6452)</f>
        <v>0</v>
      </c>
      <c r="R32" s="341">
        <f t="shared" ref="R32:S32" si="51">P32+N32</f>
        <v>57780551</v>
      </c>
      <c r="S32" s="341">
        <f t="shared" si="51"/>
        <v>0</v>
      </c>
      <c r="T32" s="340"/>
      <c r="U32" s="340"/>
      <c r="V32" s="340"/>
      <c r="W32" s="340"/>
      <c r="X32" s="341">
        <f t="shared" si="48"/>
        <v>57780551</v>
      </c>
      <c r="Y32" s="341">
        <f t="shared" si="49"/>
        <v>0</v>
      </c>
      <c r="Z32" s="331" t="s">
        <v>3954</v>
      </c>
      <c r="AA32" s="330">
        <v>57780551</v>
      </c>
      <c r="AB32" s="330">
        <f>X32-AA32</f>
        <v>0</v>
      </c>
      <c r="AC32" s="332"/>
      <c r="AD32" s="110"/>
      <c r="AE32" s="110"/>
      <c r="AF32" s="110"/>
      <c r="AG32" s="110"/>
      <c r="AH32" s="110"/>
      <c r="AI32" s="110"/>
    </row>
    <row r="33" spans="1:35" ht="13.5" customHeight="1">
      <c r="A33" s="4"/>
      <c r="B33" s="15" t="s">
        <v>58</v>
      </c>
      <c r="C33" s="328" t="s">
        <v>3985</v>
      </c>
      <c r="D33" s="254"/>
      <c r="E33" s="341">
        <f>SUMIF(GL!$D$6:$D$6487,B33,GL!$H$6:$H$6487)</f>
        <v>5877351</v>
      </c>
      <c r="F33" s="341">
        <f>SUMIF(GL!$D$6:$D$6487,B33,GL!$I$6:$I$6487)</f>
        <v>5877351</v>
      </c>
      <c r="G33" s="341"/>
      <c r="H33" s="341"/>
      <c r="I33" s="341">
        <f t="shared" si="43"/>
        <v>0</v>
      </c>
      <c r="J33" s="341">
        <f t="shared" si="44"/>
        <v>0</v>
      </c>
      <c r="K33" s="341"/>
      <c r="L33" s="342"/>
      <c r="M33" s="342"/>
      <c r="N33" s="341">
        <f t="shared" si="45"/>
        <v>0</v>
      </c>
      <c r="O33" s="341">
        <f t="shared" si="46"/>
        <v>0</v>
      </c>
      <c r="P33" s="341">
        <f>SUMIF(GL!$D$6488:$D$6532,B33,GL!$H$6488:$H$6532)</f>
        <v>0</v>
      </c>
      <c r="Q33" s="341">
        <f>SUMIF(GL!$D$6408:$D$6452,B33,GL!$I$6408:$I$6452)</f>
        <v>0</v>
      </c>
      <c r="R33" s="341">
        <f t="shared" ref="R33:S33" si="52">P33+N33</f>
        <v>0</v>
      </c>
      <c r="S33" s="341">
        <f t="shared" si="52"/>
        <v>0</v>
      </c>
      <c r="T33" s="340"/>
      <c r="U33" s="340"/>
      <c r="V33" s="340"/>
      <c r="W33" s="340"/>
      <c r="X33" s="341">
        <f t="shared" si="48"/>
        <v>0</v>
      </c>
      <c r="Y33" s="341">
        <f t="shared" si="49"/>
        <v>0</v>
      </c>
      <c r="Z33" s="331"/>
      <c r="AA33" s="330"/>
      <c r="AB33" s="330"/>
      <c r="AC33" s="332"/>
      <c r="AD33" s="110"/>
      <c r="AE33" s="110"/>
      <c r="AF33" s="110"/>
      <c r="AG33" s="110"/>
      <c r="AH33" s="110"/>
      <c r="AI33" s="110"/>
    </row>
    <row r="34" spans="1:35" ht="13.5" customHeight="1">
      <c r="A34" s="4"/>
      <c r="B34" s="15" t="s">
        <v>67</v>
      </c>
      <c r="C34" s="328" t="s">
        <v>3986</v>
      </c>
      <c r="D34" s="254"/>
      <c r="E34" s="341">
        <f>SUMIF(GL!$D$6:$D$6487,B34,GL!$H$6:$H$6487)</f>
        <v>4617625</v>
      </c>
      <c r="F34" s="341">
        <f>SUMIF(GL!$D$6:$D$6487,B34,GL!$I$6:$I$6487)</f>
        <v>4473875</v>
      </c>
      <c r="G34" s="341"/>
      <c r="H34" s="341"/>
      <c r="I34" s="341">
        <f t="shared" si="43"/>
        <v>143750</v>
      </c>
      <c r="J34" s="341">
        <f t="shared" si="44"/>
        <v>0</v>
      </c>
      <c r="K34" s="341"/>
      <c r="L34" s="342"/>
      <c r="M34" s="342"/>
      <c r="N34" s="341">
        <f t="shared" si="45"/>
        <v>143750</v>
      </c>
      <c r="O34" s="341">
        <f t="shared" si="46"/>
        <v>0</v>
      </c>
      <c r="P34" s="341">
        <f>SUMIF(GL!$D$6488:$D$6532,B34,GL!$H$6488:$H$6532)</f>
        <v>0</v>
      </c>
      <c r="Q34" s="341">
        <f>SUMIF(GL!$D$6408:$D$6452,B34,GL!$I$6408:$I$6452)</f>
        <v>0</v>
      </c>
      <c r="R34" s="341">
        <f t="shared" ref="R34:S34" si="53">P34+N34</f>
        <v>143750</v>
      </c>
      <c r="S34" s="341">
        <f t="shared" si="53"/>
        <v>0</v>
      </c>
      <c r="T34" s="340"/>
      <c r="U34" s="340"/>
      <c r="V34" s="340"/>
      <c r="W34" s="340"/>
      <c r="X34" s="341">
        <f t="shared" si="48"/>
        <v>143750</v>
      </c>
      <c r="Y34" s="341">
        <f t="shared" si="49"/>
        <v>0</v>
      </c>
      <c r="Z34" s="331" t="s">
        <v>3954</v>
      </c>
      <c r="AA34" s="110">
        <v>143750</v>
      </c>
      <c r="AB34" s="330">
        <f>X34-AA34</f>
        <v>0</v>
      </c>
      <c r="AC34" s="332"/>
      <c r="AD34" s="110"/>
      <c r="AE34" s="110"/>
      <c r="AF34" s="110"/>
      <c r="AG34" s="110"/>
      <c r="AH34" s="110"/>
      <c r="AI34" s="110"/>
    </row>
    <row r="35" spans="1:35" ht="13.5" customHeight="1">
      <c r="A35" s="4"/>
      <c r="B35" s="15" t="s">
        <v>45</v>
      </c>
      <c r="C35" s="328" t="s">
        <v>3987</v>
      </c>
      <c r="D35" s="254"/>
      <c r="E35" s="341">
        <f>SUMIF(GL!$D$6:$D$6487,B35,GL!$H$6:$H$6487)</f>
        <v>80612915</v>
      </c>
      <c r="F35" s="341">
        <f>SUMIF(GL!$D$6:$D$6487,B35,GL!$I$6:$I$6487)</f>
        <v>103334000</v>
      </c>
      <c r="G35" s="341"/>
      <c r="H35" s="341"/>
      <c r="I35" s="341">
        <f t="shared" si="43"/>
        <v>0</v>
      </c>
      <c r="J35" s="341">
        <f t="shared" si="44"/>
        <v>22721085</v>
      </c>
      <c r="K35" s="341"/>
      <c r="L35" s="342">
        <v>22721085</v>
      </c>
      <c r="M35" s="342"/>
      <c r="N35" s="341">
        <f t="shared" si="45"/>
        <v>0</v>
      </c>
      <c r="O35" s="341">
        <f t="shared" si="46"/>
        <v>0</v>
      </c>
      <c r="P35" s="341">
        <f>SUMIF(GL!$D$6488:$D$6532,B35,GL!$H$6488:$H$6532)</f>
        <v>0</v>
      </c>
      <c r="Q35" s="341">
        <f>SUMIF(GL!$D$6408:$D$6452,B35,GL!$I$6408:$I$6452)</f>
        <v>0</v>
      </c>
      <c r="R35" s="341">
        <f t="shared" ref="R35:S35" si="54">P35+N35</f>
        <v>0</v>
      </c>
      <c r="S35" s="341">
        <f t="shared" si="54"/>
        <v>0</v>
      </c>
      <c r="T35" s="340"/>
      <c r="U35" s="340"/>
      <c r="V35" s="340"/>
      <c r="W35" s="340"/>
      <c r="X35" s="341">
        <f t="shared" si="48"/>
        <v>0</v>
      </c>
      <c r="Y35" s="341">
        <f t="shared" si="49"/>
        <v>0</v>
      </c>
      <c r="Z35" s="331"/>
      <c r="AA35" s="110"/>
      <c r="AB35" s="330"/>
      <c r="AC35" s="332"/>
      <c r="AD35" s="110"/>
      <c r="AE35" s="110"/>
      <c r="AF35" s="110"/>
      <c r="AG35" s="110"/>
      <c r="AH35" s="110"/>
      <c r="AI35" s="110"/>
    </row>
    <row r="36" spans="1:35" ht="13.5" customHeight="1">
      <c r="A36" s="4"/>
      <c r="B36" s="15" t="s">
        <v>42</v>
      </c>
      <c r="C36" s="328" t="s">
        <v>3988</v>
      </c>
      <c r="D36" s="254"/>
      <c r="E36" s="341">
        <f>SUMIF(GL!$D$6:$D$6487,B36,GL!$H$6:$H$6487)</f>
        <v>353967331</v>
      </c>
      <c r="F36" s="341">
        <f>SUMIF(GL!$D$6:$D$6487,B36,GL!$I$6:$I$6487)</f>
        <v>394495976</v>
      </c>
      <c r="G36" s="341"/>
      <c r="H36" s="341"/>
      <c r="I36" s="341">
        <f t="shared" si="43"/>
        <v>0</v>
      </c>
      <c r="J36" s="341">
        <f t="shared" si="44"/>
        <v>40528645</v>
      </c>
      <c r="K36" s="341"/>
      <c r="L36" s="342">
        <v>47308165</v>
      </c>
      <c r="M36" s="342"/>
      <c r="N36" s="341">
        <f t="shared" si="45"/>
        <v>6779520</v>
      </c>
      <c r="O36" s="341">
        <f t="shared" si="46"/>
        <v>0</v>
      </c>
      <c r="P36" s="341">
        <f>SUMIF(GL!$D$6488:$D$6532,B36,GL!$H$6488:$H$6532)</f>
        <v>0</v>
      </c>
      <c r="Q36" s="341">
        <f>SUMIF(GL!$D$6408:$D$6452,B36,GL!$I$6408:$I$6452)</f>
        <v>0</v>
      </c>
      <c r="R36" s="341">
        <f t="shared" ref="R36:S36" si="55">P36+N36</f>
        <v>6779520</v>
      </c>
      <c r="S36" s="341">
        <f t="shared" si="55"/>
        <v>0</v>
      </c>
      <c r="T36" s="340"/>
      <c r="U36" s="340"/>
      <c r="V36" s="340"/>
      <c r="W36" s="340"/>
      <c r="X36" s="341">
        <f t="shared" si="48"/>
        <v>6779520</v>
      </c>
      <c r="Y36" s="341">
        <f t="shared" si="49"/>
        <v>0</v>
      </c>
      <c r="Z36" s="331" t="s">
        <v>3954</v>
      </c>
      <c r="AA36" s="330">
        <v>6779520</v>
      </c>
      <c r="AB36" s="330">
        <f>X36-AA36</f>
        <v>0</v>
      </c>
      <c r="AC36" s="332"/>
      <c r="AD36" s="110"/>
      <c r="AE36" s="110"/>
      <c r="AF36" s="110"/>
      <c r="AG36" s="110"/>
      <c r="AH36" s="110"/>
      <c r="AI36" s="110"/>
    </row>
    <row r="37" spans="1:35" ht="13.5" customHeight="1">
      <c r="A37" s="4"/>
      <c r="B37" s="178" t="s">
        <v>3989</v>
      </c>
      <c r="C37" s="340" t="s">
        <v>3968</v>
      </c>
      <c r="D37" s="322"/>
      <c r="E37" s="341">
        <f>SUMIF(GL!$D$6:$D$6487,B37,GL!$H$6:$H$6487)</f>
        <v>0</v>
      </c>
      <c r="F37" s="341">
        <f>SUMIF(GL!$D$6:$D$6487,B37,GL!$I$6:$I$6487)</f>
        <v>0</v>
      </c>
      <c r="G37" s="341"/>
      <c r="H37" s="341"/>
      <c r="I37" s="341">
        <f t="shared" si="43"/>
        <v>0</v>
      </c>
      <c r="J37" s="341">
        <f t="shared" si="44"/>
        <v>0</v>
      </c>
      <c r="K37" s="341"/>
      <c r="L37" s="338"/>
      <c r="M37" s="338"/>
      <c r="N37" s="341">
        <f t="shared" si="45"/>
        <v>0</v>
      </c>
      <c r="O37" s="341">
        <f t="shared" si="46"/>
        <v>0</v>
      </c>
      <c r="P37" s="341">
        <f>SUMIF(GL!$D$6488:$D$6532,B37,GL!$H$6488:$H$6532)</f>
        <v>0</v>
      </c>
      <c r="Q37" s="341">
        <f>SUMIF(GL!$D$6408:$D$6452,B37,GL!$I$6408:$I$6452)</f>
        <v>0</v>
      </c>
      <c r="R37" s="341">
        <f t="shared" ref="R37:S37" si="56">P37+N37</f>
        <v>0</v>
      </c>
      <c r="S37" s="341">
        <f t="shared" si="56"/>
        <v>0</v>
      </c>
      <c r="T37" s="340"/>
      <c r="U37" s="340"/>
      <c r="V37" s="340"/>
      <c r="W37" s="340"/>
      <c r="X37" s="341">
        <f t="shared" si="48"/>
        <v>0</v>
      </c>
      <c r="Y37" s="341">
        <f t="shared" si="49"/>
        <v>0</v>
      </c>
      <c r="Z37" s="331"/>
      <c r="AA37" s="110"/>
      <c r="AB37" s="330"/>
      <c r="AC37" s="332"/>
      <c r="AD37" s="110"/>
      <c r="AE37" s="110"/>
      <c r="AF37" s="110"/>
      <c r="AG37" s="110"/>
      <c r="AH37" s="110"/>
      <c r="AI37" s="110"/>
    </row>
    <row r="38" spans="1:35" ht="13.5" customHeight="1">
      <c r="A38" s="4"/>
      <c r="B38" s="127"/>
      <c r="C38" s="22"/>
      <c r="D38" s="322"/>
      <c r="E38" s="338"/>
      <c r="F38" s="338"/>
      <c r="G38" s="338"/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1"/>
      <c r="AA38" s="110"/>
      <c r="AB38" s="330"/>
      <c r="AC38" s="332"/>
      <c r="AD38" s="110"/>
      <c r="AE38" s="110"/>
      <c r="AF38" s="110"/>
      <c r="AG38" s="110"/>
      <c r="AH38" s="110"/>
      <c r="AI38" s="110"/>
    </row>
    <row r="39" spans="1:35" ht="13.5" customHeight="1">
      <c r="A39" s="4"/>
      <c r="B39" s="127" t="s">
        <v>3990</v>
      </c>
      <c r="C39" s="22" t="s">
        <v>3991</v>
      </c>
      <c r="D39" s="322"/>
      <c r="E39" s="338">
        <f t="shared" ref="E39:Y39" si="57">SUM(E40)</f>
        <v>39325785</v>
      </c>
      <c r="F39" s="338">
        <f t="shared" si="57"/>
        <v>25770573</v>
      </c>
      <c r="G39" s="338">
        <f t="shared" si="57"/>
        <v>0</v>
      </c>
      <c r="H39" s="338">
        <f t="shared" si="57"/>
        <v>0</v>
      </c>
      <c r="I39" s="338">
        <f t="shared" si="57"/>
        <v>13555212</v>
      </c>
      <c r="J39" s="338">
        <f t="shared" si="57"/>
        <v>0</v>
      </c>
      <c r="K39" s="338">
        <f t="shared" si="57"/>
        <v>0</v>
      </c>
      <c r="L39" s="338">
        <f t="shared" si="57"/>
        <v>18738149444</v>
      </c>
      <c r="M39" s="338">
        <f t="shared" si="57"/>
        <v>0</v>
      </c>
      <c r="N39" s="338">
        <f t="shared" si="57"/>
        <v>18751704656</v>
      </c>
      <c r="O39" s="338">
        <f t="shared" si="57"/>
        <v>0</v>
      </c>
      <c r="P39" s="338">
        <f t="shared" si="57"/>
        <v>0</v>
      </c>
      <c r="Q39" s="338">
        <f t="shared" si="57"/>
        <v>0</v>
      </c>
      <c r="R39" s="338">
        <f t="shared" si="57"/>
        <v>18751704656</v>
      </c>
      <c r="S39" s="338">
        <f t="shared" si="57"/>
        <v>0</v>
      </c>
      <c r="T39" s="338">
        <f t="shared" si="57"/>
        <v>0</v>
      </c>
      <c r="U39" s="338">
        <f t="shared" si="57"/>
        <v>0</v>
      </c>
      <c r="V39" s="338">
        <f t="shared" si="57"/>
        <v>0</v>
      </c>
      <c r="W39" s="338">
        <f t="shared" si="57"/>
        <v>0</v>
      </c>
      <c r="X39" s="338">
        <f t="shared" si="57"/>
        <v>18751704656</v>
      </c>
      <c r="Y39" s="338">
        <f t="shared" si="57"/>
        <v>0</v>
      </c>
      <c r="Z39" s="331"/>
      <c r="AA39" s="110"/>
      <c r="AB39" s="332"/>
      <c r="AC39" s="332"/>
      <c r="AD39" s="110"/>
      <c r="AE39" s="110"/>
      <c r="AF39" s="110"/>
      <c r="AG39" s="110"/>
      <c r="AH39" s="110"/>
      <c r="AI39" s="110"/>
    </row>
    <row r="40" spans="1:35" ht="13.5" customHeight="1">
      <c r="A40" s="4"/>
      <c r="B40" s="15" t="s">
        <v>175</v>
      </c>
      <c r="C40" s="340" t="s">
        <v>3992</v>
      </c>
      <c r="D40" s="254"/>
      <c r="E40" s="341">
        <f>SUMIF(GL!$D$6:$D$6487,B40,GL!$H$6:$H$6487)</f>
        <v>39325785</v>
      </c>
      <c r="F40" s="341">
        <f>SUMIF(GL!$D$6:$D$6487,B40,GL!$I$6:$I$6487)</f>
        <v>25770573</v>
      </c>
      <c r="G40" s="341"/>
      <c r="H40" s="341"/>
      <c r="I40" s="341">
        <f>IF(E40&gt;F40,E40-F40,0)</f>
        <v>13555212</v>
      </c>
      <c r="J40" s="341">
        <f>IF(F40&gt;E40,F40-E40,0)</f>
        <v>0</v>
      </c>
      <c r="K40" s="341"/>
      <c r="L40" s="342">
        <v>18738149444</v>
      </c>
      <c r="M40" s="342"/>
      <c r="N40" s="341">
        <f>IF(I40+L40&gt;J40+M40,(I40+L40)-(J40+M40),0)</f>
        <v>18751704656</v>
      </c>
      <c r="O40" s="341">
        <f>IF(J40+M40&gt;I40+L40,(J40+M40)-(I40+L40),0)</f>
        <v>0</v>
      </c>
      <c r="P40" s="341">
        <f>SUMIF(GL!$D$6488:$D$6532,B40,GL!$H$6488:$H$6532)</f>
        <v>0</v>
      </c>
      <c r="Q40" s="341">
        <f>SUMIF(GL!$D$6408:$D$6452,B40,GL!$I$6408:$I$6452)</f>
        <v>0</v>
      </c>
      <c r="R40" s="341">
        <f t="shared" ref="R40:S40" si="58">P40+N40</f>
        <v>18751704656</v>
      </c>
      <c r="S40" s="341">
        <f t="shared" si="58"/>
        <v>0</v>
      </c>
      <c r="T40" s="340"/>
      <c r="U40" s="340"/>
      <c r="V40" s="340"/>
      <c r="W40" s="340"/>
      <c r="X40" s="341">
        <f>IF(R40&gt;S40,R40-S40,0)</f>
        <v>18751704656</v>
      </c>
      <c r="Y40" s="341">
        <f>IF(S40&gt;R40,S40-R40,0)</f>
        <v>0</v>
      </c>
      <c r="Z40" s="331"/>
      <c r="AA40" s="110"/>
      <c r="AB40" s="332"/>
      <c r="AC40" s="332"/>
      <c r="AD40" s="110"/>
      <c r="AE40" s="110"/>
      <c r="AF40" s="110"/>
      <c r="AG40" s="110"/>
      <c r="AH40" s="110"/>
      <c r="AI40" s="110"/>
    </row>
    <row r="41" spans="1:35" ht="13.5" customHeight="1">
      <c r="A41" s="347"/>
      <c r="B41" s="127" t="s">
        <v>3993</v>
      </c>
      <c r="C41" s="348" t="s">
        <v>3994</v>
      </c>
      <c r="D41" s="349"/>
      <c r="E41" s="350">
        <f t="shared" ref="E41:Y41" si="59">E39+E29+E25</f>
        <v>2081144958</v>
      </c>
      <c r="F41" s="350">
        <f t="shared" si="59"/>
        <v>2208192628</v>
      </c>
      <c r="G41" s="350">
        <f t="shared" si="59"/>
        <v>0</v>
      </c>
      <c r="H41" s="350">
        <f t="shared" si="59"/>
        <v>0</v>
      </c>
      <c r="I41" s="350">
        <f t="shared" si="59"/>
        <v>13698962</v>
      </c>
      <c r="J41" s="350">
        <f t="shared" si="59"/>
        <v>140746632</v>
      </c>
      <c r="K41" s="350">
        <f t="shared" si="59"/>
        <v>0</v>
      </c>
      <c r="L41" s="350">
        <f t="shared" si="59"/>
        <v>19050811578</v>
      </c>
      <c r="M41" s="350">
        <f t="shared" si="59"/>
        <v>0</v>
      </c>
      <c r="N41" s="350">
        <f t="shared" si="59"/>
        <v>18923763908</v>
      </c>
      <c r="O41" s="350">
        <f t="shared" si="59"/>
        <v>0</v>
      </c>
      <c r="P41" s="350">
        <f t="shared" si="59"/>
        <v>0</v>
      </c>
      <c r="Q41" s="350">
        <f t="shared" si="59"/>
        <v>0</v>
      </c>
      <c r="R41" s="350">
        <f t="shared" si="59"/>
        <v>18923763908</v>
      </c>
      <c r="S41" s="350">
        <f t="shared" si="59"/>
        <v>0</v>
      </c>
      <c r="T41" s="350">
        <f t="shared" si="59"/>
        <v>0</v>
      </c>
      <c r="U41" s="350">
        <f t="shared" si="59"/>
        <v>0</v>
      </c>
      <c r="V41" s="350">
        <f t="shared" si="59"/>
        <v>0</v>
      </c>
      <c r="W41" s="350">
        <f t="shared" si="59"/>
        <v>0</v>
      </c>
      <c r="X41" s="350">
        <f t="shared" si="59"/>
        <v>18923763908</v>
      </c>
      <c r="Y41" s="350">
        <f t="shared" si="59"/>
        <v>0</v>
      </c>
      <c r="Z41" s="331"/>
      <c r="AA41" s="351"/>
      <c r="AB41" s="332"/>
      <c r="AC41" s="352"/>
      <c r="AD41" s="351"/>
      <c r="AE41" s="351"/>
      <c r="AF41" s="351"/>
      <c r="AG41" s="351"/>
      <c r="AH41" s="351"/>
      <c r="AI41" s="351"/>
    </row>
    <row r="42" spans="1:35" ht="13.5" customHeight="1">
      <c r="A42" s="4"/>
      <c r="B42" s="15"/>
      <c r="C42" s="340"/>
      <c r="D42" s="254"/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0"/>
      <c r="Q42" s="340"/>
      <c r="R42" s="341"/>
      <c r="S42" s="341"/>
      <c r="T42" s="340"/>
      <c r="U42" s="340"/>
      <c r="V42" s="340"/>
      <c r="W42" s="340"/>
      <c r="X42" s="346"/>
      <c r="Y42" s="346"/>
      <c r="Z42" s="331"/>
      <c r="AA42" s="110"/>
      <c r="AB42" s="332"/>
      <c r="AC42" s="332"/>
      <c r="AD42" s="110"/>
      <c r="AE42" s="110"/>
      <c r="AF42" s="110"/>
      <c r="AG42" s="110"/>
      <c r="AH42" s="110"/>
      <c r="AI42" s="110"/>
    </row>
    <row r="43" spans="1:35" ht="13.5" customHeight="1">
      <c r="A43" s="2"/>
      <c r="B43" s="127" t="s">
        <v>3818</v>
      </c>
      <c r="C43" s="22" t="s">
        <v>3995</v>
      </c>
      <c r="D43" s="322"/>
      <c r="E43" s="338"/>
      <c r="F43" s="338"/>
      <c r="G43" s="338"/>
      <c r="H43" s="338"/>
      <c r="I43" s="338"/>
      <c r="J43" s="338"/>
      <c r="K43" s="353"/>
      <c r="L43" s="338"/>
      <c r="M43" s="338"/>
      <c r="N43" s="338"/>
      <c r="O43" s="338"/>
      <c r="P43" s="22"/>
      <c r="Q43" s="22"/>
      <c r="R43" s="338"/>
      <c r="S43" s="338"/>
      <c r="T43" s="22"/>
      <c r="U43" s="22"/>
      <c r="V43" s="22"/>
      <c r="W43" s="22"/>
      <c r="X43" s="339"/>
      <c r="Y43" s="339"/>
      <c r="Z43" s="331"/>
      <c r="AA43" s="110"/>
      <c r="AB43" s="332"/>
      <c r="AC43" s="332"/>
      <c r="AD43" s="110"/>
      <c r="AE43" s="110"/>
      <c r="AF43" s="110"/>
      <c r="AG43" s="110"/>
      <c r="AH43" s="110"/>
      <c r="AI43" s="110"/>
    </row>
    <row r="44" spans="1:35" ht="13.5" customHeight="1">
      <c r="A44" s="2"/>
      <c r="B44" s="127" t="s">
        <v>3621</v>
      </c>
      <c r="C44" s="307" t="s">
        <v>3996</v>
      </c>
      <c r="D44" s="319">
        <f t="shared" ref="D44:K44" si="60">SUM(D45:D333)</f>
        <v>2458.0854509803921</v>
      </c>
      <c r="E44" s="354">
        <f t="shared" si="60"/>
        <v>82057462.407499984</v>
      </c>
      <c r="F44" s="354">
        <f t="shared" si="60"/>
        <v>0</v>
      </c>
      <c r="G44" s="354">
        <f t="shared" si="60"/>
        <v>0</v>
      </c>
      <c r="H44" s="354">
        <f t="shared" si="60"/>
        <v>0</v>
      </c>
      <c r="I44" s="354">
        <f t="shared" si="60"/>
        <v>82057462.407499984</v>
      </c>
      <c r="J44" s="354">
        <f t="shared" si="60"/>
        <v>0</v>
      </c>
      <c r="K44" s="354">
        <f t="shared" si="60"/>
        <v>0</v>
      </c>
      <c r="L44" s="354">
        <v>34932752</v>
      </c>
      <c r="M44" s="354"/>
      <c r="N44" s="354">
        <f t="shared" ref="N44:N298" si="61">IF(I44+L44&gt;J44+M44,(I44+L44)-(J44+M44),0)</f>
        <v>116990214.40749998</v>
      </c>
      <c r="O44" s="354">
        <f t="shared" ref="O44:O298" si="62">IF(J44+M44&gt;I44+L44,(J44+M44)-(I44+L44),0)</f>
        <v>0</v>
      </c>
      <c r="P44" s="354">
        <f>SUMIF(GL!$D$6488:$D$6532,B44,GL!$H$6488:$H$6532)</f>
        <v>0</v>
      </c>
      <c r="Q44" s="355">
        <f>GL!H5870</f>
        <v>71182006.001255453</v>
      </c>
      <c r="R44" s="354">
        <f t="shared" ref="R44:S44" si="63">P44+N44</f>
        <v>116990214.40749998</v>
      </c>
      <c r="S44" s="354">
        <f t="shared" si="63"/>
        <v>71182006.001255453</v>
      </c>
      <c r="T44" s="307"/>
      <c r="U44" s="307"/>
      <c r="V44" s="307"/>
      <c r="W44" s="307"/>
      <c r="X44" s="354">
        <f t="shared" ref="X44:X298" si="64">IF(R44&gt;S44,R44-S44,0)</f>
        <v>45808208.406244531</v>
      </c>
      <c r="Y44" s="354">
        <f t="shared" ref="Y44:Y298" si="65">IF(S44&gt;R44,S44-R44,0)</f>
        <v>0</v>
      </c>
      <c r="Z44" s="331"/>
      <c r="AA44" s="351"/>
      <c r="AB44" s="356"/>
      <c r="AC44" s="356"/>
      <c r="AD44" s="351"/>
      <c r="AE44" s="351"/>
      <c r="AF44" s="351"/>
      <c r="AG44" s="351"/>
      <c r="AH44" s="351"/>
      <c r="AI44" s="351"/>
    </row>
    <row r="45" spans="1:35" ht="13.5" customHeight="1">
      <c r="A45" s="4"/>
      <c r="B45" s="357"/>
      <c r="C45" s="247" t="s">
        <v>3821</v>
      </c>
      <c r="D45" s="254">
        <f>SUMIF(GL!$D$5:$D$6505,B45,GL!$G$5:$G$6505)</f>
        <v>0</v>
      </c>
      <c r="E45" s="341">
        <f>SUMIF(GL!$D$6:$D$6487,B45,GL!$H$6:$H$6487)</f>
        <v>0</v>
      </c>
      <c r="F45" s="341">
        <f>SUMIF(GL!$D$6:$D$6487,B45,GL!$I$6:$I$6487)</f>
        <v>0</v>
      </c>
      <c r="G45" s="341"/>
      <c r="H45" s="341"/>
      <c r="I45" s="341">
        <f t="shared" ref="I45:I299" si="66">IF(E45&gt;F45,E45-F45,0)</f>
        <v>0</v>
      </c>
      <c r="J45" s="341">
        <f t="shared" ref="J45:J299" si="67">IF(F45&gt;E45,F45-E45,0)</f>
        <v>0</v>
      </c>
      <c r="K45" s="341"/>
      <c r="L45" s="342"/>
      <c r="M45" s="342"/>
      <c r="N45" s="341">
        <f t="shared" si="61"/>
        <v>0</v>
      </c>
      <c r="O45" s="341">
        <f t="shared" si="62"/>
        <v>0</v>
      </c>
      <c r="P45" s="341">
        <f>SUMIF(GL!$D$6488:$D$6532,B45,GL!$H$6488:$H$6532)</f>
        <v>0</v>
      </c>
      <c r="Q45" s="341">
        <f>SUMIF(GL!$D$6408:$D$6452,B45,GL!$I$6408:$I$6452)</f>
        <v>0</v>
      </c>
      <c r="R45" s="341">
        <f t="shared" ref="R45:S45" si="68">P45+N45</f>
        <v>0</v>
      </c>
      <c r="S45" s="341">
        <f t="shared" si="68"/>
        <v>0</v>
      </c>
      <c r="T45" s="340"/>
      <c r="U45" s="340"/>
      <c r="V45" s="340"/>
      <c r="W45" s="340"/>
      <c r="X45" s="341">
        <f t="shared" si="64"/>
        <v>0</v>
      </c>
      <c r="Y45" s="341">
        <f t="shared" si="65"/>
        <v>0</v>
      </c>
      <c r="Z45" s="331"/>
      <c r="AA45" s="110"/>
      <c r="AB45" s="358"/>
      <c r="AC45" s="330"/>
      <c r="AD45" s="110"/>
      <c r="AE45" s="110"/>
      <c r="AF45" s="110"/>
      <c r="AG45" s="110"/>
      <c r="AH45" s="110"/>
      <c r="AI45" s="110"/>
    </row>
    <row r="46" spans="1:35" ht="13.5" customHeight="1">
      <c r="A46" s="4"/>
      <c r="B46" s="15" t="s">
        <v>2647</v>
      </c>
      <c r="C46" s="260" t="s">
        <v>3997</v>
      </c>
      <c r="D46" s="254">
        <f>SUMIF(GL!$D$5:$D$6505,B46,GL!$G$5:$G$6505)</f>
        <v>20.14</v>
      </c>
      <c r="E46" s="341">
        <f>SUMIF(GL!$D$6:$D$6487,B46,GL!$H$6:$H$6487)</f>
        <v>2548780</v>
      </c>
      <c r="F46" s="341">
        <f>SUMIF(GL!$D$6:$D$6487,B46,GL!$I$6:$I$6487)</f>
        <v>0</v>
      </c>
      <c r="G46" s="341"/>
      <c r="H46" s="341"/>
      <c r="I46" s="341">
        <f t="shared" si="66"/>
        <v>2548780</v>
      </c>
      <c r="J46" s="341">
        <f t="shared" si="67"/>
        <v>0</v>
      </c>
      <c r="K46" s="341"/>
      <c r="L46" s="342"/>
      <c r="M46" s="342"/>
      <c r="N46" s="341">
        <f t="shared" si="61"/>
        <v>2548780</v>
      </c>
      <c r="O46" s="341">
        <f t="shared" si="62"/>
        <v>0</v>
      </c>
      <c r="P46" s="341">
        <f>SUMIF(GL!$D$6488:$D$6532,B46,GL!$H$6488:$H$6532)</f>
        <v>0</v>
      </c>
      <c r="Q46" s="341">
        <f>SUMIF(GL!$D$6408:$D$6452,B46,GL!$I$6408:$I$6452)</f>
        <v>0</v>
      </c>
      <c r="R46" s="341">
        <f t="shared" ref="R46:S46" si="69">P46+N46</f>
        <v>2548780</v>
      </c>
      <c r="S46" s="341">
        <f t="shared" si="69"/>
        <v>0</v>
      </c>
      <c r="T46" s="340"/>
      <c r="U46" s="340"/>
      <c r="V46" s="340"/>
      <c r="W46" s="340"/>
      <c r="X46" s="341">
        <f t="shared" si="64"/>
        <v>2548780</v>
      </c>
      <c r="Y46" s="341">
        <f t="shared" si="65"/>
        <v>0</v>
      </c>
      <c r="Z46" s="359"/>
      <c r="AA46" s="110"/>
      <c r="AB46" s="358"/>
      <c r="AC46" s="330"/>
      <c r="AD46" s="110"/>
      <c r="AE46" s="110"/>
      <c r="AF46" s="332"/>
      <c r="AG46" s="332"/>
      <c r="AH46" s="332"/>
      <c r="AI46" s="332"/>
    </row>
    <row r="47" spans="1:35" ht="13.5" customHeight="1">
      <c r="A47" s="4"/>
      <c r="B47" s="15" t="s">
        <v>3998</v>
      </c>
      <c r="C47" s="260" t="s">
        <v>3999</v>
      </c>
      <c r="D47" s="254">
        <f>SUMIF(GL!$D$5:$D$6505,B47,GL!$G$5:$G$6505)</f>
        <v>0</v>
      </c>
      <c r="E47" s="341">
        <f>SUMIF(GL!$D$6:$D$6487,B47,GL!$H$6:$H$6487)</f>
        <v>0</v>
      </c>
      <c r="F47" s="341">
        <f>SUMIF(GL!$D$6:$D$6487,B47,GL!$I$6:$I$6487)</f>
        <v>0</v>
      </c>
      <c r="G47" s="341"/>
      <c r="H47" s="341"/>
      <c r="I47" s="341">
        <f t="shared" si="66"/>
        <v>0</v>
      </c>
      <c r="J47" s="341">
        <f t="shared" si="67"/>
        <v>0</v>
      </c>
      <c r="K47" s="341"/>
      <c r="L47" s="342"/>
      <c r="M47" s="342"/>
      <c r="N47" s="341">
        <f t="shared" si="61"/>
        <v>0</v>
      </c>
      <c r="O47" s="341">
        <f t="shared" si="62"/>
        <v>0</v>
      </c>
      <c r="P47" s="341">
        <f>SUMIF(GL!$D$6488:$D$6532,B47,GL!$H$6488:$H$6532)</f>
        <v>0</v>
      </c>
      <c r="Q47" s="341">
        <f>SUMIF(GL!$D$6408:$D$6452,B47,GL!$I$6408:$I$6452)</f>
        <v>0</v>
      </c>
      <c r="R47" s="341">
        <f t="shared" ref="R47:S47" si="70">P47+N47</f>
        <v>0</v>
      </c>
      <c r="S47" s="341">
        <f t="shared" si="70"/>
        <v>0</v>
      </c>
      <c r="T47" s="340"/>
      <c r="U47" s="340"/>
      <c r="V47" s="340"/>
      <c r="W47" s="340"/>
      <c r="X47" s="341">
        <f t="shared" si="64"/>
        <v>0</v>
      </c>
      <c r="Y47" s="341">
        <f t="shared" si="65"/>
        <v>0</v>
      </c>
      <c r="Z47" s="331"/>
      <c r="AA47" s="110"/>
      <c r="AB47" s="358"/>
      <c r="AC47" s="330"/>
      <c r="AD47" s="110"/>
      <c r="AE47" s="110"/>
      <c r="AF47" s="332"/>
      <c r="AG47" s="332"/>
      <c r="AH47" s="332"/>
      <c r="AI47" s="332"/>
    </row>
    <row r="48" spans="1:35" ht="13.5" customHeight="1">
      <c r="A48" s="4"/>
      <c r="B48" s="15" t="s">
        <v>4000</v>
      </c>
      <c r="C48" s="260" t="s">
        <v>4001</v>
      </c>
      <c r="D48" s="254">
        <f>SUMIF(GL!$D$5:$D$6505,B48,GL!$G$5:$G$6505)</f>
        <v>0</v>
      </c>
      <c r="E48" s="341">
        <f>SUMIF(GL!$D$6:$D$6487,B48,GL!$H$6:$H$6487)</f>
        <v>0</v>
      </c>
      <c r="F48" s="341">
        <f>SUMIF(GL!$D$6:$D$6487,B48,GL!$I$6:$I$6487)</f>
        <v>0</v>
      </c>
      <c r="G48" s="341"/>
      <c r="H48" s="341"/>
      <c r="I48" s="341">
        <f t="shared" si="66"/>
        <v>0</v>
      </c>
      <c r="J48" s="341">
        <f t="shared" si="67"/>
        <v>0</v>
      </c>
      <c r="K48" s="341"/>
      <c r="L48" s="342"/>
      <c r="M48" s="342"/>
      <c r="N48" s="341">
        <f t="shared" si="61"/>
        <v>0</v>
      </c>
      <c r="O48" s="341">
        <f t="shared" si="62"/>
        <v>0</v>
      </c>
      <c r="P48" s="341">
        <f>SUMIF(GL!$D$6488:$D$6532,B48,GL!$H$6488:$H$6532)</f>
        <v>0</v>
      </c>
      <c r="Q48" s="341">
        <f>SUMIF(GL!$D$6408:$D$6452,B48,GL!$I$6408:$I$6452)</f>
        <v>0</v>
      </c>
      <c r="R48" s="341">
        <f t="shared" ref="R48:S48" si="71">P48+N48</f>
        <v>0</v>
      </c>
      <c r="S48" s="341">
        <f t="shared" si="71"/>
        <v>0</v>
      </c>
      <c r="T48" s="340"/>
      <c r="U48" s="340"/>
      <c r="V48" s="340"/>
      <c r="W48" s="340"/>
      <c r="X48" s="341">
        <f t="shared" si="64"/>
        <v>0</v>
      </c>
      <c r="Y48" s="341">
        <f t="shared" si="65"/>
        <v>0</v>
      </c>
      <c r="Z48" s="331"/>
      <c r="AA48" s="110"/>
      <c r="AB48" s="358"/>
      <c r="AC48" s="330"/>
      <c r="AD48" s="110"/>
      <c r="AE48" s="110"/>
      <c r="AF48" s="332"/>
      <c r="AG48" s="332"/>
      <c r="AH48" s="332"/>
      <c r="AI48" s="332"/>
    </row>
    <row r="49" spans="1:35" ht="13.5" customHeight="1">
      <c r="A49" s="4"/>
      <c r="B49" s="15" t="s">
        <v>4002</v>
      </c>
      <c r="C49" s="260" t="s">
        <v>4003</v>
      </c>
      <c r="D49" s="254">
        <f>SUMIF(GL!$D$5:$D$6505,B49,GL!$G$5:$G$6505)</f>
        <v>0</v>
      </c>
      <c r="E49" s="341">
        <f>SUMIF(GL!$D$6:$D$6487,B49,GL!$H$6:$H$6487)</f>
        <v>0</v>
      </c>
      <c r="F49" s="341">
        <f>SUMIF(GL!$D$6:$D$6487,B49,GL!$I$6:$I$6487)</f>
        <v>0</v>
      </c>
      <c r="G49" s="341"/>
      <c r="H49" s="341"/>
      <c r="I49" s="341">
        <f t="shared" si="66"/>
        <v>0</v>
      </c>
      <c r="J49" s="341">
        <f t="shared" si="67"/>
        <v>0</v>
      </c>
      <c r="K49" s="341"/>
      <c r="L49" s="342"/>
      <c r="M49" s="342"/>
      <c r="N49" s="341">
        <f t="shared" si="61"/>
        <v>0</v>
      </c>
      <c r="O49" s="341">
        <f t="shared" si="62"/>
        <v>0</v>
      </c>
      <c r="P49" s="341">
        <f>SUMIF(GL!$D$6488:$D$6532,B49,GL!$H$6488:$H$6532)</f>
        <v>0</v>
      </c>
      <c r="Q49" s="341">
        <f>SUMIF(GL!$D$6408:$D$6452,B49,GL!$I$6408:$I$6452)</f>
        <v>0</v>
      </c>
      <c r="R49" s="341">
        <f t="shared" ref="R49:S49" si="72">P49+N49</f>
        <v>0</v>
      </c>
      <c r="S49" s="341">
        <f t="shared" si="72"/>
        <v>0</v>
      </c>
      <c r="T49" s="340"/>
      <c r="U49" s="340"/>
      <c r="V49" s="340"/>
      <c r="W49" s="340"/>
      <c r="X49" s="341">
        <f t="shared" si="64"/>
        <v>0</v>
      </c>
      <c r="Y49" s="341">
        <f t="shared" si="65"/>
        <v>0</v>
      </c>
      <c r="Z49" s="331"/>
      <c r="AA49" s="110"/>
      <c r="AB49" s="358"/>
      <c r="AC49" s="330"/>
      <c r="AD49" s="110"/>
      <c r="AE49" s="110"/>
      <c r="AF49" s="332"/>
      <c r="AG49" s="332"/>
      <c r="AH49" s="332"/>
      <c r="AI49" s="332"/>
    </row>
    <row r="50" spans="1:35" ht="13.5" customHeight="1">
      <c r="A50" s="110"/>
      <c r="B50" s="15" t="s">
        <v>2668</v>
      </c>
      <c r="C50" s="260" t="s">
        <v>4004</v>
      </c>
      <c r="D50" s="254">
        <f>SUMIF(GL!$D$5:$D$6505,B50,GL!$G$5:$G$6505)</f>
        <v>4.3</v>
      </c>
      <c r="E50" s="341">
        <f>SUMIF(GL!$D$6:$D$6487,B50,GL!$H$6:$H$6487)</f>
        <v>811410</v>
      </c>
      <c r="F50" s="341">
        <f>SUMIF(GL!$D$6:$D$6487,B50,GL!$I$6:$I$6487)</f>
        <v>0</v>
      </c>
      <c r="G50" s="341"/>
      <c r="H50" s="341"/>
      <c r="I50" s="341">
        <f t="shared" si="66"/>
        <v>811410</v>
      </c>
      <c r="J50" s="341">
        <f t="shared" si="67"/>
        <v>0</v>
      </c>
      <c r="K50" s="341"/>
      <c r="L50" s="342"/>
      <c r="M50" s="342"/>
      <c r="N50" s="341">
        <f t="shared" si="61"/>
        <v>811410</v>
      </c>
      <c r="O50" s="341">
        <f t="shared" si="62"/>
        <v>0</v>
      </c>
      <c r="P50" s="341">
        <f>SUMIF(GL!$D$6488:$D$6532,B50,GL!$H$6488:$H$6532)</f>
        <v>0</v>
      </c>
      <c r="Q50" s="341">
        <f>SUMIF(GL!$D$6408:$D$6452,B50,GL!$I$6408:$I$6452)</f>
        <v>0</v>
      </c>
      <c r="R50" s="341">
        <f t="shared" ref="R50:S50" si="73">P50+N50</f>
        <v>811410</v>
      </c>
      <c r="S50" s="341">
        <f t="shared" si="73"/>
        <v>0</v>
      </c>
      <c r="T50" s="340"/>
      <c r="U50" s="340"/>
      <c r="V50" s="340"/>
      <c r="W50" s="340"/>
      <c r="X50" s="341">
        <f t="shared" si="64"/>
        <v>811410</v>
      </c>
      <c r="Y50" s="341">
        <f t="shared" si="65"/>
        <v>0</v>
      </c>
      <c r="Z50" s="331"/>
      <c r="AA50" s="110"/>
      <c r="AB50" s="358"/>
      <c r="AC50" s="330"/>
      <c r="AD50" s="110"/>
      <c r="AE50" s="110"/>
      <c r="AF50" s="332"/>
      <c r="AG50" s="332"/>
      <c r="AH50" s="332"/>
      <c r="AI50" s="332"/>
    </row>
    <row r="51" spans="1:35" ht="13.5" customHeight="1">
      <c r="A51" s="4"/>
      <c r="B51" s="146" t="s">
        <v>4005</v>
      </c>
      <c r="C51" s="360" t="s">
        <v>4006</v>
      </c>
      <c r="D51" s="254">
        <f>SUMIF(GL!$D$5:$D$6505,B51,GL!$G$5:$G$6505)</f>
        <v>0</v>
      </c>
      <c r="E51" s="341">
        <f>SUMIF(GL!$D$6:$D$6487,B51,GL!$H$6:$H$6487)</f>
        <v>0</v>
      </c>
      <c r="F51" s="341">
        <f>SUMIF(GL!$D$6:$D$6487,B51,GL!$I$6:$I$6487)</f>
        <v>0</v>
      </c>
      <c r="G51" s="341"/>
      <c r="H51" s="341"/>
      <c r="I51" s="341">
        <f t="shared" si="66"/>
        <v>0</v>
      </c>
      <c r="J51" s="341">
        <f t="shared" si="67"/>
        <v>0</v>
      </c>
      <c r="K51" s="341"/>
      <c r="L51" s="342"/>
      <c r="M51" s="342"/>
      <c r="N51" s="341">
        <f t="shared" si="61"/>
        <v>0</v>
      </c>
      <c r="O51" s="341">
        <f t="shared" si="62"/>
        <v>0</v>
      </c>
      <c r="P51" s="341">
        <f>SUMIF(GL!$D$6488:$D$6532,B51,GL!$H$6488:$H$6532)</f>
        <v>0</v>
      </c>
      <c r="Q51" s="341">
        <f>SUMIF(GL!$D$6408:$D$6452,B51,GL!$I$6408:$I$6452)</f>
        <v>0</v>
      </c>
      <c r="R51" s="341">
        <f t="shared" ref="R51:S51" si="74">P51+N51</f>
        <v>0</v>
      </c>
      <c r="S51" s="341">
        <f t="shared" si="74"/>
        <v>0</v>
      </c>
      <c r="T51" s="340"/>
      <c r="U51" s="340"/>
      <c r="V51" s="340"/>
      <c r="W51" s="340"/>
      <c r="X51" s="341">
        <f t="shared" si="64"/>
        <v>0</v>
      </c>
      <c r="Y51" s="341">
        <f t="shared" si="65"/>
        <v>0</v>
      </c>
      <c r="Z51" s="331"/>
      <c r="AA51" s="110"/>
      <c r="AB51" s="358"/>
      <c r="AC51" s="330"/>
      <c r="AD51" s="110"/>
      <c r="AE51" s="110"/>
      <c r="AF51" s="332"/>
      <c r="AG51" s="332"/>
      <c r="AH51" s="332"/>
      <c r="AI51" s="332"/>
    </row>
    <row r="52" spans="1:35" ht="13.5" customHeight="1">
      <c r="A52" s="4"/>
      <c r="B52" s="15" t="s">
        <v>4007</v>
      </c>
      <c r="C52" s="260" t="s">
        <v>4008</v>
      </c>
      <c r="D52" s="254">
        <f>SUMIF(GL!$D$5:$D$6505,B52,GL!$G$5:$G$6505)</f>
        <v>0</v>
      </c>
      <c r="E52" s="341">
        <f>SUMIF(GL!$D$6:$D$6487,B52,GL!$H$6:$H$6487)</f>
        <v>0</v>
      </c>
      <c r="F52" s="341">
        <f>SUMIF(GL!$D$6:$D$6487,B52,GL!$I$6:$I$6487)</f>
        <v>0</v>
      </c>
      <c r="G52" s="341"/>
      <c r="H52" s="341"/>
      <c r="I52" s="341">
        <f t="shared" si="66"/>
        <v>0</v>
      </c>
      <c r="J52" s="341">
        <f t="shared" si="67"/>
        <v>0</v>
      </c>
      <c r="K52" s="341"/>
      <c r="L52" s="342"/>
      <c r="M52" s="342"/>
      <c r="N52" s="341">
        <f t="shared" si="61"/>
        <v>0</v>
      </c>
      <c r="O52" s="341">
        <f t="shared" si="62"/>
        <v>0</v>
      </c>
      <c r="P52" s="341">
        <f>SUMIF(GL!$D$6488:$D$6532,B52,GL!$H$6488:$H$6532)</f>
        <v>0</v>
      </c>
      <c r="Q52" s="341">
        <f>SUMIF(GL!$D$6408:$D$6452,B52,GL!$I$6408:$I$6452)</f>
        <v>0</v>
      </c>
      <c r="R52" s="341">
        <f t="shared" ref="R52:S52" si="75">P52+N52</f>
        <v>0</v>
      </c>
      <c r="S52" s="341">
        <f t="shared" si="75"/>
        <v>0</v>
      </c>
      <c r="T52" s="340"/>
      <c r="U52" s="340"/>
      <c r="V52" s="340"/>
      <c r="W52" s="340"/>
      <c r="X52" s="341">
        <f t="shared" si="64"/>
        <v>0</v>
      </c>
      <c r="Y52" s="341">
        <f t="shared" si="65"/>
        <v>0</v>
      </c>
      <c r="Z52" s="331"/>
      <c r="AA52" s="110"/>
      <c r="AB52" s="358"/>
      <c r="AC52" s="330"/>
      <c r="AD52" s="110"/>
      <c r="AE52" s="110"/>
      <c r="AF52" s="332"/>
      <c r="AG52" s="332"/>
      <c r="AH52" s="332"/>
      <c r="AI52" s="332"/>
    </row>
    <row r="53" spans="1:35" ht="13.5" customHeight="1">
      <c r="A53" s="4"/>
      <c r="B53" s="15" t="s">
        <v>2653</v>
      </c>
      <c r="C53" s="260" t="s">
        <v>4009</v>
      </c>
      <c r="D53" s="254">
        <f>SUMIF(GL!$D$5:$D$6505,B53,GL!$G$5:$G$6505)</f>
        <v>3.02</v>
      </c>
      <c r="E53" s="341">
        <f>SUMIF(GL!$D$6:$D$6487,B53,GL!$H$6:$H$6487)</f>
        <v>838050</v>
      </c>
      <c r="F53" s="341">
        <f>SUMIF(GL!$D$6:$D$6487,B53,GL!$I$6:$I$6487)</f>
        <v>0</v>
      </c>
      <c r="G53" s="341"/>
      <c r="H53" s="341"/>
      <c r="I53" s="341">
        <f t="shared" si="66"/>
        <v>838050</v>
      </c>
      <c r="J53" s="341">
        <f t="shared" si="67"/>
        <v>0</v>
      </c>
      <c r="K53" s="341"/>
      <c r="L53" s="342"/>
      <c r="M53" s="342"/>
      <c r="N53" s="341">
        <f t="shared" si="61"/>
        <v>838050</v>
      </c>
      <c r="O53" s="341">
        <f t="shared" si="62"/>
        <v>0</v>
      </c>
      <c r="P53" s="341">
        <f>SUMIF(GL!$D$6488:$D$6532,B53,GL!$H$6488:$H$6532)</f>
        <v>0</v>
      </c>
      <c r="Q53" s="341">
        <f>SUMIF(GL!$D$6408:$D$6452,B53,GL!$I$6408:$I$6452)</f>
        <v>0</v>
      </c>
      <c r="R53" s="341">
        <f t="shared" ref="R53:S53" si="76">P53+N53</f>
        <v>838050</v>
      </c>
      <c r="S53" s="341">
        <f t="shared" si="76"/>
        <v>0</v>
      </c>
      <c r="T53" s="340"/>
      <c r="U53" s="340"/>
      <c r="V53" s="340"/>
      <c r="W53" s="340"/>
      <c r="X53" s="341">
        <f t="shared" si="64"/>
        <v>838050</v>
      </c>
      <c r="Y53" s="341">
        <f t="shared" si="65"/>
        <v>0</v>
      </c>
      <c r="Z53" s="331"/>
      <c r="AA53" s="110"/>
      <c r="AB53" s="358"/>
      <c r="AC53" s="330"/>
      <c r="AD53" s="110"/>
      <c r="AE53" s="110"/>
      <c r="AF53" s="332"/>
      <c r="AG53" s="332"/>
      <c r="AH53" s="332"/>
      <c r="AI53" s="332"/>
    </row>
    <row r="54" spans="1:35" ht="13.5" customHeight="1">
      <c r="A54" s="4"/>
      <c r="B54" s="15" t="s">
        <v>4010</v>
      </c>
      <c r="C54" s="260" t="s">
        <v>4011</v>
      </c>
      <c r="D54" s="254">
        <f>SUMIF(GL!$D$5:$D$6505,B54,GL!$G$5:$G$6505)</f>
        <v>0</v>
      </c>
      <c r="E54" s="341">
        <f>SUMIF(GL!$D$6:$D$6487,B54,GL!$H$6:$H$6487)</f>
        <v>0</v>
      </c>
      <c r="F54" s="341">
        <f>SUMIF(GL!$D$6:$D$6487,B54,GL!$I$6:$I$6487)</f>
        <v>0</v>
      </c>
      <c r="G54" s="341"/>
      <c r="H54" s="341"/>
      <c r="I54" s="341">
        <f t="shared" si="66"/>
        <v>0</v>
      </c>
      <c r="J54" s="341">
        <f t="shared" si="67"/>
        <v>0</v>
      </c>
      <c r="K54" s="341"/>
      <c r="L54" s="342"/>
      <c r="M54" s="342"/>
      <c r="N54" s="341">
        <f t="shared" si="61"/>
        <v>0</v>
      </c>
      <c r="O54" s="341">
        <f t="shared" si="62"/>
        <v>0</v>
      </c>
      <c r="P54" s="341">
        <f>SUMIF(GL!$D$6488:$D$6532,B54,GL!$H$6488:$H$6532)</f>
        <v>0</v>
      </c>
      <c r="Q54" s="341">
        <f>SUMIF(GL!$D$6408:$D$6452,B54,GL!$I$6408:$I$6452)</f>
        <v>0</v>
      </c>
      <c r="R54" s="341">
        <f t="shared" ref="R54:S54" si="77">P54+N54</f>
        <v>0</v>
      </c>
      <c r="S54" s="341">
        <f t="shared" si="77"/>
        <v>0</v>
      </c>
      <c r="T54" s="340"/>
      <c r="U54" s="340"/>
      <c r="V54" s="340"/>
      <c r="W54" s="340"/>
      <c r="X54" s="341">
        <f t="shared" si="64"/>
        <v>0</v>
      </c>
      <c r="Y54" s="341">
        <f t="shared" si="65"/>
        <v>0</v>
      </c>
      <c r="Z54" s="331"/>
      <c r="AA54" s="110"/>
      <c r="AB54" s="358"/>
      <c r="AC54" s="330"/>
      <c r="AD54" s="110"/>
      <c r="AE54" s="110"/>
      <c r="AF54" s="332"/>
      <c r="AG54" s="332"/>
      <c r="AH54" s="332"/>
      <c r="AI54" s="332"/>
    </row>
    <row r="55" spans="1:35" ht="13.5" customHeight="1">
      <c r="A55" s="4"/>
      <c r="B55" s="15" t="s">
        <v>4012</v>
      </c>
      <c r="C55" s="260" t="s">
        <v>4013</v>
      </c>
      <c r="D55" s="254">
        <f>SUMIF(GL!$D$5:$D$6505,B55,GL!$G$5:$G$6505)</f>
        <v>0</v>
      </c>
      <c r="E55" s="341">
        <f>SUMIF(GL!$D$6:$D$6487,B55,GL!$H$6:$H$6487)</f>
        <v>0</v>
      </c>
      <c r="F55" s="341">
        <f>SUMIF(GL!$D$6:$D$6487,B55,GL!$I$6:$I$6487)</f>
        <v>0</v>
      </c>
      <c r="G55" s="341"/>
      <c r="H55" s="341"/>
      <c r="I55" s="341">
        <f t="shared" si="66"/>
        <v>0</v>
      </c>
      <c r="J55" s="341">
        <f t="shared" si="67"/>
        <v>0</v>
      </c>
      <c r="K55" s="341"/>
      <c r="L55" s="342"/>
      <c r="M55" s="342"/>
      <c r="N55" s="341">
        <f t="shared" si="61"/>
        <v>0</v>
      </c>
      <c r="O55" s="341">
        <f t="shared" si="62"/>
        <v>0</v>
      </c>
      <c r="P55" s="341">
        <f>SUMIF(GL!$D$6488:$D$6532,B55,GL!$H$6488:$H$6532)</f>
        <v>0</v>
      </c>
      <c r="Q55" s="341">
        <f>SUMIF(GL!$D$6408:$D$6452,B55,GL!$I$6408:$I$6452)</f>
        <v>0</v>
      </c>
      <c r="R55" s="341">
        <f t="shared" ref="R55:S55" si="78">P55+N55</f>
        <v>0</v>
      </c>
      <c r="S55" s="341">
        <f t="shared" si="78"/>
        <v>0</v>
      </c>
      <c r="T55" s="340"/>
      <c r="U55" s="340"/>
      <c r="V55" s="340"/>
      <c r="W55" s="340"/>
      <c r="X55" s="341">
        <f t="shared" si="64"/>
        <v>0</v>
      </c>
      <c r="Y55" s="341">
        <f t="shared" si="65"/>
        <v>0</v>
      </c>
      <c r="Z55" s="331"/>
      <c r="AA55" s="110"/>
      <c r="AB55" s="358"/>
      <c r="AC55" s="330"/>
      <c r="AD55" s="110"/>
      <c r="AE55" s="110"/>
      <c r="AF55" s="332"/>
      <c r="AG55" s="332"/>
      <c r="AH55" s="332"/>
      <c r="AI55" s="332"/>
    </row>
    <row r="56" spans="1:35" ht="13.5" customHeight="1">
      <c r="A56" s="4"/>
      <c r="B56" s="15" t="s">
        <v>4014</v>
      </c>
      <c r="C56" s="260" t="s">
        <v>4015</v>
      </c>
      <c r="D56" s="254">
        <f>SUMIF(GL!$D$5:$D$6505,B56,GL!$G$5:$G$6505)</f>
        <v>0</v>
      </c>
      <c r="E56" s="341">
        <f>SUMIF(GL!$D$6:$D$6487,B56,GL!$H$6:$H$6487)</f>
        <v>0</v>
      </c>
      <c r="F56" s="341">
        <f>SUMIF(GL!$D$6:$D$6487,B56,GL!$I$6:$I$6487)</f>
        <v>0</v>
      </c>
      <c r="G56" s="341"/>
      <c r="H56" s="341"/>
      <c r="I56" s="341">
        <f t="shared" si="66"/>
        <v>0</v>
      </c>
      <c r="J56" s="341">
        <f t="shared" si="67"/>
        <v>0</v>
      </c>
      <c r="K56" s="341"/>
      <c r="L56" s="342"/>
      <c r="M56" s="342"/>
      <c r="N56" s="341">
        <f t="shared" si="61"/>
        <v>0</v>
      </c>
      <c r="O56" s="341">
        <f t="shared" si="62"/>
        <v>0</v>
      </c>
      <c r="P56" s="341">
        <f>SUMIF(GL!$D$6488:$D$6532,B56,GL!$H$6488:$H$6532)</f>
        <v>0</v>
      </c>
      <c r="Q56" s="341">
        <f>SUMIF(GL!$D$6408:$D$6452,B56,GL!$I$6408:$I$6452)</f>
        <v>0</v>
      </c>
      <c r="R56" s="341">
        <f t="shared" ref="R56:S56" si="79">P56+N56</f>
        <v>0</v>
      </c>
      <c r="S56" s="341">
        <f t="shared" si="79"/>
        <v>0</v>
      </c>
      <c r="T56" s="340"/>
      <c r="U56" s="340"/>
      <c r="V56" s="340"/>
      <c r="W56" s="340"/>
      <c r="X56" s="341">
        <f t="shared" si="64"/>
        <v>0</v>
      </c>
      <c r="Y56" s="341">
        <f t="shared" si="65"/>
        <v>0</v>
      </c>
      <c r="Z56" s="331"/>
      <c r="AA56" s="110"/>
      <c r="AB56" s="358"/>
      <c r="AC56" s="330"/>
      <c r="AD56" s="110"/>
      <c r="AE56" s="110"/>
      <c r="AF56" s="332"/>
      <c r="AG56" s="332"/>
      <c r="AH56" s="332"/>
      <c r="AI56" s="332"/>
    </row>
    <row r="57" spans="1:35" ht="13.5" customHeight="1">
      <c r="A57" s="4"/>
      <c r="B57" s="15" t="s">
        <v>4016</v>
      </c>
      <c r="C57" s="260" t="s">
        <v>4017</v>
      </c>
      <c r="D57" s="254">
        <f>SUMIF(GL!$D$5:$D$6505,B57,GL!$G$5:$G$6505)</f>
        <v>0</v>
      </c>
      <c r="E57" s="341">
        <f>SUMIF(GL!$D$6:$D$6487,B57,GL!$H$6:$H$6487)</f>
        <v>0</v>
      </c>
      <c r="F57" s="341">
        <f>SUMIF(GL!$D$6:$D$6487,B57,GL!$I$6:$I$6487)</f>
        <v>0</v>
      </c>
      <c r="G57" s="341"/>
      <c r="H57" s="341"/>
      <c r="I57" s="341">
        <f t="shared" si="66"/>
        <v>0</v>
      </c>
      <c r="J57" s="341">
        <f t="shared" si="67"/>
        <v>0</v>
      </c>
      <c r="K57" s="341"/>
      <c r="L57" s="342"/>
      <c r="M57" s="342"/>
      <c r="N57" s="341">
        <f t="shared" si="61"/>
        <v>0</v>
      </c>
      <c r="O57" s="341">
        <f t="shared" si="62"/>
        <v>0</v>
      </c>
      <c r="P57" s="341">
        <f>SUMIF(GL!$D$6488:$D$6532,B57,GL!$H$6488:$H$6532)</f>
        <v>0</v>
      </c>
      <c r="Q57" s="341">
        <f>SUMIF(GL!$D$6408:$D$6452,B57,GL!$I$6408:$I$6452)</f>
        <v>0</v>
      </c>
      <c r="R57" s="341">
        <f t="shared" ref="R57:S57" si="80">P57+N57</f>
        <v>0</v>
      </c>
      <c r="S57" s="341">
        <f t="shared" si="80"/>
        <v>0</v>
      </c>
      <c r="T57" s="340"/>
      <c r="U57" s="340"/>
      <c r="V57" s="340"/>
      <c r="W57" s="340"/>
      <c r="X57" s="341">
        <f t="shared" si="64"/>
        <v>0</v>
      </c>
      <c r="Y57" s="341">
        <f t="shared" si="65"/>
        <v>0</v>
      </c>
      <c r="Z57" s="331"/>
      <c r="AA57" s="110"/>
      <c r="AB57" s="358"/>
      <c r="AC57" s="330"/>
      <c r="AD57" s="110"/>
      <c r="AE57" s="110"/>
      <c r="AF57" s="332"/>
      <c r="AG57" s="332"/>
      <c r="AH57" s="332"/>
      <c r="AI57" s="332"/>
    </row>
    <row r="58" spans="1:35" ht="13.5" customHeight="1">
      <c r="A58" s="4"/>
      <c r="B58" s="15" t="s">
        <v>1799</v>
      </c>
      <c r="C58" s="260" t="s">
        <v>4018</v>
      </c>
      <c r="D58" s="254">
        <f>SUMIF(GL!$D$5:$D$6505,B58,GL!$G$5:$G$6505)</f>
        <v>1.974</v>
      </c>
      <c r="E58" s="341">
        <f>SUMIF(GL!$D$6:$D$6487,B58,GL!$H$6:$H$6487)</f>
        <v>246750</v>
      </c>
      <c r="F58" s="341">
        <f>SUMIF(GL!$D$6:$D$6487,B58,GL!$I$6:$I$6487)</f>
        <v>0</v>
      </c>
      <c r="G58" s="341"/>
      <c r="H58" s="341"/>
      <c r="I58" s="341">
        <f t="shared" si="66"/>
        <v>246750</v>
      </c>
      <c r="J58" s="341">
        <f t="shared" si="67"/>
        <v>0</v>
      </c>
      <c r="K58" s="341"/>
      <c r="L58" s="342"/>
      <c r="M58" s="342"/>
      <c r="N58" s="341">
        <f t="shared" si="61"/>
        <v>246750</v>
      </c>
      <c r="O58" s="341">
        <f t="shared" si="62"/>
        <v>0</v>
      </c>
      <c r="P58" s="341">
        <f>SUMIF(GL!$D$6488:$D$6532,B58,GL!$H$6488:$H$6532)</f>
        <v>0</v>
      </c>
      <c r="Q58" s="341">
        <f>SUMIF(GL!$D$6408:$D$6452,B58,GL!$I$6408:$I$6452)</f>
        <v>0</v>
      </c>
      <c r="R58" s="341">
        <f t="shared" ref="R58:S58" si="81">P58+N58</f>
        <v>246750</v>
      </c>
      <c r="S58" s="341">
        <f t="shared" si="81"/>
        <v>0</v>
      </c>
      <c r="T58" s="340"/>
      <c r="U58" s="340"/>
      <c r="V58" s="340"/>
      <c r="W58" s="340"/>
      <c r="X58" s="341">
        <f t="shared" si="64"/>
        <v>246750</v>
      </c>
      <c r="Y58" s="341">
        <f t="shared" si="65"/>
        <v>0</v>
      </c>
      <c r="Z58" s="331"/>
      <c r="AA58" s="110"/>
      <c r="AB58" s="358"/>
      <c r="AC58" s="330"/>
      <c r="AD58" s="110"/>
      <c r="AE58" s="110"/>
      <c r="AF58" s="332"/>
      <c r="AG58" s="332"/>
      <c r="AH58" s="332"/>
      <c r="AI58" s="332"/>
    </row>
    <row r="59" spans="1:35" ht="13.5" customHeight="1">
      <c r="A59" s="4"/>
      <c r="B59" s="15" t="s">
        <v>4019</v>
      </c>
      <c r="C59" s="340" t="s">
        <v>4020</v>
      </c>
      <c r="D59" s="254">
        <f>SUMIF(GL!$D$5:$D$6505,B59,GL!$G$5:$G$6505)</f>
        <v>0</v>
      </c>
      <c r="E59" s="341">
        <f>SUMIF(GL!$D$6:$D$6487,B59,GL!$H$6:$H$6487)</f>
        <v>0</v>
      </c>
      <c r="F59" s="341">
        <f>SUMIF(GL!$D$6:$D$6487,B59,GL!$I$6:$I$6487)</f>
        <v>0</v>
      </c>
      <c r="G59" s="341"/>
      <c r="H59" s="341"/>
      <c r="I59" s="341">
        <f t="shared" si="66"/>
        <v>0</v>
      </c>
      <c r="J59" s="341">
        <f t="shared" si="67"/>
        <v>0</v>
      </c>
      <c r="K59" s="341"/>
      <c r="L59" s="342"/>
      <c r="M59" s="342"/>
      <c r="N59" s="341">
        <f t="shared" si="61"/>
        <v>0</v>
      </c>
      <c r="O59" s="341">
        <f t="shared" si="62"/>
        <v>0</v>
      </c>
      <c r="P59" s="341">
        <f>SUMIF(GL!$D$6488:$D$6532,B59,GL!$H$6488:$H$6532)</f>
        <v>0</v>
      </c>
      <c r="Q59" s="341">
        <f>SUMIF(GL!$D$6408:$D$6452,B59,GL!$I$6408:$I$6452)</f>
        <v>0</v>
      </c>
      <c r="R59" s="341">
        <f t="shared" ref="R59:S59" si="82">P59+N59</f>
        <v>0</v>
      </c>
      <c r="S59" s="341">
        <f t="shared" si="82"/>
        <v>0</v>
      </c>
      <c r="T59" s="340"/>
      <c r="U59" s="340"/>
      <c r="V59" s="340"/>
      <c r="W59" s="340"/>
      <c r="X59" s="341">
        <f t="shared" si="64"/>
        <v>0</v>
      </c>
      <c r="Y59" s="341">
        <f t="shared" si="65"/>
        <v>0</v>
      </c>
      <c r="Z59" s="331"/>
      <c r="AA59" s="110"/>
      <c r="AB59" s="358"/>
      <c r="AC59" s="330"/>
      <c r="AD59" s="110"/>
      <c r="AE59" s="110"/>
      <c r="AF59" s="332"/>
      <c r="AG59" s="332"/>
      <c r="AH59" s="332"/>
      <c r="AI59" s="332"/>
    </row>
    <row r="60" spans="1:35" ht="13.5" customHeight="1">
      <c r="A60" s="4"/>
      <c r="B60" s="15" t="s">
        <v>2430</v>
      </c>
      <c r="C60" s="340" t="s">
        <v>4021</v>
      </c>
      <c r="D60" s="254">
        <f>SUMIF(GL!$D$5:$D$6505,B60,GL!$G$5:$G$6505)</f>
        <v>10.4</v>
      </c>
      <c r="E60" s="341">
        <f>SUMIF(GL!$D$6:$D$6487,B60,GL!$H$6:$H$6487)</f>
        <v>1768000</v>
      </c>
      <c r="F60" s="341">
        <f>SUMIF(GL!$D$6:$D$6487,B60,GL!$I$6:$I$6487)</f>
        <v>0</v>
      </c>
      <c r="G60" s="341"/>
      <c r="H60" s="341"/>
      <c r="I60" s="341">
        <f t="shared" si="66"/>
        <v>1768000</v>
      </c>
      <c r="J60" s="341">
        <f t="shared" si="67"/>
        <v>0</v>
      </c>
      <c r="K60" s="341"/>
      <c r="L60" s="342"/>
      <c r="M60" s="342"/>
      <c r="N60" s="341">
        <f t="shared" si="61"/>
        <v>1768000</v>
      </c>
      <c r="O60" s="341">
        <f t="shared" si="62"/>
        <v>0</v>
      </c>
      <c r="P60" s="341">
        <f>SUMIF(GL!$D$6488:$D$6532,B60,GL!$H$6488:$H$6532)</f>
        <v>0</v>
      </c>
      <c r="Q60" s="341">
        <f>SUMIF(GL!$D$6408:$D$6452,B60,GL!$I$6408:$I$6452)</f>
        <v>0</v>
      </c>
      <c r="R60" s="341">
        <f t="shared" ref="R60:S60" si="83">P60+N60</f>
        <v>1768000</v>
      </c>
      <c r="S60" s="341">
        <f t="shared" si="83"/>
        <v>0</v>
      </c>
      <c r="T60" s="340"/>
      <c r="U60" s="340"/>
      <c r="V60" s="340"/>
      <c r="W60" s="340"/>
      <c r="X60" s="341">
        <f t="shared" si="64"/>
        <v>1768000</v>
      </c>
      <c r="Y60" s="341">
        <f t="shared" si="65"/>
        <v>0</v>
      </c>
      <c r="Z60" s="331"/>
      <c r="AA60" s="110"/>
      <c r="AB60" s="358"/>
      <c r="AC60" s="330"/>
      <c r="AD60" s="110"/>
      <c r="AE60" s="110"/>
      <c r="AF60" s="332"/>
      <c r="AG60" s="332"/>
      <c r="AH60" s="332"/>
      <c r="AI60" s="332"/>
    </row>
    <row r="61" spans="1:35" ht="13.5" customHeight="1">
      <c r="A61" s="4"/>
      <c r="B61" s="15" t="s">
        <v>4022</v>
      </c>
      <c r="C61" s="340" t="s">
        <v>4023</v>
      </c>
      <c r="D61" s="254">
        <f>SUMIF(GL!$D$5:$D$6505,B61,GL!$G$5:$G$6505)</f>
        <v>0</v>
      </c>
      <c r="E61" s="341">
        <f>SUMIF(GL!$D$6:$D$6487,B61,GL!$H$6:$H$6487)</f>
        <v>0</v>
      </c>
      <c r="F61" s="341">
        <f>SUMIF(GL!$D$6:$D$6487,B61,GL!$I$6:$I$6487)</f>
        <v>0</v>
      </c>
      <c r="G61" s="341"/>
      <c r="H61" s="341"/>
      <c r="I61" s="341">
        <f t="shared" si="66"/>
        <v>0</v>
      </c>
      <c r="J61" s="341">
        <f t="shared" si="67"/>
        <v>0</v>
      </c>
      <c r="K61" s="341"/>
      <c r="L61" s="342"/>
      <c r="M61" s="342"/>
      <c r="N61" s="341">
        <f t="shared" si="61"/>
        <v>0</v>
      </c>
      <c r="O61" s="341">
        <f t="shared" si="62"/>
        <v>0</v>
      </c>
      <c r="P61" s="341">
        <f>SUMIF(GL!$D$6488:$D$6532,B61,GL!$H$6488:$H$6532)</f>
        <v>0</v>
      </c>
      <c r="Q61" s="341">
        <f>SUMIF(GL!$D$6408:$D$6452,B61,GL!$I$6408:$I$6452)</f>
        <v>0</v>
      </c>
      <c r="R61" s="341">
        <f t="shared" ref="R61:S61" si="84">P61+N61</f>
        <v>0</v>
      </c>
      <c r="S61" s="341">
        <f t="shared" si="84"/>
        <v>0</v>
      </c>
      <c r="T61" s="340"/>
      <c r="U61" s="340"/>
      <c r="V61" s="340"/>
      <c r="W61" s="340"/>
      <c r="X61" s="341">
        <f t="shared" si="64"/>
        <v>0</v>
      </c>
      <c r="Y61" s="341">
        <f t="shared" si="65"/>
        <v>0</v>
      </c>
      <c r="Z61" s="331"/>
      <c r="AA61" s="110"/>
      <c r="AB61" s="358"/>
      <c r="AC61" s="330"/>
      <c r="AD61" s="110"/>
      <c r="AE61" s="110"/>
      <c r="AF61" s="332"/>
      <c r="AG61" s="332"/>
      <c r="AH61" s="332"/>
      <c r="AI61" s="332"/>
    </row>
    <row r="62" spans="1:35" ht="13.5" customHeight="1">
      <c r="A62" s="4"/>
      <c r="B62" s="15" t="s">
        <v>2834</v>
      </c>
      <c r="C62" s="340" t="s">
        <v>4024</v>
      </c>
      <c r="D62" s="254">
        <f>SUMIF(GL!$D$5:$D$6505,B62,GL!$G$5:$G$6505)</f>
        <v>9.14</v>
      </c>
      <c r="E62" s="341">
        <f>SUMIF(GL!$D$6:$D$6487,B62,GL!$H$6:$H$6487)</f>
        <v>2544048</v>
      </c>
      <c r="F62" s="341">
        <f>SUMIF(GL!$D$6:$D$6487,B62,GL!$I$6:$I$6487)</f>
        <v>0</v>
      </c>
      <c r="G62" s="341"/>
      <c r="H62" s="341"/>
      <c r="I62" s="341">
        <f t="shared" si="66"/>
        <v>2544048</v>
      </c>
      <c r="J62" s="341">
        <f t="shared" si="67"/>
        <v>0</v>
      </c>
      <c r="K62" s="341"/>
      <c r="L62" s="342"/>
      <c r="M62" s="342"/>
      <c r="N62" s="341">
        <f t="shared" si="61"/>
        <v>2544048</v>
      </c>
      <c r="O62" s="341">
        <f t="shared" si="62"/>
        <v>0</v>
      </c>
      <c r="P62" s="341">
        <f>SUMIF(GL!$D$6488:$D$6532,B62,GL!$H$6488:$H$6532)</f>
        <v>0</v>
      </c>
      <c r="Q62" s="341">
        <f>SUMIF(GL!$D$6408:$D$6452,B62,GL!$I$6408:$I$6452)</f>
        <v>0</v>
      </c>
      <c r="R62" s="341">
        <f t="shared" ref="R62:S62" si="85">P62+N62</f>
        <v>2544048</v>
      </c>
      <c r="S62" s="341">
        <f t="shared" si="85"/>
        <v>0</v>
      </c>
      <c r="T62" s="340"/>
      <c r="U62" s="340"/>
      <c r="V62" s="340"/>
      <c r="W62" s="340"/>
      <c r="X62" s="341">
        <f t="shared" si="64"/>
        <v>2544048</v>
      </c>
      <c r="Y62" s="341">
        <f t="shared" si="65"/>
        <v>0</v>
      </c>
      <c r="Z62" s="331"/>
      <c r="AA62" s="110"/>
      <c r="AB62" s="358"/>
      <c r="AC62" s="330"/>
      <c r="AD62" s="110"/>
      <c r="AE62" s="110"/>
      <c r="AF62" s="332"/>
      <c r="AG62" s="332"/>
      <c r="AH62" s="332"/>
      <c r="AI62" s="332"/>
    </row>
    <row r="63" spans="1:35" ht="13.5" customHeight="1">
      <c r="A63" s="4"/>
      <c r="B63" s="15" t="s">
        <v>2666</v>
      </c>
      <c r="C63" s="340" t="s">
        <v>4025</v>
      </c>
      <c r="D63" s="254">
        <f>SUMIF(GL!$D$5:$D$6505,B63,GL!$G$5:$G$6505)</f>
        <v>4.0599999999999996</v>
      </c>
      <c r="E63" s="341">
        <f>SUMIF(GL!$D$6:$D$6487,B63,GL!$H$6:$H$6487)</f>
        <v>761615.4</v>
      </c>
      <c r="F63" s="341">
        <f>SUMIF(GL!$D$6:$D$6487,B63,GL!$I$6:$I$6487)</f>
        <v>0</v>
      </c>
      <c r="G63" s="341"/>
      <c r="H63" s="341"/>
      <c r="I63" s="341">
        <f t="shared" si="66"/>
        <v>761615.4</v>
      </c>
      <c r="J63" s="341">
        <f t="shared" si="67"/>
        <v>0</v>
      </c>
      <c r="K63" s="341"/>
      <c r="L63" s="342"/>
      <c r="M63" s="342"/>
      <c r="N63" s="341">
        <f t="shared" si="61"/>
        <v>761615.4</v>
      </c>
      <c r="O63" s="341">
        <f t="shared" si="62"/>
        <v>0</v>
      </c>
      <c r="P63" s="341">
        <f>SUMIF(GL!$D$6488:$D$6532,B63,GL!$H$6488:$H$6532)</f>
        <v>0</v>
      </c>
      <c r="Q63" s="341">
        <f>SUMIF(GL!$D$6408:$D$6452,B63,GL!$I$6408:$I$6452)</f>
        <v>0</v>
      </c>
      <c r="R63" s="341">
        <f t="shared" ref="R63:S63" si="86">P63+N63</f>
        <v>761615.4</v>
      </c>
      <c r="S63" s="341">
        <f t="shared" si="86"/>
        <v>0</v>
      </c>
      <c r="T63" s="340"/>
      <c r="U63" s="340"/>
      <c r="V63" s="340"/>
      <c r="W63" s="340"/>
      <c r="X63" s="341">
        <f t="shared" si="64"/>
        <v>761615.4</v>
      </c>
      <c r="Y63" s="341">
        <f t="shared" si="65"/>
        <v>0</v>
      </c>
      <c r="Z63" s="331"/>
      <c r="AA63" s="110"/>
      <c r="AB63" s="358"/>
      <c r="AC63" s="330"/>
      <c r="AD63" s="110"/>
      <c r="AE63" s="110"/>
      <c r="AF63" s="332"/>
      <c r="AG63" s="332"/>
      <c r="AH63" s="332"/>
      <c r="AI63" s="332"/>
    </row>
    <row r="64" spans="1:35" ht="13.5" customHeight="1">
      <c r="A64" s="4"/>
      <c r="B64" s="15" t="s">
        <v>2662</v>
      </c>
      <c r="C64" s="260" t="s">
        <v>4026</v>
      </c>
      <c r="D64" s="254">
        <f>SUMIF(GL!$D$5:$D$6505,B64,GL!$G$5:$G$6505)</f>
        <v>2.04</v>
      </c>
      <c r="E64" s="341">
        <f>SUMIF(GL!$D$6:$D$6487,B64,GL!$H$6:$H$6487)</f>
        <v>418914</v>
      </c>
      <c r="F64" s="341">
        <f>SUMIF(GL!$D$6:$D$6487,B64,GL!$I$6:$I$6487)</f>
        <v>0</v>
      </c>
      <c r="G64" s="341"/>
      <c r="H64" s="341"/>
      <c r="I64" s="341">
        <f t="shared" si="66"/>
        <v>418914</v>
      </c>
      <c r="J64" s="341">
        <f t="shared" si="67"/>
        <v>0</v>
      </c>
      <c r="K64" s="341"/>
      <c r="L64" s="342"/>
      <c r="M64" s="342"/>
      <c r="N64" s="341">
        <f t="shared" si="61"/>
        <v>418914</v>
      </c>
      <c r="O64" s="341">
        <f t="shared" si="62"/>
        <v>0</v>
      </c>
      <c r="P64" s="341">
        <f>SUMIF(GL!$D$6488:$D$6532,B64,GL!$H$6488:$H$6532)</f>
        <v>0</v>
      </c>
      <c r="Q64" s="341">
        <f>SUMIF(GL!$D$6408:$D$6452,B64,GL!$I$6408:$I$6452)</f>
        <v>0</v>
      </c>
      <c r="R64" s="341">
        <f t="shared" ref="R64:S64" si="87">P64+N64</f>
        <v>418914</v>
      </c>
      <c r="S64" s="341">
        <f t="shared" si="87"/>
        <v>0</v>
      </c>
      <c r="T64" s="340"/>
      <c r="U64" s="340"/>
      <c r="V64" s="340"/>
      <c r="W64" s="340"/>
      <c r="X64" s="341">
        <f t="shared" si="64"/>
        <v>418914</v>
      </c>
      <c r="Y64" s="341">
        <f t="shared" si="65"/>
        <v>0</v>
      </c>
      <c r="Z64" s="331"/>
      <c r="AA64" s="110"/>
      <c r="AB64" s="358"/>
      <c r="AC64" s="330"/>
      <c r="AD64" s="110"/>
      <c r="AE64" s="110"/>
      <c r="AF64" s="332"/>
      <c r="AG64" s="332"/>
      <c r="AH64" s="332"/>
      <c r="AI64" s="332"/>
    </row>
    <row r="65" spans="1:35" ht="13.5" customHeight="1">
      <c r="A65" s="4"/>
      <c r="B65" s="15" t="s">
        <v>2958</v>
      </c>
      <c r="C65" s="260" t="s">
        <v>4027</v>
      </c>
      <c r="D65" s="254">
        <f>SUMIF(GL!$D$5:$D$6505,B65,GL!$G$5:$G$6505)</f>
        <v>2</v>
      </c>
      <c r="E65" s="341">
        <f>SUMIF(GL!$D$6:$D$6487,B65,GL!$H$6:$H$6487)</f>
        <v>366300</v>
      </c>
      <c r="F65" s="341">
        <f>SUMIF(GL!$D$6:$D$6487,B65,GL!$I$6:$I$6487)</f>
        <v>0</v>
      </c>
      <c r="G65" s="341"/>
      <c r="H65" s="341"/>
      <c r="I65" s="341">
        <f t="shared" si="66"/>
        <v>366300</v>
      </c>
      <c r="J65" s="341">
        <f t="shared" si="67"/>
        <v>0</v>
      </c>
      <c r="K65" s="341"/>
      <c r="L65" s="342"/>
      <c r="M65" s="342"/>
      <c r="N65" s="341">
        <f t="shared" si="61"/>
        <v>366300</v>
      </c>
      <c r="O65" s="341">
        <f t="shared" si="62"/>
        <v>0</v>
      </c>
      <c r="P65" s="341">
        <f>SUMIF(GL!$D$6488:$D$6532,B65,GL!$H$6488:$H$6532)</f>
        <v>0</v>
      </c>
      <c r="Q65" s="341">
        <f>SUMIF(GL!$D$6408:$D$6452,B65,GL!$I$6408:$I$6452)</f>
        <v>0</v>
      </c>
      <c r="R65" s="341">
        <f t="shared" ref="R65:S65" si="88">P65+N65</f>
        <v>366300</v>
      </c>
      <c r="S65" s="341">
        <f t="shared" si="88"/>
        <v>0</v>
      </c>
      <c r="T65" s="340"/>
      <c r="U65" s="340"/>
      <c r="V65" s="340"/>
      <c r="W65" s="340"/>
      <c r="X65" s="341">
        <f t="shared" si="64"/>
        <v>366300</v>
      </c>
      <c r="Y65" s="341">
        <f t="shared" si="65"/>
        <v>0</v>
      </c>
      <c r="Z65" s="331"/>
      <c r="AA65" s="110"/>
      <c r="AB65" s="358"/>
      <c r="AC65" s="330"/>
      <c r="AD65" s="110"/>
      <c r="AE65" s="110"/>
      <c r="AF65" s="332"/>
      <c r="AG65" s="332"/>
      <c r="AH65" s="332"/>
      <c r="AI65" s="332"/>
    </row>
    <row r="66" spans="1:35" ht="13.5" customHeight="1">
      <c r="A66" s="4"/>
      <c r="B66" s="15" t="s">
        <v>4028</v>
      </c>
      <c r="C66" s="260" t="s">
        <v>4029</v>
      </c>
      <c r="D66" s="254">
        <f>SUMIF(GL!$D$5:$D$6505,B66,GL!$G$5:$G$6505)</f>
        <v>0</v>
      </c>
      <c r="E66" s="341">
        <f>SUMIF(GL!$D$6:$D$6487,B66,GL!$H$6:$H$6487)</f>
        <v>0</v>
      </c>
      <c r="F66" s="341">
        <f>SUMIF(GL!$D$6:$D$6487,B66,GL!$I$6:$I$6487)</f>
        <v>0</v>
      </c>
      <c r="G66" s="341"/>
      <c r="H66" s="341"/>
      <c r="I66" s="341">
        <f t="shared" si="66"/>
        <v>0</v>
      </c>
      <c r="J66" s="341">
        <f t="shared" si="67"/>
        <v>0</v>
      </c>
      <c r="K66" s="341"/>
      <c r="L66" s="342"/>
      <c r="M66" s="342"/>
      <c r="N66" s="341">
        <f t="shared" si="61"/>
        <v>0</v>
      </c>
      <c r="O66" s="341">
        <f t="shared" si="62"/>
        <v>0</v>
      </c>
      <c r="P66" s="341">
        <f>SUMIF(GL!$D$6488:$D$6532,B66,GL!$H$6488:$H$6532)</f>
        <v>0</v>
      </c>
      <c r="Q66" s="341">
        <f>SUMIF(GL!$D$6408:$D$6452,B66,GL!$I$6408:$I$6452)</f>
        <v>0</v>
      </c>
      <c r="R66" s="341">
        <f t="shared" ref="R66:S66" si="89">P66+N66</f>
        <v>0</v>
      </c>
      <c r="S66" s="341">
        <f t="shared" si="89"/>
        <v>0</v>
      </c>
      <c r="T66" s="340"/>
      <c r="U66" s="340"/>
      <c r="V66" s="340"/>
      <c r="W66" s="340"/>
      <c r="X66" s="341">
        <f t="shared" si="64"/>
        <v>0</v>
      </c>
      <c r="Y66" s="341">
        <f t="shared" si="65"/>
        <v>0</v>
      </c>
      <c r="Z66" s="331"/>
      <c r="AA66" s="110"/>
      <c r="AB66" s="358"/>
      <c r="AC66" s="330"/>
      <c r="AD66" s="110"/>
      <c r="AE66" s="110"/>
      <c r="AF66" s="332"/>
      <c r="AG66" s="332"/>
      <c r="AH66" s="332"/>
      <c r="AI66" s="332"/>
    </row>
    <row r="67" spans="1:35" ht="13.5" customHeight="1">
      <c r="A67" s="4"/>
      <c r="B67" s="15" t="s">
        <v>4030</v>
      </c>
      <c r="C67" s="340" t="s">
        <v>4031</v>
      </c>
      <c r="D67" s="254">
        <f>SUMIF(GL!$D$5:$D$6505,B67,GL!$G$5:$G$6505)</f>
        <v>0</v>
      </c>
      <c r="E67" s="341">
        <f>SUMIF(GL!$D$6:$D$6487,B67,GL!$H$6:$H$6487)</f>
        <v>0</v>
      </c>
      <c r="F67" s="341">
        <f>SUMIF(GL!$D$6:$D$6487,B67,GL!$I$6:$I$6487)</f>
        <v>0</v>
      </c>
      <c r="G67" s="341"/>
      <c r="H67" s="341"/>
      <c r="I67" s="341">
        <f t="shared" si="66"/>
        <v>0</v>
      </c>
      <c r="J67" s="341">
        <f t="shared" si="67"/>
        <v>0</v>
      </c>
      <c r="K67" s="341"/>
      <c r="L67" s="342"/>
      <c r="M67" s="342"/>
      <c r="N67" s="341">
        <f t="shared" si="61"/>
        <v>0</v>
      </c>
      <c r="O67" s="341">
        <f t="shared" si="62"/>
        <v>0</v>
      </c>
      <c r="P67" s="341">
        <f>SUMIF(GL!$D$6488:$D$6532,B67,GL!$H$6488:$H$6532)</f>
        <v>0</v>
      </c>
      <c r="Q67" s="341">
        <f>SUMIF(GL!$D$6408:$D$6452,B67,GL!$I$6408:$I$6452)</f>
        <v>0</v>
      </c>
      <c r="R67" s="341">
        <f t="shared" ref="R67:S67" si="90">P67+N67</f>
        <v>0</v>
      </c>
      <c r="S67" s="341">
        <f t="shared" si="90"/>
        <v>0</v>
      </c>
      <c r="T67" s="340"/>
      <c r="U67" s="340"/>
      <c r="V67" s="340"/>
      <c r="W67" s="340"/>
      <c r="X67" s="341">
        <f t="shared" si="64"/>
        <v>0</v>
      </c>
      <c r="Y67" s="341">
        <f t="shared" si="65"/>
        <v>0</v>
      </c>
      <c r="Z67" s="331"/>
      <c r="AA67" s="110"/>
      <c r="AB67" s="358"/>
      <c r="AC67" s="330"/>
      <c r="AD67" s="110"/>
      <c r="AE67" s="110"/>
      <c r="AF67" s="332"/>
      <c r="AG67" s="332"/>
      <c r="AH67" s="332"/>
      <c r="AI67" s="332"/>
    </row>
    <row r="68" spans="1:35" ht="13.5" customHeight="1">
      <c r="A68" s="4"/>
      <c r="B68" s="15" t="s">
        <v>4032</v>
      </c>
      <c r="C68" s="260" t="s">
        <v>4033</v>
      </c>
      <c r="D68" s="254">
        <f>SUMIF(GL!$D$5:$D$6505,B68,GL!$G$5:$G$6505)</f>
        <v>0</v>
      </c>
      <c r="E68" s="341">
        <f>SUMIF(GL!$D$6:$D$6487,B68,GL!$H$6:$H$6487)</f>
        <v>0</v>
      </c>
      <c r="F68" s="341">
        <f>SUMIF(GL!$D$6:$D$6487,B68,GL!$I$6:$I$6487)</f>
        <v>0</v>
      </c>
      <c r="G68" s="341"/>
      <c r="H68" s="341"/>
      <c r="I68" s="341">
        <f t="shared" si="66"/>
        <v>0</v>
      </c>
      <c r="J68" s="341">
        <f t="shared" si="67"/>
        <v>0</v>
      </c>
      <c r="K68" s="341"/>
      <c r="L68" s="342"/>
      <c r="M68" s="342"/>
      <c r="N68" s="341">
        <f t="shared" si="61"/>
        <v>0</v>
      </c>
      <c r="O68" s="341">
        <f t="shared" si="62"/>
        <v>0</v>
      </c>
      <c r="P68" s="341">
        <f>SUMIF(GL!$D$6488:$D$6532,B68,GL!$H$6488:$H$6532)</f>
        <v>0</v>
      </c>
      <c r="Q68" s="341">
        <f>SUMIF(GL!$D$6408:$D$6452,B68,GL!$I$6408:$I$6452)</f>
        <v>0</v>
      </c>
      <c r="R68" s="341">
        <f t="shared" ref="R68:S68" si="91">P68+N68</f>
        <v>0</v>
      </c>
      <c r="S68" s="341">
        <f t="shared" si="91"/>
        <v>0</v>
      </c>
      <c r="T68" s="340"/>
      <c r="U68" s="340"/>
      <c r="V68" s="340"/>
      <c r="W68" s="340"/>
      <c r="X68" s="341">
        <f t="shared" si="64"/>
        <v>0</v>
      </c>
      <c r="Y68" s="341">
        <f t="shared" si="65"/>
        <v>0</v>
      </c>
      <c r="Z68" s="331"/>
      <c r="AA68" s="110"/>
      <c r="AB68" s="358"/>
      <c r="AC68" s="330"/>
      <c r="AD68" s="110"/>
      <c r="AE68" s="110"/>
      <c r="AF68" s="332"/>
      <c r="AG68" s="332"/>
      <c r="AH68" s="332"/>
      <c r="AI68" s="332"/>
    </row>
    <row r="69" spans="1:35" ht="13.5" customHeight="1">
      <c r="A69" s="4"/>
      <c r="B69" s="15" t="s">
        <v>2470</v>
      </c>
      <c r="C69" s="260" t="s">
        <v>4034</v>
      </c>
      <c r="D69" s="254">
        <f>SUMIF(GL!$D$5:$D$6505,B69,GL!$G$5:$G$6505)</f>
        <v>23.2</v>
      </c>
      <c r="E69" s="341">
        <f>SUMIF(GL!$D$6:$D$6487,B69,GL!$H$6:$H$6487)</f>
        <v>4524000</v>
      </c>
      <c r="F69" s="341">
        <f>SUMIF(GL!$D$6:$D$6487,B69,GL!$I$6:$I$6487)</f>
        <v>0</v>
      </c>
      <c r="G69" s="341"/>
      <c r="H69" s="341"/>
      <c r="I69" s="341">
        <f t="shared" si="66"/>
        <v>4524000</v>
      </c>
      <c r="J69" s="341">
        <f t="shared" si="67"/>
        <v>0</v>
      </c>
      <c r="K69" s="341"/>
      <c r="L69" s="342"/>
      <c r="M69" s="342"/>
      <c r="N69" s="341">
        <f t="shared" si="61"/>
        <v>4524000</v>
      </c>
      <c r="O69" s="341">
        <f t="shared" si="62"/>
        <v>0</v>
      </c>
      <c r="P69" s="341">
        <f>SUMIF(GL!$D$6488:$D$6532,B69,GL!$H$6488:$H$6532)</f>
        <v>0</v>
      </c>
      <c r="Q69" s="341">
        <f>SUMIF(GL!$D$6408:$D$6452,B69,GL!$I$6408:$I$6452)</f>
        <v>0</v>
      </c>
      <c r="R69" s="341">
        <f t="shared" ref="R69:S69" si="92">P69+N69</f>
        <v>4524000</v>
      </c>
      <c r="S69" s="341">
        <f t="shared" si="92"/>
        <v>0</v>
      </c>
      <c r="T69" s="340"/>
      <c r="U69" s="340"/>
      <c r="V69" s="340"/>
      <c r="W69" s="340"/>
      <c r="X69" s="341">
        <f t="shared" si="64"/>
        <v>4524000</v>
      </c>
      <c r="Y69" s="341">
        <f t="shared" si="65"/>
        <v>0</v>
      </c>
      <c r="Z69" s="331"/>
      <c r="AA69" s="110"/>
      <c r="AB69" s="358"/>
      <c r="AC69" s="330"/>
      <c r="AD69" s="110"/>
      <c r="AE69" s="110"/>
      <c r="AF69" s="332"/>
      <c r="AG69" s="332"/>
      <c r="AH69" s="332"/>
      <c r="AI69" s="332"/>
    </row>
    <row r="70" spans="1:35" ht="13.5" customHeight="1">
      <c r="A70" s="4"/>
      <c r="B70" s="15" t="s">
        <v>2680</v>
      </c>
      <c r="C70" s="260" t="s">
        <v>4035</v>
      </c>
      <c r="D70" s="254">
        <f>SUMIF(GL!$D$5:$D$6505,B70,GL!$G$5:$G$6505)</f>
        <v>37</v>
      </c>
      <c r="E70" s="341">
        <f>SUMIF(GL!$D$6:$D$6487,B70,GL!$H$6:$H$6487)</f>
        <v>1416000</v>
      </c>
      <c r="F70" s="341">
        <f>SUMIF(GL!$D$6:$D$6487,B70,GL!$I$6:$I$6487)</f>
        <v>0</v>
      </c>
      <c r="G70" s="341"/>
      <c r="H70" s="341"/>
      <c r="I70" s="341">
        <f t="shared" si="66"/>
        <v>1416000</v>
      </c>
      <c r="J70" s="341">
        <f t="shared" si="67"/>
        <v>0</v>
      </c>
      <c r="K70" s="341"/>
      <c r="L70" s="342"/>
      <c r="M70" s="342"/>
      <c r="N70" s="341">
        <f t="shared" si="61"/>
        <v>1416000</v>
      </c>
      <c r="O70" s="341">
        <f t="shared" si="62"/>
        <v>0</v>
      </c>
      <c r="P70" s="341">
        <f>SUMIF(GL!$D$6488:$D$6532,B70,GL!$H$6488:$H$6532)</f>
        <v>0</v>
      </c>
      <c r="Q70" s="341">
        <f>SUMIF(GL!$D$6408:$D$6452,B70,GL!$I$6408:$I$6452)</f>
        <v>0</v>
      </c>
      <c r="R70" s="341">
        <f t="shared" ref="R70:S70" si="93">P70+N70</f>
        <v>1416000</v>
      </c>
      <c r="S70" s="341">
        <f t="shared" si="93"/>
        <v>0</v>
      </c>
      <c r="T70" s="340"/>
      <c r="U70" s="340"/>
      <c r="V70" s="340"/>
      <c r="W70" s="340"/>
      <c r="X70" s="341">
        <f t="shared" si="64"/>
        <v>1416000</v>
      </c>
      <c r="Y70" s="341">
        <f t="shared" si="65"/>
        <v>0</v>
      </c>
      <c r="Z70" s="331"/>
      <c r="AA70" s="110"/>
      <c r="AB70" s="358"/>
      <c r="AC70" s="330"/>
      <c r="AD70" s="110"/>
      <c r="AE70" s="110"/>
      <c r="AF70" s="332"/>
      <c r="AG70" s="332"/>
      <c r="AH70" s="332"/>
      <c r="AI70" s="332"/>
    </row>
    <row r="71" spans="1:35" ht="13.5" customHeight="1">
      <c r="A71" s="4"/>
      <c r="B71" s="15" t="s">
        <v>2678</v>
      </c>
      <c r="C71" s="260" t="s">
        <v>4036</v>
      </c>
      <c r="D71" s="254">
        <f>SUMIF(GL!$D$5:$D$6505,B71,GL!$G$5:$G$6505)</f>
        <v>79.61</v>
      </c>
      <c r="E71" s="341">
        <f>SUMIF(GL!$D$6:$D$6487,B71,GL!$H$6:$H$6487)</f>
        <v>4090110</v>
      </c>
      <c r="F71" s="341">
        <f>SUMIF(GL!$D$6:$D$6487,B71,GL!$I$6:$I$6487)</f>
        <v>0</v>
      </c>
      <c r="G71" s="341"/>
      <c r="H71" s="341"/>
      <c r="I71" s="341">
        <f t="shared" si="66"/>
        <v>4090110</v>
      </c>
      <c r="J71" s="341">
        <f t="shared" si="67"/>
        <v>0</v>
      </c>
      <c r="K71" s="341"/>
      <c r="L71" s="342"/>
      <c r="M71" s="342"/>
      <c r="N71" s="341">
        <f t="shared" si="61"/>
        <v>4090110</v>
      </c>
      <c r="O71" s="341">
        <f t="shared" si="62"/>
        <v>0</v>
      </c>
      <c r="P71" s="341">
        <f>SUMIF(GL!$D$6488:$D$6532,B71,GL!$H$6488:$H$6532)</f>
        <v>0</v>
      </c>
      <c r="Q71" s="341">
        <f>SUMIF(GL!$D$6408:$D$6452,B71,GL!$I$6408:$I$6452)</f>
        <v>0</v>
      </c>
      <c r="R71" s="341">
        <f t="shared" ref="R71:S71" si="94">P71+N71</f>
        <v>4090110</v>
      </c>
      <c r="S71" s="341">
        <f t="shared" si="94"/>
        <v>0</v>
      </c>
      <c r="T71" s="340"/>
      <c r="U71" s="340"/>
      <c r="V71" s="340"/>
      <c r="W71" s="340"/>
      <c r="X71" s="341">
        <f t="shared" si="64"/>
        <v>4090110</v>
      </c>
      <c r="Y71" s="341">
        <f t="shared" si="65"/>
        <v>0</v>
      </c>
      <c r="Z71" s="359"/>
      <c r="AA71" s="110"/>
      <c r="AB71" s="358"/>
      <c r="AC71" s="330"/>
      <c r="AD71" s="110"/>
      <c r="AE71" s="110"/>
      <c r="AF71" s="332"/>
      <c r="AG71" s="332"/>
      <c r="AH71" s="332"/>
      <c r="AI71" s="332"/>
    </row>
    <row r="72" spans="1:35" ht="13.5" customHeight="1">
      <c r="A72" s="4"/>
      <c r="B72" s="15" t="s">
        <v>4037</v>
      </c>
      <c r="C72" s="340" t="s">
        <v>4038</v>
      </c>
      <c r="D72" s="254">
        <f>SUMIF(GL!$D$5:$D$6505,B72,GL!$G$5:$G$6505)</f>
        <v>0</v>
      </c>
      <c r="E72" s="341">
        <f>SUMIF(GL!$D$6:$D$6487,B72,GL!$H$6:$H$6487)</f>
        <v>0</v>
      </c>
      <c r="F72" s="341">
        <f>SUMIF(GL!$D$6:$D$6487,B72,GL!$I$6:$I$6487)</f>
        <v>0</v>
      </c>
      <c r="G72" s="341"/>
      <c r="H72" s="341"/>
      <c r="I72" s="341">
        <f t="shared" si="66"/>
        <v>0</v>
      </c>
      <c r="J72" s="341">
        <f t="shared" si="67"/>
        <v>0</v>
      </c>
      <c r="K72" s="341"/>
      <c r="L72" s="342"/>
      <c r="M72" s="342"/>
      <c r="N72" s="341">
        <f t="shared" si="61"/>
        <v>0</v>
      </c>
      <c r="O72" s="341">
        <f t="shared" si="62"/>
        <v>0</v>
      </c>
      <c r="P72" s="341">
        <f>SUMIF(GL!$D$6488:$D$6532,B72,GL!$H$6488:$H$6532)</f>
        <v>0</v>
      </c>
      <c r="Q72" s="341">
        <f>SUMIF(GL!$D$6408:$D$6452,B72,GL!$I$6408:$I$6452)</f>
        <v>0</v>
      </c>
      <c r="R72" s="341">
        <f t="shared" ref="R72:S72" si="95">P72+N72</f>
        <v>0</v>
      </c>
      <c r="S72" s="341">
        <f t="shared" si="95"/>
        <v>0</v>
      </c>
      <c r="T72" s="340"/>
      <c r="U72" s="340"/>
      <c r="V72" s="340"/>
      <c r="W72" s="340"/>
      <c r="X72" s="341">
        <f t="shared" si="64"/>
        <v>0</v>
      </c>
      <c r="Y72" s="341">
        <f t="shared" si="65"/>
        <v>0</v>
      </c>
      <c r="Z72" s="331"/>
      <c r="AA72" s="110"/>
      <c r="AB72" s="358"/>
      <c r="AC72" s="330"/>
      <c r="AD72" s="110"/>
      <c r="AE72" s="110"/>
      <c r="AF72" s="332"/>
      <c r="AG72" s="332"/>
      <c r="AH72" s="332"/>
      <c r="AI72" s="332"/>
    </row>
    <row r="73" spans="1:35" ht="13.5" customHeight="1">
      <c r="A73" s="4"/>
      <c r="B73" s="15" t="s">
        <v>4039</v>
      </c>
      <c r="C73" s="340" t="s">
        <v>4040</v>
      </c>
      <c r="D73" s="254">
        <f>SUMIF(GL!$D$5:$D$6505,B73,GL!$G$5:$G$6505)</f>
        <v>0</v>
      </c>
      <c r="E73" s="341">
        <f>SUMIF(GL!$D$6:$D$6487,B73,GL!$H$6:$H$6487)</f>
        <v>0</v>
      </c>
      <c r="F73" s="341">
        <f>SUMIF(GL!$D$6:$D$6487,B73,GL!$I$6:$I$6487)</f>
        <v>0</v>
      </c>
      <c r="G73" s="341"/>
      <c r="H73" s="341"/>
      <c r="I73" s="341">
        <f t="shared" si="66"/>
        <v>0</v>
      </c>
      <c r="J73" s="341">
        <f t="shared" si="67"/>
        <v>0</v>
      </c>
      <c r="K73" s="341"/>
      <c r="L73" s="342"/>
      <c r="M73" s="342"/>
      <c r="N73" s="341">
        <f t="shared" si="61"/>
        <v>0</v>
      </c>
      <c r="O73" s="341">
        <f t="shared" si="62"/>
        <v>0</v>
      </c>
      <c r="P73" s="341">
        <f>SUMIF(GL!$D$6488:$D$6532,B73,GL!$H$6488:$H$6532)</f>
        <v>0</v>
      </c>
      <c r="Q73" s="341">
        <f>SUMIF(GL!$D$6408:$D$6452,B73,GL!$I$6408:$I$6452)</f>
        <v>0</v>
      </c>
      <c r="R73" s="341">
        <f t="shared" ref="R73:S73" si="96">P73+N73</f>
        <v>0</v>
      </c>
      <c r="S73" s="341">
        <f t="shared" si="96"/>
        <v>0</v>
      </c>
      <c r="T73" s="340"/>
      <c r="U73" s="340"/>
      <c r="V73" s="340"/>
      <c r="W73" s="340"/>
      <c r="X73" s="341">
        <f t="shared" si="64"/>
        <v>0</v>
      </c>
      <c r="Y73" s="341">
        <f t="shared" si="65"/>
        <v>0</v>
      </c>
      <c r="Z73" s="331"/>
      <c r="AA73" s="110"/>
      <c r="AB73" s="358"/>
      <c r="AC73" s="330"/>
      <c r="AD73" s="110"/>
      <c r="AE73" s="110"/>
      <c r="AF73" s="332"/>
      <c r="AG73" s="332"/>
      <c r="AH73" s="332"/>
      <c r="AI73" s="332"/>
    </row>
    <row r="74" spans="1:35" ht="13.5" customHeight="1">
      <c r="A74" s="4"/>
      <c r="B74" s="15" t="s">
        <v>2134</v>
      </c>
      <c r="C74" s="340" t="s">
        <v>4041</v>
      </c>
      <c r="D74" s="254">
        <f>SUMIF(GL!$D$5:$D$6505,B74,GL!$G$5:$G$6505)</f>
        <v>16</v>
      </c>
      <c r="E74" s="341">
        <f>SUMIF(GL!$D$6:$D$6487,B74,GL!$H$6:$H$6487)</f>
        <v>1120000</v>
      </c>
      <c r="F74" s="341">
        <f>SUMIF(GL!$D$6:$D$6487,B74,GL!$I$6:$I$6487)</f>
        <v>0</v>
      </c>
      <c r="G74" s="341"/>
      <c r="H74" s="341"/>
      <c r="I74" s="341">
        <f t="shared" si="66"/>
        <v>1120000</v>
      </c>
      <c r="J74" s="341">
        <f t="shared" si="67"/>
        <v>0</v>
      </c>
      <c r="K74" s="341"/>
      <c r="L74" s="342"/>
      <c r="M74" s="342"/>
      <c r="N74" s="341">
        <f t="shared" si="61"/>
        <v>1120000</v>
      </c>
      <c r="O74" s="341">
        <f t="shared" si="62"/>
        <v>0</v>
      </c>
      <c r="P74" s="341">
        <f>SUMIF(GL!$D$6488:$D$6532,B74,GL!$H$6488:$H$6532)</f>
        <v>0</v>
      </c>
      <c r="Q74" s="341">
        <f>SUMIF(GL!$D$6408:$D$6452,B74,GL!$I$6408:$I$6452)</f>
        <v>0</v>
      </c>
      <c r="R74" s="341">
        <f t="shared" ref="R74:S74" si="97">P74+N74</f>
        <v>1120000</v>
      </c>
      <c r="S74" s="341">
        <f t="shared" si="97"/>
        <v>0</v>
      </c>
      <c r="T74" s="340"/>
      <c r="U74" s="340"/>
      <c r="V74" s="340"/>
      <c r="W74" s="340"/>
      <c r="X74" s="341">
        <f t="shared" si="64"/>
        <v>1120000</v>
      </c>
      <c r="Y74" s="341">
        <f t="shared" si="65"/>
        <v>0</v>
      </c>
      <c r="Z74" s="331"/>
      <c r="AA74" s="110"/>
      <c r="AB74" s="358"/>
      <c r="AC74" s="330"/>
      <c r="AD74" s="110"/>
      <c r="AE74" s="110"/>
      <c r="AF74" s="332"/>
      <c r="AG74" s="332"/>
      <c r="AH74" s="332"/>
      <c r="AI74" s="332"/>
    </row>
    <row r="75" spans="1:35" ht="13.5" customHeight="1">
      <c r="A75" s="4"/>
      <c r="B75" s="15" t="s">
        <v>4042</v>
      </c>
      <c r="C75" s="340" t="s">
        <v>4043</v>
      </c>
      <c r="D75" s="254">
        <f>SUMIF(GL!$D$5:$D$6505,B75,GL!$G$5:$G$6505)</f>
        <v>0</v>
      </c>
      <c r="E75" s="341">
        <f>SUMIF(GL!$D$6:$D$6487,B75,GL!$H$6:$H$6487)</f>
        <v>0</v>
      </c>
      <c r="F75" s="341">
        <f>SUMIF(GL!$D$6:$D$6487,B75,GL!$I$6:$I$6487)</f>
        <v>0</v>
      </c>
      <c r="G75" s="341"/>
      <c r="H75" s="341"/>
      <c r="I75" s="341">
        <f t="shared" si="66"/>
        <v>0</v>
      </c>
      <c r="J75" s="341">
        <f t="shared" si="67"/>
        <v>0</v>
      </c>
      <c r="K75" s="341"/>
      <c r="L75" s="342"/>
      <c r="M75" s="342"/>
      <c r="N75" s="341">
        <f t="shared" si="61"/>
        <v>0</v>
      </c>
      <c r="O75" s="341">
        <f t="shared" si="62"/>
        <v>0</v>
      </c>
      <c r="P75" s="341">
        <f>SUMIF(GL!$D$6488:$D$6532,B75,GL!$H$6488:$H$6532)</f>
        <v>0</v>
      </c>
      <c r="Q75" s="341">
        <f>SUMIF(GL!$D$6408:$D$6452,B75,GL!$I$6408:$I$6452)</f>
        <v>0</v>
      </c>
      <c r="R75" s="341">
        <f t="shared" ref="R75:S75" si="98">P75+N75</f>
        <v>0</v>
      </c>
      <c r="S75" s="341">
        <f t="shared" si="98"/>
        <v>0</v>
      </c>
      <c r="T75" s="340"/>
      <c r="U75" s="340"/>
      <c r="V75" s="340"/>
      <c r="W75" s="340"/>
      <c r="X75" s="341">
        <f t="shared" si="64"/>
        <v>0</v>
      </c>
      <c r="Y75" s="341">
        <f t="shared" si="65"/>
        <v>0</v>
      </c>
      <c r="Z75" s="331"/>
      <c r="AA75" s="110"/>
      <c r="AB75" s="358"/>
      <c r="AC75" s="330"/>
      <c r="AD75" s="110"/>
      <c r="AE75" s="110"/>
      <c r="AF75" s="332"/>
      <c r="AG75" s="332"/>
      <c r="AH75" s="332"/>
      <c r="AI75" s="332"/>
    </row>
    <row r="76" spans="1:35" ht="13.5" customHeight="1">
      <c r="A76" s="4"/>
      <c r="B76" s="15" t="s">
        <v>4044</v>
      </c>
      <c r="C76" s="340" t="s">
        <v>4045</v>
      </c>
      <c r="D76" s="254">
        <f>SUMIF(GL!$D$5:$D$6505,B76,GL!$G$5:$G$6505)</f>
        <v>0</v>
      </c>
      <c r="E76" s="341">
        <f>SUMIF(GL!$D$6:$D$6487,B76,GL!$H$6:$H$6487)</f>
        <v>0</v>
      </c>
      <c r="F76" s="341">
        <f>SUMIF(GL!$D$6:$D$6487,B76,GL!$I$6:$I$6487)</f>
        <v>0</v>
      </c>
      <c r="G76" s="341"/>
      <c r="H76" s="341"/>
      <c r="I76" s="341">
        <f t="shared" si="66"/>
        <v>0</v>
      </c>
      <c r="J76" s="341">
        <f t="shared" si="67"/>
        <v>0</v>
      </c>
      <c r="K76" s="341"/>
      <c r="L76" s="342"/>
      <c r="M76" s="342"/>
      <c r="N76" s="341">
        <f t="shared" si="61"/>
        <v>0</v>
      </c>
      <c r="O76" s="341">
        <f t="shared" si="62"/>
        <v>0</v>
      </c>
      <c r="P76" s="341">
        <f>SUMIF(GL!$D$6488:$D$6532,B76,GL!$H$6488:$H$6532)</f>
        <v>0</v>
      </c>
      <c r="Q76" s="341">
        <f>SUMIF(GL!$D$6408:$D$6452,B76,GL!$I$6408:$I$6452)</f>
        <v>0</v>
      </c>
      <c r="R76" s="341">
        <f t="shared" ref="R76:S76" si="99">P76+N76</f>
        <v>0</v>
      </c>
      <c r="S76" s="341">
        <f t="shared" si="99"/>
        <v>0</v>
      </c>
      <c r="T76" s="340"/>
      <c r="U76" s="340"/>
      <c r="V76" s="340"/>
      <c r="W76" s="340"/>
      <c r="X76" s="341">
        <f t="shared" si="64"/>
        <v>0</v>
      </c>
      <c r="Y76" s="341">
        <f t="shared" si="65"/>
        <v>0</v>
      </c>
      <c r="Z76" s="331"/>
      <c r="AA76" s="110"/>
      <c r="AB76" s="358"/>
      <c r="AC76" s="330"/>
      <c r="AD76" s="110"/>
      <c r="AE76" s="110"/>
      <c r="AF76" s="332"/>
      <c r="AG76" s="332"/>
      <c r="AH76" s="332"/>
      <c r="AI76" s="332"/>
    </row>
    <row r="77" spans="1:35" ht="13.5" customHeight="1">
      <c r="A77" s="4"/>
      <c r="B77" s="15" t="s">
        <v>2426</v>
      </c>
      <c r="C77" s="340" t="s">
        <v>4046</v>
      </c>
      <c r="D77" s="254">
        <f>SUMIF(GL!$D$5:$D$6505,B77,GL!$G$5:$G$6505)</f>
        <v>4</v>
      </c>
      <c r="E77" s="341">
        <f>SUMIF(GL!$D$6:$D$6487,B77,GL!$H$6:$H$6487)</f>
        <v>680000</v>
      </c>
      <c r="F77" s="341">
        <f>SUMIF(GL!$D$6:$D$6487,B77,GL!$I$6:$I$6487)</f>
        <v>0</v>
      </c>
      <c r="G77" s="341"/>
      <c r="H77" s="341"/>
      <c r="I77" s="341">
        <f t="shared" si="66"/>
        <v>680000</v>
      </c>
      <c r="J77" s="341">
        <f t="shared" si="67"/>
        <v>0</v>
      </c>
      <c r="K77" s="341"/>
      <c r="L77" s="342"/>
      <c r="M77" s="342"/>
      <c r="N77" s="341">
        <f t="shared" si="61"/>
        <v>680000</v>
      </c>
      <c r="O77" s="341">
        <f t="shared" si="62"/>
        <v>0</v>
      </c>
      <c r="P77" s="341">
        <f>SUMIF(GL!$D$6488:$D$6532,B77,GL!$H$6488:$H$6532)</f>
        <v>0</v>
      </c>
      <c r="Q77" s="341">
        <f>SUMIF(GL!$D$6408:$D$6452,B77,GL!$I$6408:$I$6452)</f>
        <v>0</v>
      </c>
      <c r="R77" s="341">
        <f t="shared" ref="R77:S77" si="100">P77+N77</f>
        <v>680000</v>
      </c>
      <c r="S77" s="341">
        <f t="shared" si="100"/>
        <v>0</v>
      </c>
      <c r="T77" s="340"/>
      <c r="U77" s="340"/>
      <c r="V77" s="340"/>
      <c r="W77" s="340"/>
      <c r="X77" s="341">
        <f t="shared" si="64"/>
        <v>680000</v>
      </c>
      <c r="Y77" s="341">
        <f t="shared" si="65"/>
        <v>0</v>
      </c>
      <c r="Z77" s="331"/>
      <c r="AA77" s="110"/>
      <c r="AB77" s="358"/>
      <c r="AC77" s="330"/>
      <c r="AD77" s="110"/>
      <c r="AE77" s="110"/>
      <c r="AF77" s="332"/>
      <c r="AG77" s="332"/>
      <c r="AH77" s="332"/>
      <c r="AI77" s="332"/>
    </row>
    <row r="78" spans="1:35" ht="13.5" customHeight="1">
      <c r="A78" s="4"/>
      <c r="B78" s="15" t="s">
        <v>4047</v>
      </c>
      <c r="C78" s="340" t="s">
        <v>4048</v>
      </c>
      <c r="D78" s="254">
        <f>SUMIF(GL!$D$5:$D$6505,B78,GL!$G$5:$G$6505)</f>
        <v>0</v>
      </c>
      <c r="E78" s="341">
        <f>SUMIF(GL!$D$6:$D$6487,B78,GL!$H$6:$H$6487)</f>
        <v>0</v>
      </c>
      <c r="F78" s="341">
        <f>SUMIF(GL!$D$6:$D$6487,B78,GL!$I$6:$I$6487)</f>
        <v>0</v>
      </c>
      <c r="G78" s="341"/>
      <c r="H78" s="341"/>
      <c r="I78" s="341">
        <f t="shared" si="66"/>
        <v>0</v>
      </c>
      <c r="J78" s="341">
        <f t="shared" si="67"/>
        <v>0</v>
      </c>
      <c r="K78" s="341"/>
      <c r="L78" s="342"/>
      <c r="M78" s="342"/>
      <c r="N78" s="341">
        <f t="shared" si="61"/>
        <v>0</v>
      </c>
      <c r="O78" s="341">
        <f t="shared" si="62"/>
        <v>0</v>
      </c>
      <c r="P78" s="341">
        <f>SUMIF(GL!$D$6488:$D$6532,B78,GL!$H$6488:$H$6532)</f>
        <v>0</v>
      </c>
      <c r="Q78" s="341">
        <f>SUMIF(GL!$D$6408:$D$6452,B78,GL!$I$6408:$I$6452)</f>
        <v>0</v>
      </c>
      <c r="R78" s="341">
        <f t="shared" ref="R78:S78" si="101">P78+N78</f>
        <v>0</v>
      </c>
      <c r="S78" s="341">
        <f t="shared" si="101"/>
        <v>0</v>
      </c>
      <c r="T78" s="340"/>
      <c r="U78" s="340"/>
      <c r="V78" s="340"/>
      <c r="W78" s="340"/>
      <c r="X78" s="341">
        <f t="shared" si="64"/>
        <v>0</v>
      </c>
      <c r="Y78" s="341">
        <f t="shared" si="65"/>
        <v>0</v>
      </c>
      <c r="Z78" s="331"/>
      <c r="AA78" s="110"/>
      <c r="AB78" s="358"/>
      <c r="AC78" s="330"/>
      <c r="AD78" s="110"/>
      <c r="AE78" s="110"/>
      <c r="AF78" s="332"/>
      <c r="AG78" s="332"/>
      <c r="AH78" s="332"/>
      <c r="AI78" s="332"/>
    </row>
    <row r="79" spans="1:35" ht="13.5" customHeight="1">
      <c r="A79" s="4"/>
      <c r="B79" s="15" t="s">
        <v>4049</v>
      </c>
      <c r="C79" s="340" t="s">
        <v>4050</v>
      </c>
      <c r="D79" s="254">
        <f>SUMIF(GL!$D$5:$D$6505,B79,GL!$G$5:$G$6505)</f>
        <v>0</v>
      </c>
      <c r="E79" s="341">
        <f>SUMIF(GL!$D$6:$D$6487,B79,GL!$H$6:$H$6487)</f>
        <v>0</v>
      </c>
      <c r="F79" s="341">
        <f>SUMIF(GL!$D$6:$D$6487,B79,GL!$I$6:$I$6487)</f>
        <v>0</v>
      </c>
      <c r="G79" s="341"/>
      <c r="H79" s="341"/>
      <c r="I79" s="341">
        <f t="shared" si="66"/>
        <v>0</v>
      </c>
      <c r="J79" s="341">
        <f t="shared" si="67"/>
        <v>0</v>
      </c>
      <c r="K79" s="341"/>
      <c r="L79" s="342"/>
      <c r="M79" s="342"/>
      <c r="N79" s="341">
        <f t="shared" si="61"/>
        <v>0</v>
      </c>
      <c r="O79" s="341">
        <f t="shared" si="62"/>
        <v>0</v>
      </c>
      <c r="P79" s="341">
        <f>SUMIF(GL!$D$6488:$D$6532,B79,GL!$H$6488:$H$6532)</f>
        <v>0</v>
      </c>
      <c r="Q79" s="341">
        <f>SUMIF(GL!$D$6408:$D$6452,B79,GL!$I$6408:$I$6452)</f>
        <v>0</v>
      </c>
      <c r="R79" s="341">
        <f t="shared" ref="R79:S79" si="102">P79+N79</f>
        <v>0</v>
      </c>
      <c r="S79" s="341">
        <f t="shared" si="102"/>
        <v>0</v>
      </c>
      <c r="T79" s="340"/>
      <c r="U79" s="340"/>
      <c r="V79" s="340"/>
      <c r="W79" s="340"/>
      <c r="X79" s="341">
        <f t="shared" si="64"/>
        <v>0</v>
      </c>
      <c r="Y79" s="341">
        <f t="shared" si="65"/>
        <v>0</v>
      </c>
      <c r="Z79" s="331"/>
      <c r="AA79" s="110"/>
      <c r="AB79" s="358"/>
      <c r="AC79" s="330"/>
      <c r="AD79" s="110"/>
      <c r="AE79" s="110"/>
      <c r="AF79" s="332"/>
      <c r="AG79" s="332"/>
      <c r="AH79" s="332"/>
      <c r="AI79" s="332"/>
    </row>
    <row r="80" spans="1:35" ht="13.5" customHeight="1">
      <c r="A80" s="4"/>
      <c r="B80" s="15" t="s">
        <v>2807</v>
      </c>
      <c r="C80" s="340" t="s">
        <v>4051</v>
      </c>
      <c r="D80" s="254">
        <f>SUMIF(GL!$D$5:$D$6505,B80,GL!$G$5:$G$6505)</f>
        <v>9</v>
      </c>
      <c r="E80" s="341">
        <f>SUMIF(GL!$D$6:$D$6487,B80,GL!$H$6:$H$6487)</f>
        <v>711000</v>
      </c>
      <c r="F80" s="341">
        <f>SUMIF(GL!$D$6:$D$6487,B80,GL!$I$6:$I$6487)</f>
        <v>0</v>
      </c>
      <c r="G80" s="341"/>
      <c r="H80" s="341"/>
      <c r="I80" s="341">
        <f t="shared" si="66"/>
        <v>711000</v>
      </c>
      <c r="J80" s="341">
        <f t="shared" si="67"/>
        <v>0</v>
      </c>
      <c r="K80" s="341"/>
      <c r="L80" s="342"/>
      <c r="M80" s="342"/>
      <c r="N80" s="341">
        <f t="shared" si="61"/>
        <v>711000</v>
      </c>
      <c r="O80" s="341">
        <f t="shared" si="62"/>
        <v>0</v>
      </c>
      <c r="P80" s="341">
        <f>SUMIF(GL!$D$6488:$D$6532,B80,GL!$H$6488:$H$6532)</f>
        <v>0</v>
      </c>
      <c r="Q80" s="341">
        <f>SUMIF(GL!$D$6408:$D$6452,B80,GL!$I$6408:$I$6452)</f>
        <v>0</v>
      </c>
      <c r="R80" s="341">
        <f t="shared" ref="R80:S80" si="103">P80+N80</f>
        <v>711000</v>
      </c>
      <c r="S80" s="341">
        <f t="shared" si="103"/>
        <v>0</v>
      </c>
      <c r="T80" s="340"/>
      <c r="U80" s="340"/>
      <c r="V80" s="340"/>
      <c r="W80" s="340"/>
      <c r="X80" s="341">
        <f t="shared" si="64"/>
        <v>711000</v>
      </c>
      <c r="Y80" s="341">
        <f t="shared" si="65"/>
        <v>0</v>
      </c>
      <c r="Z80" s="331"/>
      <c r="AA80" s="110"/>
      <c r="AB80" s="358"/>
      <c r="AC80" s="330"/>
      <c r="AD80" s="110"/>
      <c r="AE80" s="110"/>
      <c r="AF80" s="332"/>
      <c r="AG80" s="332"/>
      <c r="AH80" s="332"/>
      <c r="AI80" s="332"/>
    </row>
    <row r="81" spans="1:35" ht="13.5" customHeight="1">
      <c r="A81" s="4"/>
      <c r="B81" s="15" t="s">
        <v>4052</v>
      </c>
      <c r="C81" s="340" t="s">
        <v>4053</v>
      </c>
      <c r="D81" s="254">
        <f>SUMIF(GL!$D$5:$D$6505,B81,GL!$G$5:$G$6505)</f>
        <v>0</v>
      </c>
      <c r="E81" s="341">
        <f>SUMIF(GL!$D$6:$D$6487,B81,GL!$H$6:$H$6487)</f>
        <v>0</v>
      </c>
      <c r="F81" s="341">
        <f>SUMIF(GL!$D$6:$D$6487,B81,GL!$I$6:$I$6487)</f>
        <v>0</v>
      </c>
      <c r="G81" s="341"/>
      <c r="H81" s="341"/>
      <c r="I81" s="341">
        <f t="shared" si="66"/>
        <v>0</v>
      </c>
      <c r="J81" s="341">
        <f t="shared" si="67"/>
        <v>0</v>
      </c>
      <c r="K81" s="341"/>
      <c r="L81" s="342"/>
      <c r="M81" s="342"/>
      <c r="N81" s="341">
        <f t="shared" si="61"/>
        <v>0</v>
      </c>
      <c r="O81" s="341">
        <f t="shared" si="62"/>
        <v>0</v>
      </c>
      <c r="P81" s="341">
        <f>SUMIF(GL!$D$6488:$D$6532,B81,GL!$H$6488:$H$6532)</f>
        <v>0</v>
      </c>
      <c r="Q81" s="341">
        <f>SUMIF(GL!$D$6408:$D$6452,B81,GL!$I$6408:$I$6452)</f>
        <v>0</v>
      </c>
      <c r="R81" s="341">
        <f t="shared" ref="R81:S81" si="104">P81+N81</f>
        <v>0</v>
      </c>
      <c r="S81" s="341">
        <f t="shared" si="104"/>
        <v>0</v>
      </c>
      <c r="T81" s="340"/>
      <c r="U81" s="340"/>
      <c r="V81" s="340"/>
      <c r="W81" s="340"/>
      <c r="X81" s="341">
        <f t="shared" si="64"/>
        <v>0</v>
      </c>
      <c r="Y81" s="341">
        <f t="shared" si="65"/>
        <v>0</v>
      </c>
      <c r="Z81" s="331"/>
      <c r="AA81" s="110"/>
      <c r="AB81" s="358"/>
      <c r="AC81" s="330"/>
      <c r="AD81" s="110"/>
      <c r="AE81" s="110"/>
      <c r="AF81" s="332"/>
      <c r="AG81" s="332"/>
      <c r="AH81" s="332"/>
      <c r="AI81" s="332"/>
    </row>
    <row r="82" spans="1:35" ht="13.5" customHeight="1">
      <c r="A82" s="4"/>
      <c r="B82" s="15" t="s">
        <v>4054</v>
      </c>
      <c r="C82" s="340" t="s">
        <v>4055</v>
      </c>
      <c r="D82" s="254">
        <f>SUMIF(GL!$D$5:$D$6505,B82,GL!$G$5:$G$6505)</f>
        <v>0</v>
      </c>
      <c r="E82" s="341">
        <f>SUMIF(GL!$D$6:$D$6487,B82,GL!$H$6:$H$6487)</f>
        <v>0</v>
      </c>
      <c r="F82" s="341">
        <f>SUMIF(GL!$D$6:$D$6487,B82,GL!$I$6:$I$6487)</f>
        <v>0</v>
      </c>
      <c r="G82" s="341"/>
      <c r="H82" s="341"/>
      <c r="I82" s="341">
        <f t="shared" si="66"/>
        <v>0</v>
      </c>
      <c r="J82" s="341">
        <f t="shared" si="67"/>
        <v>0</v>
      </c>
      <c r="K82" s="341"/>
      <c r="L82" s="342"/>
      <c r="M82" s="342"/>
      <c r="N82" s="341">
        <f t="shared" si="61"/>
        <v>0</v>
      </c>
      <c r="O82" s="341">
        <f t="shared" si="62"/>
        <v>0</v>
      </c>
      <c r="P82" s="341">
        <f>SUMIF(GL!$D$6488:$D$6532,B82,GL!$H$6488:$H$6532)</f>
        <v>0</v>
      </c>
      <c r="Q82" s="341">
        <f>SUMIF(GL!$D$6408:$D$6452,B82,GL!$I$6408:$I$6452)</f>
        <v>0</v>
      </c>
      <c r="R82" s="341">
        <f t="shared" ref="R82:S82" si="105">P82+N82</f>
        <v>0</v>
      </c>
      <c r="S82" s="341">
        <f t="shared" si="105"/>
        <v>0</v>
      </c>
      <c r="T82" s="340"/>
      <c r="U82" s="340"/>
      <c r="V82" s="340"/>
      <c r="W82" s="340"/>
      <c r="X82" s="341">
        <f t="shared" si="64"/>
        <v>0</v>
      </c>
      <c r="Y82" s="341">
        <f t="shared" si="65"/>
        <v>0</v>
      </c>
      <c r="Z82" s="331"/>
      <c r="AA82" s="110"/>
      <c r="AB82" s="358"/>
      <c r="AC82" s="330"/>
      <c r="AD82" s="110"/>
      <c r="AE82" s="110"/>
      <c r="AF82" s="332"/>
      <c r="AG82" s="332"/>
      <c r="AH82" s="332"/>
      <c r="AI82" s="332"/>
    </row>
    <row r="83" spans="1:35" ht="13.5" customHeight="1">
      <c r="A83" s="4"/>
      <c r="B83" s="15" t="s">
        <v>4056</v>
      </c>
      <c r="C83" s="340" t="s">
        <v>4057</v>
      </c>
      <c r="D83" s="254">
        <f>SUMIF(GL!$D$5:$D$6505,B83,GL!$G$5:$G$6505)</f>
        <v>0</v>
      </c>
      <c r="E83" s="341">
        <f>SUMIF(GL!$D$6:$D$6487,B83,GL!$H$6:$H$6487)</f>
        <v>0</v>
      </c>
      <c r="F83" s="341">
        <f>SUMIF(GL!$D$6:$D$6487,B83,GL!$I$6:$I$6487)</f>
        <v>0</v>
      </c>
      <c r="G83" s="341"/>
      <c r="H83" s="341"/>
      <c r="I83" s="341">
        <f t="shared" si="66"/>
        <v>0</v>
      </c>
      <c r="J83" s="341">
        <f t="shared" si="67"/>
        <v>0</v>
      </c>
      <c r="K83" s="341"/>
      <c r="L83" s="342"/>
      <c r="M83" s="342"/>
      <c r="N83" s="341">
        <f t="shared" si="61"/>
        <v>0</v>
      </c>
      <c r="O83" s="341">
        <f t="shared" si="62"/>
        <v>0</v>
      </c>
      <c r="P83" s="341">
        <f>SUMIF(GL!$D$6488:$D$6532,B83,GL!$H$6488:$H$6532)</f>
        <v>0</v>
      </c>
      <c r="Q83" s="341">
        <f>SUMIF(GL!$D$6408:$D$6452,B83,GL!$I$6408:$I$6452)</f>
        <v>0</v>
      </c>
      <c r="R83" s="341">
        <f t="shared" ref="R83:S83" si="106">P83+N83</f>
        <v>0</v>
      </c>
      <c r="S83" s="341">
        <f t="shared" si="106"/>
        <v>0</v>
      </c>
      <c r="T83" s="340"/>
      <c r="U83" s="340"/>
      <c r="V83" s="340"/>
      <c r="W83" s="340"/>
      <c r="X83" s="341">
        <f t="shared" si="64"/>
        <v>0</v>
      </c>
      <c r="Y83" s="341">
        <f t="shared" si="65"/>
        <v>0</v>
      </c>
      <c r="Z83" s="331"/>
      <c r="AA83" s="110"/>
      <c r="AB83" s="358"/>
      <c r="AC83" s="330"/>
      <c r="AD83" s="110"/>
      <c r="AE83" s="110"/>
      <c r="AF83" s="332"/>
      <c r="AG83" s="332"/>
      <c r="AH83" s="332"/>
      <c r="AI83" s="332"/>
    </row>
    <row r="84" spans="1:35" ht="13.5" customHeight="1">
      <c r="A84" s="4"/>
      <c r="B84" s="15" t="s">
        <v>4058</v>
      </c>
      <c r="C84" s="340" t="s">
        <v>4059</v>
      </c>
      <c r="D84" s="254">
        <f>SUMIF(GL!$D$5:$D$6505,B84,GL!$G$5:$G$6505)</f>
        <v>0</v>
      </c>
      <c r="E84" s="341">
        <f>SUMIF(GL!$D$6:$D$6487,B84,GL!$H$6:$H$6487)</f>
        <v>0</v>
      </c>
      <c r="F84" s="341">
        <f>SUMIF(GL!$D$6:$D$6487,B84,GL!$I$6:$I$6487)</f>
        <v>0</v>
      </c>
      <c r="G84" s="341"/>
      <c r="H84" s="341"/>
      <c r="I84" s="341">
        <f t="shared" si="66"/>
        <v>0</v>
      </c>
      <c r="J84" s="341">
        <f t="shared" si="67"/>
        <v>0</v>
      </c>
      <c r="K84" s="341"/>
      <c r="L84" s="342"/>
      <c r="M84" s="342"/>
      <c r="N84" s="341">
        <f t="shared" si="61"/>
        <v>0</v>
      </c>
      <c r="O84" s="341">
        <f t="shared" si="62"/>
        <v>0</v>
      </c>
      <c r="P84" s="341">
        <f>SUMIF(GL!$D$6488:$D$6532,B84,GL!$H$6488:$H$6532)</f>
        <v>0</v>
      </c>
      <c r="Q84" s="341">
        <f>SUMIF(GL!$D$6408:$D$6452,B84,GL!$I$6408:$I$6452)</f>
        <v>0</v>
      </c>
      <c r="R84" s="341">
        <f t="shared" ref="R84:S84" si="107">P84+N84</f>
        <v>0</v>
      </c>
      <c r="S84" s="341">
        <f t="shared" si="107"/>
        <v>0</v>
      </c>
      <c r="T84" s="340"/>
      <c r="U84" s="340"/>
      <c r="V84" s="340"/>
      <c r="W84" s="340"/>
      <c r="X84" s="341">
        <f t="shared" si="64"/>
        <v>0</v>
      </c>
      <c r="Y84" s="341">
        <f t="shared" si="65"/>
        <v>0</v>
      </c>
      <c r="Z84" s="331"/>
      <c r="AA84" s="110"/>
      <c r="AB84" s="358"/>
      <c r="AC84" s="330"/>
      <c r="AD84" s="110"/>
      <c r="AE84" s="110"/>
      <c r="AF84" s="332"/>
      <c r="AG84" s="332"/>
      <c r="AH84" s="332"/>
      <c r="AI84" s="332"/>
    </row>
    <row r="85" spans="1:35" ht="13.5" customHeight="1">
      <c r="A85" s="4"/>
      <c r="B85" s="15" t="s">
        <v>2693</v>
      </c>
      <c r="C85" s="340" t="s">
        <v>4060</v>
      </c>
      <c r="D85" s="254">
        <f>SUMIF(GL!$D$5:$D$6505,B85,GL!$G$5:$G$6505)</f>
        <v>7.4399999999999995</v>
      </c>
      <c r="E85" s="341">
        <f>SUMIF(GL!$D$6:$D$6487,B85,GL!$H$6:$H$6487)</f>
        <v>1621920</v>
      </c>
      <c r="F85" s="341">
        <f>SUMIF(GL!$D$6:$D$6487,B85,GL!$I$6:$I$6487)</f>
        <v>0</v>
      </c>
      <c r="G85" s="341"/>
      <c r="H85" s="341"/>
      <c r="I85" s="341">
        <f t="shared" si="66"/>
        <v>1621920</v>
      </c>
      <c r="J85" s="341">
        <f t="shared" si="67"/>
        <v>0</v>
      </c>
      <c r="K85" s="341"/>
      <c r="L85" s="342"/>
      <c r="M85" s="342"/>
      <c r="N85" s="341">
        <f t="shared" si="61"/>
        <v>1621920</v>
      </c>
      <c r="O85" s="341">
        <f t="shared" si="62"/>
        <v>0</v>
      </c>
      <c r="P85" s="341">
        <f>SUMIF(GL!$D$6488:$D$6532,B85,GL!$H$6488:$H$6532)</f>
        <v>0</v>
      </c>
      <c r="Q85" s="341">
        <f>SUMIF(GL!$D$6408:$D$6452,B85,GL!$I$6408:$I$6452)</f>
        <v>0</v>
      </c>
      <c r="R85" s="341">
        <f t="shared" ref="R85:S85" si="108">P85+N85</f>
        <v>1621920</v>
      </c>
      <c r="S85" s="341">
        <f t="shared" si="108"/>
        <v>0</v>
      </c>
      <c r="T85" s="340"/>
      <c r="U85" s="340"/>
      <c r="V85" s="340"/>
      <c r="W85" s="340"/>
      <c r="X85" s="341">
        <f t="shared" si="64"/>
        <v>1621920</v>
      </c>
      <c r="Y85" s="341">
        <f t="shared" si="65"/>
        <v>0</v>
      </c>
      <c r="Z85" s="331"/>
      <c r="AA85" s="110"/>
      <c r="AB85" s="358"/>
      <c r="AC85" s="330"/>
      <c r="AD85" s="110"/>
      <c r="AE85" s="110"/>
      <c r="AF85" s="332"/>
      <c r="AG85" s="332"/>
      <c r="AH85" s="332"/>
      <c r="AI85" s="332"/>
    </row>
    <row r="86" spans="1:35" ht="13.5" customHeight="1">
      <c r="A86" s="4"/>
      <c r="B86" s="15" t="s">
        <v>2825</v>
      </c>
      <c r="C86" s="260" t="s">
        <v>4061</v>
      </c>
      <c r="D86" s="254">
        <f>SUMIF(GL!$D$5:$D$6505,B86,GL!$G$5:$G$6505)</f>
        <v>3.3</v>
      </c>
      <c r="E86" s="341">
        <f>SUMIF(GL!$D$6:$D$6487,B86,GL!$H$6:$H$6487)</f>
        <v>396000</v>
      </c>
      <c r="F86" s="341">
        <f>SUMIF(GL!$D$6:$D$6487,B86,GL!$I$6:$I$6487)</f>
        <v>0</v>
      </c>
      <c r="G86" s="341"/>
      <c r="H86" s="341"/>
      <c r="I86" s="341">
        <f t="shared" si="66"/>
        <v>396000</v>
      </c>
      <c r="J86" s="341">
        <f t="shared" si="67"/>
        <v>0</v>
      </c>
      <c r="K86" s="341"/>
      <c r="L86" s="342"/>
      <c r="M86" s="342"/>
      <c r="N86" s="341">
        <f t="shared" si="61"/>
        <v>396000</v>
      </c>
      <c r="O86" s="341">
        <f t="shared" si="62"/>
        <v>0</v>
      </c>
      <c r="P86" s="341">
        <f>SUMIF(GL!$D$6488:$D$6532,B86,GL!$H$6488:$H$6532)</f>
        <v>0</v>
      </c>
      <c r="Q86" s="341">
        <f>SUMIF(GL!$D$6408:$D$6452,B86,GL!$I$6408:$I$6452)</f>
        <v>0</v>
      </c>
      <c r="R86" s="341">
        <f t="shared" ref="R86:S86" si="109">P86+N86</f>
        <v>396000</v>
      </c>
      <c r="S86" s="341">
        <f t="shared" si="109"/>
        <v>0</v>
      </c>
      <c r="T86" s="340"/>
      <c r="U86" s="340"/>
      <c r="V86" s="340"/>
      <c r="W86" s="340"/>
      <c r="X86" s="341">
        <f t="shared" si="64"/>
        <v>396000</v>
      </c>
      <c r="Y86" s="341">
        <f t="shared" si="65"/>
        <v>0</v>
      </c>
      <c r="Z86" s="331"/>
      <c r="AA86" s="110"/>
      <c r="AB86" s="358"/>
      <c r="AC86" s="330"/>
      <c r="AD86" s="110"/>
      <c r="AE86" s="110"/>
      <c r="AF86" s="332"/>
      <c r="AG86" s="332"/>
      <c r="AH86" s="332"/>
      <c r="AI86" s="332"/>
    </row>
    <row r="87" spans="1:35" ht="13.5" customHeight="1">
      <c r="A87" s="4"/>
      <c r="B87" s="15" t="s">
        <v>2813</v>
      </c>
      <c r="C87" s="340" t="s">
        <v>4062</v>
      </c>
      <c r="D87" s="254">
        <f>SUMIF(GL!$D$5:$D$6505,B87,GL!$G$5:$G$6505)</f>
        <v>40</v>
      </c>
      <c r="E87" s="341">
        <f>SUMIF(GL!$D$6:$D$6487,B87,GL!$H$6:$H$6487)</f>
        <v>6450000</v>
      </c>
      <c r="F87" s="341">
        <f>SUMIF(GL!$D$6:$D$6487,B87,GL!$I$6:$I$6487)</f>
        <v>0</v>
      </c>
      <c r="G87" s="341"/>
      <c r="H87" s="341"/>
      <c r="I87" s="341">
        <f t="shared" si="66"/>
        <v>6450000</v>
      </c>
      <c r="J87" s="341">
        <f t="shared" si="67"/>
        <v>0</v>
      </c>
      <c r="K87" s="341"/>
      <c r="L87" s="342"/>
      <c r="M87" s="342"/>
      <c r="N87" s="341">
        <f t="shared" si="61"/>
        <v>6450000</v>
      </c>
      <c r="O87" s="341">
        <f t="shared" si="62"/>
        <v>0</v>
      </c>
      <c r="P87" s="341">
        <f>SUMIF(GL!$D$6488:$D$6532,B87,GL!$H$6488:$H$6532)</f>
        <v>0</v>
      </c>
      <c r="Q87" s="341">
        <f>SUMIF(GL!$D$6408:$D$6452,B87,GL!$I$6408:$I$6452)</f>
        <v>0</v>
      </c>
      <c r="R87" s="341">
        <f t="shared" ref="R87:S87" si="110">P87+N87</f>
        <v>6450000</v>
      </c>
      <c r="S87" s="341">
        <f t="shared" si="110"/>
        <v>0</v>
      </c>
      <c r="T87" s="340"/>
      <c r="U87" s="340"/>
      <c r="V87" s="340"/>
      <c r="W87" s="340"/>
      <c r="X87" s="341">
        <f t="shared" si="64"/>
        <v>6450000</v>
      </c>
      <c r="Y87" s="341">
        <f t="shared" si="65"/>
        <v>0</v>
      </c>
      <c r="Z87" s="331"/>
      <c r="AA87" s="110"/>
      <c r="AB87" s="358"/>
      <c r="AC87" s="330"/>
      <c r="AD87" s="110"/>
      <c r="AE87" s="110"/>
      <c r="AF87" s="332"/>
      <c r="AG87" s="332"/>
      <c r="AH87" s="332"/>
      <c r="AI87" s="332"/>
    </row>
    <row r="88" spans="1:35" ht="13.5" customHeight="1">
      <c r="A88" s="4"/>
      <c r="B88" s="15" t="s">
        <v>4063</v>
      </c>
      <c r="C88" s="340" t="s">
        <v>4064</v>
      </c>
      <c r="D88" s="254">
        <f>SUMIF(GL!$D$5:$D$6505,B88,GL!$G$5:$G$6505)</f>
        <v>0</v>
      </c>
      <c r="E88" s="341">
        <f>SUMIF(GL!$D$6:$D$6487,B88,GL!$H$6:$H$6487)</f>
        <v>0</v>
      </c>
      <c r="F88" s="341">
        <f>SUMIF(GL!$D$6:$D$6487,B88,GL!$I$6:$I$6487)</f>
        <v>0</v>
      </c>
      <c r="G88" s="341"/>
      <c r="H88" s="341"/>
      <c r="I88" s="341">
        <f t="shared" si="66"/>
        <v>0</v>
      </c>
      <c r="J88" s="341">
        <f t="shared" si="67"/>
        <v>0</v>
      </c>
      <c r="K88" s="341"/>
      <c r="L88" s="342"/>
      <c r="M88" s="342"/>
      <c r="N88" s="341">
        <f t="shared" si="61"/>
        <v>0</v>
      </c>
      <c r="O88" s="341">
        <f t="shared" si="62"/>
        <v>0</v>
      </c>
      <c r="P88" s="341">
        <f>SUMIF(GL!$D$6488:$D$6532,B88,GL!$H$6488:$H$6532)</f>
        <v>0</v>
      </c>
      <c r="Q88" s="341">
        <f>SUMIF(GL!$D$6408:$D$6452,B88,GL!$I$6408:$I$6452)</f>
        <v>0</v>
      </c>
      <c r="R88" s="341">
        <f t="shared" ref="R88:S88" si="111">P88+N88</f>
        <v>0</v>
      </c>
      <c r="S88" s="341">
        <f t="shared" si="111"/>
        <v>0</v>
      </c>
      <c r="T88" s="340"/>
      <c r="U88" s="340"/>
      <c r="V88" s="340"/>
      <c r="W88" s="340"/>
      <c r="X88" s="341">
        <f t="shared" si="64"/>
        <v>0</v>
      </c>
      <c r="Y88" s="341">
        <f t="shared" si="65"/>
        <v>0</v>
      </c>
      <c r="Z88" s="331"/>
      <c r="AA88" s="110"/>
      <c r="AB88" s="358"/>
      <c r="AC88" s="330"/>
      <c r="AD88" s="110"/>
      <c r="AE88" s="110"/>
      <c r="AF88" s="332"/>
      <c r="AG88" s="332"/>
      <c r="AH88" s="332"/>
      <c r="AI88" s="332"/>
    </row>
    <row r="89" spans="1:35" ht="13.5" customHeight="1">
      <c r="A89" s="4"/>
      <c r="B89" s="15" t="s">
        <v>4065</v>
      </c>
      <c r="C89" s="260" t="s">
        <v>4066</v>
      </c>
      <c r="D89" s="254">
        <f>SUMIF(GL!$D$5:$D$6505,B89,GL!$G$5:$G$6505)</f>
        <v>0</v>
      </c>
      <c r="E89" s="341">
        <f>SUMIF(GL!$D$6:$D$6487,B89,GL!$H$6:$H$6487)</f>
        <v>0</v>
      </c>
      <c r="F89" s="341">
        <f>SUMIF(GL!$D$6:$D$6487,B89,GL!$I$6:$I$6487)</f>
        <v>0</v>
      </c>
      <c r="G89" s="341"/>
      <c r="H89" s="341"/>
      <c r="I89" s="341">
        <f t="shared" si="66"/>
        <v>0</v>
      </c>
      <c r="J89" s="341">
        <f t="shared" si="67"/>
        <v>0</v>
      </c>
      <c r="K89" s="341"/>
      <c r="L89" s="342"/>
      <c r="M89" s="342"/>
      <c r="N89" s="341">
        <f t="shared" si="61"/>
        <v>0</v>
      </c>
      <c r="O89" s="341">
        <f t="shared" si="62"/>
        <v>0</v>
      </c>
      <c r="P89" s="341">
        <f>SUMIF(GL!$D$6488:$D$6532,B89,GL!$H$6488:$H$6532)</f>
        <v>0</v>
      </c>
      <c r="Q89" s="341">
        <f>SUMIF(GL!$D$6408:$D$6452,B89,GL!$I$6408:$I$6452)</f>
        <v>0</v>
      </c>
      <c r="R89" s="341">
        <f t="shared" ref="R89:S89" si="112">P89+N89</f>
        <v>0</v>
      </c>
      <c r="S89" s="341">
        <f t="shared" si="112"/>
        <v>0</v>
      </c>
      <c r="T89" s="340"/>
      <c r="U89" s="340"/>
      <c r="V89" s="340"/>
      <c r="W89" s="340"/>
      <c r="X89" s="341">
        <f t="shared" si="64"/>
        <v>0</v>
      </c>
      <c r="Y89" s="341">
        <f t="shared" si="65"/>
        <v>0</v>
      </c>
      <c r="Z89" s="331"/>
      <c r="AA89" s="110"/>
      <c r="AB89" s="358"/>
      <c r="AC89" s="330"/>
      <c r="AD89" s="110"/>
      <c r="AE89" s="110"/>
      <c r="AF89" s="332"/>
      <c r="AG89" s="332"/>
      <c r="AH89" s="332"/>
      <c r="AI89" s="332"/>
    </row>
    <row r="90" spans="1:35" ht="13.5" customHeight="1">
      <c r="A90" s="4"/>
      <c r="B90" s="15" t="s">
        <v>4067</v>
      </c>
      <c r="C90" s="260" t="s">
        <v>4068</v>
      </c>
      <c r="D90" s="254">
        <f>SUMIF(GL!$D$5:$D$6505,B90,GL!$G$5:$G$6505)</f>
        <v>0</v>
      </c>
      <c r="E90" s="341">
        <f>SUMIF(GL!$D$6:$D$6487,B90,GL!$H$6:$H$6487)</f>
        <v>0</v>
      </c>
      <c r="F90" s="341">
        <f>SUMIF(GL!$D$6:$D$6487,B90,GL!$I$6:$I$6487)</f>
        <v>0</v>
      </c>
      <c r="G90" s="341"/>
      <c r="H90" s="341"/>
      <c r="I90" s="341">
        <f t="shared" si="66"/>
        <v>0</v>
      </c>
      <c r="J90" s="341">
        <f t="shared" si="67"/>
        <v>0</v>
      </c>
      <c r="K90" s="341"/>
      <c r="L90" s="342"/>
      <c r="M90" s="342"/>
      <c r="N90" s="341">
        <f t="shared" si="61"/>
        <v>0</v>
      </c>
      <c r="O90" s="341">
        <f t="shared" si="62"/>
        <v>0</v>
      </c>
      <c r="P90" s="341">
        <f>SUMIF(GL!$D$6488:$D$6532,B90,GL!$H$6488:$H$6532)</f>
        <v>0</v>
      </c>
      <c r="Q90" s="341">
        <f>SUMIF(GL!$D$6408:$D$6452,B90,GL!$I$6408:$I$6452)</f>
        <v>0</v>
      </c>
      <c r="R90" s="341">
        <f t="shared" ref="R90:S90" si="113">P90+N90</f>
        <v>0</v>
      </c>
      <c r="S90" s="341">
        <f t="shared" si="113"/>
        <v>0</v>
      </c>
      <c r="T90" s="340"/>
      <c r="U90" s="340"/>
      <c r="V90" s="340"/>
      <c r="W90" s="340"/>
      <c r="X90" s="341">
        <f t="shared" si="64"/>
        <v>0</v>
      </c>
      <c r="Y90" s="341">
        <f t="shared" si="65"/>
        <v>0</v>
      </c>
      <c r="Z90" s="331"/>
      <c r="AA90" s="110"/>
      <c r="AB90" s="358"/>
      <c r="AC90" s="330"/>
      <c r="AD90" s="110"/>
      <c r="AE90" s="110"/>
      <c r="AF90" s="332"/>
      <c r="AG90" s="332"/>
      <c r="AH90" s="332"/>
      <c r="AI90" s="332"/>
    </row>
    <row r="91" spans="1:35" ht="13.5" customHeight="1">
      <c r="A91" s="4"/>
      <c r="B91" s="15" t="s">
        <v>2880</v>
      </c>
      <c r="C91" s="260" t="s">
        <v>4069</v>
      </c>
      <c r="D91" s="254">
        <f>SUMIF(GL!$D$5:$D$6505,B91,GL!$G$5:$G$6505)</f>
        <v>5</v>
      </c>
      <c r="E91" s="341">
        <f>SUMIF(GL!$D$6:$D$6487,B91,GL!$H$6:$H$6487)</f>
        <v>1445000</v>
      </c>
      <c r="F91" s="341">
        <f>SUMIF(GL!$D$6:$D$6487,B91,GL!$I$6:$I$6487)</f>
        <v>0</v>
      </c>
      <c r="G91" s="341"/>
      <c r="H91" s="341"/>
      <c r="I91" s="341">
        <f t="shared" si="66"/>
        <v>1445000</v>
      </c>
      <c r="J91" s="341">
        <f t="shared" si="67"/>
        <v>0</v>
      </c>
      <c r="K91" s="341"/>
      <c r="L91" s="342"/>
      <c r="M91" s="342"/>
      <c r="N91" s="341">
        <f t="shared" si="61"/>
        <v>1445000</v>
      </c>
      <c r="O91" s="341">
        <f t="shared" si="62"/>
        <v>0</v>
      </c>
      <c r="P91" s="341">
        <f>SUMIF(GL!$D$6488:$D$6532,B91,GL!$H$6488:$H$6532)</f>
        <v>0</v>
      </c>
      <c r="Q91" s="341">
        <f>SUMIF(GL!$D$6408:$D$6452,B91,GL!$I$6408:$I$6452)</f>
        <v>0</v>
      </c>
      <c r="R91" s="341">
        <f t="shared" ref="R91:S91" si="114">P91+N91</f>
        <v>1445000</v>
      </c>
      <c r="S91" s="341">
        <f t="shared" si="114"/>
        <v>0</v>
      </c>
      <c r="T91" s="340"/>
      <c r="U91" s="340"/>
      <c r="V91" s="340"/>
      <c r="W91" s="340"/>
      <c r="X91" s="341">
        <f t="shared" si="64"/>
        <v>1445000</v>
      </c>
      <c r="Y91" s="341">
        <f t="shared" si="65"/>
        <v>0</v>
      </c>
      <c r="Z91" s="331"/>
      <c r="AA91" s="110"/>
      <c r="AB91" s="358"/>
      <c r="AC91" s="330"/>
      <c r="AD91" s="110"/>
      <c r="AE91" s="110"/>
      <c r="AF91" s="332"/>
      <c r="AG91" s="332"/>
      <c r="AH91" s="332"/>
      <c r="AI91" s="332"/>
    </row>
    <row r="92" spans="1:35" ht="13.5" customHeight="1">
      <c r="A92" s="4"/>
      <c r="B92" s="15" t="s">
        <v>4070</v>
      </c>
      <c r="C92" s="260" t="s">
        <v>4071</v>
      </c>
      <c r="D92" s="254">
        <f>SUMIF(GL!$D$5:$D$6505,B92,GL!$G$5:$G$6505)</f>
        <v>0</v>
      </c>
      <c r="E92" s="341">
        <f>SUMIF(GL!$D$6:$D$6487,B92,GL!$H$6:$H$6487)</f>
        <v>0</v>
      </c>
      <c r="F92" s="341">
        <f>SUMIF(GL!$D$6:$D$6487,B92,GL!$I$6:$I$6487)</f>
        <v>0</v>
      </c>
      <c r="G92" s="341"/>
      <c r="H92" s="341"/>
      <c r="I92" s="341">
        <f t="shared" si="66"/>
        <v>0</v>
      </c>
      <c r="J92" s="341">
        <f t="shared" si="67"/>
        <v>0</v>
      </c>
      <c r="K92" s="341"/>
      <c r="L92" s="342"/>
      <c r="M92" s="342"/>
      <c r="N92" s="341">
        <f t="shared" si="61"/>
        <v>0</v>
      </c>
      <c r="O92" s="341">
        <f t="shared" si="62"/>
        <v>0</v>
      </c>
      <c r="P92" s="341">
        <f>SUMIF(GL!$D$6488:$D$6532,B92,GL!$H$6488:$H$6532)</f>
        <v>0</v>
      </c>
      <c r="Q92" s="341">
        <f>SUMIF(GL!$D$6408:$D$6452,B92,GL!$I$6408:$I$6452)</f>
        <v>0</v>
      </c>
      <c r="R92" s="341">
        <f t="shared" ref="R92:S92" si="115">P92+N92</f>
        <v>0</v>
      </c>
      <c r="S92" s="341">
        <f t="shared" si="115"/>
        <v>0</v>
      </c>
      <c r="T92" s="340"/>
      <c r="U92" s="340"/>
      <c r="V92" s="340"/>
      <c r="W92" s="340"/>
      <c r="X92" s="341">
        <f t="shared" si="64"/>
        <v>0</v>
      </c>
      <c r="Y92" s="341">
        <f t="shared" si="65"/>
        <v>0</v>
      </c>
      <c r="Z92" s="331"/>
      <c r="AA92" s="110"/>
      <c r="AB92" s="358"/>
      <c r="AC92" s="330"/>
      <c r="AD92" s="110"/>
      <c r="AE92" s="110"/>
      <c r="AF92" s="332"/>
      <c r="AG92" s="332"/>
      <c r="AH92" s="332"/>
      <c r="AI92" s="332"/>
    </row>
    <row r="93" spans="1:35" ht="13.5" customHeight="1">
      <c r="A93" s="4"/>
      <c r="B93" s="15" t="s">
        <v>1797</v>
      </c>
      <c r="C93" s="260" t="s">
        <v>4072</v>
      </c>
      <c r="D93" s="254">
        <f>SUMIF(GL!$D$5:$D$6505,B93,GL!$G$5:$G$6505)</f>
        <v>8.16</v>
      </c>
      <c r="E93" s="341">
        <f>SUMIF(GL!$D$6:$D$6487,B93,GL!$H$6:$H$6487)</f>
        <v>1168032</v>
      </c>
      <c r="F93" s="341">
        <f>SUMIF(GL!$D$6:$D$6487,B93,GL!$I$6:$I$6487)</f>
        <v>0</v>
      </c>
      <c r="G93" s="341"/>
      <c r="H93" s="341"/>
      <c r="I93" s="341">
        <f t="shared" si="66"/>
        <v>1168032</v>
      </c>
      <c r="J93" s="341">
        <f t="shared" si="67"/>
        <v>0</v>
      </c>
      <c r="K93" s="341"/>
      <c r="L93" s="342"/>
      <c r="M93" s="342"/>
      <c r="N93" s="341">
        <f t="shared" si="61"/>
        <v>1168032</v>
      </c>
      <c r="O93" s="341">
        <f t="shared" si="62"/>
        <v>0</v>
      </c>
      <c r="P93" s="341">
        <f>SUMIF(GL!$D$6488:$D$6532,B93,GL!$H$6488:$H$6532)</f>
        <v>0</v>
      </c>
      <c r="Q93" s="341">
        <f>SUMIF(GL!$D$6408:$D$6452,B93,GL!$I$6408:$I$6452)</f>
        <v>0</v>
      </c>
      <c r="R93" s="341">
        <f t="shared" ref="R93:S93" si="116">P93+N93</f>
        <v>1168032</v>
      </c>
      <c r="S93" s="341">
        <f t="shared" si="116"/>
        <v>0</v>
      </c>
      <c r="T93" s="340"/>
      <c r="U93" s="340"/>
      <c r="V93" s="340"/>
      <c r="W93" s="340"/>
      <c r="X93" s="341">
        <f t="shared" si="64"/>
        <v>1168032</v>
      </c>
      <c r="Y93" s="341">
        <f t="shared" si="65"/>
        <v>0</v>
      </c>
      <c r="Z93" s="331"/>
      <c r="AA93" s="110"/>
      <c r="AB93" s="358"/>
      <c r="AC93" s="330"/>
      <c r="AD93" s="110"/>
      <c r="AE93" s="110"/>
      <c r="AF93" s="332"/>
      <c r="AG93" s="332"/>
      <c r="AH93" s="332"/>
      <c r="AI93" s="332"/>
    </row>
    <row r="94" spans="1:35" ht="13.5" customHeight="1">
      <c r="A94" s="4"/>
      <c r="B94" s="15" t="s">
        <v>1894</v>
      </c>
      <c r="C94" s="260" t="s">
        <v>4073</v>
      </c>
      <c r="D94" s="254">
        <f>SUMIF(GL!$D$5:$D$6505,B94,GL!$G$5:$G$6505)</f>
        <v>5.0299999999999994</v>
      </c>
      <c r="E94" s="341">
        <f>SUMIF(GL!$D$6:$D$6487,B94,GL!$H$6:$H$6487)</f>
        <v>829950</v>
      </c>
      <c r="F94" s="341">
        <f>SUMIF(GL!$D$6:$D$6487,B94,GL!$I$6:$I$6487)</f>
        <v>0</v>
      </c>
      <c r="G94" s="341"/>
      <c r="H94" s="341"/>
      <c r="I94" s="341">
        <f t="shared" si="66"/>
        <v>829950</v>
      </c>
      <c r="J94" s="341">
        <f t="shared" si="67"/>
        <v>0</v>
      </c>
      <c r="K94" s="341"/>
      <c r="L94" s="342"/>
      <c r="M94" s="342"/>
      <c r="N94" s="341">
        <f t="shared" si="61"/>
        <v>829950</v>
      </c>
      <c r="O94" s="341">
        <f t="shared" si="62"/>
        <v>0</v>
      </c>
      <c r="P94" s="341">
        <f>SUMIF(GL!$D$6488:$D$6532,B94,GL!$H$6488:$H$6532)</f>
        <v>0</v>
      </c>
      <c r="Q94" s="341">
        <f>SUMIF(GL!$D$6408:$D$6452,B94,GL!$I$6408:$I$6452)</f>
        <v>0</v>
      </c>
      <c r="R94" s="341">
        <f t="shared" ref="R94:S94" si="117">P94+N94</f>
        <v>829950</v>
      </c>
      <c r="S94" s="341">
        <f t="shared" si="117"/>
        <v>0</v>
      </c>
      <c r="T94" s="340"/>
      <c r="U94" s="340"/>
      <c r="V94" s="340"/>
      <c r="W94" s="340"/>
      <c r="X94" s="341">
        <f t="shared" si="64"/>
        <v>829950</v>
      </c>
      <c r="Y94" s="341">
        <f t="shared" si="65"/>
        <v>0</v>
      </c>
      <c r="Z94" s="331"/>
      <c r="AA94" s="110"/>
      <c r="AB94" s="358"/>
      <c r="AC94" s="330"/>
      <c r="AD94" s="110"/>
      <c r="AE94" s="110"/>
      <c r="AF94" s="332"/>
      <c r="AG94" s="332"/>
      <c r="AH94" s="332"/>
      <c r="AI94" s="332"/>
    </row>
    <row r="95" spans="1:35" ht="13.5" customHeight="1">
      <c r="A95" s="4"/>
      <c r="B95" s="15" t="s">
        <v>1836</v>
      </c>
      <c r="C95" s="260" t="s">
        <v>4074</v>
      </c>
      <c r="D95" s="254">
        <f>SUMIF(GL!$D$5:$D$6505,B95,GL!$G$5:$G$6505)</f>
        <v>7.52</v>
      </c>
      <c r="E95" s="341">
        <f>SUMIF(GL!$D$6:$D$6487,B95,GL!$H$6:$H$6487)</f>
        <v>1013872</v>
      </c>
      <c r="F95" s="341">
        <f>SUMIF(GL!$D$6:$D$6487,B95,GL!$I$6:$I$6487)</f>
        <v>0</v>
      </c>
      <c r="G95" s="341"/>
      <c r="H95" s="341"/>
      <c r="I95" s="341">
        <f t="shared" si="66"/>
        <v>1013872</v>
      </c>
      <c r="J95" s="341">
        <f t="shared" si="67"/>
        <v>0</v>
      </c>
      <c r="K95" s="341"/>
      <c r="L95" s="342"/>
      <c r="M95" s="342"/>
      <c r="N95" s="341">
        <f t="shared" si="61"/>
        <v>1013872</v>
      </c>
      <c r="O95" s="341">
        <f t="shared" si="62"/>
        <v>0</v>
      </c>
      <c r="P95" s="341">
        <f>SUMIF(GL!$D$6488:$D$6532,B95,GL!$H$6488:$H$6532)</f>
        <v>0</v>
      </c>
      <c r="Q95" s="341">
        <f>SUMIF(GL!$D$6408:$D$6452,B95,GL!$I$6408:$I$6452)</f>
        <v>0</v>
      </c>
      <c r="R95" s="341">
        <f t="shared" ref="R95:S95" si="118">P95+N95</f>
        <v>1013872</v>
      </c>
      <c r="S95" s="341">
        <f t="shared" si="118"/>
        <v>0</v>
      </c>
      <c r="T95" s="340"/>
      <c r="U95" s="340"/>
      <c r="V95" s="340"/>
      <c r="W95" s="340"/>
      <c r="X95" s="341">
        <f t="shared" si="64"/>
        <v>1013872</v>
      </c>
      <c r="Y95" s="341">
        <f t="shared" si="65"/>
        <v>0</v>
      </c>
      <c r="Z95" s="331"/>
      <c r="AA95" s="110"/>
      <c r="AB95" s="358"/>
      <c r="AC95" s="330"/>
      <c r="AD95" s="110"/>
      <c r="AE95" s="110"/>
      <c r="AF95" s="332"/>
      <c r="AG95" s="332"/>
      <c r="AH95" s="332"/>
      <c r="AI95" s="332"/>
    </row>
    <row r="96" spans="1:35" ht="13.5" customHeight="1">
      <c r="A96" s="4"/>
      <c r="B96" s="15" t="s">
        <v>4075</v>
      </c>
      <c r="C96" s="260" t="s">
        <v>4076</v>
      </c>
      <c r="D96" s="254">
        <f>SUMIF(GL!$D$5:$D$6505,B96,GL!$G$5:$G$6505)</f>
        <v>0</v>
      </c>
      <c r="E96" s="341">
        <f>SUMIF(GL!$D$6:$D$6487,B96,GL!$H$6:$H$6487)</f>
        <v>0</v>
      </c>
      <c r="F96" s="341">
        <f>SUMIF(GL!$D$6:$D$6487,B96,GL!$I$6:$I$6487)</f>
        <v>0</v>
      </c>
      <c r="G96" s="341"/>
      <c r="H96" s="341"/>
      <c r="I96" s="341">
        <f t="shared" si="66"/>
        <v>0</v>
      </c>
      <c r="J96" s="341">
        <f t="shared" si="67"/>
        <v>0</v>
      </c>
      <c r="K96" s="341"/>
      <c r="L96" s="342"/>
      <c r="M96" s="342"/>
      <c r="N96" s="341">
        <f t="shared" si="61"/>
        <v>0</v>
      </c>
      <c r="O96" s="341">
        <f t="shared" si="62"/>
        <v>0</v>
      </c>
      <c r="P96" s="341">
        <f>SUMIF(GL!$D$6488:$D$6532,B96,GL!$H$6488:$H$6532)</f>
        <v>0</v>
      </c>
      <c r="Q96" s="341">
        <f>SUMIF(GL!$D$6408:$D$6452,B96,GL!$I$6408:$I$6452)</f>
        <v>0</v>
      </c>
      <c r="R96" s="341">
        <f t="shared" ref="R96:S96" si="119">P96+N96</f>
        <v>0</v>
      </c>
      <c r="S96" s="341">
        <f t="shared" si="119"/>
        <v>0</v>
      </c>
      <c r="T96" s="340"/>
      <c r="U96" s="340"/>
      <c r="V96" s="340"/>
      <c r="W96" s="340"/>
      <c r="X96" s="341">
        <f t="shared" si="64"/>
        <v>0</v>
      </c>
      <c r="Y96" s="341">
        <f t="shared" si="65"/>
        <v>0</v>
      </c>
      <c r="Z96" s="331"/>
      <c r="AA96" s="110"/>
      <c r="AB96" s="358"/>
      <c r="AC96" s="330"/>
      <c r="AD96" s="110"/>
      <c r="AE96" s="110"/>
      <c r="AF96" s="332"/>
      <c r="AG96" s="332"/>
      <c r="AH96" s="332"/>
      <c r="AI96" s="332"/>
    </row>
    <row r="97" spans="1:35" ht="13.5" customHeight="1">
      <c r="A97" s="4"/>
      <c r="B97" s="15" t="s">
        <v>4077</v>
      </c>
      <c r="C97" s="260" t="s">
        <v>4078</v>
      </c>
      <c r="D97" s="254">
        <f>SUMIF(GL!$D$5:$D$6505,B97,GL!$G$5:$G$6505)</f>
        <v>0</v>
      </c>
      <c r="E97" s="341">
        <f>SUMIF(GL!$D$6:$D$6487,B97,GL!$H$6:$H$6487)</f>
        <v>0</v>
      </c>
      <c r="F97" s="341">
        <f>SUMIF(GL!$D$6:$D$6487,B97,GL!$I$6:$I$6487)</f>
        <v>0</v>
      </c>
      <c r="G97" s="341"/>
      <c r="H97" s="341"/>
      <c r="I97" s="341">
        <f t="shared" si="66"/>
        <v>0</v>
      </c>
      <c r="J97" s="341">
        <f t="shared" si="67"/>
        <v>0</v>
      </c>
      <c r="K97" s="341"/>
      <c r="L97" s="342"/>
      <c r="M97" s="342"/>
      <c r="N97" s="341">
        <f t="shared" si="61"/>
        <v>0</v>
      </c>
      <c r="O97" s="341">
        <f t="shared" si="62"/>
        <v>0</v>
      </c>
      <c r="P97" s="341">
        <f>SUMIF(GL!$D$6488:$D$6532,B97,GL!$H$6488:$H$6532)</f>
        <v>0</v>
      </c>
      <c r="Q97" s="341">
        <f>SUMIF(GL!$D$6408:$D$6452,B97,GL!$I$6408:$I$6452)</f>
        <v>0</v>
      </c>
      <c r="R97" s="341">
        <f t="shared" ref="R97:S97" si="120">P97+N97</f>
        <v>0</v>
      </c>
      <c r="S97" s="341">
        <f t="shared" si="120"/>
        <v>0</v>
      </c>
      <c r="T97" s="340"/>
      <c r="U97" s="340"/>
      <c r="V97" s="340"/>
      <c r="W97" s="340"/>
      <c r="X97" s="341">
        <f t="shared" si="64"/>
        <v>0</v>
      </c>
      <c r="Y97" s="341">
        <f t="shared" si="65"/>
        <v>0</v>
      </c>
      <c r="Z97" s="331"/>
      <c r="AA97" s="110"/>
      <c r="AB97" s="358"/>
      <c r="AC97" s="330"/>
      <c r="AD97" s="110"/>
      <c r="AE97" s="110"/>
      <c r="AF97" s="332"/>
      <c r="AG97" s="332"/>
      <c r="AH97" s="332"/>
      <c r="AI97" s="332"/>
    </row>
    <row r="98" spans="1:35" ht="13.5" customHeight="1">
      <c r="A98" s="4"/>
      <c r="B98" s="15" t="s">
        <v>4079</v>
      </c>
      <c r="C98" s="260" t="s">
        <v>4080</v>
      </c>
      <c r="D98" s="254">
        <f>SUMIF(GL!$D$5:$D$6505,B98,GL!$G$5:$G$6505)</f>
        <v>0</v>
      </c>
      <c r="E98" s="341">
        <f>SUMIF(GL!$D$6:$D$6487,B98,GL!$H$6:$H$6487)</f>
        <v>0</v>
      </c>
      <c r="F98" s="341">
        <f>SUMIF(GL!$D$6:$D$6487,B98,GL!$I$6:$I$6487)</f>
        <v>0</v>
      </c>
      <c r="G98" s="341"/>
      <c r="H98" s="341"/>
      <c r="I98" s="341">
        <f t="shared" si="66"/>
        <v>0</v>
      </c>
      <c r="J98" s="341">
        <f t="shared" si="67"/>
        <v>0</v>
      </c>
      <c r="K98" s="341"/>
      <c r="L98" s="342"/>
      <c r="M98" s="342"/>
      <c r="N98" s="341">
        <f t="shared" si="61"/>
        <v>0</v>
      </c>
      <c r="O98" s="341">
        <f t="shared" si="62"/>
        <v>0</v>
      </c>
      <c r="P98" s="341">
        <f>SUMIF(GL!$D$6488:$D$6532,B98,GL!$H$6488:$H$6532)</f>
        <v>0</v>
      </c>
      <c r="Q98" s="341">
        <f>SUMIF(GL!$D$6408:$D$6452,B98,GL!$I$6408:$I$6452)</f>
        <v>0</v>
      </c>
      <c r="R98" s="341">
        <f t="shared" ref="R98:S98" si="121">P98+N98</f>
        <v>0</v>
      </c>
      <c r="S98" s="341">
        <f t="shared" si="121"/>
        <v>0</v>
      </c>
      <c r="T98" s="340"/>
      <c r="U98" s="340"/>
      <c r="V98" s="340"/>
      <c r="W98" s="340"/>
      <c r="X98" s="341">
        <f t="shared" si="64"/>
        <v>0</v>
      </c>
      <c r="Y98" s="341">
        <f t="shared" si="65"/>
        <v>0</v>
      </c>
      <c r="Z98" s="331"/>
      <c r="AA98" s="110"/>
      <c r="AB98" s="358"/>
      <c r="AC98" s="330"/>
      <c r="AD98" s="110"/>
      <c r="AE98" s="110"/>
      <c r="AF98" s="332"/>
      <c r="AG98" s="332"/>
      <c r="AH98" s="332"/>
      <c r="AI98" s="332"/>
    </row>
    <row r="99" spans="1:35" ht="13.5" customHeight="1">
      <c r="A99" s="4"/>
      <c r="B99" s="15" t="s">
        <v>4081</v>
      </c>
      <c r="C99" s="260" t="s">
        <v>4082</v>
      </c>
      <c r="D99" s="254">
        <f>SUMIF(GL!$D$5:$D$6505,B99,GL!$G$5:$G$6505)</f>
        <v>0</v>
      </c>
      <c r="E99" s="341">
        <f>SUMIF(GL!$D$6:$D$6487,B99,GL!$H$6:$H$6487)</f>
        <v>0</v>
      </c>
      <c r="F99" s="341">
        <f>SUMIF(GL!$D$6:$D$6487,B99,GL!$I$6:$I$6487)</f>
        <v>0</v>
      </c>
      <c r="G99" s="341"/>
      <c r="H99" s="341"/>
      <c r="I99" s="341">
        <f t="shared" si="66"/>
        <v>0</v>
      </c>
      <c r="J99" s="341">
        <f t="shared" si="67"/>
        <v>0</v>
      </c>
      <c r="K99" s="341"/>
      <c r="L99" s="342"/>
      <c r="M99" s="342"/>
      <c r="N99" s="341">
        <f t="shared" si="61"/>
        <v>0</v>
      </c>
      <c r="O99" s="341">
        <f t="shared" si="62"/>
        <v>0</v>
      </c>
      <c r="P99" s="341">
        <f>SUMIF(GL!$D$6488:$D$6532,B99,GL!$H$6488:$H$6532)</f>
        <v>0</v>
      </c>
      <c r="Q99" s="341">
        <f>SUMIF(GL!$D$6408:$D$6452,B99,GL!$I$6408:$I$6452)</f>
        <v>0</v>
      </c>
      <c r="R99" s="341">
        <f t="shared" ref="R99:S99" si="122">P99+N99</f>
        <v>0</v>
      </c>
      <c r="S99" s="341">
        <f t="shared" si="122"/>
        <v>0</v>
      </c>
      <c r="T99" s="340"/>
      <c r="U99" s="340"/>
      <c r="V99" s="340"/>
      <c r="W99" s="340"/>
      <c r="X99" s="341">
        <f t="shared" si="64"/>
        <v>0</v>
      </c>
      <c r="Y99" s="341">
        <f t="shared" si="65"/>
        <v>0</v>
      </c>
      <c r="Z99" s="331"/>
      <c r="AA99" s="110"/>
      <c r="AB99" s="358"/>
      <c r="AC99" s="330"/>
      <c r="AD99" s="110"/>
      <c r="AE99" s="110"/>
      <c r="AF99" s="332"/>
      <c r="AG99" s="332"/>
      <c r="AH99" s="332"/>
      <c r="AI99" s="332"/>
    </row>
    <row r="100" spans="1:35" ht="13.5" customHeight="1">
      <c r="A100" s="4"/>
      <c r="B100" s="15" t="s">
        <v>2235</v>
      </c>
      <c r="C100" s="260" t="s">
        <v>4083</v>
      </c>
      <c r="D100" s="254">
        <f>SUMIF(GL!$D$5:$D$6505,B100,GL!$G$5:$G$6505)</f>
        <v>5</v>
      </c>
      <c r="E100" s="341">
        <f>SUMIF(GL!$D$6:$D$6487,B100,GL!$H$6:$H$6487)</f>
        <v>125000</v>
      </c>
      <c r="F100" s="341">
        <f>SUMIF(GL!$D$6:$D$6487,B100,GL!$I$6:$I$6487)</f>
        <v>0</v>
      </c>
      <c r="G100" s="341"/>
      <c r="H100" s="341"/>
      <c r="I100" s="341">
        <f t="shared" si="66"/>
        <v>125000</v>
      </c>
      <c r="J100" s="341">
        <f t="shared" si="67"/>
        <v>0</v>
      </c>
      <c r="K100" s="341"/>
      <c r="L100" s="342"/>
      <c r="M100" s="342"/>
      <c r="N100" s="341">
        <f t="shared" si="61"/>
        <v>125000</v>
      </c>
      <c r="O100" s="341">
        <f t="shared" si="62"/>
        <v>0</v>
      </c>
      <c r="P100" s="341">
        <f>SUMIF(GL!$D$6488:$D$6532,B100,GL!$H$6488:$H$6532)</f>
        <v>0</v>
      </c>
      <c r="Q100" s="341">
        <f>SUMIF(GL!$D$6408:$D$6452,B100,GL!$I$6408:$I$6452)</f>
        <v>0</v>
      </c>
      <c r="R100" s="341">
        <f t="shared" ref="R100:S100" si="123">P100+N100</f>
        <v>125000</v>
      </c>
      <c r="S100" s="341">
        <f t="shared" si="123"/>
        <v>0</v>
      </c>
      <c r="T100" s="340"/>
      <c r="U100" s="340"/>
      <c r="V100" s="340"/>
      <c r="W100" s="340"/>
      <c r="X100" s="341">
        <f t="shared" si="64"/>
        <v>125000</v>
      </c>
      <c r="Y100" s="341">
        <f t="shared" si="65"/>
        <v>0</v>
      </c>
      <c r="Z100" s="331"/>
      <c r="AA100" s="110"/>
      <c r="AB100" s="358"/>
      <c r="AC100" s="330"/>
      <c r="AD100" s="110"/>
      <c r="AE100" s="110"/>
      <c r="AF100" s="332"/>
      <c r="AG100" s="332"/>
      <c r="AH100" s="332"/>
      <c r="AI100" s="332"/>
    </row>
    <row r="101" spans="1:35" ht="13.5" customHeight="1">
      <c r="A101" s="4"/>
      <c r="B101" s="15"/>
      <c r="C101" s="260" t="s">
        <v>2630</v>
      </c>
      <c r="D101" s="254">
        <f>SUMIF(GL!$D$5:$D$6505,B101,GL!$G$5:$G$6505)</f>
        <v>0</v>
      </c>
      <c r="E101" s="341">
        <f>SUMIF(GL!$D$6:$D$6487,B101,GL!$H$6:$H$6487)</f>
        <v>0</v>
      </c>
      <c r="F101" s="341">
        <f>SUMIF(GL!$D$6:$D$6487,B101,GL!$I$6:$I$6487)</f>
        <v>0</v>
      </c>
      <c r="G101" s="341"/>
      <c r="H101" s="341"/>
      <c r="I101" s="341">
        <f t="shared" si="66"/>
        <v>0</v>
      </c>
      <c r="J101" s="341">
        <f t="shared" si="67"/>
        <v>0</v>
      </c>
      <c r="K101" s="341"/>
      <c r="L101" s="342"/>
      <c r="M101" s="342"/>
      <c r="N101" s="341">
        <f t="shared" si="61"/>
        <v>0</v>
      </c>
      <c r="O101" s="341">
        <f t="shared" si="62"/>
        <v>0</v>
      </c>
      <c r="P101" s="341">
        <f>SUMIF(GL!$D$6488:$D$6532,B101,GL!$H$6488:$H$6532)</f>
        <v>0</v>
      </c>
      <c r="Q101" s="341">
        <f>SUMIF(GL!$D$6408:$D$6452,B101,GL!$I$6408:$I$6452)</f>
        <v>0</v>
      </c>
      <c r="R101" s="341">
        <f t="shared" ref="R101:S101" si="124">P101+N101</f>
        <v>0</v>
      </c>
      <c r="S101" s="341">
        <f t="shared" si="124"/>
        <v>0</v>
      </c>
      <c r="T101" s="340"/>
      <c r="U101" s="340"/>
      <c r="V101" s="340"/>
      <c r="W101" s="340"/>
      <c r="X101" s="341">
        <f t="shared" si="64"/>
        <v>0</v>
      </c>
      <c r="Y101" s="341">
        <f t="shared" si="65"/>
        <v>0</v>
      </c>
      <c r="Z101" s="331"/>
      <c r="AA101" s="110"/>
      <c r="AB101" s="358"/>
      <c r="AC101" s="330"/>
      <c r="AD101" s="110"/>
      <c r="AE101" s="110"/>
      <c r="AF101" s="332"/>
      <c r="AG101" s="332"/>
      <c r="AH101" s="332"/>
      <c r="AI101" s="332"/>
    </row>
    <row r="102" spans="1:35" ht="13.5" customHeight="1">
      <c r="A102" s="4"/>
      <c r="B102" s="15"/>
      <c r="C102" s="260" t="s">
        <v>2630</v>
      </c>
      <c r="D102" s="254">
        <f>SUMIF(GL!$D$5:$D$6505,B102,GL!$G$5:$G$6505)</f>
        <v>0</v>
      </c>
      <c r="E102" s="341">
        <f>SUMIF(GL!$D$6:$D$6487,B102,GL!$H$6:$H$6487)</f>
        <v>0</v>
      </c>
      <c r="F102" s="341">
        <f>SUMIF(GL!$D$6:$D$6487,B102,GL!$I$6:$I$6487)</f>
        <v>0</v>
      </c>
      <c r="G102" s="341"/>
      <c r="H102" s="341"/>
      <c r="I102" s="341">
        <f t="shared" si="66"/>
        <v>0</v>
      </c>
      <c r="J102" s="341">
        <f t="shared" si="67"/>
        <v>0</v>
      </c>
      <c r="K102" s="341"/>
      <c r="L102" s="342"/>
      <c r="M102" s="342"/>
      <c r="N102" s="341">
        <f t="shared" si="61"/>
        <v>0</v>
      </c>
      <c r="O102" s="341">
        <f t="shared" si="62"/>
        <v>0</v>
      </c>
      <c r="P102" s="341">
        <f>SUMIF(GL!$D$6488:$D$6532,B102,GL!$H$6488:$H$6532)</f>
        <v>0</v>
      </c>
      <c r="Q102" s="341">
        <f>SUMIF(GL!$D$6408:$D$6452,B102,GL!$I$6408:$I$6452)</f>
        <v>0</v>
      </c>
      <c r="R102" s="341">
        <f t="shared" ref="R102:S102" si="125">P102+N102</f>
        <v>0</v>
      </c>
      <c r="S102" s="341">
        <f t="shared" si="125"/>
        <v>0</v>
      </c>
      <c r="T102" s="340"/>
      <c r="U102" s="340"/>
      <c r="V102" s="340"/>
      <c r="W102" s="340"/>
      <c r="X102" s="341">
        <f t="shared" si="64"/>
        <v>0</v>
      </c>
      <c r="Y102" s="341">
        <f t="shared" si="65"/>
        <v>0</v>
      </c>
      <c r="Z102" s="331"/>
      <c r="AA102" s="110"/>
      <c r="AB102" s="358"/>
      <c r="AC102" s="330"/>
      <c r="AD102" s="110"/>
      <c r="AE102" s="110"/>
      <c r="AF102" s="332"/>
      <c r="AG102" s="332"/>
      <c r="AH102" s="332"/>
      <c r="AI102" s="332"/>
    </row>
    <row r="103" spans="1:35" ht="13.5" customHeight="1">
      <c r="A103" s="4"/>
      <c r="B103" s="15"/>
      <c r="C103" s="261" t="s">
        <v>3824</v>
      </c>
      <c r="D103" s="254">
        <f>SUMIF(GL!$D$5:$D$6505,B103,GL!$G$5:$G$6505)</f>
        <v>0</v>
      </c>
      <c r="E103" s="341">
        <f>SUMIF(GL!$D$6:$D$6487,B103,GL!$H$6:$H$6487)</f>
        <v>0</v>
      </c>
      <c r="F103" s="341">
        <f>SUMIF(GL!$D$6:$D$6487,B103,GL!$I$6:$I$6487)</f>
        <v>0</v>
      </c>
      <c r="G103" s="341"/>
      <c r="H103" s="341"/>
      <c r="I103" s="341">
        <f t="shared" si="66"/>
        <v>0</v>
      </c>
      <c r="J103" s="341">
        <f t="shared" si="67"/>
        <v>0</v>
      </c>
      <c r="K103" s="341"/>
      <c r="L103" s="342"/>
      <c r="M103" s="342"/>
      <c r="N103" s="341">
        <f t="shared" si="61"/>
        <v>0</v>
      </c>
      <c r="O103" s="341">
        <f t="shared" si="62"/>
        <v>0</v>
      </c>
      <c r="P103" s="341">
        <f>SUMIF(GL!$D$6488:$D$6532,B103,GL!$H$6488:$H$6532)</f>
        <v>0</v>
      </c>
      <c r="Q103" s="341">
        <f>SUMIF(GL!$D$6408:$D$6452,B103,GL!$I$6408:$I$6452)</f>
        <v>0</v>
      </c>
      <c r="R103" s="341">
        <f t="shared" ref="R103:S103" si="126">P103+N103</f>
        <v>0</v>
      </c>
      <c r="S103" s="341">
        <f t="shared" si="126"/>
        <v>0</v>
      </c>
      <c r="T103" s="340"/>
      <c r="U103" s="340"/>
      <c r="V103" s="340"/>
      <c r="W103" s="340"/>
      <c r="X103" s="341">
        <f t="shared" si="64"/>
        <v>0</v>
      </c>
      <c r="Y103" s="341">
        <f t="shared" si="65"/>
        <v>0</v>
      </c>
      <c r="Z103" s="331"/>
      <c r="AA103" s="110"/>
      <c r="AB103" s="358"/>
      <c r="AC103" s="330"/>
      <c r="AD103" s="110"/>
      <c r="AE103" s="110"/>
      <c r="AF103" s="332"/>
      <c r="AG103" s="332"/>
      <c r="AH103" s="332"/>
      <c r="AI103" s="332"/>
    </row>
    <row r="104" spans="1:35" ht="13.5" customHeight="1">
      <c r="A104" s="4"/>
      <c r="B104" s="15" t="s">
        <v>1765</v>
      </c>
      <c r="C104" s="260" t="s">
        <v>4084</v>
      </c>
      <c r="D104" s="254">
        <f>SUMIF(GL!$D$5:$D$6505,B104,GL!$G$5:$G$6505)</f>
        <v>4.37</v>
      </c>
      <c r="E104" s="341">
        <f>SUMIF(GL!$D$6:$D$6487,B104,GL!$H$6:$H$6487)</f>
        <v>214000</v>
      </c>
      <c r="F104" s="341">
        <f>SUMIF(GL!$D$6:$D$6487,B104,GL!$I$6:$I$6487)</f>
        <v>0</v>
      </c>
      <c r="G104" s="341"/>
      <c r="H104" s="341"/>
      <c r="I104" s="341">
        <f t="shared" si="66"/>
        <v>214000</v>
      </c>
      <c r="J104" s="341">
        <f t="shared" si="67"/>
        <v>0</v>
      </c>
      <c r="K104" s="341"/>
      <c r="L104" s="342"/>
      <c r="M104" s="342"/>
      <c r="N104" s="341">
        <f t="shared" si="61"/>
        <v>214000</v>
      </c>
      <c r="O104" s="341">
        <f t="shared" si="62"/>
        <v>0</v>
      </c>
      <c r="P104" s="341">
        <f>SUMIF(GL!$D$6488:$D$6532,B104,GL!$H$6488:$H$6532)</f>
        <v>0</v>
      </c>
      <c r="Q104" s="341">
        <f>SUMIF(GL!$D$6408:$D$6452,B104,GL!$I$6408:$I$6452)</f>
        <v>0</v>
      </c>
      <c r="R104" s="341">
        <f t="shared" ref="R104:S104" si="127">P104+N104</f>
        <v>214000</v>
      </c>
      <c r="S104" s="341">
        <f t="shared" si="127"/>
        <v>0</v>
      </c>
      <c r="T104" s="340"/>
      <c r="U104" s="340"/>
      <c r="V104" s="340"/>
      <c r="W104" s="340"/>
      <c r="X104" s="341">
        <f t="shared" si="64"/>
        <v>214000</v>
      </c>
      <c r="Y104" s="341">
        <f t="shared" si="65"/>
        <v>0</v>
      </c>
      <c r="Z104" s="331"/>
      <c r="AA104" s="110"/>
      <c r="AB104" s="358"/>
      <c r="AC104" s="330"/>
      <c r="AD104" s="110"/>
      <c r="AE104" s="110"/>
      <c r="AF104" s="332"/>
      <c r="AG104" s="332"/>
      <c r="AH104" s="332"/>
      <c r="AI104" s="332"/>
    </row>
    <row r="105" spans="1:35" ht="13.5" customHeight="1">
      <c r="A105" s="4"/>
      <c r="B105" s="15" t="s">
        <v>1928</v>
      </c>
      <c r="C105" s="260" t="s">
        <v>4085</v>
      </c>
      <c r="D105" s="254">
        <f>SUMIF(GL!$D$5:$D$6505,B105,GL!$G$5:$G$6505)</f>
        <v>19.2</v>
      </c>
      <c r="E105" s="341">
        <f>SUMIF(GL!$D$6:$D$6487,B105,GL!$H$6:$H$6487)</f>
        <v>381000</v>
      </c>
      <c r="F105" s="341">
        <f>SUMIF(GL!$D$6:$D$6487,B105,GL!$I$6:$I$6487)</f>
        <v>0</v>
      </c>
      <c r="G105" s="341"/>
      <c r="H105" s="341"/>
      <c r="I105" s="341">
        <f t="shared" si="66"/>
        <v>381000</v>
      </c>
      <c r="J105" s="341">
        <f t="shared" si="67"/>
        <v>0</v>
      </c>
      <c r="K105" s="341"/>
      <c r="L105" s="342"/>
      <c r="M105" s="342"/>
      <c r="N105" s="341">
        <f t="shared" si="61"/>
        <v>381000</v>
      </c>
      <c r="O105" s="341">
        <f t="shared" si="62"/>
        <v>0</v>
      </c>
      <c r="P105" s="341">
        <f>SUMIF(GL!$D$6488:$D$6532,B105,GL!$H$6488:$H$6532)</f>
        <v>0</v>
      </c>
      <c r="Q105" s="341">
        <f>SUMIF(GL!$D$6408:$D$6452,B105,GL!$I$6408:$I$6452)</f>
        <v>0</v>
      </c>
      <c r="R105" s="341">
        <f t="shared" ref="R105:S105" si="128">P105+N105</f>
        <v>381000</v>
      </c>
      <c r="S105" s="341">
        <f t="shared" si="128"/>
        <v>0</v>
      </c>
      <c r="T105" s="340"/>
      <c r="U105" s="340"/>
      <c r="V105" s="340"/>
      <c r="W105" s="340"/>
      <c r="X105" s="341">
        <f t="shared" si="64"/>
        <v>381000</v>
      </c>
      <c r="Y105" s="341">
        <f t="shared" si="65"/>
        <v>0</v>
      </c>
      <c r="Z105" s="331"/>
      <c r="AA105" s="110"/>
      <c r="AB105" s="358"/>
      <c r="AC105" s="330"/>
      <c r="AD105" s="110"/>
      <c r="AE105" s="110"/>
      <c r="AF105" s="332"/>
      <c r="AG105" s="332"/>
      <c r="AH105" s="332"/>
      <c r="AI105" s="332"/>
    </row>
    <row r="106" spans="1:35" ht="13.5" customHeight="1">
      <c r="A106" s="4"/>
      <c r="B106" s="15" t="s">
        <v>2090</v>
      </c>
      <c r="C106" s="260" t="s">
        <v>4086</v>
      </c>
      <c r="D106" s="254">
        <f>SUMIF(GL!$D$5:$D$6505,B106,GL!$G$5:$G$6505)</f>
        <v>20</v>
      </c>
      <c r="E106" s="341">
        <f>SUMIF(GL!$D$6:$D$6487,B106,GL!$H$6:$H$6487)</f>
        <v>260000</v>
      </c>
      <c r="F106" s="341">
        <f>SUMIF(GL!$D$6:$D$6487,B106,GL!$I$6:$I$6487)</f>
        <v>0</v>
      </c>
      <c r="G106" s="341"/>
      <c r="H106" s="341"/>
      <c r="I106" s="341">
        <f t="shared" si="66"/>
        <v>260000</v>
      </c>
      <c r="J106" s="341">
        <f t="shared" si="67"/>
        <v>0</v>
      </c>
      <c r="K106" s="341"/>
      <c r="L106" s="342"/>
      <c r="M106" s="342"/>
      <c r="N106" s="341">
        <f t="shared" si="61"/>
        <v>260000</v>
      </c>
      <c r="O106" s="341">
        <f t="shared" si="62"/>
        <v>0</v>
      </c>
      <c r="P106" s="341">
        <f>SUMIF(GL!$D$6488:$D$6532,B106,GL!$H$6488:$H$6532)</f>
        <v>0</v>
      </c>
      <c r="Q106" s="341">
        <f>SUMIF(GL!$D$6408:$D$6452,B106,GL!$I$6408:$I$6452)</f>
        <v>0</v>
      </c>
      <c r="R106" s="341">
        <f t="shared" ref="R106:S106" si="129">P106+N106</f>
        <v>260000</v>
      </c>
      <c r="S106" s="341">
        <f t="shared" si="129"/>
        <v>0</v>
      </c>
      <c r="T106" s="340"/>
      <c r="U106" s="340"/>
      <c r="V106" s="340"/>
      <c r="W106" s="340"/>
      <c r="X106" s="341">
        <f t="shared" si="64"/>
        <v>260000</v>
      </c>
      <c r="Y106" s="341">
        <f t="shared" si="65"/>
        <v>0</v>
      </c>
      <c r="Z106" s="331"/>
      <c r="AA106" s="110"/>
      <c r="AB106" s="358"/>
      <c r="AC106" s="330"/>
      <c r="AD106" s="110"/>
      <c r="AE106" s="110"/>
      <c r="AF106" s="332"/>
      <c r="AG106" s="332"/>
      <c r="AH106" s="332"/>
      <c r="AI106" s="332"/>
    </row>
    <row r="107" spans="1:35" ht="13.5" customHeight="1">
      <c r="A107" s="4"/>
      <c r="B107" s="15" t="s">
        <v>1794</v>
      </c>
      <c r="C107" s="260" t="s">
        <v>4087</v>
      </c>
      <c r="D107" s="254">
        <f>SUMIF(GL!$D$5:$D$6505,B107,GL!$G$5:$G$6505)</f>
        <v>3.9329999999999998</v>
      </c>
      <c r="E107" s="341">
        <f>SUMIF(GL!$D$6:$D$6487,B107,GL!$H$6:$H$6487)</f>
        <v>168000</v>
      </c>
      <c r="F107" s="341">
        <f>SUMIF(GL!$D$6:$D$6487,B107,GL!$I$6:$I$6487)</f>
        <v>0</v>
      </c>
      <c r="G107" s="341"/>
      <c r="H107" s="341"/>
      <c r="I107" s="341">
        <f t="shared" si="66"/>
        <v>168000</v>
      </c>
      <c r="J107" s="341">
        <f t="shared" si="67"/>
        <v>0</v>
      </c>
      <c r="K107" s="341"/>
      <c r="L107" s="342"/>
      <c r="M107" s="342"/>
      <c r="N107" s="341">
        <f t="shared" si="61"/>
        <v>168000</v>
      </c>
      <c r="O107" s="341">
        <f t="shared" si="62"/>
        <v>0</v>
      </c>
      <c r="P107" s="341">
        <f>SUMIF(GL!$D$6488:$D$6532,B107,GL!$H$6488:$H$6532)</f>
        <v>0</v>
      </c>
      <c r="Q107" s="341">
        <f>SUMIF(GL!$D$6408:$D$6452,B107,GL!$I$6408:$I$6452)</f>
        <v>0</v>
      </c>
      <c r="R107" s="341">
        <f t="shared" ref="R107:S107" si="130">P107+N107</f>
        <v>168000</v>
      </c>
      <c r="S107" s="341">
        <f t="shared" si="130"/>
        <v>0</v>
      </c>
      <c r="T107" s="340"/>
      <c r="U107" s="340"/>
      <c r="V107" s="340"/>
      <c r="W107" s="340"/>
      <c r="X107" s="341">
        <f t="shared" si="64"/>
        <v>168000</v>
      </c>
      <c r="Y107" s="341">
        <f t="shared" si="65"/>
        <v>0</v>
      </c>
      <c r="Z107" s="331"/>
      <c r="AA107" s="110"/>
      <c r="AB107" s="358"/>
      <c r="AC107" s="330"/>
      <c r="AD107" s="110"/>
      <c r="AE107" s="110"/>
      <c r="AF107" s="332"/>
      <c r="AG107" s="332"/>
      <c r="AH107" s="332"/>
      <c r="AI107" s="332"/>
    </row>
    <row r="108" spans="1:35" ht="13.5" customHeight="1">
      <c r="A108" s="4"/>
      <c r="B108" s="15" t="s">
        <v>1807</v>
      </c>
      <c r="C108" s="260" t="s">
        <v>4088</v>
      </c>
      <c r="D108" s="254">
        <f>SUMIF(GL!$D$5:$D$6505,B108,GL!$G$5:$G$6505)</f>
        <v>3.25</v>
      </c>
      <c r="E108" s="341">
        <f>SUMIF(GL!$D$6:$D$6487,B108,GL!$H$6:$H$6487)</f>
        <v>170750</v>
      </c>
      <c r="F108" s="341">
        <f>SUMIF(GL!$D$6:$D$6487,B108,GL!$I$6:$I$6487)</f>
        <v>0</v>
      </c>
      <c r="G108" s="341"/>
      <c r="H108" s="341"/>
      <c r="I108" s="341">
        <f t="shared" si="66"/>
        <v>170750</v>
      </c>
      <c r="J108" s="341">
        <f t="shared" si="67"/>
        <v>0</v>
      </c>
      <c r="K108" s="341"/>
      <c r="L108" s="342"/>
      <c r="M108" s="342"/>
      <c r="N108" s="341">
        <f t="shared" si="61"/>
        <v>170750</v>
      </c>
      <c r="O108" s="341">
        <f t="shared" si="62"/>
        <v>0</v>
      </c>
      <c r="P108" s="341">
        <f>SUMIF(GL!$D$6488:$D$6532,B108,GL!$H$6488:$H$6532)</f>
        <v>0</v>
      </c>
      <c r="Q108" s="341">
        <f>SUMIF(GL!$D$6408:$D$6452,B108,GL!$I$6408:$I$6452)</f>
        <v>0</v>
      </c>
      <c r="R108" s="341">
        <f t="shared" ref="R108:S108" si="131">P108+N108</f>
        <v>170750</v>
      </c>
      <c r="S108" s="341">
        <f t="shared" si="131"/>
        <v>0</v>
      </c>
      <c r="T108" s="340"/>
      <c r="U108" s="340"/>
      <c r="V108" s="340"/>
      <c r="W108" s="340"/>
      <c r="X108" s="341">
        <f t="shared" si="64"/>
        <v>170750</v>
      </c>
      <c r="Y108" s="341">
        <f t="shared" si="65"/>
        <v>0</v>
      </c>
      <c r="Z108" s="331"/>
      <c r="AA108" s="110"/>
      <c r="AB108" s="358"/>
      <c r="AC108" s="330"/>
      <c r="AD108" s="110"/>
      <c r="AE108" s="110"/>
      <c r="AF108" s="332"/>
      <c r="AG108" s="332"/>
      <c r="AH108" s="332"/>
      <c r="AI108" s="332"/>
    </row>
    <row r="109" spans="1:35" ht="13.5" customHeight="1">
      <c r="A109" s="4"/>
      <c r="B109" s="15" t="s">
        <v>1875</v>
      </c>
      <c r="C109" s="260" t="s">
        <v>4089</v>
      </c>
      <c r="D109" s="254">
        <f>SUMIF(GL!$D$5:$D$6505,B109,GL!$G$5:$G$6505)</f>
        <v>13.849999999999998</v>
      </c>
      <c r="E109" s="341">
        <f>SUMIF(GL!$D$6:$D$6487,B109,GL!$H$6:$H$6487)</f>
        <v>332600</v>
      </c>
      <c r="F109" s="341">
        <f>SUMIF(GL!$D$6:$D$6487,B109,GL!$I$6:$I$6487)</f>
        <v>0</v>
      </c>
      <c r="G109" s="341"/>
      <c r="H109" s="341"/>
      <c r="I109" s="341">
        <f t="shared" si="66"/>
        <v>332600</v>
      </c>
      <c r="J109" s="341">
        <f t="shared" si="67"/>
        <v>0</v>
      </c>
      <c r="K109" s="341"/>
      <c r="L109" s="342"/>
      <c r="M109" s="342"/>
      <c r="N109" s="341">
        <f t="shared" si="61"/>
        <v>332600</v>
      </c>
      <c r="O109" s="341">
        <f t="shared" si="62"/>
        <v>0</v>
      </c>
      <c r="P109" s="341">
        <f>SUMIF(GL!$D$6488:$D$6532,B109,GL!$H$6488:$H$6532)</f>
        <v>0</v>
      </c>
      <c r="Q109" s="341">
        <f>SUMIF(GL!$D$6408:$D$6452,B109,GL!$I$6408:$I$6452)</f>
        <v>0</v>
      </c>
      <c r="R109" s="341">
        <f t="shared" ref="R109:S109" si="132">P109+N109</f>
        <v>332600</v>
      </c>
      <c r="S109" s="341">
        <f t="shared" si="132"/>
        <v>0</v>
      </c>
      <c r="T109" s="340"/>
      <c r="U109" s="340"/>
      <c r="V109" s="340"/>
      <c r="W109" s="340"/>
      <c r="X109" s="341">
        <f t="shared" si="64"/>
        <v>332600</v>
      </c>
      <c r="Y109" s="341">
        <f t="shared" si="65"/>
        <v>0</v>
      </c>
      <c r="Z109" s="331"/>
      <c r="AA109" s="110"/>
      <c r="AB109" s="358"/>
      <c r="AC109" s="330"/>
      <c r="AD109" s="110"/>
      <c r="AE109" s="110"/>
      <c r="AF109" s="332"/>
      <c r="AG109" s="332"/>
      <c r="AH109" s="332"/>
      <c r="AI109" s="332"/>
    </row>
    <row r="110" spans="1:35" ht="13.5" customHeight="1">
      <c r="A110" s="4"/>
      <c r="B110" s="15" t="s">
        <v>2057</v>
      </c>
      <c r="C110" s="260" t="s">
        <v>4090</v>
      </c>
      <c r="D110" s="254">
        <f>SUMIF(GL!$D$5:$D$6505,B110,GL!$G$5:$G$6505)</f>
        <v>25.93</v>
      </c>
      <c r="E110" s="341">
        <f>SUMIF(GL!$D$6:$D$6487,B110,GL!$H$6:$H$6487)</f>
        <v>2688500</v>
      </c>
      <c r="F110" s="341">
        <f>SUMIF(GL!$D$6:$D$6487,B110,GL!$I$6:$I$6487)</f>
        <v>0</v>
      </c>
      <c r="G110" s="341"/>
      <c r="H110" s="341"/>
      <c r="I110" s="341">
        <f t="shared" si="66"/>
        <v>2688500</v>
      </c>
      <c r="J110" s="341">
        <f t="shared" si="67"/>
        <v>0</v>
      </c>
      <c r="K110" s="341"/>
      <c r="L110" s="342"/>
      <c r="M110" s="342"/>
      <c r="N110" s="341">
        <f t="shared" si="61"/>
        <v>2688500</v>
      </c>
      <c r="O110" s="341">
        <f t="shared" si="62"/>
        <v>0</v>
      </c>
      <c r="P110" s="341">
        <f>SUMIF(GL!$D$6488:$D$6532,B110,GL!$H$6488:$H$6532)</f>
        <v>0</v>
      </c>
      <c r="Q110" s="341">
        <f>SUMIF(GL!$D$6408:$D$6452,B110,GL!$I$6408:$I$6452)</f>
        <v>0</v>
      </c>
      <c r="R110" s="341">
        <f t="shared" ref="R110:S110" si="133">P110+N110</f>
        <v>2688500</v>
      </c>
      <c r="S110" s="341">
        <f t="shared" si="133"/>
        <v>0</v>
      </c>
      <c r="T110" s="340"/>
      <c r="U110" s="340"/>
      <c r="V110" s="340"/>
      <c r="W110" s="340"/>
      <c r="X110" s="341">
        <f t="shared" si="64"/>
        <v>2688500</v>
      </c>
      <c r="Y110" s="341">
        <f t="shared" si="65"/>
        <v>0</v>
      </c>
      <c r="Z110" s="331"/>
      <c r="AA110" s="110"/>
      <c r="AB110" s="358"/>
      <c r="AC110" s="330"/>
      <c r="AD110" s="110"/>
      <c r="AE110" s="110"/>
      <c r="AF110" s="332"/>
      <c r="AG110" s="332"/>
      <c r="AH110" s="332"/>
      <c r="AI110" s="332"/>
    </row>
    <row r="111" spans="1:35" ht="13.5" customHeight="1">
      <c r="A111" s="4"/>
      <c r="B111" s="15" t="s">
        <v>2100</v>
      </c>
      <c r="C111" s="260" t="s">
        <v>4091</v>
      </c>
      <c r="D111" s="254">
        <f>SUMIF(GL!$D$5:$D$6505,B111,GL!$G$5:$G$6505)</f>
        <v>3.7</v>
      </c>
      <c r="E111" s="341">
        <f>SUMIF(GL!$D$6:$D$6487,B111,GL!$H$6:$H$6487)</f>
        <v>277500</v>
      </c>
      <c r="F111" s="341">
        <f>SUMIF(GL!$D$6:$D$6487,B111,GL!$I$6:$I$6487)</f>
        <v>0</v>
      </c>
      <c r="G111" s="341"/>
      <c r="H111" s="341"/>
      <c r="I111" s="341">
        <f t="shared" si="66"/>
        <v>277500</v>
      </c>
      <c r="J111" s="341">
        <f t="shared" si="67"/>
        <v>0</v>
      </c>
      <c r="K111" s="341"/>
      <c r="L111" s="342"/>
      <c r="M111" s="342"/>
      <c r="N111" s="341">
        <f t="shared" si="61"/>
        <v>277500</v>
      </c>
      <c r="O111" s="341">
        <f t="shared" si="62"/>
        <v>0</v>
      </c>
      <c r="P111" s="341">
        <f>SUMIF(GL!$D$6488:$D$6532,B111,GL!$H$6488:$H$6532)</f>
        <v>0</v>
      </c>
      <c r="Q111" s="341">
        <f>SUMIF(GL!$D$6408:$D$6452,B111,GL!$I$6408:$I$6452)</f>
        <v>0</v>
      </c>
      <c r="R111" s="341">
        <f t="shared" ref="R111:S111" si="134">P111+N111</f>
        <v>277500</v>
      </c>
      <c r="S111" s="341">
        <f t="shared" si="134"/>
        <v>0</v>
      </c>
      <c r="T111" s="340"/>
      <c r="U111" s="340"/>
      <c r="V111" s="340"/>
      <c r="W111" s="340"/>
      <c r="X111" s="341">
        <f t="shared" si="64"/>
        <v>277500</v>
      </c>
      <c r="Y111" s="341">
        <f t="shared" si="65"/>
        <v>0</v>
      </c>
      <c r="Z111" s="331"/>
      <c r="AA111" s="110"/>
      <c r="AB111" s="358"/>
      <c r="AC111" s="330"/>
      <c r="AD111" s="110"/>
      <c r="AE111" s="110"/>
      <c r="AF111" s="332"/>
      <c r="AG111" s="332"/>
      <c r="AH111" s="332"/>
      <c r="AI111" s="332"/>
    </row>
    <row r="112" spans="1:35" ht="13.5" customHeight="1">
      <c r="A112" s="4"/>
      <c r="B112" s="15" t="s">
        <v>1867</v>
      </c>
      <c r="C112" s="260" t="s">
        <v>4092</v>
      </c>
      <c r="D112" s="254">
        <f>SUMIF(GL!$D$5:$D$6505,B112,GL!$G$5:$G$6505)</f>
        <v>0.49</v>
      </c>
      <c r="E112" s="341">
        <f>SUMIF(GL!$D$6:$D$6487,B112,GL!$H$6:$H$6487)</f>
        <v>43500</v>
      </c>
      <c r="F112" s="341">
        <f>SUMIF(GL!$D$6:$D$6487,B112,GL!$I$6:$I$6487)</f>
        <v>0</v>
      </c>
      <c r="G112" s="341"/>
      <c r="H112" s="341"/>
      <c r="I112" s="341">
        <f t="shared" si="66"/>
        <v>43500</v>
      </c>
      <c r="J112" s="341">
        <f t="shared" si="67"/>
        <v>0</v>
      </c>
      <c r="K112" s="341"/>
      <c r="L112" s="342"/>
      <c r="M112" s="342"/>
      <c r="N112" s="341">
        <f t="shared" si="61"/>
        <v>43500</v>
      </c>
      <c r="O112" s="341">
        <f t="shared" si="62"/>
        <v>0</v>
      </c>
      <c r="P112" s="341">
        <f>SUMIF(GL!$D$6488:$D$6532,B112,GL!$H$6488:$H$6532)</f>
        <v>0</v>
      </c>
      <c r="Q112" s="341">
        <f>SUMIF(GL!$D$6408:$D$6452,B112,GL!$I$6408:$I$6452)</f>
        <v>0</v>
      </c>
      <c r="R112" s="341">
        <f t="shared" ref="R112:S112" si="135">P112+N112</f>
        <v>43500</v>
      </c>
      <c r="S112" s="341">
        <f t="shared" si="135"/>
        <v>0</v>
      </c>
      <c r="T112" s="340"/>
      <c r="U112" s="340"/>
      <c r="V112" s="340"/>
      <c r="W112" s="340"/>
      <c r="X112" s="341">
        <f t="shared" si="64"/>
        <v>43500</v>
      </c>
      <c r="Y112" s="341">
        <f t="shared" si="65"/>
        <v>0</v>
      </c>
      <c r="Z112" s="331"/>
      <c r="AA112" s="110"/>
      <c r="AB112" s="358"/>
      <c r="AC112" s="330"/>
      <c r="AD112" s="110"/>
      <c r="AE112" s="110"/>
      <c r="AF112" s="332"/>
      <c r="AG112" s="332"/>
      <c r="AH112" s="332"/>
      <c r="AI112" s="332"/>
    </row>
    <row r="113" spans="1:35" ht="13.5" customHeight="1">
      <c r="A113" s="4"/>
      <c r="B113" s="15" t="s">
        <v>1886</v>
      </c>
      <c r="C113" s="260" t="s">
        <v>4093</v>
      </c>
      <c r="D113" s="254">
        <f>SUMIF(GL!$D$5:$D$6505,B113,GL!$G$5:$G$6505)</f>
        <v>5.21</v>
      </c>
      <c r="E113" s="341">
        <f>SUMIF(GL!$D$6:$D$6487,B113,GL!$H$6:$H$6487)</f>
        <v>373500</v>
      </c>
      <c r="F113" s="341">
        <f>SUMIF(GL!$D$6:$D$6487,B113,GL!$I$6:$I$6487)</f>
        <v>0</v>
      </c>
      <c r="G113" s="341"/>
      <c r="H113" s="341"/>
      <c r="I113" s="341">
        <f t="shared" si="66"/>
        <v>373500</v>
      </c>
      <c r="J113" s="341">
        <f t="shared" si="67"/>
        <v>0</v>
      </c>
      <c r="K113" s="341"/>
      <c r="L113" s="342"/>
      <c r="M113" s="342"/>
      <c r="N113" s="341">
        <f t="shared" si="61"/>
        <v>373500</v>
      </c>
      <c r="O113" s="341">
        <f t="shared" si="62"/>
        <v>0</v>
      </c>
      <c r="P113" s="341">
        <f>SUMIF(GL!$D$6488:$D$6532,B113,GL!$H$6488:$H$6532)</f>
        <v>0</v>
      </c>
      <c r="Q113" s="341">
        <f>SUMIF(GL!$D$6408:$D$6452,B113,GL!$I$6408:$I$6452)</f>
        <v>0</v>
      </c>
      <c r="R113" s="341">
        <f t="shared" ref="R113:S113" si="136">P113+N113</f>
        <v>373500</v>
      </c>
      <c r="S113" s="341">
        <f t="shared" si="136"/>
        <v>0</v>
      </c>
      <c r="T113" s="340"/>
      <c r="U113" s="340"/>
      <c r="V113" s="340"/>
      <c r="W113" s="340"/>
      <c r="X113" s="341">
        <f t="shared" si="64"/>
        <v>373500</v>
      </c>
      <c r="Y113" s="341">
        <f t="shared" si="65"/>
        <v>0</v>
      </c>
      <c r="Z113" s="331"/>
      <c r="AA113" s="110"/>
      <c r="AB113" s="358"/>
      <c r="AC113" s="330"/>
      <c r="AD113" s="110"/>
      <c r="AE113" s="110"/>
      <c r="AF113" s="332"/>
      <c r="AG113" s="332"/>
      <c r="AH113" s="332"/>
      <c r="AI113" s="332"/>
    </row>
    <row r="114" spans="1:35" ht="13.5" customHeight="1">
      <c r="A114" s="4"/>
      <c r="B114" s="15" t="s">
        <v>2085</v>
      </c>
      <c r="C114" s="260" t="s">
        <v>4094</v>
      </c>
      <c r="D114" s="254">
        <f>SUMIF(GL!$D$5:$D$6505,B114,GL!$G$5:$G$6505)</f>
        <v>10.6</v>
      </c>
      <c r="E114" s="341">
        <f>SUMIF(GL!$D$6:$D$6487,B114,GL!$H$6:$H$6487)</f>
        <v>244000</v>
      </c>
      <c r="F114" s="341">
        <f>SUMIF(GL!$D$6:$D$6487,B114,GL!$I$6:$I$6487)</f>
        <v>0</v>
      </c>
      <c r="G114" s="341"/>
      <c r="H114" s="341"/>
      <c r="I114" s="341">
        <f t="shared" si="66"/>
        <v>244000</v>
      </c>
      <c r="J114" s="341">
        <f t="shared" si="67"/>
        <v>0</v>
      </c>
      <c r="K114" s="341"/>
      <c r="L114" s="342"/>
      <c r="M114" s="342"/>
      <c r="N114" s="341">
        <f t="shared" si="61"/>
        <v>244000</v>
      </c>
      <c r="O114" s="341">
        <f t="shared" si="62"/>
        <v>0</v>
      </c>
      <c r="P114" s="341">
        <f>SUMIF(GL!$D$6488:$D$6532,B114,GL!$H$6488:$H$6532)</f>
        <v>0</v>
      </c>
      <c r="Q114" s="341">
        <f>SUMIF(GL!$D$6408:$D$6452,B114,GL!$I$6408:$I$6452)</f>
        <v>0</v>
      </c>
      <c r="R114" s="341">
        <f t="shared" ref="R114:S114" si="137">P114+N114</f>
        <v>244000</v>
      </c>
      <c r="S114" s="341">
        <f t="shared" si="137"/>
        <v>0</v>
      </c>
      <c r="T114" s="340"/>
      <c r="U114" s="340"/>
      <c r="V114" s="340"/>
      <c r="W114" s="340"/>
      <c r="X114" s="341">
        <f t="shared" si="64"/>
        <v>244000</v>
      </c>
      <c r="Y114" s="341">
        <f t="shared" si="65"/>
        <v>0</v>
      </c>
      <c r="Z114" s="331"/>
      <c r="AA114" s="110"/>
      <c r="AB114" s="358"/>
      <c r="AC114" s="330"/>
      <c r="AD114" s="110"/>
      <c r="AE114" s="110"/>
      <c r="AF114" s="332"/>
      <c r="AG114" s="332"/>
      <c r="AH114" s="332"/>
      <c r="AI114" s="332"/>
    </row>
    <row r="115" spans="1:35" ht="13.5" customHeight="1">
      <c r="A115" s="4"/>
      <c r="B115" s="15" t="s">
        <v>2138</v>
      </c>
      <c r="C115" s="260" t="s">
        <v>4095</v>
      </c>
      <c r="D115" s="254">
        <f>SUMIF(GL!$D$5:$D$6505,B115,GL!$G$5:$G$6505)</f>
        <v>4.5</v>
      </c>
      <c r="E115" s="341">
        <f>SUMIF(GL!$D$6:$D$6487,B115,GL!$H$6:$H$6487)</f>
        <v>157500</v>
      </c>
      <c r="F115" s="341">
        <f>SUMIF(GL!$D$6:$D$6487,B115,GL!$I$6:$I$6487)</f>
        <v>0</v>
      </c>
      <c r="G115" s="341"/>
      <c r="H115" s="341"/>
      <c r="I115" s="341">
        <f t="shared" si="66"/>
        <v>157500</v>
      </c>
      <c r="J115" s="341">
        <f t="shared" si="67"/>
        <v>0</v>
      </c>
      <c r="K115" s="341"/>
      <c r="L115" s="342"/>
      <c r="M115" s="342"/>
      <c r="N115" s="341">
        <f t="shared" si="61"/>
        <v>157500</v>
      </c>
      <c r="O115" s="341">
        <f t="shared" si="62"/>
        <v>0</v>
      </c>
      <c r="P115" s="341">
        <f>SUMIF(GL!$D$6488:$D$6532,B115,GL!$H$6488:$H$6532)</f>
        <v>0</v>
      </c>
      <c r="Q115" s="341">
        <f>SUMIF(GL!$D$6408:$D$6452,B115,GL!$I$6408:$I$6452)</f>
        <v>0</v>
      </c>
      <c r="R115" s="341">
        <f t="shared" ref="R115:S115" si="138">P115+N115</f>
        <v>157500</v>
      </c>
      <c r="S115" s="341">
        <f t="shared" si="138"/>
        <v>0</v>
      </c>
      <c r="T115" s="340"/>
      <c r="U115" s="340"/>
      <c r="V115" s="340"/>
      <c r="W115" s="340"/>
      <c r="X115" s="341">
        <f t="shared" si="64"/>
        <v>157500</v>
      </c>
      <c r="Y115" s="341">
        <f t="shared" si="65"/>
        <v>0</v>
      </c>
      <c r="Z115" s="331"/>
      <c r="AA115" s="110"/>
      <c r="AB115" s="358"/>
      <c r="AC115" s="330"/>
      <c r="AD115" s="110"/>
      <c r="AE115" s="110"/>
      <c r="AF115" s="332"/>
      <c r="AG115" s="332"/>
      <c r="AH115" s="332"/>
      <c r="AI115" s="332"/>
    </row>
    <row r="116" spans="1:35" ht="13.5" customHeight="1">
      <c r="A116" s="4"/>
      <c r="B116" s="15" t="s">
        <v>2030</v>
      </c>
      <c r="C116" s="260" t="s">
        <v>4096</v>
      </c>
      <c r="D116" s="254">
        <f>SUMIF(GL!$D$5:$D$6505,B116,GL!$G$5:$G$6505)</f>
        <v>3.25</v>
      </c>
      <c r="E116" s="341">
        <f>SUMIF(GL!$D$6:$D$6487,B116,GL!$H$6:$H$6487)</f>
        <v>230500</v>
      </c>
      <c r="F116" s="341">
        <f>SUMIF(GL!$D$6:$D$6487,B116,GL!$I$6:$I$6487)</f>
        <v>0</v>
      </c>
      <c r="G116" s="341"/>
      <c r="H116" s="341"/>
      <c r="I116" s="341">
        <f t="shared" si="66"/>
        <v>230500</v>
      </c>
      <c r="J116" s="341">
        <f t="shared" si="67"/>
        <v>0</v>
      </c>
      <c r="K116" s="341"/>
      <c r="L116" s="342"/>
      <c r="M116" s="342"/>
      <c r="N116" s="341">
        <f t="shared" si="61"/>
        <v>230500</v>
      </c>
      <c r="O116" s="341">
        <f t="shared" si="62"/>
        <v>0</v>
      </c>
      <c r="P116" s="341">
        <f>SUMIF(GL!$D$6488:$D$6532,B116,GL!$H$6488:$H$6532)</f>
        <v>0</v>
      </c>
      <c r="Q116" s="341">
        <f>SUMIF(GL!$D$6408:$D$6452,B116,GL!$I$6408:$I$6452)</f>
        <v>0</v>
      </c>
      <c r="R116" s="341">
        <f t="shared" ref="R116:S116" si="139">P116+N116</f>
        <v>230500</v>
      </c>
      <c r="S116" s="341">
        <f t="shared" si="139"/>
        <v>0</v>
      </c>
      <c r="T116" s="340"/>
      <c r="U116" s="340"/>
      <c r="V116" s="340"/>
      <c r="W116" s="340"/>
      <c r="X116" s="341">
        <f t="shared" si="64"/>
        <v>230500</v>
      </c>
      <c r="Y116" s="341">
        <f t="shared" si="65"/>
        <v>0</v>
      </c>
      <c r="Z116" s="331"/>
      <c r="AA116" s="110"/>
      <c r="AB116" s="358"/>
      <c r="AC116" s="330"/>
      <c r="AD116" s="110"/>
      <c r="AE116" s="110"/>
      <c r="AF116" s="332"/>
      <c r="AG116" s="332"/>
      <c r="AH116" s="332"/>
      <c r="AI116" s="332"/>
    </row>
    <row r="117" spans="1:35" ht="13.5" customHeight="1">
      <c r="A117" s="4"/>
      <c r="B117" s="15" t="s">
        <v>1926</v>
      </c>
      <c r="C117" s="260" t="s">
        <v>4097</v>
      </c>
      <c r="D117" s="254">
        <f>SUMIF(GL!$D$5:$D$6505,B117,GL!$G$5:$G$6505)</f>
        <v>2.7549999999999999</v>
      </c>
      <c r="E117" s="341">
        <f>SUMIF(GL!$D$6:$D$6487,B117,GL!$H$6:$H$6487)</f>
        <v>141500</v>
      </c>
      <c r="F117" s="341">
        <f>SUMIF(GL!$D$6:$D$6487,B117,GL!$I$6:$I$6487)</f>
        <v>0</v>
      </c>
      <c r="G117" s="341"/>
      <c r="H117" s="341"/>
      <c r="I117" s="341">
        <f t="shared" si="66"/>
        <v>141500</v>
      </c>
      <c r="J117" s="341">
        <f t="shared" si="67"/>
        <v>0</v>
      </c>
      <c r="K117" s="341"/>
      <c r="L117" s="342"/>
      <c r="M117" s="342"/>
      <c r="N117" s="341">
        <f t="shared" si="61"/>
        <v>141500</v>
      </c>
      <c r="O117" s="341">
        <f t="shared" si="62"/>
        <v>0</v>
      </c>
      <c r="P117" s="341">
        <f>SUMIF(GL!$D$6488:$D$6532,B117,GL!$H$6488:$H$6532)</f>
        <v>0</v>
      </c>
      <c r="Q117" s="341">
        <f>SUMIF(GL!$D$6408:$D$6452,B117,GL!$I$6408:$I$6452)</f>
        <v>0</v>
      </c>
      <c r="R117" s="341">
        <f t="shared" ref="R117:S117" si="140">P117+N117</f>
        <v>141500</v>
      </c>
      <c r="S117" s="341">
        <f t="shared" si="140"/>
        <v>0</v>
      </c>
      <c r="T117" s="340"/>
      <c r="U117" s="340"/>
      <c r="V117" s="340"/>
      <c r="W117" s="340"/>
      <c r="X117" s="341">
        <f t="shared" si="64"/>
        <v>141500</v>
      </c>
      <c r="Y117" s="341">
        <f t="shared" si="65"/>
        <v>0</v>
      </c>
      <c r="Z117" s="331"/>
      <c r="AA117" s="110"/>
      <c r="AB117" s="358"/>
      <c r="AC117" s="330"/>
      <c r="AD117" s="110"/>
      <c r="AE117" s="110"/>
      <c r="AF117" s="332"/>
      <c r="AG117" s="332"/>
      <c r="AH117" s="332"/>
      <c r="AI117" s="332"/>
    </row>
    <row r="118" spans="1:35" ht="13.5" customHeight="1">
      <c r="A118" s="4"/>
      <c r="B118" s="15" t="s">
        <v>1924</v>
      </c>
      <c r="C118" s="260" t="s">
        <v>4098</v>
      </c>
      <c r="D118" s="254">
        <f>SUMIF(GL!$D$5:$D$6505,B118,GL!$G$5:$G$6505)</f>
        <v>0.71</v>
      </c>
      <c r="E118" s="341">
        <f>SUMIF(GL!$D$6:$D$6487,B118,GL!$H$6:$H$6487)</f>
        <v>204000</v>
      </c>
      <c r="F118" s="341">
        <f>SUMIF(GL!$D$6:$D$6487,B118,GL!$I$6:$I$6487)</f>
        <v>0</v>
      </c>
      <c r="G118" s="341"/>
      <c r="H118" s="341"/>
      <c r="I118" s="341">
        <f t="shared" si="66"/>
        <v>204000</v>
      </c>
      <c r="J118" s="341">
        <f t="shared" si="67"/>
        <v>0</v>
      </c>
      <c r="K118" s="341"/>
      <c r="L118" s="342"/>
      <c r="M118" s="342"/>
      <c r="N118" s="341">
        <f t="shared" si="61"/>
        <v>204000</v>
      </c>
      <c r="O118" s="341">
        <f t="shared" si="62"/>
        <v>0</v>
      </c>
      <c r="P118" s="341">
        <f>SUMIF(GL!$D$6488:$D$6532,B118,GL!$H$6488:$H$6532)</f>
        <v>0</v>
      </c>
      <c r="Q118" s="341">
        <f>SUMIF(GL!$D$6408:$D$6452,B118,GL!$I$6408:$I$6452)</f>
        <v>0</v>
      </c>
      <c r="R118" s="341">
        <f t="shared" ref="R118:S118" si="141">P118+N118</f>
        <v>204000</v>
      </c>
      <c r="S118" s="341">
        <f t="shared" si="141"/>
        <v>0</v>
      </c>
      <c r="T118" s="340"/>
      <c r="U118" s="340"/>
      <c r="V118" s="340"/>
      <c r="W118" s="340"/>
      <c r="X118" s="341">
        <f t="shared" si="64"/>
        <v>204000</v>
      </c>
      <c r="Y118" s="341">
        <f t="shared" si="65"/>
        <v>0</v>
      </c>
      <c r="Z118" s="331"/>
      <c r="AA118" s="110"/>
      <c r="AB118" s="358"/>
      <c r="AC118" s="330"/>
      <c r="AD118" s="110"/>
      <c r="AE118" s="110"/>
      <c r="AF118" s="332"/>
      <c r="AG118" s="332"/>
      <c r="AH118" s="332"/>
      <c r="AI118" s="332"/>
    </row>
    <row r="119" spans="1:35" ht="13.5" customHeight="1">
      <c r="A119" s="4"/>
      <c r="B119" s="15" t="s">
        <v>4099</v>
      </c>
      <c r="C119" s="260" t="s">
        <v>4100</v>
      </c>
      <c r="D119" s="254">
        <f>SUMIF(GL!$D$5:$D$6505,B119,GL!$G$5:$G$6505)</f>
        <v>0</v>
      </c>
      <c r="E119" s="341">
        <f>SUMIF(GL!$D$6:$D$6487,B119,GL!$H$6:$H$6487)</f>
        <v>0</v>
      </c>
      <c r="F119" s="341">
        <f>SUMIF(GL!$D$6:$D$6487,B119,GL!$I$6:$I$6487)</f>
        <v>0</v>
      </c>
      <c r="G119" s="341"/>
      <c r="H119" s="341"/>
      <c r="I119" s="341">
        <f t="shared" si="66"/>
        <v>0</v>
      </c>
      <c r="J119" s="341">
        <f t="shared" si="67"/>
        <v>0</v>
      </c>
      <c r="K119" s="341"/>
      <c r="L119" s="342"/>
      <c r="M119" s="342"/>
      <c r="N119" s="341">
        <f t="shared" si="61"/>
        <v>0</v>
      </c>
      <c r="O119" s="341">
        <f t="shared" si="62"/>
        <v>0</v>
      </c>
      <c r="P119" s="341">
        <f>SUMIF(GL!$D$6488:$D$6532,B119,GL!$H$6488:$H$6532)</f>
        <v>0</v>
      </c>
      <c r="Q119" s="341">
        <f>SUMIF(GL!$D$6408:$D$6452,B119,GL!$I$6408:$I$6452)</f>
        <v>0</v>
      </c>
      <c r="R119" s="341">
        <f t="shared" ref="R119:S119" si="142">P119+N119</f>
        <v>0</v>
      </c>
      <c r="S119" s="341">
        <f t="shared" si="142"/>
        <v>0</v>
      </c>
      <c r="T119" s="340"/>
      <c r="U119" s="340"/>
      <c r="V119" s="340"/>
      <c r="W119" s="340"/>
      <c r="X119" s="341">
        <f t="shared" si="64"/>
        <v>0</v>
      </c>
      <c r="Y119" s="341">
        <f t="shared" si="65"/>
        <v>0</v>
      </c>
      <c r="Z119" s="331"/>
      <c r="AA119" s="110"/>
      <c r="AB119" s="358"/>
      <c r="AC119" s="330"/>
      <c r="AD119" s="110"/>
      <c r="AE119" s="110"/>
      <c r="AF119" s="332"/>
      <c r="AG119" s="332"/>
      <c r="AH119" s="332"/>
      <c r="AI119" s="332"/>
    </row>
    <row r="120" spans="1:35" ht="13.5" customHeight="1">
      <c r="A120" s="4"/>
      <c r="B120" s="15" t="s">
        <v>2098</v>
      </c>
      <c r="C120" s="260" t="s">
        <v>4101</v>
      </c>
      <c r="D120" s="254">
        <f>SUMIF(GL!$D$5:$D$6505,B120,GL!$G$5:$G$6505)</f>
        <v>0.15000000000000002</v>
      </c>
      <c r="E120" s="341">
        <f>SUMIF(GL!$D$6:$D$6487,B120,GL!$H$6:$H$6487)</f>
        <v>25500</v>
      </c>
      <c r="F120" s="341">
        <f>SUMIF(GL!$D$6:$D$6487,B120,GL!$I$6:$I$6487)</f>
        <v>0</v>
      </c>
      <c r="G120" s="341"/>
      <c r="H120" s="341"/>
      <c r="I120" s="341">
        <f t="shared" si="66"/>
        <v>25500</v>
      </c>
      <c r="J120" s="341">
        <f t="shared" si="67"/>
        <v>0</v>
      </c>
      <c r="K120" s="341"/>
      <c r="L120" s="342"/>
      <c r="M120" s="342"/>
      <c r="N120" s="341">
        <f t="shared" si="61"/>
        <v>25500</v>
      </c>
      <c r="O120" s="341">
        <f t="shared" si="62"/>
        <v>0</v>
      </c>
      <c r="P120" s="341">
        <f>SUMIF(GL!$D$6488:$D$6532,B120,GL!$H$6488:$H$6532)</f>
        <v>0</v>
      </c>
      <c r="Q120" s="341">
        <f>SUMIF(GL!$D$6408:$D$6452,B120,GL!$I$6408:$I$6452)</f>
        <v>0</v>
      </c>
      <c r="R120" s="341">
        <f t="shared" ref="R120:S120" si="143">P120+N120</f>
        <v>25500</v>
      </c>
      <c r="S120" s="341">
        <f t="shared" si="143"/>
        <v>0</v>
      </c>
      <c r="T120" s="340"/>
      <c r="U120" s="340"/>
      <c r="V120" s="340"/>
      <c r="W120" s="340"/>
      <c r="X120" s="341">
        <f t="shared" si="64"/>
        <v>25500</v>
      </c>
      <c r="Y120" s="341">
        <f t="shared" si="65"/>
        <v>0</v>
      </c>
      <c r="Z120" s="331"/>
      <c r="AA120" s="110"/>
      <c r="AB120" s="358"/>
      <c r="AC120" s="330"/>
      <c r="AD120" s="110"/>
      <c r="AE120" s="110"/>
      <c r="AF120" s="332"/>
      <c r="AG120" s="332"/>
      <c r="AH120" s="332"/>
      <c r="AI120" s="332"/>
    </row>
    <row r="121" spans="1:35" ht="13.5" customHeight="1">
      <c r="A121" s="4"/>
      <c r="B121" s="15" t="s">
        <v>4102</v>
      </c>
      <c r="C121" s="260" t="s">
        <v>4103</v>
      </c>
      <c r="D121" s="254">
        <f>SUMIF(GL!$D$5:$D$6505,B121,GL!$G$5:$G$6505)</f>
        <v>0</v>
      </c>
      <c r="E121" s="341">
        <f>SUMIF(GL!$D$6:$D$6487,B121,GL!$H$6:$H$6487)</f>
        <v>0</v>
      </c>
      <c r="F121" s="341">
        <f>SUMIF(GL!$D$6:$D$6487,B121,GL!$I$6:$I$6487)</f>
        <v>0</v>
      </c>
      <c r="G121" s="341"/>
      <c r="H121" s="341"/>
      <c r="I121" s="341">
        <f t="shared" si="66"/>
        <v>0</v>
      </c>
      <c r="J121" s="341">
        <f t="shared" si="67"/>
        <v>0</v>
      </c>
      <c r="K121" s="341"/>
      <c r="L121" s="342"/>
      <c r="M121" s="342"/>
      <c r="N121" s="341">
        <f t="shared" si="61"/>
        <v>0</v>
      </c>
      <c r="O121" s="341">
        <f t="shared" si="62"/>
        <v>0</v>
      </c>
      <c r="P121" s="341">
        <f>SUMIF(GL!$D$6488:$D$6532,B121,GL!$H$6488:$H$6532)</f>
        <v>0</v>
      </c>
      <c r="Q121" s="341">
        <f>SUMIF(GL!$D$6408:$D$6452,B121,GL!$I$6408:$I$6452)</f>
        <v>0</v>
      </c>
      <c r="R121" s="341">
        <f t="shared" ref="R121:S121" si="144">P121+N121</f>
        <v>0</v>
      </c>
      <c r="S121" s="341">
        <f t="shared" si="144"/>
        <v>0</v>
      </c>
      <c r="T121" s="340"/>
      <c r="U121" s="340"/>
      <c r="V121" s="340"/>
      <c r="W121" s="340"/>
      <c r="X121" s="341">
        <f t="shared" si="64"/>
        <v>0</v>
      </c>
      <c r="Y121" s="341">
        <f t="shared" si="65"/>
        <v>0</v>
      </c>
      <c r="Z121" s="331"/>
      <c r="AA121" s="110"/>
      <c r="AB121" s="358"/>
      <c r="AC121" s="330"/>
      <c r="AD121" s="110"/>
      <c r="AE121" s="110"/>
      <c r="AF121" s="332"/>
      <c r="AG121" s="332"/>
      <c r="AH121" s="332"/>
      <c r="AI121" s="332"/>
    </row>
    <row r="122" spans="1:35" ht="13.5" customHeight="1">
      <c r="A122" s="4"/>
      <c r="B122" s="15" t="s">
        <v>2205</v>
      </c>
      <c r="C122" s="340" t="s">
        <v>4104</v>
      </c>
      <c r="D122" s="254">
        <f>SUMIF(GL!$D$5:$D$6505,B122,GL!$G$5:$G$6505)</f>
        <v>0.5</v>
      </c>
      <c r="E122" s="341">
        <f>SUMIF(GL!$D$6:$D$6487,B122,GL!$H$6:$H$6487)</f>
        <v>6500</v>
      </c>
      <c r="F122" s="341">
        <f>SUMIF(GL!$D$6:$D$6487,B122,GL!$I$6:$I$6487)</f>
        <v>0</v>
      </c>
      <c r="G122" s="341"/>
      <c r="H122" s="341"/>
      <c r="I122" s="341">
        <f t="shared" si="66"/>
        <v>6500</v>
      </c>
      <c r="J122" s="341">
        <f t="shared" si="67"/>
        <v>0</v>
      </c>
      <c r="K122" s="341"/>
      <c r="L122" s="342"/>
      <c r="M122" s="342"/>
      <c r="N122" s="341">
        <f t="shared" si="61"/>
        <v>6500</v>
      </c>
      <c r="O122" s="341">
        <f t="shared" si="62"/>
        <v>0</v>
      </c>
      <c r="P122" s="341">
        <f>SUMIF(GL!$D$6488:$D$6532,B122,GL!$H$6488:$H$6532)</f>
        <v>0</v>
      </c>
      <c r="Q122" s="341">
        <f>SUMIF(GL!$D$6408:$D$6452,B122,GL!$I$6408:$I$6452)</f>
        <v>0</v>
      </c>
      <c r="R122" s="341">
        <f t="shared" ref="R122:S122" si="145">P122+N122</f>
        <v>6500</v>
      </c>
      <c r="S122" s="341">
        <f t="shared" si="145"/>
        <v>0</v>
      </c>
      <c r="T122" s="340"/>
      <c r="U122" s="340"/>
      <c r="V122" s="340"/>
      <c r="W122" s="340"/>
      <c r="X122" s="341">
        <f t="shared" si="64"/>
        <v>6500</v>
      </c>
      <c r="Y122" s="341">
        <f t="shared" si="65"/>
        <v>0</v>
      </c>
      <c r="Z122" s="331"/>
      <c r="AA122" s="110"/>
      <c r="AB122" s="358"/>
      <c r="AC122" s="330"/>
      <c r="AD122" s="110"/>
      <c r="AE122" s="110"/>
      <c r="AF122" s="332"/>
      <c r="AG122" s="332"/>
      <c r="AH122" s="332"/>
      <c r="AI122" s="332"/>
    </row>
    <row r="123" spans="1:35" ht="13.5" customHeight="1">
      <c r="A123" s="4"/>
      <c r="B123" s="15" t="s">
        <v>4105</v>
      </c>
      <c r="C123" s="260" t="s">
        <v>4106</v>
      </c>
      <c r="D123" s="254">
        <f>SUMIF(GL!$D$5:$D$6505,B123,GL!$G$5:$G$6505)</f>
        <v>0</v>
      </c>
      <c r="E123" s="341">
        <f>SUMIF(GL!$D$6:$D$6487,B123,GL!$H$6:$H$6487)</f>
        <v>0</v>
      </c>
      <c r="F123" s="341">
        <f>SUMIF(GL!$D$6:$D$6487,B123,GL!$I$6:$I$6487)</f>
        <v>0</v>
      </c>
      <c r="G123" s="341"/>
      <c r="H123" s="341"/>
      <c r="I123" s="341">
        <f t="shared" si="66"/>
        <v>0</v>
      </c>
      <c r="J123" s="341">
        <f t="shared" si="67"/>
        <v>0</v>
      </c>
      <c r="K123" s="341"/>
      <c r="L123" s="342"/>
      <c r="M123" s="342"/>
      <c r="N123" s="341">
        <f t="shared" si="61"/>
        <v>0</v>
      </c>
      <c r="O123" s="341">
        <f t="shared" si="62"/>
        <v>0</v>
      </c>
      <c r="P123" s="341">
        <f>SUMIF(GL!$D$6488:$D$6532,B123,GL!$H$6488:$H$6532)</f>
        <v>0</v>
      </c>
      <c r="Q123" s="341">
        <f>SUMIF(GL!$D$6408:$D$6452,B123,GL!$I$6408:$I$6452)</f>
        <v>0</v>
      </c>
      <c r="R123" s="341">
        <f t="shared" ref="R123:S123" si="146">P123+N123</f>
        <v>0</v>
      </c>
      <c r="S123" s="341">
        <f t="shared" si="146"/>
        <v>0</v>
      </c>
      <c r="T123" s="340"/>
      <c r="U123" s="340"/>
      <c r="V123" s="340"/>
      <c r="W123" s="340"/>
      <c r="X123" s="341">
        <f t="shared" si="64"/>
        <v>0</v>
      </c>
      <c r="Y123" s="341">
        <f t="shared" si="65"/>
        <v>0</v>
      </c>
      <c r="Z123" s="331"/>
      <c r="AA123" s="110"/>
      <c r="AB123" s="358"/>
      <c r="AC123" s="330"/>
      <c r="AD123" s="110"/>
      <c r="AE123" s="110"/>
      <c r="AF123" s="332"/>
      <c r="AG123" s="332"/>
      <c r="AH123" s="332"/>
      <c r="AI123" s="332"/>
    </row>
    <row r="124" spans="1:35" ht="13.5" customHeight="1">
      <c r="A124" s="4"/>
      <c r="B124" s="15" t="s">
        <v>2033</v>
      </c>
      <c r="C124" s="260" t="s">
        <v>4107</v>
      </c>
      <c r="D124" s="254">
        <f>SUMIF(GL!$D$5:$D$6505,B124,GL!$G$5:$G$6505)</f>
        <v>45.5</v>
      </c>
      <c r="E124" s="341">
        <f>SUMIF(GL!$D$6:$D$6487,B124,GL!$H$6:$H$6487)</f>
        <v>886500</v>
      </c>
      <c r="F124" s="341">
        <f>SUMIF(GL!$D$6:$D$6487,B124,GL!$I$6:$I$6487)</f>
        <v>0</v>
      </c>
      <c r="G124" s="341"/>
      <c r="H124" s="341"/>
      <c r="I124" s="341">
        <f t="shared" si="66"/>
        <v>886500</v>
      </c>
      <c r="J124" s="341">
        <f t="shared" si="67"/>
        <v>0</v>
      </c>
      <c r="K124" s="341"/>
      <c r="L124" s="342"/>
      <c r="M124" s="342"/>
      <c r="N124" s="341">
        <f t="shared" si="61"/>
        <v>886500</v>
      </c>
      <c r="O124" s="341">
        <f t="shared" si="62"/>
        <v>0</v>
      </c>
      <c r="P124" s="341">
        <f>SUMIF(GL!$D$6488:$D$6532,B124,GL!$H$6488:$H$6532)</f>
        <v>0</v>
      </c>
      <c r="Q124" s="341">
        <f>SUMIF(GL!$D$6408:$D$6452,B124,GL!$I$6408:$I$6452)</f>
        <v>0</v>
      </c>
      <c r="R124" s="341">
        <f t="shared" ref="R124:S124" si="147">P124+N124</f>
        <v>886500</v>
      </c>
      <c r="S124" s="341">
        <f t="shared" si="147"/>
        <v>0</v>
      </c>
      <c r="T124" s="340"/>
      <c r="U124" s="340"/>
      <c r="V124" s="340"/>
      <c r="W124" s="340"/>
      <c r="X124" s="341">
        <f t="shared" si="64"/>
        <v>886500</v>
      </c>
      <c r="Y124" s="341">
        <f t="shared" si="65"/>
        <v>0</v>
      </c>
      <c r="Z124" s="331"/>
      <c r="AA124" s="110"/>
      <c r="AB124" s="358"/>
      <c r="AC124" s="330"/>
      <c r="AD124" s="110"/>
      <c r="AE124" s="110"/>
      <c r="AF124" s="332"/>
      <c r="AG124" s="332"/>
      <c r="AH124" s="332"/>
      <c r="AI124" s="332"/>
    </row>
    <row r="125" spans="1:35" ht="13.5" customHeight="1">
      <c r="A125" s="4"/>
      <c r="B125" s="15" t="s">
        <v>2246</v>
      </c>
      <c r="C125" s="260" t="s">
        <v>4108</v>
      </c>
      <c r="D125" s="254">
        <f>SUMIF(GL!$D$5:$D$6505,B125,GL!$G$5:$G$6505)</f>
        <v>1.05</v>
      </c>
      <c r="E125" s="341">
        <f>SUMIF(GL!$D$6:$D$6487,B125,GL!$H$6:$H$6487)</f>
        <v>21000</v>
      </c>
      <c r="F125" s="341">
        <f>SUMIF(GL!$D$6:$D$6487,B125,GL!$I$6:$I$6487)</f>
        <v>0</v>
      </c>
      <c r="G125" s="341"/>
      <c r="H125" s="341"/>
      <c r="I125" s="341">
        <f t="shared" si="66"/>
        <v>21000</v>
      </c>
      <c r="J125" s="341">
        <f t="shared" si="67"/>
        <v>0</v>
      </c>
      <c r="K125" s="341"/>
      <c r="L125" s="342"/>
      <c r="M125" s="342"/>
      <c r="N125" s="341">
        <f t="shared" si="61"/>
        <v>21000</v>
      </c>
      <c r="O125" s="341">
        <f t="shared" si="62"/>
        <v>0</v>
      </c>
      <c r="P125" s="341">
        <f>SUMIF(GL!$D$6488:$D$6532,B125,GL!$H$6488:$H$6532)</f>
        <v>0</v>
      </c>
      <c r="Q125" s="341">
        <f>SUMIF(GL!$D$6408:$D$6452,B125,GL!$I$6408:$I$6452)</f>
        <v>0</v>
      </c>
      <c r="R125" s="341">
        <f t="shared" ref="R125:S125" si="148">P125+N125</f>
        <v>21000</v>
      </c>
      <c r="S125" s="341">
        <f t="shared" si="148"/>
        <v>0</v>
      </c>
      <c r="T125" s="340"/>
      <c r="U125" s="340"/>
      <c r="V125" s="340"/>
      <c r="W125" s="340"/>
      <c r="X125" s="341">
        <f t="shared" si="64"/>
        <v>21000</v>
      </c>
      <c r="Y125" s="341">
        <f t="shared" si="65"/>
        <v>0</v>
      </c>
      <c r="Z125" s="331"/>
      <c r="AA125" s="110"/>
      <c r="AB125" s="358"/>
      <c r="AC125" s="330"/>
      <c r="AD125" s="110"/>
      <c r="AE125" s="110"/>
      <c r="AF125" s="332"/>
      <c r="AG125" s="332"/>
      <c r="AH125" s="332"/>
      <c r="AI125" s="332"/>
    </row>
    <row r="126" spans="1:35" ht="13.5" customHeight="1">
      <c r="A126" s="4"/>
      <c r="B126" s="15" t="s">
        <v>2062</v>
      </c>
      <c r="C126" s="340" t="s">
        <v>4109</v>
      </c>
      <c r="D126" s="254">
        <f>SUMIF(GL!$D$5:$D$6505,B126,GL!$G$5:$G$6505)</f>
        <v>10</v>
      </c>
      <c r="E126" s="341">
        <f>SUMIF(GL!$D$6:$D$6487,B126,GL!$H$6:$H$6487)</f>
        <v>450000</v>
      </c>
      <c r="F126" s="341">
        <f>SUMIF(GL!$D$6:$D$6487,B126,GL!$I$6:$I$6487)</f>
        <v>0</v>
      </c>
      <c r="G126" s="341"/>
      <c r="H126" s="341"/>
      <c r="I126" s="341">
        <f t="shared" si="66"/>
        <v>450000</v>
      </c>
      <c r="J126" s="341">
        <f t="shared" si="67"/>
        <v>0</v>
      </c>
      <c r="K126" s="341"/>
      <c r="L126" s="342"/>
      <c r="M126" s="342"/>
      <c r="N126" s="341">
        <f t="shared" si="61"/>
        <v>450000</v>
      </c>
      <c r="O126" s="341">
        <f t="shared" si="62"/>
        <v>0</v>
      </c>
      <c r="P126" s="341">
        <f>SUMIF(GL!$D$6488:$D$6532,B126,GL!$H$6488:$H$6532)</f>
        <v>0</v>
      </c>
      <c r="Q126" s="341">
        <f>SUMIF(GL!$D$6408:$D$6452,B126,GL!$I$6408:$I$6452)</f>
        <v>0</v>
      </c>
      <c r="R126" s="341">
        <f t="shared" ref="R126:S126" si="149">P126+N126</f>
        <v>450000</v>
      </c>
      <c r="S126" s="341">
        <f t="shared" si="149"/>
        <v>0</v>
      </c>
      <c r="T126" s="340"/>
      <c r="U126" s="340"/>
      <c r="V126" s="340"/>
      <c r="W126" s="340"/>
      <c r="X126" s="341">
        <f t="shared" si="64"/>
        <v>450000</v>
      </c>
      <c r="Y126" s="341">
        <f t="shared" si="65"/>
        <v>0</v>
      </c>
      <c r="Z126" s="331"/>
      <c r="AA126" s="110"/>
      <c r="AB126" s="358"/>
      <c r="AC126" s="330"/>
      <c r="AD126" s="110"/>
      <c r="AE126" s="110"/>
      <c r="AF126" s="332"/>
      <c r="AG126" s="332"/>
      <c r="AH126" s="332"/>
      <c r="AI126" s="332"/>
    </row>
    <row r="127" spans="1:35" ht="13.5" customHeight="1">
      <c r="A127" s="4"/>
      <c r="B127" s="15" t="s">
        <v>1763</v>
      </c>
      <c r="C127" s="260" t="s">
        <v>4110</v>
      </c>
      <c r="D127" s="254">
        <f>SUMIF(GL!$D$5:$D$6505,B127,GL!$G$5:$G$6505)</f>
        <v>0.45599999999999996</v>
      </c>
      <c r="E127" s="341">
        <f>SUMIF(GL!$D$6:$D$6487,B127,GL!$H$6:$H$6487)</f>
        <v>14500</v>
      </c>
      <c r="F127" s="341">
        <f>SUMIF(GL!$D$6:$D$6487,B127,GL!$I$6:$I$6487)</f>
        <v>0</v>
      </c>
      <c r="G127" s="341"/>
      <c r="H127" s="341"/>
      <c r="I127" s="341">
        <f t="shared" si="66"/>
        <v>14500</v>
      </c>
      <c r="J127" s="341">
        <f t="shared" si="67"/>
        <v>0</v>
      </c>
      <c r="K127" s="341"/>
      <c r="L127" s="342"/>
      <c r="M127" s="342"/>
      <c r="N127" s="341">
        <f t="shared" si="61"/>
        <v>14500</v>
      </c>
      <c r="O127" s="341">
        <f t="shared" si="62"/>
        <v>0</v>
      </c>
      <c r="P127" s="341">
        <f>SUMIF(GL!$D$6488:$D$6532,B127,GL!$H$6488:$H$6532)</f>
        <v>0</v>
      </c>
      <c r="Q127" s="341">
        <f>SUMIF(GL!$D$6408:$D$6452,B127,GL!$I$6408:$I$6452)</f>
        <v>0</v>
      </c>
      <c r="R127" s="341">
        <f t="shared" ref="R127:S127" si="150">P127+N127</f>
        <v>14500</v>
      </c>
      <c r="S127" s="341">
        <f t="shared" si="150"/>
        <v>0</v>
      </c>
      <c r="T127" s="340"/>
      <c r="U127" s="340"/>
      <c r="V127" s="340"/>
      <c r="W127" s="340"/>
      <c r="X127" s="341">
        <f t="shared" si="64"/>
        <v>14500</v>
      </c>
      <c r="Y127" s="341">
        <f t="shared" si="65"/>
        <v>0</v>
      </c>
      <c r="Z127" s="331"/>
      <c r="AA127" s="110"/>
      <c r="AB127" s="358"/>
      <c r="AC127" s="330"/>
      <c r="AD127" s="110"/>
      <c r="AE127" s="110"/>
      <c r="AF127" s="332"/>
      <c r="AG127" s="332"/>
      <c r="AH127" s="332"/>
      <c r="AI127" s="332"/>
    </row>
    <row r="128" spans="1:35" ht="13.5" customHeight="1">
      <c r="A128" s="4"/>
      <c r="B128" s="15" t="s">
        <v>4111</v>
      </c>
      <c r="C128" s="260" t="s">
        <v>4112</v>
      </c>
      <c r="D128" s="254">
        <f>SUMIF(GL!$D$5:$D$6505,B128,GL!$G$5:$G$6505)</f>
        <v>0</v>
      </c>
      <c r="E128" s="341">
        <f>SUMIF(GL!$D$6:$D$6487,B128,GL!$H$6:$H$6487)</f>
        <v>0</v>
      </c>
      <c r="F128" s="341">
        <f>SUMIF(GL!$D$6:$D$6487,B128,GL!$I$6:$I$6487)</f>
        <v>0</v>
      </c>
      <c r="G128" s="341"/>
      <c r="H128" s="341"/>
      <c r="I128" s="341">
        <f t="shared" si="66"/>
        <v>0</v>
      </c>
      <c r="J128" s="341">
        <f t="shared" si="67"/>
        <v>0</v>
      </c>
      <c r="K128" s="341"/>
      <c r="L128" s="342"/>
      <c r="M128" s="342"/>
      <c r="N128" s="341">
        <f t="shared" si="61"/>
        <v>0</v>
      </c>
      <c r="O128" s="341">
        <f t="shared" si="62"/>
        <v>0</v>
      </c>
      <c r="P128" s="341">
        <f>SUMIF(GL!$D$6488:$D$6532,B128,GL!$H$6488:$H$6532)</f>
        <v>0</v>
      </c>
      <c r="Q128" s="341">
        <f>SUMIF(GL!$D$6408:$D$6452,B128,GL!$I$6408:$I$6452)</f>
        <v>0</v>
      </c>
      <c r="R128" s="341">
        <f t="shared" ref="R128:S128" si="151">P128+N128</f>
        <v>0</v>
      </c>
      <c r="S128" s="341">
        <f t="shared" si="151"/>
        <v>0</v>
      </c>
      <c r="T128" s="340"/>
      <c r="U128" s="340"/>
      <c r="V128" s="340"/>
      <c r="W128" s="340"/>
      <c r="X128" s="341">
        <f t="shared" si="64"/>
        <v>0</v>
      </c>
      <c r="Y128" s="341">
        <f t="shared" si="65"/>
        <v>0</v>
      </c>
      <c r="Z128" s="331"/>
      <c r="AA128" s="110"/>
      <c r="AB128" s="358"/>
      <c r="AC128" s="330"/>
      <c r="AD128" s="110"/>
      <c r="AE128" s="110"/>
      <c r="AF128" s="332"/>
      <c r="AG128" s="332"/>
      <c r="AH128" s="332"/>
      <c r="AI128" s="332"/>
    </row>
    <row r="129" spans="1:35" ht="13.5" customHeight="1">
      <c r="A129" s="4"/>
      <c r="B129" s="15" t="s">
        <v>4113</v>
      </c>
      <c r="C129" s="260" t="s">
        <v>4114</v>
      </c>
      <c r="D129" s="254">
        <f>SUMIF(GL!$D$5:$D$6505,B129,GL!$G$5:$G$6505)</f>
        <v>0</v>
      </c>
      <c r="E129" s="341">
        <f>SUMIF(GL!$D$6:$D$6487,B129,GL!$H$6:$H$6487)</f>
        <v>0</v>
      </c>
      <c r="F129" s="341">
        <f>SUMIF(GL!$D$6:$D$6487,B129,GL!$I$6:$I$6487)</f>
        <v>0</v>
      </c>
      <c r="G129" s="341"/>
      <c r="H129" s="341"/>
      <c r="I129" s="341">
        <f t="shared" si="66"/>
        <v>0</v>
      </c>
      <c r="J129" s="341">
        <f t="shared" si="67"/>
        <v>0</v>
      </c>
      <c r="K129" s="341"/>
      <c r="L129" s="342"/>
      <c r="M129" s="342"/>
      <c r="N129" s="341">
        <f t="shared" si="61"/>
        <v>0</v>
      </c>
      <c r="O129" s="341">
        <f t="shared" si="62"/>
        <v>0</v>
      </c>
      <c r="P129" s="341">
        <f>SUMIF(GL!$D$6488:$D$6532,B129,GL!$H$6488:$H$6532)</f>
        <v>0</v>
      </c>
      <c r="Q129" s="341">
        <f>SUMIF(GL!$D$6408:$D$6452,B129,GL!$I$6408:$I$6452)</f>
        <v>0</v>
      </c>
      <c r="R129" s="341">
        <f t="shared" ref="R129:S129" si="152">P129+N129</f>
        <v>0</v>
      </c>
      <c r="S129" s="341">
        <f t="shared" si="152"/>
        <v>0</v>
      </c>
      <c r="T129" s="340"/>
      <c r="U129" s="340"/>
      <c r="V129" s="340"/>
      <c r="W129" s="340"/>
      <c r="X129" s="341">
        <f t="shared" si="64"/>
        <v>0</v>
      </c>
      <c r="Y129" s="341">
        <f t="shared" si="65"/>
        <v>0</v>
      </c>
      <c r="Z129" s="331"/>
      <c r="AA129" s="110"/>
      <c r="AB129" s="358"/>
      <c r="AC129" s="330"/>
      <c r="AD129" s="110"/>
      <c r="AE129" s="110"/>
      <c r="AF129" s="332"/>
      <c r="AG129" s="332"/>
      <c r="AH129" s="332"/>
      <c r="AI129" s="332"/>
    </row>
    <row r="130" spans="1:35" ht="13.5" customHeight="1">
      <c r="A130" s="4"/>
      <c r="B130" s="15" t="s">
        <v>4115</v>
      </c>
      <c r="C130" s="340" t="s">
        <v>4116</v>
      </c>
      <c r="D130" s="254">
        <f>SUMIF(GL!$D$5:$D$6505,B130,GL!$G$5:$G$6505)</f>
        <v>0</v>
      </c>
      <c r="E130" s="341">
        <f>SUMIF(GL!$D$6:$D$6487,B130,GL!$H$6:$H$6487)</f>
        <v>0</v>
      </c>
      <c r="F130" s="341">
        <f>SUMIF(GL!$D$6:$D$6487,B130,GL!$I$6:$I$6487)</f>
        <v>0</v>
      </c>
      <c r="G130" s="341"/>
      <c r="H130" s="341"/>
      <c r="I130" s="341">
        <f t="shared" si="66"/>
        <v>0</v>
      </c>
      <c r="J130" s="341">
        <f t="shared" si="67"/>
        <v>0</v>
      </c>
      <c r="K130" s="341"/>
      <c r="L130" s="342"/>
      <c r="M130" s="342"/>
      <c r="N130" s="341">
        <f t="shared" si="61"/>
        <v>0</v>
      </c>
      <c r="O130" s="341">
        <f t="shared" si="62"/>
        <v>0</v>
      </c>
      <c r="P130" s="341">
        <f>SUMIF(GL!$D$6488:$D$6532,B130,GL!$H$6488:$H$6532)</f>
        <v>0</v>
      </c>
      <c r="Q130" s="341">
        <f>SUMIF(GL!$D$6408:$D$6452,B130,GL!$I$6408:$I$6452)</f>
        <v>0</v>
      </c>
      <c r="R130" s="341">
        <f t="shared" ref="R130:S130" si="153">P130+N130</f>
        <v>0</v>
      </c>
      <c r="S130" s="341">
        <f t="shared" si="153"/>
        <v>0</v>
      </c>
      <c r="T130" s="340"/>
      <c r="U130" s="340"/>
      <c r="V130" s="340"/>
      <c r="W130" s="340"/>
      <c r="X130" s="341">
        <f t="shared" si="64"/>
        <v>0</v>
      </c>
      <c r="Y130" s="341">
        <f t="shared" si="65"/>
        <v>0</v>
      </c>
      <c r="Z130" s="331"/>
      <c r="AA130" s="110"/>
      <c r="AB130" s="358"/>
      <c r="AC130" s="330"/>
      <c r="AD130" s="110"/>
      <c r="AE130" s="110"/>
      <c r="AF130" s="332"/>
      <c r="AG130" s="332"/>
      <c r="AH130" s="332"/>
      <c r="AI130" s="332"/>
    </row>
    <row r="131" spans="1:35" ht="13.5" customHeight="1">
      <c r="A131" s="4"/>
      <c r="B131" s="15" t="s">
        <v>1888</v>
      </c>
      <c r="C131" s="260" t="s">
        <v>4117</v>
      </c>
      <c r="D131" s="254">
        <f>SUMIF(GL!$D$5:$D$6505,B131,GL!$G$5:$G$6505)</f>
        <v>17.100000000000001</v>
      </c>
      <c r="E131" s="341">
        <f>SUMIF(GL!$D$6:$D$6487,B131,GL!$H$6:$H$6487)</f>
        <v>1363000</v>
      </c>
      <c r="F131" s="341">
        <f>SUMIF(GL!$D$6:$D$6487,B131,GL!$I$6:$I$6487)</f>
        <v>0</v>
      </c>
      <c r="G131" s="341"/>
      <c r="H131" s="341"/>
      <c r="I131" s="341">
        <f t="shared" si="66"/>
        <v>1363000</v>
      </c>
      <c r="J131" s="341">
        <f t="shared" si="67"/>
        <v>0</v>
      </c>
      <c r="K131" s="341"/>
      <c r="L131" s="342"/>
      <c r="M131" s="342"/>
      <c r="N131" s="341">
        <f t="shared" si="61"/>
        <v>1363000</v>
      </c>
      <c r="O131" s="341">
        <f t="shared" si="62"/>
        <v>0</v>
      </c>
      <c r="P131" s="341">
        <f>SUMIF(GL!$D$6488:$D$6532,B131,GL!$H$6488:$H$6532)</f>
        <v>0</v>
      </c>
      <c r="Q131" s="341">
        <f>SUMIF(GL!$D$6408:$D$6452,B131,GL!$I$6408:$I$6452)</f>
        <v>0</v>
      </c>
      <c r="R131" s="341">
        <f t="shared" ref="R131:S131" si="154">P131+N131</f>
        <v>1363000</v>
      </c>
      <c r="S131" s="341">
        <f t="shared" si="154"/>
        <v>0</v>
      </c>
      <c r="T131" s="340"/>
      <c r="U131" s="340"/>
      <c r="V131" s="340"/>
      <c r="W131" s="340"/>
      <c r="X131" s="341">
        <f t="shared" si="64"/>
        <v>1363000</v>
      </c>
      <c r="Y131" s="341">
        <f t="shared" si="65"/>
        <v>0</v>
      </c>
      <c r="Z131" s="331"/>
      <c r="AA131" s="110"/>
      <c r="AB131" s="358"/>
      <c r="AC131" s="330"/>
      <c r="AD131" s="110"/>
      <c r="AE131" s="110"/>
      <c r="AF131" s="332"/>
      <c r="AG131" s="332"/>
      <c r="AH131" s="332"/>
      <c r="AI131" s="332"/>
    </row>
    <row r="132" spans="1:35" ht="13.5" customHeight="1">
      <c r="A132" s="4"/>
      <c r="B132" s="15" t="s">
        <v>2275</v>
      </c>
      <c r="C132" s="260" t="s">
        <v>4118</v>
      </c>
      <c r="D132" s="254">
        <f>SUMIF(GL!$D$5:$D$6505,B132,GL!$G$5:$G$6505)</f>
        <v>0.6</v>
      </c>
      <c r="E132" s="341">
        <f>SUMIF(GL!$D$6:$D$6487,B132,GL!$H$6:$H$6487)</f>
        <v>21000</v>
      </c>
      <c r="F132" s="341">
        <f>SUMIF(GL!$D$6:$D$6487,B132,GL!$I$6:$I$6487)</f>
        <v>0</v>
      </c>
      <c r="G132" s="341"/>
      <c r="H132" s="341"/>
      <c r="I132" s="341">
        <f t="shared" si="66"/>
        <v>21000</v>
      </c>
      <c r="J132" s="341">
        <f t="shared" si="67"/>
        <v>0</v>
      </c>
      <c r="K132" s="341"/>
      <c r="L132" s="342"/>
      <c r="M132" s="342"/>
      <c r="N132" s="341">
        <f t="shared" si="61"/>
        <v>21000</v>
      </c>
      <c r="O132" s="341">
        <f t="shared" si="62"/>
        <v>0</v>
      </c>
      <c r="P132" s="341">
        <f>SUMIF(GL!$D$6488:$D$6532,B132,GL!$H$6488:$H$6532)</f>
        <v>0</v>
      </c>
      <c r="Q132" s="341">
        <f>SUMIF(GL!$D$6408:$D$6452,B132,GL!$I$6408:$I$6452)</f>
        <v>0</v>
      </c>
      <c r="R132" s="341">
        <f t="shared" ref="R132:S132" si="155">P132+N132</f>
        <v>21000</v>
      </c>
      <c r="S132" s="341">
        <f t="shared" si="155"/>
        <v>0</v>
      </c>
      <c r="T132" s="340"/>
      <c r="U132" s="340"/>
      <c r="V132" s="340"/>
      <c r="W132" s="340"/>
      <c r="X132" s="341">
        <f t="shared" si="64"/>
        <v>21000</v>
      </c>
      <c r="Y132" s="341">
        <f t="shared" si="65"/>
        <v>0</v>
      </c>
      <c r="Z132" s="331"/>
      <c r="AA132" s="110"/>
      <c r="AB132" s="358"/>
      <c r="AC132" s="330"/>
      <c r="AD132" s="110"/>
      <c r="AE132" s="110"/>
      <c r="AF132" s="332"/>
      <c r="AG132" s="332"/>
      <c r="AH132" s="332"/>
      <c r="AI132" s="332"/>
    </row>
    <row r="133" spans="1:35" ht="13.5" customHeight="1">
      <c r="A133" s="4"/>
      <c r="B133" s="15" t="s">
        <v>4119</v>
      </c>
      <c r="C133" s="260" t="s">
        <v>4120</v>
      </c>
      <c r="D133" s="254">
        <f>SUMIF(GL!$D$5:$D$6505,B133,GL!$G$5:$G$6505)</f>
        <v>0</v>
      </c>
      <c r="E133" s="341">
        <f>SUMIF(GL!$D$6:$D$6487,B133,GL!$H$6:$H$6487)</f>
        <v>0</v>
      </c>
      <c r="F133" s="341">
        <f>SUMIF(GL!$D$6:$D$6487,B133,GL!$I$6:$I$6487)</f>
        <v>0</v>
      </c>
      <c r="G133" s="341"/>
      <c r="H133" s="341"/>
      <c r="I133" s="341">
        <f t="shared" si="66"/>
        <v>0</v>
      </c>
      <c r="J133" s="341">
        <f t="shared" si="67"/>
        <v>0</v>
      </c>
      <c r="K133" s="341"/>
      <c r="L133" s="342"/>
      <c r="M133" s="342"/>
      <c r="N133" s="341">
        <f t="shared" si="61"/>
        <v>0</v>
      </c>
      <c r="O133" s="341">
        <f t="shared" si="62"/>
        <v>0</v>
      </c>
      <c r="P133" s="341">
        <f>SUMIF(GL!$D$6488:$D$6532,B133,GL!$H$6488:$H$6532)</f>
        <v>0</v>
      </c>
      <c r="Q133" s="341">
        <f>SUMIF(GL!$D$6408:$D$6452,B133,GL!$I$6408:$I$6452)</f>
        <v>0</v>
      </c>
      <c r="R133" s="341">
        <f t="shared" ref="R133:S133" si="156">P133+N133</f>
        <v>0</v>
      </c>
      <c r="S133" s="341">
        <f t="shared" si="156"/>
        <v>0</v>
      </c>
      <c r="T133" s="340"/>
      <c r="U133" s="340"/>
      <c r="V133" s="340"/>
      <c r="W133" s="340"/>
      <c r="X133" s="341">
        <f t="shared" si="64"/>
        <v>0</v>
      </c>
      <c r="Y133" s="341">
        <f t="shared" si="65"/>
        <v>0</v>
      </c>
      <c r="Z133" s="331"/>
      <c r="AA133" s="110"/>
      <c r="AB133" s="358"/>
      <c r="AC133" s="330"/>
      <c r="AD133" s="110"/>
      <c r="AE133" s="110"/>
      <c r="AF133" s="332"/>
      <c r="AG133" s="332"/>
      <c r="AH133" s="332"/>
      <c r="AI133" s="332"/>
    </row>
    <row r="134" spans="1:35" ht="13.5" customHeight="1">
      <c r="A134" s="4"/>
      <c r="B134" s="15" t="s">
        <v>4121</v>
      </c>
      <c r="C134" s="260" t="s">
        <v>4122</v>
      </c>
      <c r="D134" s="254">
        <f>SUMIF(GL!$D$5:$D$6505,B134,GL!$G$5:$G$6505)</f>
        <v>0</v>
      </c>
      <c r="E134" s="341">
        <f>SUMIF(GL!$D$6:$D$6487,B134,GL!$H$6:$H$6487)</f>
        <v>0</v>
      </c>
      <c r="F134" s="341">
        <f>SUMIF(GL!$D$6:$D$6487,B134,GL!$I$6:$I$6487)</f>
        <v>0</v>
      </c>
      <c r="G134" s="341"/>
      <c r="H134" s="341"/>
      <c r="I134" s="341">
        <f t="shared" si="66"/>
        <v>0</v>
      </c>
      <c r="J134" s="341">
        <f t="shared" si="67"/>
        <v>0</v>
      </c>
      <c r="K134" s="341"/>
      <c r="L134" s="342"/>
      <c r="M134" s="342"/>
      <c r="N134" s="341">
        <f t="shared" si="61"/>
        <v>0</v>
      </c>
      <c r="O134" s="341">
        <f t="shared" si="62"/>
        <v>0</v>
      </c>
      <c r="P134" s="341">
        <f>SUMIF(GL!$D$6488:$D$6532,B134,GL!$H$6488:$H$6532)</f>
        <v>0</v>
      </c>
      <c r="Q134" s="341">
        <f>SUMIF(GL!$D$6408:$D$6452,B134,GL!$I$6408:$I$6452)</f>
        <v>0</v>
      </c>
      <c r="R134" s="341">
        <f t="shared" ref="R134:S134" si="157">P134+N134</f>
        <v>0</v>
      </c>
      <c r="S134" s="341">
        <f t="shared" si="157"/>
        <v>0</v>
      </c>
      <c r="T134" s="340"/>
      <c r="U134" s="340"/>
      <c r="V134" s="340"/>
      <c r="W134" s="340"/>
      <c r="X134" s="341">
        <f t="shared" si="64"/>
        <v>0</v>
      </c>
      <c r="Y134" s="341">
        <f t="shared" si="65"/>
        <v>0</v>
      </c>
      <c r="Z134" s="331"/>
      <c r="AA134" s="110"/>
      <c r="AB134" s="358"/>
      <c r="AC134" s="330"/>
      <c r="AD134" s="110"/>
      <c r="AE134" s="110"/>
      <c r="AF134" s="332"/>
      <c r="AG134" s="332"/>
      <c r="AH134" s="332"/>
      <c r="AI134" s="332"/>
    </row>
    <row r="135" spans="1:35" ht="13.5" customHeight="1">
      <c r="A135" s="4"/>
      <c r="B135" s="15" t="s">
        <v>4123</v>
      </c>
      <c r="C135" s="260" t="s">
        <v>4124</v>
      </c>
      <c r="D135" s="254">
        <f>SUMIF(GL!$D$5:$D$6505,B135,GL!$G$5:$G$6505)</f>
        <v>0</v>
      </c>
      <c r="E135" s="341">
        <f>SUMIF(GL!$D$6:$D$6487,B135,GL!$H$6:$H$6487)</f>
        <v>0</v>
      </c>
      <c r="F135" s="341">
        <f>SUMIF(GL!$D$6:$D$6487,B135,GL!$I$6:$I$6487)</f>
        <v>0</v>
      </c>
      <c r="G135" s="341"/>
      <c r="H135" s="341"/>
      <c r="I135" s="341">
        <f t="shared" si="66"/>
        <v>0</v>
      </c>
      <c r="J135" s="341">
        <f t="shared" si="67"/>
        <v>0</v>
      </c>
      <c r="K135" s="341"/>
      <c r="L135" s="342"/>
      <c r="M135" s="342"/>
      <c r="N135" s="341">
        <f t="shared" si="61"/>
        <v>0</v>
      </c>
      <c r="O135" s="341">
        <f t="shared" si="62"/>
        <v>0</v>
      </c>
      <c r="P135" s="341">
        <f>SUMIF(GL!$D$6488:$D$6532,B135,GL!$H$6488:$H$6532)</f>
        <v>0</v>
      </c>
      <c r="Q135" s="341">
        <f>SUMIF(GL!$D$6408:$D$6452,B135,GL!$I$6408:$I$6452)</f>
        <v>0</v>
      </c>
      <c r="R135" s="341">
        <f t="shared" ref="R135:S135" si="158">P135+N135</f>
        <v>0</v>
      </c>
      <c r="S135" s="341">
        <f t="shared" si="158"/>
        <v>0</v>
      </c>
      <c r="T135" s="340"/>
      <c r="U135" s="340"/>
      <c r="V135" s="340"/>
      <c r="W135" s="340"/>
      <c r="X135" s="341">
        <f t="shared" si="64"/>
        <v>0</v>
      </c>
      <c r="Y135" s="341">
        <f t="shared" si="65"/>
        <v>0</v>
      </c>
      <c r="Z135" s="331"/>
      <c r="AA135" s="110"/>
      <c r="AB135" s="358"/>
      <c r="AC135" s="330"/>
      <c r="AD135" s="110"/>
      <c r="AE135" s="110"/>
      <c r="AF135" s="332"/>
      <c r="AG135" s="332"/>
      <c r="AH135" s="332"/>
      <c r="AI135" s="332"/>
    </row>
    <row r="136" spans="1:35" ht="13.5" customHeight="1">
      <c r="A136" s="4"/>
      <c r="B136" s="15" t="s">
        <v>2416</v>
      </c>
      <c r="C136" s="260" t="s">
        <v>4125</v>
      </c>
      <c r="D136" s="254">
        <f>SUMIF(GL!$D$5:$D$6505,B136,GL!$G$5:$G$6505)</f>
        <v>0.2</v>
      </c>
      <c r="E136" s="341">
        <f>SUMIF(GL!$D$6:$D$6487,B136,GL!$H$6:$H$6487)</f>
        <v>35000</v>
      </c>
      <c r="F136" s="341">
        <f>SUMIF(GL!$D$6:$D$6487,B136,GL!$I$6:$I$6487)</f>
        <v>0</v>
      </c>
      <c r="G136" s="341"/>
      <c r="H136" s="341"/>
      <c r="I136" s="341">
        <f t="shared" si="66"/>
        <v>35000</v>
      </c>
      <c r="J136" s="341">
        <f t="shared" si="67"/>
        <v>0</v>
      </c>
      <c r="K136" s="341"/>
      <c r="L136" s="342"/>
      <c r="M136" s="342"/>
      <c r="N136" s="341">
        <f t="shared" si="61"/>
        <v>35000</v>
      </c>
      <c r="O136" s="341">
        <f t="shared" si="62"/>
        <v>0</v>
      </c>
      <c r="P136" s="341">
        <f>SUMIF(GL!$D$6488:$D$6532,B136,GL!$H$6488:$H$6532)</f>
        <v>0</v>
      </c>
      <c r="Q136" s="341">
        <f>SUMIF(GL!$D$6408:$D$6452,B136,GL!$I$6408:$I$6452)</f>
        <v>0</v>
      </c>
      <c r="R136" s="341">
        <f t="shared" ref="R136:S136" si="159">P136+N136</f>
        <v>35000</v>
      </c>
      <c r="S136" s="341">
        <f t="shared" si="159"/>
        <v>0</v>
      </c>
      <c r="T136" s="340"/>
      <c r="U136" s="340"/>
      <c r="V136" s="340"/>
      <c r="W136" s="340"/>
      <c r="X136" s="341">
        <f t="shared" si="64"/>
        <v>35000</v>
      </c>
      <c r="Y136" s="341">
        <f t="shared" si="65"/>
        <v>0</v>
      </c>
      <c r="Z136" s="331"/>
      <c r="AA136" s="110"/>
      <c r="AB136" s="358"/>
      <c r="AC136" s="330"/>
      <c r="AD136" s="110"/>
      <c r="AE136" s="110"/>
      <c r="AF136" s="332"/>
      <c r="AG136" s="332"/>
      <c r="AH136" s="332"/>
      <c r="AI136" s="332"/>
    </row>
    <row r="137" spans="1:35" ht="13.5" customHeight="1">
      <c r="A137" s="4"/>
      <c r="B137" s="15" t="s">
        <v>2210</v>
      </c>
      <c r="C137" s="260" t="s">
        <v>4126</v>
      </c>
      <c r="D137" s="254">
        <f>SUMIF(GL!$D$5:$D$6505,B137,GL!$G$5:$G$6505)</f>
        <v>0.55000000000000004</v>
      </c>
      <c r="E137" s="341">
        <f>SUMIF(GL!$D$6:$D$6487,B137,GL!$H$6:$H$6487)</f>
        <v>72500</v>
      </c>
      <c r="F137" s="341">
        <f>SUMIF(GL!$D$6:$D$6487,B137,GL!$I$6:$I$6487)</f>
        <v>0</v>
      </c>
      <c r="G137" s="341"/>
      <c r="H137" s="341"/>
      <c r="I137" s="341">
        <f t="shared" si="66"/>
        <v>72500</v>
      </c>
      <c r="J137" s="341">
        <f t="shared" si="67"/>
        <v>0</v>
      </c>
      <c r="K137" s="341"/>
      <c r="L137" s="342"/>
      <c r="M137" s="342"/>
      <c r="N137" s="341">
        <f t="shared" si="61"/>
        <v>72500</v>
      </c>
      <c r="O137" s="341">
        <f t="shared" si="62"/>
        <v>0</v>
      </c>
      <c r="P137" s="341">
        <f>SUMIF(GL!$D$6488:$D$6532,B137,GL!$H$6488:$H$6532)</f>
        <v>0</v>
      </c>
      <c r="Q137" s="341">
        <f>SUMIF(GL!$D$6408:$D$6452,B137,GL!$I$6408:$I$6452)</f>
        <v>0</v>
      </c>
      <c r="R137" s="341">
        <f t="shared" ref="R137:S137" si="160">P137+N137</f>
        <v>72500</v>
      </c>
      <c r="S137" s="341">
        <f t="shared" si="160"/>
        <v>0</v>
      </c>
      <c r="T137" s="340"/>
      <c r="U137" s="340"/>
      <c r="V137" s="340"/>
      <c r="W137" s="340"/>
      <c r="X137" s="341">
        <f t="shared" si="64"/>
        <v>72500</v>
      </c>
      <c r="Y137" s="341">
        <f t="shared" si="65"/>
        <v>0</v>
      </c>
      <c r="Z137" s="331"/>
      <c r="AA137" s="110"/>
      <c r="AB137" s="358"/>
      <c r="AC137" s="330"/>
      <c r="AD137" s="110"/>
      <c r="AE137" s="110"/>
      <c r="AF137" s="332"/>
      <c r="AG137" s="332"/>
      <c r="AH137" s="332"/>
      <c r="AI137" s="332"/>
    </row>
    <row r="138" spans="1:35" ht="13.5" customHeight="1">
      <c r="A138" s="4"/>
      <c r="B138" s="15" t="s">
        <v>4127</v>
      </c>
      <c r="C138" s="260" t="s">
        <v>4128</v>
      </c>
      <c r="D138" s="254">
        <f>SUMIF(GL!$D$5:$D$6505,B138,GL!$G$5:$G$6505)</f>
        <v>0</v>
      </c>
      <c r="E138" s="341">
        <f>SUMIF(GL!$D$6:$D$6487,B138,GL!$H$6:$H$6487)</f>
        <v>0</v>
      </c>
      <c r="F138" s="341">
        <f>SUMIF(GL!$D$6:$D$6487,B138,GL!$I$6:$I$6487)</f>
        <v>0</v>
      </c>
      <c r="G138" s="341"/>
      <c r="H138" s="341"/>
      <c r="I138" s="341">
        <f t="shared" si="66"/>
        <v>0</v>
      </c>
      <c r="J138" s="341">
        <f t="shared" si="67"/>
        <v>0</v>
      </c>
      <c r="K138" s="341"/>
      <c r="L138" s="342"/>
      <c r="M138" s="342"/>
      <c r="N138" s="341">
        <f t="shared" si="61"/>
        <v>0</v>
      </c>
      <c r="O138" s="341">
        <f t="shared" si="62"/>
        <v>0</v>
      </c>
      <c r="P138" s="341">
        <f>SUMIF(GL!$D$6488:$D$6532,B138,GL!$H$6488:$H$6532)</f>
        <v>0</v>
      </c>
      <c r="Q138" s="341">
        <f>SUMIF(GL!$D$6408:$D$6452,B138,GL!$I$6408:$I$6452)</f>
        <v>0</v>
      </c>
      <c r="R138" s="341">
        <f t="shared" ref="R138:S138" si="161">P138+N138</f>
        <v>0</v>
      </c>
      <c r="S138" s="341">
        <f t="shared" si="161"/>
        <v>0</v>
      </c>
      <c r="T138" s="340"/>
      <c r="U138" s="340"/>
      <c r="V138" s="340"/>
      <c r="W138" s="340"/>
      <c r="X138" s="341">
        <f t="shared" si="64"/>
        <v>0</v>
      </c>
      <c r="Y138" s="341">
        <f t="shared" si="65"/>
        <v>0</v>
      </c>
      <c r="Z138" s="331"/>
      <c r="AA138" s="110"/>
      <c r="AB138" s="358"/>
      <c r="AC138" s="330"/>
      <c r="AD138" s="110"/>
      <c r="AE138" s="110"/>
      <c r="AF138" s="332"/>
      <c r="AG138" s="332"/>
      <c r="AH138" s="332"/>
      <c r="AI138" s="332"/>
    </row>
    <row r="139" spans="1:35" ht="13.5" customHeight="1">
      <c r="A139" s="4"/>
      <c r="B139" s="15" t="s">
        <v>1869</v>
      </c>
      <c r="C139" s="260" t="s">
        <v>4129</v>
      </c>
      <c r="D139" s="254">
        <f>SUMIF(GL!$D$5:$D$6505,B139,GL!$G$5:$G$6505)</f>
        <v>17</v>
      </c>
      <c r="E139" s="341">
        <f>SUMIF(GL!$D$6:$D$6487,B139,GL!$H$6:$H$6487)</f>
        <v>43000</v>
      </c>
      <c r="F139" s="341">
        <f>SUMIF(GL!$D$6:$D$6487,B139,GL!$I$6:$I$6487)</f>
        <v>0</v>
      </c>
      <c r="G139" s="341"/>
      <c r="H139" s="341"/>
      <c r="I139" s="341">
        <f t="shared" si="66"/>
        <v>43000</v>
      </c>
      <c r="J139" s="341">
        <f t="shared" si="67"/>
        <v>0</v>
      </c>
      <c r="K139" s="341"/>
      <c r="L139" s="342"/>
      <c r="M139" s="342"/>
      <c r="N139" s="341">
        <f t="shared" si="61"/>
        <v>43000</v>
      </c>
      <c r="O139" s="341">
        <f t="shared" si="62"/>
        <v>0</v>
      </c>
      <c r="P139" s="341">
        <f>SUMIF(GL!$D$6488:$D$6532,B139,GL!$H$6488:$H$6532)</f>
        <v>0</v>
      </c>
      <c r="Q139" s="341">
        <f>SUMIF(GL!$D$6408:$D$6452,B139,GL!$I$6408:$I$6452)</f>
        <v>0</v>
      </c>
      <c r="R139" s="341">
        <f t="shared" ref="R139:S139" si="162">P139+N139</f>
        <v>43000</v>
      </c>
      <c r="S139" s="341">
        <f t="shared" si="162"/>
        <v>0</v>
      </c>
      <c r="T139" s="340"/>
      <c r="U139" s="340"/>
      <c r="V139" s="340"/>
      <c r="W139" s="340"/>
      <c r="X139" s="341">
        <f t="shared" si="64"/>
        <v>43000</v>
      </c>
      <c r="Y139" s="341">
        <f t="shared" si="65"/>
        <v>0</v>
      </c>
      <c r="Z139" s="331"/>
      <c r="AA139" s="110"/>
      <c r="AB139" s="358"/>
      <c r="AC139" s="330"/>
      <c r="AD139" s="110"/>
      <c r="AE139" s="110"/>
      <c r="AF139" s="332"/>
      <c r="AG139" s="332"/>
      <c r="AH139" s="332"/>
      <c r="AI139" s="332"/>
    </row>
    <row r="140" spans="1:35" ht="13.5" customHeight="1">
      <c r="A140" s="4"/>
      <c r="B140" s="15" t="s">
        <v>4130</v>
      </c>
      <c r="C140" s="260" t="s">
        <v>4131</v>
      </c>
      <c r="D140" s="254">
        <f>SUMIF(GL!$D$5:$D$6505,B140,GL!$G$5:$G$6505)</f>
        <v>0</v>
      </c>
      <c r="E140" s="341">
        <f>SUMIF(GL!$D$6:$D$6487,B140,GL!$H$6:$H$6487)</f>
        <v>0</v>
      </c>
      <c r="F140" s="341">
        <f>SUMIF(GL!$D$6:$D$6487,B140,GL!$I$6:$I$6487)</f>
        <v>0</v>
      </c>
      <c r="G140" s="341"/>
      <c r="H140" s="341"/>
      <c r="I140" s="341">
        <f t="shared" si="66"/>
        <v>0</v>
      </c>
      <c r="J140" s="341">
        <f t="shared" si="67"/>
        <v>0</v>
      </c>
      <c r="K140" s="341"/>
      <c r="L140" s="342"/>
      <c r="M140" s="342"/>
      <c r="N140" s="341">
        <f t="shared" si="61"/>
        <v>0</v>
      </c>
      <c r="O140" s="341">
        <f t="shared" si="62"/>
        <v>0</v>
      </c>
      <c r="P140" s="341">
        <f>SUMIF(GL!$D$6488:$D$6532,B140,GL!$H$6488:$H$6532)</f>
        <v>0</v>
      </c>
      <c r="Q140" s="341">
        <f>SUMIF(GL!$D$6408:$D$6452,B140,GL!$I$6408:$I$6452)</f>
        <v>0</v>
      </c>
      <c r="R140" s="341">
        <f t="shared" ref="R140:S140" si="163">P140+N140</f>
        <v>0</v>
      </c>
      <c r="S140" s="341">
        <f t="shared" si="163"/>
        <v>0</v>
      </c>
      <c r="T140" s="340"/>
      <c r="U140" s="340"/>
      <c r="V140" s="340"/>
      <c r="W140" s="340"/>
      <c r="X140" s="341">
        <f t="shared" si="64"/>
        <v>0</v>
      </c>
      <c r="Y140" s="341">
        <f t="shared" si="65"/>
        <v>0</v>
      </c>
      <c r="Z140" s="331"/>
      <c r="AA140" s="110"/>
      <c r="AB140" s="358"/>
      <c r="AC140" s="330"/>
      <c r="AD140" s="110"/>
      <c r="AE140" s="110"/>
      <c r="AF140" s="332"/>
      <c r="AG140" s="332"/>
      <c r="AH140" s="332"/>
      <c r="AI140" s="332"/>
    </row>
    <row r="141" spans="1:35" ht="13.5" customHeight="1">
      <c r="A141" s="4"/>
      <c r="B141" s="15" t="s">
        <v>1877</v>
      </c>
      <c r="C141" s="260" t="s">
        <v>4132</v>
      </c>
      <c r="D141" s="254">
        <f>SUMIF(GL!$D$5:$D$6505,B141,GL!$G$5:$G$6505)</f>
        <v>25.35</v>
      </c>
      <c r="E141" s="341">
        <f>SUMIF(GL!$D$6:$D$6487,B141,GL!$H$6:$H$6487)</f>
        <v>380250</v>
      </c>
      <c r="F141" s="341">
        <f>SUMIF(GL!$D$6:$D$6487,B141,GL!$I$6:$I$6487)</f>
        <v>0</v>
      </c>
      <c r="G141" s="341"/>
      <c r="H141" s="341"/>
      <c r="I141" s="341">
        <f t="shared" si="66"/>
        <v>380250</v>
      </c>
      <c r="J141" s="341">
        <f t="shared" si="67"/>
        <v>0</v>
      </c>
      <c r="K141" s="341"/>
      <c r="L141" s="342"/>
      <c r="M141" s="342"/>
      <c r="N141" s="341">
        <f t="shared" si="61"/>
        <v>380250</v>
      </c>
      <c r="O141" s="341">
        <f t="shared" si="62"/>
        <v>0</v>
      </c>
      <c r="P141" s="341">
        <f>SUMIF(GL!$D$6488:$D$6532,B141,GL!$H$6488:$H$6532)</f>
        <v>0</v>
      </c>
      <c r="Q141" s="341">
        <f>SUMIF(GL!$D$6408:$D$6452,B141,GL!$I$6408:$I$6452)</f>
        <v>0</v>
      </c>
      <c r="R141" s="341">
        <f t="shared" ref="R141:S141" si="164">P141+N141</f>
        <v>380250</v>
      </c>
      <c r="S141" s="341">
        <f t="shared" si="164"/>
        <v>0</v>
      </c>
      <c r="T141" s="340"/>
      <c r="U141" s="340"/>
      <c r="V141" s="340"/>
      <c r="W141" s="340"/>
      <c r="X141" s="341">
        <f t="shared" si="64"/>
        <v>380250</v>
      </c>
      <c r="Y141" s="341">
        <f t="shared" si="65"/>
        <v>0</v>
      </c>
      <c r="Z141" s="331"/>
      <c r="AA141" s="110"/>
      <c r="AB141" s="358"/>
      <c r="AC141" s="330"/>
      <c r="AD141" s="110"/>
      <c r="AE141" s="110"/>
      <c r="AF141" s="332"/>
      <c r="AG141" s="332"/>
      <c r="AH141" s="332"/>
      <c r="AI141" s="332"/>
    </row>
    <row r="142" spans="1:35" ht="13.5" customHeight="1">
      <c r="A142" s="4"/>
      <c r="B142" s="15" t="s">
        <v>4133</v>
      </c>
      <c r="C142" s="260" t="s">
        <v>4134</v>
      </c>
      <c r="D142" s="254">
        <f>SUMIF(GL!$D$5:$D$6505,B142,GL!$G$5:$G$6505)</f>
        <v>0</v>
      </c>
      <c r="E142" s="341">
        <f>SUMIF(GL!$D$6:$D$6487,B142,GL!$H$6:$H$6487)</f>
        <v>0</v>
      </c>
      <c r="F142" s="341">
        <f>SUMIF(GL!$D$6:$D$6487,B142,GL!$I$6:$I$6487)</f>
        <v>0</v>
      </c>
      <c r="G142" s="341"/>
      <c r="H142" s="341"/>
      <c r="I142" s="341">
        <f t="shared" si="66"/>
        <v>0</v>
      </c>
      <c r="J142" s="341">
        <f t="shared" si="67"/>
        <v>0</v>
      </c>
      <c r="K142" s="341"/>
      <c r="L142" s="342"/>
      <c r="M142" s="342"/>
      <c r="N142" s="341">
        <f t="shared" si="61"/>
        <v>0</v>
      </c>
      <c r="O142" s="341">
        <f t="shared" si="62"/>
        <v>0</v>
      </c>
      <c r="P142" s="341">
        <f>SUMIF(GL!$D$6488:$D$6532,B142,GL!$H$6488:$H$6532)</f>
        <v>0</v>
      </c>
      <c r="Q142" s="341">
        <f>SUMIF(GL!$D$6408:$D$6452,B142,GL!$I$6408:$I$6452)</f>
        <v>0</v>
      </c>
      <c r="R142" s="341">
        <f t="shared" ref="R142:S142" si="165">P142+N142</f>
        <v>0</v>
      </c>
      <c r="S142" s="341">
        <f t="shared" si="165"/>
        <v>0</v>
      </c>
      <c r="T142" s="340"/>
      <c r="U142" s="340"/>
      <c r="V142" s="340"/>
      <c r="W142" s="340"/>
      <c r="X142" s="341">
        <f t="shared" si="64"/>
        <v>0</v>
      </c>
      <c r="Y142" s="341">
        <f t="shared" si="65"/>
        <v>0</v>
      </c>
      <c r="Z142" s="331"/>
      <c r="AA142" s="110"/>
      <c r="AB142" s="358"/>
      <c r="AC142" s="330"/>
      <c r="AD142" s="110"/>
      <c r="AE142" s="110"/>
      <c r="AF142" s="332"/>
      <c r="AG142" s="332"/>
      <c r="AH142" s="332"/>
      <c r="AI142" s="332"/>
    </row>
    <row r="143" spans="1:35" ht="13.5" customHeight="1">
      <c r="A143" s="4"/>
      <c r="B143" s="15" t="s">
        <v>4135</v>
      </c>
      <c r="C143" s="260" t="s">
        <v>4136</v>
      </c>
      <c r="D143" s="254">
        <f>SUMIF(GL!$D$5:$D$6505,B143,GL!$G$5:$G$6505)</f>
        <v>0</v>
      </c>
      <c r="E143" s="341">
        <f>SUMIF(GL!$D$6:$D$6487,B143,GL!$H$6:$H$6487)</f>
        <v>0</v>
      </c>
      <c r="F143" s="341">
        <f>SUMIF(GL!$D$6:$D$6487,B143,GL!$I$6:$I$6487)</f>
        <v>0</v>
      </c>
      <c r="G143" s="341"/>
      <c r="H143" s="341"/>
      <c r="I143" s="341">
        <f t="shared" si="66"/>
        <v>0</v>
      </c>
      <c r="J143" s="341">
        <f t="shared" si="67"/>
        <v>0</v>
      </c>
      <c r="K143" s="341"/>
      <c r="L143" s="342"/>
      <c r="M143" s="342"/>
      <c r="N143" s="341">
        <f t="shared" si="61"/>
        <v>0</v>
      </c>
      <c r="O143" s="341">
        <f t="shared" si="62"/>
        <v>0</v>
      </c>
      <c r="P143" s="341">
        <f>SUMIF(GL!$D$6488:$D$6532,B143,GL!$H$6488:$H$6532)</f>
        <v>0</v>
      </c>
      <c r="Q143" s="341">
        <f>SUMIF(GL!$D$6408:$D$6452,B143,GL!$I$6408:$I$6452)</f>
        <v>0</v>
      </c>
      <c r="R143" s="341">
        <f t="shared" ref="R143:S143" si="166">P143+N143</f>
        <v>0</v>
      </c>
      <c r="S143" s="341">
        <f t="shared" si="166"/>
        <v>0</v>
      </c>
      <c r="T143" s="340"/>
      <c r="U143" s="340"/>
      <c r="V143" s="340"/>
      <c r="W143" s="340"/>
      <c r="X143" s="341">
        <f t="shared" si="64"/>
        <v>0</v>
      </c>
      <c r="Y143" s="341">
        <f t="shared" si="65"/>
        <v>0</v>
      </c>
      <c r="Z143" s="331"/>
      <c r="AA143" s="110"/>
      <c r="AB143" s="358"/>
      <c r="AC143" s="330"/>
      <c r="AD143" s="110"/>
      <c r="AE143" s="110"/>
      <c r="AF143" s="332"/>
      <c r="AG143" s="332"/>
      <c r="AH143" s="332"/>
      <c r="AI143" s="332"/>
    </row>
    <row r="144" spans="1:35" ht="13.5" customHeight="1">
      <c r="A144" s="4"/>
      <c r="B144" s="15" t="s">
        <v>4137</v>
      </c>
      <c r="C144" s="260" t="s">
        <v>4138</v>
      </c>
      <c r="D144" s="254">
        <f>SUMIF(GL!$D$5:$D$6505,B144,GL!$G$5:$G$6505)</f>
        <v>0</v>
      </c>
      <c r="E144" s="341">
        <f>SUMIF(GL!$D$6:$D$6487,B144,GL!$H$6:$H$6487)</f>
        <v>0</v>
      </c>
      <c r="F144" s="341">
        <f>SUMIF(GL!$D$6:$D$6487,B144,GL!$I$6:$I$6487)</f>
        <v>0</v>
      </c>
      <c r="G144" s="341"/>
      <c r="H144" s="341"/>
      <c r="I144" s="341">
        <f t="shared" si="66"/>
        <v>0</v>
      </c>
      <c r="J144" s="341">
        <f t="shared" si="67"/>
        <v>0</v>
      </c>
      <c r="K144" s="341"/>
      <c r="L144" s="342"/>
      <c r="M144" s="342"/>
      <c r="N144" s="341">
        <f t="shared" si="61"/>
        <v>0</v>
      </c>
      <c r="O144" s="341">
        <f t="shared" si="62"/>
        <v>0</v>
      </c>
      <c r="P144" s="341">
        <f>SUMIF(GL!$D$6488:$D$6532,B144,GL!$H$6488:$H$6532)</f>
        <v>0</v>
      </c>
      <c r="Q144" s="341">
        <f>SUMIF(GL!$D$6408:$D$6452,B144,GL!$I$6408:$I$6452)</f>
        <v>0</v>
      </c>
      <c r="R144" s="341">
        <f t="shared" ref="R144:S144" si="167">P144+N144</f>
        <v>0</v>
      </c>
      <c r="S144" s="341">
        <f t="shared" si="167"/>
        <v>0</v>
      </c>
      <c r="T144" s="340"/>
      <c r="U144" s="340"/>
      <c r="V144" s="340"/>
      <c r="W144" s="340"/>
      <c r="X144" s="341">
        <f t="shared" si="64"/>
        <v>0</v>
      </c>
      <c r="Y144" s="341">
        <f t="shared" si="65"/>
        <v>0</v>
      </c>
      <c r="Z144" s="331"/>
      <c r="AA144" s="110"/>
      <c r="AB144" s="358"/>
      <c r="AC144" s="330"/>
      <c r="AD144" s="110"/>
      <c r="AE144" s="110"/>
      <c r="AF144" s="332"/>
      <c r="AG144" s="332"/>
      <c r="AH144" s="332"/>
      <c r="AI144" s="332"/>
    </row>
    <row r="145" spans="1:35" ht="13.5" customHeight="1">
      <c r="A145" s="4"/>
      <c r="B145" s="15" t="s">
        <v>4139</v>
      </c>
      <c r="C145" s="340" t="s">
        <v>4140</v>
      </c>
      <c r="D145" s="254">
        <f>SUMIF(GL!$D$5:$D$6505,B145,GL!$G$5:$G$6505)</f>
        <v>0</v>
      </c>
      <c r="E145" s="341">
        <f>SUMIF(GL!$D$6:$D$6487,B145,GL!$H$6:$H$6487)</f>
        <v>0</v>
      </c>
      <c r="F145" s="341">
        <f>SUMIF(GL!$D$6:$D$6487,B145,GL!$I$6:$I$6487)</f>
        <v>0</v>
      </c>
      <c r="G145" s="341"/>
      <c r="H145" s="341"/>
      <c r="I145" s="341">
        <f t="shared" si="66"/>
        <v>0</v>
      </c>
      <c r="J145" s="341">
        <f t="shared" si="67"/>
        <v>0</v>
      </c>
      <c r="K145" s="341"/>
      <c r="L145" s="342"/>
      <c r="M145" s="342"/>
      <c r="N145" s="341">
        <f t="shared" si="61"/>
        <v>0</v>
      </c>
      <c r="O145" s="341">
        <f t="shared" si="62"/>
        <v>0</v>
      </c>
      <c r="P145" s="341">
        <f>SUMIF(GL!$D$6488:$D$6532,B145,GL!$H$6488:$H$6532)</f>
        <v>0</v>
      </c>
      <c r="Q145" s="341">
        <f>SUMIF(GL!$D$6408:$D$6452,B145,GL!$I$6408:$I$6452)</f>
        <v>0</v>
      </c>
      <c r="R145" s="341">
        <f t="shared" ref="R145:S145" si="168">P145+N145</f>
        <v>0</v>
      </c>
      <c r="S145" s="341">
        <f t="shared" si="168"/>
        <v>0</v>
      </c>
      <c r="T145" s="340"/>
      <c r="U145" s="340"/>
      <c r="V145" s="340"/>
      <c r="W145" s="340"/>
      <c r="X145" s="341">
        <f t="shared" si="64"/>
        <v>0</v>
      </c>
      <c r="Y145" s="341">
        <f t="shared" si="65"/>
        <v>0</v>
      </c>
      <c r="Z145" s="331"/>
      <c r="AA145" s="110"/>
      <c r="AB145" s="358"/>
      <c r="AC145" s="330"/>
      <c r="AD145" s="110"/>
      <c r="AE145" s="110"/>
      <c r="AF145" s="332"/>
      <c r="AG145" s="332"/>
      <c r="AH145" s="332"/>
      <c r="AI145" s="332"/>
    </row>
    <row r="146" spans="1:35" ht="13.5" customHeight="1">
      <c r="A146" s="4"/>
      <c r="B146" s="15" t="s">
        <v>2076</v>
      </c>
      <c r="C146" s="340" t="s">
        <v>2077</v>
      </c>
      <c r="D146" s="254">
        <f>SUMIF(GL!$D$5:$D$6505,B146,GL!$G$5:$G$6505)</f>
        <v>5.5</v>
      </c>
      <c r="E146" s="341">
        <f>SUMIF(GL!$D$6:$D$6487,B146,GL!$H$6:$H$6487)</f>
        <v>123750</v>
      </c>
      <c r="F146" s="341">
        <f>SUMIF(GL!$D$6:$D$6487,B146,GL!$I$6:$I$6487)</f>
        <v>0</v>
      </c>
      <c r="G146" s="341"/>
      <c r="H146" s="341"/>
      <c r="I146" s="341">
        <f t="shared" si="66"/>
        <v>123750</v>
      </c>
      <c r="J146" s="341">
        <f t="shared" si="67"/>
        <v>0</v>
      </c>
      <c r="K146" s="341"/>
      <c r="L146" s="342"/>
      <c r="M146" s="342"/>
      <c r="N146" s="341">
        <f t="shared" si="61"/>
        <v>123750</v>
      </c>
      <c r="O146" s="341">
        <f t="shared" si="62"/>
        <v>0</v>
      </c>
      <c r="P146" s="341">
        <f>SUMIF(GL!$D$6488:$D$6532,B146,GL!$H$6488:$H$6532)</f>
        <v>0</v>
      </c>
      <c r="Q146" s="341">
        <f>SUMIF(GL!$D$6408:$D$6452,B146,GL!$I$6408:$I$6452)</f>
        <v>0</v>
      </c>
      <c r="R146" s="341">
        <f t="shared" ref="R146:S146" si="169">P146+N146</f>
        <v>123750</v>
      </c>
      <c r="S146" s="341">
        <f t="shared" si="169"/>
        <v>0</v>
      </c>
      <c r="T146" s="340"/>
      <c r="U146" s="340"/>
      <c r="V146" s="340"/>
      <c r="W146" s="340"/>
      <c r="X146" s="341">
        <f t="shared" si="64"/>
        <v>123750</v>
      </c>
      <c r="Y146" s="341">
        <f t="shared" si="65"/>
        <v>0</v>
      </c>
      <c r="Z146" s="331"/>
      <c r="AA146" s="110"/>
      <c r="AB146" s="358"/>
      <c r="AC146" s="330"/>
      <c r="AD146" s="110"/>
      <c r="AE146" s="110"/>
      <c r="AF146" s="332"/>
      <c r="AG146" s="332"/>
      <c r="AH146" s="332"/>
      <c r="AI146" s="332"/>
    </row>
    <row r="147" spans="1:35" ht="13.5" customHeight="1">
      <c r="A147" s="4"/>
      <c r="B147" s="15" t="s">
        <v>2083</v>
      </c>
      <c r="C147" s="340" t="s">
        <v>4141</v>
      </c>
      <c r="D147" s="254">
        <f>SUMIF(GL!$D$5:$D$6505,B147,GL!$G$5:$G$6505)</f>
        <v>2.25</v>
      </c>
      <c r="E147" s="341">
        <f>SUMIF(GL!$D$6:$D$6487,B147,GL!$H$6:$H$6487)</f>
        <v>150000</v>
      </c>
      <c r="F147" s="341">
        <f>SUMIF(GL!$D$6:$D$6487,B147,GL!$I$6:$I$6487)</f>
        <v>0</v>
      </c>
      <c r="G147" s="341"/>
      <c r="H147" s="341"/>
      <c r="I147" s="341">
        <f t="shared" si="66"/>
        <v>150000</v>
      </c>
      <c r="J147" s="341">
        <f t="shared" si="67"/>
        <v>0</v>
      </c>
      <c r="K147" s="341"/>
      <c r="L147" s="342"/>
      <c r="M147" s="342"/>
      <c r="N147" s="341">
        <f t="shared" si="61"/>
        <v>150000</v>
      </c>
      <c r="O147" s="341">
        <f t="shared" si="62"/>
        <v>0</v>
      </c>
      <c r="P147" s="341">
        <f>SUMIF(GL!$D$6488:$D$6532,B147,GL!$H$6488:$H$6532)</f>
        <v>0</v>
      </c>
      <c r="Q147" s="341">
        <f>SUMIF(GL!$D$6408:$D$6452,B147,GL!$I$6408:$I$6452)</f>
        <v>0</v>
      </c>
      <c r="R147" s="341">
        <f t="shared" ref="R147:S147" si="170">P147+N147</f>
        <v>150000</v>
      </c>
      <c r="S147" s="341">
        <f t="shared" si="170"/>
        <v>0</v>
      </c>
      <c r="T147" s="340"/>
      <c r="U147" s="340"/>
      <c r="V147" s="340"/>
      <c r="W147" s="340"/>
      <c r="X147" s="341">
        <f t="shared" si="64"/>
        <v>150000</v>
      </c>
      <c r="Y147" s="341">
        <f t="shared" si="65"/>
        <v>0</v>
      </c>
      <c r="Z147" s="331"/>
      <c r="AA147" s="110"/>
      <c r="AB147" s="358"/>
      <c r="AC147" s="330"/>
      <c r="AD147" s="110"/>
      <c r="AE147" s="110"/>
      <c r="AF147" s="332"/>
      <c r="AG147" s="332"/>
      <c r="AH147" s="332"/>
      <c r="AI147" s="332"/>
    </row>
    <row r="148" spans="1:35" ht="13.5" customHeight="1">
      <c r="A148" s="4"/>
      <c r="B148" s="15" t="s">
        <v>1941</v>
      </c>
      <c r="C148" s="340" t="s">
        <v>4142</v>
      </c>
      <c r="D148" s="254">
        <f>SUMIF(GL!$D$5:$D$6505,B148,GL!$G$5:$G$6505)</f>
        <v>1.81</v>
      </c>
      <c r="E148" s="341">
        <f>SUMIF(GL!$D$6:$D$6487,B148,GL!$H$6:$H$6487)</f>
        <v>69400</v>
      </c>
      <c r="F148" s="341">
        <f>SUMIF(GL!$D$6:$D$6487,B148,GL!$I$6:$I$6487)</f>
        <v>0</v>
      </c>
      <c r="G148" s="341"/>
      <c r="H148" s="341"/>
      <c r="I148" s="341">
        <f t="shared" si="66"/>
        <v>69400</v>
      </c>
      <c r="J148" s="341">
        <f t="shared" si="67"/>
        <v>0</v>
      </c>
      <c r="K148" s="341"/>
      <c r="L148" s="342"/>
      <c r="M148" s="342"/>
      <c r="N148" s="341">
        <f t="shared" si="61"/>
        <v>69400</v>
      </c>
      <c r="O148" s="341">
        <f t="shared" si="62"/>
        <v>0</v>
      </c>
      <c r="P148" s="341">
        <f>SUMIF(GL!$D$6488:$D$6532,B148,GL!$H$6488:$H$6532)</f>
        <v>0</v>
      </c>
      <c r="Q148" s="341">
        <f>SUMIF(GL!$D$6408:$D$6452,B148,GL!$I$6408:$I$6452)</f>
        <v>0</v>
      </c>
      <c r="R148" s="341">
        <f t="shared" ref="R148:S148" si="171">P148+N148</f>
        <v>69400</v>
      </c>
      <c r="S148" s="341">
        <f t="shared" si="171"/>
        <v>0</v>
      </c>
      <c r="T148" s="340"/>
      <c r="U148" s="340"/>
      <c r="V148" s="340"/>
      <c r="W148" s="340"/>
      <c r="X148" s="341">
        <f t="shared" si="64"/>
        <v>69400</v>
      </c>
      <c r="Y148" s="341">
        <f t="shared" si="65"/>
        <v>0</v>
      </c>
      <c r="Z148" s="331"/>
      <c r="AA148" s="110"/>
      <c r="AB148" s="358"/>
      <c r="AC148" s="330"/>
      <c r="AD148" s="110"/>
      <c r="AE148" s="110"/>
      <c r="AF148" s="332"/>
      <c r="AG148" s="332"/>
      <c r="AH148" s="332"/>
      <c r="AI148" s="332"/>
    </row>
    <row r="149" spans="1:35" ht="13.5" customHeight="1">
      <c r="A149" s="4"/>
      <c r="B149" s="15" t="s">
        <v>2104</v>
      </c>
      <c r="C149" s="340" t="s">
        <v>4143</v>
      </c>
      <c r="D149" s="254">
        <f>SUMIF(GL!$D$5:$D$6505,B149,GL!$G$5:$G$6505)</f>
        <v>3.7</v>
      </c>
      <c r="E149" s="341">
        <f>SUMIF(GL!$D$6:$D$6487,B149,GL!$H$6:$H$6487)</f>
        <v>105200</v>
      </c>
      <c r="F149" s="341">
        <f>SUMIF(GL!$D$6:$D$6487,B149,GL!$I$6:$I$6487)</f>
        <v>0</v>
      </c>
      <c r="G149" s="341"/>
      <c r="H149" s="341"/>
      <c r="I149" s="341">
        <f t="shared" si="66"/>
        <v>105200</v>
      </c>
      <c r="J149" s="341">
        <f t="shared" si="67"/>
        <v>0</v>
      </c>
      <c r="K149" s="341"/>
      <c r="L149" s="342"/>
      <c r="M149" s="342"/>
      <c r="N149" s="341">
        <f t="shared" si="61"/>
        <v>105200</v>
      </c>
      <c r="O149" s="341">
        <f t="shared" si="62"/>
        <v>0</v>
      </c>
      <c r="P149" s="341">
        <f>SUMIF(GL!$D$6488:$D$6532,B149,GL!$H$6488:$H$6532)</f>
        <v>0</v>
      </c>
      <c r="Q149" s="341">
        <f>SUMIF(GL!$D$6408:$D$6452,B149,GL!$I$6408:$I$6452)</f>
        <v>0</v>
      </c>
      <c r="R149" s="341">
        <f t="shared" ref="R149:S149" si="172">P149+N149</f>
        <v>105200</v>
      </c>
      <c r="S149" s="341">
        <f t="shared" si="172"/>
        <v>0</v>
      </c>
      <c r="T149" s="340"/>
      <c r="U149" s="340"/>
      <c r="V149" s="340"/>
      <c r="W149" s="340"/>
      <c r="X149" s="341">
        <f t="shared" si="64"/>
        <v>105200</v>
      </c>
      <c r="Y149" s="341">
        <f t="shared" si="65"/>
        <v>0</v>
      </c>
      <c r="Z149" s="331"/>
      <c r="AA149" s="110"/>
      <c r="AB149" s="358"/>
      <c r="AC149" s="330"/>
      <c r="AD149" s="110"/>
      <c r="AE149" s="110"/>
      <c r="AF149" s="332"/>
      <c r="AG149" s="332"/>
      <c r="AH149" s="332"/>
      <c r="AI149" s="332"/>
    </row>
    <row r="150" spans="1:35" ht="13.5" customHeight="1">
      <c r="A150" s="4"/>
      <c r="B150" s="15" t="s">
        <v>4144</v>
      </c>
      <c r="C150" s="340" t="s">
        <v>4145</v>
      </c>
      <c r="D150" s="254">
        <f>SUMIF(GL!$D$5:$D$6505,B150,GL!$G$5:$G$6505)</f>
        <v>0</v>
      </c>
      <c r="E150" s="341">
        <f>SUMIF(GL!$D$6:$D$6487,B150,GL!$H$6:$H$6487)</f>
        <v>0</v>
      </c>
      <c r="F150" s="341">
        <f>SUMIF(GL!$D$6:$D$6487,B150,GL!$I$6:$I$6487)</f>
        <v>0</v>
      </c>
      <c r="G150" s="341"/>
      <c r="H150" s="341"/>
      <c r="I150" s="341">
        <f t="shared" si="66"/>
        <v>0</v>
      </c>
      <c r="J150" s="341">
        <f t="shared" si="67"/>
        <v>0</v>
      </c>
      <c r="K150" s="341"/>
      <c r="L150" s="342"/>
      <c r="M150" s="342"/>
      <c r="N150" s="341">
        <f t="shared" si="61"/>
        <v>0</v>
      </c>
      <c r="O150" s="341">
        <f t="shared" si="62"/>
        <v>0</v>
      </c>
      <c r="P150" s="341">
        <f>SUMIF(GL!$D$6488:$D$6532,B150,GL!$H$6488:$H$6532)</f>
        <v>0</v>
      </c>
      <c r="Q150" s="341">
        <f>SUMIF(GL!$D$6408:$D$6452,B150,GL!$I$6408:$I$6452)</f>
        <v>0</v>
      </c>
      <c r="R150" s="341">
        <f t="shared" ref="R150:S150" si="173">P150+N150</f>
        <v>0</v>
      </c>
      <c r="S150" s="341">
        <f t="shared" si="173"/>
        <v>0</v>
      </c>
      <c r="T150" s="340"/>
      <c r="U150" s="340"/>
      <c r="V150" s="340"/>
      <c r="W150" s="340"/>
      <c r="X150" s="341">
        <f t="shared" si="64"/>
        <v>0</v>
      </c>
      <c r="Y150" s="341">
        <f t="shared" si="65"/>
        <v>0</v>
      </c>
      <c r="Z150" s="331"/>
      <c r="AA150" s="110"/>
      <c r="AB150" s="358"/>
      <c r="AC150" s="330"/>
      <c r="AD150" s="110"/>
      <c r="AE150" s="110"/>
      <c r="AF150" s="332"/>
      <c r="AG150" s="332"/>
      <c r="AH150" s="332"/>
      <c r="AI150" s="332"/>
    </row>
    <row r="151" spans="1:35" ht="13.5" customHeight="1">
      <c r="A151" s="4"/>
      <c r="B151" s="15" t="s">
        <v>2186</v>
      </c>
      <c r="C151" s="340" t="s">
        <v>4146</v>
      </c>
      <c r="D151" s="254">
        <f>SUMIF(GL!$D$5:$D$6505,B151,GL!$G$5:$G$6505)</f>
        <v>10</v>
      </c>
      <c r="E151" s="341">
        <f>SUMIF(GL!$D$6:$D$6487,B151,GL!$H$6:$H$6487)</f>
        <v>172400</v>
      </c>
      <c r="F151" s="341">
        <f>SUMIF(GL!$D$6:$D$6487,B151,GL!$I$6:$I$6487)</f>
        <v>0</v>
      </c>
      <c r="G151" s="341"/>
      <c r="H151" s="341"/>
      <c r="I151" s="341">
        <f t="shared" si="66"/>
        <v>172400</v>
      </c>
      <c r="J151" s="341">
        <f t="shared" si="67"/>
        <v>0</v>
      </c>
      <c r="K151" s="341"/>
      <c r="L151" s="342"/>
      <c r="M151" s="342"/>
      <c r="N151" s="341">
        <f t="shared" si="61"/>
        <v>172400</v>
      </c>
      <c r="O151" s="341">
        <f t="shared" si="62"/>
        <v>0</v>
      </c>
      <c r="P151" s="341">
        <f>SUMIF(GL!$D$6488:$D$6532,B151,GL!$H$6488:$H$6532)</f>
        <v>0</v>
      </c>
      <c r="Q151" s="341">
        <f>SUMIF(GL!$D$6408:$D$6452,B151,GL!$I$6408:$I$6452)</f>
        <v>0</v>
      </c>
      <c r="R151" s="341">
        <f t="shared" ref="R151:S151" si="174">P151+N151</f>
        <v>172400</v>
      </c>
      <c r="S151" s="341">
        <f t="shared" si="174"/>
        <v>0</v>
      </c>
      <c r="T151" s="340"/>
      <c r="U151" s="340"/>
      <c r="V151" s="340"/>
      <c r="W151" s="340"/>
      <c r="X151" s="341">
        <f t="shared" si="64"/>
        <v>172400</v>
      </c>
      <c r="Y151" s="341">
        <f t="shared" si="65"/>
        <v>0</v>
      </c>
      <c r="Z151" s="331"/>
      <c r="AA151" s="110"/>
      <c r="AB151" s="358"/>
      <c r="AC151" s="330"/>
      <c r="AD151" s="110"/>
      <c r="AE151" s="110"/>
      <c r="AF151" s="332"/>
      <c r="AG151" s="332"/>
      <c r="AH151" s="332"/>
      <c r="AI151" s="332"/>
    </row>
    <row r="152" spans="1:35" ht="13.5" customHeight="1">
      <c r="A152" s="4"/>
      <c r="B152" s="15" t="s">
        <v>2278</v>
      </c>
      <c r="C152" s="340" t="s">
        <v>4147</v>
      </c>
      <c r="D152" s="254">
        <f>SUMIF(GL!$D$5:$D$6505,B152,GL!$G$5:$G$6505)</f>
        <v>0.75</v>
      </c>
      <c r="E152" s="341">
        <f>SUMIF(GL!$D$6:$D$6487,B152,GL!$H$6:$H$6487)</f>
        <v>48750</v>
      </c>
      <c r="F152" s="341">
        <f>SUMIF(GL!$D$6:$D$6487,B152,GL!$I$6:$I$6487)</f>
        <v>0</v>
      </c>
      <c r="G152" s="341"/>
      <c r="H152" s="341"/>
      <c r="I152" s="341">
        <f t="shared" si="66"/>
        <v>48750</v>
      </c>
      <c r="J152" s="341">
        <f t="shared" si="67"/>
        <v>0</v>
      </c>
      <c r="K152" s="341"/>
      <c r="L152" s="342"/>
      <c r="M152" s="342"/>
      <c r="N152" s="341">
        <f t="shared" si="61"/>
        <v>48750</v>
      </c>
      <c r="O152" s="341">
        <f t="shared" si="62"/>
        <v>0</v>
      </c>
      <c r="P152" s="341">
        <f>SUMIF(GL!$D$6488:$D$6532,B152,GL!$H$6488:$H$6532)</f>
        <v>0</v>
      </c>
      <c r="Q152" s="341">
        <f>SUMIF(GL!$D$6408:$D$6452,B152,GL!$I$6408:$I$6452)</f>
        <v>0</v>
      </c>
      <c r="R152" s="341">
        <f t="shared" ref="R152:S152" si="175">P152+N152</f>
        <v>48750</v>
      </c>
      <c r="S152" s="341">
        <f t="shared" si="175"/>
        <v>0</v>
      </c>
      <c r="T152" s="340"/>
      <c r="U152" s="340"/>
      <c r="V152" s="340"/>
      <c r="W152" s="340"/>
      <c r="X152" s="341">
        <f t="shared" si="64"/>
        <v>48750</v>
      </c>
      <c r="Y152" s="341">
        <f t="shared" si="65"/>
        <v>0</v>
      </c>
      <c r="Z152" s="331"/>
      <c r="AA152" s="110"/>
      <c r="AB152" s="358"/>
      <c r="AC152" s="330"/>
      <c r="AD152" s="110"/>
      <c r="AE152" s="110"/>
      <c r="AF152" s="332"/>
      <c r="AG152" s="332"/>
      <c r="AH152" s="332"/>
      <c r="AI152" s="332"/>
    </row>
    <row r="153" spans="1:35" ht="13.5" customHeight="1">
      <c r="A153" s="4"/>
      <c r="B153" s="15" t="s">
        <v>2102</v>
      </c>
      <c r="C153" s="340" t="s">
        <v>4148</v>
      </c>
      <c r="D153" s="254">
        <f>SUMIF(GL!$D$5:$D$6505,B153,GL!$G$5:$G$6505)</f>
        <v>1.7</v>
      </c>
      <c r="E153" s="341">
        <f>SUMIF(GL!$D$6:$D$6487,B153,GL!$H$6:$H$6487)</f>
        <v>85000</v>
      </c>
      <c r="F153" s="341">
        <f>SUMIF(GL!$D$6:$D$6487,B153,GL!$I$6:$I$6487)</f>
        <v>0</v>
      </c>
      <c r="G153" s="341"/>
      <c r="H153" s="341"/>
      <c r="I153" s="341">
        <f t="shared" si="66"/>
        <v>85000</v>
      </c>
      <c r="J153" s="341">
        <f t="shared" si="67"/>
        <v>0</v>
      </c>
      <c r="K153" s="341"/>
      <c r="L153" s="342"/>
      <c r="M153" s="342"/>
      <c r="N153" s="341">
        <f t="shared" si="61"/>
        <v>85000</v>
      </c>
      <c r="O153" s="341">
        <f t="shared" si="62"/>
        <v>0</v>
      </c>
      <c r="P153" s="341">
        <f>SUMIF(GL!$D$6488:$D$6532,B153,GL!$H$6488:$H$6532)</f>
        <v>0</v>
      </c>
      <c r="Q153" s="341">
        <f>SUMIF(GL!$D$6408:$D$6452,B153,GL!$I$6408:$I$6452)</f>
        <v>0</v>
      </c>
      <c r="R153" s="341">
        <f t="shared" ref="R153:S153" si="176">P153+N153</f>
        <v>85000</v>
      </c>
      <c r="S153" s="341">
        <f t="shared" si="176"/>
        <v>0</v>
      </c>
      <c r="T153" s="340"/>
      <c r="U153" s="340"/>
      <c r="V153" s="340"/>
      <c r="W153" s="340"/>
      <c r="X153" s="341">
        <f t="shared" si="64"/>
        <v>85000</v>
      </c>
      <c r="Y153" s="341">
        <f t="shared" si="65"/>
        <v>0</v>
      </c>
      <c r="Z153" s="331"/>
      <c r="AA153" s="110"/>
      <c r="AB153" s="358"/>
      <c r="AC153" s="330"/>
      <c r="AD153" s="110"/>
      <c r="AE153" s="110"/>
      <c r="AF153" s="332"/>
      <c r="AG153" s="332"/>
      <c r="AH153" s="332"/>
      <c r="AI153" s="332"/>
    </row>
    <row r="154" spans="1:35" ht="13.5" customHeight="1">
      <c r="A154" s="4"/>
      <c r="B154" s="15" t="s">
        <v>4149</v>
      </c>
      <c r="C154" s="260" t="s">
        <v>4150</v>
      </c>
      <c r="D154" s="254">
        <f>SUMIF(GL!$D$5:$D$6505,B154,GL!$G$5:$G$6505)</f>
        <v>0</v>
      </c>
      <c r="E154" s="341">
        <f>SUMIF(GL!$D$6:$D$6487,B154,GL!$H$6:$H$6487)</f>
        <v>0</v>
      </c>
      <c r="F154" s="341">
        <f>SUMIF(GL!$D$6:$D$6487,B154,GL!$I$6:$I$6487)</f>
        <v>0</v>
      </c>
      <c r="G154" s="341"/>
      <c r="H154" s="341"/>
      <c r="I154" s="341">
        <f t="shared" si="66"/>
        <v>0</v>
      </c>
      <c r="J154" s="341">
        <f t="shared" si="67"/>
        <v>0</v>
      </c>
      <c r="K154" s="341"/>
      <c r="L154" s="342"/>
      <c r="M154" s="342"/>
      <c r="N154" s="341">
        <f t="shared" si="61"/>
        <v>0</v>
      </c>
      <c r="O154" s="341">
        <f t="shared" si="62"/>
        <v>0</v>
      </c>
      <c r="P154" s="341">
        <f>SUMIF(GL!$D$6488:$D$6532,B154,GL!$H$6488:$H$6532)</f>
        <v>0</v>
      </c>
      <c r="Q154" s="341">
        <f>SUMIF(GL!$D$6408:$D$6452,B154,GL!$I$6408:$I$6452)</f>
        <v>0</v>
      </c>
      <c r="R154" s="341">
        <f t="shared" ref="R154:S154" si="177">P154+N154</f>
        <v>0</v>
      </c>
      <c r="S154" s="341">
        <f t="shared" si="177"/>
        <v>0</v>
      </c>
      <c r="T154" s="340"/>
      <c r="U154" s="340"/>
      <c r="V154" s="340"/>
      <c r="W154" s="340"/>
      <c r="X154" s="341">
        <f t="shared" si="64"/>
        <v>0</v>
      </c>
      <c r="Y154" s="341">
        <f t="shared" si="65"/>
        <v>0</v>
      </c>
      <c r="Z154" s="331"/>
      <c r="AA154" s="110"/>
      <c r="AB154" s="358"/>
      <c r="AC154" s="330"/>
      <c r="AD154" s="110"/>
      <c r="AE154" s="110"/>
      <c r="AF154" s="332"/>
      <c r="AG154" s="332"/>
      <c r="AH154" s="332"/>
      <c r="AI154" s="332"/>
    </row>
    <row r="155" spans="1:35" ht="13.5" customHeight="1">
      <c r="A155" s="4"/>
      <c r="B155" s="15" t="s">
        <v>2907</v>
      </c>
      <c r="C155" s="340" t="s">
        <v>4151</v>
      </c>
      <c r="D155" s="254">
        <f>SUMIF(GL!$D$5:$D$6505,B155,GL!$G$5:$G$6505)</f>
        <v>36</v>
      </c>
      <c r="E155" s="341">
        <f>SUMIF(GL!$D$6:$D$6487,B155,GL!$H$6:$H$6487)</f>
        <v>120000</v>
      </c>
      <c r="F155" s="341">
        <f>SUMIF(GL!$D$6:$D$6487,B155,GL!$I$6:$I$6487)</f>
        <v>0</v>
      </c>
      <c r="G155" s="341"/>
      <c r="H155" s="341"/>
      <c r="I155" s="341">
        <f t="shared" si="66"/>
        <v>120000</v>
      </c>
      <c r="J155" s="341">
        <f t="shared" si="67"/>
        <v>0</v>
      </c>
      <c r="K155" s="341"/>
      <c r="L155" s="342"/>
      <c r="M155" s="342"/>
      <c r="N155" s="341">
        <f t="shared" si="61"/>
        <v>120000</v>
      </c>
      <c r="O155" s="341">
        <f t="shared" si="62"/>
        <v>0</v>
      </c>
      <c r="P155" s="341">
        <f>SUMIF(GL!$D$6488:$D$6532,B155,GL!$H$6488:$H$6532)</f>
        <v>0</v>
      </c>
      <c r="Q155" s="341">
        <f>SUMIF(GL!$D$6408:$D$6452,B155,GL!$I$6408:$I$6452)</f>
        <v>0</v>
      </c>
      <c r="R155" s="341">
        <f t="shared" ref="R155:S155" si="178">P155+N155</f>
        <v>120000</v>
      </c>
      <c r="S155" s="341">
        <f t="shared" si="178"/>
        <v>0</v>
      </c>
      <c r="T155" s="340"/>
      <c r="U155" s="340"/>
      <c r="V155" s="340"/>
      <c r="W155" s="340"/>
      <c r="X155" s="341">
        <f t="shared" si="64"/>
        <v>120000</v>
      </c>
      <c r="Y155" s="341">
        <f t="shared" si="65"/>
        <v>0</v>
      </c>
      <c r="Z155" s="331"/>
      <c r="AA155" s="110"/>
      <c r="AB155" s="358"/>
      <c r="AC155" s="330"/>
      <c r="AD155" s="110"/>
      <c r="AE155" s="110"/>
      <c r="AF155" s="332"/>
      <c r="AG155" s="332"/>
      <c r="AH155" s="332"/>
      <c r="AI155" s="332"/>
    </row>
    <row r="156" spans="1:35" ht="13.5" customHeight="1">
      <c r="A156" s="4"/>
      <c r="B156" s="15" t="s">
        <v>2081</v>
      </c>
      <c r="C156" s="340" t="s">
        <v>4152</v>
      </c>
      <c r="D156" s="254">
        <f>SUMIF(GL!$D$5:$D$6505,B156,GL!$G$5:$G$6505)</f>
        <v>2.75</v>
      </c>
      <c r="E156" s="341">
        <f>SUMIF(GL!$D$6:$D$6487,B156,GL!$H$6:$H$6487)</f>
        <v>44000</v>
      </c>
      <c r="F156" s="341">
        <f>SUMIF(GL!$D$6:$D$6487,B156,GL!$I$6:$I$6487)</f>
        <v>0</v>
      </c>
      <c r="G156" s="341"/>
      <c r="H156" s="341"/>
      <c r="I156" s="341">
        <f t="shared" si="66"/>
        <v>44000</v>
      </c>
      <c r="J156" s="341">
        <f t="shared" si="67"/>
        <v>0</v>
      </c>
      <c r="K156" s="341"/>
      <c r="L156" s="342"/>
      <c r="M156" s="342"/>
      <c r="N156" s="341">
        <f t="shared" si="61"/>
        <v>44000</v>
      </c>
      <c r="O156" s="341">
        <f t="shared" si="62"/>
        <v>0</v>
      </c>
      <c r="P156" s="341">
        <f>SUMIF(GL!$D$6488:$D$6532,B156,GL!$H$6488:$H$6532)</f>
        <v>0</v>
      </c>
      <c r="Q156" s="341">
        <f>SUMIF(GL!$D$6408:$D$6452,B156,GL!$I$6408:$I$6452)</f>
        <v>0</v>
      </c>
      <c r="R156" s="341">
        <f t="shared" ref="R156:S156" si="179">P156+N156</f>
        <v>44000</v>
      </c>
      <c r="S156" s="341">
        <f t="shared" si="179"/>
        <v>0</v>
      </c>
      <c r="T156" s="340"/>
      <c r="U156" s="340"/>
      <c r="V156" s="340"/>
      <c r="W156" s="340"/>
      <c r="X156" s="341">
        <f t="shared" si="64"/>
        <v>44000</v>
      </c>
      <c r="Y156" s="341">
        <f t="shared" si="65"/>
        <v>0</v>
      </c>
      <c r="Z156" s="331"/>
      <c r="AA156" s="110"/>
      <c r="AB156" s="358"/>
      <c r="AC156" s="330"/>
      <c r="AD156" s="110"/>
      <c r="AE156" s="110"/>
      <c r="AF156" s="332"/>
      <c r="AG156" s="332"/>
      <c r="AH156" s="332"/>
      <c r="AI156" s="332"/>
    </row>
    <row r="157" spans="1:35" ht="13.5" customHeight="1">
      <c r="A157" s="4"/>
      <c r="B157" s="15" t="s">
        <v>1890</v>
      </c>
      <c r="C157" s="340" t="s">
        <v>4153</v>
      </c>
      <c r="D157" s="254">
        <f>SUMIF(GL!$D$5:$D$6505,B157,GL!$G$5:$G$6505)</f>
        <v>9.5400000000000009</v>
      </c>
      <c r="E157" s="341">
        <f>SUMIF(GL!$D$6:$D$6487,B157,GL!$H$6:$H$6487)</f>
        <v>375200</v>
      </c>
      <c r="F157" s="341">
        <f>SUMIF(GL!$D$6:$D$6487,B157,GL!$I$6:$I$6487)</f>
        <v>0</v>
      </c>
      <c r="G157" s="341"/>
      <c r="H157" s="341"/>
      <c r="I157" s="341">
        <f t="shared" si="66"/>
        <v>375200</v>
      </c>
      <c r="J157" s="341">
        <f t="shared" si="67"/>
        <v>0</v>
      </c>
      <c r="K157" s="341"/>
      <c r="L157" s="342"/>
      <c r="M157" s="342"/>
      <c r="N157" s="341">
        <f t="shared" si="61"/>
        <v>375200</v>
      </c>
      <c r="O157" s="341">
        <f t="shared" si="62"/>
        <v>0</v>
      </c>
      <c r="P157" s="341">
        <f>SUMIF(GL!$D$6488:$D$6532,B157,GL!$H$6488:$H$6532)</f>
        <v>0</v>
      </c>
      <c r="Q157" s="341">
        <f>SUMIF(GL!$D$6408:$D$6452,B157,GL!$I$6408:$I$6452)</f>
        <v>0</v>
      </c>
      <c r="R157" s="341">
        <f t="shared" ref="R157:S157" si="180">P157+N157</f>
        <v>375200</v>
      </c>
      <c r="S157" s="341">
        <f t="shared" si="180"/>
        <v>0</v>
      </c>
      <c r="T157" s="340"/>
      <c r="U157" s="340"/>
      <c r="V157" s="340"/>
      <c r="W157" s="340"/>
      <c r="X157" s="341">
        <f t="shared" si="64"/>
        <v>375200</v>
      </c>
      <c r="Y157" s="341">
        <f t="shared" si="65"/>
        <v>0</v>
      </c>
      <c r="Z157" s="331"/>
      <c r="AA157" s="110"/>
      <c r="AB157" s="358"/>
      <c r="AC157" s="330"/>
      <c r="AD157" s="110"/>
      <c r="AE157" s="110"/>
      <c r="AF157" s="332"/>
      <c r="AG157" s="332"/>
      <c r="AH157" s="332"/>
      <c r="AI157" s="332"/>
    </row>
    <row r="158" spans="1:35" ht="13.5" customHeight="1">
      <c r="A158" s="4"/>
      <c r="B158" s="15" t="s">
        <v>2108</v>
      </c>
      <c r="C158" s="340" t="s">
        <v>4154</v>
      </c>
      <c r="D158" s="254">
        <f>SUMIF(GL!$D$5:$D$6505,B158,GL!$G$5:$G$6505)</f>
        <v>12.2</v>
      </c>
      <c r="E158" s="341">
        <f>SUMIF(GL!$D$6:$D$6487,B158,GL!$H$6:$H$6487)</f>
        <v>172600</v>
      </c>
      <c r="F158" s="341">
        <f>SUMIF(GL!$D$6:$D$6487,B158,GL!$I$6:$I$6487)</f>
        <v>0</v>
      </c>
      <c r="G158" s="341"/>
      <c r="H158" s="341"/>
      <c r="I158" s="341">
        <f t="shared" si="66"/>
        <v>172600</v>
      </c>
      <c r="J158" s="341">
        <f t="shared" si="67"/>
        <v>0</v>
      </c>
      <c r="K158" s="341"/>
      <c r="L158" s="342"/>
      <c r="M158" s="342"/>
      <c r="N158" s="341">
        <f t="shared" si="61"/>
        <v>172600</v>
      </c>
      <c r="O158" s="341">
        <f t="shared" si="62"/>
        <v>0</v>
      </c>
      <c r="P158" s="341">
        <f>SUMIF(GL!$D$6488:$D$6532,B158,GL!$H$6488:$H$6532)</f>
        <v>0</v>
      </c>
      <c r="Q158" s="341">
        <f>SUMIF(GL!$D$6408:$D$6452,B158,GL!$I$6408:$I$6452)</f>
        <v>0</v>
      </c>
      <c r="R158" s="341">
        <f t="shared" ref="R158:S158" si="181">P158+N158</f>
        <v>172600</v>
      </c>
      <c r="S158" s="341">
        <f t="shared" si="181"/>
        <v>0</v>
      </c>
      <c r="T158" s="340"/>
      <c r="U158" s="340"/>
      <c r="V158" s="340"/>
      <c r="W158" s="340"/>
      <c r="X158" s="341">
        <f t="shared" si="64"/>
        <v>172600</v>
      </c>
      <c r="Y158" s="341">
        <f t="shared" si="65"/>
        <v>0</v>
      </c>
      <c r="Z158" s="331"/>
      <c r="AA158" s="110"/>
      <c r="AB158" s="358"/>
      <c r="AC158" s="330"/>
      <c r="AD158" s="110"/>
      <c r="AE158" s="110"/>
      <c r="AF158" s="332"/>
      <c r="AG158" s="332"/>
      <c r="AH158" s="332"/>
      <c r="AI158" s="332"/>
    </row>
    <row r="159" spans="1:35" ht="13.5" customHeight="1">
      <c r="A159" s="4"/>
      <c r="B159" s="15" t="s">
        <v>4155</v>
      </c>
      <c r="C159" s="340" t="s">
        <v>4156</v>
      </c>
      <c r="D159" s="254">
        <f>SUMIF(GL!$D$5:$D$6505,B159,GL!$G$5:$G$6505)</f>
        <v>0</v>
      </c>
      <c r="E159" s="341">
        <f>SUMIF(GL!$D$6:$D$6487,B159,GL!$H$6:$H$6487)</f>
        <v>0</v>
      </c>
      <c r="F159" s="341">
        <f>SUMIF(GL!$D$6:$D$6487,B159,GL!$I$6:$I$6487)</f>
        <v>0</v>
      </c>
      <c r="G159" s="341"/>
      <c r="H159" s="341"/>
      <c r="I159" s="341">
        <f t="shared" si="66"/>
        <v>0</v>
      </c>
      <c r="J159" s="341">
        <f t="shared" si="67"/>
        <v>0</v>
      </c>
      <c r="K159" s="341"/>
      <c r="L159" s="342"/>
      <c r="M159" s="342"/>
      <c r="N159" s="341">
        <f t="shared" si="61"/>
        <v>0</v>
      </c>
      <c r="O159" s="341">
        <f t="shared" si="62"/>
        <v>0</v>
      </c>
      <c r="P159" s="341">
        <f>SUMIF(GL!$D$6488:$D$6532,B159,GL!$H$6488:$H$6532)</f>
        <v>0</v>
      </c>
      <c r="Q159" s="341">
        <f>SUMIF(GL!$D$6408:$D$6452,B159,GL!$I$6408:$I$6452)</f>
        <v>0</v>
      </c>
      <c r="R159" s="341">
        <f t="shared" ref="R159:S159" si="182">P159+N159</f>
        <v>0</v>
      </c>
      <c r="S159" s="341">
        <f t="shared" si="182"/>
        <v>0</v>
      </c>
      <c r="T159" s="340"/>
      <c r="U159" s="340"/>
      <c r="V159" s="340"/>
      <c r="W159" s="340"/>
      <c r="X159" s="341">
        <f t="shared" si="64"/>
        <v>0</v>
      </c>
      <c r="Y159" s="341">
        <f t="shared" si="65"/>
        <v>0</v>
      </c>
      <c r="Z159" s="331"/>
      <c r="AA159" s="110"/>
      <c r="AB159" s="358"/>
      <c r="AC159" s="330"/>
      <c r="AD159" s="110"/>
      <c r="AE159" s="110"/>
      <c r="AF159" s="332"/>
      <c r="AG159" s="332"/>
      <c r="AH159" s="332"/>
      <c r="AI159" s="332"/>
    </row>
    <row r="160" spans="1:35" ht="13.5" customHeight="1">
      <c r="A160" s="4"/>
      <c r="B160" s="15" t="s">
        <v>2087</v>
      </c>
      <c r="C160" s="340" t="s">
        <v>4157</v>
      </c>
      <c r="D160" s="254">
        <f>SUMIF(GL!$D$5:$D$6505,B160,GL!$G$5:$G$6505)</f>
        <v>53</v>
      </c>
      <c r="E160" s="341">
        <f>SUMIF(GL!$D$6:$D$6487,B160,GL!$H$6:$H$6487)</f>
        <v>901000</v>
      </c>
      <c r="F160" s="341">
        <f>SUMIF(GL!$D$6:$D$6487,B160,GL!$I$6:$I$6487)</f>
        <v>0</v>
      </c>
      <c r="G160" s="341"/>
      <c r="H160" s="341"/>
      <c r="I160" s="341">
        <f t="shared" si="66"/>
        <v>901000</v>
      </c>
      <c r="J160" s="341">
        <f t="shared" si="67"/>
        <v>0</v>
      </c>
      <c r="K160" s="341"/>
      <c r="L160" s="342"/>
      <c r="M160" s="342"/>
      <c r="N160" s="341">
        <f t="shared" si="61"/>
        <v>901000</v>
      </c>
      <c r="O160" s="341">
        <f t="shared" si="62"/>
        <v>0</v>
      </c>
      <c r="P160" s="341">
        <f>SUMIF(GL!$D$6488:$D$6532,B160,GL!$H$6488:$H$6532)</f>
        <v>0</v>
      </c>
      <c r="Q160" s="341">
        <f>SUMIF(GL!$D$6408:$D$6452,B160,GL!$I$6408:$I$6452)</f>
        <v>0</v>
      </c>
      <c r="R160" s="341">
        <f t="shared" ref="R160:S160" si="183">P160+N160</f>
        <v>901000</v>
      </c>
      <c r="S160" s="341">
        <f t="shared" si="183"/>
        <v>0</v>
      </c>
      <c r="T160" s="340"/>
      <c r="U160" s="340"/>
      <c r="V160" s="340"/>
      <c r="W160" s="340"/>
      <c r="X160" s="341">
        <f t="shared" si="64"/>
        <v>901000</v>
      </c>
      <c r="Y160" s="341">
        <f t="shared" si="65"/>
        <v>0</v>
      </c>
      <c r="Z160" s="331"/>
      <c r="AA160" s="110"/>
      <c r="AB160" s="358"/>
      <c r="AC160" s="330"/>
      <c r="AD160" s="110"/>
      <c r="AE160" s="110"/>
      <c r="AF160" s="332"/>
      <c r="AG160" s="332"/>
      <c r="AH160" s="332"/>
      <c r="AI160" s="332"/>
    </row>
    <row r="161" spans="1:35" ht="13.5" customHeight="1">
      <c r="A161" s="4"/>
      <c r="B161" s="15" t="s">
        <v>4158</v>
      </c>
      <c r="C161" s="340" t="s">
        <v>4159</v>
      </c>
      <c r="D161" s="254">
        <f>SUMIF(GL!$D$5:$D$6505,B161,GL!$G$5:$G$6505)</f>
        <v>0</v>
      </c>
      <c r="E161" s="341">
        <f>SUMIF(GL!$D$6:$D$6487,B161,GL!$H$6:$H$6487)</f>
        <v>0</v>
      </c>
      <c r="F161" s="341">
        <f>SUMIF(GL!$D$6:$D$6487,B161,GL!$I$6:$I$6487)</f>
        <v>0</v>
      </c>
      <c r="G161" s="341"/>
      <c r="H161" s="341"/>
      <c r="I161" s="341">
        <f t="shared" si="66"/>
        <v>0</v>
      </c>
      <c r="J161" s="341">
        <f t="shared" si="67"/>
        <v>0</v>
      </c>
      <c r="K161" s="341"/>
      <c r="L161" s="342"/>
      <c r="M161" s="342"/>
      <c r="N161" s="341">
        <f t="shared" si="61"/>
        <v>0</v>
      </c>
      <c r="O161" s="341">
        <f t="shared" si="62"/>
        <v>0</v>
      </c>
      <c r="P161" s="341">
        <f>SUMIF(GL!$D$6488:$D$6532,B161,GL!$H$6488:$H$6532)</f>
        <v>0</v>
      </c>
      <c r="Q161" s="341">
        <f>SUMIF(GL!$D$6408:$D$6452,B161,GL!$I$6408:$I$6452)</f>
        <v>0</v>
      </c>
      <c r="R161" s="341">
        <f t="shared" ref="R161:S161" si="184">P161+N161</f>
        <v>0</v>
      </c>
      <c r="S161" s="341">
        <f t="shared" si="184"/>
        <v>0</v>
      </c>
      <c r="T161" s="340"/>
      <c r="U161" s="340"/>
      <c r="V161" s="340"/>
      <c r="W161" s="340"/>
      <c r="X161" s="341">
        <f t="shared" si="64"/>
        <v>0</v>
      </c>
      <c r="Y161" s="341">
        <f t="shared" si="65"/>
        <v>0</v>
      </c>
      <c r="Z161" s="331"/>
      <c r="AA161" s="110"/>
      <c r="AB161" s="358"/>
      <c r="AC161" s="330"/>
      <c r="AD161" s="110"/>
      <c r="AE161" s="110"/>
      <c r="AF161" s="332"/>
      <c r="AG161" s="332"/>
      <c r="AH161" s="332"/>
      <c r="AI161" s="332"/>
    </row>
    <row r="162" spans="1:35" ht="13.5" customHeight="1">
      <c r="A162" s="4"/>
      <c r="B162" s="15" t="s">
        <v>4160</v>
      </c>
      <c r="C162" s="340" t="s">
        <v>4161</v>
      </c>
      <c r="D162" s="254">
        <f>SUMIF(GL!$D$5:$D$6505,B162,GL!$G$5:$G$6505)</f>
        <v>0</v>
      </c>
      <c r="E162" s="341">
        <f>SUMIF(GL!$D$6:$D$6487,B162,GL!$H$6:$H$6487)</f>
        <v>0</v>
      </c>
      <c r="F162" s="341">
        <f>SUMIF(GL!$D$6:$D$6487,B162,GL!$I$6:$I$6487)</f>
        <v>0</v>
      </c>
      <c r="G162" s="341"/>
      <c r="H162" s="341"/>
      <c r="I162" s="341">
        <f t="shared" si="66"/>
        <v>0</v>
      </c>
      <c r="J162" s="341">
        <f t="shared" si="67"/>
        <v>0</v>
      </c>
      <c r="K162" s="341"/>
      <c r="L162" s="342"/>
      <c r="M162" s="342"/>
      <c r="N162" s="341">
        <f t="shared" si="61"/>
        <v>0</v>
      </c>
      <c r="O162" s="341">
        <f t="shared" si="62"/>
        <v>0</v>
      </c>
      <c r="P162" s="341">
        <f>SUMIF(GL!$D$6488:$D$6532,B162,GL!$H$6488:$H$6532)</f>
        <v>0</v>
      </c>
      <c r="Q162" s="341">
        <f>SUMIF(GL!$D$6408:$D$6452,B162,GL!$I$6408:$I$6452)</f>
        <v>0</v>
      </c>
      <c r="R162" s="341">
        <f t="shared" ref="R162:S162" si="185">P162+N162</f>
        <v>0</v>
      </c>
      <c r="S162" s="341">
        <f t="shared" si="185"/>
        <v>0</v>
      </c>
      <c r="T162" s="340"/>
      <c r="U162" s="340"/>
      <c r="V162" s="340"/>
      <c r="W162" s="340"/>
      <c r="X162" s="341">
        <f t="shared" si="64"/>
        <v>0</v>
      </c>
      <c r="Y162" s="341">
        <f t="shared" si="65"/>
        <v>0</v>
      </c>
      <c r="Z162" s="331"/>
      <c r="AA162" s="110"/>
      <c r="AB162" s="358"/>
      <c r="AC162" s="330"/>
      <c r="AD162" s="110"/>
      <c r="AE162" s="110"/>
      <c r="AF162" s="332"/>
      <c r="AG162" s="332"/>
      <c r="AH162" s="332"/>
      <c r="AI162" s="332"/>
    </row>
    <row r="163" spans="1:35" ht="13.5" customHeight="1">
      <c r="A163" s="4"/>
      <c r="B163" s="15" t="s">
        <v>4162</v>
      </c>
      <c r="C163" s="340" t="s">
        <v>4163</v>
      </c>
      <c r="D163" s="254">
        <f>SUMIF(GL!$D$5:$D$6505,B163,GL!$G$5:$G$6505)</f>
        <v>0</v>
      </c>
      <c r="E163" s="341">
        <f>SUMIF(GL!$D$6:$D$6487,B163,GL!$H$6:$H$6487)</f>
        <v>0</v>
      </c>
      <c r="F163" s="341">
        <f>SUMIF(GL!$D$6:$D$6487,B163,GL!$I$6:$I$6487)</f>
        <v>0</v>
      </c>
      <c r="G163" s="341"/>
      <c r="H163" s="341"/>
      <c r="I163" s="341">
        <f t="shared" si="66"/>
        <v>0</v>
      </c>
      <c r="J163" s="341">
        <f t="shared" si="67"/>
        <v>0</v>
      </c>
      <c r="K163" s="341"/>
      <c r="L163" s="342"/>
      <c r="M163" s="342"/>
      <c r="N163" s="341">
        <f t="shared" si="61"/>
        <v>0</v>
      </c>
      <c r="O163" s="341">
        <f t="shared" si="62"/>
        <v>0</v>
      </c>
      <c r="P163" s="341">
        <f>SUMIF(GL!$D$6488:$D$6532,B163,GL!$H$6488:$H$6532)</f>
        <v>0</v>
      </c>
      <c r="Q163" s="341">
        <f>SUMIF(GL!$D$6408:$D$6452,B163,GL!$I$6408:$I$6452)</f>
        <v>0</v>
      </c>
      <c r="R163" s="341">
        <f t="shared" ref="R163:S163" si="186">P163+N163</f>
        <v>0</v>
      </c>
      <c r="S163" s="341">
        <f t="shared" si="186"/>
        <v>0</v>
      </c>
      <c r="T163" s="340"/>
      <c r="U163" s="340"/>
      <c r="V163" s="340"/>
      <c r="W163" s="340"/>
      <c r="X163" s="341">
        <f t="shared" si="64"/>
        <v>0</v>
      </c>
      <c r="Y163" s="341">
        <f t="shared" si="65"/>
        <v>0</v>
      </c>
      <c r="Z163" s="331"/>
      <c r="AA163" s="110"/>
      <c r="AB163" s="358"/>
      <c r="AC163" s="330"/>
      <c r="AD163" s="110"/>
      <c r="AE163" s="110"/>
      <c r="AF163" s="332"/>
      <c r="AG163" s="332"/>
      <c r="AH163" s="332"/>
      <c r="AI163" s="332"/>
    </row>
    <row r="164" spans="1:35" ht="13.5" customHeight="1">
      <c r="A164" s="4"/>
      <c r="B164" s="15" t="s">
        <v>4164</v>
      </c>
      <c r="C164" s="260" t="s">
        <v>4165</v>
      </c>
      <c r="D164" s="254">
        <f>SUMIF(GL!$D$5:$D$6505,B164,GL!$G$5:$G$6505)</f>
        <v>0</v>
      </c>
      <c r="E164" s="341">
        <f>SUMIF(GL!$D$6:$D$6487,B164,GL!$H$6:$H$6487)</f>
        <v>0</v>
      </c>
      <c r="F164" s="341">
        <f>SUMIF(GL!$D$6:$D$6487,B164,GL!$I$6:$I$6487)</f>
        <v>0</v>
      </c>
      <c r="G164" s="341"/>
      <c r="H164" s="341"/>
      <c r="I164" s="341">
        <f t="shared" si="66"/>
        <v>0</v>
      </c>
      <c r="J164" s="341">
        <f t="shared" si="67"/>
        <v>0</v>
      </c>
      <c r="K164" s="341"/>
      <c r="L164" s="342"/>
      <c r="M164" s="342"/>
      <c r="N164" s="341">
        <f t="shared" si="61"/>
        <v>0</v>
      </c>
      <c r="O164" s="341">
        <f t="shared" si="62"/>
        <v>0</v>
      </c>
      <c r="P164" s="341">
        <f>SUMIF(GL!$D$6488:$D$6532,B164,GL!$H$6488:$H$6532)</f>
        <v>0</v>
      </c>
      <c r="Q164" s="341">
        <f>SUMIF(GL!$D$6408:$D$6452,B164,GL!$I$6408:$I$6452)</f>
        <v>0</v>
      </c>
      <c r="R164" s="341">
        <f t="shared" ref="R164:S164" si="187">P164+N164</f>
        <v>0</v>
      </c>
      <c r="S164" s="341">
        <f t="shared" si="187"/>
        <v>0</v>
      </c>
      <c r="T164" s="340"/>
      <c r="U164" s="340"/>
      <c r="V164" s="340"/>
      <c r="W164" s="340"/>
      <c r="X164" s="341">
        <f t="shared" si="64"/>
        <v>0</v>
      </c>
      <c r="Y164" s="341">
        <f t="shared" si="65"/>
        <v>0</v>
      </c>
      <c r="Z164" s="331"/>
      <c r="AA164" s="110"/>
      <c r="AB164" s="358"/>
      <c r="AC164" s="330"/>
      <c r="AD164" s="110"/>
      <c r="AE164" s="110"/>
      <c r="AF164" s="332"/>
      <c r="AG164" s="332"/>
      <c r="AH164" s="332"/>
      <c r="AI164" s="332"/>
    </row>
    <row r="165" spans="1:35" ht="13.5" customHeight="1">
      <c r="A165" s="4"/>
      <c r="B165" s="15" t="s">
        <v>4166</v>
      </c>
      <c r="C165" s="340" t="s">
        <v>4167</v>
      </c>
      <c r="D165" s="254">
        <f>SUMIF(GL!$D$5:$D$6505,B165,GL!$G$5:$G$6505)</f>
        <v>0</v>
      </c>
      <c r="E165" s="341">
        <f>SUMIF(GL!$D$6:$D$6487,B165,GL!$H$6:$H$6487)</f>
        <v>0</v>
      </c>
      <c r="F165" s="341">
        <f>SUMIF(GL!$D$6:$D$6487,B165,GL!$I$6:$I$6487)</f>
        <v>0</v>
      </c>
      <c r="G165" s="341"/>
      <c r="H165" s="341"/>
      <c r="I165" s="341">
        <f t="shared" si="66"/>
        <v>0</v>
      </c>
      <c r="J165" s="341">
        <f t="shared" si="67"/>
        <v>0</v>
      </c>
      <c r="K165" s="341"/>
      <c r="L165" s="342"/>
      <c r="M165" s="342"/>
      <c r="N165" s="341">
        <f t="shared" si="61"/>
        <v>0</v>
      </c>
      <c r="O165" s="341">
        <f t="shared" si="62"/>
        <v>0</v>
      </c>
      <c r="P165" s="341">
        <f>SUMIF(GL!$D$6488:$D$6532,B165,GL!$H$6488:$H$6532)</f>
        <v>0</v>
      </c>
      <c r="Q165" s="341">
        <f>SUMIF(GL!$D$6408:$D$6452,B165,GL!$I$6408:$I$6452)</f>
        <v>0</v>
      </c>
      <c r="R165" s="341">
        <f t="shared" ref="R165:S165" si="188">P165+N165</f>
        <v>0</v>
      </c>
      <c r="S165" s="341">
        <f t="shared" si="188"/>
        <v>0</v>
      </c>
      <c r="T165" s="340"/>
      <c r="U165" s="340"/>
      <c r="V165" s="340"/>
      <c r="W165" s="340"/>
      <c r="X165" s="341">
        <f t="shared" si="64"/>
        <v>0</v>
      </c>
      <c r="Y165" s="341">
        <f t="shared" si="65"/>
        <v>0</v>
      </c>
      <c r="Z165" s="331"/>
      <c r="AA165" s="110"/>
      <c r="AB165" s="358"/>
      <c r="AC165" s="330"/>
      <c r="AD165" s="110"/>
      <c r="AE165" s="110"/>
      <c r="AF165" s="332"/>
      <c r="AG165" s="332"/>
      <c r="AH165" s="332"/>
      <c r="AI165" s="332"/>
    </row>
    <row r="166" spans="1:35" ht="13.5" customHeight="1">
      <c r="A166" s="4"/>
      <c r="B166" s="15" t="s">
        <v>4168</v>
      </c>
      <c r="C166" s="260" t="s">
        <v>4169</v>
      </c>
      <c r="D166" s="254">
        <f>SUMIF(GL!$D$5:$D$6505,B166,GL!$G$5:$G$6505)</f>
        <v>0</v>
      </c>
      <c r="E166" s="341">
        <f>SUMIF(GL!$D$6:$D$6487,B166,GL!$H$6:$H$6487)</f>
        <v>0</v>
      </c>
      <c r="F166" s="341">
        <f>SUMIF(GL!$D$6:$D$6487,B166,GL!$I$6:$I$6487)</f>
        <v>0</v>
      </c>
      <c r="G166" s="341"/>
      <c r="H166" s="341"/>
      <c r="I166" s="341">
        <f t="shared" si="66"/>
        <v>0</v>
      </c>
      <c r="J166" s="341">
        <f t="shared" si="67"/>
        <v>0</v>
      </c>
      <c r="K166" s="341"/>
      <c r="L166" s="342"/>
      <c r="M166" s="342"/>
      <c r="N166" s="341">
        <f t="shared" si="61"/>
        <v>0</v>
      </c>
      <c r="O166" s="341">
        <f t="shared" si="62"/>
        <v>0</v>
      </c>
      <c r="P166" s="341">
        <f>SUMIF(GL!$D$6488:$D$6532,B166,GL!$H$6488:$H$6532)</f>
        <v>0</v>
      </c>
      <c r="Q166" s="341">
        <f>SUMIF(GL!$D$6408:$D$6452,B166,GL!$I$6408:$I$6452)</f>
        <v>0</v>
      </c>
      <c r="R166" s="341">
        <f t="shared" ref="R166:S166" si="189">P166+N166</f>
        <v>0</v>
      </c>
      <c r="S166" s="341">
        <f t="shared" si="189"/>
        <v>0</v>
      </c>
      <c r="T166" s="340"/>
      <c r="U166" s="340"/>
      <c r="V166" s="340"/>
      <c r="W166" s="340"/>
      <c r="X166" s="341">
        <f t="shared" si="64"/>
        <v>0</v>
      </c>
      <c r="Y166" s="341">
        <f t="shared" si="65"/>
        <v>0</v>
      </c>
      <c r="Z166" s="331"/>
      <c r="AA166" s="110"/>
      <c r="AB166" s="358"/>
      <c r="AC166" s="330"/>
      <c r="AD166" s="110"/>
      <c r="AE166" s="110"/>
      <c r="AF166" s="332"/>
      <c r="AG166" s="332"/>
      <c r="AH166" s="332"/>
      <c r="AI166" s="332"/>
    </row>
    <row r="167" spans="1:35" ht="13.5" customHeight="1">
      <c r="A167" s="4"/>
      <c r="B167" s="15" t="s">
        <v>4170</v>
      </c>
      <c r="C167" s="260" t="s">
        <v>4171</v>
      </c>
      <c r="D167" s="254">
        <f>SUMIF(GL!$D$5:$D$6505,B167,GL!$G$5:$G$6505)</f>
        <v>0</v>
      </c>
      <c r="E167" s="341">
        <f>SUMIF(GL!$D$6:$D$6487,B167,GL!$H$6:$H$6487)</f>
        <v>0</v>
      </c>
      <c r="F167" s="341">
        <f>SUMIF(GL!$D$6:$D$6487,B167,GL!$I$6:$I$6487)</f>
        <v>0</v>
      </c>
      <c r="G167" s="341"/>
      <c r="H167" s="341"/>
      <c r="I167" s="341">
        <f t="shared" si="66"/>
        <v>0</v>
      </c>
      <c r="J167" s="341">
        <f t="shared" si="67"/>
        <v>0</v>
      </c>
      <c r="K167" s="341"/>
      <c r="L167" s="342"/>
      <c r="M167" s="342"/>
      <c r="N167" s="341">
        <f t="shared" si="61"/>
        <v>0</v>
      </c>
      <c r="O167" s="341">
        <f t="shared" si="62"/>
        <v>0</v>
      </c>
      <c r="P167" s="341">
        <f>SUMIF(GL!$D$6488:$D$6532,B167,GL!$H$6488:$H$6532)</f>
        <v>0</v>
      </c>
      <c r="Q167" s="341">
        <f>SUMIF(GL!$D$6408:$D$6452,B167,GL!$I$6408:$I$6452)</f>
        <v>0</v>
      </c>
      <c r="R167" s="341">
        <f t="shared" ref="R167:S167" si="190">P167+N167</f>
        <v>0</v>
      </c>
      <c r="S167" s="341">
        <f t="shared" si="190"/>
        <v>0</v>
      </c>
      <c r="T167" s="340"/>
      <c r="U167" s="340"/>
      <c r="V167" s="340"/>
      <c r="W167" s="340"/>
      <c r="X167" s="341">
        <f t="shared" si="64"/>
        <v>0</v>
      </c>
      <c r="Y167" s="341">
        <f t="shared" si="65"/>
        <v>0</v>
      </c>
      <c r="Z167" s="331"/>
      <c r="AA167" s="110"/>
      <c r="AB167" s="358"/>
      <c r="AC167" s="330"/>
      <c r="AD167" s="110"/>
      <c r="AE167" s="110"/>
      <c r="AF167" s="332"/>
      <c r="AG167" s="332"/>
      <c r="AH167" s="332"/>
      <c r="AI167" s="332"/>
    </row>
    <row r="168" spans="1:35" ht="13.5" customHeight="1">
      <c r="A168" s="4"/>
      <c r="B168" s="15" t="s">
        <v>4172</v>
      </c>
      <c r="C168" s="260" t="s">
        <v>4173</v>
      </c>
      <c r="D168" s="254">
        <f>SUMIF(GL!$D$5:$D$6505,B168,GL!$G$5:$G$6505)</f>
        <v>0</v>
      </c>
      <c r="E168" s="341">
        <f>SUMIF(GL!$D$6:$D$6487,B168,GL!$H$6:$H$6487)</f>
        <v>0</v>
      </c>
      <c r="F168" s="341">
        <f>SUMIF(GL!$D$6:$D$6487,B168,GL!$I$6:$I$6487)</f>
        <v>0</v>
      </c>
      <c r="G168" s="341"/>
      <c r="H168" s="341"/>
      <c r="I168" s="341">
        <f t="shared" si="66"/>
        <v>0</v>
      </c>
      <c r="J168" s="341">
        <f t="shared" si="67"/>
        <v>0</v>
      </c>
      <c r="K168" s="341"/>
      <c r="L168" s="342"/>
      <c r="M168" s="342"/>
      <c r="N168" s="341">
        <f t="shared" si="61"/>
        <v>0</v>
      </c>
      <c r="O168" s="341">
        <f t="shared" si="62"/>
        <v>0</v>
      </c>
      <c r="P168" s="341">
        <f>SUMIF(GL!$D$6488:$D$6532,B168,GL!$H$6488:$H$6532)</f>
        <v>0</v>
      </c>
      <c r="Q168" s="341">
        <f>SUMIF(GL!$D$6408:$D$6452,B168,GL!$I$6408:$I$6452)</f>
        <v>0</v>
      </c>
      <c r="R168" s="341">
        <f t="shared" ref="R168:S168" si="191">P168+N168</f>
        <v>0</v>
      </c>
      <c r="S168" s="341">
        <f t="shared" si="191"/>
        <v>0</v>
      </c>
      <c r="T168" s="340"/>
      <c r="U168" s="340"/>
      <c r="V168" s="340"/>
      <c r="W168" s="340"/>
      <c r="X168" s="341">
        <f t="shared" si="64"/>
        <v>0</v>
      </c>
      <c r="Y168" s="341">
        <f t="shared" si="65"/>
        <v>0</v>
      </c>
      <c r="Z168" s="331"/>
      <c r="AA168" s="110"/>
      <c r="AB168" s="358"/>
      <c r="AC168" s="330"/>
      <c r="AD168" s="110"/>
      <c r="AE168" s="110"/>
      <c r="AF168" s="332"/>
      <c r="AG168" s="332"/>
      <c r="AH168" s="332"/>
      <c r="AI168" s="332"/>
    </row>
    <row r="169" spans="1:35" ht="13.5" customHeight="1">
      <c r="A169" s="4"/>
      <c r="B169" s="15" t="s">
        <v>2219</v>
      </c>
      <c r="C169" s="260" t="s">
        <v>4174</v>
      </c>
      <c r="D169" s="254">
        <f>SUMIF(GL!$D$5:$D$6505,B169,GL!$G$5:$G$6505)</f>
        <v>0.6</v>
      </c>
      <c r="E169" s="341">
        <f>SUMIF(GL!$D$6:$D$6487,B169,GL!$H$6:$H$6487)</f>
        <v>12000</v>
      </c>
      <c r="F169" s="341">
        <f>SUMIF(GL!$D$6:$D$6487,B169,GL!$I$6:$I$6487)</f>
        <v>0</v>
      </c>
      <c r="G169" s="341"/>
      <c r="H169" s="341"/>
      <c r="I169" s="341">
        <f t="shared" si="66"/>
        <v>12000</v>
      </c>
      <c r="J169" s="341">
        <f t="shared" si="67"/>
        <v>0</v>
      </c>
      <c r="K169" s="341"/>
      <c r="L169" s="342"/>
      <c r="M169" s="342"/>
      <c r="N169" s="341">
        <f t="shared" si="61"/>
        <v>12000</v>
      </c>
      <c r="O169" s="341">
        <f t="shared" si="62"/>
        <v>0</v>
      </c>
      <c r="P169" s="341">
        <f>SUMIF(GL!$D$6488:$D$6532,B169,GL!$H$6488:$H$6532)</f>
        <v>0</v>
      </c>
      <c r="Q169" s="341">
        <f>SUMIF(GL!$D$6408:$D$6452,B169,GL!$I$6408:$I$6452)</f>
        <v>0</v>
      </c>
      <c r="R169" s="341">
        <f t="shared" ref="R169:S169" si="192">P169+N169</f>
        <v>12000</v>
      </c>
      <c r="S169" s="341">
        <f t="shared" si="192"/>
        <v>0</v>
      </c>
      <c r="T169" s="340"/>
      <c r="U169" s="340"/>
      <c r="V169" s="340"/>
      <c r="W169" s="340"/>
      <c r="X169" s="341">
        <f t="shared" si="64"/>
        <v>12000</v>
      </c>
      <c r="Y169" s="341">
        <f t="shared" si="65"/>
        <v>0</v>
      </c>
      <c r="Z169" s="331"/>
      <c r="AA169" s="110"/>
      <c r="AB169" s="358"/>
      <c r="AC169" s="330"/>
      <c r="AD169" s="110"/>
      <c r="AE169" s="110"/>
      <c r="AF169" s="332"/>
      <c r="AG169" s="332"/>
      <c r="AH169" s="332"/>
      <c r="AI169" s="332"/>
    </row>
    <row r="170" spans="1:35" ht="13.5" customHeight="1">
      <c r="A170" s="4"/>
      <c r="B170" s="15" t="s">
        <v>4175</v>
      </c>
      <c r="C170" s="260" t="s">
        <v>4176</v>
      </c>
      <c r="D170" s="254">
        <f>SUMIF(GL!$D$5:$D$6505,B170,GL!$G$5:$G$6505)</f>
        <v>0</v>
      </c>
      <c r="E170" s="341">
        <f>SUMIF(GL!$D$6:$D$6487,B170,GL!$H$6:$H$6487)</f>
        <v>0</v>
      </c>
      <c r="F170" s="341">
        <f>SUMIF(GL!$D$6:$D$6487,B170,GL!$I$6:$I$6487)</f>
        <v>0</v>
      </c>
      <c r="G170" s="341"/>
      <c r="H170" s="341"/>
      <c r="I170" s="341">
        <f t="shared" si="66"/>
        <v>0</v>
      </c>
      <c r="J170" s="341">
        <f t="shared" si="67"/>
        <v>0</v>
      </c>
      <c r="K170" s="341"/>
      <c r="L170" s="342"/>
      <c r="M170" s="342"/>
      <c r="N170" s="341">
        <f t="shared" si="61"/>
        <v>0</v>
      </c>
      <c r="O170" s="341">
        <f t="shared" si="62"/>
        <v>0</v>
      </c>
      <c r="P170" s="341">
        <f>SUMIF(GL!$D$6488:$D$6532,B170,GL!$H$6488:$H$6532)</f>
        <v>0</v>
      </c>
      <c r="Q170" s="341">
        <f>SUMIF(GL!$D$6408:$D$6452,B170,GL!$I$6408:$I$6452)</f>
        <v>0</v>
      </c>
      <c r="R170" s="341">
        <f t="shared" ref="R170:S170" si="193">P170+N170</f>
        <v>0</v>
      </c>
      <c r="S170" s="341">
        <f t="shared" si="193"/>
        <v>0</v>
      </c>
      <c r="T170" s="340"/>
      <c r="U170" s="340"/>
      <c r="V170" s="340"/>
      <c r="W170" s="340"/>
      <c r="X170" s="341">
        <f t="shared" si="64"/>
        <v>0</v>
      </c>
      <c r="Y170" s="341">
        <f t="shared" si="65"/>
        <v>0</v>
      </c>
      <c r="Z170" s="331"/>
      <c r="AA170" s="110"/>
      <c r="AB170" s="358"/>
      <c r="AC170" s="330"/>
      <c r="AD170" s="110"/>
      <c r="AE170" s="110"/>
      <c r="AF170" s="332"/>
      <c r="AG170" s="332"/>
      <c r="AH170" s="332"/>
      <c r="AI170" s="332"/>
    </row>
    <row r="171" spans="1:35" ht="13.5" customHeight="1">
      <c r="A171" s="4"/>
      <c r="B171" s="15" t="s">
        <v>2064</v>
      </c>
      <c r="C171" s="260" t="s">
        <v>4177</v>
      </c>
      <c r="D171" s="254">
        <f>SUMIF(GL!$D$5:$D$6505,B171,GL!$G$5:$G$6505)</f>
        <v>1.05</v>
      </c>
      <c r="E171" s="341">
        <f>SUMIF(GL!$D$6:$D$6487,B171,GL!$H$6:$H$6487)</f>
        <v>120000</v>
      </c>
      <c r="F171" s="341">
        <f>SUMIF(GL!$D$6:$D$6487,B171,GL!$I$6:$I$6487)</f>
        <v>0</v>
      </c>
      <c r="G171" s="341"/>
      <c r="H171" s="341"/>
      <c r="I171" s="341">
        <f t="shared" si="66"/>
        <v>120000</v>
      </c>
      <c r="J171" s="341">
        <f t="shared" si="67"/>
        <v>0</v>
      </c>
      <c r="K171" s="341"/>
      <c r="L171" s="342"/>
      <c r="M171" s="342"/>
      <c r="N171" s="341">
        <f t="shared" si="61"/>
        <v>120000</v>
      </c>
      <c r="O171" s="341">
        <f t="shared" si="62"/>
        <v>0</v>
      </c>
      <c r="P171" s="341">
        <f>SUMIF(GL!$D$6488:$D$6532,B171,GL!$H$6488:$H$6532)</f>
        <v>0</v>
      </c>
      <c r="Q171" s="341">
        <f>SUMIF(GL!$D$6408:$D$6452,B171,GL!$I$6408:$I$6452)</f>
        <v>0</v>
      </c>
      <c r="R171" s="341">
        <f t="shared" ref="R171:S171" si="194">P171+N171</f>
        <v>120000</v>
      </c>
      <c r="S171" s="341">
        <f t="shared" si="194"/>
        <v>0</v>
      </c>
      <c r="T171" s="340"/>
      <c r="U171" s="340"/>
      <c r="V171" s="340"/>
      <c r="W171" s="340"/>
      <c r="X171" s="341">
        <f t="shared" si="64"/>
        <v>120000</v>
      </c>
      <c r="Y171" s="341">
        <f t="shared" si="65"/>
        <v>0</v>
      </c>
      <c r="Z171" s="331"/>
      <c r="AA171" s="110"/>
      <c r="AB171" s="358"/>
      <c r="AC171" s="330"/>
      <c r="AD171" s="110"/>
      <c r="AE171" s="110"/>
      <c r="AF171" s="332"/>
      <c r="AG171" s="332"/>
      <c r="AH171" s="332"/>
      <c r="AI171" s="332"/>
    </row>
    <row r="172" spans="1:35" ht="13.5" customHeight="1">
      <c r="A172" s="4"/>
      <c r="B172" s="15" t="s">
        <v>4178</v>
      </c>
      <c r="C172" s="260" t="s">
        <v>4179</v>
      </c>
      <c r="D172" s="254">
        <f>SUMIF(GL!$D$5:$D$6505,B172,GL!$G$5:$G$6505)</f>
        <v>0</v>
      </c>
      <c r="E172" s="341">
        <f>SUMIF(GL!$D$6:$D$6487,B172,GL!$H$6:$H$6487)</f>
        <v>0</v>
      </c>
      <c r="F172" s="341">
        <f>SUMIF(GL!$D$6:$D$6487,B172,GL!$I$6:$I$6487)</f>
        <v>0</v>
      </c>
      <c r="G172" s="341"/>
      <c r="H172" s="341"/>
      <c r="I172" s="341">
        <f t="shared" si="66"/>
        <v>0</v>
      </c>
      <c r="J172" s="341">
        <f t="shared" si="67"/>
        <v>0</v>
      </c>
      <c r="K172" s="341"/>
      <c r="L172" s="342"/>
      <c r="M172" s="342"/>
      <c r="N172" s="341">
        <f t="shared" si="61"/>
        <v>0</v>
      </c>
      <c r="O172" s="341">
        <f t="shared" si="62"/>
        <v>0</v>
      </c>
      <c r="P172" s="341">
        <f>SUMIF(GL!$D$6488:$D$6532,B172,GL!$H$6488:$H$6532)</f>
        <v>0</v>
      </c>
      <c r="Q172" s="341">
        <f>SUMIF(GL!$D$6408:$D$6452,B172,GL!$I$6408:$I$6452)</f>
        <v>0</v>
      </c>
      <c r="R172" s="341">
        <f t="shared" ref="R172:S172" si="195">P172+N172</f>
        <v>0</v>
      </c>
      <c r="S172" s="341">
        <f t="shared" si="195"/>
        <v>0</v>
      </c>
      <c r="T172" s="340"/>
      <c r="U172" s="340"/>
      <c r="V172" s="340"/>
      <c r="W172" s="340"/>
      <c r="X172" s="341">
        <f t="shared" si="64"/>
        <v>0</v>
      </c>
      <c r="Y172" s="341">
        <f t="shared" si="65"/>
        <v>0</v>
      </c>
      <c r="Z172" s="331"/>
      <c r="AA172" s="110"/>
      <c r="AB172" s="358"/>
      <c r="AC172" s="330"/>
      <c r="AD172" s="110"/>
      <c r="AE172" s="110"/>
      <c r="AF172" s="332"/>
      <c r="AG172" s="332"/>
      <c r="AH172" s="332"/>
      <c r="AI172" s="332"/>
    </row>
    <row r="173" spans="1:35" ht="13.5" customHeight="1">
      <c r="A173" s="4"/>
      <c r="B173" s="15" t="s">
        <v>4180</v>
      </c>
      <c r="C173" s="260" t="s">
        <v>4181</v>
      </c>
      <c r="D173" s="254">
        <f>SUMIF(GL!$D$5:$D$6505,B173,GL!$G$5:$G$6505)</f>
        <v>0</v>
      </c>
      <c r="E173" s="341">
        <f>SUMIF(GL!$D$6:$D$6487,B173,GL!$H$6:$H$6487)</f>
        <v>0</v>
      </c>
      <c r="F173" s="341">
        <f>SUMIF(GL!$D$6:$D$6487,B173,GL!$I$6:$I$6487)</f>
        <v>0</v>
      </c>
      <c r="G173" s="341"/>
      <c r="H173" s="341"/>
      <c r="I173" s="341">
        <f t="shared" si="66"/>
        <v>0</v>
      </c>
      <c r="J173" s="341">
        <f t="shared" si="67"/>
        <v>0</v>
      </c>
      <c r="K173" s="341"/>
      <c r="L173" s="342"/>
      <c r="M173" s="342"/>
      <c r="N173" s="341">
        <f t="shared" si="61"/>
        <v>0</v>
      </c>
      <c r="O173" s="341">
        <f t="shared" si="62"/>
        <v>0</v>
      </c>
      <c r="P173" s="341">
        <f>SUMIF(GL!$D$6488:$D$6532,B173,GL!$H$6488:$H$6532)</f>
        <v>0</v>
      </c>
      <c r="Q173" s="341">
        <f>SUMIF(GL!$D$6408:$D$6452,B173,GL!$I$6408:$I$6452)</f>
        <v>0</v>
      </c>
      <c r="R173" s="341">
        <f t="shared" ref="R173:S173" si="196">P173+N173</f>
        <v>0</v>
      </c>
      <c r="S173" s="341">
        <f t="shared" si="196"/>
        <v>0</v>
      </c>
      <c r="T173" s="340"/>
      <c r="U173" s="340"/>
      <c r="V173" s="340"/>
      <c r="W173" s="340"/>
      <c r="X173" s="341">
        <f t="shared" si="64"/>
        <v>0</v>
      </c>
      <c r="Y173" s="341">
        <f t="shared" si="65"/>
        <v>0</v>
      </c>
      <c r="Z173" s="331"/>
      <c r="AA173" s="110"/>
      <c r="AB173" s="358"/>
      <c r="AC173" s="330"/>
      <c r="AD173" s="110"/>
      <c r="AE173" s="110"/>
      <c r="AF173" s="332"/>
      <c r="AG173" s="332"/>
      <c r="AH173" s="332"/>
      <c r="AI173" s="332"/>
    </row>
    <row r="174" spans="1:35" ht="13.5" customHeight="1">
      <c r="A174" s="4"/>
      <c r="B174" s="15" t="s">
        <v>4182</v>
      </c>
      <c r="C174" s="260" t="s">
        <v>4183</v>
      </c>
      <c r="D174" s="254">
        <f>SUMIF(GL!$D$5:$D$6505,B174,GL!$G$5:$G$6505)</f>
        <v>0</v>
      </c>
      <c r="E174" s="341">
        <f>SUMIF(GL!$D$6:$D$6487,B174,GL!$H$6:$H$6487)</f>
        <v>0</v>
      </c>
      <c r="F174" s="341">
        <f>SUMIF(GL!$D$6:$D$6487,B174,GL!$I$6:$I$6487)</f>
        <v>0</v>
      </c>
      <c r="G174" s="341"/>
      <c r="H174" s="341"/>
      <c r="I174" s="341">
        <f t="shared" si="66"/>
        <v>0</v>
      </c>
      <c r="J174" s="341">
        <f t="shared" si="67"/>
        <v>0</v>
      </c>
      <c r="K174" s="341"/>
      <c r="L174" s="342"/>
      <c r="M174" s="342"/>
      <c r="N174" s="341">
        <f t="shared" si="61"/>
        <v>0</v>
      </c>
      <c r="O174" s="341">
        <f t="shared" si="62"/>
        <v>0</v>
      </c>
      <c r="P174" s="341">
        <f>SUMIF(GL!$D$6488:$D$6532,B174,GL!$H$6488:$H$6532)</f>
        <v>0</v>
      </c>
      <c r="Q174" s="341">
        <f>SUMIF(GL!$D$6408:$D$6452,B174,GL!$I$6408:$I$6452)</f>
        <v>0</v>
      </c>
      <c r="R174" s="341">
        <f t="shared" ref="R174:S174" si="197">P174+N174</f>
        <v>0</v>
      </c>
      <c r="S174" s="341">
        <f t="shared" si="197"/>
        <v>0</v>
      </c>
      <c r="T174" s="340"/>
      <c r="U174" s="340"/>
      <c r="V174" s="340"/>
      <c r="W174" s="340"/>
      <c r="X174" s="341">
        <f t="shared" si="64"/>
        <v>0</v>
      </c>
      <c r="Y174" s="341">
        <f t="shared" si="65"/>
        <v>0</v>
      </c>
      <c r="Z174" s="331"/>
      <c r="AA174" s="110"/>
      <c r="AB174" s="358"/>
      <c r="AC174" s="330"/>
      <c r="AD174" s="110"/>
      <c r="AE174" s="110"/>
      <c r="AF174" s="332"/>
      <c r="AG174" s="332"/>
      <c r="AH174" s="332"/>
      <c r="AI174" s="332"/>
    </row>
    <row r="175" spans="1:35" ht="13.5" customHeight="1">
      <c r="A175" s="4"/>
      <c r="B175" s="15" t="s">
        <v>2452</v>
      </c>
      <c r="C175" s="260" t="s">
        <v>4184</v>
      </c>
      <c r="D175" s="254">
        <f>SUMIF(GL!$D$5:$D$6505,B175,GL!$G$5:$G$6505)</f>
        <v>50</v>
      </c>
      <c r="E175" s="341">
        <f>SUMIF(GL!$D$6:$D$6487,B175,GL!$H$6:$H$6487)</f>
        <v>350000</v>
      </c>
      <c r="F175" s="341">
        <f>SUMIF(GL!$D$6:$D$6487,B175,GL!$I$6:$I$6487)</f>
        <v>0</v>
      </c>
      <c r="G175" s="341"/>
      <c r="H175" s="341"/>
      <c r="I175" s="341">
        <f t="shared" si="66"/>
        <v>350000</v>
      </c>
      <c r="J175" s="341">
        <f t="shared" si="67"/>
        <v>0</v>
      </c>
      <c r="K175" s="341"/>
      <c r="L175" s="342"/>
      <c r="M175" s="342"/>
      <c r="N175" s="341">
        <f t="shared" si="61"/>
        <v>350000</v>
      </c>
      <c r="O175" s="341">
        <f t="shared" si="62"/>
        <v>0</v>
      </c>
      <c r="P175" s="341">
        <f>SUMIF(GL!$D$6488:$D$6532,B175,GL!$H$6488:$H$6532)</f>
        <v>0</v>
      </c>
      <c r="Q175" s="341">
        <f>SUMIF(GL!$D$6408:$D$6452,B175,GL!$I$6408:$I$6452)</f>
        <v>0</v>
      </c>
      <c r="R175" s="341">
        <f t="shared" ref="R175:S175" si="198">P175+N175</f>
        <v>350000</v>
      </c>
      <c r="S175" s="341">
        <f t="shared" si="198"/>
        <v>0</v>
      </c>
      <c r="T175" s="340"/>
      <c r="U175" s="340"/>
      <c r="V175" s="340"/>
      <c r="W175" s="340"/>
      <c r="X175" s="341">
        <f t="shared" si="64"/>
        <v>350000</v>
      </c>
      <c r="Y175" s="341">
        <f t="shared" si="65"/>
        <v>0</v>
      </c>
      <c r="Z175" s="331"/>
      <c r="AA175" s="110"/>
      <c r="AB175" s="358"/>
      <c r="AC175" s="330"/>
      <c r="AD175" s="110"/>
      <c r="AE175" s="110"/>
      <c r="AF175" s="332"/>
      <c r="AG175" s="332"/>
      <c r="AH175" s="332"/>
      <c r="AI175" s="332"/>
    </row>
    <row r="176" spans="1:35" ht="13.5" customHeight="1">
      <c r="A176" s="4"/>
      <c r="B176" s="15" t="s">
        <v>4185</v>
      </c>
      <c r="C176" s="260" t="s">
        <v>4186</v>
      </c>
      <c r="D176" s="254">
        <f>SUMIF(GL!$D$5:$D$6505,B176,GL!$G$5:$G$6505)</f>
        <v>0</v>
      </c>
      <c r="E176" s="341">
        <f>SUMIF(GL!$D$6:$D$6487,B176,GL!$H$6:$H$6487)</f>
        <v>0</v>
      </c>
      <c r="F176" s="341">
        <f>SUMIF(GL!$D$6:$D$6487,B176,GL!$I$6:$I$6487)</f>
        <v>0</v>
      </c>
      <c r="G176" s="341"/>
      <c r="H176" s="341"/>
      <c r="I176" s="341">
        <f t="shared" si="66"/>
        <v>0</v>
      </c>
      <c r="J176" s="341">
        <f t="shared" si="67"/>
        <v>0</v>
      </c>
      <c r="K176" s="341"/>
      <c r="L176" s="342"/>
      <c r="M176" s="342"/>
      <c r="N176" s="341">
        <f t="shared" si="61"/>
        <v>0</v>
      </c>
      <c r="O176" s="341">
        <f t="shared" si="62"/>
        <v>0</v>
      </c>
      <c r="P176" s="341">
        <f>SUMIF(GL!$D$6488:$D$6532,B176,GL!$H$6488:$H$6532)</f>
        <v>0</v>
      </c>
      <c r="Q176" s="341">
        <f>SUMIF(GL!$D$6408:$D$6452,B176,GL!$I$6408:$I$6452)</f>
        <v>0</v>
      </c>
      <c r="R176" s="341">
        <f t="shared" ref="R176:S176" si="199">P176+N176</f>
        <v>0</v>
      </c>
      <c r="S176" s="341">
        <f t="shared" si="199"/>
        <v>0</v>
      </c>
      <c r="T176" s="340"/>
      <c r="U176" s="340"/>
      <c r="V176" s="340"/>
      <c r="W176" s="340"/>
      <c r="X176" s="341">
        <f t="shared" si="64"/>
        <v>0</v>
      </c>
      <c r="Y176" s="341">
        <f t="shared" si="65"/>
        <v>0</v>
      </c>
      <c r="Z176" s="331"/>
      <c r="AA176" s="110"/>
      <c r="AB176" s="358"/>
      <c r="AC176" s="330"/>
      <c r="AD176" s="110"/>
      <c r="AE176" s="110"/>
      <c r="AF176" s="332"/>
      <c r="AG176" s="332"/>
      <c r="AH176" s="332"/>
      <c r="AI176" s="332"/>
    </row>
    <row r="177" spans="1:35" ht="13.5" customHeight="1">
      <c r="A177" s="4"/>
      <c r="B177" s="15" t="s">
        <v>2169</v>
      </c>
      <c r="C177" s="260" t="s">
        <v>4187</v>
      </c>
      <c r="D177" s="254">
        <f>SUMIF(GL!$D$5:$D$6505,B177,GL!$G$5:$G$6505)</f>
        <v>5.6</v>
      </c>
      <c r="E177" s="341">
        <f>SUMIF(GL!$D$6:$D$6487,B177,GL!$H$6:$H$6487)</f>
        <v>67200</v>
      </c>
      <c r="F177" s="341">
        <f>SUMIF(GL!$D$6:$D$6487,B177,GL!$I$6:$I$6487)</f>
        <v>0</v>
      </c>
      <c r="G177" s="341"/>
      <c r="H177" s="341"/>
      <c r="I177" s="341">
        <f t="shared" si="66"/>
        <v>67200</v>
      </c>
      <c r="J177" s="341">
        <f t="shared" si="67"/>
        <v>0</v>
      </c>
      <c r="K177" s="341"/>
      <c r="L177" s="342"/>
      <c r="M177" s="342"/>
      <c r="N177" s="341">
        <f t="shared" si="61"/>
        <v>67200</v>
      </c>
      <c r="O177" s="341">
        <f t="shared" si="62"/>
        <v>0</v>
      </c>
      <c r="P177" s="341">
        <f>SUMIF(GL!$D$6488:$D$6532,B177,GL!$H$6488:$H$6532)</f>
        <v>0</v>
      </c>
      <c r="Q177" s="341">
        <f>SUMIF(GL!$D$6408:$D$6452,B177,GL!$I$6408:$I$6452)</f>
        <v>0</v>
      </c>
      <c r="R177" s="341">
        <f t="shared" ref="R177:S177" si="200">P177+N177</f>
        <v>67200</v>
      </c>
      <c r="S177" s="341">
        <f t="shared" si="200"/>
        <v>0</v>
      </c>
      <c r="T177" s="340"/>
      <c r="U177" s="340"/>
      <c r="V177" s="340"/>
      <c r="W177" s="340"/>
      <c r="X177" s="341">
        <f t="shared" si="64"/>
        <v>67200</v>
      </c>
      <c r="Y177" s="341">
        <f t="shared" si="65"/>
        <v>0</v>
      </c>
      <c r="Z177" s="331"/>
      <c r="AA177" s="110"/>
      <c r="AB177" s="358"/>
      <c r="AC177" s="330"/>
      <c r="AD177" s="110"/>
      <c r="AE177" s="110"/>
      <c r="AF177" s="332"/>
      <c r="AG177" s="332"/>
      <c r="AH177" s="332"/>
      <c r="AI177" s="332"/>
    </row>
    <row r="178" spans="1:35" ht="13.5" customHeight="1">
      <c r="A178" s="4"/>
      <c r="B178" s="15" t="s">
        <v>4188</v>
      </c>
      <c r="C178" s="260" t="s">
        <v>4189</v>
      </c>
      <c r="D178" s="254">
        <f>SUMIF(GL!$D$5:$D$6505,B178,GL!$G$5:$G$6505)</f>
        <v>0</v>
      </c>
      <c r="E178" s="341">
        <f>SUMIF(GL!$D$6:$D$6487,B178,GL!$H$6:$H$6487)</f>
        <v>0</v>
      </c>
      <c r="F178" s="341">
        <f>SUMIF(GL!$D$6:$D$6487,B178,GL!$I$6:$I$6487)</f>
        <v>0</v>
      </c>
      <c r="G178" s="341"/>
      <c r="H178" s="341"/>
      <c r="I178" s="341">
        <f t="shared" si="66"/>
        <v>0</v>
      </c>
      <c r="J178" s="341">
        <f t="shared" si="67"/>
        <v>0</v>
      </c>
      <c r="K178" s="341"/>
      <c r="L178" s="342"/>
      <c r="M178" s="342"/>
      <c r="N178" s="341">
        <f t="shared" si="61"/>
        <v>0</v>
      </c>
      <c r="O178" s="341">
        <f t="shared" si="62"/>
        <v>0</v>
      </c>
      <c r="P178" s="341">
        <f>SUMIF(GL!$D$6488:$D$6532,B178,GL!$H$6488:$H$6532)</f>
        <v>0</v>
      </c>
      <c r="Q178" s="341">
        <f>SUMIF(GL!$D$6408:$D$6452,B178,GL!$I$6408:$I$6452)</f>
        <v>0</v>
      </c>
      <c r="R178" s="341">
        <f t="shared" ref="R178:S178" si="201">P178+N178</f>
        <v>0</v>
      </c>
      <c r="S178" s="341">
        <f t="shared" si="201"/>
        <v>0</v>
      </c>
      <c r="T178" s="340"/>
      <c r="U178" s="340"/>
      <c r="V178" s="340"/>
      <c r="W178" s="340"/>
      <c r="X178" s="341">
        <f t="shared" si="64"/>
        <v>0</v>
      </c>
      <c r="Y178" s="341">
        <f t="shared" si="65"/>
        <v>0</v>
      </c>
      <c r="Z178" s="331"/>
      <c r="AA178" s="110"/>
      <c r="AB178" s="358"/>
      <c r="AC178" s="330"/>
      <c r="AD178" s="110"/>
      <c r="AE178" s="110"/>
      <c r="AF178" s="332"/>
      <c r="AG178" s="332"/>
      <c r="AH178" s="332"/>
      <c r="AI178" s="332"/>
    </row>
    <row r="179" spans="1:35" ht="13.5" customHeight="1">
      <c r="A179" s="4"/>
      <c r="B179" s="15" t="s">
        <v>4190</v>
      </c>
      <c r="C179" s="260" t="s">
        <v>4191</v>
      </c>
      <c r="D179" s="254">
        <f>SUMIF(GL!$D$5:$D$6505,B179,GL!$G$5:$G$6505)</f>
        <v>0</v>
      </c>
      <c r="E179" s="341">
        <f>SUMIF(GL!$D$6:$D$6487,B179,GL!$H$6:$H$6487)</f>
        <v>0</v>
      </c>
      <c r="F179" s="341">
        <f>SUMIF(GL!$D$6:$D$6487,B179,GL!$I$6:$I$6487)</f>
        <v>0</v>
      </c>
      <c r="G179" s="341"/>
      <c r="H179" s="341"/>
      <c r="I179" s="341">
        <f t="shared" si="66"/>
        <v>0</v>
      </c>
      <c r="J179" s="341">
        <f t="shared" si="67"/>
        <v>0</v>
      </c>
      <c r="K179" s="341"/>
      <c r="L179" s="342"/>
      <c r="M179" s="342"/>
      <c r="N179" s="341">
        <f t="shared" si="61"/>
        <v>0</v>
      </c>
      <c r="O179" s="341">
        <f t="shared" si="62"/>
        <v>0</v>
      </c>
      <c r="P179" s="341">
        <f>SUMIF(GL!$D$6488:$D$6532,B179,GL!$H$6488:$H$6532)</f>
        <v>0</v>
      </c>
      <c r="Q179" s="341">
        <f>SUMIF(GL!$D$6408:$D$6452,B179,GL!$I$6408:$I$6452)</f>
        <v>0</v>
      </c>
      <c r="R179" s="341">
        <f t="shared" ref="R179:S179" si="202">P179+N179</f>
        <v>0</v>
      </c>
      <c r="S179" s="341">
        <f t="shared" si="202"/>
        <v>0</v>
      </c>
      <c r="T179" s="340"/>
      <c r="U179" s="340"/>
      <c r="V179" s="340"/>
      <c r="W179" s="340"/>
      <c r="X179" s="341">
        <f t="shared" si="64"/>
        <v>0</v>
      </c>
      <c r="Y179" s="341">
        <f t="shared" si="65"/>
        <v>0</v>
      </c>
      <c r="Z179" s="331"/>
      <c r="AA179" s="110"/>
      <c r="AB179" s="358"/>
      <c r="AC179" s="330"/>
      <c r="AD179" s="110"/>
      <c r="AE179" s="110"/>
      <c r="AF179" s="332"/>
      <c r="AG179" s="332"/>
      <c r="AH179" s="332"/>
      <c r="AI179" s="332"/>
    </row>
    <row r="180" spans="1:35" ht="13.5" customHeight="1">
      <c r="A180" s="4"/>
      <c r="B180" s="15" t="s">
        <v>2466</v>
      </c>
      <c r="C180" s="260" t="s">
        <v>4192</v>
      </c>
      <c r="D180" s="254">
        <f>SUMIF(GL!$D$5:$D$6505,B180,GL!$G$5:$G$6505)</f>
        <v>1</v>
      </c>
      <c r="E180" s="341">
        <f>SUMIF(GL!$D$6:$D$6487,B180,GL!$H$6:$H$6487)</f>
        <v>7500</v>
      </c>
      <c r="F180" s="341">
        <f>SUMIF(GL!$D$6:$D$6487,B180,GL!$I$6:$I$6487)</f>
        <v>0</v>
      </c>
      <c r="G180" s="341"/>
      <c r="H180" s="341"/>
      <c r="I180" s="341">
        <f t="shared" si="66"/>
        <v>7500</v>
      </c>
      <c r="J180" s="341">
        <f t="shared" si="67"/>
        <v>0</v>
      </c>
      <c r="K180" s="341"/>
      <c r="L180" s="342"/>
      <c r="M180" s="342"/>
      <c r="N180" s="341">
        <f t="shared" si="61"/>
        <v>7500</v>
      </c>
      <c r="O180" s="341">
        <f t="shared" si="62"/>
        <v>0</v>
      </c>
      <c r="P180" s="341">
        <f>SUMIF(GL!$D$6488:$D$6532,B180,GL!$H$6488:$H$6532)</f>
        <v>0</v>
      </c>
      <c r="Q180" s="341">
        <f>SUMIF(GL!$D$6408:$D$6452,B180,GL!$I$6408:$I$6452)</f>
        <v>0</v>
      </c>
      <c r="R180" s="341">
        <f t="shared" ref="R180:S180" si="203">P180+N180</f>
        <v>7500</v>
      </c>
      <c r="S180" s="341">
        <f t="shared" si="203"/>
        <v>0</v>
      </c>
      <c r="T180" s="340"/>
      <c r="U180" s="340"/>
      <c r="V180" s="340"/>
      <c r="W180" s="340"/>
      <c r="X180" s="341">
        <f t="shared" si="64"/>
        <v>7500</v>
      </c>
      <c r="Y180" s="341">
        <f t="shared" si="65"/>
        <v>0</v>
      </c>
      <c r="Z180" s="331"/>
      <c r="AA180" s="110"/>
      <c r="AB180" s="358"/>
      <c r="AC180" s="330"/>
      <c r="AD180" s="110"/>
      <c r="AE180" s="110"/>
      <c r="AF180" s="332"/>
      <c r="AG180" s="332"/>
      <c r="AH180" s="332"/>
      <c r="AI180" s="332"/>
    </row>
    <row r="181" spans="1:35" ht="13.5" customHeight="1">
      <c r="A181" s="4"/>
      <c r="B181" s="15" t="s">
        <v>4193</v>
      </c>
      <c r="C181" s="260" t="s">
        <v>4194</v>
      </c>
      <c r="D181" s="254">
        <f>SUMIF(GL!$D$5:$D$6505,B181,GL!$G$5:$G$6505)</f>
        <v>0</v>
      </c>
      <c r="E181" s="341">
        <f>SUMIF(GL!$D$6:$D$6487,B181,GL!$H$6:$H$6487)</f>
        <v>0</v>
      </c>
      <c r="F181" s="341">
        <f>SUMIF(GL!$D$6:$D$6487,B181,GL!$I$6:$I$6487)</f>
        <v>0</v>
      </c>
      <c r="G181" s="341"/>
      <c r="H181" s="341"/>
      <c r="I181" s="341">
        <f t="shared" si="66"/>
        <v>0</v>
      </c>
      <c r="J181" s="341">
        <f t="shared" si="67"/>
        <v>0</v>
      </c>
      <c r="K181" s="341"/>
      <c r="L181" s="342"/>
      <c r="M181" s="342"/>
      <c r="N181" s="341">
        <f t="shared" si="61"/>
        <v>0</v>
      </c>
      <c r="O181" s="341">
        <f t="shared" si="62"/>
        <v>0</v>
      </c>
      <c r="P181" s="341">
        <f>SUMIF(GL!$D$6488:$D$6532,B181,GL!$H$6488:$H$6532)</f>
        <v>0</v>
      </c>
      <c r="Q181" s="341">
        <f>SUMIF(GL!$D$6408:$D$6452,B181,GL!$I$6408:$I$6452)</f>
        <v>0</v>
      </c>
      <c r="R181" s="341">
        <f t="shared" ref="R181:S181" si="204">P181+N181</f>
        <v>0</v>
      </c>
      <c r="S181" s="341">
        <f t="shared" si="204"/>
        <v>0</v>
      </c>
      <c r="T181" s="340"/>
      <c r="U181" s="340"/>
      <c r="V181" s="340"/>
      <c r="W181" s="340"/>
      <c r="X181" s="341">
        <f t="shared" si="64"/>
        <v>0</v>
      </c>
      <c r="Y181" s="341">
        <f t="shared" si="65"/>
        <v>0</v>
      </c>
      <c r="Z181" s="331"/>
      <c r="AA181" s="110"/>
      <c r="AB181" s="358"/>
      <c r="AC181" s="330"/>
      <c r="AD181" s="110"/>
      <c r="AE181" s="110"/>
      <c r="AF181" s="332"/>
      <c r="AG181" s="332"/>
      <c r="AH181" s="332"/>
      <c r="AI181" s="332"/>
    </row>
    <row r="182" spans="1:35" ht="13.5" customHeight="1">
      <c r="A182" s="4"/>
      <c r="B182" s="15" t="s">
        <v>4195</v>
      </c>
      <c r="C182" s="260" t="s">
        <v>4196</v>
      </c>
      <c r="D182" s="254">
        <f>SUMIF(GL!$D$5:$D$6505,B182,GL!$G$5:$G$6505)</f>
        <v>0</v>
      </c>
      <c r="E182" s="341">
        <f>SUMIF(GL!$D$6:$D$6487,B182,GL!$H$6:$H$6487)</f>
        <v>0</v>
      </c>
      <c r="F182" s="341">
        <f>SUMIF(GL!$D$6:$D$6487,B182,GL!$I$6:$I$6487)</f>
        <v>0</v>
      </c>
      <c r="G182" s="341"/>
      <c r="H182" s="341"/>
      <c r="I182" s="341">
        <f t="shared" si="66"/>
        <v>0</v>
      </c>
      <c r="J182" s="341">
        <f t="shared" si="67"/>
        <v>0</v>
      </c>
      <c r="K182" s="341"/>
      <c r="L182" s="342"/>
      <c r="M182" s="342"/>
      <c r="N182" s="341">
        <f t="shared" si="61"/>
        <v>0</v>
      </c>
      <c r="O182" s="341">
        <f t="shared" si="62"/>
        <v>0</v>
      </c>
      <c r="P182" s="341">
        <f>SUMIF(GL!$D$6488:$D$6532,B182,GL!$H$6488:$H$6532)</f>
        <v>0</v>
      </c>
      <c r="Q182" s="341">
        <f>SUMIF(GL!$D$6408:$D$6452,B182,GL!$I$6408:$I$6452)</f>
        <v>0</v>
      </c>
      <c r="R182" s="341">
        <f t="shared" ref="R182:S182" si="205">P182+N182</f>
        <v>0</v>
      </c>
      <c r="S182" s="341">
        <f t="shared" si="205"/>
        <v>0</v>
      </c>
      <c r="T182" s="340"/>
      <c r="U182" s="340"/>
      <c r="V182" s="340"/>
      <c r="W182" s="340"/>
      <c r="X182" s="341">
        <f t="shared" si="64"/>
        <v>0</v>
      </c>
      <c r="Y182" s="341">
        <f t="shared" si="65"/>
        <v>0</v>
      </c>
      <c r="Z182" s="331"/>
      <c r="AA182" s="110"/>
      <c r="AB182" s="358"/>
      <c r="AC182" s="330"/>
      <c r="AD182" s="110"/>
      <c r="AE182" s="110"/>
      <c r="AF182" s="332"/>
      <c r="AG182" s="332"/>
      <c r="AH182" s="332"/>
      <c r="AI182" s="332"/>
    </row>
    <row r="183" spans="1:35" ht="13.5" customHeight="1">
      <c r="A183" s="4"/>
      <c r="B183" s="15" t="s">
        <v>4197</v>
      </c>
      <c r="C183" s="260" t="s">
        <v>4198</v>
      </c>
      <c r="D183" s="254">
        <f>SUMIF(GL!$D$5:$D$6505,B183,GL!$G$5:$G$6505)</f>
        <v>0</v>
      </c>
      <c r="E183" s="341">
        <f>SUMIF(GL!$D$6:$D$6487,B183,GL!$H$6:$H$6487)</f>
        <v>0</v>
      </c>
      <c r="F183" s="341">
        <f>SUMIF(GL!$D$6:$D$6487,B183,GL!$I$6:$I$6487)</f>
        <v>0</v>
      </c>
      <c r="G183" s="341"/>
      <c r="H183" s="341"/>
      <c r="I183" s="341">
        <f t="shared" si="66"/>
        <v>0</v>
      </c>
      <c r="J183" s="341">
        <f t="shared" si="67"/>
        <v>0</v>
      </c>
      <c r="K183" s="341"/>
      <c r="L183" s="342"/>
      <c r="M183" s="342"/>
      <c r="N183" s="341">
        <f t="shared" si="61"/>
        <v>0</v>
      </c>
      <c r="O183" s="341">
        <f t="shared" si="62"/>
        <v>0</v>
      </c>
      <c r="P183" s="341">
        <f>SUMIF(GL!$D$6488:$D$6532,B183,GL!$H$6488:$H$6532)</f>
        <v>0</v>
      </c>
      <c r="Q183" s="341">
        <f>SUMIF(GL!$D$6408:$D$6452,B183,GL!$I$6408:$I$6452)</f>
        <v>0</v>
      </c>
      <c r="R183" s="341">
        <f t="shared" ref="R183:S183" si="206">P183+N183</f>
        <v>0</v>
      </c>
      <c r="S183" s="341">
        <f t="shared" si="206"/>
        <v>0</v>
      </c>
      <c r="T183" s="340"/>
      <c r="U183" s="340"/>
      <c r="V183" s="340"/>
      <c r="W183" s="340"/>
      <c r="X183" s="341">
        <f t="shared" si="64"/>
        <v>0</v>
      </c>
      <c r="Y183" s="341">
        <f t="shared" si="65"/>
        <v>0</v>
      </c>
      <c r="Z183" s="331"/>
      <c r="AA183" s="110"/>
      <c r="AB183" s="358"/>
      <c r="AC183" s="330"/>
      <c r="AD183" s="110"/>
      <c r="AE183" s="110"/>
      <c r="AF183" s="332"/>
      <c r="AG183" s="332"/>
      <c r="AH183" s="332"/>
      <c r="AI183" s="332"/>
    </row>
    <row r="184" spans="1:35" ht="13.5" customHeight="1">
      <c r="A184" s="4"/>
      <c r="B184" s="15" t="s">
        <v>4199</v>
      </c>
      <c r="C184" s="260" t="s">
        <v>4200</v>
      </c>
      <c r="D184" s="254">
        <f>SUMIF(GL!$D$5:$D$6505,B184,GL!$G$5:$G$6505)</f>
        <v>0</v>
      </c>
      <c r="E184" s="341">
        <f>SUMIF(GL!$D$6:$D$6487,B184,GL!$H$6:$H$6487)</f>
        <v>0</v>
      </c>
      <c r="F184" s="341">
        <f>SUMIF(GL!$D$6:$D$6487,B184,GL!$I$6:$I$6487)</f>
        <v>0</v>
      </c>
      <c r="G184" s="341"/>
      <c r="H184" s="341"/>
      <c r="I184" s="341">
        <f t="shared" si="66"/>
        <v>0</v>
      </c>
      <c r="J184" s="341">
        <f t="shared" si="67"/>
        <v>0</v>
      </c>
      <c r="K184" s="341"/>
      <c r="L184" s="342"/>
      <c r="M184" s="342"/>
      <c r="N184" s="341">
        <f t="shared" si="61"/>
        <v>0</v>
      </c>
      <c r="O184" s="341">
        <f t="shared" si="62"/>
        <v>0</v>
      </c>
      <c r="P184" s="341">
        <f>SUMIF(GL!$D$6488:$D$6532,B184,GL!$H$6488:$H$6532)</f>
        <v>0</v>
      </c>
      <c r="Q184" s="341">
        <f>SUMIF(GL!$D$6408:$D$6452,B184,GL!$I$6408:$I$6452)</f>
        <v>0</v>
      </c>
      <c r="R184" s="341">
        <f t="shared" ref="R184:S184" si="207">P184+N184</f>
        <v>0</v>
      </c>
      <c r="S184" s="341">
        <f t="shared" si="207"/>
        <v>0</v>
      </c>
      <c r="T184" s="340"/>
      <c r="U184" s="340"/>
      <c r="V184" s="340"/>
      <c r="W184" s="340"/>
      <c r="X184" s="341">
        <f t="shared" si="64"/>
        <v>0</v>
      </c>
      <c r="Y184" s="341">
        <f t="shared" si="65"/>
        <v>0</v>
      </c>
      <c r="Z184" s="331"/>
      <c r="AA184" s="110"/>
      <c r="AB184" s="358"/>
      <c r="AC184" s="330"/>
      <c r="AD184" s="110"/>
      <c r="AE184" s="110"/>
      <c r="AF184" s="332"/>
      <c r="AG184" s="332"/>
      <c r="AH184" s="332"/>
      <c r="AI184" s="332"/>
    </row>
    <row r="185" spans="1:35" ht="13.5" customHeight="1">
      <c r="A185" s="4"/>
      <c r="B185" s="15" t="s">
        <v>4201</v>
      </c>
      <c r="C185" s="260" t="s">
        <v>4202</v>
      </c>
      <c r="D185" s="254">
        <f>SUMIF(GL!$D$5:$D$6505,B185,GL!$G$5:$G$6505)</f>
        <v>0</v>
      </c>
      <c r="E185" s="341">
        <f>SUMIF(GL!$D$6:$D$6487,B185,GL!$H$6:$H$6487)</f>
        <v>0</v>
      </c>
      <c r="F185" s="341">
        <f>SUMIF(GL!$D$6:$D$6487,B185,GL!$I$6:$I$6487)</f>
        <v>0</v>
      </c>
      <c r="G185" s="341"/>
      <c r="H185" s="341"/>
      <c r="I185" s="341">
        <f t="shared" si="66"/>
        <v>0</v>
      </c>
      <c r="J185" s="341">
        <f t="shared" si="67"/>
        <v>0</v>
      </c>
      <c r="K185" s="341"/>
      <c r="L185" s="342"/>
      <c r="M185" s="342"/>
      <c r="N185" s="341">
        <f t="shared" si="61"/>
        <v>0</v>
      </c>
      <c r="O185" s="341">
        <f t="shared" si="62"/>
        <v>0</v>
      </c>
      <c r="P185" s="341">
        <f>SUMIF(GL!$D$6488:$D$6532,B185,GL!$H$6488:$H$6532)</f>
        <v>0</v>
      </c>
      <c r="Q185" s="341">
        <f>SUMIF(GL!$D$6408:$D$6452,B185,GL!$I$6408:$I$6452)</f>
        <v>0</v>
      </c>
      <c r="R185" s="341">
        <f t="shared" ref="R185:S185" si="208">P185+N185</f>
        <v>0</v>
      </c>
      <c r="S185" s="341">
        <f t="shared" si="208"/>
        <v>0</v>
      </c>
      <c r="T185" s="340"/>
      <c r="U185" s="340"/>
      <c r="V185" s="340"/>
      <c r="W185" s="340"/>
      <c r="X185" s="341">
        <f t="shared" si="64"/>
        <v>0</v>
      </c>
      <c r="Y185" s="341">
        <f t="shared" si="65"/>
        <v>0</v>
      </c>
      <c r="Z185" s="331"/>
      <c r="AA185" s="110"/>
      <c r="AB185" s="358"/>
      <c r="AC185" s="330"/>
      <c r="AD185" s="110"/>
      <c r="AE185" s="110"/>
      <c r="AF185" s="332"/>
      <c r="AG185" s="332"/>
      <c r="AH185" s="332"/>
      <c r="AI185" s="332"/>
    </row>
    <row r="186" spans="1:35" ht="13.5" customHeight="1">
      <c r="A186" s="4"/>
      <c r="B186" s="15" t="s">
        <v>2356</v>
      </c>
      <c r="C186" s="260" t="s">
        <v>4203</v>
      </c>
      <c r="D186" s="254">
        <f>SUMIF(GL!$D$5:$D$6505,B186,GL!$G$5:$G$6505)</f>
        <v>1.2</v>
      </c>
      <c r="E186" s="341">
        <f>SUMIF(GL!$D$6:$D$6487,B186,GL!$H$6:$H$6487)</f>
        <v>16800</v>
      </c>
      <c r="F186" s="341">
        <f>SUMIF(GL!$D$6:$D$6487,B186,GL!$I$6:$I$6487)</f>
        <v>0</v>
      </c>
      <c r="G186" s="341"/>
      <c r="H186" s="341"/>
      <c r="I186" s="341">
        <f t="shared" si="66"/>
        <v>16800</v>
      </c>
      <c r="J186" s="341">
        <f t="shared" si="67"/>
        <v>0</v>
      </c>
      <c r="K186" s="341"/>
      <c r="L186" s="342"/>
      <c r="M186" s="342"/>
      <c r="N186" s="341">
        <f t="shared" si="61"/>
        <v>16800</v>
      </c>
      <c r="O186" s="341">
        <f t="shared" si="62"/>
        <v>0</v>
      </c>
      <c r="P186" s="341">
        <f>SUMIF(GL!$D$6488:$D$6532,B186,GL!$H$6488:$H$6532)</f>
        <v>0</v>
      </c>
      <c r="Q186" s="341">
        <f>SUMIF(GL!$D$6408:$D$6452,B186,GL!$I$6408:$I$6452)</f>
        <v>0</v>
      </c>
      <c r="R186" s="341">
        <f t="shared" ref="R186:S186" si="209">P186+N186</f>
        <v>16800</v>
      </c>
      <c r="S186" s="341">
        <f t="shared" si="209"/>
        <v>0</v>
      </c>
      <c r="T186" s="340"/>
      <c r="U186" s="340"/>
      <c r="V186" s="340"/>
      <c r="W186" s="340"/>
      <c r="X186" s="341">
        <f t="shared" si="64"/>
        <v>16800</v>
      </c>
      <c r="Y186" s="341">
        <f t="shared" si="65"/>
        <v>0</v>
      </c>
      <c r="Z186" s="331"/>
      <c r="AA186" s="110"/>
      <c r="AB186" s="358"/>
      <c r="AC186" s="330"/>
      <c r="AD186" s="110"/>
      <c r="AE186" s="110"/>
      <c r="AF186" s="332"/>
      <c r="AG186" s="332"/>
      <c r="AH186" s="332"/>
      <c r="AI186" s="332"/>
    </row>
    <row r="187" spans="1:35" ht="13.5" customHeight="1">
      <c r="A187" s="4"/>
      <c r="B187" s="15"/>
      <c r="C187" s="260"/>
      <c r="D187" s="254">
        <f>SUMIF(GL!$D$5:$D$6505,B187,GL!$G$5:$G$6505)</f>
        <v>0</v>
      </c>
      <c r="E187" s="341">
        <f>SUMIF(GL!$D$6:$D$6487,B187,GL!$H$6:$H$6487)</f>
        <v>0</v>
      </c>
      <c r="F187" s="341">
        <f>SUMIF(GL!$D$6:$D$6487,B187,GL!$I$6:$I$6487)</f>
        <v>0</v>
      </c>
      <c r="G187" s="341"/>
      <c r="H187" s="341"/>
      <c r="I187" s="341">
        <f t="shared" si="66"/>
        <v>0</v>
      </c>
      <c r="J187" s="341">
        <f t="shared" si="67"/>
        <v>0</v>
      </c>
      <c r="K187" s="341"/>
      <c r="L187" s="342"/>
      <c r="M187" s="342"/>
      <c r="N187" s="341">
        <f t="shared" si="61"/>
        <v>0</v>
      </c>
      <c r="O187" s="341">
        <f t="shared" si="62"/>
        <v>0</v>
      </c>
      <c r="P187" s="341">
        <f>SUMIF(GL!$D$6488:$D$6532,B187,GL!$H$6488:$H$6532)</f>
        <v>0</v>
      </c>
      <c r="Q187" s="341">
        <f>SUMIF(GL!$D$6408:$D$6452,B187,GL!$I$6408:$I$6452)</f>
        <v>0</v>
      </c>
      <c r="R187" s="341">
        <f t="shared" ref="R187:S187" si="210">P187+N187</f>
        <v>0</v>
      </c>
      <c r="S187" s="341">
        <f t="shared" si="210"/>
        <v>0</v>
      </c>
      <c r="T187" s="340"/>
      <c r="U187" s="340"/>
      <c r="V187" s="340"/>
      <c r="W187" s="340"/>
      <c r="X187" s="341">
        <f t="shared" si="64"/>
        <v>0</v>
      </c>
      <c r="Y187" s="341">
        <f t="shared" si="65"/>
        <v>0</v>
      </c>
      <c r="Z187" s="331"/>
      <c r="AA187" s="110"/>
      <c r="AB187" s="358"/>
      <c r="AC187" s="330"/>
      <c r="AD187" s="110"/>
      <c r="AE187" s="110"/>
      <c r="AF187" s="332"/>
      <c r="AG187" s="332"/>
      <c r="AH187" s="332"/>
      <c r="AI187" s="332"/>
    </row>
    <row r="188" spans="1:35" ht="13.5" customHeight="1">
      <c r="A188" s="4"/>
      <c r="B188" s="15"/>
      <c r="C188" s="260"/>
      <c r="D188" s="254">
        <f>SUMIF(GL!$D$5:$D$6505,B188,GL!$G$5:$G$6505)</f>
        <v>0</v>
      </c>
      <c r="E188" s="341">
        <f>SUMIF(GL!$D$6:$D$6487,B188,GL!$H$6:$H$6487)</f>
        <v>0</v>
      </c>
      <c r="F188" s="341">
        <f>SUMIF(GL!$D$6:$D$6487,B188,GL!$I$6:$I$6487)</f>
        <v>0</v>
      </c>
      <c r="G188" s="341"/>
      <c r="H188" s="341"/>
      <c r="I188" s="341">
        <f t="shared" si="66"/>
        <v>0</v>
      </c>
      <c r="J188" s="341">
        <f t="shared" si="67"/>
        <v>0</v>
      </c>
      <c r="K188" s="341"/>
      <c r="L188" s="342"/>
      <c r="M188" s="342"/>
      <c r="N188" s="341">
        <f t="shared" si="61"/>
        <v>0</v>
      </c>
      <c r="O188" s="341">
        <f t="shared" si="62"/>
        <v>0</v>
      </c>
      <c r="P188" s="341">
        <f>SUMIF(GL!$D$6488:$D$6532,B188,GL!$H$6488:$H$6532)</f>
        <v>0</v>
      </c>
      <c r="Q188" s="341">
        <f>SUMIF(GL!$D$6408:$D$6452,B188,GL!$I$6408:$I$6452)</f>
        <v>0</v>
      </c>
      <c r="R188" s="341">
        <f t="shared" ref="R188:S188" si="211">P188+N188</f>
        <v>0</v>
      </c>
      <c r="S188" s="341">
        <f t="shared" si="211"/>
        <v>0</v>
      </c>
      <c r="T188" s="340"/>
      <c r="U188" s="340"/>
      <c r="V188" s="340"/>
      <c r="W188" s="340"/>
      <c r="X188" s="341">
        <f t="shared" si="64"/>
        <v>0</v>
      </c>
      <c r="Y188" s="341">
        <f t="shared" si="65"/>
        <v>0</v>
      </c>
      <c r="Z188" s="331"/>
      <c r="AA188" s="110"/>
      <c r="AB188" s="358"/>
      <c r="AC188" s="330"/>
      <c r="AD188" s="110"/>
      <c r="AE188" s="110"/>
      <c r="AF188" s="332"/>
      <c r="AG188" s="332"/>
      <c r="AH188" s="332"/>
      <c r="AI188" s="332"/>
    </row>
    <row r="189" spans="1:35" ht="13.5" customHeight="1">
      <c r="A189" s="4"/>
      <c r="B189" s="15"/>
      <c r="C189" s="260"/>
      <c r="D189" s="254">
        <f>SUMIF(GL!$D$5:$D$6505,B189,GL!$G$5:$G$6505)</f>
        <v>0</v>
      </c>
      <c r="E189" s="341">
        <f>SUMIF(GL!$D$6:$D$6487,B189,GL!$H$6:$H$6487)</f>
        <v>0</v>
      </c>
      <c r="F189" s="341">
        <f>SUMIF(GL!$D$6:$D$6487,B189,GL!$I$6:$I$6487)</f>
        <v>0</v>
      </c>
      <c r="G189" s="341"/>
      <c r="H189" s="341"/>
      <c r="I189" s="341">
        <f t="shared" si="66"/>
        <v>0</v>
      </c>
      <c r="J189" s="341">
        <f t="shared" si="67"/>
        <v>0</v>
      </c>
      <c r="K189" s="341"/>
      <c r="L189" s="342"/>
      <c r="M189" s="342"/>
      <c r="N189" s="341">
        <f t="shared" si="61"/>
        <v>0</v>
      </c>
      <c r="O189" s="341">
        <f t="shared" si="62"/>
        <v>0</v>
      </c>
      <c r="P189" s="341">
        <f>SUMIF(GL!$D$6488:$D$6532,B189,GL!$H$6488:$H$6532)</f>
        <v>0</v>
      </c>
      <c r="Q189" s="341">
        <f>SUMIF(GL!$D$6408:$D$6452,B189,GL!$I$6408:$I$6452)</f>
        <v>0</v>
      </c>
      <c r="R189" s="341">
        <f t="shared" ref="R189:S189" si="212">P189+N189</f>
        <v>0</v>
      </c>
      <c r="S189" s="341">
        <f t="shared" si="212"/>
        <v>0</v>
      </c>
      <c r="T189" s="340"/>
      <c r="U189" s="340"/>
      <c r="V189" s="340"/>
      <c r="W189" s="340"/>
      <c r="X189" s="341">
        <f t="shared" si="64"/>
        <v>0</v>
      </c>
      <c r="Y189" s="341">
        <f t="shared" si="65"/>
        <v>0</v>
      </c>
      <c r="Z189" s="331"/>
      <c r="AA189" s="110"/>
      <c r="AB189" s="358"/>
      <c r="AC189" s="330"/>
      <c r="AD189" s="110"/>
      <c r="AE189" s="110"/>
      <c r="AF189" s="332"/>
      <c r="AG189" s="332"/>
      <c r="AH189" s="332"/>
      <c r="AI189" s="332"/>
    </row>
    <row r="190" spans="1:35" ht="13.5" customHeight="1">
      <c r="A190" s="4"/>
      <c r="B190" s="15"/>
      <c r="C190" s="260"/>
      <c r="D190" s="254">
        <f>SUMIF(GL!$D$5:$D$6505,B190,GL!$G$5:$G$6505)</f>
        <v>0</v>
      </c>
      <c r="E190" s="341">
        <f>SUMIF(GL!$D$6:$D$6487,B190,GL!$H$6:$H$6487)</f>
        <v>0</v>
      </c>
      <c r="F190" s="341">
        <f>SUMIF(GL!$D$6:$D$6487,B190,GL!$I$6:$I$6487)</f>
        <v>0</v>
      </c>
      <c r="G190" s="341"/>
      <c r="H190" s="341"/>
      <c r="I190" s="341">
        <f t="shared" si="66"/>
        <v>0</v>
      </c>
      <c r="J190" s="341">
        <f t="shared" si="67"/>
        <v>0</v>
      </c>
      <c r="K190" s="341"/>
      <c r="L190" s="342"/>
      <c r="M190" s="342"/>
      <c r="N190" s="341">
        <f t="shared" si="61"/>
        <v>0</v>
      </c>
      <c r="O190" s="341">
        <f t="shared" si="62"/>
        <v>0</v>
      </c>
      <c r="P190" s="341">
        <f>SUMIF(GL!$D$6488:$D$6532,B190,GL!$H$6488:$H$6532)</f>
        <v>0</v>
      </c>
      <c r="Q190" s="341">
        <f>SUMIF(GL!$D$6408:$D$6452,B190,GL!$I$6408:$I$6452)</f>
        <v>0</v>
      </c>
      <c r="R190" s="341">
        <f t="shared" ref="R190:S190" si="213">P190+N190</f>
        <v>0</v>
      </c>
      <c r="S190" s="341">
        <f t="shared" si="213"/>
        <v>0</v>
      </c>
      <c r="T190" s="340"/>
      <c r="U190" s="340"/>
      <c r="V190" s="340"/>
      <c r="W190" s="340"/>
      <c r="X190" s="341">
        <f t="shared" si="64"/>
        <v>0</v>
      </c>
      <c r="Y190" s="341">
        <f t="shared" si="65"/>
        <v>0</v>
      </c>
      <c r="Z190" s="331"/>
      <c r="AA190" s="110"/>
      <c r="AB190" s="358"/>
      <c r="AC190" s="330"/>
      <c r="AD190" s="110"/>
      <c r="AE190" s="110"/>
      <c r="AF190" s="332"/>
      <c r="AG190" s="332"/>
      <c r="AH190" s="332"/>
      <c r="AI190" s="332"/>
    </row>
    <row r="191" spans="1:35" ht="13.5" customHeight="1">
      <c r="A191" s="4"/>
      <c r="B191" s="15"/>
      <c r="C191" s="260"/>
      <c r="D191" s="254">
        <f>SUMIF(GL!$D$5:$D$6505,B191,GL!$G$5:$G$6505)</f>
        <v>0</v>
      </c>
      <c r="E191" s="341">
        <f>SUMIF(GL!$D$6:$D$6487,B191,GL!$H$6:$H$6487)</f>
        <v>0</v>
      </c>
      <c r="F191" s="341">
        <f>SUMIF(GL!$D$6:$D$6487,B191,GL!$I$6:$I$6487)</f>
        <v>0</v>
      </c>
      <c r="G191" s="341"/>
      <c r="H191" s="341"/>
      <c r="I191" s="341">
        <f t="shared" si="66"/>
        <v>0</v>
      </c>
      <c r="J191" s="341">
        <f t="shared" si="67"/>
        <v>0</v>
      </c>
      <c r="K191" s="341"/>
      <c r="L191" s="342"/>
      <c r="M191" s="342"/>
      <c r="N191" s="341">
        <f t="shared" si="61"/>
        <v>0</v>
      </c>
      <c r="O191" s="341">
        <f t="shared" si="62"/>
        <v>0</v>
      </c>
      <c r="P191" s="341">
        <f>SUMIF(GL!$D$6488:$D$6532,B191,GL!$H$6488:$H$6532)</f>
        <v>0</v>
      </c>
      <c r="Q191" s="341">
        <f>SUMIF(GL!$D$6408:$D$6452,B191,GL!$I$6408:$I$6452)</f>
        <v>0</v>
      </c>
      <c r="R191" s="341">
        <f t="shared" ref="R191:S191" si="214">P191+N191</f>
        <v>0</v>
      </c>
      <c r="S191" s="341">
        <f t="shared" si="214"/>
        <v>0</v>
      </c>
      <c r="T191" s="340"/>
      <c r="U191" s="340"/>
      <c r="V191" s="340"/>
      <c r="W191" s="340"/>
      <c r="X191" s="341">
        <f t="shared" si="64"/>
        <v>0</v>
      </c>
      <c r="Y191" s="341">
        <f t="shared" si="65"/>
        <v>0</v>
      </c>
      <c r="Z191" s="331"/>
      <c r="AA191" s="110"/>
      <c r="AB191" s="358"/>
      <c r="AC191" s="330"/>
      <c r="AD191" s="110"/>
      <c r="AE191" s="110"/>
      <c r="AF191" s="332"/>
      <c r="AG191" s="332"/>
      <c r="AH191" s="332"/>
      <c r="AI191" s="332"/>
    </row>
    <row r="192" spans="1:35" ht="13.5" customHeight="1">
      <c r="A192" s="4"/>
      <c r="B192" s="15"/>
      <c r="C192" s="260"/>
      <c r="D192" s="254">
        <f>SUMIF(GL!$D$5:$D$6505,B192,GL!$G$5:$G$6505)</f>
        <v>0</v>
      </c>
      <c r="E192" s="341">
        <f>SUMIF(GL!$D$6:$D$6487,B192,GL!$H$6:$H$6487)</f>
        <v>0</v>
      </c>
      <c r="F192" s="341">
        <f>SUMIF(GL!$D$6:$D$6487,B192,GL!$I$6:$I$6487)</f>
        <v>0</v>
      </c>
      <c r="G192" s="341"/>
      <c r="H192" s="341"/>
      <c r="I192" s="341">
        <f t="shared" si="66"/>
        <v>0</v>
      </c>
      <c r="J192" s="341">
        <f t="shared" si="67"/>
        <v>0</v>
      </c>
      <c r="K192" s="341"/>
      <c r="L192" s="342"/>
      <c r="M192" s="342"/>
      <c r="N192" s="341">
        <f t="shared" si="61"/>
        <v>0</v>
      </c>
      <c r="O192" s="341">
        <f t="shared" si="62"/>
        <v>0</v>
      </c>
      <c r="P192" s="341">
        <f>SUMIF(GL!$D$6488:$D$6532,B192,GL!$H$6488:$H$6532)</f>
        <v>0</v>
      </c>
      <c r="Q192" s="341">
        <f>SUMIF(GL!$D$6408:$D$6452,B192,GL!$I$6408:$I$6452)</f>
        <v>0</v>
      </c>
      <c r="R192" s="341">
        <f t="shared" ref="R192:S192" si="215">P192+N192</f>
        <v>0</v>
      </c>
      <c r="S192" s="341">
        <f t="shared" si="215"/>
        <v>0</v>
      </c>
      <c r="T192" s="340"/>
      <c r="U192" s="340"/>
      <c r="V192" s="340"/>
      <c r="W192" s="340"/>
      <c r="X192" s="341">
        <f t="shared" si="64"/>
        <v>0</v>
      </c>
      <c r="Y192" s="341">
        <f t="shared" si="65"/>
        <v>0</v>
      </c>
      <c r="Z192" s="331"/>
      <c r="AA192" s="110"/>
      <c r="AB192" s="358"/>
      <c r="AC192" s="330"/>
      <c r="AD192" s="110"/>
      <c r="AE192" s="110"/>
      <c r="AF192" s="332"/>
      <c r="AG192" s="332"/>
      <c r="AH192" s="332"/>
      <c r="AI192" s="332"/>
    </row>
    <row r="193" spans="1:35" ht="13.5" customHeight="1">
      <c r="A193" s="4"/>
      <c r="B193" s="15"/>
      <c r="C193" s="260"/>
      <c r="D193" s="254">
        <f>SUMIF(GL!$D$5:$D$6505,B193,GL!$G$5:$G$6505)</f>
        <v>0</v>
      </c>
      <c r="E193" s="341">
        <f>SUMIF(GL!$D$6:$D$6487,B193,GL!$H$6:$H$6487)</f>
        <v>0</v>
      </c>
      <c r="F193" s="341">
        <f>SUMIF(GL!$D$6:$D$6487,B193,GL!$I$6:$I$6487)</f>
        <v>0</v>
      </c>
      <c r="G193" s="341"/>
      <c r="H193" s="341"/>
      <c r="I193" s="341">
        <f t="shared" si="66"/>
        <v>0</v>
      </c>
      <c r="J193" s="341">
        <f t="shared" si="67"/>
        <v>0</v>
      </c>
      <c r="K193" s="341"/>
      <c r="L193" s="342"/>
      <c r="M193" s="342"/>
      <c r="N193" s="341">
        <f t="shared" si="61"/>
        <v>0</v>
      </c>
      <c r="O193" s="341">
        <f t="shared" si="62"/>
        <v>0</v>
      </c>
      <c r="P193" s="341">
        <f>SUMIF(GL!$D$6488:$D$6532,B193,GL!$H$6488:$H$6532)</f>
        <v>0</v>
      </c>
      <c r="Q193" s="341">
        <f>SUMIF(GL!$D$6408:$D$6452,B193,GL!$I$6408:$I$6452)</f>
        <v>0</v>
      </c>
      <c r="R193" s="341">
        <f t="shared" ref="R193:S193" si="216">P193+N193</f>
        <v>0</v>
      </c>
      <c r="S193" s="341">
        <f t="shared" si="216"/>
        <v>0</v>
      </c>
      <c r="T193" s="340"/>
      <c r="U193" s="340"/>
      <c r="V193" s="340"/>
      <c r="W193" s="340"/>
      <c r="X193" s="341">
        <f t="shared" si="64"/>
        <v>0</v>
      </c>
      <c r="Y193" s="341">
        <f t="shared" si="65"/>
        <v>0</v>
      </c>
      <c r="Z193" s="331"/>
      <c r="AA193" s="110"/>
      <c r="AB193" s="358"/>
      <c r="AC193" s="330"/>
      <c r="AD193" s="110"/>
      <c r="AE193" s="110"/>
      <c r="AF193" s="332"/>
      <c r="AG193" s="332"/>
      <c r="AH193" s="332"/>
      <c r="AI193" s="332"/>
    </row>
    <row r="194" spans="1:35" ht="13.5" customHeight="1">
      <c r="A194" s="4"/>
      <c r="B194" s="15"/>
      <c r="C194" s="260"/>
      <c r="D194" s="254">
        <f>SUMIF(GL!$D$5:$D$6505,B194,GL!$G$5:$G$6505)</f>
        <v>0</v>
      </c>
      <c r="E194" s="341">
        <f>SUMIF(GL!$D$6:$D$6487,B194,GL!$H$6:$H$6487)</f>
        <v>0</v>
      </c>
      <c r="F194" s="341">
        <f>SUMIF(GL!$D$6:$D$6487,B194,GL!$I$6:$I$6487)</f>
        <v>0</v>
      </c>
      <c r="G194" s="341"/>
      <c r="H194" s="341"/>
      <c r="I194" s="341">
        <f t="shared" si="66"/>
        <v>0</v>
      </c>
      <c r="J194" s="341">
        <f t="shared" si="67"/>
        <v>0</v>
      </c>
      <c r="K194" s="341"/>
      <c r="L194" s="342"/>
      <c r="M194" s="342"/>
      <c r="N194" s="341">
        <f t="shared" si="61"/>
        <v>0</v>
      </c>
      <c r="O194" s="341">
        <f t="shared" si="62"/>
        <v>0</v>
      </c>
      <c r="P194" s="341">
        <f>SUMIF(GL!$D$6488:$D$6532,B194,GL!$H$6488:$H$6532)</f>
        <v>0</v>
      </c>
      <c r="Q194" s="341">
        <f>SUMIF(GL!$D$6408:$D$6452,B194,GL!$I$6408:$I$6452)</f>
        <v>0</v>
      </c>
      <c r="R194" s="341">
        <f t="shared" ref="R194:S194" si="217">P194+N194</f>
        <v>0</v>
      </c>
      <c r="S194" s="341">
        <f t="shared" si="217"/>
        <v>0</v>
      </c>
      <c r="T194" s="340"/>
      <c r="U194" s="340"/>
      <c r="V194" s="340"/>
      <c r="W194" s="340"/>
      <c r="X194" s="341">
        <f t="shared" si="64"/>
        <v>0</v>
      </c>
      <c r="Y194" s="341">
        <f t="shared" si="65"/>
        <v>0</v>
      </c>
      <c r="Z194" s="331"/>
      <c r="AA194" s="110"/>
      <c r="AB194" s="358"/>
      <c r="AC194" s="330"/>
      <c r="AD194" s="110"/>
      <c r="AE194" s="110"/>
      <c r="AF194" s="332"/>
      <c r="AG194" s="332"/>
      <c r="AH194" s="332"/>
      <c r="AI194" s="332"/>
    </row>
    <row r="195" spans="1:35" ht="13.5" customHeight="1">
      <c r="A195" s="4"/>
      <c r="B195" s="15"/>
      <c r="C195" s="260"/>
      <c r="D195" s="254">
        <f>SUMIF(GL!$D$5:$D$6505,B195,GL!$G$5:$G$6505)</f>
        <v>0</v>
      </c>
      <c r="E195" s="341">
        <f>SUMIF(GL!$D$6:$D$6487,B195,GL!$H$6:$H$6487)</f>
        <v>0</v>
      </c>
      <c r="F195" s="341">
        <f>SUMIF(GL!$D$6:$D$6487,B195,GL!$I$6:$I$6487)</f>
        <v>0</v>
      </c>
      <c r="G195" s="341"/>
      <c r="H195" s="341"/>
      <c r="I195" s="341">
        <f t="shared" si="66"/>
        <v>0</v>
      </c>
      <c r="J195" s="341">
        <f t="shared" si="67"/>
        <v>0</v>
      </c>
      <c r="K195" s="341"/>
      <c r="L195" s="342"/>
      <c r="M195" s="342"/>
      <c r="N195" s="341">
        <f t="shared" si="61"/>
        <v>0</v>
      </c>
      <c r="O195" s="341">
        <f t="shared" si="62"/>
        <v>0</v>
      </c>
      <c r="P195" s="341">
        <f>SUMIF(GL!$D$6488:$D$6532,B195,GL!$H$6488:$H$6532)</f>
        <v>0</v>
      </c>
      <c r="Q195" s="341">
        <f>SUMIF(GL!$D$6408:$D$6452,B195,GL!$I$6408:$I$6452)</f>
        <v>0</v>
      </c>
      <c r="R195" s="341">
        <f t="shared" ref="R195:S195" si="218">P195+N195</f>
        <v>0</v>
      </c>
      <c r="S195" s="341">
        <f t="shared" si="218"/>
        <v>0</v>
      </c>
      <c r="T195" s="340"/>
      <c r="U195" s="340"/>
      <c r="V195" s="340"/>
      <c r="W195" s="340"/>
      <c r="X195" s="341">
        <f t="shared" si="64"/>
        <v>0</v>
      </c>
      <c r="Y195" s="341">
        <f t="shared" si="65"/>
        <v>0</v>
      </c>
      <c r="Z195" s="331"/>
      <c r="AA195" s="110"/>
      <c r="AB195" s="358"/>
      <c r="AC195" s="330"/>
      <c r="AD195" s="110"/>
      <c r="AE195" s="110"/>
      <c r="AF195" s="332"/>
      <c r="AG195" s="332"/>
      <c r="AH195" s="332"/>
      <c r="AI195" s="332"/>
    </row>
    <row r="196" spans="1:35" ht="13.5" customHeight="1">
      <c r="A196" s="4"/>
      <c r="B196" s="15"/>
      <c r="C196" s="260"/>
      <c r="D196" s="254">
        <f>SUMIF(GL!$D$5:$D$6505,B196,GL!$G$5:$G$6505)</f>
        <v>0</v>
      </c>
      <c r="E196" s="341">
        <f>SUMIF(GL!$D$6:$D$6487,B196,GL!$H$6:$H$6487)</f>
        <v>0</v>
      </c>
      <c r="F196" s="341">
        <f>SUMIF(GL!$D$6:$D$6487,B196,GL!$I$6:$I$6487)</f>
        <v>0</v>
      </c>
      <c r="G196" s="341"/>
      <c r="H196" s="341"/>
      <c r="I196" s="341">
        <f t="shared" si="66"/>
        <v>0</v>
      </c>
      <c r="J196" s="341">
        <f t="shared" si="67"/>
        <v>0</v>
      </c>
      <c r="K196" s="341"/>
      <c r="L196" s="342"/>
      <c r="M196" s="342"/>
      <c r="N196" s="341">
        <f t="shared" si="61"/>
        <v>0</v>
      </c>
      <c r="O196" s="341">
        <f t="shared" si="62"/>
        <v>0</v>
      </c>
      <c r="P196" s="341">
        <f>SUMIF(GL!$D$6488:$D$6532,B196,GL!$H$6488:$H$6532)</f>
        <v>0</v>
      </c>
      <c r="Q196" s="341">
        <f>SUMIF(GL!$D$6408:$D$6452,B196,GL!$I$6408:$I$6452)</f>
        <v>0</v>
      </c>
      <c r="R196" s="341">
        <f t="shared" ref="R196:S196" si="219">P196+N196</f>
        <v>0</v>
      </c>
      <c r="S196" s="341">
        <f t="shared" si="219"/>
        <v>0</v>
      </c>
      <c r="T196" s="340"/>
      <c r="U196" s="340"/>
      <c r="V196" s="340"/>
      <c r="W196" s="340"/>
      <c r="X196" s="341">
        <f t="shared" si="64"/>
        <v>0</v>
      </c>
      <c r="Y196" s="341">
        <f t="shared" si="65"/>
        <v>0</v>
      </c>
      <c r="Z196" s="331"/>
      <c r="AA196" s="110"/>
      <c r="AB196" s="358"/>
      <c r="AC196" s="330"/>
      <c r="AD196" s="110"/>
      <c r="AE196" s="110"/>
      <c r="AF196" s="332"/>
      <c r="AG196" s="332"/>
      <c r="AH196" s="332"/>
      <c r="AI196" s="332"/>
    </row>
    <row r="197" spans="1:35" ht="13.5" customHeight="1">
      <c r="A197" s="4"/>
      <c r="B197" s="15"/>
      <c r="C197" s="261" t="s">
        <v>3827</v>
      </c>
      <c r="D197" s="254">
        <f>SUMIF(GL!$D$5:$D$6505,B197,GL!$G$5:$G$6505)</f>
        <v>0</v>
      </c>
      <c r="E197" s="341">
        <f>SUMIF(GL!$D$6:$D$6487,B197,GL!$H$6:$H$6487)</f>
        <v>0</v>
      </c>
      <c r="F197" s="341">
        <f>SUMIF(GL!$D$6:$D$6487,B197,GL!$I$6:$I$6487)</f>
        <v>0</v>
      </c>
      <c r="G197" s="341"/>
      <c r="H197" s="341"/>
      <c r="I197" s="341">
        <f t="shared" si="66"/>
        <v>0</v>
      </c>
      <c r="J197" s="341">
        <f t="shared" si="67"/>
        <v>0</v>
      </c>
      <c r="K197" s="341"/>
      <c r="L197" s="342"/>
      <c r="M197" s="342"/>
      <c r="N197" s="341">
        <f t="shared" si="61"/>
        <v>0</v>
      </c>
      <c r="O197" s="341">
        <f t="shared" si="62"/>
        <v>0</v>
      </c>
      <c r="P197" s="341">
        <f>SUMIF(GL!$D$6488:$D$6532,B197,GL!$H$6488:$H$6532)</f>
        <v>0</v>
      </c>
      <c r="Q197" s="341">
        <f>SUMIF(GL!$D$6408:$D$6452,B197,GL!$I$6408:$I$6452)</f>
        <v>0</v>
      </c>
      <c r="R197" s="341">
        <f t="shared" ref="R197:S197" si="220">P197+N197</f>
        <v>0</v>
      </c>
      <c r="S197" s="341">
        <f t="shared" si="220"/>
        <v>0</v>
      </c>
      <c r="T197" s="340"/>
      <c r="U197" s="340"/>
      <c r="V197" s="340"/>
      <c r="W197" s="340"/>
      <c r="X197" s="341">
        <f t="shared" si="64"/>
        <v>0</v>
      </c>
      <c r="Y197" s="341">
        <f t="shared" si="65"/>
        <v>0</v>
      </c>
      <c r="Z197" s="331"/>
      <c r="AA197" s="110"/>
      <c r="AB197" s="358"/>
      <c r="AC197" s="330"/>
      <c r="AD197" s="110"/>
      <c r="AE197" s="110"/>
      <c r="AF197" s="332"/>
      <c r="AG197" s="332"/>
      <c r="AH197" s="332"/>
      <c r="AI197" s="332"/>
    </row>
    <row r="198" spans="1:35" ht="13.5" customHeight="1">
      <c r="A198" s="4"/>
      <c r="B198" s="15" t="s">
        <v>2962</v>
      </c>
      <c r="C198" s="260" t="s">
        <v>4204</v>
      </c>
      <c r="D198" s="254">
        <f>SUMIF(GL!$D$5:$D$6505,B198,GL!$G$5:$G$6505)</f>
        <v>8.6274509803921582</v>
      </c>
      <c r="E198" s="341">
        <f>SUMIF(GL!$D$6:$D$6487,B198,GL!$H$6:$H$6487)</f>
        <v>218914</v>
      </c>
      <c r="F198" s="341">
        <f>SUMIF(GL!$D$6:$D$6487,B198,GL!$I$6:$I$6487)</f>
        <v>0</v>
      </c>
      <c r="G198" s="341"/>
      <c r="H198" s="341"/>
      <c r="I198" s="341">
        <f t="shared" si="66"/>
        <v>218914</v>
      </c>
      <c r="J198" s="341">
        <f t="shared" si="67"/>
        <v>0</v>
      </c>
      <c r="K198" s="341"/>
      <c r="L198" s="342"/>
      <c r="M198" s="342"/>
      <c r="N198" s="341">
        <f t="shared" si="61"/>
        <v>218914</v>
      </c>
      <c r="O198" s="341">
        <f t="shared" si="62"/>
        <v>0</v>
      </c>
      <c r="P198" s="341">
        <f>SUMIF(GL!$D$6488:$D$6532,B198,GL!$H$6488:$H$6532)</f>
        <v>0</v>
      </c>
      <c r="Q198" s="341">
        <f>SUMIF(GL!$D$6408:$D$6452,B198,GL!$I$6408:$I$6452)</f>
        <v>0</v>
      </c>
      <c r="R198" s="341">
        <f t="shared" ref="R198:S198" si="221">P198+N198</f>
        <v>218914</v>
      </c>
      <c r="S198" s="341">
        <f t="shared" si="221"/>
        <v>0</v>
      </c>
      <c r="T198" s="340"/>
      <c r="U198" s="340"/>
      <c r="V198" s="340"/>
      <c r="W198" s="340"/>
      <c r="X198" s="341">
        <f t="shared" si="64"/>
        <v>218914</v>
      </c>
      <c r="Y198" s="341">
        <f t="shared" si="65"/>
        <v>0</v>
      </c>
      <c r="Z198" s="331"/>
      <c r="AA198" s="110"/>
      <c r="AB198" s="358"/>
      <c r="AC198" s="330"/>
      <c r="AD198" s="110"/>
      <c r="AE198" s="110"/>
      <c r="AF198" s="332"/>
      <c r="AG198" s="332"/>
      <c r="AH198" s="332"/>
      <c r="AI198" s="332"/>
    </row>
    <row r="199" spans="1:35" ht="13.5" customHeight="1">
      <c r="A199" s="4"/>
      <c r="B199" s="15" t="s">
        <v>4205</v>
      </c>
      <c r="C199" s="260" t="s">
        <v>4206</v>
      </c>
      <c r="D199" s="254">
        <f>SUMIF(GL!$D$5:$D$6505,B199,GL!$G$5:$G$6505)</f>
        <v>0</v>
      </c>
      <c r="E199" s="341">
        <f>SUMIF(GL!$D$6:$D$6487,B199,GL!$H$6:$H$6487)</f>
        <v>0</v>
      </c>
      <c r="F199" s="341">
        <f>SUMIF(GL!$D$6:$D$6487,B199,GL!$I$6:$I$6487)</f>
        <v>0</v>
      </c>
      <c r="G199" s="341"/>
      <c r="H199" s="341"/>
      <c r="I199" s="341">
        <f t="shared" si="66"/>
        <v>0</v>
      </c>
      <c r="J199" s="341">
        <f t="shared" si="67"/>
        <v>0</v>
      </c>
      <c r="K199" s="341"/>
      <c r="L199" s="342"/>
      <c r="M199" s="342"/>
      <c r="N199" s="341">
        <f t="shared" si="61"/>
        <v>0</v>
      </c>
      <c r="O199" s="341">
        <f t="shared" si="62"/>
        <v>0</v>
      </c>
      <c r="P199" s="341">
        <f>SUMIF(GL!$D$6488:$D$6532,B199,GL!$H$6488:$H$6532)</f>
        <v>0</v>
      </c>
      <c r="Q199" s="341">
        <f>SUMIF(GL!$D$6408:$D$6452,B199,GL!$I$6408:$I$6452)</f>
        <v>0</v>
      </c>
      <c r="R199" s="341">
        <f t="shared" ref="R199:S199" si="222">P199+N199</f>
        <v>0</v>
      </c>
      <c r="S199" s="341">
        <f t="shared" si="222"/>
        <v>0</v>
      </c>
      <c r="T199" s="340"/>
      <c r="U199" s="340"/>
      <c r="V199" s="340"/>
      <c r="W199" s="340"/>
      <c r="X199" s="341">
        <f t="shared" si="64"/>
        <v>0</v>
      </c>
      <c r="Y199" s="341">
        <f t="shared" si="65"/>
        <v>0</v>
      </c>
      <c r="Z199" s="331"/>
      <c r="AA199" s="110"/>
      <c r="AB199" s="358"/>
      <c r="AC199" s="330"/>
      <c r="AD199" s="110"/>
      <c r="AE199" s="110"/>
      <c r="AF199" s="332"/>
      <c r="AG199" s="332"/>
      <c r="AH199" s="332"/>
      <c r="AI199" s="332"/>
    </row>
    <row r="200" spans="1:35" ht="13.5" customHeight="1">
      <c r="A200" s="4"/>
      <c r="B200" s="15" t="s">
        <v>2141</v>
      </c>
      <c r="C200" s="260" t="s">
        <v>4207</v>
      </c>
      <c r="D200" s="254">
        <f>SUMIF(GL!$D$5:$D$6505,B200,GL!$G$5:$G$6505)</f>
        <v>0.2</v>
      </c>
      <c r="E200" s="341">
        <f>SUMIF(GL!$D$6:$D$6487,B200,GL!$H$6:$H$6487)</f>
        <v>29000</v>
      </c>
      <c r="F200" s="341">
        <f>SUMIF(GL!$D$6:$D$6487,B200,GL!$I$6:$I$6487)</f>
        <v>0</v>
      </c>
      <c r="G200" s="341"/>
      <c r="H200" s="341"/>
      <c r="I200" s="341">
        <f t="shared" si="66"/>
        <v>29000</v>
      </c>
      <c r="J200" s="341">
        <f t="shared" si="67"/>
        <v>0</v>
      </c>
      <c r="K200" s="341"/>
      <c r="L200" s="342"/>
      <c r="M200" s="342"/>
      <c r="N200" s="341">
        <f t="shared" si="61"/>
        <v>29000</v>
      </c>
      <c r="O200" s="341">
        <f t="shared" si="62"/>
        <v>0</v>
      </c>
      <c r="P200" s="341">
        <f>SUMIF(GL!$D$6488:$D$6532,B200,GL!$H$6488:$H$6532)</f>
        <v>0</v>
      </c>
      <c r="Q200" s="341">
        <f>SUMIF(GL!$D$6408:$D$6452,B200,GL!$I$6408:$I$6452)</f>
        <v>0</v>
      </c>
      <c r="R200" s="341">
        <f t="shared" ref="R200:S200" si="223">P200+N200</f>
        <v>29000</v>
      </c>
      <c r="S200" s="341">
        <f t="shared" si="223"/>
        <v>0</v>
      </c>
      <c r="T200" s="340"/>
      <c r="U200" s="340"/>
      <c r="V200" s="340"/>
      <c r="W200" s="340"/>
      <c r="X200" s="341">
        <f t="shared" si="64"/>
        <v>29000</v>
      </c>
      <c r="Y200" s="341">
        <f t="shared" si="65"/>
        <v>0</v>
      </c>
      <c r="Z200" s="331"/>
      <c r="AA200" s="110"/>
      <c r="AB200" s="358"/>
      <c r="AC200" s="330"/>
      <c r="AD200" s="110"/>
      <c r="AE200" s="110"/>
      <c r="AF200" s="332"/>
      <c r="AG200" s="332"/>
      <c r="AH200" s="332"/>
      <c r="AI200" s="332"/>
    </row>
    <row r="201" spans="1:35" ht="13.5" customHeight="1">
      <c r="A201" s="4"/>
      <c r="B201" s="15" t="s">
        <v>4208</v>
      </c>
      <c r="C201" s="260" t="s">
        <v>4209</v>
      </c>
      <c r="D201" s="254">
        <f>SUMIF(GL!$D$5:$D$6505,B201,GL!$G$5:$G$6505)</f>
        <v>0</v>
      </c>
      <c r="E201" s="341">
        <f>SUMIF(GL!$D$6:$D$6487,B201,GL!$H$6:$H$6487)</f>
        <v>0</v>
      </c>
      <c r="F201" s="341">
        <f>SUMIF(GL!$D$6:$D$6487,B201,GL!$I$6:$I$6487)</f>
        <v>0</v>
      </c>
      <c r="G201" s="341"/>
      <c r="H201" s="341"/>
      <c r="I201" s="341">
        <f t="shared" si="66"/>
        <v>0</v>
      </c>
      <c r="J201" s="341">
        <f t="shared" si="67"/>
        <v>0</v>
      </c>
      <c r="K201" s="341"/>
      <c r="L201" s="342"/>
      <c r="M201" s="342"/>
      <c r="N201" s="341">
        <f t="shared" si="61"/>
        <v>0</v>
      </c>
      <c r="O201" s="341">
        <f t="shared" si="62"/>
        <v>0</v>
      </c>
      <c r="P201" s="341">
        <f>SUMIF(GL!$D$6488:$D$6532,B201,GL!$H$6488:$H$6532)</f>
        <v>0</v>
      </c>
      <c r="Q201" s="341">
        <f>SUMIF(GL!$D$6408:$D$6452,B201,GL!$I$6408:$I$6452)</f>
        <v>0</v>
      </c>
      <c r="R201" s="341">
        <f t="shared" ref="R201:S201" si="224">P201+N201</f>
        <v>0</v>
      </c>
      <c r="S201" s="341">
        <f t="shared" si="224"/>
        <v>0</v>
      </c>
      <c r="T201" s="340"/>
      <c r="U201" s="340"/>
      <c r="V201" s="340"/>
      <c r="W201" s="340"/>
      <c r="X201" s="341">
        <f t="shared" si="64"/>
        <v>0</v>
      </c>
      <c r="Y201" s="341">
        <f t="shared" si="65"/>
        <v>0</v>
      </c>
      <c r="Z201" s="331"/>
      <c r="AA201" s="110"/>
      <c r="AB201" s="358"/>
      <c r="AC201" s="330"/>
      <c r="AD201" s="110"/>
      <c r="AE201" s="110"/>
      <c r="AF201" s="332"/>
      <c r="AG201" s="332"/>
      <c r="AH201" s="332"/>
      <c r="AI201" s="332"/>
    </row>
    <row r="202" spans="1:35" ht="13.5" customHeight="1">
      <c r="A202" s="4"/>
      <c r="B202" s="15" t="s">
        <v>2216</v>
      </c>
      <c r="C202" s="260" t="s">
        <v>4210</v>
      </c>
      <c r="D202" s="254">
        <f>SUMIF(GL!$D$5:$D$6505,B202,GL!$G$5:$G$6505)</f>
        <v>2</v>
      </c>
      <c r="E202" s="341">
        <f>SUMIF(GL!$D$6:$D$6487,B202,GL!$H$6:$H$6487)</f>
        <v>150000</v>
      </c>
      <c r="F202" s="341">
        <f>SUMIF(GL!$D$6:$D$6487,B202,GL!$I$6:$I$6487)</f>
        <v>0</v>
      </c>
      <c r="G202" s="341"/>
      <c r="H202" s="341"/>
      <c r="I202" s="341">
        <f t="shared" si="66"/>
        <v>150000</v>
      </c>
      <c r="J202" s="341">
        <f t="shared" si="67"/>
        <v>0</v>
      </c>
      <c r="K202" s="341"/>
      <c r="L202" s="342"/>
      <c r="M202" s="342"/>
      <c r="N202" s="341">
        <f t="shared" si="61"/>
        <v>150000</v>
      </c>
      <c r="O202" s="341">
        <f t="shared" si="62"/>
        <v>0</v>
      </c>
      <c r="P202" s="341">
        <f>SUMIF(GL!$D$6488:$D$6532,B202,GL!$H$6488:$H$6532)</f>
        <v>0</v>
      </c>
      <c r="Q202" s="341">
        <f>SUMIF(GL!$D$6408:$D$6452,B202,GL!$I$6408:$I$6452)</f>
        <v>0</v>
      </c>
      <c r="R202" s="341">
        <f t="shared" ref="R202:S202" si="225">P202+N202</f>
        <v>150000</v>
      </c>
      <c r="S202" s="341">
        <f t="shared" si="225"/>
        <v>0</v>
      </c>
      <c r="T202" s="340"/>
      <c r="U202" s="340"/>
      <c r="V202" s="340"/>
      <c r="W202" s="340"/>
      <c r="X202" s="341">
        <f t="shared" si="64"/>
        <v>150000</v>
      </c>
      <c r="Y202" s="341">
        <f t="shared" si="65"/>
        <v>0</v>
      </c>
      <c r="Z202" s="331"/>
      <c r="AA202" s="110"/>
      <c r="AB202" s="358"/>
      <c r="AC202" s="330"/>
      <c r="AD202" s="110"/>
      <c r="AE202" s="110"/>
      <c r="AF202" s="332"/>
      <c r="AG202" s="332"/>
      <c r="AH202" s="332"/>
      <c r="AI202" s="332"/>
    </row>
    <row r="203" spans="1:35" ht="13.5" customHeight="1">
      <c r="A203" s="4"/>
      <c r="B203" s="15" t="s">
        <v>4211</v>
      </c>
      <c r="C203" s="212" t="s">
        <v>4212</v>
      </c>
      <c r="D203" s="254">
        <f>SUMIF(GL!$D$5:$D$6505,B203,GL!$G$5:$G$6505)</f>
        <v>0</v>
      </c>
      <c r="E203" s="341">
        <f>SUMIF(GL!$D$6:$D$6487,B203,GL!$H$6:$H$6487)</f>
        <v>0</v>
      </c>
      <c r="F203" s="341">
        <f>SUMIF(GL!$D$6:$D$6487,B203,GL!$I$6:$I$6487)</f>
        <v>0</v>
      </c>
      <c r="G203" s="341"/>
      <c r="H203" s="341"/>
      <c r="I203" s="341">
        <f t="shared" si="66"/>
        <v>0</v>
      </c>
      <c r="J203" s="341">
        <f t="shared" si="67"/>
        <v>0</v>
      </c>
      <c r="K203" s="341"/>
      <c r="L203" s="342"/>
      <c r="M203" s="342"/>
      <c r="N203" s="341">
        <f t="shared" si="61"/>
        <v>0</v>
      </c>
      <c r="O203" s="341">
        <f t="shared" si="62"/>
        <v>0</v>
      </c>
      <c r="P203" s="341">
        <f>SUMIF(GL!$D$6488:$D$6532,B203,GL!$H$6488:$H$6532)</f>
        <v>0</v>
      </c>
      <c r="Q203" s="341">
        <f>SUMIF(GL!$D$6408:$D$6452,B203,GL!$I$6408:$I$6452)</f>
        <v>0</v>
      </c>
      <c r="R203" s="341">
        <f t="shared" ref="R203:S203" si="226">P203+N203</f>
        <v>0</v>
      </c>
      <c r="S203" s="341">
        <f t="shared" si="226"/>
        <v>0</v>
      </c>
      <c r="T203" s="340"/>
      <c r="U203" s="340"/>
      <c r="V203" s="340"/>
      <c r="W203" s="340"/>
      <c r="X203" s="341">
        <f t="shared" si="64"/>
        <v>0</v>
      </c>
      <c r="Y203" s="341">
        <f t="shared" si="65"/>
        <v>0</v>
      </c>
      <c r="Z203" s="331"/>
      <c r="AA203" s="110"/>
      <c r="AB203" s="358"/>
      <c r="AC203" s="330"/>
      <c r="AD203" s="110"/>
      <c r="AE203" s="110"/>
      <c r="AF203" s="332"/>
      <c r="AG203" s="332"/>
      <c r="AH203" s="332"/>
      <c r="AI203" s="332"/>
    </row>
    <row r="204" spans="1:35" ht="13.5" customHeight="1">
      <c r="A204" s="4"/>
      <c r="B204" s="15" t="s">
        <v>4213</v>
      </c>
      <c r="C204" s="260" t="s">
        <v>4214</v>
      </c>
      <c r="D204" s="254">
        <f>SUMIF(GL!$D$5:$D$6505,B204,GL!$G$5:$G$6505)</f>
        <v>0</v>
      </c>
      <c r="E204" s="341">
        <f>SUMIF(GL!$D$6:$D$6487,B204,GL!$H$6:$H$6487)</f>
        <v>0</v>
      </c>
      <c r="F204" s="341">
        <f>SUMIF(GL!$D$6:$D$6487,B204,GL!$I$6:$I$6487)</f>
        <v>0</v>
      </c>
      <c r="G204" s="341"/>
      <c r="H204" s="341"/>
      <c r="I204" s="341">
        <f t="shared" si="66"/>
        <v>0</v>
      </c>
      <c r="J204" s="341">
        <f t="shared" si="67"/>
        <v>0</v>
      </c>
      <c r="K204" s="341"/>
      <c r="L204" s="342"/>
      <c r="M204" s="342"/>
      <c r="N204" s="341">
        <f t="shared" si="61"/>
        <v>0</v>
      </c>
      <c r="O204" s="341">
        <f t="shared" si="62"/>
        <v>0</v>
      </c>
      <c r="P204" s="341">
        <f>SUMIF(GL!$D$6488:$D$6532,B204,GL!$H$6488:$H$6532)</f>
        <v>0</v>
      </c>
      <c r="Q204" s="341">
        <f>SUMIF(GL!$D$6408:$D$6452,B204,GL!$I$6408:$I$6452)</f>
        <v>0</v>
      </c>
      <c r="R204" s="341">
        <f t="shared" ref="R204:S204" si="227">P204+N204</f>
        <v>0</v>
      </c>
      <c r="S204" s="341">
        <f t="shared" si="227"/>
        <v>0</v>
      </c>
      <c r="T204" s="340"/>
      <c r="U204" s="340"/>
      <c r="V204" s="340"/>
      <c r="W204" s="340"/>
      <c r="X204" s="341">
        <f t="shared" si="64"/>
        <v>0</v>
      </c>
      <c r="Y204" s="341">
        <f t="shared" si="65"/>
        <v>0</v>
      </c>
      <c r="Z204" s="331"/>
      <c r="AA204" s="110"/>
      <c r="AB204" s="358"/>
      <c r="AC204" s="330"/>
      <c r="AD204" s="110"/>
      <c r="AE204" s="110"/>
      <c r="AF204" s="332"/>
      <c r="AG204" s="332"/>
      <c r="AH204" s="332"/>
      <c r="AI204" s="332"/>
    </row>
    <row r="205" spans="1:35" ht="13.5" customHeight="1">
      <c r="A205" s="4"/>
      <c r="B205" s="15" t="s">
        <v>2637</v>
      </c>
      <c r="C205" s="260" t="s">
        <v>4215</v>
      </c>
      <c r="D205" s="254">
        <f>SUMIF(GL!$D$5:$D$6505,B205,GL!$G$5:$G$6505)</f>
        <v>144</v>
      </c>
      <c r="E205" s="341">
        <f>SUMIF(GL!$D$6:$D$6487,B205,GL!$H$6:$H$6487)</f>
        <v>3148000.0044</v>
      </c>
      <c r="F205" s="341">
        <f>SUMIF(GL!$D$6:$D$6487,B205,GL!$I$6:$I$6487)</f>
        <v>0</v>
      </c>
      <c r="G205" s="341"/>
      <c r="H205" s="341"/>
      <c r="I205" s="341">
        <f t="shared" si="66"/>
        <v>3148000.0044</v>
      </c>
      <c r="J205" s="341">
        <f t="shared" si="67"/>
        <v>0</v>
      </c>
      <c r="K205" s="341"/>
      <c r="L205" s="342"/>
      <c r="M205" s="342"/>
      <c r="N205" s="341">
        <f t="shared" si="61"/>
        <v>3148000.0044</v>
      </c>
      <c r="O205" s="341">
        <f t="shared" si="62"/>
        <v>0</v>
      </c>
      <c r="P205" s="341">
        <f>SUMIF(GL!$D$6488:$D$6532,B205,GL!$H$6488:$H$6532)</f>
        <v>0</v>
      </c>
      <c r="Q205" s="341">
        <f>SUMIF(GL!$D$6408:$D$6452,B205,GL!$I$6408:$I$6452)</f>
        <v>0</v>
      </c>
      <c r="R205" s="341">
        <f t="shared" ref="R205:S205" si="228">P205+N205</f>
        <v>3148000.0044</v>
      </c>
      <c r="S205" s="341">
        <f t="shared" si="228"/>
        <v>0</v>
      </c>
      <c r="T205" s="340"/>
      <c r="U205" s="340"/>
      <c r="V205" s="340"/>
      <c r="W205" s="340"/>
      <c r="X205" s="341">
        <f t="shared" si="64"/>
        <v>3148000.0044</v>
      </c>
      <c r="Y205" s="341">
        <f t="shared" si="65"/>
        <v>0</v>
      </c>
      <c r="Z205" s="331"/>
      <c r="AA205" s="110"/>
      <c r="AB205" s="358"/>
      <c r="AC205" s="330"/>
      <c r="AD205" s="110"/>
      <c r="AE205" s="110"/>
      <c r="AF205" s="332"/>
      <c r="AG205" s="332"/>
      <c r="AH205" s="332"/>
      <c r="AI205" s="332"/>
    </row>
    <row r="206" spans="1:35" ht="13.5" customHeight="1">
      <c r="A206" s="4"/>
      <c r="B206" s="15" t="s">
        <v>2208</v>
      </c>
      <c r="C206" s="260" t="s">
        <v>4216</v>
      </c>
      <c r="D206" s="254">
        <f>SUMIF(GL!$D$5:$D$6505,B206,GL!$G$5:$G$6505)</f>
        <v>0.25</v>
      </c>
      <c r="E206" s="341">
        <f>SUMIF(GL!$D$6:$D$6487,B206,GL!$H$6:$H$6487)</f>
        <v>13750</v>
      </c>
      <c r="F206" s="341">
        <f>SUMIF(GL!$D$6:$D$6487,B206,GL!$I$6:$I$6487)</f>
        <v>0</v>
      </c>
      <c r="G206" s="341"/>
      <c r="H206" s="341"/>
      <c r="I206" s="341">
        <f t="shared" si="66"/>
        <v>13750</v>
      </c>
      <c r="J206" s="341">
        <f t="shared" si="67"/>
        <v>0</v>
      </c>
      <c r="K206" s="341"/>
      <c r="L206" s="342"/>
      <c r="M206" s="342"/>
      <c r="N206" s="341">
        <f t="shared" si="61"/>
        <v>13750</v>
      </c>
      <c r="O206" s="341">
        <f t="shared" si="62"/>
        <v>0</v>
      </c>
      <c r="P206" s="341">
        <f>SUMIF(GL!$D$6488:$D$6532,B206,GL!$H$6488:$H$6532)</f>
        <v>0</v>
      </c>
      <c r="Q206" s="341">
        <f>SUMIF(GL!$D$6408:$D$6452,B206,GL!$I$6408:$I$6452)</f>
        <v>0</v>
      </c>
      <c r="R206" s="341">
        <f t="shared" ref="R206:S206" si="229">P206+N206</f>
        <v>13750</v>
      </c>
      <c r="S206" s="341">
        <f t="shared" si="229"/>
        <v>0</v>
      </c>
      <c r="T206" s="340"/>
      <c r="U206" s="340"/>
      <c r="V206" s="340"/>
      <c r="W206" s="340"/>
      <c r="X206" s="341">
        <f t="shared" si="64"/>
        <v>13750</v>
      </c>
      <c r="Y206" s="341">
        <f t="shared" si="65"/>
        <v>0</v>
      </c>
      <c r="Z206" s="331"/>
      <c r="AA206" s="110"/>
      <c r="AB206" s="358"/>
      <c r="AC206" s="330"/>
      <c r="AD206" s="110"/>
      <c r="AE206" s="110"/>
      <c r="AF206" s="332"/>
      <c r="AG206" s="332"/>
      <c r="AH206" s="332"/>
      <c r="AI206" s="332"/>
    </row>
    <row r="207" spans="1:35" ht="13.5" customHeight="1">
      <c r="A207" s="4"/>
      <c r="B207" s="15" t="s">
        <v>1853</v>
      </c>
      <c r="C207" s="260" t="s">
        <v>4217</v>
      </c>
      <c r="D207" s="254">
        <f>SUMIF(GL!$D$5:$D$6505,B207,GL!$G$5:$G$6505)</f>
        <v>28.5</v>
      </c>
      <c r="E207" s="341">
        <f>SUMIF(GL!$D$6:$D$6487,B207,GL!$H$6:$H$6487)</f>
        <v>463495</v>
      </c>
      <c r="F207" s="341">
        <f>SUMIF(GL!$D$6:$D$6487,B207,GL!$I$6:$I$6487)</f>
        <v>0</v>
      </c>
      <c r="G207" s="341"/>
      <c r="H207" s="341"/>
      <c r="I207" s="341">
        <f t="shared" si="66"/>
        <v>463495</v>
      </c>
      <c r="J207" s="341">
        <f t="shared" si="67"/>
        <v>0</v>
      </c>
      <c r="K207" s="341"/>
      <c r="L207" s="342"/>
      <c r="M207" s="342"/>
      <c r="N207" s="341">
        <f t="shared" si="61"/>
        <v>463495</v>
      </c>
      <c r="O207" s="341">
        <f t="shared" si="62"/>
        <v>0</v>
      </c>
      <c r="P207" s="341">
        <f>SUMIF(GL!$D$6488:$D$6532,B207,GL!$H$6488:$H$6532)</f>
        <v>0</v>
      </c>
      <c r="Q207" s="341">
        <f>SUMIF(GL!$D$6408:$D$6452,B207,GL!$I$6408:$I$6452)</f>
        <v>0</v>
      </c>
      <c r="R207" s="341">
        <f t="shared" ref="R207:S207" si="230">P207+N207</f>
        <v>463495</v>
      </c>
      <c r="S207" s="341">
        <f t="shared" si="230"/>
        <v>0</v>
      </c>
      <c r="T207" s="340"/>
      <c r="U207" s="340"/>
      <c r="V207" s="340"/>
      <c r="W207" s="340"/>
      <c r="X207" s="341">
        <f t="shared" si="64"/>
        <v>463495</v>
      </c>
      <c r="Y207" s="341">
        <f t="shared" si="65"/>
        <v>0</v>
      </c>
      <c r="Z207" s="331"/>
      <c r="AA207" s="110"/>
      <c r="AB207" s="358"/>
      <c r="AC207" s="330"/>
      <c r="AD207" s="110"/>
      <c r="AE207" s="110"/>
      <c r="AF207" s="332"/>
      <c r="AG207" s="332"/>
      <c r="AH207" s="332"/>
      <c r="AI207" s="332"/>
    </row>
    <row r="208" spans="1:35" ht="13.5" customHeight="1">
      <c r="A208" s="4"/>
      <c r="B208" s="15" t="s">
        <v>2191</v>
      </c>
      <c r="C208" s="260" t="s">
        <v>4218</v>
      </c>
      <c r="D208" s="254">
        <f>SUMIF(GL!$D$5:$D$6505,B208,GL!$G$5:$G$6505)</f>
        <v>1.25</v>
      </c>
      <c r="E208" s="341">
        <f>SUMIF(GL!$D$6:$D$6487,B208,GL!$H$6:$H$6487)</f>
        <v>71000</v>
      </c>
      <c r="F208" s="341">
        <f>SUMIF(GL!$D$6:$D$6487,B208,GL!$I$6:$I$6487)</f>
        <v>0</v>
      </c>
      <c r="G208" s="341"/>
      <c r="H208" s="341"/>
      <c r="I208" s="341">
        <f t="shared" si="66"/>
        <v>71000</v>
      </c>
      <c r="J208" s="341">
        <f t="shared" si="67"/>
        <v>0</v>
      </c>
      <c r="K208" s="341"/>
      <c r="L208" s="342"/>
      <c r="M208" s="342"/>
      <c r="N208" s="341">
        <f t="shared" si="61"/>
        <v>71000</v>
      </c>
      <c r="O208" s="341">
        <f t="shared" si="62"/>
        <v>0</v>
      </c>
      <c r="P208" s="341">
        <f>SUMIF(GL!$D$6488:$D$6532,B208,GL!$H$6488:$H$6532)</f>
        <v>0</v>
      </c>
      <c r="Q208" s="341">
        <f>SUMIF(GL!$D$6408:$D$6452,B208,GL!$I$6408:$I$6452)</f>
        <v>0</v>
      </c>
      <c r="R208" s="341">
        <f t="shared" ref="R208:S208" si="231">P208+N208</f>
        <v>71000</v>
      </c>
      <c r="S208" s="341">
        <f t="shared" si="231"/>
        <v>0</v>
      </c>
      <c r="T208" s="340"/>
      <c r="U208" s="340"/>
      <c r="V208" s="340"/>
      <c r="W208" s="340"/>
      <c r="X208" s="341">
        <f t="shared" si="64"/>
        <v>71000</v>
      </c>
      <c r="Y208" s="341">
        <f t="shared" si="65"/>
        <v>0</v>
      </c>
      <c r="Z208" s="331"/>
      <c r="AA208" s="110"/>
      <c r="AB208" s="358"/>
      <c r="AC208" s="330"/>
      <c r="AD208" s="110"/>
      <c r="AE208" s="110"/>
      <c r="AF208" s="332"/>
      <c r="AG208" s="332"/>
      <c r="AH208" s="332"/>
      <c r="AI208" s="332"/>
    </row>
    <row r="209" spans="1:35" ht="13.5" customHeight="1">
      <c r="A209" s="4"/>
      <c r="B209" s="15" t="s">
        <v>4219</v>
      </c>
      <c r="C209" s="260" t="s">
        <v>4220</v>
      </c>
      <c r="D209" s="254">
        <f>SUMIF(GL!$D$5:$D$6505,B209,GL!$G$5:$G$6505)</f>
        <v>0</v>
      </c>
      <c r="E209" s="341">
        <f>SUMIF(GL!$D$6:$D$6487,B209,GL!$H$6:$H$6487)</f>
        <v>0</v>
      </c>
      <c r="F209" s="341">
        <f>SUMIF(GL!$D$6:$D$6487,B209,GL!$I$6:$I$6487)</f>
        <v>0</v>
      </c>
      <c r="G209" s="341"/>
      <c r="H209" s="341"/>
      <c r="I209" s="341">
        <f t="shared" si="66"/>
        <v>0</v>
      </c>
      <c r="J209" s="341">
        <f t="shared" si="67"/>
        <v>0</v>
      </c>
      <c r="K209" s="341"/>
      <c r="L209" s="342"/>
      <c r="M209" s="342"/>
      <c r="N209" s="341">
        <f t="shared" si="61"/>
        <v>0</v>
      </c>
      <c r="O209" s="341">
        <f t="shared" si="62"/>
        <v>0</v>
      </c>
      <c r="P209" s="341">
        <f>SUMIF(GL!$D$6488:$D$6532,B209,GL!$H$6488:$H$6532)</f>
        <v>0</v>
      </c>
      <c r="Q209" s="341">
        <f>SUMIF(GL!$D$6408:$D$6452,B209,GL!$I$6408:$I$6452)</f>
        <v>0</v>
      </c>
      <c r="R209" s="341">
        <f t="shared" ref="R209:S209" si="232">P209+N209</f>
        <v>0</v>
      </c>
      <c r="S209" s="341">
        <f t="shared" si="232"/>
        <v>0</v>
      </c>
      <c r="T209" s="340"/>
      <c r="U209" s="340"/>
      <c r="V209" s="340"/>
      <c r="W209" s="340"/>
      <c r="X209" s="341">
        <f t="shared" si="64"/>
        <v>0</v>
      </c>
      <c r="Y209" s="341">
        <f t="shared" si="65"/>
        <v>0</v>
      </c>
      <c r="Z209" s="331"/>
      <c r="AA209" s="110"/>
      <c r="AB209" s="358"/>
      <c r="AC209" s="330"/>
      <c r="AD209" s="110"/>
      <c r="AE209" s="110"/>
      <c r="AF209" s="332"/>
      <c r="AG209" s="332"/>
      <c r="AH209" s="332"/>
      <c r="AI209" s="332"/>
    </row>
    <row r="210" spans="1:35" ht="13.5" customHeight="1">
      <c r="A210" s="4"/>
      <c r="B210" s="15" t="s">
        <v>2944</v>
      </c>
      <c r="C210" s="260" t="s">
        <v>4221</v>
      </c>
      <c r="D210" s="254">
        <f>SUMIF(GL!$D$5:$D$6505,B210,GL!$G$5:$G$6505)</f>
        <v>5</v>
      </c>
      <c r="E210" s="341">
        <f>SUMIF(GL!$D$6:$D$6487,B210,GL!$H$6:$H$6487)</f>
        <v>70000</v>
      </c>
      <c r="F210" s="341">
        <f>SUMIF(GL!$D$6:$D$6487,B210,GL!$I$6:$I$6487)</f>
        <v>0</v>
      </c>
      <c r="G210" s="341"/>
      <c r="H210" s="341"/>
      <c r="I210" s="341">
        <f t="shared" si="66"/>
        <v>70000</v>
      </c>
      <c r="J210" s="341">
        <f t="shared" si="67"/>
        <v>0</v>
      </c>
      <c r="K210" s="341"/>
      <c r="L210" s="342"/>
      <c r="M210" s="342"/>
      <c r="N210" s="341">
        <f t="shared" si="61"/>
        <v>70000</v>
      </c>
      <c r="O210" s="341">
        <f t="shared" si="62"/>
        <v>0</v>
      </c>
      <c r="P210" s="341">
        <f>SUMIF(GL!$D$6488:$D$6532,B210,GL!$H$6488:$H$6532)</f>
        <v>0</v>
      </c>
      <c r="Q210" s="341">
        <f>SUMIF(GL!$D$6408:$D$6452,B210,GL!$I$6408:$I$6452)</f>
        <v>0</v>
      </c>
      <c r="R210" s="341">
        <f t="shared" ref="R210:S210" si="233">P210+N210</f>
        <v>70000</v>
      </c>
      <c r="S210" s="341">
        <f t="shared" si="233"/>
        <v>0</v>
      </c>
      <c r="T210" s="340"/>
      <c r="U210" s="340"/>
      <c r="V210" s="340"/>
      <c r="W210" s="340"/>
      <c r="X210" s="341">
        <f t="shared" si="64"/>
        <v>70000</v>
      </c>
      <c r="Y210" s="341">
        <f t="shared" si="65"/>
        <v>0</v>
      </c>
      <c r="Z210" s="331"/>
      <c r="AA210" s="110"/>
      <c r="AB210" s="358"/>
      <c r="AC210" s="330"/>
      <c r="AD210" s="110"/>
      <c r="AE210" s="110"/>
      <c r="AF210" s="332"/>
      <c r="AG210" s="332"/>
      <c r="AH210" s="332"/>
      <c r="AI210" s="332"/>
    </row>
    <row r="211" spans="1:35" ht="13.5" customHeight="1">
      <c r="A211" s="4"/>
      <c r="B211" s="15" t="s">
        <v>2993</v>
      </c>
      <c r="C211" s="260" t="s">
        <v>4222</v>
      </c>
      <c r="D211" s="254">
        <f>SUMIF(GL!$D$5:$D$6505,B211,GL!$G$5:$G$6505)</f>
        <v>6</v>
      </c>
      <c r="E211" s="341">
        <f>SUMIF(GL!$D$6:$D$6487,B211,GL!$H$6:$H$6487)</f>
        <v>306360</v>
      </c>
      <c r="F211" s="341">
        <f>SUMIF(GL!$D$6:$D$6487,B211,GL!$I$6:$I$6487)</f>
        <v>0</v>
      </c>
      <c r="G211" s="341"/>
      <c r="H211" s="341"/>
      <c r="I211" s="341">
        <f t="shared" si="66"/>
        <v>306360</v>
      </c>
      <c r="J211" s="341">
        <f t="shared" si="67"/>
        <v>0</v>
      </c>
      <c r="K211" s="341"/>
      <c r="L211" s="342"/>
      <c r="M211" s="342"/>
      <c r="N211" s="341">
        <f t="shared" si="61"/>
        <v>306360</v>
      </c>
      <c r="O211" s="341">
        <f t="shared" si="62"/>
        <v>0</v>
      </c>
      <c r="P211" s="341">
        <f>SUMIF(GL!$D$6488:$D$6532,B211,GL!$H$6488:$H$6532)</f>
        <v>0</v>
      </c>
      <c r="Q211" s="341">
        <f>SUMIF(GL!$D$6408:$D$6452,B211,GL!$I$6408:$I$6452)</f>
        <v>0</v>
      </c>
      <c r="R211" s="341">
        <f t="shared" ref="R211:S211" si="234">P211+N211</f>
        <v>306360</v>
      </c>
      <c r="S211" s="341">
        <f t="shared" si="234"/>
        <v>0</v>
      </c>
      <c r="T211" s="340"/>
      <c r="U211" s="340"/>
      <c r="V211" s="340"/>
      <c r="W211" s="340"/>
      <c r="X211" s="341">
        <f t="shared" si="64"/>
        <v>306360</v>
      </c>
      <c r="Y211" s="341">
        <f t="shared" si="65"/>
        <v>0</v>
      </c>
      <c r="Z211" s="331"/>
      <c r="AA211" s="110"/>
      <c r="AB211" s="358"/>
      <c r="AC211" s="330"/>
      <c r="AD211" s="110"/>
      <c r="AE211" s="110"/>
      <c r="AF211" s="332"/>
      <c r="AG211" s="332"/>
      <c r="AH211" s="332"/>
      <c r="AI211" s="332"/>
    </row>
    <row r="212" spans="1:35" ht="13.5" customHeight="1">
      <c r="A212" s="4"/>
      <c r="B212" s="15" t="s">
        <v>2423</v>
      </c>
      <c r="C212" s="340" t="s">
        <v>4223</v>
      </c>
      <c r="D212" s="254">
        <f>SUMIF(GL!$D$5:$D$6505,B212,GL!$G$5:$G$6505)</f>
        <v>50</v>
      </c>
      <c r="E212" s="341">
        <f>SUMIF(GL!$D$6:$D$6487,B212,GL!$H$6:$H$6487)</f>
        <v>660450</v>
      </c>
      <c r="F212" s="341">
        <f>SUMIF(GL!$D$6:$D$6487,B212,GL!$I$6:$I$6487)</f>
        <v>0</v>
      </c>
      <c r="G212" s="341"/>
      <c r="H212" s="341"/>
      <c r="I212" s="341">
        <f t="shared" si="66"/>
        <v>660450</v>
      </c>
      <c r="J212" s="341">
        <f t="shared" si="67"/>
        <v>0</v>
      </c>
      <c r="K212" s="341"/>
      <c r="L212" s="342"/>
      <c r="M212" s="342"/>
      <c r="N212" s="341">
        <f t="shared" si="61"/>
        <v>660450</v>
      </c>
      <c r="O212" s="341">
        <f t="shared" si="62"/>
        <v>0</v>
      </c>
      <c r="P212" s="341">
        <f>SUMIF(GL!$D$6488:$D$6532,B212,GL!$H$6488:$H$6532)</f>
        <v>0</v>
      </c>
      <c r="Q212" s="341">
        <f>SUMIF(GL!$D$6408:$D$6452,B212,GL!$I$6408:$I$6452)</f>
        <v>0</v>
      </c>
      <c r="R212" s="341">
        <f t="shared" ref="R212:S212" si="235">P212+N212</f>
        <v>660450</v>
      </c>
      <c r="S212" s="341">
        <f t="shared" si="235"/>
        <v>0</v>
      </c>
      <c r="T212" s="340"/>
      <c r="U212" s="340"/>
      <c r="V212" s="340"/>
      <c r="W212" s="340"/>
      <c r="X212" s="341">
        <f t="shared" si="64"/>
        <v>660450</v>
      </c>
      <c r="Y212" s="341">
        <f t="shared" si="65"/>
        <v>0</v>
      </c>
      <c r="Z212" s="331"/>
      <c r="AA212" s="110"/>
      <c r="AB212" s="358"/>
      <c r="AC212" s="330"/>
      <c r="AD212" s="110"/>
      <c r="AE212" s="110"/>
      <c r="AF212" s="332"/>
      <c r="AG212" s="332"/>
      <c r="AH212" s="332"/>
      <c r="AI212" s="332"/>
    </row>
    <row r="213" spans="1:35" ht="13.5" customHeight="1">
      <c r="A213" s="4"/>
      <c r="B213" s="15" t="s">
        <v>4224</v>
      </c>
      <c r="C213" s="260" t="s">
        <v>4225</v>
      </c>
      <c r="D213" s="254">
        <f>SUMIF(GL!$D$5:$D$6505,B213,GL!$G$5:$G$6505)</f>
        <v>0</v>
      </c>
      <c r="E213" s="341">
        <f>SUMIF(GL!$D$6:$D$6487,B213,GL!$H$6:$H$6487)</f>
        <v>0</v>
      </c>
      <c r="F213" s="341">
        <f>SUMIF(GL!$D$6:$D$6487,B213,GL!$I$6:$I$6487)</f>
        <v>0</v>
      </c>
      <c r="G213" s="341"/>
      <c r="H213" s="341"/>
      <c r="I213" s="341">
        <f t="shared" si="66"/>
        <v>0</v>
      </c>
      <c r="J213" s="341">
        <f t="shared" si="67"/>
        <v>0</v>
      </c>
      <c r="K213" s="341"/>
      <c r="L213" s="342"/>
      <c r="M213" s="342"/>
      <c r="N213" s="341">
        <f t="shared" si="61"/>
        <v>0</v>
      </c>
      <c r="O213" s="341">
        <f t="shared" si="62"/>
        <v>0</v>
      </c>
      <c r="P213" s="341">
        <f>SUMIF(GL!$D$6488:$D$6532,B213,GL!$H$6488:$H$6532)</f>
        <v>0</v>
      </c>
      <c r="Q213" s="341">
        <f>SUMIF(GL!$D$6408:$D$6452,B213,GL!$I$6408:$I$6452)</f>
        <v>0</v>
      </c>
      <c r="R213" s="341">
        <f t="shared" ref="R213:S213" si="236">P213+N213</f>
        <v>0</v>
      </c>
      <c r="S213" s="341">
        <f t="shared" si="236"/>
        <v>0</v>
      </c>
      <c r="T213" s="340"/>
      <c r="U213" s="340"/>
      <c r="V213" s="340"/>
      <c r="W213" s="340"/>
      <c r="X213" s="341">
        <f t="shared" si="64"/>
        <v>0</v>
      </c>
      <c r="Y213" s="341">
        <f t="shared" si="65"/>
        <v>0</v>
      </c>
      <c r="Z213" s="331"/>
      <c r="AA213" s="110"/>
      <c r="AB213" s="358"/>
      <c r="AC213" s="330"/>
      <c r="AD213" s="110"/>
      <c r="AE213" s="110"/>
      <c r="AF213" s="332"/>
      <c r="AG213" s="332"/>
      <c r="AH213" s="332"/>
      <c r="AI213" s="332"/>
    </row>
    <row r="214" spans="1:35" ht="13.5" customHeight="1">
      <c r="A214" s="4"/>
      <c r="B214" s="15" t="s">
        <v>351</v>
      </c>
      <c r="C214" s="260" t="s">
        <v>4226</v>
      </c>
      <c r="D214" s="254">
        <f>SUMIF(GL!$D$5:$D$6505,B214,GL!$G$5:$G$6505)</f>
        <v>24</v>
      </c>
      <c r="E214" s="341">
        <f>SUMIF(GL!$D$6:$D$6487,B214,GL!$H$6:$H$6487)</f>
        <v>2297432</v>
      </c>
      <c r="F214" s="341">
        <f>SUMIF(GL!$D$6:$D$6487,B214,GL!$I$6:$I$6487)</f>
        <v>0</v>
      </c>
      <c r="G214" s="341"/>
      <c r="H214" s="341"/>
      <c r="I214" s="341">
        <f t="shared" si="66"/>
        <v>2297432</v>
      </c>
      <c r="J214" s="341">
        <f t="shared" si="67"/>
        <v>0</v>
      </c>
      <c r="K214" s="341"/>
      <c r="L214" s="342"/>
      <c r="M214" s="342"/>
      <c r="N214" s="341">
        <f t="shared" si="61"/>
        <v>2297432</v>
      </c>
      <c r="O214" s="341">
        <f t="shared" si="62"/>
        <v>0</v>
      </c>
      <c r="P214" s="341">
        <f>SUMIF(GL!$D$6488:$D$6532,B214,GL!$H$6488:$H$6532)</f>
        <v>0</v>
      </c>
      <c r="Q214" s="341">
        <f>SUMIF(GL!$D$6408:$D$6452,B214,GL!$I$6408:$I$6452)</f>
        <v>0</v>
      </c>
      <c r="R214" s="341">
        <f t="shared" ref="R214:S214" si="237">P214+N214</f>
        <v>2297432</v>
      </c>
      <c r="S214" s="341">
        <f t="shared" si="237"/>
        <v>0</v>
      </c>
      <c r="T214" s="340"/>
      <c r="U214" s="340"/>
      <c r="V214" s="340"/>
      <c r="W214" s="340"/>
      <c r="X214" s="341">
        <f t="shared" si="64"/>
        <v>2297432</v>
      </c>
      <c r="Y214" s="341">
        <f t="shared" si="65"/>
        <v>0</v>
      </c>
      <c r="Z214" s="331"/>
      <c r="AA214" s="110"/>
      <c r="AB214" s="358"/>
      <c r="AC214" s="330"/>
      <c r="AD214" s="110"/>
      <c r="AE214" s="110"/>
      <c r="AF214" s="332"/>
      <c r="AG214" s="332"/>
      <c r="AH214" s="332"/>
      <c r="AI214" s="332"/>
    </row>
    <row r="215" spans="1:35" ht="13.5" customHeight="1">
      <c r="A215" s="4"/>
      <c r="B215" s="15" t="s">
        <v>1988</v>
      </c>
      <c r="C215" s="260" t="s">
        <v>4227</v>
      </c>
      <c r="D215" s="254">
        <f>SUMIF(GL!$D$5:$D$6505,B215,GL!$G$5:$G$6505)</f>
        <v>4</v>
      </c>
      <c r="E215" s="341">
        <f>SUMIF(GL!$D$6:$D$6487,B215,GL!$H$6:$H$6487)</f>
        <v>83000</v>
      </c>
      <c r="F215" s="341">
        <f>SUMIF(GL!$D$6:$D$6487,B215,GL!$I$6:$I$6487)</f>
        <v>0</v>
      </c>
      <c r="G215" s="341"/>
      <c r="H215" s="341"/>
      <c r="I215" s="341">
        <f t="shared" si="66"/>
        <v>83000</v>
      </c>
      <c r="J215" s="341">
        <f t="shared" si="67"/>
        <v>0</v>
      </c>
      <c r="K215" s="341"/>
      <c r="L215" s="342"/>
      <c r="M215" s="342"/>
      <c r="N215" s="341">
        <f t="shared" si="61"/>
        <v>83000</v>
      </c>
      <c r="O215" s="341">
        <f t="shared" si="62"/>
        <v>0</v>
      </c>
      <c r="P215" s="341">
        <f>SUMIF(GL!$D$6488:$D$6532,B215,GL!$H$6488:$H$6532)</f>
        <v>0</v>
      </c>
      <c r="Q215" s="341">
        <f>SUMIF(GL!$D$6408:$D$6452,B215,GL!$I$6408:$I$6452)</f>
        <v>0</v>
      </c>
      <c r="R215" s="341">
        <f t="shared" ref="R215:S215" si="238">P215+N215</f>
        <v>83000</v>
      </c>
      <c r="S215" s="341">
        <f t="shared" si="238"/>
        <v>0</v>
      </c>
      <c r="T215" s="340"/>
      <c r="U215" s="340"/>
      <c r="V215" s="340"/>
      <c r="W215" s="340"/>
      <c r="X215" s="341">
        <f t="shared" si="64"/>
        <v>83000</v>
      </c>
      <c r="Y215" s="341">
        <f t="shared" si="65"/>
        <v>0</v>
      </c>
      <c r="Z215" s="331"/>
      <c r="AA215" s="110"/>
      <c r="AB215" s="358"/>
      <c r="AC215" s="330"/>
      <c r="AD215" s="110"/>
      <c r="AE215" s="110"/>
      <c r="AF215" s="332"/>
      <c r="AG215" s="332"/>
      <c r="AH215" s="332"/>
      <c r="AI215" s="332"/>
    </row>
    <row r="216" spans="1:35" ht="13.5" customHeight="1">
      <c r="A216" s="4"/>
      <c r="B216" s="15" t="s">
        <v>4228</v>
      </c>
      <c r="C216" s="260" t="s">
        <v>4229</v>
      </c>
      <c r="D216" s="254">
        <f>SUMIF(GL!$D$5:$D$6505,B216,GL!$G$5:$G$6505)</f>
        <v>0</v>
      </c>
      <c r="E216" s="341">
        <f>SUMIF(GL!$D$6:$D$6487,B216,GL!$H$6:$H$6487)</f>
        <v>0</v>
      </c>
      <c r="F216" s="341">
        <f>SUMIF(GL!$D$6:$D$6487,B216,GL!$I$6:$I$6487)</f>
        <v>0</v>
      </c>
      <c r="G216" s="341"/>
      <c r="H216" s="341"/>
      <c r="I216" s="341">
        <f t="shared" si="66"/>
        <v>0</v>
      </c>
      <c r="J216" s="341">
        <f t="shared" si="67"/>
        <v>0</v>
      </c>
      <c r="K216" s="341"/>
      <c r="L216" s="342"/>
      <c r="M216" s="342"/>
      <c r="N216" s="341">
        <f t="shared" si="61"/>
        <v>0</v>
      </c>
      <c r="O216" s="341">
        <f t="shared" si="62"/>
        <v>0</v>
      </c>
      <c r="P216" s="341">
        <f>SUMIF(GL!$D$6488:$D$6532,B216,GL!$H$6488:$H$6532)</f>
        <v>0</v>
      </c>
      <c r="Q216" s="341">
        <f>SUMIF(GL!$D$6408:$D$6452,B216,GL!$I$6408:$I$6452)</f>
        <v>0</v>
      </c>
      <c r="R216" s="341">
        <f t="shared" ref="R216:S216" si="239">P216+N216</f>
        <v>0</v>
      </c>
      <c r="S216" s="341">
        <f t="shared" si="239"/>
        <v>0</v>
      </c>
      <c r="T216" s="340"/>
      <c r="U216" s="340"/>
      <c r="V216" s="340"/>
      <c r="W216" s="340"/>
      <c r="X216" s="341">
        <f t="shared" si="64"/>
        <v>0</v>
      </c>
      <c r="Y216" s="341">
        <f t="shared" si="65"/>
        <v>0</v>
      </c>
      <c r="Z216" s="331"/>
      <c r="AA216" s="110"/>
      <c r="AB216" s="358"/>
      <c r="AC216" s="330"/>
      <c r="AD216" s="110"/>
      <c r="AE216" s="110"/>
      <c r="AF216" s="332"/>
      <c r="AG216" s="332"/>
      <c r="AH216" s="332"/>
      <c r="AI216" s="332"/>
    </row>
    <row r="217" spans="1:35" ht="13.5" customHeight="1">
      <c r="A217" s="4"/>
      <c r="B217" s="15" t="s">
        <v>4230</v>
      </c>
      <c r="C217" s="340" t="s">
        <v>4231</v>
      </c>
      <c r="D217" s="254">
        <f>SUMIF(GL!$D$5:$D$6505,B217,GL!$G$5:$G$6505)</f>
        <v>0</v>
      </c>
      <c r="E217" s="341">
        <f>SUMIF(GL!$D$6:$D$6487,B217,GL!$H$6:$H$6487)</f>
        <v>0</v>
      </c>
      <c r="F217" s="341">
        <f>SUMIF(GL!$D$6:$D$6487,B217,GL!$I$6:$I$6487)</f>
        <v>0</v>
      </c>
      <c r="G217" s="341"/>
      <c r="H217" s="341"/>
      <c r="I217" s="341">
        <f t="shared" si="66"/>
        <v>0</v>
      </c>
      <c r="J217" s="341">
        <f t="shared" si="67"/>
        <v>0</v>
      </c>
      <c r="K217" s="341"/>
      <c r="L217" s="342"/>
      <c r="M217" s="342"/>
      <c r="N217" s="341">
        <f t="shared" si="61"/>
        <v>0</v>
      </c>
      <c r="O217" s="341">
        <f t="shared" si="62"/>
        <v>0</v>
      </c>
      <c r="P217" s="341">
        <f>SUMIF(GL!$D$6488:$D$6532,B217,GL!$H$6488:$H$6532)</f>
        <v>0</v>
      </c>
      <c r="Q217" s="341">
        <f>SUMIF(GL!$D$6408:$D$6452,B217,GL!$I$6408:$I$6452)</f>
        <v>0</v>
      </c>
      <c r="R217" s="341">
        <f t="shared" ref="R217:S217" si="240">P217+N217</f>
        <v>0</v>
      </c>
      <c r="S217" s="341">
        <f t="shared" si="240"/>
        <v>0</v>
      </c>
      <c r="T217" s="340"/>
      <c r="U217" s="340"/>
      <c r="V217" s="340"/>
      <c r="W217" s="340"/>
      <c r="X217" s="341">
        <f t="shared" si="64"/>
        <v>0</v>
      </c>
      <c r="Y217" s="341">
        <f t="shared" si="65"/>
        <v>0</v>
      </c>
      <c r="Z217" s="331"/>
      <c r="AA217" s="110"/>
      <c r="AB217" s="358"/>
      <c r="AC217" s="330"/>
      <c r="AD217" s="110"/>
      <c r="AE217" s="110"/>
      <c r="AF217" s="332"/>
      <c r="AG217" s="332"/>
      <c r="AH217" s="332"/>
      <c r="AI217" s="332"/>
    </row>
    <row r="218" spans="1:35" ht="13.5" customHeight="1">
      <c r="A218" s="4"/>
      <c r="B218" s="15" t="s">
        <v>4232</v>
      </c>
      <c r="C218" s="260" t="s">
        <v>4233</v>
      </c>
      <c r="D218" s="254">
        <f>SUMIF(GL!$D$5:$D$6505,B218,GL!$G$5:$G$6505)</f>
        <v>0</v>
      </c>
      <c r="E218" s="341">
        <f>SUMIF(GL!$D$6:$D$6487,B218,GL!$H$6:$H$6487)</f>
        <v>0</v>
      </c>
      <c r="F218" s="341">
        <f>SUMIF(GL!$D$6:$D$6487,B218,GL!$I$6:$I$6487)</f>
        <v>0</v>
      </c>
      <c r="G218" s="341"/>
      <c r="H218" s="341"/>
      <c r="I218" s="341">
        <f t="shared" si="66"/>
        <v>0</v>
      </c>
      <c r="J218" s="341">
        <f t="shared" si="67"/>
        <v>0</v>
      </c>
      <c r="K218" s="341"/>
      <c r="L218" s="342"/>
      <c r="M218" s="342"/>
      <c r="N218" s="341">
        <f t="shared" si="61"/>
        <v>0</v>
      </c>
      <c r="O218" s="341">
        <f t="shared" si="62"/>
        <v>0</v>
      </c>
      <c r="P218" s="341">
        <f>SUMIF(GL!$D$6488:$D$6532,B218,GL!$H$6488:$H$6532)</f>
        <v>0</v>
      </c>
      <c r="Q218" s="341">
        <f>SUMIF(GL!$D$6408:$D$6452,B218,GL!$I$6408:$I$6452)</f>
        <v>0</v>
      </c>
      <c r="R218" s="341">
        <f t="shared" ref="R218:S218" si="241">P218+N218</f>
        <v>0</v>
      </c>
      <c r="S218" s="341">
        <f t="shared" si="241"/>
        <v>0</v>
      </c>
      <c r="T218" s="340"/>
      <c r="U218" s="340"/>
      <c r="V218" s="340"/>
      <c r="W218" s="340"/>
      <c r="X218" s="341">
        <f t="shared" si="64"/>
        <v>0</v>
      </c>
      <c r="Y218" s="341">
        <f t="shared" si="65"/>
        <v>0</v>
      </c>
      <c r="Z218" s="331"/>
      <c r="AA218" s="110"/>
      <c r="AB218" s="358"/>
      <c r="AC218" s="330"/>
      <c r="AD218" s="110"/>
      <c r="AE218" s="110"/>
      <c r="AF218" s="332"/>
      <c r="AG218" s="332"/>
      <c r="AH218" s="332"/>
      <c r="AI218" s="332"/>
    </row>
    <row r="219" spans="1:35" ht="13.5" customHeight="1">
      <c r="A219" s="4"/>
      <c r="B219" s="15" t="s">
        <v>2965</v>
      </c>
      <c r="C219" s="260" t="s">
        <v>4234</v>
      </c>
      <c r="D219" s="254">
        <f>SUMIF(GL!$D$5:$D$6505,B219,GL!$G$5:$G$6505)</f>
        <v>50.6</v>
      </c>
      <c r="E219" s="341">
        <f>SUMIF(GL!$D$6:$D$6487,B219,GL!$H$6:$H$6487)</f>
        <v>7357746</v>
      </c>
      <c r="F219" s="341">
        <f>SUMIF(GL!$D$6:$D$6487,B219,GL!$I$6:$I$6487)</f>
        <v>0</v>
      </c>
      <c r="G219" s="341"/>
      <c r="H219" s="341"/>
      <c r="I219" s="341">
        <f t="shared" si="66"/>
        <v>7357746</v>
      </c>
      <c r="J219" s="341">
        <f t="shared" si="67"/>
        <v>0</v>
      </c>
      <c r="K219" s="341"/>
      <c r="L219" s="342"/>
      <c r="M219" s="342"/>
      <c r="N219" s="341">
        <f t="shared" si="61"/>
        <v>7357746</v>
      </c>
      <c r="O219" s="341">
        <f t="shared" si="62"/>
        <v>0</v>
      </c>
      <c r="P219" s="341">
        <f>SUMIF(GL!$D$6488:$D$6532,B219,GL!$H$6488:$H$6532)</f>
        <v>0</v>
      </c>
      <c r="Q219" s="341">
        <f>SUMIF(GL!$D$6408:$D$6452,B219,GL!$I$6408:$I$6452)</f>
        <v>0</v>
      </c>
      <c r="R219" s="341">
        <f t="shared" ref="R219:S219" si="242">P219+N219</f>
        <v>7357746</v>
      </c>
      <c r="S219" s="341">
        <f t="shared" si="242"/>
        <v>0</v>
      </c>
      <c r="T219" s="340"/>
      <c r="U219" s="340"/>
      <c r="V219" s="340"/>
      <c r="W219" s="340"/>
      <c r="X219" s="341">
        <f t="shared" si="64"/>
        <v>7357746</v>
      </c>
      <c r="Y219" s="341">
        <f t="shared" si="65"/>
        <v>0</v>
      </c>
      <c r="Z219" s="331"/>
      <c r="AA219" s="110"/>
      <c r="AB219" s="358"/>
      <c r="AC219" s="330"/>
      <c r="AD219" s="110"/>
      <c r="AE219" s="110"/>
      <c r="AF219" s="332"/>
      <c r="AG219" s="332"/>
      <c r="AH219" s="332"/>
      <c r="AI219" s="332"/>
    </row>
    <row r="220" spans="1:35" ht="13.5" customHeight="1">
      <c r="A220" s="4"/>
      <c r="B220" s="15" t="s">
        <v>1916</v>
      </c>
      <c r="C220" s="260" t="s">
        <v>4235</v>
      </c>
      <c r="D220" s="254">
        <f>SUMIF(GL!$D$5:$D$6505,B220,GL!$G$5:$G$6505)</f>
        <v>960</v>
      </c>
      <c r="E220" s="341">
        <f>SUMIF(GL!$D$6:$D$6487,B220,GL!$H$6:$H$6487)</f>
        <v>1759000</v>
      </c>
      <c r="F220" s="341">
        <f>SUMIF(GL!$D$6:$D$6487,B220,GL!$I$6:$I$6487)</f>
        <v>0</v>
      </c>
      <c r="G220" s="341"/>
      <c r="H220" s="341"/>
      <c r="I220" s="341">
        <f t="shared" si="66"/>
        <v>1759000</v>
      </c>
      <c r="J220" s="341">
        <f t="shared" si="67"/>
        <v>0</v>
      </c>
      <c r="K220" s="341"/>
      <c r="L220" s="342"/>
      <c r="M220" s="342"/>
      <c r="N220" s="341">
        <f t="shared" si="61"/>
        <v>1759000</v>
      </c>
      <c r="O220" s="341">
        <f t="shared" si="62"/>
        <v>0</v>
      </c>
      <c r="P220" s="341">
        <f>SUMIF(GL!$D$6488:$D$6532,B220,GL!$H$6488:$H$6532)</f>
        <v>0</v>
      </c>
      <c r="Q220" s="341">
        <f>SUMIF(GL!$D$6408:$D$6452,B220,GL!$I$6408:$I$6452)</f>
        <v>0</v>
      </c>
      <c r="R220" s="341">
        <f t="shared" ref="R220:S220" si="243">P220+N220</f>
        <v>1759000</v>
      </c>
      <c r="S220" s="341">
        <f t="shared" si="243"/>
        <v>0</v>
      </c>
      <c r="T220" s="340"/>
      <c r="U220" s="340"/>
      <c r="V220" s="340"/>
      <c r="W220" s="340"/>
      <c r="X220" s="341">
        <f t="shared" si="64"/>
        <v>1759000</v>
      </c>
      <c r="Y220" s="341">
        <f t="shared" si="65"/>
        <v>0</v>
      </c>
      <c r="Z220" s="331"/>
      <c r="AA220" s="110"/>
      <c r="AB220" s="358"/>
      <c r="AC220" s="330"/>
      <c r="AD220" s="110"/>
      <c r="AE220" s="110"/>
      <c r="AF220" s="332"/>
      <c r="AG220" s="332"/>
      <c r="AH220" s="332"/>
      <c r="AI220" s="332"/>
    </row>
    <row r="221" spans="1:35" ht="13.5" customHeight="1">
      <c r="A221" s="4"/>
      <c r="B221" s="15" t="s">
        <v>4236</v>
      </c>
      <c r="C221" s="260" t="s">
        <v>4237</v>
      </c>
      <c r="D221" s="254">
        <f>SUMIF(GL!$D$5:$D$6505,B221,GL!$G$5:$G$6505)</f>
        <v>0</v>
      </c>
      <c r="E221" s="341">
        <f>SUMIF(GL!$D$6:$D$6487,B221,GL!$H$6:$H$6487)</f>
        <v>0</v>
      </c>
      <c r="F221" s="341">
        <f>SUMIF(GL!$D$6:$D$6487,B221,GL!$I$6:$I$6487)</f>
        <v>0</v>
      </c>
      <c r="G221" s="341"/>
      <c r="H221" s="341"/>
      <c r="I221" s="341">
        <f t="shared" si="66"/>
        <v>0</v>
      </c>
      <c r="J221" s="341">
        <f t="shared" si="67"/>
        <v>0</v>
      </c>
      <c r="K221" s="341"/>
      <c r="L221" s="342"/>
      <c r="M221" s="342"/>
      <c r="N221" s="341">
        <f t="shared" si="61"/>
        <v>0</v>
      </c>
      <c r="O221" s="341">
        <f t="shared" si="62"/>
        <v>0</v>
      </c>
      <c r="P221" s="341">
        <f>SUMIF(GL!$D$6488:$D$6532,B221,GL!$H$6488:$H$6532)</f>
        <v>0</v>
      </c>
      <c r="Q221" s="341">
        <f>SUMIF(GL!$D$6408:$D$6452,B221,GL!$I$6408:$I$6452)</f>
        <v>0</v>
      </c>
      <c r="R221" s="341">
        <f t="shared" ref="R221:S221" si="244">P221+N221</f>
        <v>0</v>
      </c>
      <c r="S221" s="341">
        <f t="shared" si="244"/>
        <v>0</v>
      </c>
      <c r="T221" s="340"/>
      <c r="U221" s="340"/>
      <c r="V221" s="340"/>
      <c r="W221" s="340"/>
      <c r="X221" s="341">
        <f t="shared" si="64"/>
        <v>0</v>
      </c>
      <c r="Y221" s="341">
        <f t="shared" si="65"/>
        <v>0</v>
      </c>
      <c r="Z221" s="331"/>
      <c r="AA221" s="110"/>
      <c r="AB221" s="358"/>
      <c r="AC221" s="330"/>
      <c r="AD221" s="110"/>
      <c r="AE221" s="110"/>
      <c r="AF221" s="332"/>
      <c r="AG221" s="332"/>
      <c r="AH221" s="332"/>
      <c r="AI221" s="332"/>
    </row>
    <row r="222" spans="1:35" ht="13.5" customHeight="1">
      <c r="A222" s="4"/>
      <c r="B222" s="15" t="s">
        <v>2292</v>
      </c>
      <c r="C222" s="260" t="s">
        <v>4238</v>
      </c>
      <c r="D222" s="254">
        <f>SUMIF(GL!$D$5:$D$6505,B222,GL!$G$5:$G$6505)</f>
        <v>2</v>
      </c>
      <c r="E222" s="341">
        <f>SUMIF(GL!$D$6:$D$6487,B222,GL!$H$6:$H$6487)</f>
        <v>50000</v>
      </c>
      <c r="F222" s="341">
        <f>SUMIF(GL!$D$6:$D$6487,B222,GL!$I$6:$I$6487)</f>
        <v>0</v>
      </c>
      <c r="G222" s="341"/>
      <c r="H222" s="341"/>
      <c r="I222" s="341">
        <f t="shared" si="66"/>
        <v>50000</v>
      </c>
      <c r="J222" s="341">
        <f t="shared" si="67"/>
        <v>0</v>
      </c>
      <c r="K222" s="341"/>
      <c r="L222" s="342"/>
      <c r="M222" s="342"/>
      <c r="N222" s="341">
        <f t="shared" si="61"/>
        <v>50000</v>
      </c>
      <c r="O222" s="341">
        <f t="shared" si="62"/>
        <v>0</v>
      </c>
      <c r="P222" s="341">
        <f>SUMIF(GL!$D$6488:$D$6532,B222,GL!$H$6488:$H$6532)</f>
        <v>0</v>
      </c>
      <c r="Q222" s="341">
        <f>SUMIF(GL!$D$6408:$D$6452,B222,GL!$I$6408:$I$6452)</f>
        <v>0</v>
      </c>
      <c r="R222" s="341">
        <f t="shared" ref="R222:S222" si="245">P222+N222</f>
        <v>50000</v>
      </c>
      <c r="S222" s="341">
        <f t="shared" si="245"/>
        <v>0</v>
      </c>
      <c r="T222" s="340"/>
      <c r="U222" s="340"/>
      <c r="V222" s="340"/>
      <c r="W222" s="340"/>
      <c r="X222" s="341">
        <f t="shared" si="64"/>
        <v>50000</v>
      </c>
      <c r="Y222" s="341">
        <f t="shared" si="65"/>
        <v>0</v>
      </c>
      <c r="Z222" s="331"/>
      <c r="AA222" s="110"/>
      <c r="AB222" s="358"/>
      <c r="AC222" s="330"/>
      <c r="AD222" s="110"/>
      <c r="AE222" s="110"/>
      <c r="AF222" s="332"/>
      <c r="AG222" s="332"/>
      <c r="AH222" s="332"/>
      <c r="AI222" s="332"/>
    </row>
    <row r="223" spans="1:35" ht="13.5" customHeight="1">
      <c r="A223" s="4"/>
      <c r="B223" s="15" t="s">
        <v>2975</v>
      </c>
      <c r="C223" s="260" t="s">
        <v>4239</v>
      </c>
      <c r="D223" s="254">
        <f>SUMIF(GL!$D$5:$D$6505,B223,GL!$G$5:$G$6505)</f>
        <v>5</v>
      </c>
      <c r="E223" s="341">
        <f>SUMIF(GL!$D$6:$D$6487,B223,GL!$H$6:$H$6487)</f>
        <v>1282216</v>
      </c>
      <c r="F223" s="341">
        <f>SUMIF(GL!$D$6:$D$6487,B223,GL!$I$6:$I$6487)</f>
        <v>0</v>
      </c>
      <c r="G223" s="341"/>
      <c r="H223" s="341"/>
      <c r="I223" s="341">
        <f t="shared" si="66"/>
        <v>1282216</v>
      </c>
      <c r="J223" s="341">
        <f t="shared" si="67"/>
        <v>0</v>
      </c>
      <c r="K223" s="341"/>
      <c r="L223" s="342"/>
      <c r="M223" s="342"/>
      <c r="N223" s="341">
        <f t="shared" si="61"/>
        <v>1282216</v>
      </c>
      <c r="O223" s="341">
        <f t="shared" si="62"/>
        <v>0</v>
      </c>
      <c r="P223" s="341">
        <f>SUMIF(GL!$D$6488:$D$6532,B223,GL!$H$6488:$H$6532)</f>
        <v>0</v>
      </c>
      <c r="Q223" s="341">
        <f>SUMIF(GL!$D$6408:$D$6452,B223,GL!$I$6408:$I$6452)</f>
        <v>0</v>
      </c>
      <c r="R223" s="341">
        <f t="shared" ref="R223:S223" si="246">P223+N223</f>
        <v>1282216</v>
      </c>
      <c r="S223" s="341">
        <f t="shared" si="246"/>
        <v>0</v>
      </c>
      <c r="T223" s="340"/>
      <c r="U223" s="340"/>
      <c r="V223" s="340"/>
      <c r="W223" s="340"/>
      <c r="X223" s="341">
        <f t="shared" si="64"/>
        <v>1282216</v>
      </c>
      <c r="Y223" s="341">
        <f t="shared" si="65"/>
        <v>0</v>
      </c>
      <c r="Z223" s="331"/>
      <c r="AA223" s="110"/>
      <c r="AB223" s="358"/>
      <c r="AC223" s="330"/>
      <c r="AD223" s="110"/>
      <c r="AE223" s="110"/>
      <c r="AF223" s="332"/>
      <c r="AG223" s="332"/>
      <c r="AH223" s="332"/>
      <c r="AI223" s="332"/>
    </row>
    <row r="224" spans="1:35" ht="13.5" customHeight="1">
      <c r="A224" s="4"/>
      <c r="B224" s="199" t="s">
        <v>2809</v>
      </c>
      <c r="C224" s="212" t="s">
        <v>4240</v>
      </c>
      <c r="D224" s="254">
        <f>SUMIF(GL!$D$5:$D$6505,B224,GL!$G$5:$G$6505)</f>
        <v>120</v>
      </c>
      <c r="E224" s="341">
        <f>SUMIF(GL!$D$6:$D$6487,B224,GL!$H$6:$H$6487)</f>
        <v>3480000</v>
      </c>
      <c r="F224" s="341">
        <f>SUMIF(GL!$D$6:$D$6487,B224,GL!$I$6:$I$6487)</f>
        <v>0</v>
      </c>
      <c r="G224" s="341"/>
      <c r="H224" s="341"/>
      <c r="I224" s="341">
        <f t="shared" si="66"/>
        <v>3480000</v>
      </c>
      <c r="J224" s="341">
        <f t="shared" si="67"/>
        <v>0</v>
      </c>
      <c r="K224" s="341"/>
      <c r="L224" s="342"/>
      <c r="M224" s="342"/>
      <c r="N224" s="341">
        <f t="shared" si="61"/>
        <v>3480000</v>
      </c>
      <c r="O224" s="341">
        <f t="shared" si="62"/>
        <v>0</v>
      </c>
      <c r="P224" s="341">
        <f>SUMIF(GL!$D$6488:$D$6532,B224,GL!$H$6488:$H$6532)</f>
        <v>0</v>
      </c>
      <c r="Q224" s="341">
        <f>SUMIF(GL!$D$6408:$D$6452,B224,GL!$I$6408:$I$6452)</f>
        <v>0</v>
      </c>
      <c r="R224" s="341">
        <f t="shared" ref="R224:S224" si="247">P224+N224</f>
        <v>3480000</v>
      </c>
      <c r="S224" s="341">
        <f t="shared" si="247"/>
        <v>0</v>
      </c>
      <c r="T224" s="340"/>
      <c r="U224" s="340"/>
      <c r="V224" s="340"/>
      <c r="W224" s="340"/>
      <c r="X224" s="341">
        <f t="shared" si="64"/>
        <v>3480000</v>
      </c>
      <c r="Y224" s="341">
        <f t="shared" si="65"/>
        <v>0</v>
      </c>
      <c r="Z224" s="331"/>
      <c r="AA224" s="110"/>
      <c r="AB224" s="358"/>
      <c r="AC224" s="330"/>
      <c r="AD224" s="110"/>
      <c r="AE224" s="110"/>
      <c r="AF224" s="332"/>
      <c r="AG224" s="332"/>
      <c r="AH224" s="332"/>
      <c r="AI224" s="332"/>
    </row>
    <row r="225" spans="1:35" ht="13.5" customHeight="1">
      <c r="A225" s="4"/>
      <c r="B225" s="15" t="s">
        <v>1966</v>
      </c>
      <c r="C225" s="212" t="s">
        <v>4241</v>
      </c>
      <c r="D225" s="254">
        <f>SUMIF(GL!$D$5:$D$6505,B225,GL!$G$5:$G$6505)</f>
        <v>1</v>
      </c>
      <c r="E225" s="341">
        <f>SUMIF(GL!$D$6:$D$6487,B225,GL!$H$6:$H$6487)</f>
        <v>126000</v>
      </c>
      <c r="F225" s="341">
        <f>SUMIF(GL!$D$6:$D$6487,B225,GL!$I$6:$I$6487)</f>
        <v>0</v>
      </c>
      <c r="G225" s="341"/>
      <c r="H225" s="341"/>
      <c r="I225" s="341">
        <f t="shared" si="66"/>
        <v>126000</v>
      </c>
      <c r="J225" s="341">
        <f t="shared" si="67"/>
        <v>0</v>
      </c>
      <c r="K225" s="341"/>
      <c r="L225" s="342"/>
      <c r="M225" s="342"/>
      <c r="N225" s="341">
        <f t="shared" si="61"/>
        <v>126000</v>
      </c>
      <c r="O225" s="341">
        <f t="shared" si="62"/>
        <v>0</v>
      </c>
      <c r="P225" s="341">
        <f>SUMIF(GL!$D$6488:$D$6532,B225,GL!$H$6488:$H$6532)</f>
        <v>0</v>
      </c>
      <c r="Q225" s="341">
        <f>SUMIF(GL!$D$6408:$D$6452,B225,GL!$I$6408:$I$6452)</f>
        <v>0</v>
      </c>
      <c r="R225" s="341">
        <f t="shared" ref="R225:S225" si="248">P225+N225</f>
        <v>126000</v>
      </c>
      <c r="S225" s="341">
        <f t="shared" si="248"/>
        <v>0</v>
      </c>
      <c r="T225" s="340"/>
      <c r="U225" s="340"/>
      <c r="V225" s="340"/>
      <c r="W225" s="340"/>
      <c r="X225" s="341">
        <f t="shared" si="64"/>
        <v>126000</v>
      </c>
      <c r="Y225" s="341">
        <f t="shared" si="65"/>
        <v>0</v>
      </c>
      <c r="Z225" s="331"/>
      <c r="AA225" s="110"/>
      <c r="AB225" s="358"/>
      <c r="AC225" s="330"/>
      <c r="AD225" s="110"/>
      <c r="AE225" s="110"/>
      <c r="AF225" s="332"/>
      <c r="AG225" s="332"/>
      <c r="AH225" s="332"/>
      <c r="AI225" s="332"/>
    </row>
    <row r="226" spans="1:35" ht="13.5" customHeight="1">
      <c r="A226" s="4"/>
      <c r="B226" s="199" t="s">
        <v>4242</v>
      </c>
      <c r="C226" s="259" t="s">
        <v>4243</v>
      </c>
      <c r="D226" s="254">
        <f>SUMIF(GL!$D$5:$D$6505,B226,GL!$G$5:$G$6505)</f>
        <v>0</v>
      </c>
      <c r="E226" s="341">
        <f>SUMIF(GL!$D$6:$D$6487,B226,GL!$H$6:$H$6487)</f>
        <v>0</v>
      </c>
      <c r="F226" s="341">
        <f>SUMIF(GL!$D$6:$D$6487,B226,GL!$I$6:$I$6487)</f>
        <v>0</v>
      </c>
      <c r="G226" s="341"/>
      <c r="H226" s="341"/>
      <c r="I226" s="341">
        <f t="shared" si="66"/>
        <v>0</v>
      </c>
      <c r="J226" s="341">
        <f t="shared" si="67"/>
        <v>0</v>
      </c>
      <c r="K226" s="341"/>
      <c r="L226" s="342"/>
      <c r="M226" s="342"/>
      <c r="N226" s="341">
        <f t="shared" si="61"/>
        <v>0</v>
      </c>
      <c r="O226" s="341">
        <f t="shared" si="62"/>
        <v>0</v>
      </c>
      <c r="P226" s="341">
        <f>SUMIF(GL!$D$6488:$D$6532,B226,GL!$H$6488:$H$6532)</f>
        <v>0</v>
      </c>
      <c r="Q226" s="341">
        <f>SUMIF(GL!$D$6408:$D$6452,B226,GL!$I$6408:$I$6452)</f>
        <v>0</v>
      </c>
      <c r="R226" s="341">
        <f t="shared" ref="R226:S226" si="249">P226+N226</f>
        <v>0</v>
      </c>
      <c r="S226" s="341">
        <f t="shared" si="249"/>
        <v>0</v>
      </c>
      <c r="T226" s="340"/>
      <c r="U226" s="340"/>
      <c r="V226" s="340"/>
      <c r="W226" s="340"/>
      <c r="X226" s="341">
        <f t="shared" si="64"/>
        <v>0</v>
      </c>
      <c r="Y226" s="341">
        <f t="shared" si="65"/>
        <v>0</v>
      </c>
      <c r="Z226" s="331"/>
      <c r="AA226" s="110"/>
      <c r="AB226" s="358"/>
      <c r="AC226" s="330"/>
      <c r="AD226" s="110"/>
      <c r="AE226" s="110"/>
      <c r="AF226" s="332"/>
      <c r="AG226" s="332"/>
      <c r="AH226" s="332"/>
      <c r="AI226" s="332"/>
    </row>
    <row r="227" spans="1:35" ht="13.5" customHeight="1">
      <c r="A227" s="4"/>
      <c r="B227" s="15" t="s">
        <v>1855</v>
      </c>
      <c r="C227" s="260" t="s">
        <v>4244</v>
      </c>
      <c r="D227" s="254">
        <f>SUMIF(GL!$D$5:$D$6505,B227,GL!$G$5:$G$6505)</f>
        <v>13</v>
      </c>
      <c r="E227" s="341">
        <f>SUMIF(GL!$D$6:$D$6487,B227,GL!$H$6:$H$6487)</f>
        <v>297100</v>
      </c>
      <c r="F227" s="341">
        <f>SUMIF(GL!$D$6:$D$6487,B227,GL!$I$6:$I$6487)</f>
        <v>0</v>
      </c>
      <c r="G227" s="341"/>
      <c r="H227" s="341"/>
      <c r="I227" s="341">
        <f t="shared" si="66"/>
        <v>297100</v>
      </c>
      <c r="J227" s="341">
        <f t="shared" si="67"/>
        <v>0</v>
      </c>
      <c r="K227" s="341"/>
      <c r="L227" s="342"/>
      <c r="M227" s="342"/>
      <c r="N227" s="341">
        <f t="shared" si="61"/>
        <v>297100</v>
      </c>
      <c r="O227" s="341">
        <f t="shared" si="62"/>
        <v>0</v>
      </c>
      <c r="P227" s="341">
        <f>SUMIF(GL!$D$6488:$D$6532,B227,GL!$H$6488:$H$6532)</f>
        <v>0</v>
      </c>
      <c r="Q227" s="341">
        <f>SUMIF(GL!$D$6408:$D$6452,B227,GL!$I$6408:$I$6452)</f>
        <v>0</v>
      </c>
      <c r="R227" s="341">
        <f t="shared" ref="R227:S227" si="250">P227+N227</f>
        <v>297100</v>
      </c>
      <c r="S227" s="341">
        <f t="shared" si="250"/>
        <v>0</v>
      </c>
      <c r="T227" s="340"/>
      <c r="U227" s="340"/>
      <c r="V227" s="340"/>
      <c r="W227" s="340"/>
      <c r="X227" s="341">
        <f t="shared" si="64"/>
        <v>297100</v>
      </c>
      <c r="Y227" s="341">
        <f t="shared" si="65"/>
        <v>0</v>
      </c>
      <c r="Z227" s="331"/>
      <c r="AA227" s="110"/>
      <c r="AB227" s="358"/>
      <c r="AC227" s="330"/>
      <c r="AD227" s="110"/>
      <c r="AE227" s="110"/>
      <c r="AF227" s="332"/>
      <c r="AG227" s="332"/>
      <c r="AH227" s="332"/>
      <c r="AI227" s="332"/>
    </row>
    <row r="228" spans="1:35" ht="13.5" customHeight="1">
      <c r="A228" s="4"/>
      <c r="B228" s="15" t="s">
        <v>4245</v>
      </c>
      <c r="C228" s="260" t="s">
        <v>4246</v>
      </c>
      <c r="D228" s="254">
        <f>SUMIF(GL!$D$5:$D$6505,B228,GL!$G$5:$G$6505)</f>
        <v>0</v>
      </c>
      <c r="E228" s="341">
        <f>SUMIF(GL!$D$6:$D$6487,B228,GL!$H$6:$H$6487)</f>
        <v>0</v>
      </c>
      <c r="F228" s="341">
        <f>SUMIF(GL!$D$6:$D$6487,B228,GL!$I$6:$I$6487)</f>
        <v>0</v>
      </c>
      <c r="G228" s="341"/>
      <c r="H228" s="341"/>
      <c r="I228" s="341">
        <f t="shared" si="66"/>
        <v>0</v>
      </c>
      <c r="J228" s="341">
        <f t="shared" si="67"/>
        <v>0</v>
      </c>
      <c r="K228" s="341"/>
      <c r="L228" s="342"/>
      <c r="M228" s="342"/>
      <c r="N228" s="341">
        <f t="shared" si="61"/>
        <v>0</v>
      </c>
      <c r="O228" s="341">
        <f t="shared" si="62"/>
        <v>0</v>
      </c>
      <c r="P228" s="341">
        <f>SUMIF(GL!$D$6488:$D$6532,B228,GL!$H$6488:$H$6532)</f>
        <v>0</v>
      </c>
      <c r="Q228" s="341">
        <f>SUMIF(GL!$D$6408:$D$6452,B228,GL!$I$6408:$I$6452)</f>
        <v>0</v>
      </c>
      <c r="R228" s="341">
        <f t="shared" ref="R228:S228" si="251">P228+N228</f>
        <v>0</v>
      </c>
      <c r="S228" s="341">
        <f t="shared" si="251"/>
        <v>0</v>
      </c>
      <c r="T228" s="340"/>
      <c r="U228" s="340"/>
      <c r="V228" s="340"/>
      <c r="W228" s="340"/>
      <c r="X228" s="341">
        <f t="shared" si="64"/>
        <v>0</v>
      </c>
      <c r="Y228" s="341">
        <f t="shared" si="65"/>
        <v>0</v>
      </c>
      <c r="Z228" s="331"/>
      <c r="AA228" s="110"/>
      <c r="AB228" s="358"/>
      <c r="AC228" s="330"/>
      <c r="AD228" s="110"/>
      <c r="AE228" s="110"/>
      <c r="AF228" s="332"/>
      <c r="AG228" s="332"/>
      <c r="AH228" s="332"/>
      <c r="AI228" s="332"/>
    </row>
    <row r="229" spans="1:35" ht="13.5" customHeight="1">
      <c r="A229" s="4"/>
      <c r="B229" s="15" t="s">
        <v>4247</v>
      </c>
      <c r="C229" s="260" t="s">
        <v>4248</v>
      </c>
      <c r="D229" s="254">
        <f>SUMIF(GL!$D$5:$D$6505,B229,GL!$G$5:$G$6505)</f>
        <v>0</v>
      </c>
      <c r="E229" s="341">
        <f>SUMIF(GL!$D$6:$D$6487,B229,GL!$H$6:$H$6487)</f>
        <v>0</v>
      </c>
      <c r="F229" s="341">
        <f>SUMIF(GL!$D$6:$D$6487,B229,GL!$I$6:$I$6487)</f>
        <v>0</v>
      </c>
      <c r="G229" s="341"/>
      <c r="H229" s="341"/>
      <c r="I229" s="341">
        <f t="shared" si="66"/>
        <v>0</v>
      </c>
      <c r="J229" s="341">
        <f t="shared" si="67"/>
        <v>0</v>
      </c>
      <c r="K229" s="341"/>
      <c r="L229" s="342"/>
      <c r="M229" s="342"/>
      <c r="N229" s="341">
        <f t="shared" si="61"/>
        <v>0</v>
      </c>
      <c r="O229" s="341">
        <f t="shared" si="62"/>
        <v>0</v>
      </c>
      <c r="P229" s="341">
        <f>SUMIF(GL!$D$6488:$D$6532,B229,GL!$H$6488:$H$6532)</f>
        <v>0</v>
      </c>
      <c r="Q229" s="341">
        <f>SUMIF(GL!$D$6408:$D$6452,B229,GL!$I$6408:$I$6452)</f>
        <v>0</v>
      </c>
      <c r="R229" s="341">
        <f t="shared" ref="R229:S229" si="252">P229+N229</f>
        <v>0</v>
      </c>
      <c r="S229" s="341">
        <f t="shared" si="252"/>
        <v>0</v>
      </c>
      <c r="T229" s="340"/>
      <c r="U229" s="340"/>
      <c r="V229" s="340"/>
      <c r="W229" s="340"/>
      <c r="X229" s="341">
        <f t="shared" si="64"/>
        <v>0</v>
      </c>
      <c r="Y229" s="341">
        <f t="shared" si="65"/>
        <v>0</v>
      </c>
      <c r="Z229" s="331"/>
      <c r="AA229" s="110"/>
      <c r="AB229" s="358"/>
      <c r="AC229" s="330"/>
      <c r="AD229" s="110"/>
      <c r="AE229" s="110"/>
      <c r="AF229" s="332"/>
      <c r="AG229" s="332"/>
      <c r="AH229" s="332"/>
      <c r="AI229" s="332"/>
    </row>
    <row r="230" spans="1:35" ht="13.5" customHeight="1">
      <c r="A230" s="4"/>
      <c r="B230" s="15" t="s">
        <v>4249</v>
      </c>
      <c r="C230" s="340" t="s">
        <v>4250</v>
      </c>
      <c r="D230" s="254">
        <f>SUMIF(GL!$D$5:$D$6505,B230,GL!$G$5:$G$6505)</f>
        <v>0</v>
      </c>
      <c r="E230" s="341">
        <f>SUMIF(GL!$D$6:$D$6487,B230,GL!$H$6:$H$6487)</f>
        <v>0</v>
      </c>
      <c r="F230" s="341">
        <f>SUMIF(GL!$D$6:$D$6487,B230,GL!$I$6:$I$6487)</f>
        <v>0</v>
      </c>
      <c r="G230" s="341"/>
      <c r="H230" s="341"/>
      <c r="I230" s="341">
        <f t="shared" si="66"/>
        <v>0</v>
      </c>
      <c r="J230" s="341">
        <f t="shared" si="67"/>
        <v>0</v>
      </c>
      <c r="K230" s="341"/>
      <c r="L230" s="342"/>
      <c r="M230" s="342"/>
      <c r="N230" s="341">
        <f t="shared" si="61"/>
        <v>0</v>
      </c>
      <c r="O230" s="341">
        <f t="shared" si="62"/>
        <v>0</v>
      </c>
      <c r="P230" s="341">
        <f>SUMIF(GL!$D$6488:$D$6532,B230,GL!$H$6488:$H$6532)</f>
        <v>0</v>
      </c>
      <c r="Q230" s="341">
        <f>SUMIF(GL!$D$6408:$D$6452,B230,GL!$I$6408:$I$6452)</f>
        <v>0</v>
      </c>
      <c r="R230" s="341">
        <f t="shared" ref="R230:S230" si="253">P230+N230</f>
        <v>0</v>
      </c>
      <c r="S230" s="341">
        <f t="shared" si="253"/>
        <v>0</v>
      </c>
      <c r="T230" s="340"/>
      <c r="U230" s="340"/>
      <c r="V230" s="340"/>
      <c r="W230" s="340"/>
      <c r="X230" s="341">
        <f t="shared" si="64"/>
        <v>0</v>
      </c>
      <c r="Y230" s="341">
        <f t="shared" si="65"/>
        <v>0</v>
      </c>
      <c r="Z230" s="331"/>
      <c r="AA230" s="110"/>
      <c r="AB230" s="358"/>
      <c r="AC230" s="330"/>
      <c r="AD230" s="110"/>
      <c r="AE230" s="110"/>
      <c r="AF230" s="332"/>
      <c r="AG230" s="332"/>
      <c r="AH230" s="332"/>
      <c r="AI230" s="332"/>
    </row>
    <row r="231" spans="1:35" ht="13.5" customHeight="1">
      <c r="A231" s="4"/>
      <c r="B231" s="15" t="s">
        <v>4251</v>
      </c>
      <c r="C231" s="260" t="s">
        <v>4252</v>
      </c>
      <c r="D231" s="254">
        <f>SUMIF(GL!$D$5:$D$6505,B231,GL!$G$5:$G$6505)</f>
        <v>0</v>
      </c>
      <c r="E231" s="341">
        <f>SUMIF(GL!$D$6:$D$6487,B231,GL!$H$6:$H$6487)</f>
        <v>0</v>
      </c>
      <c r="F231" s="341">
        <f>SUMIF(GL!$D$6:$D$6487,B231,GL!$I$6:$I$6487)</f>
        <v>0</v>
      </c>
      <c r="G231" s="341"/>
      <c r="H231" s="341"/>
      <c r="I231" s="341">
        <f t="shared" si="66"/>
        <v>0</v>
      </c>
      <c r="J231" s="341">
        <f t="shared" si="67"/>
        <v>0</v>
      </c>
      <c r="K231" s="341"/>
      <c r="L231" s="342"/>
      <c r="M231" s="342"/>
      <c r="N231" s="341">
        <f t="shared" si="61"/>
        <v>0</v>
      </c>
      <c r="O231" s="341">
        <f t="shared" si="62"/>
        <v>0</v>
      </c>
      <c r="P231" s="341">
        <f>SUMIF(GL!$D$6488:$D$6532,B231,GL!$H$6488:$H$6532)</f>
        <v>0</v>
      </c>
      <c r="Q231" s="341">
        <f>SUMIF(GL!$D$6408:$D$6452,B231,GL!$I$6408:$I$6452)</f>
        <v>0</v>
      </c>
      <c r="R231" s="341">
        <f t="shared" ref="R231:S231" si="254">P231+N231</f>
        <v>0</v>
      </c>
      <c r="S231" s="341">
        <f t="shared" si="254"/>
        <v>0</v>
      </c>
      <c r="T231" s="340"/>
      <c r="U231" s="340"/>
      <c r="V231" s="340"/>
      <c r="W231" s="340"/>
      <c r="X231" s="341">
        <f t="shared" si="64"/>
        <v>0</v>
      </c>
      <c r="Y231" s="341">
        <f t="shared" si="65"/>
        <v>0</v>
      </c>
      <c r="Z231" s="331"/>
      <c r="AA231" s="110"/>
      <c r="AB231" s="358"/>
      <c r="AC231" s="330"/>
      <c r="AD231" s="110"/>
      <c r="AE231" s="110"/>
      <c r="AF231" s="332"/>
      <c r="AG231" s="332"/>
      <c r="AH231" s="332"/>
      <c r="AI231" s="332"/>
    </row>
    <row r="232" spans="1:35" ht="13.5" customHeight="1">
      <c r="A232" s="4"/>
      <c r="B232" s="15" t="s">
        <v>2780</v>
      </c>
      <c r="C232" s="340" t="s">
        <v>4253</v>
      </c>
      <c r="D232" s="254">
        <f>SUMIF(GL!$D$5:$D$6505,B232,GL!$G$5:$G$6505)</f>
        <v>12</v>
      </c>
      <c r="E232" s="341">
        <f>SUMIF(GL!$D$6:$D$6487,B232,GL!$H$6:$H$6487)</f>
        <v>541680</v>
      </c>
      <c r="F232" s="341">
        <f>SUMIF(GL!$D$6:$D$6487,B232,GL!$I$6:$I$6487)</f>
        <v>0</v>
      </c>
      <c r="G232" s="341"/>
      <c r="H232" s="341"/>
      <c r="I232" s="341">
        <f t="shared" si="66"/>
        <v>541680</v>
      </c>
      <c r="J232" s="341">
        <f t="shared" si="67"/>
        <v>0</v>
      </c>
      <c r="K232" s="341"/>
      <c r="L232" s="342"/>
      <c r="M232" s="342"/>
      <c r="N232" s="341">
        <f t="shared" si="61"/>
        <v>541680</v>
      </c>
      <c r="O232" s="341">
        <f t="shared" si="62"/>
        <v>0</v>
      </c>
      <c r="P232" s="341">
        <f>SUMIF(GL!$D$6488:$D$6532,B232,GL!$H$6488:$H$6532)</f>
        <v>0</v>
      </c>
      <c r="Q232" s="341">
        <f>SUMIF(GL!$D$6408:$D$6452,B232,GL!$I$6408:$I$6452)</f>
        <v>0</v>
      </c>
      <c r="R232" s="341">
        <f t="shared" ref="R232:S232" si="255">P232+N232</f>
        <v>541680</v>
      </c>
      <c r="S232" s="341">
        <f t="shared" si="255"/>
        <v>0</v>
      </c>
      <c r="T232" s="340"/>
      <c r="U232" s="340"/>
      <c r="V232" s="340"/>
      <c r="W232" s="340"/>
      <c r="X232" s="341">
        <f t="shared" si="64"/>
        <v>541680</v>
      </c>
      <c r="Y232" s="341">
        <f t="shared" si="65"/>
        <v>0</v>
      </c>
      <c r="Z232" s="331"/>
      <c r="AA232" s="110"/>
      <c r="AB232" s="358"/>
      <c r="AC232" s="330"/>
      <c r="AD232" s="110"/>
      <c r="AE232" s="110"/>
      <c r="AF232" s="332"/>
      <c r="AG232" s="332"/>
      <c r="AH232" s="332"/>
      <c r="AI232" s="332"/>
    </row>
    <row r="233" spans="1:35" ht="13.5" customHeight="1">
      <c r="A233" s="4"/>
      <c r="B233" s="15" t="s">
        <v>2126</v>
      </c>
      <c r="C233" s="260" t="s">
        <v>4254</v>
      </c>
      <c r="D233" s="254">
        <f>SUMIF(GL!$D$5:$D$6505,B233,GL!$G$5:$G$6505)</f>
        <v>45</v>
      </c>
      <c r="E233" s="341">
        <f>SUMIF(GL!$D$6:$D$6487,B233,GL!$H$6:$H$6487)</f>
        <v>765000</v>
      </c>
      <c r="F233" s="341">
        <f>SUMIF(GL!$D$6:$D$6487,B233,GL!$I$6:$I$6487)</f>
        <v>0</v>
      </c>
      <c r="G233" s="341"/>
      <c r="H233" s="341"/>
      <c r="I233" s="341">
        <f t="shared" si="66"/>
        <v>765000</v>
      </c>
      <c r="J233" s="341">
        <f t="shared" si="67"/>
        <v>0</v>
      </c>
      <c r="K233" s="341"/>
      <c r="L233" s="342"/>
      <c r="M233" s="342"/>
      <c r="N233" s="341">
        <f t="shared" si="61"/>
        <v>765000</v>
      </c>
      <c r="O233" s="341">
        <f t="shared" si="62"/>
        <v>0</v>
      </c>
      <c r="P233" s="341">
        <f>SUMIF(GL!$D$6488:$D$6532,B233,GL!$H$6488:$H$6532)</f>
        <v>0</v>
      </c>
      <c r="Q233" s="341">
        <f>SUMIF(GL!$D$6408:$D$6452,B233,GL!$I$6408:$I$6452)</f>
        <v>0</v>
      </c>
      <c r="R233" s="341">
        <f t="shared" ref="R233:S233" si="256">P233+N233</f>
        <v>765000</v>
      </c>
      <c r="S233" s="341">
        <f t="shared" si="256"/>
        <v>0</v>
      </c>
      <c r="T233" s="340"/>
      <c r="U233" s="340"/>
      <c r="V233" s="340"/>
      <c r="W233" s="340"/>
      <c r="X233" s="341">
        <f t="shared" si="64"/>
        <v>765000</v>
      </c>
      <c r="Y233" s="341">
        <f t="shared" si="65"/>
        <v>0</v>
      </c>
      <c r="Z233" s="331"/>
      <c r="AA233" s="110"/>
      <c r="AB233" s="358"/>
      <c r="AC233" s="330"/>
      <c r="AD233" s="110"/>
      <c r="AE233" s="110"/>
      <c r="AF233" s="332"/>
      <c r="AG233" s="332"/>
      <c r="AH233" s="332"/>
      <c r="AI233" s="332"/>
    </row>
    <row r="234" spans="1:35" ht="13.5" customHeight="1">
      <c r="A234" s="4"/>
      <c r="B234" s="15" t="s">
        <v>2230</v>
      </c>
      <c r="C234" s="340" t="s">
        <v>4255</v>
      </c>
      <c r="D234" s="254">
        <f>SUMIF(GL!$D$5:$D$6505,B234,GL!$G$5:$G$6505)</f>
        <v>1</v>
      </c>
      <c r="E234" s="341">
        <f>SUMIF(GL!$D$6:$D$6487,B234,GL!$H$6:$H$6487)</f>
        <v>65000</v>
      </c>
      <c r="F234" s="341">
        <f>SUMIF(GL!$D$6:$D$6487,B234,GL!$I$6:$I$6487)</f>
        <v>0</v>
      </c>
      <c r="G234" s="341"/>
      <c r="H234" s="341"/>
      <c r="I234" s="341">
        <f t="shared" si="66"/>
        <v>65000</v>
      </c>
      <c r="J234" s="341">
        <f t="shared" si="67"/>
        <v>0</v>
      </c>
      <c r="K234" s="341"/>
      <c r="L234" s="342"/>
      <c r="M234" s="342"/>
      <c r="N234" s="341">
        <f t="shared" si="61"/>
        <v>65000</v>
      </c>
      <c r="O234" s="341">
        <f t="shared" si="62"/>
        <v>0</v>
      </c>
      <c r="P234" s="341">
        <f>SUMIF(GL!$D$6488:$D$6532,B234,GL!$H$6488:$H$6532)</f>
        <v>0</v>
      </c>
      <c r="Q234" s="341">
        <f>SUMIF(GL!$D$6408:$D$6452,B234,GL!$I$6408:$I$6452)</f>
        <v>0</v>
      </c>
      <c r="R234" s="341">
        <f t="shared" ref="R234:S234" si="257">P234+N234</f>
        <v>65000</v>
      </c>
      <c r="S234" s="341">
        <f t="shared" si="257"/>
        <v>0</v>
      </c>
      <c r="T234" s="340"/>
      <c r="U234" s="340"/>
      <c r="V234" s="340"/>
      <c r="W234" s="340"/>
      <c r="X234" s="341">
        <f t="shared" si="64"/>
        <v>65000</v>
      </c>
      <c r="Y234" s="341">
        <f t="shared" si="65"/>
        <v>0</v>
      </c>
      <c r="Z234" s="331"/>
      <c r="AA234" s="110"/>
      <c r="AB234" s="358"/>
      <c r="AC234" s="330"/>
      <c r="AD234" s="110"/>
      <c r="AE234" s="110"/>
      <c r="AF234" s="332"/>
      <c r="AG234" s="332"/>
      <c r="AH234" s="332"/>
      <c r="AI234" s="332"/>
    </row>
    <row r="235" spans="1:35" ht="13.5" customHeight="1">
      <c r="A235" s="4"/>
      <c r="B235" s="15" t="s">
        <v>4256</v>
      </c>
      <c r="C235" s="260" t="s">
        <v>4257</v>
      </c>
      <c r="D235" s="254">
        <f>SUMIF(GL!$D$5:$D$6505,B235,GL!$G$5:$G$6505)</f>
        <v>0</v>
      </c>
      <c r="E235" s="341">
        <f>SUMIF(GL!$D$6:$D$6487,B235,GL!$H$6:$H$6487)</f>
        <v>0</v>
      </c>
      <c r="F235" s="341">
        <f>SUMIF(GL!$D$6:$D$6487,B235,GL!$I$6:$I$6487)</f>
        <v>0</v>
      </c>
      <c r="G235" s="341"/>
      <c r="H235" s="341"/>
      <c r="I235" s="341">
        <f t="shared" si="66"/>
        <v>0</v>
      </c>
      <c r="J235" s="341">
        <f t="shared" si="67"/>
        <v>0</v>
      </c>
      <c r="K235" s="341"/>
      <c r="L235" s="342"/>
      <c r="M235" s="342"/>
      <c r="N235" s="341">
        <f t="shared" si="61"/>
        <v>0</v>
      </c>
      <c r="O235" s="341">
        <f t="shared" si="62"/>
        <v>0</v>
      </c>
      <c r="P235" s="341">
        <f>SUMIF(GL!$D$6488:$D$6532,B235,GL!$H$6488:$H$6532)</f>
        <v>0</v>
      </c>
      <c r="Q235" s="341">
        <f>SUMIF(GL!$D$6408:$D$6452,B235,GL!$I$6408:$I$6452)</f>
        <v>0</v>
      </c>
      <c r="R235" s="341">
        <f t="shared" ref="R235:S235" si="258">P235+N235</f>
        <v>0</v>
      </c>
      <c r="S235" s="341">
        <f t="shared" si="258"/>
        <v>0</v>
      </c>
      <c r="T235" s="340"/>
      <c r="U235" s="340"/>
      <c r="V235" s="340"/>
      <c r="W235" s="340"/>
      <c r="X235" s="341">
        <f t="shared" si="64"/>
        <v>0</v>
      </c>
      <c r="Y235" s="341">
        <f t="shared" si="65"/>
        <v>0</v>
      </c>
      <c r="Z235" s="331"/>
      <c r="AA235" s="110"/>
      <c r="AB235" s="358"/>
      <c r="AC235" s="330"/>
      <c r="AD235" s="110"/>
      <c r="AE235" s="110"/>
      <c r="AF235" s="332"/>
      <c r="AG235" s="332"/>
      <c r="AH235" s="332"/>
      <c r="AI235" s="332"/>
    </row>
    <row r="236" spans="1:35" ht="13.5" customHeight="1">
      <c r="A236" s="4"/>
      <c r="B236" s="15" t="s">
        <v>4258</v>
      </c>
      <c r="C236" s="340" t="s">
        <v>4259</v>
      </c>
      <c r="D236" s="254">
        <f>SUMIF(GL!$D$5:$D$6505,B236,GL!$G$5:$G$6505)</f>
        <v>0</v>
      </c>
      <c r="E236" s="341">
        <f>SUMIF(GL!$D$6:$D$6487,B236,GL!$H$6:$H$6487)</f>
        <v>0</v>
      </c>
      <c r="F236" s="341">
        <f>SUMIF(GL!$D$6:$D$6487,B236,GL!$I$6:$I$6487)</f>
        <v>0</v>
      </c>
      <c r="G236" s="341"/>
      <c r="H236" s="341"/>
      <c r="I236" s="341">
        <f t="shared" si="66"/>
        <v>0</v>
      </c>
      <c r="J236" s="341">
        <f t="shared" si="67"/>
        <v>0</v>
      </c>
      <c r="K236" s="341"/>
      <c r="L236" s="342"/>
      <c r="M236" s="342"/>
      <c r="N236" s="341">
        <f t="shared" si="61"/>
        <v>0</v>
      </c>
      <c r="O236" s="341">
        <f t="shared" si="62"/>
        <v>0</v>
      </c>
      <c r="P236" s="341">
        <f>SUMIF(GL!$D$6488:$D$6532,B236,GL!$H$6488:$H$6532)</f>
        <v>0</v>
      </c>
      <c r="Q236" s="341">
        <f>SUMIF(GL!$D$6408:$D$6452,B236,GL!$I$6408:$I$6452)</f>
        <v>0</v>
      </c>
      <c r="R236" s="341">
        <f t="shared" ref="R236:S236" si="259">P236+N236</f>
        <v>0</v>
      </c>
      <c r="S236" s="341">
        <f t="shared" si="259"/>
        <v>0</v>
      </c>
      <c r="T236" s="340"/>
      <c r="U236" s="340"/>
      <c r="V236" s="340"/>
      <c r="W236" s="340"/>
      <c r="X236" s="341">
        <f t="shared" si="64"/>
        <v>0</v>
      </c>
      <c r="Y236" s="341">
        <f t="shared" si="65"/>
        <v>0</v>
      </c>
      <c r="Z236" s="331"/>
      <c r="AA236" s="110"/>
      <c r="AB236" s="358"/>
      <c r="AC236" s="330"/>
      <c r="AD236" s="110"/>
      <c r="AE236" s="110"/>
      <c r="AF236" s="332"/>
      <c r="AG236" s="332"/>
      <c r="AH236" s="332"/>
      <c r="AI236" s="332"/>
    </row>
    <row r="237" spans="1:35" ht="13.5" customHeight="1">
      <c r="A237" s="4"/>
      <c r="B237" s="15" t="s">
        <v>2967</v>
      </c>
      <c r="C237" s="260" t="s">
        <v>4260</v>
      </c>
      <c r="D237" s="254">
        <f>SUMIF(GL!$D$5:$D$6505,B237,GL!$G$5:$G$6505)</f>
        <v>12</v>
      </c>
      <c r="E237" s="341">
        <f>SUMIF(GL!$D$6:$D$6487,B237,GL!$H$6:$H$6487)</f>
        <v>1912752</v>
      </c>
      <c r="F237" s="341">
        <f>SUMIF(GL!$D$6:$D$6487,B237,GL!$I$6:$I$6487)</f>
        <v>0</v>
      </c>
      <c r="G237" s="341"/>
      <c r="H237" s="341"/>
      <c r="I237" s="341">
        <f t="shared" si="66"/>
        <v>1912752</v>
      </c>
      <c r="J237" s="341">
        <f t="shared" si="67"/>
        <v>0</v>
      </c>
      <c r="K237" s="341"/>
      <c r="L237" s="342"/>
      <c r="M237" s="342"/>
      <c r="N237" s="341">
        <f t="shared" si="61"/>
        <v>1912752</v>
      </c>
      <c r="O237" s="341">
        <f t="shared" si="62"/>
        <v>0</v>
      </c>
      <c r="P237" s="341">
        <f>SUMIF(GL!$D$6488:$D$6532,B237,GL!$H$6488:$H$6532)</f>
        <v>0</v>
      </c>
      <c r="Q237" s="341">
        <f>SUMIF(GL!$D$6408:$D$6452,B237,GL!$I$6408:$I$6452)</f>
        <v>0</v>
      </c>
      <c r="R237" s="341">
        <f t="shared" ref="R237:S237" si="260">P237+N237</f>
        <v>1912752</v>
      </c>
      <c r="S237" s="341">
        <f t="shared" si="260"/>
        <v>0</v>
      </c>
      <c r="T237" s="340"/>
      <c r="U237" s="340"/>
      <c r="V237" s="340"/>
      <c r="W237" s="340"/>
      <c r="X237" s="341">
        <f t="shared" si="64"/>
        <v>1912752</v>
      </c>
      <c r="Y237" s="341">
        <f t="shared" si="65"/>
        <v>0</v>
      </c>
      <c r="Z237" s="331"/>
      <c r="AA237" s="110"/>
      <c r="AB237" s="358"/>
      <c r="AC237" s="330"/>
      <c r="AD237" s="110"/>
      <c r="AE237" s="110"/>
      <c r="AF237" s="332"/>
      <c r="AG237" s="332"/>
      <c r="AH237" s="332"/>
      <c r="AI237" s="332"/>
    </row>
    <row r="238" spans="1:35" ht="13.5" customHeight="1">
      <c r="A238" s="4"/>
      <c r="B238" s="15" t="s">
        <v>2786</v>
      </c>
      <c r="C238" s="260" t="s">
        <v>4261</v>
      </c>
      <c r="D238" s="254">
        <f>SUMIF(GL!$D$5:$D$6505,B238,GL!$G$5:$G$6505)</f>
        <v>19</v>
      </c>
      <c r="E238" s="341">
        <f>SUMIF(GL!$D$6:$D$6487,B238,GL!$H$6:$H$6487)</f>
        <v>780330</v>
      </c>
      <c r="F238" s="341">
        <f>SUMIF(GL!$D$6:$D$6487,B238,GL!$I$6:$I$6487)</f>
        <v>0</v>
      </c>
      <c r="G238" s="341"/>
      <c r="H238" s="341"/>
      <c r="I238" s="341">
        <f t="shared" si="66"/>
        <v>780330</v>
      </c>
      <c r="J238" s="341">
        <f t="shared" si="67"/>
        <v>0</v>
      </c>
      <c r="K238" s="341"/>
      <c r="L238" s="342"/>
      <c r="M238" s="342"/>
      <c r="N238" s="341">
        <f t="shared" si="61"/>
        <v>780330</v>
      </c>
      <c r="O238" s="341">
        <f t="shared" si="62"/>
        <v>0</v>
      </c>
      <c r="P238" s="341">
        <f>SUMIF(GL!$D$6488:$D$6532,B238,GL!$H$6488:$H$6532)</f>
        <v>0</v>
      </c>
      <c r="Q238" s="341">
        <f>SUMIF(GL!$D$6408:$D$6452,B238,GL!$I$6408:$I$6452)</f>
        <v>0</v>
      </c>
      <c r="R238" s="341">
        <f t="shared" ref="R238:S238" si="261">P238+N238</f>
        <v>780330</v>
      </c>
      <c r="S238" s="341">
        <f t="shared" si="261"/>
        <v>0</v>
      </c>
      <c r="T238" s="340"/>
      <c r="U238" s="340"/>
      <c r="V238" s="340"/>
      <c r="W238" s="340"/>
      <c r="X238" s="341">
        <f t="shared" si="64"/>
        <v>780330</v>
      </c>
      <c r="Y238" s="341">
        <f t="shared" si="65"/>
        <v>0</v>
      </c>
      <c r="Z238" s="331"/>
      <c r="AA238" s="110"/>
      <c r="AB238" s="358"/>
      <c r="AC238" s="330"/>
      <c r="AD238" s="110"/>
      <c r="AE238" s="110"/>
      <c r="AF238" s="332"/>
      <c r="AG238" s="332"/>
      <c r="AH238" s="332"/>
      <c r="AI238" s="332"/>
    </row>
    <row r="239" spans="1:35" ht="13.5" customHeight="1">
      <c r="A239" s="4"/>
      <c r="B239" s="15" t="s">
        <v>2330</v>
      </c>
      <c r="C239" s="260" t="s">
        <v>4262</v>
      </c>
      <c r="D239" s="254">
        <f>SUMIF(GL!$D$5:$D$6505,B239,GL!$G$5:$G$6505)</f>
        <v>0.26</v>
      </c>
      <c r="E239" s="341">
        <f>SUMIF(GL!$D$6:$D$6487,B239,GL!$H$6:$H$6487)</f>
        <v>30000</v>
      </c>
      <c r="F239" s="341">
        <f>SUMIF(GL!$D$6:$D$6487,B239,GL!$I$6:$I$6487)</f>
        <v>0</v>
      </c>
      <c r="G239" s="341"/>
      <c r="H239" s="341"/>
      <c r="I239" s="341">
        <f t="shared" si="66"/>
        <v>30000</v>
      </c>
      <c r="J239" s="341">
        <f t="shared" si="67"/>
        <v>0</v>
      </c>
      <c r="K239" s="341"/>
      <c r="L239" s="342"/>
      <c r="M239" s="342"/>
      <c r="N239" s="341">
        <f t="shared" si="61"/>
        <v>30000</v>
      </c>
      <c r="O239" s="341">
        <f t="shared" si="62"/>
        <v>0</v>
      </c>
      <c r="P239" s="341">
        <f>SUMIF(GL!$D$6488:$D$6532,B239,GL!$H$6488:$H$6532)</f>
        <v>0</v>
      </c>
      <c r="Q239" s="341">
        <f>SUMIF(GL!$D$6408:$D$6452,B239,GL!$I$6408:$I$6452)</f>
        <v>0</v>
      </c>
      <c r="R239" s="341">
        <f t="shared" ref="R239:S239" si="262">P239+N239</f>
        <v>30000</v>
      </c>
      <c r="S239" s="341">
        <f t="shared" si="262"/>
        <v>0</v>
      </c>
      <c r="T239" s="340"/>
      <c r="U239" s="340"/>
      <c r="V239" s="340"/>
      <c r="W239" s="340"/>
      <c r="X239" s="341">
        <f t="shared" si="64"/>
        <v>30000</v>
      </c>
      <c r="Y239" s="341">
        <f t="shared" si="65"/>
        <v>0</v>
      </c>
      <c r="Z239" s="331"/>
      <c r="AA239" s="110"/>
      <c r="AB239" s="358"/>
      <c r="AC239" s="330"/>
      <c r="AD239" s="110"/>
      <c r="AE239" s="110"/>
      <c r="AF239" s="332"/>
      <c r="AG239" s="332"/>
      <c r="AH239" s="332"/>
      <c r="AI239" s="332"/>
    </row>
    <row r="240" spans="1:35" ht="13.5" customHeight="1">
      <c r="A240" s="4"/>
      <c r="B240" s="15" t="s">
        <v>4263</v>
      </c>
      <c r="C240" s="340" t="s">
        <v>4264</v>
      </c>
      <c r="D240" s="254">
        <f>SUMIF(GL!$D$5:$D$6505,B240,GL!$G$5:$G$6505)</f>
        <v>0</v>
      </c>
      <c r="E240" s="341">
        <f>SUMIF(GL!$D$6:$D$6487,B240,GL!$H$6:$H$6487)</f>
        <v>0</v>
      </c>
      <c r="F240" s="341">
        <f>SUMIF(GL!$D$6:$D$6487,B240,GL!$I$6:$I$6487)</f>
        <v>0</v>
      </c>
      <c r="G240" s="341"/>
      <c r="H240" s="341"/>
      <c r="I240" s="341">
        <f t="shared" si="66"/>
        <v>0</v>
      </c>
      <c r="J240" s="341">
        <f t="shared" si="67"/>
        <v>0</v>
      </c>
      <c r="K240" s="341"/>
      <c r="L240" s="342"/>
      <c r="M240" s="342"/>
      <c r="N240" s="341">
        <f t="shared" si="61"/>
        <v>0</v>
      </c>
      <c r="O240" s="341">
        <f t="shared" si="62"/>
        <v>0</v>
      </c>
      <c r="P240" s="341">
        <f>SUMIF(GL!$D$6488:$D$6532,B240,GL!$H$6488:$H$6532)</f>
        <v>0</v>
      </c>
      <c r="Q240" s="341">
        <f>SUMIF(GL!$D$6408:$D$6452,B240,GL!$I$6408:$I$6452)</f>
        <v>0</v>
      </c>
      <c r="R240" s="341">
        <f t="shared" ref="R240:S240" si="263">P240+N240</f>
        <v>0</v>
      </c>
      <c r="S240" s="341">
        <f t="shared" si="263"/>
        <v>0</v>
      </c>
      <c r="T240" s="340"/>
      <c r="U240" s="340"/>
      <c r="V240" s="340"/>
      <c r="W240" s="340"/>
      <c r="X240" s="341">
        <f t="shared" si="64"/>
        <v>0</v>
      </c>
      <c r="Y240" s="341">
        <f t="shared" si="65"/>
        <v>0</v>
      </c>
      <c r="Z240" s="331"/>
      <c r="AA240" s="110"/>
      <c r="AB240" s="358"/>
      <c r="AC240" s="330"/>
      <c r="AD240" s="110"/>
      <c r="AE240" s="110"/>
      <c r="AF240" s="332"/>
      <c r="AG240" s="332"/>
      <c r="AH240" s="332"/>
      <c r="AI240" s="332"/>
    </row>
    <row r="241" spans="1:35" ht="13.5" customHeight="1">
      <c r="A241" s="4"/>
      <c r="B241" s="15" t="s">
        <v>2917</v>
      </c>
      <c r="C241" s="260" t="s">
        <v>4265</v>
      </c>
      <c r="D241" s="254">
        <f>SUMIF(GL!$D$5:$D$6505,B241,GL!$G$5:$G$6505)</f>
        <v>2</v>
      </c>
      <c r="E241" s="341">
        <f>SUMIF(GL!$D$6:$D$6487,B241,GL!$H$6:$H$6487)</f>
        <v>68000</v>
      </c>
      <c r="F241" s="341">
        <f>SUMIF(GL!$D$6:$D$6487,B241,GL!$I$6:$I$6487)</f>
        <v>0</v>
      </c>
      <c r="G241" s="341"/>
      <c r="H241" s="341"/>
      <c r="I241" s="341">
        <f t="shared" si="66"/>
        <v>68000</v>
      </c>
      <c r="J241" s="341">
        <f t="shared" si="67"/>
        <v>0</v>
      </c>
      <c r="K241" s="341"/>
      <c r="L241" s="342"/>
      <c r="M241" s="342"/>
      <c r="N241" s="341">
        <f t="shared" si="61"/>
        <v>68000</v>
      </c>
      <c r="O241" s="341">
        <f t="shared" si="62"/>
        <v>0</v>
      </c>
      <c r="P241" s="341">
        <f>SUMIF(GL!$D$6488:$D$6532,B241,GL!$H$6488:$H$6532)</f>
        <v>0</v>
      </c>
      <c r="Q241" s="341">
        <f>SUMIF(GL!$D$6408:$D$6452,B241,GL!$I$6408:$I$6452)</f>
        <v>0</v>
      </c>
      <c r="R241" s="341">
        <f t="shared" ref="R241:S241" si="264">P241+N241</f>
        <v>68000</v>
      </c>
      <c r="S241" s="341">
        <f t="shared" si="264"/>
        <v>0</v>
      </c>
      <c r="T241" s="340"/>
      <c r="U241" s="340"/>
      <c r="V241" s="340"/>
      <c r="W241" s="340"/>
      <c r="X241" s="341">
        <f t="shared" si="64"/>
        <v>68000</v>
      </c>
      <c r="Y241" s="341">
        <f t="shared" si="65"/>
        <v>0</v>
      </c>
      <c r="Z241" s="331"/>
      <c r="AA241" s="110"/>
      <c r="AB241" s="358"/>
      <c r="AC241" s="330"/>
      <c r="AD241" s="110"/>
      <c r="AE241" s="110"/>
      <c r="AF241" s="332"/>
      <c r="AG241" s="332"/>
      <c r="AH241" s="332"/>
      <c r="AI241" s="332"/>
    </row>
    <row r="242" spans="1:35" ht="13.5" customHeight="1">
      <c r="A242" s="4"/>
      <c r="B242" s="15" t="s">
        <v>2924</v>
      </c>
      <c r="C242" s="260" t="s">
        <v>4266</v>
      </c>
      <c r="D242" s="254">
        <f>SUMIF(GL!$D$5:$D$6505,B242,GL!$G$5:$G$6505)</f>
        <v>2</v>
      </c>
      <c r="E242" s="341">
        <f>SUMIF(GL!$D$6:$D$6487,B242,GL!$H$6:$H$6487)</f>
        <v>88000</v>
      </c>
      <c r="F242" s="341">
        <f>SUMIF(GL!$D$6:$D$6487,B242,GL!$I$6:$I$6487)</f>
        <v>0</v>
      </c>
      <c r="G242" s="341"/>
      <c r="H242" s="341"/>
      <c r="I242" s="341">
        <f t="shared" si="66"/>
        <v>88000</v>
      </c>
      <c r="J242" s="341">
        <f t="shared" si="67"/>
        <v>0</v>
      </c>
      <c r="K242" s="341"/>
      <c r="L242" s="342"/>
      <c r="M242" s="342"/>
      <c r="N242" s="341">
        <f t="shared" si="61"/>
        <v>88000</v>
      </c>
      <c r="O242" s="341">
        <f t="shared" si="62"/>
        <v>0</v>
      </c>
      <c r="P242" s="341">
        <f>SUMIF(GL!$D$6488:$D$6532,B242,GL!$H$6488:$H$6532)</f>
        <v>0</v>
      </c>
      <c r="Q242" s="341">
        <f>SUMIF(GL!$D$6408:$D$6452,B242,GL!$I$6408:$I$6452)</f>
        <v>0</v>
      </c>
      <c r="R242" s="341">
        <f t="shared" ref="R242:S242" si="265">P242+N242</f>
        <v>88000</v>
      </c>
      <c r="S242" s="341">
        <f t="shared" si="265"/>
        <v>0</v>
      </c>
      <c r="T242" s="340"/>
      <c r="U242" s="340"/>
      <c r="V242" s="340"/>
      <c r="W242" s="340"/>
      <c r="X242" s="341">
        <f t="shared" si="64"/>
        <v>88000</v>
      </c>
      <c r="Y242" s="341">
        <f t="shared" si="65"/>
        <v>0</v>
      </c>
      <c r="Z242" s="331"/>
      <c r="AA242" s="110"/>
      <c r="AB242" s="358"/>
      <c r="AC242" s="330"/>
      <c r="AD242" s="110"/>
      <c r="AE242" s="110"/>
      <c r="AF242" s="332"/>
      <c r="AG242" s="332"/>
      <c r="AH242" s="332"/>
      <c r="AI242" s="332"/>
    </row>
    <row r="243" spans="1:35" ht="13.5" customHeight="1">
      <c r="A243" s="4"/>
      <c r="B243" s="15" t="s">
        <v>4267</v>
      </c>
      <c r="C243" s="260" t="s">
        <v>4268</v>
      </c>
      <c r="D243" s="254">
        <f>SUMIF(GL!$D$5:$D$6505,B243,GL!$G$5:$G$6505)</f>
        <v>0</v>
      </c>
      <c r="E243" s="341">
        <f>SUMIF(GL!$D$6:$D$6487,B243,GL!$H$6:$H$6487)</f>
        <v>0</v>
      </c>
      <c r="F243" s="341">
        <f>SUMIF(GL!$D$6:$D$6487,B243,GL!$I$6:$I$6487)</f>
        <v>0</v>
      </c>
      <c r="G243" s="341"/>
      <c r="H243" s="341"/>
      <c r="I243" s="341">
        <f t="shared" si="66"/>
        <v>0</v>
      </c>
      <c r="J243" s="341">
        <f t="shared" si="67"/>
        <v>0</v>
      </c>
      <c r="K243" s="341"/>
      <c r="L243" s="342"/>
      <c r="M243" s="342"/>
      <c r="N243" s="341">
        <f t="shared" si="61"/>
        <v>0</v>
      </c>
      <c r="O243" s="341">
        <f t="shared" si="62"/>
        <v>0</v>
      </c>
      <c r="P243" s="341">
        <f>SUMIF(GL!$D$6488:$D$6532,B243,GL!$H$6488:$H$6532)</f>
        <v>0</v>
      </c>
      <c r="Q243" s="341">
        <f>SUMIF(GL!$D$6408:$D$6452,B243,GL!$I$6408:$I$6452)</f>
        <v>0</v>
      </c>
      <c r="R243" s="341">
        <f t="shared" ref="R243:S243" si="266">P243+N243</f>
        <v>0</v>
      </c>
      <c r="S243" s="341">
        <f t="shared" si="266"/>
        <v>0</v>
      </c>
      <c r="T243" s="340"/>
      <c r="U243" s="340"/>
      <c r="V243" s="340"/>
      <c r="W243" s="340"/>
      <c r="X243" s="341">
        <f t="shared" si="64"/>
        <v>0</v>
      </c>
      <c r="Y243" s="341">
        <f t="shared" si="65"/>
        <v>0</v>
      </c>
      <c r="Z243" s="331"/>
      <c r="AA243" s="110"/>
      <c r="AB243" s="358"/>
      <c r="AC243" s="330"/>
      <c r="AD243" s="110"/>
      <c r="AE243" s="110"/>
      <c r="AF243" s="332"/>
      <c r="AG243" s="332"/>
      <c r="AH243" s="332"/>
      <c r="AI243" s="332"/>
    </row>
    <row r="244" spans="1:35" ht="13.5" customHeight="1">
      <c r="A244" s="4"/>
      <c r="B244" s="15" t="s">
        <v>4269</v>
      </c>
      <c r="C244" s="260" t="s">
        <v>4270</v>
      </c>
      <c r="D244" s="254">
        <f>SUMIF(GL!$D$5:$D$6505,B244,GL!$G$5:$G$6505)</f>
        <v>0</v>
      </c>
      <c r="E244" s="341">
        <f>SUMIF(GL!$D$6:$D$6487,B244,GL!$H$6:$H$6487)</f>
        <v>0</v>
      </c>
      <c r="F244" s="341">
        <f>SUMIF(GL!$D$6:$D$6487,B244,GL!$I$6:$I$6487)</f>
        <v>0</v>
      </c>
      <c r="G244" s="341"/>
      <c r="H244" s="341"/>
      <c r="I244" s="341">
        <f t="shared" si="66"/>
        <v>0</v>
      </c>
      <c r="J244" s="341">
        <f t="shared" si="67"/>
        <v>0</v>
      </c>
      <c r="K244" s="341"/>
      <c r="L244" s="342"/>
      <c r="M244" s="342"/>
      <c r="N244" s="341">
        <f t="shared" si="61"/>
        <v>0</v>
      </c>
      <c r="O244" s="341">
        <f t="shared" si="62"/>
        <v>0</v>
      </c>
      <c r="P244" s="341">
        <f>SUMIF(GL!$D$6488:$D$6532,B244,GL!$H$6488:$H$6532)</f>
        <v>0</v>
      </c>
      <c r="Q244" s="341">
        <f>SUMIF(GL!$D$6408:$D$6452,B244,GL!$I$6408:$I$6452)</f>
        <v>0</v>
      </c>
      <c r="R244" s="341">
        <f t="shared" ref="R244:S244" si="267">P244+N244</f>
        <v>0</v>
      </c>
      <c r="S244" s="341">
        <f t="shared" si="267"/>
        <v>0</v>
      </c>
      <c r="T244" s="340"/>
      <c r="U244" s="340"/>
      <c r="V244" s="340"/>
      <c r="W244" s="340"/>
      <c r="X244" s="341">
        <f t="shared" si="64"/>
        <v>0</v>
      </c>
      <c r="Y244" s="341">
        <f t="shared" si="65"/>
        <v>0</v>
      </c>
      <c r="Z244" s="331"/>
      <c r="AA244" s="110"/>
      <c r="AB244" s="358"/>
      <c r="AC244" s="330"/>
      <c r="AD244" s="110"/>
      <c r="AE244" s="110"/>
      <c r="AF244" s="332"/>
      <c r="AG244" s="332"/>
      <c r="AH244" s="332"/>
      <c r="AI244" s="332"/>
    </row>
    <row r="245" spans="1:35" ht="13.5" customHeight="1">
      <c r="A245" s="4"/>
      <c r="B245" s="15" t="s">
        <v>4271</v>
      </c>
      <c r="C245" s="260" t="s">
        <v>4272</v>
      </c>
      <c r="D245" s="254">
        <f>SUMIF(GL!$D$5:$D$6505,B245,GL!$G$5:$G$6505)</f>
        <v>0</v>
      </c>
      <c r="E245" s="341">
        <f>SUMIF(GL!$D$6:$D$6487,B245,GL!$H$6:$H$6487)</f>
        <v>0</v>
      </c>
      <c r="F245" s="341">
        <f>SUMIF(GL!$D$6:$D$6487,B245,GL!$I$6:$I$6487)</f>
        <v>0</v>
      </c>
      <c r="G245" s="341"/>
      <c r="H245" s="341"/>
      <c r="I245" s="341">
        <f t="shared" si="66"/>
        <v>0</v>
      </c>
      <c r="J245" s="341">
        <f t="shared" si="67"/>
        <v>0</v>
      </c>
      <c r="K245" s="341"/>
      <c r="L245" s="342"/>
      <c r="M245" s="342"/>
      <c r="N245" s="341">
        <f t="shared" si="61"/>
        <v>0</v>
      </c>
      <c r="O245" s="341">
        <f t="shared" si="62"/>
        <v>0</v>
      </c>
      <c r="P245" s="341">
        <f>SUMIF(GL!$D$6488:$D$6532,B245,GL!$H$6488:$H$6532)</f>
        <v>0</v>
      </c>
      <c r="Q245" s="341">
        <f>SUMIF(GL!$D$6408:$D$6452,B245,GL!$I$6408:$I$6452)</f>
        <v>0</v>
      </c>
      <c r="R245" s="341">
        <f t="shared" ref="R245:S245" si="268">P245+N245</f>
        <v>0</v>
      </c>
      <c r="S245" s="341">
        <f t="shared" si="268"/>
        <v>0</v>
      </c>
      <c r="T245" s="340"/>
      <c r="U245" s="340"/>
      <c r="V245" s="340"/>
      <c r="W245" s="340"/>
      <c r="X245" s="341">
        <f t="shared" si="64"/>
        <v>0</v>
      </c>
      <c r="Y245" s="341">
        <f t="shared" si="65"/>
        <v>0</v>
      </c>
      <c r="Z245" s="331"/>
      <c r="AA245" s="110"/>
      <c r="AB245" s="358"/>
      <c r="AC245" s="330"/>
      <c r="AD245" s="110"/>
      <c r="AE245" s="110"/>
      <c r="AF245" s="332"/>
      <c r="AG245" s="332"/>
      <c r="AH245" s="332"/>
      <c r="AI245" s="332"/>
    </row>
    <row r="246" spans="1:35" ht="13.5" customHeight="1">
      <c r="A246" s="4"/>
      <c r="B246" s="15" t="s">
        <v>4273</v>
      </c>
      <c r="C246" s="260" t="s">
        <v>4274</v>
      </c>
      <c r="D246" s="254">
        <f>SUMIF(GL!$D$5:$D$6505,B246,GL!$G$5:$G$6505)</f>
        <v>0</v>
      </c>
      <c r="E246" s="341">
        <f>SUMIF(GL!$D$6:$D$6487,B246,GL!$H$6:$H$6487)</f>
        <v>0</v>
      </c>
      <c r="F246" s="341">
        <f>SUMIF(GL!$D$6:$D$6487,B246,GL!$I$6:$I$6487)</f>
        <v>0</v>
      </c>
      <c r="G246" s="341"/>
      <c r="H246" s="341"/>
      <c r="I246" s="341">
        <f t="shared" si="66"/>
        <v>0</v>
      </c>
      <c r="J246" s="341">
        <f t="shared" si="67"/>
        <v>0</v>
      </c>
      <c r="K246" s="341"/>
      <c r="L246" s="342"/>
      <c r="M246" s="342"/>
      <c r="N246" s="341">
        <f t="shared" si="61"/>
        <v>0</v>
      </c>
      <c r="O246" s="341">
        <f t="shared" si="62"/>
        <v>0</v>
      </c>
      <c r="P246" s="341">
        <f>SUMIF(GL!$D$6488:$D$6532,B246,GL!$H$6488:$H$6532)</f>
        <v>0</v>
      </c>
      <c r="Q246" s="341">
        <f>SUMIF(GL!$D$6408:$D$6452,B246,GL!$I$6408:$I$6452)</f>
        <v>0</v>
      </c>
      <c r="R246" s="341">
        <f t="shared" ref="R246:S246" si="269">P246+N246</f>
        <v>0</v>
      </c>
      <c r="S246" s="341">
        <f t="shared" si="269"/>
        <v>0</v>
      </c>
      <c r="T246" s="340"/>
      <c r="U246" s="340"/>
      <c r="V246" s="340"/>
      <c r="W246" s="340"/>
      <c r="X246" s="341">
        <f t="shared" si="64"/>
        <v>0</v>
      </c>
      <c r="Y246" s="341">
        <f t="shared" si="65"/>
        <v>0</v>
      </c>
      <c r="Z246" s="331"/>
      <c r="AA246" s="110"/>
      <c r="AB246" s="358"/>
      <c r="AC246" s="330"/>
      <c r="AD246" s="110"/>
      <c r="AE246" s="110"/>
      <c r="AF246" s="332"/>
      <c r="AG246" s="332"/>
      <c r="AH246" s="332"/>
      <c r="AI246" s="332"/>
    </row>
    <row r="247" spans="1:35" ht="13.5" customHeight="1">
      <c r="A247" s="4"/>
      <c r="B247" s="15" t="s">
        <v>4275</v>
      </c>
      <c r="C247" s="340" t="s">
        <v>4276</v>
      </c>
      <c r="D247" s="254">
        <f>SUMIF(GL!$D$5:$D$6505,B247,GL!$G$5:$G$6505)</f>
        <v>0</v>
      </c>
      <c r="E247" s="341">
        <f>SUMIF(GL!$D$6:$D$6487,B247,GL!$H$6:$H$6487)</f>
        <v>0</v>
      </c>
      <c r="F247" s="341">
        <f>SUMIF(GL!$D$6:$D$6487,B247,GL!$I$6:$I$6487)</f>
        <v>0</v>
      </c>
      <c r="G247" s="341"/>
      <c r="H247" s="341"/>
      <c r="I247" s="341">
        <f t="shared" si="66"/>
        <v>0</v>
      </c>
      <c r="J247" s="341">
        <f t="shared" si="67"/>
        <v>0</v>
      </c>
      <c r="K247" s="341"/>
      <c r="L247" s="342"/>
      <c r="M247" s="342"/>
      <c r="N247" s="341">
        <f t="shared" si="61"/>
        <v>0</v>
      </c>
      <c r="O247" s="341">
        <f t="shared" si="62"/>
        <v>0</v>
      </c>
      <c r="P247" s="341">
        <f>SUMIF(GL!$D$6488:$D$6532,B247,GL!$H$6488:$H$6532)</f>
        <v>0</v>
      </c>
      <c r="Q247" s="341">
        <f>SUMIF(GL!$D$6408:$D$6452,B247,GL!$I$6408:$I$6452)</f>
        <v>0</v>
      </c>
      <c r="R247" s="341">
        <f t="shared" ref="R247:S247" si="270">P247+N247</f>
        <v>0</v>
      </c>
      <c r="S247" s="341">
        <f t="shared" si="270"/>
        <v>0</v>
      </c>
      <c r="T247" s="340"/>
      <c r="U247" s="340"/>
      <c r="V247" s="340"/>
      <c r="W247" s="340"/>
      <c r="X247" s="341">
        <f t="shared" si="64"/>
        <v>0</v>
      </c>
      <c r="Y247" s="341">
        <f t="shared" si="65"/>
        <v>0</v>
      </c>
      <c r="Z247" s="331"/>
      <c r="AA247" s="110"/>
      <c r="AB247" s="358"/>
      <c r="AC247" s="330"/>
      <c r="AD247" s="110"/>
      <c r="AE247" s="110"/>
      <c r="AF247" s="332"/>
      <c r="AG247" s="332"/>
      <c r="AH247" s="332"/>
      <c r="AI247" s="332"/>
    </row>
    <row r="248" spans="1:35" ht="13.5" customHeight="1">
      <c r="A248" s="4"/>
      <c r="B248" s="15" t="s">
        <v>4277</v>
      </c>
      <c r="C248" s="260" t="s">
        <v>4278</v>
      </c>
      <c r="D248" s="254">
        <f>SUMIF(GL!$D$5:$D$6505,B248,GL!$G$5:$G$6505)</f>
        <v>0</v>
      </c>
      <c r="E248" s="341">
        <f>SUMIF(GL!$D$6:$D$6487,B248,GL!$H$6:$H$6487)</f>
        <v>0</v>
      </c>
      <c r="F248" s="341">
        <f>SUMIF(GL!$D$6:$D$6487,B248,GL!$I$6:$I$6487)</f>
        <v>0</v>
      </c>
      <c r="G248" s="341"/>
      <c r="H248" s="341"/>
      <c r="I248" s="341">
        <f t="shared" si="66"/>
        <v>0</v>
      </c>
      <c r="J248" s="341">
        <f t="shared" si="67"/>
        <v>0</v>
      </c>
      <c r="K248" s="341"/>
      <c r="L248" s="342"/>
      <c r="M248" s="342"/>
      <c r="N248" s="341">
        <f t="shared" si="61"/>
        <v>0</v>
      </c>
      <c r="O248" s="341">
        <f t="shared" si="62"/>
        <v>0</v>
      </c>
      <c r="P248" s="341">
        <f>SUMIF(GL!$D$6488:$D$6532,B248,GL!$H$6488:$H$6532)</f>
        <v>0</v>
      </c>
      <c r="Q248" s="341">
        <f>SUMIF(GL!$D$6408:$D$6452,B248,GL!$I$6408:$I$6452)</f>
        <v>0</v>
      </c>
      <c r="R248" s="341">
        <f t="shared" ref="R248:S248" si="271">P248+N248</f>
        <v>0</v>
      </c>
      <c r="S248" s="341">
        <f t="shared" si="271"/>
        <v>0</v>
      </c>
      <c r="T248" s="340"/>
      <c r="U248" s="340"/>
      <c r="V248" s="340"/>
      <c r="W248" s="340"/>
      <c r="X248" s="341">
        <f t="shared" si="64"/>
        <v>0</v>
      </c>
      <c r="Y248" s="341">
        <f t="shared" si="65"/>
        <v>0</v>
      </c>
      <c r="Z248" s="331"/>
      <c r="AA248" s="110"/>
      <c r="AB248" s="358"/>
      <c r="AC248" s="330"/>
      <c r="AD248" s="110"/>
      <c r="AE248" s="110"/>
      <c r="AF248" s="332"/>
      <c r="AG248" s="332"/>
      <c r="AH248" s="332"/>
      <c r="AI248" s="332"/>
    </row>
    <row r="249" spans="1:35" ht="13.5" customHeight="1">
      <c r="A249" s="4"/>
      <c r="B249" s="15" t="s">
        <v>1811</v>
      </c>
      <c r="C249" s="260" t="s">
        <v>4279</v>
      </c>
      <c r="D249" s="254">
        <f>SUMIF(GL!$D$5:$D$6505,B249,GL!$G$5:$G$6505)</f>
        <v>2.5</v>
      </c>
      <c r="E249" s="341">
        <f>SUMIF(GL!$D$6:$D$6487,B249,GL!$H$6:$H$6487)</f>
        <v>185000</v>
      </c>
      <c r="F249" s="341">
        <f>SUMIF(GL!$D$6:$D$6487,B249,GL!$I$6:$I$6487)</f>
        <v>0</v>
      </c>
      <c r="G249" s="341"/>
      <c r="H249" s="341"/>
      <c r="I249" s="341">
        <f t="shared" si="66"/>
        <v>185000</v>
      </c>
      <c r="J249" s="341">
        <f t="shared" si="67"/>
        <v>0</v>
      </c>
      <c r="K249" s="341"/>
      <c r="L249" s="342"/>
      <c r="M249" s="342"/>
      <c r="N249" s="341">
        <f t="shared" si="61"/>
        <v>185000</v>
      </c>
      <c r="O249" s="341">
        <f t="shared" si="62"/>
        <v>0</v>
      </c>
      <c r="P249" s="341">
        <f>SUMIF(GL!$D$6488:$D$6532,B249,GL!$H$6488:$H$6532)</f>
        <v>0</v>
      </c>
      <c r="Q249" s="341">
        <f>SUMIF(GL!$D$6408:$D$6452,B249,GL!$I$6408:$I$6452)</f>
        <v>0</v>
      </c>
      <c r="R249" s="341">
        <f t="shared" ref="R249:S249" si="272">P249+N249</f>
        <v>185000</v>
      </c>
      <c r="S249" s="341">
        <f t="shared" si="272"/>
        <v>0</v>
      </c>
      <c r="T249" s="340"/>
      <c r="U249" s="340"/>
      <c r="V249" s="340"/>
      <c r="W249" s="340"/>
      <c r="X249" s="341">
        <f t="shared" si="64"/>
        <v>185000</v>
      </c>
      <c r="Y249" s="341">
        <f t="shared" si="65"/>
        <v>0</v>
      </c>
      <c r="Z249" s="331"/>
      <c r="AA249" s="110"/>
      <c r="AB249" s="358"/>
      <c r="AC249" s="330"/>
      <c r="AD249" s="110"/>
      <c r="AE249" s="110"/>
      <c r="AF249" s="332"/>
      <c r="AG249" s="332"/>
      <c r="AH249" s="332"/>
      <c r="AI249" s="332"/>
    </row>
    <row r="250" spans="1:35" ht="13.5" customHeight="1">
      <c r="A250" s="4"/>
      <c r="B250" s="15" t="s">
        <v>4280</v>
      </c>
      <c r="C250" s="260" t="s">
        <v>4281</v>
      </c>
      <c r="D250" s="254">
        <f>SUMIF(GL!$D$5:$D$6505,B250,GL!$G$5:$G$6505)</f>
        <v>0</v>
      </c>
      <c r="E250" s="341">
        <f>SUMIF(GL!$D$6:$D$6487,B250,GL!$H$6:$H$6487)</f>
        <v>0</v>
      </c>
      <c r="F250" s="341">
        <f>SUMIF(GL!$D$6:$D$6487,B250,GL!$I$6:$I$6487)</f>
        <v>0</v>
      </c>
      <c r="G250" s="341"/>
      <c r="H250" s="341"/>
      <c r="I250" s="341">
        <f t="shared" si="66"/>
        <v>0</v>
      </c>
      <c r="J250" s="341">
        <f t="shared" si="67"/>
        <v>0</v>
      </c>
      <c r="K250" s="341"/>
      <c r="L250" s="342"/>
      <c r="M250" s="342"/>
      <c r="N250" s="341">
        <f t="shared" si="61"/>
        <v>0</v>
      </c>
      <c r="O250" s="341">
        <f t="shared" si="62"/>
        <v>0</v>
      </c>
      <c r="P250" s="341">
        <f>SUMIF(GL!$D$6488:$D$6532,B250,GL!$H$6488:$H$6532)</f>
        <v>0</v>
      </c>
      <c r="Q250" s="341">
        <f>SUMIF(GL!$D$6408:$D$6452,B250,GL!$I$6408:$I$6452)</f>
        <v>0</v>
      </c>
      <c r="R250" s="341">
        <f t="shared" ref="R250:S250" si="273">P250+N250</f>
        <v>0</v>
      </c>
      <c r="S250" s="341">
        <f t="shared" si="273"/>
        <v>0</v>
      </c>
      <c r="T250" s="340"/>
      <c r="U250" s="340"/>
      <c r="V250" s="340"/>
      <c r="W250" s="340"/>
      <c r="X250" s="341">
        <f t="shared" si="64"/>
        <v>0</v>
      </c>
      <c r="Y250" s="341">
        <f t="shared" si="65"/>
        <v>0</v>
      </c>
      <c r="Z250" s="331"/>
      <c r="AA250" s="110"/>
      <c r="AB250" s="358"/>
      <c r="AC250" s="330"/>
      <c r="AD250" s="110"/>
      <c r="AE250" s="110"/>
      <c r="AF250" s="332"/>
      <c r="AG250" s="332"/>
      <c r="AH250" s="332"/>
      <c r="AI250" s="332"/>
    </row>
    <row r="251" spans="1:35" ht="13.5" customHeight="1">
      <c r="A251" s="4"/>
      <c r="B251" s="15" t="s">
        <v>4282</v>
      </c>
      <c r="C251" s="260" t="s">
        <v>4283</v>
      </c>
      <c r="D251" s="254">
        <f>SUMIF(GL!$D$5:$D$6505,B251,GL!$G$5:$G$6505)</f>
        <v>0</v>
      </c>
      <c r="E251" s="341">
        <f>SUMIF(GL!$D$6:$D$6487,B251,GL!$H$6:$H$6487)</f>
        <v>0</v>
      </c>
      <c r="F251" s="341">
        <f>SUMIF(GL!$D$6:$D$6487,B251,GL!$I$6:$I$6487)</f>
        <v>0</v>
      </c>
      <c r="G251" s="341"/>
      <c r="H251" s="341"/>
      <c r="I251" s="341">
        <f t="shared" si="66"/>
        <v>0</v>
      </c>
      <c r="J251" s="341">
        <f t="shared" si="67"/>
        <v>0</v>
      </c>
      <c r="K251" s="341"/>
      <c r="L251" s="342"/>
      <c r="M251" s="342"/>
      <c r="N251" s="341">
        <f t="shared" si="61"/>
        <v>0</v>
      </c>
      <c r="O251" s="341">
        <f t="shared" si="62"/>
        <v>0</v>
      </c>
      <c r="P251" s="341">
        <f>SUMIF(GL!$D$6488:$D$6532,B251,GL!$H$6488:$H$6532)</f>
        <v>0</v>
      </c>
      <c r="Q251" s="341">
        <f>SUMIF(GL!$D$6408:$D$6452,B251,GL!$I$6408:$I$6452)</f>
        <v>0</v>
      </c>
      <c r="R251" s="341">
        <f t="shared" ref="R251:S251" si="274">P251+N251</f>
        <v>0</v>
      </c>
      <c r="S251" s="341">
        <f t="shared" si="274"/>
        <v>0</v>
      </c>
      <c r="T251" s="340"/>
      <c r="U251" s="340"/>
      <c r="V251" s="340"/>
      <c r="W251" s="340"/>
      <c r="X251" s="341">
        <f t="shared" si="64"/>
        <v>0</v>
      </c>
      <c r="Y251" s="341">
        <f t="shared" si="65"/>
        <v>0</v>
      </c>
      <c r="Z251" s="331"/>
      <c r="AA251" s="110"/>
      <c r="AB251" s="358"/>
      <c r="AC251" s="330"/>
      <c r="AD251" s="110"/>
      <c r="AE251" s="110"/>
      <c r="AF251" s="332"/>
      <c r="AG251" s="332"/>
      <c r="AH251" s="332"/>
      <c r="AI251" s="332"/>
    </row>
    <row r="252" spans="1:35" ht="13.5" customHeight="1">
      <c r="A252" s="4"/>
      <c r="B252" s="15" t="s">
        <v>4284</v>
      </c>
      <c r="C252" s="260" t="s">
        <v>4285</v>
      </c>
      <c r="D252" s="254">
        <f>SUMIF(GL!$D$5:$D$6505,B252,GL!$G$5:$G$6505)</f>
        <v>0</v>
      </c>
      <c r="E252" s="341">
        <f>SUMIF(GL!$D$6:$D$6487,B252,GL!$H$6:$H$6487)</f>
        <v>0</v>
      </c>
      <c r="F252" s="341">
        <f>SUMIF(GL!$D$6:$D$6487,B252,GL!$I$6:$I$6487)</f>
        <v>0</v>
      </c>
      <c r="G252" s="341"/>
      <c r="H252" s="341"/>
      <c r="I252" s="341">
        <f t="shared" si="66"/>
        <v>0</v>
      </c>
      <c r="J252" s="341">
        <f t="shared" si="67"/>
        <v>0</v>
      </c>
      <c r="K252" s="341"/>
      <c r="L252" s="342"/>
      <c r="M252" s="342"/>
      <c r="N252" s="341">
        <f t="shared" si="61"/>
        <v>0</v>
      </c>
      <c r="O252" s="341">
        <f t="shared" si="62"/>
        <v>0</v>
      </c>
      <c r="P252" s="341">
        <f>SUMIF(GL!$D$6488:$D$6532,B252,GL!$H$6488:$H$6532)</f>
        <v>0</v>
      </c>
      <c r="Q252" s="341">
        <f>SUMIF(GL!$D$6408:$D$6452,B252,GL!$I$6408:$I$6452)</f>
        <v>0</v>
      </c>
      <c r="R252" s="341">
        <f t="shared" ref="R252:S252" si="275">P252+N252</f>
        <v>0</v>
      </c>
      <c r="S252" s="341">
        <f t="shared" si="275"/>
        <v>0</v>
      </c>
      <c r="T252" s="340"/>
      <c r="U252" s="340"/>
      <c r="V252" s="340"/>
      <c r="W252" s="340"/>
      <c r="X252" s="341">
        <f t="shared" si="64"/>
        <v>0</v>
      </c>
      <c r="Y252" s="341">
        <f t="shared" si="65"/>
        <v>0</v>
      </c>
      <c r="Z252" s="331"/>
      <c r="AA252" s="110"/>
      <c r="AB252" s="358"/>
      <c r="AC252" s="330"/>
      <c r="AD252" s="110"/>
      <c r="AE252" s="110"/>
      <c r="AF252" s="332"/>
      <c r="AG252" s="332"/>
      <c r="AH252" s="332"/>
      <c r="AI252" s="332"/>
    </row>
    <row r="253" spans="1:35" ht="13.5" customHeight="1">
      <c r="A253" s="4"/>
      <c r="B253" s="15" t="s">
        <v>4286</v>
      </c>
      <c r="C253" s="260" t="s">
        <v>4287</v>
      </c>
      <c r="D253" s="254">
        <f>SUMIF(GL!$D$5:$D$6505,B253,GL!$G$5:$G$6505)</f>
        <v>0</v>
      </c>
      <c r="E253" s="341">
        <f>SUMIF(GL!$D$6:$D$6487,B253,GL!$H$6:$H$6487)</f>
        <v>0</v>
      </c>
      <c r="F253" s="341">
        <f>SUMIF(GL!$D$6:$D$6487,B253,GL!$I$6:$I$6487)</f>
        <v>0</v>
      </c>
      <c r="G253" s="341"/>
      <c r="H253" s="341"/>
      <c r="I253" s="341">
        <f t="shared" si="66"/>
        <v>0</v>
      </c>
      <c r="J253" s="341">
        <f t="shared" si="67"/>
        <v>0</v>
      </c>
      <c r="K253" s="341"/>
      <c r="L253" s="342"/>
      <c r="M253" s="342"/>
      <c r="N253" s="341">
        <f t="shared" si="61"/>
        <v>0</v>
      </c>
      <c r="O253" s="341">
        <f t="shared" si="62"/>
        <v>0</v>
      </c>
      <c r="P253" s="341">
        <f>SUMIF(GL!$D$6488:$D$6532,B253,GL!$H$6488:$H$6532)</f>
        <v>0</v>
      </c>
      <c r="Q253" s="341">
        <f>SUMIF(GL!$D$6408:$D$6452,B253,GL!$I$6408:$I$6452)</f>
        <v>0</v>
      </c>
      <c r="R253" s="341">
        <f t="shared" ref="R253:S253" si="276">P253+N253</f>
        <v>0</v>
      </c>
      <c r="S253" s="341">
        <f t="shared" si="276"/>
        <v>0</v>
      </c>
      <c r="T253" s="340"/>
      <c r="U253" s="340"/>
      <c r="V253" s="340"/>
      <c r="W253" s="340"/>
      <c r="X253" s="341">
        <f t="shared" si="64"/>
        <v>0</v>
      </c>
      <c r="Y253" s="341">
        <f t="shared" si="65"/>
        <v>0</v>
      </c>
      <c r="Z253" s="331"/>
      <c r="AA253" s="110"/>
      <c r="AB253" s="358"/>
      <c r="AC253" s="330"/>
      <c r="AD253" s="110"/>
      <c r="AE253" s="110"/>
      <c r="AF253" s="332"/>
      <c r="AG253" s="332"/>
      <c r="AH253" s="332"/>
      <c r="AI253" s="332"/>
    </row>
    <row r="254" spans="1:35" ht="13.5" customHeight="1">
      <c r="A254" s="4"/>
      <c r="B254" s="15" t="s">
        <v>2782</v>
      </c>
      <c r="C254" s="340" t="s">
        <v>4288</v>
      </c>
      <c r="D254" s="254">
        <f>SUMIF(GL!$D$5:$D$6505,B254,GL!$G$5:$G$6505)</f>
        <v>6</v>
      </c>
      <c r="E254" s="341">
        <f>SUMIF(GL!$D$6:$D$6487,B254,GL!$H$6:$H$6487)</f>
        <v>832500</v>
      </c>
      <c r="F254" s="341">
        <f>SUMIF(GL!$D$6:$D$6487,B254,GL!$I$6:$I$6487)</f>
        <v>0</v>
      </c>
      <c r="G254" s="341"/>
      <c r="H254" s="341"/>
      <c r="I254" s="341">
        <f t="shared" si="66"/>
        <v>832500</v>
      </c>
      <c r="J254" s="341">
        <f t="shared" si="67"/>
        <v>0</v>
      </c>
      <c r="K254" s="341"/>
      <c r="L254" s="342"/>
      <c r="M254" s="342"/>
      <c r="N254" s="341">
        <f t="shared" si="61"/>
        <v>832500</v>
      </c>
      <c r="O254" s="341">
        <f t="shared" si="62"/>
        <v>0</v>
      </c>
      <c r="P254" s="341">
        <f>SUMIF(GL!$D$6488:$D$6532,B254,GL!$H$6488:$H$6532)</f>
        <v>0</v>
      </c>
      <c r="Q254" s="341">
        <f>SUMIF(GL!$D$6408:$D$6452,B254,GL!$I$6408:$I$6452)</f>
        <v>0</v>
      </c>
      <c r="R254" s="341">
        <f t="shared" ref="R254:S254" si="277">P254+N254</f>
        <v>832500</v>
      </c>
      <c r="S254" s="341">
        <f t="shared" si="277"/>
        <v>0</v>
      </c>
      <c r="T254" s="340"/>
      <c r="U254" s="340"/>
      <c r="V254" s="340"/>
      <c r="W254" s="340"/>
      <c r="X254" s="341">
        <f t="shared" si="64"/>
        <v>832500</v>
      </c>
      <c r="Y254" s="341">
        <f t="shared" si="65"/>
        <v>0</v>
      </c>
      <c r="Z254" s="331"/>
      <c r="AA254" s="110"/>
      <c r="AB254" s="358"/>
      <c r="AC254" s="330"/>
      <c r="AD254" s="110"/>
      <c r="AE254" s="110"/>
      <c r="AF254" s="332"/>
      <c r="AG254" s="332"/>
      <c r="AH254" s="332"/>
      <c r="AI254" s="332"/>
    </row>
    <row r="255" spans="1:35" ht="13.5" customHeight="1">
      <c r="A255" s="4"/>
      <c r="B255" s="15" t="s">
        <v>4289</v>
      </c>
      <c r="C255" s="260" t="s">
        <v>4290</v>
      </c>
      <c r="D255" s="254">
        <f>SUMIF(GL!$D$5:$D$6505,B255,GL!$G$5:$G$6505)</f>
        <v>0</v>
      </c>
      <c r="E255" s="341">
        <f>SUMIF(GL!$D$6:$D$6487,B255,GL!$H$6:$H$6487)</f>
        <v>0</v>
      </c>
      <c r="F255" s="341">
        <f>SUMIF(GL!$D$6:$D$6487,B255,GL!$I$6:$I$6487)</f>
        <v>0</v>
      </c>
      <c r="G255" s="341"/>
      <c r="H255" s="341"/>
      <c r="I255" s="341">
        <f t="shared" si="66"/>
        <v>0</v>
      </c>
      <c r="J255" s="341">
        <f t="shared" si="67"/>
        <v>0</v>
      </c>
      <c r="K255" s="341"/>
      <c r="L255" s="342"/>
      <c r="M255" s="342"/>
      <c r="N255" s="341">
        <f t="shared" si="61"/>
        <v>0</v>
      </c>
      <c r="O255" s="341">
        <f t="shared" si="62"/>
        <v>0</v>
      </c>
      <c r="P255" s="341">
        <f>SUMIF(GL!$D$6488:$D$6532,B255,GL!$H$6488:$H$6532)</f>
        <v>0</v>
      </c>
      <c r="Q255" s="341">
        <f>SUMIF(GL!$D$6408:$D$6452,B255,GL!$I$6408:$I$6452)</f>
        <v>0</v>
      </c>
      <c r="R255" s="341">
        <f t="shared" ref="R255:S255" si="278">P255+N255</f>
        <v>0</v>
      </c>
      <c r="S255" s="341">
        <f t="shared" si="278"/>
        <v>0</v>
      </c>
      <c r="T255" s="340"/>
      <c r="U255" s="340"/>
      <c r="V255" s="340"/>
      <c r="W255" s="340"/>
      <c r="X255" s="341">
        <f t="shared" si="64"/>
        <v>0</v>
      </c>
      <c r="Y255" s="341">
        <f t="shared" si="65"/>
        <v>0</v>
      </c>
      <c r="Z255" s="331"/>
      <c r="AA255" s="110"/>
      <c r="AB255" s="358"/>
      <c r="AC255" s="330"/>
      <c r="AD255" s="110"/>
      <c r="AE255" s="110"/>
      <c r="AF255" s="332"/>
      <c r="AG255" s="332"/>
      <c r="AH255" s="332"/>
      <c r="AI255" s="332"/>
    </row>
    <row r="256" spans="1:35" ht="13.5" customHeight="1">
      <c r="A256" s="4"/>
      <c r="B256" s="15" t="s">
        <v>2106</v>
      </c>
      <c r="C256" s="260" t="s">
        <v>4291</v>
      </c>
      <c r="D256" s="254">
        <f>SUMIF(GL!$D$5:$D$6505,B256,GL!$G$5:$G$6505)</f>
        <v>4.5999999999999996</v>
      </c>
      <c r="E256" s="341">
        <f>SUMIF(GL!$D$6:$D$6487,B256,GL!$H$6:$H$6487)</f>
        <v>119600</v>
      </c>
      <c r="F256" s="341">
        <f>SUMIF(GL!$D$6:$D$6487,B256,GL!$I$6:$I$6487)</f>
        <v>0</v>
      </c>
      <c r="G256" s="341"/>
      <c r="H256" s="341"/>
      <c r="I256" s="341">
        <f t="shared" si="66"/>
        <v>119600</v>
      </c>
      <c r="J256" s="341">
        <f t="shared" si="67"/>
        <v>0</v>
      </c>
      <c r="K256" s="341"/>
      <c r="L256" s="342"/>
      <c r="M256" s="342"/>
      <c r="N256" s="341">
        <f t="shared" si="61"/>
        <v>119600</v>
      </c>
      <c r="O256" s="341">
        <f t="shared" si="62"/>
        <v>0</v>
      </c>
      <c r="P256" s="341">
        <f>SUMIF(GL!$D$6488:$D$6532,B256,GL!$H$6488:$H$6532)</f>
        <v>0</v>
      </c>
      <c r="Q256" s="341">
        <f>SUMIF(GL!$D$6408:$D$6452,B256,GL!$I$6408:$I$6452)</f>
        <v>0</v>
      </c>
      <c r="R256" s="341">
        <f t="shared" ref="R256:S256" si="279">P256+N256</f>
        <v>119600</v>
      </c>
      <c r="S256" s="341">
        <f t="shared" si="279"/>
        <v>0</v>
      </c>
      <c r="T256" s="340"/>
      <c r="U256" s="340"/>
      <c r="V256" s="340"/>
      <c r="W256" s="340"/>
      <c r="X256" s="341">
        <f t="shared" si="64"/>
        <v>119600</v>
      </c>
      <c r="Y256" s="341">
        <f t="shared" si="65"/>
        <v>0</v>
      </c>
      <c r="Z256" s="331"/>
      <c r="AA256" s="110"/>
      <c r="AB256" s="358"/>
      <c r="AC256" s="330"/>
      <c r="AD256" s="110"/>
      <c r="AE256" s="110"/>
      <c r="AF256" s="332"/>
      <c r="AG256" s="332"/>
      <c r="AH256" s="332"/>
      <c r="AI256" s="332"/>
    </row>
    <row r="257" spans="1:35" ht="13.5" customHeight="1">
      <c r="A257" s="4"/>
      <c r="B257" s="15" t="s">
        <v>4292</v>
      </c>
      <c r="C257" s="260" t="s">
        <v>4293</v>
      </c>
      <c r="D257" s="254">
        <f>SUMIF(GL!$D$5:$D$6505,B257,GL!$G$5:$G$6505)</f>
        <v>0</v>
      </c>
      <c r="E257" s="341">
        <f>SUMIF(GL!$D$6:$D$6487,B257,GL!$H$6:$H$6487)</f>
        <v>0</v>
      </c>
      <c r="F257" s="341">
        <f>SUMIF(GL!$D$6:$D$6487,B257,GL!$I$6:$I$6487)</f>
        <v>0</v>
      </c>
      <c r="G257" s="341"/>
      <c r="H257" s="341"/>
      <c r="I257" s="341">
        <f t="shared" si="66"/>
        <v>0</v>
      </c>
      <c r="J257" s="341">
        <f t="shared" si="67"/>
        <v>0</v>
      </c>
      <c r="K257" s="341"/>
      <c r="L257" s="342"/>
      <c r="M257" s="342"/>
      <c r="N257" s="341">
        <f t="shared" si="61"/>
        <v>0</v>
      </c>
      <c r="O257" s="341">
        <f t="shared" si="62"/>
        <v>0</v>
      </c>
      <c r="P257" s="341">
        <f>SUMIF(GL!$D$6488:$D$6532,B257,GL!$H$6488:$H$6532)</f>
        <v>0</v>
      </c>
      <c r="Q257" s="341">
        <f>SUMIF(GL!$D$6408:$D$6452,B257,GL!$I$6408:$I$6452)</f>
        <v>0</v>
      </c>
      <c r="R257" s="341">
        <f t="shared" ref="R257:S257" si="280">P257+N257</f>
        <v>0</v>
      </c>
      <c r="S257" s="341">
        <f t="shared" si="280"/>
        <v>0</v>
      </c>
      <c r="T257" s="340"/>
      <c r="U257" s="340"/>
      <c r="V257" s="340"/>
      <c r="W257" s="340"/>
      <c r="X257" s="341">
        <f t="shared" si="64"/>
        <v>0</v>
      </c>
      <c r="Y257" s="341">
        <f t="shared" si="65"/>
        <v>0</v>
      </c>
      <c r="Z257" s="331"/>
      <c r="AA257" s="110"/>
      <c r="AB257" s="358"/>
      <c r="AC257" s="330"/>
      <c r="AD257" s="110"/>
      <c r="AE257" s="110"/>
      <c r="AF257" s="332"/>
      <c r="AG257" s="332"/>
      <c r="AH257" s="332"/>
      <c r="AI257" s="332"/>
    </row>
    <row r="258" spans="1:35" ht="13.5" customHeight="1">
      <c r="A258" s="4"/>
      <c r="B258" s="15" t="s">
        <v>4294</v>
      </c>
      <c r="C258" s="260" t="s">
        <v>4295</v>
      </c>
      <c r="D258" s="254">
        <f>SUMIF(GL!$D$5:$D$6505,B258,GL!$G$5:$G$6505)</f>
        <v>0</v>
      </c>
      <c r="E258" s="341">
        <f>SUMIF(GL!$D$6:$D$6487,B258,GL!$H$6:$H$6487)</f>
        <v>0</v>
      </c>
      <c r="F258" s="341">
        <f>SUMIF(GL!$D$6:$D$6487,B258,GL!$I$6:$I$6487)</f>
        <v>0</v>
      </c>
      <c r="G258" s="341"/>
      <c r="H258" s="341"/>
      <c r="I258" s="341">
        <f t="shared" si="66"/>
        <v>0</v>
      </c>
      <c r="J258" s="341">
        <f t="shared" si="67"/>
        <v>0</v>
      </c>
      <c r="K258" s="341"/>
      <c r="L258" s="342"/>
      <c r="M258" s="342"/>
      <c r="N258" s="341">
        <f t="shared" si="61"/>
        <v>0</v>
      </c>
      <c r="O258" s="341">
        <f t="shared" si="62"/>
        <v>0</v>
      </c>
      <c r="P258" s="341">
        <f>SUMIF(GL!$D$6488:$D$6532,B258,GL!$H$6488:$H$6532)</f>
        <v>0</v>
      </c>
      <c r="Q258" s="341">
        <f>SUMIF(GL!$D$6408:$D$6452,B258,GL!$I$6408:$I$6452)</f>
        <v>0</v>
      </c>
      <c r="R258" s="341">
        <f t="shared" ref="R258:S258" si="281">P258+N258</f>
        <v>0</v>
      </c>
      <c r="S258" s="341">
        <f t="shared" si="281"/>
        <v>0</v>
      </c>
      <c r="T258" s="340"/>
      <c r="U258" s="340"/>
      <c r="V258" s="340"/>
      <c r="W258" s="340"/>
      <c r="X258" s="341">
        <f t="shared" si="64"/>
        <v>0</v>
      </c>
      <c r="Y258" s="341">
        <f t="shared" si="65"/>
        <v>0</v>
      </c>
      <c r="Z258" s="331"/>
      <c r="AA258" s="110"/>
      <c r="AB258" s="358"/>
      <c r="AC258" s="330"/>
      <c r="AD258" s="110"/>
      <c r="AE258" s="110"/>
      <c r="AF258" s="332"/>
      <c r="AG258" s="332"/>
      <c r="AH258" s="332"/>
      <c r="AI258" s="332"/>
    </row>
    <row r="259" spans="1:35" ht="13.5" customHeight="1">
      <c r="A259" s="4"/>
      <c r="B259" s="15" t="s">
        <v>4296</v>
      </c>
      <c r="C259" s="260" t="s">
        <v>4297</v>
      </c>
      <c r="D259" s="254">
        <f>SUMIF(GL!$D$5:$D$6505,B259,GL!$G$5:$G$6505)</f>
        <v>0</v>
      </c>
      <c r="E259" s="341">
        <f>SUMIF(GL!$D$6:$D$6487,B259,GL!$H$6:$H$6487)</f>
        <v>0</v>
      </c>
      <c r="F259" s="341">
        <f>SUMIF(GL!$D$6:$D$6487,B259,GL!$I$6:$I$6487)</f>
        <v>0</v>
      </c>
      <c r="G259" s="341"/>
      <c r="H259" s="341"/>
      <c r="I259" s="341">
        <f t="shared" si="66"/>
        <v>0</v>
      </c>
      <c r="J259" s="341">
        <f t="shared" si="67"/>
        <v>0</v>
      </c>
      <c r="K259" s="341"/>
      <c r="L259" s="342"/>
      <c r="M259" s="342"/>
      <c r="N259" s="341">
        <f t="shared" si="61"/>
        <v>0</v>
      </c>
      <c r="O259" s="341">
        <f t="shared" si="62"/>
        <v>0</v>
      </c>
      <c r="P259" s="341">
        <f>SUMIF(GL!$D$6488:$D$6532,B259,GL!$H$6488:$H$6532)</f>
        <v>0</v>
      </c>
      <c r="Q259" s="341">
        <f>SUMIF(GL!$D$6408:$D$6452,B259,GL!$I$6408:$I$6452)</f>
        <v>0</v>
      </c>
      <c r="R259" s="341">
        <f t="shared" ref="R259:S259" si="282">P259+N259</f>
        <v>0</v>
      </c>
      <c r="S259" s="341">
        <f t="shared" si="282"/>
        <v>0</v>
      </c>
      <c r="T259" s="340"/>
      <c r="U259" s="340"/>
      <c r="V259" s="340"/>
      <c r="W259" s="340"/>
      <c r="X259" s="341">
        <f t="shared" si="64"/>
        <v>0</v>
      </c>
      <c r="Y259" s="341">
        <f t="shared" si="65"/>
        <v>0</v>
      </c>
      <c r="Z259" s="331"/>
      <c r="AA259" s="110"/>
      <c r="AB259" s="358"/>
      <c r="AC259" s="330"/>
      <c r="AD259" s="110"/>
      <c r="AE259" s="110"/>
      <c r="AF259" s="332"/>
      <c r="AG259" s="332"/>
      <c r="AH259" s="332"/>
      <c r="AI259" s="332"/>
    </row>
    <row r="260" spans="1:35" ht="13.5" customHeight="1">
      <c r="A260" s="4"/>
      <c r="B260" s="15" t="s">
        <v>2128</v>
      </c>
      <c r="C260" s="260" t="s">
        <v>4298</v>
      </c>
      <c r="D260" s="254">
        <f>SUMIF(GL!$D$5:$D$6505,B260,GL!$G$5:$G$6505)</f>
        <v>1</v>
      </c>
      <c r="E260" s="341">
        <f>SUMIF(GL!$D$6:$D$6487,B260,GL!$H$6:$H$6487)</f>
        <v>150000</v>
      </c>
      <c r="F260" s="341">
        <f>SUMIF(GL!$D$6:$D$6487,B260,GL!$I$6:$I$6487)</f>
        <v>0</v>
      </c>
      <c r="G260" s="341"/>
      <c r="H260" s="341"/>
      <c r="I260" s="341">
        <f t="shared" si="66"/>
        <v>150000</v>
      </c>
      <c r="J260" s="341">
        <f t="shared" si="67"/>
        <v>0</v>
      </c>
      <c r="K260" s="341"/>
      <c r="L260" s="342"/>
      <c r="M260" s="342"/>
      <c r="N260" s="341">
        <f t="shared" si="61"/>
        <v>150000</v>
      </c>
      <c r="O260" s="341">
        <f t="shared" si="62"/>
        <v>0</v>
      </c>
      <c r="P260" s="341">
        <f>SUMIF(GL!$D$6488:$D$6532,B260,GL!$H$6488:$H$6532)</f>
        <v>0</v>
      </c>
      <c r="Q260" s="341">
        <f>SUMIF(GL!$D$6408:$D$6452,B260,GL!$I$6408:$I$6452)</f>
        <v>0</v>
      </c>
      <c r="R260" s="341">
        <f t="shared" ref="R260:S260" si="283">P260+N260</f>
        <v>150000</v>
      </c>
      <c r="S260" s="341">
        <f t="shared" si="283"/>
        <v>0</v>
      </c>
      <c r="T260" s="340"/>
      <c r="U260" s="340"/>
      <c r="V260" s="340"/>
      <c r="W260" s="340"/>
      <c r="X260" s="341">
        <f t="shared" si="64"/>
        <v>150000</v>
      </c>
      <c r="Y260" s="341">
        <f t="shared" si="65"/>
        <v>0</v>
      </c>
      <c r="Z260" s="331"/>
      <c r="AA260" s="110"/>
      <c r="AB260" s="358"/>
      <c r="AC260" s="330"/>
      <c r="AD260" s="110"/>
      <c r="AE260" s="110"/>
      <c r="AF260" s="332"/>
      <c r="AG260" s="332"/>
      <c r="AH260" s="332"/>
      <c r="AI260" s="332"/>
    </row>
    <row r="261" spans="1:35" ht="13.5" customHeight="1">
      <c r="A261" s="4"/>
      <c r="B261" s="15" t="s">
        <v>2793</v>
      </c>
      <c r="C261" s="260" t="s">
        <v>4299</v>
      </c>
      <c r="D261" s="254">
        <f>SUMIF(GL!$D$5:$D$6505,B261,GL!$G$5:$G$6505)</f>
        <v>10</v>
      </c>
      <c r="E261" s="341">
        <f>SUMIF(GL!$D$6:$D$6487,B261,GL!$H$6:$H$6487)</f>
        <v>1443000</v>
      </c>
      <c r="F261" s="341">
        <f>SUMIF(GL!$D$6:$D$6487,B261,GL!$I$6:$I$6487)</f>
        <v>0</v>
      </c>
      <c r="G261" s="341"/>
      <c r="H261" s="341"/>
      <c r="I261" s="341">
        <f t="shared" si="66"/>
        <v>1443000</v>
      </c>
      <c r="J261" s="341">
        <f t="shared" si="67"/>
        <v>0</v>
      </c>
      <c r="K261" s="341"/>
      <c r="L261" s="342"/>
      <c r="M261" s="342"/>
      <c r="N261" s="341">
        <f t="shared" si="61"/>
        <v>1443000</v>
      </c>
      <c r="O261" s="341">
        <f t="shared" si="62"/>
        <v>0</v>
      </c>
      <c r="P261" s="341">
        <f>SUMIF(GL!$D$6488:$D$6532,B261,GL!$H$6488:$H$6532)</f>
        <v>0</v>
      </c>
      <c r="Q261" s="341">
        <f>SUMIF(GL!$D$6408:$D$6452,B261,GL!$I$6408:$I$6452)</f>
        <v>0</v>
      </c>
      <c r="R261" s="341">
        <f t="shared" ref="R261:S261" si="284">P261+N261</f>
        <v>1443000</v>
      </c>
      <c r="S261" s="341">
        <f t="shared" si="284"/>
        <v>0</v>
      </c>
      <c r="T261" s="340"/>
      <c r="U261" s="340"/>
      <c r="V261" s="340"/>
      <c r="W261" s="340"/>
      <c r="X261" s="341">
        <f t="shared" si="64"/>
        <v>1443000</v>
      </c>
      <c r="Y261" s="341">
        <f t="shared" si="65"/>
        <v>0</v>
      </c>
      <c r="Z261" s="331"/>
      <c r="AA261" s="110"/>
      <c r="AB261" s="358"/>
      <c r="AC261" s="330"/>
      <c r="AD261" s="110"/>
      <c r="AE261" s="110"/>
      <c r="AF261" s="332"/>
      <c r="AG261" s="332"/>
      <c r="AH261" s="332"/>
      <c r="AI261" s="332"/>
    </row>
    <row r="262" spans="1:35" ht="13.5" customHeight="1">
      <c r="A262" s="4"/>
      <c r="B262" s="15" t="s">
        <v>4300</v>
      </c>
      <c r="C262" s="260" t="s">
        <v>4301</v>
      </c>
      <c r="D262" s="254">
        <f>SUMIF(GL!$D$5:$D$6505,B262,GL!$G$5:$G$6505)</f>
        <v>0</v>
      </c>
      <c r="E262" s="341">
        <f>SUMIF(GL!$D$6:$D$6487,B262,GL!$H$6:$H$6487)</f>
        <v>0</v>
      </c>
      <c r="F262" s="341">
        <f>SUMIF(GL!$D$6:$D$6487,B262,GL!$I$6:$I$6487)</f>
        <v>0</v>
      </c>
      <c r="G262" s="341"/>
      <c r="H262" s="341"/>
      <c r="I262" s="341">
        <f t="shared" si="66"/>
        <v>0</v>
      </c>
      <c r="J262" s="341">
        <f t="shared" si="67"/>
        <v>0</v>
      </c>
      <c r="K262" s="341"/>
      <c r="L262" s="342"/>
      <c r="M262" s="342"/>
      <c r="N262" s="341">
        <f t="shared" si="61"/>
        <v>0</v>
      </c>
      <c r="O262" s="341">
        <f t="shared" si="62"/>
        <v>0</v>
      </c>
      <c r="P262" s="341">
        <f>SUMIF(GL!$D$6488:$D$6532,B262,GL!$H$6488:$H$6532)</f>
        <v>0</v>
      </c>
      <c r="Q262" s="341">
        <f>SUMIF(GL!$D$6408:$D$6452,B262,GL!$I$6408:$I$6452)</f>
        <v>0</v>
      </c>
      <c r="R262" s="341">
        <f t="shared" ref="R262:S262" si="285">P262+N262</f>
        <v>0</v>
      </c>
      <c r="S262" s="341">
        <f t="shared" si="285"/>
        <v>0</v>
      </c>
      <c r="T262" s="340"/>
      <c r="U262" s="340"/>
      <c r="V262" s="340"/>
      <c r="W262" s="340"/>
      <c r="X262" s="341">
        <f t="shared" si="64"/>
        <v>0</v>
      </c>
      <c r="Y262" s="341">
        <f t="shared" si="65"/>
        <v>0</v>
      </c>
      <c r="Z262" s="331"/>
      <c r="AA262" s="110"/>
      <c r="AB262" s="358"/>
      <c r="AC262" s="330"/>
      <c r="AD262" s="110"/>
      <c r="AE262" s="110"/>
      <c r="AF262" s="332"/>
      <c r="AG262" s="332"/>
      <c r="AH262" s="332"/>
      <c r="AI262" s="332"/>
    </row>
    <row r="263" spans="1:35" ht="13.5" customHeight="1">
      <c r="A263" s="4"/>
      <c r="B263" s="15" t="s">
        <v>4302</v>
      </c>
      <c r="C263" s="260" t="s">
        <v>4303</v>
      </c>
      <c r="D263" s="254">
        <f>SUMIF(GL!$D$5:$D$6505,B263,GL!$G$5:$G$6505)</f>
        <v>0</v>
      </c>
      <c r="E263" s="341">
        <f>SUMIF(GL!$D$6:$D$6487,B263,GL!$H$6:$H$6487)</f>
        <v>0</v>
      </c>
      <c r="F263" s="341">
        <f>SUMIF(GL!$D$6:$D$6487,B263,GL!$I$6:$I$6487)</f>
        <v>0</v>
      </c>
      <c r="G263" s="341"/>
      <c r="H263" s="341"/>
      <c r="I263" s="341">
        <f t="shared" si="66"/>
        <v>0</v>
      </c>
      <c r="J263" s="341">
        <f t="shared" si="67"/>
        <v>0</v>
      </c>
      <c r="K263" s="341"/>
      <c r="L263" s="342"/>
      <c r="M263" s="342"/>
      <c r="N263" s="341">
        <f t="shared" si="61"/>
        <v>0</v>
      </c>
      <c r="O263" s="341">
        <f t="shared" si="62"/>
        <v>0</v>
      </c>
      <c r="P263" s="341">
        <f>SUMIF(GL!$D$6488:$D$6532,B263,GL!$H$6488:$H$6532)</f>
        <v>0</v>
      </c>
      <c r="Q263" s="341">
        <f>SUMIF(GL!$D$6408:$D$6452,B263,GL!$I$6408:$I$6452)</f>
        <v>0</v>
      </c>
      <c r="R263" s="341">
        <f t="shared" ref="R263:S263" si="286">P263+N263</f>
        <v>0</v>
      </c>
      <c r="S263" s="341">
        <f t="shared" si="286"/>
        <v>0</v>
      </c>
      <c r="T263" s="340"/>
      <c r="U263" s="340"/>
      <c r="V263" s="340"/>
      <c r="W263" s="340"/>
      <c r="X263" s="341">
        <f t="shared" si="64"/>
        <v>0</v>
      </c>
      <c r="Y263" s="341">
        <f t="shared" si="65"/>
        <v>0</v>
      </c>
      <c r="Z263" s="331"/>
      <c r="AA263" s="110"/>
      <c r="AB263" s="358"/>
      <c r="AC263" s="330"/>
      <c r="AD263" s="110"/>
      <c r="AE263" s="110"/>
      <c r="AF263" s="332"/>
      <c r="AG263" s="332"/>
      <c r="AH263" s="332"/>
      <c r="AI263" s="332"/>
    </row>
    <row r="264" spans="1:35" ht="13.5" customHeight="1">
      <c r="A264" s="4"/>
      <c r="B264" s="15" t="s">
        <v>4304</v>
      </c>
      <c r="C264" s="340" t="s">
        <v>4305</v>
      </c>
      <c r="D264" s="254">
        <f>SUMIF(GL!$D$5:$D$6505,B264,GL!$G$5:$G$6505)</f>
        <v>0</v>
      </c>
      <c r="E264" s="341">
        <f>SUMIF(GL!$D$6:$D$6487,B264,GL!$H$6:$H$6487)</f>
        <v>0</v>
      </c>
      <c r="F264" s="341">
        <f>SUMIF(GL!$D$6:$D$6487,B264,GL!$I$6:$I$6487)</f>
        <v>0</v>
      </c>
      <c r="G264" s="341"/>
      <c r="H264" s="341"/>
      <c r="I264" s="341">
        <f t="shared" si="66"/>
        <v>0</v>
      </c>
      <c r="J264" s="341">
        <f t="shared" si="67"/>
        <v>0</v>
      </c>
      <c r="K264" s="341"/>
      <c r="L264" s="342"/>
      <c r="M264" s="342"/>
      <c r="N264" s="341">
        <f t="shared" si="61"/>
        <v>0</v>
      </c>
      <c r="O264" s="341">
        <f t="shared" si="62"/>
        <v>0</v>
      </c>
      <c r="P264" s="341">
        <f>SUMIF(GL!$D$6488:$D$6532,B264,GL!$H$6488:$H$6532)</f>
        <v>0</v>
      </c>
      <c r="Q264" s="341">
        <f>SUMIF(GL!$D$6408:$D$6452,B264,GL!$I$6408:$I$6452)</f>
        <v>0</v>
      </c>
      <c r="R264" s="341">
        <f t="shared" ref="R264:S264" si="287">P264+N264</f>
        <v>0</v>
      </c>
      <c r="S264" s="341">
        <f t="shared" si="287"/>
        <v>0</v>
      </c>
      <c r="T264" s="340"/>
      <c r="U264" s="340"/>
      <c r="V264" s="340"/>
      <c r="W264" s="340"/>
      <c r="X264" s="341">
        <f t="shared" si="64"/>
        <v>0</v>
      </c>
      <c r="Y264" s="341">
        <f t="shared" si="65"/>
        <v>0</v>
      </c>
      <c r="Z264" s="331"/>
      <c r="AA264" s="110"/>
      <c r="AB264" s="358"/>
      <c r="AC264" s="330"/>
      <c r="AD264" s="110"/>
      <c r="AE264" s="110"/>
      <c r="AF264" s="332"/>
      <c r="AG264" s="332"/>
      <c r="AH264" s="332"/>
      <c r="AI264" s="332"/>
    </row>
    <row r="265" spans="1:35" ht="13.5" customHeight="1">
      <c r="A265" s="4"/>
      <c r="B265" s="15" t="s">
        <v>2066</v>
      </c>
      <c r="C265" s="260" t="s">
        <v>4306</v>
      </c>
      <c r="D265" s="254">
        <f>SUMIF(GL!$D$5:$D$6505,B265,GL!$G$5:$G$6505)</f>
        <v>2</v>
      </c>
      <c r="E265" s="341">
        <f>SUMIF(GL!$D$6:$D$6487,B265,GL!$H$6:$H$6487)</f>
        <v>220000</v>
      </c>
      <c r="F265" s="341">
        <f>SUMIF(GL!$D$6:$D$6487,B265,GL!$I$6:$I$6487)</f>
        <v>0</v>
      </c>
      <c r="G265" s="341"/>
      <c r="H265" s="341"/>
      <c r="I265" s="341">
        <f t="shared" si="66"/>
        <v>220000</v>
      </c>
      <c r="J265" s="341">
        <f t="shared" si="67"/>
        <v>0</v>
      </c>
      <c r="K265" s="341"/>
      <c r="L265" s="342"/>
      <c r="M265" s="342"/>
      <c r="N265" s="341">
        <f t="shared" si="61"/>
        <v>220000</v>
      </c>
      <c r="O265" s="341">
        <f t="shared" si="62"/>
        <v>0</v>
      </c>
      <c r="P265" s="341">
        <f>SUMIF(GL!$D$6488:$D$6532,B265,GL!$H$6488:$H$6532)</f>
        <v>0</v>
      </c>
      <c r="Q265" s="341">
        <f>SUMIF(GL!$D$6408:$D$6452,B265,GL!$I$6408:$I$6452)</f>
        <v>0</v>
      </c>
      <c r="R265" s="341">
        <f t="shared" ref="R265:S265" si="288">P265+N265</f>
        <v>220000</v>
      </c>
      <c r="S265" s="341">
        <f t="shared" si="288"/>
        <v>0</v>
      </c>
      <c r="T265" s="340"/>
      <c r="U265" s="340"/>
      <c r="V265" s="340"/>
      <c r="W265" s="340"/>
      <c r="X265" s="341">
        <f t="shared" si="64"/>
        <v>220000</v>
      </c>
      <c r="Y265" s="341">
        <f t="shared" si="65"/>
        <v>0</v>
      </c>
      <c r="Z265" s="331"/>
      <c r="AA265" s="110"/>
      <c r="AB265" s="358"/>
      <c r="AC265" s="330"/>
      <c r="AD265" s="110"/>
      <c r="AE265" s="110"/>
      <c r="AF265" s="110"/>
      <c r="AG265" s="110"/>
      <c r="AH265" s="110"/>
      <c r="AI265" s="110"/>
    </row>
    <row r="266" spans="1:35" ht="13.5" customHeight="1">
      <c r="A266" s="4"/>
      <c r="B266" s="15" t="s">
        <v>4307</v>
      </c>
      <c r="C266" s="260" t="s">
        <v>4308</v>
      </c>
      <c r="D266" s="254">
        <f>SUMIF(GL!$D$5:$D$6505,B266,GL!$G$5:$G$6505)</f>
        <v>0</v>
      </c>
      <c r="E266" s="341">
        <f>SUMIF(GL!$D$6:$D$6487,B266,GL!$H$6:$H$6487)</f>
        <v>0</v>
      </c>
      <c r="F266" s="341">
        <f>SUMIF(GL!$D$6:$D$6487,B266,GL!$I$6:$I$6487)</f>
        <v>0</v>
      </c>
      <c r="G266" s="341"/>
      <c r="H266" s="341"/>
      <c r="I266" s="341">
        <f t="shared" si="66"/>
        <v>0</v>
      </c>
      <c r="J266" s="341">
        <f t="shared" si="67"/>
        <v>0</v>
      </c>
      <c r="K266" s="341"/>
      <c r="L266" s="342"/>
      <c r="M266" s="342"/>
      <c r="N266" s="341">
        <f t="shared" si="61"/>
        <v>0</v>
      </c>
      <c r="O266" s="341">
        <f t="shared" si="62"/>
        <v>0</v>
      </c>
      <c r="P266" s="341">
        <f>SUMIF(GL!$D$6488:$D$6532,B266,GL!$H$6488:$H$6532)</f>
        <v>0</v>
      </c>
      <c r="Q266" s="341">
        <f>SUMIF(GL!$D$6408:$D$6452,B266,GL!$I$6408:$I$6452)</f>
        <v>0</v>
      </c>
      <c r="R266" s="341">
        <f t="shared" ref="R266:S266" si="289">P266+N266</f>
        <v>0</v>
      </c>
      <c r="S266" s="341">
        <f t="shared" si="289"/>
        <v>0</v>
      </c>
      <c r="T266" s="340"/>
      <c r="U266" s="340"/>
      <c r="V266" s="340"/>
      <c r="W266" s="340"/>
      <c r="X266" s="341">
        <f t="shared" si="64"/>
        <v>0</v>
      </c>
      <c r="Y266" s="341">
        <f t="shared" si="65"/>
        <v>0</v>
      </c>
      <c r="Z266" s="331"/>
      <c r="AA266" s="110"/>
      <c r="AB266" s="358"/>
      <c r="AC266" s="330"/>
      <c r="AD266" s="110"/>
      <c r="AE266" s="110"/>
      <c r="AF266" s="110"/>
      <c r="AG266" s="110"/>
      <c r="AH266" s="110"/>
      <c r="AI266" s="110"/>
    </row>
    <row r="267" spans="1:35" ht="13.5" customHeight="1">
      <c r="A267" s="4"/>
      <c r="B267" s="15" t="s">
        <v>2635</v>
      </c>
      <c r="C267" s="260" t="s">
        <v>4309</v>
      </c>
      <c r="D267" s="254">
        <f>SUMIF(GL!$D$5:$D$6505,B267,GL!$G$5:$G$6505)</f>
        <v>12</v>
      </c>
      <c r="E267" s="341">
        <f>SUMIF(GL!$D$6:$D$6487,B267,GL!$H$6:$H$6487)</f>
        <v>336560.00310000003</v>
      </c>
      <c r="F267" s="341">
        <f>SUMIF(GL!$D$6:$D$6487,B267,GL!$I$6:$I$6487)</f>
        <v>0</v>
      </c>
      <c r="G267" s="341"/>
      <c r="H267" s="341"/>
      <c r="I267" s="341">
        <f t="shared" si="66"/>
        <v>336560.00310000003</v>
      </c>
      <c r="J267" s="341">
        <f t="shared" si="67"/>
        <v>0</v>
      </c>
      <c r="K267" s="341"/>
      <c r="L267" s="342"/>
      <c r="M267" s="342"/>
      <c r="N267" s="341">
        <f t="shared" si="61"/>
        <v>336560.00310000003</v>
      </c>
      <c r="O267" s="341">
        <f t="shared" si="62"/>
        <v>0</v>
      </c>
      <c r="P267" s="341">
        <f>SUMIF(GL!$D$6488:$D$6532,B267,GL!$H$6488:$H$6532)</f>
        <v>0</v>
      </c>
      <c r="Q267" s="341">
        <f>SUMIF(GL!$D$6408:$D$6452,B267,GL!$I$6408:$I$6452)</f>
        <v>0</v>
      </c>
      <c r="R267" s="341">
        <f t="shared" ref="R267:S267" si="290">P267+N267</f>
        <v>336560.00310000003</v>
      </c>
      <c r="S267" s="341">
        <f t="shared" si="290"/>
        <v>0</v>
      </c>
      <c r="T267" s="340"/>
      <c r="U267" s="340"/>
      <c r="V267" s="340"/>
      <c r="W267" s="340"/>
      <c r="X267" s="341">
        <f t="shared" si="64"/>
        <v>336560.00310000003</v>
      </c>
      <c r="Y267" s="341">
        <f t="shared" si="65"/>
        <v>0</v>
      </c>
      <c r="Z267" s="331"/>
      <c r="AA267" s="110"/>
      <c r="AB267" s="358"/>
      <c r="AC267" s="330"/>
      <c r="AD267" s="110"/>
      <c r="AE267" s="110"/>
      <c r="AF267" s="110"/>
      <c r="AG267" s="110"/>
      <c r="AH267" s="110"/>
      <c r="AI267" s="110"/>
    </row>
    <row r="268" spans="1:35" ht="13.5" customHeight="1">
      <c r="A268" s="4"/>
      <c r="B268" s="15" t="s">
        <v>1843</v>
      </c>
      <c r="C268" s="260" t="s">
        <v>4310</v>
      </c>
      <c r="D268" s="254">
        <f>SUMIF(GL!$D$5:$D$6505,B268,GL!$G$5:$G$6505)</f>
        <v>84</v>
      </c>
      <c r="E268" s="341">
        <f>SUMIF(GL!$D$6:$D$6487,B268,GL!$H$6:$H$6487)</f>
        <v>428000</v>
      </c>
      <c r="F268" s="341">
        <f>SUMIF(GL!$D$6:$D$6487,B268,GL!$I$6:$I$6487)</f>
        <v>0</v>
      </c>
      <c r="G268" s="341"/>
      <c r="H268" s="341"/>
      <c r="I268" s="341">
        <f t="shared" si="66"/>
        <v>428000</v>
      </c>
      <c r="J268" s="341">
        <f t="shared" si="67"/>
        <v>0</v>
      </c>
      <c r="K268" s="341"/>
      <c r="L268" s="342"/>
      <c r="M268" s="342"/>
      <c r="N268" s="341">
        <f t="shared" si="61"/>
        <v>428000</v>
      </c>
      <c r="O268" s="341">
        <f t="shared" si="62"/>
        <v>0</v>
      </c>
      <c r="P268" s="341">
        <f>SUMIF(GL!$D$6488:$D$6532,B268,GL!$H$6488:$H$6532)</f>
        <v>0</v>
      </c>
      <c r="Q268" s="341">
        <f>SUMIF(GL!$D$6408:$D$6452,B268,GL!$I$6408:$I$6452)</f>
        <v>0</v>
      </c>
      <c r="R268" s="341">
        <f t="shared" ref="R268:S268" si="291">P268+N268</f>
        <v>428000</v>
      </c>
      <c r="S268" s="341">
        <f t="shared" si="291"/>
        <v>0</v>
      </c>
      <c r="T268" s="340"/>
      <c r="U268" s="340"/>
      <c r="V268" s="340"/>
      <c r="W268" s="340"/>
      <c r="X268" s="341">
        <f t="shared" si="64"/>
        <v>428000</v>
      </c>
      <c r="Y268" s="341">
        <f t="shared" si="65"/>
        <v>0</v>
      </c>
      <c r="Z268" s="331"/>
      <c r="AA268" s="110"/>
      <c r="AB268" s="358"/>
      <c r="AC268" s="330"/>
      <c r="AD268" s="110"/>
      <c r="AE268" s="110"/>
      <c r="AF268" s="110"/>
      <c r="AG268" s="110"/>
      <c r="AH268" s="110"/>
      <c r="AI268" s="110"/>
    </row>
    <row r="269" spans="1:35" ht="13.5" customHeight="1">
      <c r="A269" s="4"/>
      <c r="B269" s="15" t="s">
        <v>4311</v>
      </c>
      <c r="C269" s="260" t="s">
        <v>4312</v>
      </c>
      <c r="D269" s="254">
        <f>SUMIF(GL!$D$5:$D$6505,B269,GL!$G$5:$G$6505)</f>
        <v>0</v>
      </c>
      <c r="E269" s="341">
        <f>SUMIF(GL!$D$6:$D$6487,B269,GL!$H$6:$H$6487)</f>
        <v>0</v>
      </c>
      <c r="F269" s="341">
        <f>SUMIF(GL!$D$6:$D$6487,B269,GL!$I$6:$I$6487)</f>
        <v>0</v>
      </c>
      <c r="G269" s="341"/>
      <c r="H269" s="341"/>
      <c r="I269" s="341">
        <f t="shared" si="66"/>
        <v>0</v>
      </c>
      <c r="J269" s="341">
        <f t="shared" si="67"/>
        <v>0</v>
      </c>
      <c r="K269" s="341"/>
      <c r="L269" s="342"/>
      <c r="M269" s="342"/>
      <c r="N269" s="341">
        <f t="shared" si="61"/>
        <v>0</v>
      </c>
      <c r="O269" s="341">
        <f t="shared" si="62"/>
        <v>0</v>
      </c>
      <c r="P269" s="341">
        <f>SUMIF(GL!$D$6488:$D$6532,B269,GL!$H$6488:$H$6532)</f>
        <v>0</v>
      </c>
      <c r="Q269" s="341">
        <f>SUMIF(GL!$D$6408:$D$6452,B269,GL!$I$6408:$I$6452)</f>
        <v>0</v>
      </c>
      <c r="R269" s="341">
        <f t="shared" ref="R269:S269" si="292">P269+N269</f>
        <v>0</v>
      </c>
      <c r="S269" s="341">
        <f t="shared" si="292"/>
        <v>0</v>
      </c>
      <c r="T269" s="340"/>
      <c r="U269" s="340"/>
      <c r="V269" s="340"/>
      <c r="W269" s="340"/>
      <c r="X269" s="341">
        <f t="shared" si="64"/>
        <v>0</v>
      </c>
      <c r="Y269" s="341">
        <f t="shared" si="65"/>
        <v>0</v>
      </c>
      <c r="Z269" s="331"/>
      <c r="AA269" s="110"/>
      <c r="AB269" s="358"/>
      <c r="AC269" s="330"/>
      <c r="AD269" s="110"/>
      <c r="AE269" s="110"/>
      <c r="AF269" s="110"/>
      <c r="AG269" s="110"/>
      <c r="AH269" s="110"/>
      <c r="AI269" s="110"/>
    </row>
    <row r="270" spans="1:35" ht="13.5" customHeight="1">
      <c r="A270" s="4"/>
      <c r="B270" s="15" t="s">
        <v>4313</v>
      </c>
      <c r="C270" s="260" t="s">
        <v>4314</v>
      </c>
      <c r="D270" s="254">
        <f>SUMIF(GL!$D$5:$D$6505,B270,GL!$G$5:$G$6505)</f>
        <v>0</v>
      </c>
      <c r="E270" s="341">
        <f>SUMIF(GL!$D$6:$D$6487,B270,GL!$H$6:$H$6487)</f>
        <v>0</v>
      </c>
      <c r="F270" s="341">
        <f>SUMIF(GL!$D$6:$D$6487,B270,GL!$I$6:$I$6487)</f>
        <v>0</v>
      </c>
      <c r="G270" s="341"/>
      <c r="H270" s="341"/>
      <c r="I270" s="341">
        <f t="shared" si="66"/>
        <v>0</v>
      </c>
      <c r="J270" s="341">
        <f t="shared" si="67"/>
        <v>0</v>
      </c>
      <c r="K270" s="341"/>
      <c r="L270" s="342"/>
      <c r="M270" s="342"/>
      <c r="N270" s="341">
        <f t="shared" si="61"/>
        <v>0</v>
      </c>
      <c r="O270" s="341">
        <f t="shared" si="62"/>
        <v>0</v>
      </c>
      <c r="P270" s="341">
        <f>SUMIF(GL!$D$6488:$D$6532,B270,GL!$H$6488:$H$6532)</f>
        <v>0</v>
      </c>
      <c r="Q270" s="341">
        <f>SUMIF(GL!$D$6408:$D$6452,B270,GL!$I$6408:$I$6452)</f>
        <v>0</v>
      </c>
      <c r="R270" s="341">
        <f t="shared" ref="R270:S270" si="293">P270+N270</f>
        <v>0</v>
      </c>
      <c r="S270" s="341">
        <f t="shared" si="293"/>
        <v>0</v>
      </c>
      <c r="T270" s="340"/>
      <c r="U270" s="340"/>
      <c r="V270" s="340"/>
      <c r="W270" s="340"/>
      <c r="X270" s="341">
        <f t="shared" si="64"/>
        <v>0</v>
      </c>
      <c r="Y270" s="341">
        <f t="shared" si="65"/>
        <v>0</v>
      </c>
      <c r="Z270" s="331"/>
      <c r="AA270" s="110"/>
      <c r="AB270" s="358"/>
      <c r="AC270" s="330"/>
      <c r="AD270" s="110"/>
      <c r="AE270" s="110"/>
      <c r="AF270" s="110"/>
      <c r="AG270" s="110"/>
      <c r="AH270" s="110"/>
      <c r="AI270" s="110"/>
    </row>
    <row r="271" spans="1:35" ht="13.5" customHeight="1">
      <c r="A271" s="4"/>
      <c r="B271" s="15" t="s">
        <v>4315</v>
      </c>
      <c r="C271" s="260" t="s">
        <v>4316</v>
      </c>
      <c r="D271" s="254">
        <f>SUMIF(GL!$D$5:$D$6505,B271,GL!$G$5:$G$6505)</f>
        <v>0</v>
      </c>
      <c r="E271" s="341">
        <f>SUMIF(GL!$D$6:$D$6487,B271,GL!$H$6:$H$6487)</f>
        <v>0</v>
      </c>
      <c r="F271" s="341">
        <f>SUMIF(GL!$D$6:$D$6487,B271,GL!$I$6:$I$6487)</f>
        <v>0</v>
      </c>
      <c r="G271" s="341"/>
      <c r="H271" s="341"/>
      <c r="I271" s="341">
        <f t="shared" si="66"/>
        <v>0</v>
      </c>
      <c r="J271" s="341">
        <f t="shared" si="67"/>
        <v>0</v>
      </c>
      <c r="K271" s="341"/>
      <c r="L271" s="342"/>
      <c r="M271" s="342"/>
      <c r="N271" s="341">
        <f t="shared" si="61"/>
        <v>0</v>
      </c>
      <c r="O271" s="341">
        <f t="shared" si="62"/>
        <v>0</v>
      </c>
      <c r="P271" s="341">
        <f>SUMIF(GL!$D$6488:$D$6532,B271,GL!$H$6488:$H$6532)</f>
        <v>0</v>
      </c>
      <c r="Q271" s="341">
        <f>SUMIF(GL!$D$6408:$D$6452,B271,GL!$I$6408:$I$6452)</f>
        <v>0</v>
      </c>
      <c r="R271" s="341">
        <f t="shared" ref="R271:S271" si="294">P271+N271</f>
        <v>0</v>
      </c>
      <c r="S271" s="341">
        <f t="shared" si="294"/>
        <v>0</v>
      </c>
      <c r="T271" s="340"/>
      <c r="U271" s="340"/>
      <c r="V271" s="340"/>
      <c r="W271" s="340"/>
      <c r="X271" s="341">
        <f t="shared" si="64"/>
        <v>0</v>
      </c>
      <c r="Y271" s="341">
        <f t="shared" si="65"/>
        <v>0</v>
      </c>
      <c r="Z271" s="331"/>
      <c r="AA271" s="110"/>
      <c r="AB271" s="358"/>
      <c r="AC271" s="330"/>
      <c r="AD271" s="110"/>
      <c r="AE271" s="110"/>
      <c r="AF271" s="110"/>
      <c r="AG271" s="110"/>
      <c r="AH271" s="110"/>
      <c r="AI271" s="110"/>
    </row>
    <row r="272" spans="1:35" ht="13.5" customHeight="1">
      <c r="A272" s="4"/>
      <c r="B272" s="15" t="s">
        <v>4317</v>
      </c>
      <c r="C272" s="260" t="s">
        <v>4318</v>
      </c>
      <c r="D272" s="254">
        <f>SUMIF(GL!$D$5:$D$6505,B272,GL!$G$5:$G$6505)</f>
        <v>0</v>
      </c>
      <c r="E272" s="341">
        <f>SUMIF(GL!$D$6:$D$6487,B272,GL!$H$6:$H$6487)</f>
        <v>0</v>
      </c>
      <c r="F272" s="341">
        <f>SUMIF(GL!$D$6:$D$6487,B272,GL!$I$6:$I$6487)</f>
        <v>0</v>
      </c>
      <c r="G272" s="341"/>
      <c r="H272" s="341"/>
      <c r="I272" s="341">
        <f t="shared" si="66"/>
        <v>0</v>
      </c>
      <c r="J272" s="341">
        <f t="shared" si="67"/>
        <v>0</v>
      </c>
      <c r="K272" s="341"/>
      <c r="L272" s="342"/>
      <c r="M272" s="342"/>
      <c r="N272" s="341">
        <f t="shared" si="61"/>
        <v>0</v>
      </c>
      <c r="O272" s="341">
        <f t="shared" si="62"/>
        <v>0</v>
      </c>
      <c r="P272" s="341">
        <f>SUMIF(GL!$D$6488:$D$6532,B272,GL!$H$6488:$H$6532)</f>
        <v>0</v>
      </c>
      <c r="Q272" s="341">
        <f>SUMIF(GL!$D$6408:$D$6452,B272,GL!$I$6408:$I$6452)</f>
        <v>0</v>
      </c>
      <c r="R272" s="341">
        <f t="shared" ref="R272:S272" si="295">P272+N272</f>
        <v>0</v>
      </c>
      <c r="S272" s="341">
        <f t="shared" si="295"/>
        <v>0</v>
      </c>
      <c r="T272" s="340"/>
      <c r="U272" s="340"/>
      <c r="V272" s="340"/>
      <c r="W272" s="340"/>
      <c r="X272" s="341">
        <f t="shared" si="64"/>
        <v>0</v>
      </c>
      <c r="Y272" s="341">
        <f t="shared" si="65"/>
        <v>0</v>
      </c>
      <c r="Z272" s="331"/>
      <c r="AA272" s="110"/>
      <c r="AB272" s="358"/>
      <c r="AC272" s="330"/>
      <c r="AD272" s="110"/>
      <c r="AE272" s="110"/>
      <c r="AF272" s="110"/>
      <c r="AG272" s="110"/>
      <c r="AH272" s="110"/>
      <c r="AI272" s="110"/>
    </row>
    <row r="273" spans="1:35" ht="13.5" customHeight="1">
      <c r="A273" s="4"/>
      <c r="B273" s="15" t="s">
        <v>4319</v>
      </c>
      <c r="C273" s="260" t="s">
        <v>4320</v>
      </c>
      <c r="D273" s="254">
        <f>SUMIF(GL!$D$5:$D$6505,B273,GL!$G$5:$G$6505)</f>
        <v>0</v>
      </c>
      <c r="E273" s="341">
        <f>SUMIF(GL!$D$6:$D$6487,B273,GL!$H$6:$H$6487)</f>
        <v>0</v>
      </c>
      <c r="F273" s="341">
        <f>SUMIF(GL!$D$6:$D$6487,B273,GL!$I$6:$I$6487)</f>
        <v>0</v>
      </c>
      <c r="G273" s="341"/>
      <c r="H273" s="341"/>
      <c r="I273" s="341">
        <f t="shared" si="66"/>
        <v>0</v>
      </c>
      <c r="J273" s="341">
        <f t="shared" si="67"/>
        <v>0</v>
      </c>
      <c r="K273" s="341"/>
      <c r="L273" s="342"/>
      <c r="M273" s="342"/>
      <c r="N273" s="341">
        <f t="shared" si="61"/>
        <v>0</v>
      </c>
      <c r="O273" s="341">
        <f t="shared" si="62"/>
        <v>0</v>
      </c>
      <c r="P273" s="341">
        <f>SUMIF(GL!$D$6488:$D$6532,B273,GL!$H$6488:$H$6532)</f>
        <v>0</v>
      </c>
      <c r="Q273" s="341">
        <f>SUMIF(GL!$D$6408:$D$6452,B273,GL!$I$6408:$I$6452)</f>
        <v>0</v>
      </c>
      <c r="R273" s="341">
        <f t="shared" ref="R273:S273" si="296">P273+N273</f>
        <v>0</v>
      </c>
      <c r="S273" s="341">
        <f t="shared" si="296"/>
        <v>0</v>
      </c>
      <c r="T273" s="340"/>
      <c r="U273" s="340"/>
      <c r="V273" s="340"/>
      <c r="W273" s="340"/>
      <c r="X273" s="341">
        <f t="shared" si="64"/>
        <v>0</v>
      </c>
      <c r="Y273" s="341">
        <f t="shared" si="65"/>
        <v>0</v>
      </c>
      <c r="Z273" s="331"/>
      <c r="AA273" s="110"/>
      <c r="AB273" s="358"/>
      <c r="AC273" s="330"/>
      <c r="AD273" s="110"/>
      <c r="AE273" s="110"/>
      <c r="AF273" s="110"/>
      <c r="AG273" s="110"/>
      <c r="AH273" s="110"/>
      <c r="AI273" s="110"/>
    </row>
    <row r="274" spans="1:35" ht="13.5" customHeight="1">
      <c r="A274" s="4"/>
      <c r="B274" s="15" t="s">
        <v>4321</v>
      </c>
      <c r="C274" s="260" t="s">
        <v>4322</v>
      </c>
      <c r="D274" s="254">
        <f>SUMIF(GL!$D$5:$D$6505,B274,GL!$G$5:$G$6505)</f>
        <v>0</v>
      </c>
      <c r="E274" s="341">
        <f>SUMIF(GL!$D$6:$D$6487,B274,GL!$H$6:$H$6487)</f>
        <v>0</v>
      </c>
      <c r="F274" s="341">
        <f>SUMIF(GL!$D$6:$D$6487,B274,GL!$I$6:$I$6487)</f>
        <v>0</v>
      </c>
      <c r="G274" s="341"/>
      <c r="H274" s="341"/>
      <c r="I274" s="341">
        <f t="shared" si="66"/>
        <v>0</v>
      </c>
      <c r="J274" s="341">
        <f t="shared" si="67"/>
        <v>0</v>
      </c>
      <c r="K274" s="341"/>
      <c r="L274" s="342"/>
      <c r="M274" s="342"/>
      <c r="N274" s="341">
        <f t="shared" si="61"/>
        <v>0</v>
      </c>
      <c r="O274" s="341">
        <f t="shared" si="62"/>
        <v>0</v>
      </c>
      <c r="P274" s="341">
        <f>SUMIF(GL!$D$6488:$D$6532,B274,GL!$H$6488:$H$6532)</f>
        <v>0</v>
      </c>
      <c r="Q274" s="341">
        <f>SUMIF(GL!$D$6408:$D$6452,B274,GL!$I$6408:$I$6452)</f>
        <v>0</v>
      </c>
      <c r="R274" s="341">
        <f t="shared" ref="R274:S274" si="297">P274+N274</f>
        <v>0</v>
      </c>
      <c r="S274" s="341">
        <f t="shared" si="297"/>
        <v>0</v>
      </c>
      <c r="T274" s="340"/>
      <c r="U274" s="340"/>
      <c r="V274" s="340"/>
      <c r="W274" s="340"/>
      <c r="X274" s="341">
        <f t="shared" si="64"/>
        <v>0</v>
      </c>
      <c r="Y274" s="341">
        <f t="shared" si="65"/>
        <v>0</v>
      </c>
      <c r="Z274" s="331"/>
      <c r="AA274" s="110"/>
      <c r="AB274" s="358"/>
      <c r="AC274" s="330"/>
      <c r="AD274" s="110"/>
      <c r="AE274" s="110"/>
      <c r="AF274" s="110"/>
      <c r="AG274" s="110"/>
      <c r="AH274" s="110"/>
      <c r="AI274" s="110"/>
    </row>
    <row r="275" spans="1:35" ht="13.5" customHeight="1">
      <c r="A275" s="4"/>
      <c r="B275" s="15" t="s">
        <v>4323</v>
      </c>
      <c r="C275" s="260" t="s">
        <v>4324</v>
      </c>
      <c r="D275" s="254">
        <f>SUMIF(GL!$D$5:$D$6505,B275,GL!$G$5:$G$6505)</f>
        <v>0</v>
      </c>
      <c r="E275" s="341">
        <f>SUMIF(GL!$D$6:$D$6487,B275,GL!$H$6:$H$6487)</f>
        <v>0</v>
      </c>
      <c r="F275" s="341">
        <f>SUMIF(GL!$D$6:$D$6487,B275,GL!$I$6:$I$6487)</f>
        <v>0</v>
      </c>
      <c r="G275" s="341"/>
      <c r="H275" s="341"/>
      <c r="I275" s="341">
        <f t="shared" si="66"/>
        <v>0</v>
      </c>
      <c r="J275" s="341">
        <f t="shared" si="67"/>
        <v>0</v>
      </c>
      <c r="K275" s="341"/>
      <c r="L275" s="342"/>
      <c r="M275" s="342"/>
      <c r="N275" s="341">
        <f t="shared" si="61"/>
        <v>0</v>
      </c>
      <c r="O275" s="341">
        <f t="shared" si="62"/>
        <v>0</v>
      </c>
      <c r="P275" s="341">
        <f>SUMIF(GL!$D$6488:$D$6532,B275,GL!$H$6488:$H$6532)</f>
        <v>0</v>
      </c>
      <c r="Q275" s="341">
        <f>SUMIF(GL!$D$6408:$D$6452,B275,GL!$I$6408:$I$6452)</f>
        <v>0</v>
      </c>
      <c r="R275" s="341">
        <f t="shared" ref="R275:S275" si="298">P275+N275</f>
        <v>0</v>
      </c>
      <c r="S275" s="341">
        <f t="shared" si="298"/>
        <v>0</v>
      </c>
      <c r="T275" s="340"/>
      <c r="U275" s="340"/>
      <c r="V275" s="340"/>
      <c r="W275" s="340"/>
      <c r="X275" s="341">
        <f t="shared" si="64"/>
        <v>0</v>
      </c>
      <c r="Y275" s="341">
        <f t="shared" si="65"/>
        <v>0</v>
      </c>
      <c r="Z275" s="331"/>
      <c r="AA275" s="110"/>
      <c r="AB275" s="358"/>
      <c r="AC275" s="330"/>
      <c r="AD275" s="110"/>
      <c r="AE275" s="110"/>
      <c r="AF275" s="110"/>
      <c r="AG275" s="110"/>
      <c r="AH275" s="110"/>
      <c r="AI275" s="110"/>
    </row>
    <row r="276" spans="1:35" ht="13.5" customHeight="1">
      <c r="A276" s="4"/>
      <c r="B276" s="15" t="s">
        <v>2913</v>
      </c>
      <c r="C276" s="260" t="s">
        <v>4325</v>
      </c>
      <c r="D276" s="254">
        <f>SUMIF(GL!$D$5:$D$6505,B276,GL!$G$5:$G$6505)</f>
        <v>2</v>
      </c>
      <c r="E276" s="341">
        <f>SUMIF(GL!$D$6:$D$6487,B276,GL!$H$6:$H$6487)</f>
        <v>420000</v>
      </c>
      <c r="F276" s="341">
        <f>SUMIF(GL!$D$6:$D$6487,B276,GL!$I$6:$I$6487)</f>
        <v>0</v>
      </c>
      <c r="G276" s="341"/>
      <c r="H276" s="341"/>
      <c r="I276" s="341">
        <f t="shared" si="66"/>
        <v>420000</v>
      </c>
      <c r="J276" s="341">
        <f t="shared" si="67"/>
        <v>0</v>
      </c>
      <c r="K276" s="341"/>
      <c r="L276" s="342"/>
      <c r="M276" s="342"/>
      <c r="N276" s="341">
        <f t="shared" si="61"/>
        <v>420000</v>
      </c>
      <c r="O276" s="341">
        <f t="shared" si="62"/>
        <v>0</v>
      </c>
      <c r="P276" s="341">
        <f>SUMIF(GL!$D$6488:$D$6532,B276,GL!$H$6488:$H$6532)</f>
        <v>0</v>
      </c>
      <c r="Q276" s="341">
        <f>SUMIF(GL!$D$6408:$D$6452,B276,GL!$I$6408:$I$6452)</f>
        <v>0</v>
      </c>
      <c r="R276" s="341">
        <f t="shared" ref="R276:S276" si="299">P276+N276</f>
        <v>420000</v>
      </c>
      <c r="S276" s="341">
        <f t="shared" si="299"/>
        <v>0</v>
      </c>
      <c r="T276" s="340"/>
      <c r="U276" s="340"/>
      <c r="V276" s="340"/>
      <c r="W276" s="340"/>
      <c r="X276" s="341">
        <f t="shared" si="64"/>
        <v>420000</v>
      </c>
      <c r="Y276" s="341">
        <f t="shared" si="65"/>
        <v>0</v>
      </c>
      <c r="Z276" s="331"/>
      <c r="AA276" s="110"/>
      <c r="AB276" s="358"/>
      <c r="AC276" s="330"/>
      <c r="AD276" s="110"/>
      <c r="AE276" s="110"/>
      <c r="AF276" s="110"/>
      <c r="AG276" s="110"/>
      <c r="AH276" s="110"/>
      <c r="AI276" s="110"/>
    </row>
    <row r="277" spans="1:35" ht="13.5" customHeight="1">
      <c r="A277" s="4"/>
      <c r="B277" s="15" t="s">
        <v>4326</v>
      </c>
      <c r="C277" s="260" t="s">
        <v>4327</v>
      </c>
      <c r="D277" s="254">
        <f>SUMIF(GL!$D$5:$D$6505,B277,GL!$G$5:$G$6505)</f>
        <v>0</v>
      </c>
      <c r="E277" s="341">
        <f>SUMIF(GL!$D$6:$D$6487,B277,GL!$H$6:$H$6487)</f>
        <v>0</v>
      </c>
      <c r="F277" s="341">
        <f>SUMIF(GL!$D$6:$D$6487,B277,GL!$I$6:$I$6487)</f>
        <v>0</v>
      </c>
      <c r="G277" s="341"/>
      <c r="H277" s="341"/>
      <c r="I277" s="341">
        <f t="shared" si="66"/>
        <v>0</v>
      </c>
      <c r="J277" s="341">
        <f t="shared" si="67"/>
        <v>0</v>
      </c>
      <c r="K277" s="341"/>
      <c r="L277" s="342"/>
      <c r="M277" s="342"/>
      <c r="N277" s="341">
        <f t="shared" si="61"/>
        <v>0</v>
      </c>
      <c r="O277" s="341">
        <f t="shared" si="62"/>
        <v>0</v>
      </c>
      <c r="P277" s="341">
        <f>SUMIF(GL!$D$6488:$D$6532,B277,GL!$H$6488:$H$6532)</f>
        <v>0</v>
      </c>
      <c r="Q277" s="341">
        <f>SUMIF(GL!$D$6408:$D$6452,B277,GL!$I$6408:$I$6452)</f>
        <v>0</v>
      </c>
      <c r="R277" s="341">
        <f t="shared" ref="R277:S277" si="300">P277+N277</f>
        <v>0</v>
      </c>
      <c r="S277" s="341">
        <f t="shared" si="300"/>
        <v>0</v>
      </c>
      <c r="T277" s="340"/>
      <c r="U277" s="340"/>
      <c r="V277" s="340"/>
      <c r="W277" s="340"/>
      <c r="X277" s="341">
        <f t="shared" si="64"/>
        <v>0</v>
      </c>
      <c r="Y277" s="341">
        <f t="shared" si="65"/>
        <v>0</v>
      </c>
      <c r="Z277" s="331"/>
      <c r="AA277" s="110"/>
      <c r="AB277" s="358"/>
      <c r="AC277" s="330"/>
      <c r="AD277" s="110"/>
      <c r="AE277" s="110"/>
      <c r="AF277" s="110"/>
      <c r="AG277" s="110"/>
      <c r="AH277" s="110"/>
      <c r="AI277" s="110"/>
    </row>
    <row r="278" spans="1:35" ht="13.5" customHeight="1">
      <c r="A278" s="4"/>
      <c r="B278" s="15" t="s">
        <v>4328</v>
      </c>
      <c r="C278" s="260" t="s">
        <v>4329</v>
      </c>
      <c r="D278" s="254">
        <f>SUMIF(GL!$D$5:$D$6505,B278,GL!$G$5:$G$6505)</f>
        <v>0</v>
      </c>
      <c r="E278" s="341">
        <f>SUMIF(GL!$D$6:$D$6487,B278,GL!$H$6:$H$6487)</f>
        <v>0</v>
      </c>
      <c r="F278" s="341">
        <f>SUMIF(GL!$D$6:$D$6487,B278,GL!$I$6:$I$6487)</f>
        <v>0</v>
      </c>
      <c r="G278" s="341"/>
      <c r="H278" s="341"/>
      <c r="I278" s="341">
        <f t="shared" si="66"/>
        <v>0</v>
      </c>
      <c r="J278" s="341">
        <f t="shared" si="67"/>
        <v>0</v>
      </c>
      <c r="K278" s="341"/>
      <c r="L278" s="342"/>
      <c r="M278" s="342"/>
      <c r="N278" s="341">
        <f t="shared" si="61"/>
        <v>0</v>
      </c>
      <c r="O278" s="341">
        <f t="shared" si="62"/>
        <v>0</v>
      </c>
      <c r="P278" s="341">
        <f>SUMIF(GL!$D$6488:$D$6532,B278,GL!$H$6488:$H$6532)</f>
        <v>0</v>
      </c>
      <c r="Q278" s="341">
        <f>SUMIF(GL!$D$6408:$D$6452,B278,GL!$I$6408:$I$6452)</f>
        <v>0</v>
      </c>
      <c r="R278" s="341">
        <f t="shared" ref="R278:S278" si="301">P278+N278</f>
        <v>0</v>
      </c>
      <c r="S278" s="341">
        <f t="shared" si="301"/>
        <v>0</v>
      </c>
      <c r="T278" s="340"/>
      <c r="U278" s="340"/>
      <c r="V278" s="340"/>
      <c r="W278" s="340"/>
      <c r="X278" s="341">
        <f t="shared" si="64"/>
        <v>0</v>
      </c>
      <c r="Y278" s="341">
        <f t="shared" si="65"/>
        <v>0</v>
      </c>
      <c r="Z278" s="331"/>
      <c r="AA278" s="110"/>
      <c r="AB278" s="358"/>
      <c r="AC278" s="330"/>
      <c r="AD278" s="110"/>
      <c r="AE278" s="110"/>
      <c r="AF278" s="110"/>
      <c r="AG278" s="110"/>
      <c r="AH278" s="110"/>
      <c r="AI278" s="110"/>
    </row>
    <row r="279" spans="1:35" ht="13.5" customHeight="1">
      <c r="A279" s="4"/>
      <c r="B279" s="15" t="s">
        <v>4330</v>
      </c>
      <c r="C279" s="260" t="s">
        <v>4331</v>
      </c>
      <c r="D279" s="254">
        <f>SUMIF(GL!$D$5:$D$6505,B279,GL!$G$5:$G$6505)</f>
        <v>0</v>
      </c>
      <c r="E279" s="341">
        <f>SUMIF(GL!$D$6:$D$6487,B279,GL!$H$6:$H$6487)</f>
        <v>0</v>
      </c>
      <c r="F279" s="341">
        <f>SUMIF(GL!$D$6:$D$6487,B279,GL!$I$6:$I$6487)</f>
        <v>0</v>
      </c>
      <c r="G279" s="341"/>
      <c r="H279" s="341"/>
      <c r="I279" s="341">
        <f t="shared" si="66"/>
        <v>0</v>
      </c>
      <c r="J279" s="341">
        <f t="shared" si="67"/>
        <v>0</v>
      </c>
      <c r="K279" s="341"/>
      <c r="L279" s="342"/>
      <c r="M279" s="342"/>
      <c r="N279" s="341">
        <f t="shared" si="61"/>
        <v>0</v>
      </c>
      <c r="O279" s="341">
        <f t="shared" si="62"/>
        <v>0</v>
      </c>
      <c r="P279" s="341">
        <f>SUMIF(GL!$D$6488:$D$6532,B279,GL!$H$6488:$H$6532)</f>
        <v>0</v>
      </c>
      <c r="Q279" s="341">
        <f>SUMIF(GL!$D$6408:$D$6452,B279,GL!$I$6408:$I$6452)</f>
        <v>0</v>
      </c>
      <c r="R279" s="341">
        <f t="shared" ref="R279:S279" si="302">P279+N279</f>
        <v>0</v>
      </c>
      <c r="S279" s="341">
        <f t="shared" si="302"/>
        <v>0</v>
      </c>
      <c r="T279" s="340"/>
      <c r="U279" s="340"/>
      <c r="V279" s="340"/>
      <c r="W279" s="340"/>
      <c r="X279" s="341">
        <f t="shared" si="64"/>
        <v>0</v>
      </c>
      <c r="Y279" s="341">
        <f t="shared" si="65"/>
        <v>0</v>
      </c>
      <c r="Z279" s="331"/>
      <c r="AA279" s="110"/>
      <c r="AB279" s="358"/>
      <c r="AC279" s="330"/>
      <c r="AD279" s="110"/>
      <c r="AE279" s="110"/>
      <c r="AF279" s="110"/>
      <c r="AG279" s="110"/>
      <c r="AH279" s="110"/>
      <c r="AI279" s="110"/>
    </row>
    <row r="280" spans="1:35" ht="13.5" customHeight="1">
      <c r="A280" s="4"/>
      <c r="B280" s="15" t="s">
        <v>2156</v>
      </c>
      <c r="C280" s="260" t="s">
        <v>4332</v>
      </c>
      <c r="D280" s="254">
        <f>SUMIF(GL!$D$5:$D$6505,B280,GL!$G$5:$G$6505)</f>
        <v>1</v>
      </c>
      <c r="E280" s="341">
        <f>SUMIF(GL!$D$6:$D$6487,B280,GL!$H$6:$H$6487)</f>
        <v>35000</v>
      </c>
      <c r="F280" s="341">
        <f>SUMIF(GL!$D$6:$D$6487,B280,GL!$I$6:$I$6487)</f>
        <v>0</v>
      </c>
      <c r="G280" s="341"/>
      <c r="H280" s="341"/>
      <c r="I280" s="341">
        <f t="shared" si="66"/>
        <v>35000</v>
      </c>
      <c r="J280" s="341">
        <f t="shared" si="67"/>
        <v>0</v>
      </c>
      <c r="K280" s="341"/>
      <c r="L280" s="342"/>
      <c r="M280" s="342"/>
      <c r="N280" s="341">
        <f t="shared" si="61"/>
        <v>35000</v>
      </c>
      <c r="O280" s="341">
        <f t="shared" si="62"/>
        <v>0</v>
      </c>
      <c r="P280" s="341">
        <f>SUMIF(GL!$D$6488:$D$6532,B280,GL!$H$6488:$H$6532)</f>
        <v>0</v>
      </c>
      <c r="Q280" s="341">
        <f>SUMIF(GL!$D$6408:$D$6452,B280,GL!$I$6408:$I$6452)</f>
        <v>0</v>
      </c>
      <c r="R280" s="341">
        <f t="shared" ref="R280:S280" si="303">P280+N280</f>
        <v>35000</v>
      </c>
      <c r="S280" s="341">
        <f t="shared" si="303"/>
        <v>0</v>
      </c>
      <c r="T280" s="340"/>
      <c r="U280" s="340"/>
      <c r="V280" s="340"/>
      <c r="W280" s="340"/>
      <c r="X280" s="341">
        <f t="shared" si="64"/>
        <v>35000</v>
      </c>
      <c r="Y280" s="341">
        <f t="shared" si="65"/>
        <v>0</v>
      </c>
      <c r="Z280" s="331"/>
      <c r="AA280" s="110"/>
      <c r="AB280" s="358"/>
      <c r="AC280" s="330"/>
      <c r="AD280" s="110"/>
      <c r="AE280" s="110"/>
      <c r="AF280" s="110"/>
      <c r="AG280" s="110"/>
      <c r="AH280" s="110"/>
      <c r="AI280" s="110"/>
    </row>
    <row r="281" spans="1:35" ht="13.5" customHeight="1">
      <c r="A281" s="4"/>
      <c r="B281" s="15" t="s">
        <v>4333</v>
      </c>
      <c r="C281" s="260" t="s">
        <v>4334</v>
      </c>
      <c r="D281" s="254">
        <f>SUMIF(GL!$D$5:$D$6505,B281,GL!$G$5:$G$6505)</f>
        <v>0</v>
      </c>
      <c r="E281" s="341">
        <f>SUMIF(GL!$D$6:$D$6487,B281,GL!$H$6:$H$6487)</f>
        <v>0</v>
      </c>
      <c r="F281" s="341">
        <f>SUMIF(GL!$D$6:$D$6487,B281,GL!$I$6:$I$6487)</f>
        <v>0</v>
      </c>
      <c r="G281" s="341"/>
      <c r="H281" s="341"/>
      <c r="I281" s="341">
        <f t="shared" si="66"/>
        <v>0</v>
      </c>
      <c r="J281" s="341">
        <f t="shared" si="67"/>
        <v>0</v>
      </c>
      <c r="K281" s="341"/>
      <c r="L281" s="342"/>
      <c r="M281" s="342"/>
      <c r="N281" s="341">
        <f t="shared" si="61"/>
        <v>0</v>
      </c>
      <c r="O281" s="341">
        <f t="shared" si="62"/>
        <v>0</v>
      </c>
      <c r="P281" s="341">
        <f>SUMIF(GL!$D$6488:$D$6532,B281,GL!$H$6488:$H$6532)</f>
        <v>0</v>
      </c>
      <c r="Q281" s="341">
        <f>SUMIF(GL!$D$6408:$D$6452,B281,GL!$I$6408:$I$6452)</f>
        <v>0</v>
      </c>
      <c r="R281" s="341">
        <f t="shared" ref="R281:S281" si="304">P281+N281</f>
        <v>0</v>
      </c>
      <c r="S281" s="341">
        <f t="shared" si="304"/>
        <v>0</v>
      </c>
      <c r="T281" s="340"/>
      <c r="U281" s="340"/>
      <c r="V281" s="340"/>
      <c r="W281" s="340"/>
      <c r="X281" s="341">
        <f t="shared" si="64"/>
        <v>0</v>
      </c>
      <c r="Y281" s="341">
        <f t="shared" si="65"/>
        <v>0</v>
      </c>
      <c r="Z281" s="331"/>
      <c r="AA281" s="110"/>
      <c r="AB281" s="358"/>
      <c r="AC281" s="330"/>
      <c r="AD281" s="110"/>
      <c r="AE281" s="110"/>
      <c r="AF281" s="110"/>
      <c r="AG281" s="110"/>
      <c r="AH281" s="110"/>
      <c r="AI281" s="110"/>
    </row>
    <row r="282" spans="1:35" ht="13.5" customHeight="1">
      <c r="A282" s="4"/>
      <c r="B282" s="15" t="s">
        <v>4335</v>
      </c>
      <c r="C282" s="260" t="s">
        <v>4336</v>
      </c>
      <c r="D282" s="254">
        <f>SUMIF(GL!$D$5:$D$6505,B282,GL!$G$5:$G$6505)</f>
        <v>0</v>
      </c>
      <c r="E282" s="341">
        <f>SUMIF(GL!$D$6:$D$6487,B282,GL!$H$6:$H$6487)</f>
        <v>0</v>
      </c>
      <c r="F282" s="341">
        <f>SUMIF(GL!$D$6:$D$6487,B282,GL!$I$6:$I$6487)</f>
        <v>0</v>
      </c>
      <c r="G282" s="341"/>
      <c r="H282" s="341"/>
      <c r="I282" s="341">
        <f t="shared" si="66"/>
        <v>0</v>
      </c>
      <c r="J282" s="341">
        <f t="shared" si="67"/>
        <v>0</v>
      </c>
      <c r="K282" s="341"/>
      <c r="L282" s="342"/>
      <c r="M282" s="342"/>
      <c r="N282" s="341">
        <f t="shared" si="61"/>
        <v>0</v>
      </c>
      <c r="O282" s="341">
        <f t="shared" si="62"/>
        <v>0</v>
      </c>
      <c r="P282" s="341">
        <f>SUMIF(GL!$D$6488:$D$6532,B282,GL!$H$6488:$H$6532)</f>
        <v>0</v>
      </c>
      <c r="Q282" s="341">
        <f>SUMIF(GL!$D$6408:$D$6452,B282,GL!$I$6408:$I$6452)</f>
        <v>0</v>
      </c>
      <c r="R282" s="341">
        <f t="shared" ref="R282:S282" si="305">P282+N282</f>
        <v>0</v>
      </c>
      <c r="S282" s="341">
        <f t="shared" si="305"/>
        <v>0</v>
      </c>
      <c r="T282" s="340"/>
      <c r="U282" s="340"/>
      <c r="V282" s="340"/>
      <c r="W282" s="340"/>
      <c r="X282" s="341">
        <f t="shared" si="64"/>
        <v>0</v>
      </c>
      <c r="Y282" s="341">
        <f t="shared" si="65"/>
        <v>0</v>
      </c>
      <c r="Z282" s="331"/>
      <c r="AA282" s="110"/>
      <c r="AB282" s="358"/>
      <c r="AC282" s="330"/>
      <c r="AD282" s="110"/>
      <c r="AE282" s="110"/>
      <c r="AF282" s="110"/>
      <c r="AG282" s="110"/>
      <c r="AH282" s="110"/>
      <c r="AI282" s="110"/>
    </row>
    <row r="283" spans="1:35" ht="13.5" customHeight="1">
      <c r="A283" s="4"/>
      <c r="B283" s="15" t="s">
        <v>4337</v>
      </c>
      <c r="C283" s="260" t="s">
        <v>4338</v>
      </c>
      <c r="D283" s="254">
        <f>SUMIF(GL!$D$5:$D$6505,B283,GL!$G$5:$G$6505)</f>
        <v>0</v>
      </c>
      <c r="E283" s="341">
        <f>SUMIF(GL!$D$6:$D$6487,B283,GL!$H$6:$H$6487)</f>
        <v>0</v>
      </c>
      <c r="F283" s="341">
        <f>SUMIF(GL!$D$6:$D$6487,B283,GL!$I$6:$I$6487)</f>
        <v>0</v>
      </c>
      <c r="G283" s="341"/>
      <c r="H283" s="341"/>
      <c r="I283" s="341">
        <f t="shared" si="66"/>
        <v>0</v>
      </c>
      <c r="J283" s="341">
        <f t="shared" si="67"/>
        <v>0</v>
      </c>
      <c r="K283" s="341"/>
      <c r="L283" s="342"/>
      <c r="M283" s="342"/>
      <c r="N283" s="341">
        <f t="shared" si="61"/>
        <v>0</v>
      </c>
      <c r="O283" s="341">
        <f t="shared" si="62"/>
        <v>0</v>
      </c>
      <c r="P283" s="341">
        <f>SUMIF(GL!$D$6488:$D$6532,B283,GL!$H$6488:$H$6532)</f>
        <v>0</v>
      </c>
      <c r="Q283" s="341">
        <f>SUMIF(GL!$D$6408:$D$6452,B283,GL!$I$6408:$I$6452)</f>
        <v>0</v>
      </c>
      <c r="R283" s="341">
        <f t="shared" ref="R283:S283" si="306">P283+N283</f>
        <v>0</v>
      </c>
      <c r="S283" s="341">
        <f t="shared" si="306"/>
        <v>0</v>
      </c>
      <c r="T283" s="340"/>
      <c r="U283" s="340"/>
      <c r="V283" s="340"/>
      <c r="W283" s="340"/>
      <c r="X283" s="341">
        <f t="shared" si="64"/>
        <v>0</v>
      </c>
      <c r="Y283" s="341">
        <f t="shared" si="65"/>
        <v>0</v>
      </c>
      <c r="Z283" s="331"/>
      <c r="AA283" s="110"/>
      <c r="AB283" s="358"/>
      <c r="AC283" s="330"/>
      <c r="AD283" s="110"/>
      <c r="AE283" s="110"/>
      <c r="AF283" s="110"/>
      <c r="AG283" s="110"/>
      <c r="AH283" s="110"/>
      <c r="AI283" s="110"/>
    </row>
    <row r="284" spans="1:35" ht="13.5" customHeight="1">
      <c r="A284" s="4"/>
      <c r="B284" s="15" t="s">
        <v>4339</v>
      </c>
      <c r="C284" s="340" t="s">
        <v>4340</v>
      </c>
      <c r="D284" s="254">
        <f>SUMIF(GL!$D$5:$D$6505,B284,GL!$G$5:$G$6505)</f>
        <v>0</v>
      </c>
      <c r="E284" s="341">
        <f>SUMIF(GL!$D$6:$D$6487,B284,GL!$H$6:$H$6487)</f>
        <v>0</v>
      </c>
      <c r="F284" s="341">
        <f>SUMIF(GL!$D$6:$D$6487,B284,GL!$I$6:$I$6487)</f>
        <v>0</v>
      </c>
      <c r="G284" s="341"/>
      <c r="H284" s="341"/>
      <c r="I284" s="341">
        <f t="shared" si="66"/>
        <v>0</v>
      </c>
      <c r="J284" s="341">
        <f t="shared" si="67"/>
        <v>0</v>
      </c>
      <c r="K284" s="341"/>
      <c r="L284" s="342"/>
      <c r="M284" s="342"/>
      <c r="N284" s="341">
        <f t="shared" si="61"/>
        <v>0</v>
      </c>
      <c r="O284" s="341">
        <f t="shared" si="62"/>
        <v>0</v>
      </c>
      <c r="P284" s="341">
        <f>SUMIF(GL!$D$6488:$D$6532,B284,GL!$H$6488:$H$6532)</f>
        <v>0</v>
      </c>
      <c r="Q284" s="341">
        <f>SUMIF(GL!$D$6408:$D$6452,B284,GL!$I$6408:$I$6452)</f>
        <v>0</v>
      </c>
      <c r="R284" s="341">
        <f t="shared" ref="R284:S284" si="307">P284+N284</f>
        <v>0</v>
      </c>
      <c r="S284" s="341">
        <f t="shared" si="307"/>
        <v>0</v>
      </c>
      <c r="T284" s="340"/>
      <c r="U284" s="340"/>
      <c r="V284" s="340"/>
      <c r="W284" s="340"/>
      <c r="X284" s="341">
        <f t="shared" si="64"/>
        <v>0</v>
      </c>
      <c r="Y284" s="341">
        <f t="shared" si="65"/>
        <v>0</v>
      </c>
      <c r="Z284" s="331"/>
      <c r="AA284" s="110"/>
      <c r="AB284" s="358"/>
      <c r="AC284" s="330"/>
      <c r="AD284" s="110"/>
      <c r="AE284" s="110"/>
      <c r="AF284" s="110"/>
      <c r="AG284" s="110"/>
      <c r="AH284" s="110"/>
      <c r="AI284" s="110"/>
    </row>
    <row r="285" spans="1:35" ht="13.5" customHeight="1">
      <c r="A285" s="4"/>
      <c r="B285" s="15" t="s">
        <v>2937</v>
      </c>
      <c r="C285" s="340" t="s">
        <v>4341</v>
      </c>
      <c r="D285" s="254">
        <f>SUMIF(GL!$D$5:$D$6505,B285,GL!$G$5:$G$6505)</f>
        <v>10</v>
      </c>
      <c r="E285" s="341">
        <f>SUMIF(GL!$D$6:$D$6487,B285,GL!$H$6:$H$6487)</f>
        <v>165000</v>
      </c>
      <c r="F285" s="341">
        <f>SUMIF(GL!$D$6:$D$6487,B285,GL!$I$6:$I$6487)</f>
        <v>0</v>
      </c>
      <c r="G285" s="341"/>
      <c r="H285" s="341"/>
      <c r="I285" s="341">
        <f t="shared" si="66"/>
        <v>165000</v>
      </c>
      <c r="J285" s="341">
        <f t="shared" si="67"/>
        <v>0</v>
      </c>
      <c r="K285" s="341"/>
      <c r="L285" s="342"/>
      <c r="M285" s="342"/>
      <c r="N285" s="341">
        <f t="shared" si="61"/>
        <v>165000</v>
      </c>
      <c r="O285" s="341">
        <f t="shared" si="62"/>
        <v>0</v>
      </c>
      <c r="P285" s="341">
        <f>SUMIF(GL!$D$6488:$D$6532,B285,GL!$H$6488:$H$6532)</f>
        <v>0</v>
      </c>
      <c r="Q285" s="341">
        <f>SUMIF(GL!$D$6408:$D$6452,B285,GL!$I$6408:$I$6452)</f>
        <v>0</v>
      </c>
      <c r="R285" s="341">
        <f t="shared" ref="R285:S285" si="308">P285+N285</f>
        <v>165000</v>
      </c>
      <c r="S285" s="341">
        <f t="shared" si="308"/>
        <v>0</v>
      </c>
      <c r="T285" s="340"/>
      <c r="U285" s="340"/>
      <c r="V285" s="340"/>
      <c r="W285" s="340"/>
      <c r="X285" s="341">
        <f t="shared" si="64"/>
        <v>165000</v>
      </c>
      <c r="Y285" s="341">
        <f t="shared" si="65"/>
        <v>0</v>
      </c>
      <c r="Z285" s="331"/>
      <c r="AA285" s="110"/>
      <c r="AB285" s="358"/>
      <c r="AC285" s="330"/>
      <c r="AD285" s="110"/>
      <c r="AE285" s="110"/>
      <c r="AF285" s="110"/>
      <c r="AG285" s="110"/>
      <c r="AH285" s="110"/>
      <c r="AI285" s="110"/>
    </row>
    <row r="286" spans="1:35" ht="13.5" customHeight="1">
      <c r="A286" s="4"/>
      <c r="B286" s="15" t="s">
        <v>4342</v>
      </c>
      <c r="C286" s="340" t="s">
        <v>4343</v>
      </c>
      <c r="D286" s="254">
        <f>SUMIF(GL!$D$5:$D$6505,B286,GL!$G$5:$G$6505)</f>
        <v>0</v>
      </c>
      <c r="E286" s="341">
        <f>SUMIF(GL!$D$6:$D$6487,B286,GL!$H$6:$H$6487)</f>
        <v>0</v>
      </c>
      <c r="F286" s="341">
        <f>SUMIF(GL!$D$6:$D$6487,B286,GL!$I$6:$I$6487)</f>
        <v>0</v>
      </c>
      <c r="G286" s="341"/>
      <c r="H286" s="341"/>
      <c r="I286" s="341">
        <f t="shared" si="66"/>
        <v>0</v>
      </c>
      <c r="J286" s="341">
        <f t="shared" si="67"/>
        <v>0</v>
      </c>
      <c r="K286" s="341"/>
      <c r="L286" s="342"/>
      <c r="M286" s="342"/>
      <c r="N286" s="341">
        <f t="shared" si="61"/>
        <v>0</v>
      </c>
      <c r="O286" s="341">
        <f t="shared" si="62"/>
        <v>0</v>
      </c>
      <c r="P286" s="341">
        <f>SUMIF(GL!$D$6488:$D$6532,B286,GL!$H$6488:$H$6532)</f>
        <v>0</v>
      </c>
      <c r="Q286" s="341">
        <f>SUMIF(GL!$D$6408:$D$6452,B286,GL!$I$6408:$I$6452)</f>
        <v>0</v>
      </c>
      <c r="R286" s="341">
        <f t="shared" ref="R286:S286" si="309">P286+N286</f>
        <v>0</v>
      </c>
      <c r="S286" s="341">
        <f t="shared" si="309"/>
        <v>0</v>
      </c>
      <c r="T286" s="340"/>
      <c r="U286" s="340"/>
      <c r="V286" s="340"/>
      <c r="W286" s="340"/>
      <c r="X286" s="341">
        <f t="shared" si="64"/>
        <v>0</v>
      </c>
      <c r="Y286" s="341">
        <f t="shared" si="65"/>
        <v>0</v>
      </c>
      <c r="Z286" s="331"/>
      <c r="AA286" s="110"/>
      <c r="AB286" s="358"/>
      <c r="AC286" s="330"/>
      <c r="AD286" s="110"/>
      <c r="AE286" s="110"/>
      <c r="AF286" s="110"/>
      <c r="AG286" s="110"/>
      <c r="AH286" s="110"/>
      <c r="AI286" s="110"/>
    </row>
    <row r="287" spans="1:35" ht="13.5" customHeight="1">
      <c r="A287" s="4"/>
      <c r="B287" s="15" t="s">
        <v>2791</v>
      </c>
      <c r="C287" s="340" t="s">
        <v>4344</v>
      </c>
      <c r="D287" s="254">
        <f>SUMIF(GL!$D$5:$D$6505,B287,GL!$G$5:$G$6505)</f>
        <v>4.2</v>
      </c>
      <c r="E287" s="341">
        <f>SUMIF(GL!$D$6:$D$6487,B287,GL!$H$6:$H$6487)</f>
        <v>305250</v>
      </c>
      <c r="F287" s="341">
        <f>SUMIF(GL!$D$6:$D$6487,B287,GL!$I$6:$I$6487)</f>
        <v>0</v>
      </c>
      <c r="G287" s="341"/>
      <c r="H287" s="341"/>
      <c r="I287" s="341">
        <f t="shared" si="66"/>
        <v>305250</v>
      </c>
      <c r="J287" s="341">
        <f t="shared" si="67"/>
        <v>0</v>
      </c>
      <c r="K287" s="341"/>
      <c r="L287" s="342"/>
      <c r="M287" s="342"/>
      <c r="N287" s="341">
        <f t="shared" si="61"/>
        <v>305250</v>
      </c>
      <c r="O287" s="341">
        <f t="shared" si="62"/>
        <v>0</v>
      </c>
      <c r="P287" s="341">
        <f>SUMIF(GL!$D$6488:$D$6532,B287,GL!$H$6488:$H$6532)</f>
        <v>0</v>
      </c>
      <c r="Q287" s="341">
        <f>SUMIF(GL!$D$6408:$D$6452,B287,GL!$I$6408:$I$6452)</f>
        <v>0</v>
      </c>
      <c r="R287" s="341">
        <f t="shared" ref="R287:S287" si="310">P287+N287</f>
        <v>305250</v>
      </c>
      <c r="S287" s="341">
        <f t="shared" si="310"/>
        <v>0</v>
      </c>
      <c r="T287" s="340"/>
      <c r="U287" s="340"/>
      <c r="V287" s="340"/>
      <c r="W287" s="340"/>
      <c r="X287" s="341">
        <f t="shared" si="64"/>
        <v>305250</v>
      </c>
      <c r="Y287" s="341">
        <f t="shared" si="65"/>
        <v>0</v>
      </c>
      <c r="Z287" s="331"/>
      <c r="AA287" s="110"/>
      <c r="AB287" s="4"/>
      <c r="AC287" s="330"/>
      <c r="AD287" s="110"/>
      <c r="AE287" s="110"/>
      <c r="AF287" s="110"/>
      <c r="AG287" s="110"/>
      <c r="AH287" s="110"/>
      <c r="AI287" s="110"/>
    </row>
    <row r="288" spans="1:35" ht="13.5" customHeight="1">
      <c r="A288" s="4"/>
      <c r="B288" s="15" t="s">
        <v>4345</v>
      </c>
      <c r="C288" s="340" t="s">
        <v>4346</v>
      </c>
      <c r="D288" s="254">
        <f>SUMIF(GL!$D$5:$D$6505,B288,GL!$G$5:$G$6505)</f>
        <v>0</v>
      </c>
      <c r="E288" s="341">
        <f>SUMIF(GL!$D$6:$D$6487,B288,GL!$H$6:$H$6487)</f>
        <v>0</v>
      </c>
      <c r="F288" s="341">
        <f>SUMIF(GL!$D$6:$D$6487,B288,GL!$I$6:$I$6487)</f>
        <v>0</v>
      </c>
      <c r="G288" s="341"/>
      <c r="H288" s="341"/>
      <c r="I288" s="341">
        <f t="shared" si="66"/>
        <v>0</v>
      </c>
      <c r="J288" s="341">
        <f t="shared" si="67"/>
        <v>0</v>
      </c>
      <c r="K288" s="341"/>
      <c r="L288" s="342"/>
      <c r="M288" s="342"/>
      <c r="N288" s="341">
        <f t="shared" si="61"/>
        <v>0</v>
      </c>
      <c r="O288" s="341">
        <f t="shared" si="62"/>
        <v>0</v>
      </c>
      <c r="P288" s="341">
        <f>SUMIF(GL!$D$6488:$D$6532,B288,GL!$H$6488:$H$6532)</f>
        <v>0</v>
      </c>
      <c r="Q288" s="341">
        <f>SUMIF(GL!$D$6408:$D$6452,B288,GL!$I$6408:$I$6452)</f>
        <v>0</v>
      </c>
      <c r="R288" s="341">
        <f t="shared" ref="R288:S288" si="311">P288+N288</f>
        <v>0</v>
      </c>
      <c r="S288" s="341">
        <f t="shared" si="311"/>
        <v>0</v>
      </c>
      <c r="T288" s="340"/>
      <c r="U288" s="340"/>
      <c r="V288" s="340"/>
      <c r="W288" s="340"/>
      <c r="X288" s="341">
        <f t="shared" si="64"/>
        <v>0</v>
      </c>
      <c r="Y288" s="341">
        <f t="shared" si="65"/>
        <v>0</v>
      </c>
      <c r="Z288" s="331"/>
      <c r="AA288" s="110"/>
      <c r="AB288" s="358"/>
      <c r="AC288" s="330"/>
      <c r="AD288" s="110"/>
      <c r="AE288" s="110"/>
      <c r="AF288" s="110"/>
      <c r="AG288" s="110"/>
      <c r="AH288" s="110"/>
      <c r="AI288" s="110"/>
    </row>
    <row r="289" spans="1:35" ht="13.5" customHeight="1">
      <c r="A289" s="4"/>
      <c r="B289" s="15" t="s">
        <v>4347</v>
      </c>
      <c r="C289" s="340" t="s">
        <v>4348</v>
      </c>
      <c r="D289" s="254">
        <f>SUMIF(GL!$D$5:$D$6505,B289,GL!$G$5:$G$6505)</f>
        <v>0</v>
      </c>
      <c r="E289" s="341">
        <f>SUMIF(GL!$D$6:$D$6487,B289,GL!$H$6:$H$6487)</f>
        <v>0</v>
      </c>
      <c r="F289" s="341">
        <f>SUMIF(GL!$D$6:$D$6487,B289,GL!$I$6:$I$6487)</f>
        <v>0</v>
      </c>
      <c r="G289" s="341"/>
      <c r="H289" s="341"/>
      <c r="I289" s="341">
        <f t="shared" si="66"/>
        <v>0</v>
      </c>
      <c r="J289" s="341">
        <f t="shared" si="67"/>
        <v>0</v>
      </c>
      <c r="K289" s="341"/>
      <c r="L289" s="342"/>
      <c r="M289" s="342"/>
      <c r="N289" s="341">
        <f t="shared" si="61"/>
        <v>0</v>
      </c>
      <c r="O289" s="341">
        <f t="shared" si="62"/>
        <v>0</v>
      </c>
      <c r="P289" s="341">
        <f>SUMIF(GL!$D$6488:$D$6532,B289,GL!$H$6488:$H$6532)</f>
        <v>0</v>
      </c>
      <c r="Q289" s="341">
        <f>SUMIF(GL!$D$6408:$D$6452,B289,GL!$I$6408:$I$6452)</f>
        <v>0</v>
      </c>
      <c r="R289" s="341">
        <f t="shared" ref="R289:S289" si="312">P289+N289</f>
        <v>0</v>
      </c>
      <c r="S289" s="341">
        <f t="shared" si="312"/>
        <v>0</v>
      </c>
      <c r="T289" s="340"/>
      <c r="U289" s="340"/>
      <c r="V289" s="340"/>
      <c r="W289" s="340"/>
      <c r="X289" s="341">
        <f t="shared" si="64"/>
        <v>0</v>
      </c>
      <c r="Y289" s="341">
        <f t="shared" si="65"/>
        <v>0</v>
      </c>
      <c r="Z289" s="331"/>
      <c r="AA289" s="110"/>
      <c r="AB289" s="358"/>
      <c r="AC289" s="330"/>
      <c r="AD289" s="110"/>
      <c r="AE289" s="110"/>
      <c r="AF289" s="110"/>
      <c r="AG289" s="110"/>
      <c r="AH289" s="110"/>
      <c r="AI289" s="110"/>
    </row>
    <row r="290" spans="1:35" ht="13.5" customHeight="1">
      <c r="A290" s="4"/>
      <c r="B290" s="15" t="s">
        <v>2146</v>
      </c>
      <c r="C290" s="340" t="s">
        <v>4349</v>
      </c>
      <c r="D290" s="254">
        <f>SUMIF(GL!$D$5:$D$6505,B290,GL!$G$5:$G$6505)</f>
        <v>14</v>
      </c>
      <c r="E290" s="341">
        <f>SUMIF(GL!$D$6:$D$6487,B290,GL!$H$6:$H$6487)</f>
        <v>269000</v>
      </c>
      <c r="F290" s="341">
        <f>SUMIF(GL!$D$6:$D$6487,B290,GL!$I$6:$I$6487)</f>
        <v>0</v>
      </c>
      <c r="G290" s="341"/>
      <c r="H290" s="341"/>
      <c r="I290" s="341">
        <f t="shared" si="66"/>
        <v>269000</v>
      </c>
      <c r="J290" s="341">
        <f t="shared" si="67"/>
        <v>0</v>
      </c>
      <c r="K290" s="341"/>
      <c r="L290" s="342"/>
      <c r="M290" s="342"/>
      <c r="N290" s="341">
        <f t="shared" si="61"/>
        <v>269000</v>
      </c>
      <c r="O290" s="341">
        <f t="shared" si="62"/>
        <v>0</v>
      </c>
      <c r="P290" s="341">
        <f>SUMIF(GL!$D$6488:$D$6532,B290,GL!$H$6488:$H$6532)</f>
        <v>0</v>
      </c>
      <c r="Q290" s="341">
        <f>SUMIF(GL!$D$6408:$D$6452,B290,GL!$I$6408:$I$6452)</f>
        <v>0</v>
      </c>
      <c r="R290" s="341">
        <f t="shared" ref="R290:S290" si="313">P290+N290</f>
        <v>269000</v>
      </c>
      <c r="S290" s="341">
        <f t="shared" si="313"/>
        <v>0</v>
      </c>
      <c r="T290" s="340"/>
      <c r="U290" s="340"/>
      <c r="V290" s="340"/>
      <c r="W290" s="340"/>
      <c r="X290" s="341">
        <f t="shared" si="64"/>
        <v>269000</v>
      </c>
      <c r="Y290" s="341">
        <f t="shared" si="65"/>
        <v>0</v>
      </c>
      <c r="Z290" s="331"/>
      <c r="AA290" s="110"/>
      <c r="AB290" s="358"/>
      <c r="AC290" s="330"/>
      <c r="AD290" s="110"/>
      <c r="AE290" s="110"/>
      <c r="AF290" s="110"/>
      <c r="AG290" s="110"/>
      <c r="AH290" s="110"/>
      <c r="AI290" s="110"/>
    </row>
    <row r="291" spans="1:35" ht="13.5" customHeight="1">
      <c r="A291" s="4"/>
      <c r="B291" s="15" t="s">
        <v>4350</v>
      </c>
      <c r="C291" s="340" t="s">
        <v>4351</v>
      </c>
      <c r="D291" s="254">
        <f>SUMIF(GL!$D$5:$D$6505,B291,GL!$G$5:$G$6505)</f>
        <v>0</v>
      </c>
      <c r="E291" s="341">
        <f>SUMIF(GL!$D$6:$D$6487,B291,GL!$H$6:$H$6487)</f>
        <v>0</v>
      </c>
      <c r="F291" s="341">
        <f>SUMIF(GL!$D$6:$D$6487,B291,GL!$I$6:$I$6487)</f>
        <v>0</v>
      </c>
      <c r="G291" s="341"/>
      <c r="H291" s="341"/>
      <c r="I291" s="341">
        <f t="shared" si="66"/>
        <v>0</v>
      </c>
      <c r="J291" s="341">
        <f t="shared" si="67"/>
        <v>0</v>
      </c>
      <c r="K291" s="341"/>
      <c r="L291" s="342"/>
      <c r="M291" s="342"/>
      <c r="N291" s="341">
        <f t="shared" si="61"/>
        <v>0</v>
      </c>
      <c r="O291" s="341">
        <f t="shared" si="62"/>
        <v>0</v>
      </c>
      <c r="P291" s="341">
        <f>SUMIF(GL!$D$6488:$D$6532,B291,GL!$H$6488:$H$6532)</f>
        <v>0</v>
      </c>
      <c r="Q291" s="341">
        <f>SUMIF(GL!$D$6408:$D$6452,B291,GL!$I$6408:$I$6452)</f>
        <v>0</v>
      </c>
      <c r="R291" s="341">
        <f t="shared" ref="R291:S291" si="314">P291+N291</f>
        <v>0</v>
      </c>
      <c r="S291" s="341">
        <f t="shared" si="314"/>
        <v>0</v>
      </c>
      <c r="T291" s="340"/>
      <c r="U291" s="340"/>
      <c r="V291" s="340"/>
      <c r="W291" s="340"/>
      <c r="X291" s="341">
        <f t="shared" si="64"/>
        <v>0</v>
      </c>
      <c r="Y291" s="341">
        <f t="shared" si="65"/>
        <v>0</v>
      </c>
      <c r="Z291" s="331"/>
      <c r="AA291" s="110"/>
      <c r="AB291" s="358"/>
      <c r="AC291" s="330"/>
      <c r="AD291" s="110"/>
      <c r="AE291" s="110"/>
      <c r="AF291" s="110"/>
      <c r="AG291" s="110"/>
      <c r="AH291" s="110"/>
      <c r="AI291" s="110"/>
    </row>
    <row r="292" spans="1:35" ht="13.5" customHeight="1">
      <c r="A292" s="4"/>
      <c r="B292" s="15" t="s">
        <v>4352</v>
      </c>
      <c r="C292" s="340" t="s">
        <v>4353</v>
      </c>
      <c r="D292" s="254">
        <f>SUMIF(GL!$D$5:$D$6505,B292,GL!$G$5:$G$6505)</f>
        <v>0</v>
      </c>
      <c r="E292" s="341">
        <f>SUMIF(GL!$D$6:$D$6487,B292,GL!$H$6:$H$6487)</f>
        <v>0</v>
      </c>
      <c r="F292" s="341">
        <f>SUMIF(GL!$D$6:$D$6487,B292,GL!$I$6:$I$6487)</f>
        <v>0</v>
      </c>
      <c r="G292" s="341"/>
      <c r="H292" s="341"/>
      <c r="I292" s="341">
        <f t="shared" si="66"/>
        <v>0</v>
      </c>
      <c r="J292" s="341">
        <f t="shared" si="67"/>
        <v>0</v>
      </c>
      <c r="K292" s="341"/>
      <c r="L292" s="342"/>
      <c r="M292" s="342"/>
      <c r="N292" s="341">
        <f t="shared" si="61"/>
        <v>0</v>
      </c>
      <c r="O292" s="341">
        <f t="shared" si="62"/>
        <v>0</v>
      </c>
      <c r="P292" s="341">
        <f>SUMIF(GL!$D$6488:$D$6532,B292,GL!$H$6488:$H$6532)</f>
        <v>0</v>
      </c>
      <c r="Q292" s="341">
        <f>SUMIF(GL!$D$6408:$D$6452,B292,GL!$I$6408:$I$6452)</f>
        <v>0</v>
      </c>
      <c r="R292" s="341">
        <f t="shared" ref="R292:S292" si="315">P292+N292</f>
        <v>0</v>
      </c>
      <c r="S292" s="341">
        <f t="shared" si="315"/>
        <v>0</v>
      </c>
      <c r="T292" s="340"/>
      <c r="U292" s="340"/>
      <c r="V292" s="340"/>
      <c r="W292" s="340"/>
      <c r="X292" s="341">
        <f t="shared" si="64"/>
        <v>0</v>
      </c>
      <c r="Y292" s="341">
        <f t="shared" si="65"/>
        <v>0</v>
      </c>
      <c r="Z292" s="331"/>
      <c r="AA292" s="110"/>
      <c r="AB292" s="358"/>
      <c r="AC292" s="330"/>
      <c r="AD292" s="110"/>
      <c r="AE292" s="110"/>
      <c r="AF292" s="110"/>
      <c r="AG292" s="110"/>
      <c r="AH292" s="110"/>
      <c r="AI292" s="110"/>
    </row>
    <row r="293" spans="1:35" ht="13.5" customHeight="1">
      <c r="A293" s="4"/>
      <c r="B293" s="15" t="s">
        <v>2651</v>
      </c>
      <c r="C293" s="340" t="s">
        <v>4354</v>
      </c>
      <c r="D293" s="254">
        <f>SUMIF(GL!$D$5:$D$6505,B293,GL!$G$5:$G$6505)</f>
        <v>6.08</v>
      </c>
      <c r="E293" s="341">
        <f>SUMIF(GL!$D$6:$D$6487,B293,GL!$H$6:$H$6487)</f>
        <v>1822176</v>
      </c>
      <c r="F293" s="341">
        <f>SUMIF(GL!$D$6:$D$6487,B293,GL!$I$6:$I$6487)</f>
        <v>0</v>
      </c>
      <c r="G293" s="341"/>
      <c r="H293" s="341"/>
      <c r="I293" s="341">
        <f t="shared" si="66"/>
        <v>1822176</v>
      </c>
      <c r="J293" s="341">
        <f t="shared" si="67"/>
        <v>0</v>
      </c>
      <c r="K293" s="341"/>
      <c r="L293" s="342"/>
      <c r="M293" s="342"/>
      <c r="N293" s="341">
        <f t="shared" si="61"/>
        <v>1822176</v>
      </c>
      <c r="O293" s="341">
        <f t="shared" si="62"/>
        <v>0</v>
      </c>
      <c r="P293" s="341">
        <f>SUMIF(GL!$D$6488:$D$6532,B293,GL!$H$6488:$H$6532)</f>
        <v>0</v>
      </c>
      <c r="Q293" s="341">
        <f>SUMIF(GL!$D$6408:$D$6452,B293,GL!$I$6408:$I$6452)</f>
        <v>0</v>
      </c>
      <c r="R293" s="341">
        <f t="shared" ref="R293:S293" si="316">P293+N293</f>
        <v>1822176</v>
      </c>
      <c r="S293" s="341">
        <f t="shared" si="316"/>
        <v>0</v>
      </c>
      <c r="T293" s="340"/>
      <c r="U293" s="340"/>
      <c r="V293" s="340"/>
      <c r="W293" s="340"/>
      <c r="X293" s="341">
        <f t="shared" si="64"/>
        <v>1822176</v>
      </c>
      <c r="Y293" s="341">
        <f t="shared" si="65"/>
        <v>0</v>
      </c>
      <c r="Z293" s="331"/>
      <c r="AA293" s="110"/>
      <c r="AB293" s="358"/>
      <c r="AC293" s="330"/>
      <c r="AD293" s="110"/>
      <c r="AE293" s="110"/>
      <c r="AF293" s="110"/>
      <c r="AG293" s="110"/>
      <c r="AH293" s="110"/>
      <c r="AI293" s="110"/>
    </row>
    <row r="294" spans="1:35" ht="13.5" customHeight="1">
      <c r="A294" s="4"/>
      <c r="B294" s="15" t="s">
        <v>4355</v>
      </c>
      <c r="C294" s="340" t="s">
        <v>4356</v>
      </c>
      <c r="D294" s="254">
        <f>SUMIF(GL!$D$5:$D$6505,B294,GL!$G$5:$G$6505)</f>
        <v>0</v>
      </c>
      <c r="E294" s="341">
        <f>SUMIF(GL!$D$6:$D$6487,B294,GL!$H$6:$H$6487)</f>
        <v>0</v>
      </c>
      <c r="F294" s="341">
        <f>SUMIF(GL!$D$6:$D$6487,B294,GL!$I$6:$I$6487)</f>
        <v>0</v>
      </c>
      <c r="G294" s="341"/>
      <c r="H294" s="341"/>
      <c r="I294" s="341">
        <f t="shared" si="66"/>
        <v>0</v>
      </c>
      <c r="J294" s="341">
        <f t="shared" si="67"/>
        <v>0</v>
      </c>
      <c r="K294" s="341"/>
      <c r="L294" s="342"/>
      <c r="M294" s="342"/>
      <c r="N294" s="341">
        <f t="shared" si="61"/>
        <v>0</v>
      </c>
      <c r="O294" s="341">
        <f t="shared" si="62"/>
        <v>0</v>
      </c>
      <c r="P294" s="341">
        <f>SUMIF(GL!$D$6488:$D$6532,B294,GL!$H$6488:$H$6532)</f>
        <v>0</v>
      </c>
      <c r="Q294" s="341">
        <f>SUMIF(GL!$D$6408:$D$6452,B294,GL!$I$6408:$I$6452)</f>
        <v>0</v>
      </c>
      <c r="R294" s="341">
        <f t="shared" ref="R294:S294" si="317">P294+N294</f>
        <v>0</v>
      </c>
      <c r="S294" s="341">
        <f t="shared" si="317"/>
        <v>0</v>
      </c>
      <c r="T294" s="340"/>
      <c r="U294" s="340"/>
      <c r="V294" s="340"/>
      <c r="W294" s="340"/>
      <c r="X294" s="341">
        <f t="shared" si="64"/>
        <v>0</v>
      </c>
      <c r="Y294" s="341">
        <f t="shared" si="65"/>
        <v>0</v>
      </c>
      <c r="Z294" s="331"/>
      <c r="AA294" s="110"/>
      <c r="AB294" s="358"/>
      <c r="AC294" s="330"/>
      <c r="AD294" s="110"/>
      <c r="AE294" s="110"/>
      <c r="AF294" s="110"/>
      <c r="AG294" s="110"/>
      <c r="AH294" s="110"/>
      <c r="AI294" s="110"/>
    </row>
    <row r="295" spans="1:35" ht="13.5" customHeight="1">
      <c r="A295" s="4"/>
      <c r="B295" s="15" t="s">
        <v>4357</v>
      </c>
      <c r="C295" s="340" t="s">
        <v>4358</v>
      </c>
      <c r="D295" s="254">
        <f>SUMIF(GL!$D$5:$D$6505,B295,GL!$G$5:$G$6505)</f>
        <v>0</v>
      </c>
      <c r="E295" s="341">
        <f>SUMIF(GL!$D$6:$D$6487,B295,GL!$H$6:$H$6487)</f>
        <v>0</v>
      </c>
      <c r="F295" s="341">
        <f>SUMIF(GL!$D$6:$D$6487,B295,GL!$I$6:$I$6487)</f>
        <v>0</v>
      </c>
      <c r="G295" s="341"/>
      <c r="H295" s="341"/>
      <c r="I295" s="341">
        <f t="shared" si="66"/>
        <v>0</v>
      </c>
      <c r="J295" s="341">
        <f t="shared" si="67"/>
        <v>0</v>
      </c>
      <c r="K295" s="341"/>
      <c r="L295" s="342"/>
      <c r="M295" s="342"/>
      <c r="N295" s="341">
        <f t="shared" si="61"/>
        <v>0</v>
      </c>
      <c r="O295" s="341">
        <f t="shared" si="62"/>
        <v>0</v>
      </c>
      <c r="P295" s="341">
        <f>SUMIF(GL!$D$6488:$D$6532,B295,GL!$H$6488:$H$6532)</f>
        <v>0</v>
      </c>
      <c r="Q295" s="341">
        <f>SUMIF(GL!$D$6408:$D$6452,B295,GL!$I$6408:$I$6452)</f>
        <v>0</v>
      </c>
      <c r="R295" s="341">
        <f t="shared" ref="R295:S295" si="318">P295+N295</f>
        <v>0</v>
      </c>
      <c r="S295" s="341">
        <f t="shared" si="318"/>
        <v>0</v>
      </c>
      <c r="T295" s="340"/>
      <c r="U295" s="340"/>
      <c r="V295" s="340"/>
      <c r="W295" s="340"/>
      <c r="X295" s="341">
        <f t="shared" si="64"/>
        <v>0</v>
      </c>
      <c r="Y295" s="341">
        <f t="shared" si="65"/>
        <v>0</v>
      </c>
      <c r="Z295" s="331"/>
      <c r="AA295" s="110"/>
      <c r="AB295" s="358"/>
      <c r="AC295" s="330"/>
      <c r="AD295" s="110"/>
      <c r="AE295" s="110"/>
      <c r="AF295" s="110"/>
      <c r="AG295" s="110"/>
      <c r="AH295" s="110"/>
      <c r="AI295" s="110"/>
    </row>
    <row r="296" spans="1:35" ht="13.5" customHeight="1">
      <c r="A296" s="4"/>
      <c r="B296" s="15" t="s">
        <v>2289</v>
      </c>
      <c r="C296" s="340" t="s">
        <v>4359</v>
      </c>
      <c r="D296" s="254">
        <f>SUMIF(GL!$D$5:$D$6505,B296,GL!$G$5:$G$6505)</f>
        <v>2</v>
      </c>
      <c r="E296" s="341">
        <f>SUMIF(GL!$D$6:$D$6487,B296,GL!$H$6:$H$6487)</f>
        <v>347000</v>
      </c>
      <c r="F296" s="341">
        <f>SUMIF(GL!$D$6:$D$6487,B296,GL!$I$6:$I$6487)</f>
        <v>0</v>
      </c>
      <c r="G296" s="341"/>
      <c r="H296" s="341"/>
      <c r="I296" s="341">
        <f t="shared" si="66"/>
        <v>347000</v>
      </c>
      <c r="J296" s="341">
        <f t="shared" si="67"/>
        <v>0</v>
      </c>
      <c r="K296" s="341"/>
      <c r="L296" s="342"/>
      <c r="M296" s="342"/>
      <c r="N296" s="341">
        <f t="shared" si="61"/>
        <v>347000</v>
      </c>
      <c r="O296" s="341">
        <f t="shared" si="62"/>
        <v>0</v>
      </c>
      <c r="P296" s="341">
        <f>SUMIF(GL!$D$6488:$D$6532,B296,GL!$H$6488:$H$6532)</f>
        <v>0</v>
      </c>
      <c r="Q296" s="341">
        <f>SUMIF(GL!$D$6408:$D$6452,B296,GL!$I$6408:$I$6452)</f>
        <v>0</v>
      </c>
      <c r="R296" s="341">
        <f t="shared" ref="R296:S296" si="319">P296+N296</f>
        <v>347000</v>
      </c>
      <c r="S296" s="341">
        <f t="shared" si="319"/>
        <v>0</v>
      </c>
      <c r="T296" s="340"/>
      <c r="U296" s="340"/>
      <c r="V296" s="340"/>
      <c r="W296" s="340"/>
      <c r="X296" s="341">
        <f t="shared" si="64"/>
        <v>347000</v>
      </c>
      <c r="Y296" s="341">
        <f t="shared" si="65"/>
        <v>0</v>
      </c>
      <c r="Z296" s="331"/>
      <c r="AA296" s="110"/>
      <c r="AB296" s="358"/>
      <c r="AC296" s="330"/>
      <c r="AD296" s="110"/>
      <c r="AE296" s="110"/>
      <c r="AF296" s="110"/>
      <c r="AG296" s="110"/>
      <c r="AH296" s="110"/>
      <c r="AI296" s="110"/>
    </row>
    <row r="297" spans="1:35" ht="13.5" customHeight="1">
      <c r="A297" s="4"/>
      <c r="B297" s="15" t="s">
        <v>2173</v>
      </c>
      <c r="C297" s="340" t="s">
        <v>4360</v>
      </c>
      <c r="D297" s="254">
        <f>SUMIF(GL!$D$5:$D$6505,B297,GL!$G$5:$G$6505)</f>
        <v>4.5</v>
      </c>
      <c r="E297" s="341">
        <f>SUMIF(GL!$D$6:$D$6487,B297,GL!$H$6:$H$6487)</f>
        <v>145000</v>
      </c>
      <c r="F297" s="341">
        <f>SUMIF(GL!$D$6:$D$6487,B297,GL!$I$6:$I$6487)</f>
        <v>0</v>
      </c>
      <c r="G297" s="341"/>
      <c r="H297" s="341"/>
      <c r="I297" s="341">
        <f t="shared" si="66"/>
        <v>145000</v>
      </c>
      <c r="J297" s="341">
        <f t="shared" si="67"/>
        <v>0</v>
      </c>
      <c r="K297" s="341"/>
      <c r="L297" s="342"/>
      <c r="M297" s="342"/>
      <c r="N297" s="341">
        <f t="shared" si="61"/>
        <v>145000</v>
      </c>
      <c r="O297" s="341">
        <f t="shared" si="62"/>
        <v>0</v>
      </c>
      <c r="P297" s="341">
        <f>SUMIF(GL!$D$6488:$D$6532,B297,GL!$H$6488:$H$6532)</f>
        <v>0</v>
      </c>
      <c r="Q297" s="341">
        <f>SUMIF(GL!$D$6408:$D$6452,B297,GL!$I$6408:$I$6452)</f>
        <v>0</v>
      </c>
      <c r="R297" s="341">
        <f t="shared" ref="R297:S297" si="320">P297+N297</f>
        <v>145000</v>
      </c>
      <c r="S297" s="341">
        <f t="shared" si="320"/>
        <v>0</v>
      </c>
      <c r="T297" s="340"/>
      <c r="U297" s="340"/>
      <c r="V297" s="340"/>
      <c r="W297" s="340"/>
      <c r="X297" s="341">
        <f t="shared" si="64"/>
        <v>145000</v>
      </c>
      <c r="Y297" s="341">
        <f t="shared" si="65"/>
        <v>0</v>
      </c>
      <c r="Z297" s="331"/>
      <c r="AA297" s="110"/>
      <c r="AB297" s="358"/>
      <c r="AC297" s="330"/>
      <c r="AD297" s="110"/>
      <c r="AE297" s="110"/>
      <c r="AF297" s="110"/>
      <c r="AG297" s="110"/>
      <c r="AH297" s="110"/>
      <c r="AI297" s="110"/>
    </row>
    <row r="298" spans="1:35" ht="13.5" customHeight="1">
      <c r="A298" s="4"/>
      <c r="B298" s="15" t="s">
        <v>4361</v>
      </c>
      <c r="C298" s="340" t="s">
        <v>4362</v>
      </c>
      <c r="D298" s="254">
        <f>SUMIF(GL!$D$5:$D$6505,B298,GL!$G$5:$G$6505)</f>
        <v>0</v>
      </c>
      <c r="E298" s="341">
        <f>SUMIF(GL!$D$6:$D$6487,B298,GL!$H$6:$H$6487)</f>
        <v>0</v>
      </c>
      <c r="F298" s="341">
        <f>SUMIF(GL!$D$6:$D$6487,B298,GL!$I$6:$I$6487)</f>
        <v>0</v>
      </c>
      <c r="G298" s="341"/>
      <c r="H298" s="341"/>
      <c r="I298" s="341">
        <f t="shared" si="66"/>
        <v>0</v>
      </c>
      <c r="J298" s="341">
        <f t="shared" si="67"/>
        <v>0</v>
      </c>
      <c r="K298" s="341"/>
      <c r="L298" s="342"/>
      <c r="M298" s="342"/>
      <c r="N298" s="341">
        <f t="shared" si="61"/>
        <v>0</v>
      </c>
      <c r="O298" s="341">
        <f t="shared" si="62"/>
        <v>0</v>
      </c>
      <c r="P298" s="341">
        <f>SUMIF(GL!$D$6488:$D$6532,B298,GL!$H$6488:$H$6532)</f>
        <v>0</v>
      </c>
      <c r="Q298" s="341">
        <f>SUMIF(GL!$D$6408:$D$6452,B298,GL!$I$6408:$I$6452)</f>
        <v>0</v>
      </c>
      <c r="R298" s="341">
        <f t="shared" ref="R298:S298" si="321">P298+N298</f>
        <v>0</v>
      </c>
      <c r="S298" s="341">
        <f t="shared" si="321"/>
        <v>0</v>
      </c>
      <c r="T298" s="340"/>
      <c r="U298" s="340"/>
      <c r="V298" s="340"/>
      <c r="W298" s="340"/>
      <c r="X298" s="341">
        <f t="shared" si="64"/>
        <v>0</v>
      </c>
      <c r="Y298" s="341">
        <f t="shared" si="65"/>
        <v>0</v>
      </c>
      <c r="Z298" s="331"/>
      <c r="AA298" s="110"/>
      <c r="AB298" s="358"/>
      <c r="AC298" s="330"/>
      <c r="AD298" s="110"/>
      <c r="AE298" s="110"/>
      <c r="AF298" s="110"/>
      <c r="AG298" s="110"/>
      <c r="AH298" s="110"/>
      <c r="AI298" s="110"/>
    </row>
    <row r="299" spans="1:35" ht="13.5" customHeight="1">
      <c r="A299" s="4"/>
      <c r="B299" s="15" t="s">
        <v>4363</v>
      </c>
      <c r="C299" s="340" t="s">
        <v>4364</v>
      </c>
      <c r="D299" s="254">
        <f>SUMIF(GL!$D$5:$D$6505,B299,GL!$G$5:$G$6505)</f>
        <v>0</v>
      </c>
      <c r="E299" s="341">
        <f>SUMIF(GL!$D$6:$D$6487,B299,GL!$H$6:$H$6487)</f>
        <v>0</v>
      </c>
      <c r="F299" s="341">
        <f>SUMIF(GL!$D$6:$D$6487,B299,GL!$I$6:$I$6487)</f>
        <v>0</v>
      </c>
      <c r="G299" s="341"/>
      <c r="H299" s="341"/>
      <c r="I299" s="341">
        <f t="shared" si="66"/>
        <v>0</v>
      </c>
      <c r="J299" s="341">
        <f t="shared" si="67"/>
        <v>0</v>
      </c>
      <c r="K299" s="341"/>
      <c r="L299" s="342"/>
      <c r="M299" s="342"/>
      <c r="N299" s="341">
        <f t="shared" ref="N299:N553" si="322">IF(I299+L299&gt;J299+M299,(I299+L299)-(J299+M299),0)</f>
        <v>0</v>
      </c>
      <c r="O299" s="341">
        <f t="shared" ref="O299:O553" si="323">IF(J299+M299&gt;I299+L299,(J299+M299)-(I299+L299),0)</f>
        <v>0</v>
      </c>
      <c r="P299" s="341">
        <f>SUMIF(GL!$D$6488:$D$6532,B299,GL!$H$6488:$H$6532)</f>
        <v>0</v>
      </c>
      <c r="Q299" s="341">
        <f>SUMIF(GL!$D$6408:$D$6452,B299,GL!$I$6408:$I$6452)</f>
        <v>0</v>
      </c>
      <c r="R299" s="341">
        <f t="shared" ref="R299:S299" si="324">P299+N299</f>
        <v>0</v>
      </c>
      <c r="S299" s="341">
        <f t="shared" si="324"/>
        <v>0</v>
      </c>
      <c r="T299" s="340"/>
      <c r="U299" s="340"/>
      <c r="V299" s="340"/>
      <c r="W299" s="340"/>
      <c r="X299" s="341">
        <f t="shared" ref="X299:X553" si="325">IF(R299&gt;S299,R299-S299,0)</f>
        <v>0</v>
      </c>
      <c r="Y299" s="341">
        <f t="shared" ref="Y299:Y553" si="326">IF(S299&gt;R299,S299-R299,0)</f>
        <v>0</v>
      </c>
      <c r="Z299" s="331"/>
      <c r="AA299" s="110"/>
      <c r="AB299" s="358"/>
      <c r="AC299" s="330"/>
      <c r="AD299" s="110"/>
      <c r="AE299" s="110"/>
      <c r="AF299" s="110"/>
      <c r="AG299" s="110"/>
      <c r="AH299" s="110"/>
      <c r="AI299" s="110"/>
    </row>
    <row r="300" spans="1:35" ht="13.5" customHeight="1">
      <c r="A300" s="4"/>
      <c r="B300" s="15" t="s">
        <v>4365</v>
      </c>
      <c r="C300" s="340" t="s">
        <v>4366</v>
      </c>
      <c r="D300" s="254">
        <f>SUMIF(GL!$D$5:$D$6505,B300,GL!$G$5:$G$6505)</f>
        <v>0</v>
      </c>
      <c r="E300" s="341">
        <f>SUMIF(GL!$D$6:$D$6487,B300,GL!$H$6:$H$6487)</f>
        <v>0</v>
      </c>
      <c r="F300" s="341">
        <f>SUMIF(GL!$D$6:$D$6487,B300,GL!$I$6:$I$6487)</f>
        <v>0</v>
      </c>
      <c r="G300" s="341"/>
      <c r="H300" s="341"/>
      <c r="I300" s="341">
        <f t="shared" ref="I300:I333" si="327">IF(E300&gt;F300,E300-F300,0)</f>
        <v>0</v>
      </c>
      <c r="J300" s="341">
        <f t="shared" ref="J300:J333" si="328">IF(F300&gt;E300,F300-E300,0)</f>
        <v>0</v>
      </c>
      <c r="K300" s="341"/>
      <c r="L300" s="342"/>
      <c r="M300" s="342"/>
      <c r="N300" s="341">
        <f t="shared" si="322"/>
        <v>0</v>
      </c>
      <c r="O300" s="341">
        <f t="shared" si="323"/>
        <v>0</v>
      </c>
      <c r="P300" s="341">
        <f>SUMIF(GL!$D$6488:$D$6532,B300,GL!$H$6488:$H$6532)</f>
        <v>0</v>
      </c>
      <c r="Q300" s="341">
        <f>SUMIF(GL!$D$6408:$D$6452,B300,GL!$I$6408:$I$6452)</f>
        <v>0</v>
      </c>
      <c r="R300" s="341">
        <f t="shared" ref="R300:S300" si="329">P300+N300</f>
        <v>0</v>
      </c>
      <c r="S300" s="341">
        <f t="shared" si="329"/>
        <v>0</v>
      </c>
      <c r="T300" s="340"/>
      <c r="U300" s="340"/>
      <c r="V300" s="340"/>
      <c r="W300" s="340"/>
      <c r="X300" s="341">
        <f t="shared" si="325"/>
        <v>0</v>
      </c>
      <c r="Y300" s="341">
        <f t="shared" si="326"/>
        <v>0</v>
      </c>
      <c r="Z300" s="331"/>
      <c r="AA300" s="110"/>
      <c r="AB300" s="358"/>
      <c r="AC300" s="330"/>
      <c r="AD300" s="110"/>
      <c r="AE300" s="110"/>
      <c r="AF300" s="110"/>
      <c r="AG300" s="110"/>
      <c r="AH300" s="110"/>
      <c r="AI300" s="110"/>
    </row>
    <row r="301" spans="1:35" ht="13.5" customHeight="1">
      <c r="A301" s="4"/>
      <c r="B301" s="15" t="s">
        <v>4367</v>
      </c>
      <c r="C301" s="340" t="s">
        <v>4368</v>
      </c>
      <c r="D301" s="254">
        <f>SUMIF(GL!$D$5:$D$6505,B301,GL!$G$5:$G$6505)</f>
        <v>0</v>
      </c>
      <c r="E301" s="341">
        <f>SUMIF(GL!$D$6:$D$6487,B301,GL!$H$6:$H$6487)</f>
        <v>0</v>
      </c>
      <c r="F301" s="341">
        <f>SUMIF(GL!$D$6:$D$6487,B301,GL!$I$6:$I$6487)</f>
        <v>0</v>
      </c>
      <c r="G301" s="341"/>
      <c r="H301" s="341"/>
      <c r="I301" s="341">
        <f t="shared" si="327"/>
        <v>0</v>
      </c>
      <c r="J301" s="341">
        <f t="shared" si="328"/>
        <v>0</v>
      </c>
      <c r="K301" s="341"/>
      <c r="L301" s="342"/>
      <c r="M301" s="342"/>
      <c r="N301" s="341">
        <f t="shared" si="322"/>
        <v>0</v>
      </c>
      <c r="O301" s="341">
        <f t="shared" si="323"/>
        <v>0</v>
      </c>
      <c r="P301" s="341">
        <f>SUMIF(GL!$D$6488:$D$6532,B301,GL!$H$6488:$H$6532)</f>
        <v>0</v>
      </c>
      <c r="Q301" s="341">
        <f>SUMIF(GL!$D$6408:$D$6452,B301,GL!$I$6408:$I$6452)</f>
        <v>0</v>
      </c>
      <c r="R301" s="341">
        <f t="shared" ref="R301:S301" si="330">P301+N301</f>
        <v>0</v>
      </c>
      <c r="S301" s="341">
        <f t="shared" si="330"/>
        <v>0</v>
      </c>
      <c r="T301" s="340"/>
      <c r="U301" s="340"/>
      <c r="V301" s="340"/>
      <c r="W301" s="340"/>
      <c r="X301" s="341">
        <f t="shared" si="325"/>
        <v>0</v>
      </c>
      <c r="Y301" s="341">
        <f t="shared" si="326"/>
        <v>0</v>
      </c>
      <c r="Z301" s="331"/>
      <c r="AA301" s="110"/>
      <c r="AB301" s="358"/>
      <c r="AC301" s="330"/>
      <c r="AD301" s="110"/>
      <c r="AE301" s="110"/>
      <c r="AF301" s="110"/>
      <c r="AG301" s="110"/>
      <c r="AH301" s="110"/>
      <c r="AI301" s="110"/>
    </row>
    <row r="302" spans="1:35" ht="13.5" customHeight="1">
      <c r="A302" s="4"/>
      <c r="B302" s="15" t="s">
        <v>1968</v>
      </c>
      <c r="C302" s="340" t="s">
        <v>4369</v>
      </c>
      <c r="D302" s="254">
        <f>SUMIF(GL!$D$5:$D$6505,B302,GL!$G$5:$G$6505)</f>
        <v>0.33</v>
      </c>
      <c r="E302" s="341">
        <f>SUMIF(GL!$D$6:$D$6487,B302,GL!$H$6:$H$6487)</f>
        <v>50000</v>
      </c>
      <c r="F302" s="341">
        <f>SUMIF(GL!$D$6:$D$6487,B302,GL!$I$6:$I$6487)</f>
        <v>0</v>
      </c>
      <c r="G302" s="341"/>
      <c r="H302" s="341"/>
      <c r="I302" s="341">
        <f t="shared" si="327"/>
        <v>50000</v>
      </c>
      <c r="J302" s="341">
        <f t="shared" si="328"/>
        <v>0</v>
      </c>
      <c r="K302" s="341"/>
      <c r="L302" s="342"/>
      <c r="M302" s="342"/>
      <c r="N302" s="341">
        <f t="shared" si="322"/>
        <v>50000</v>
      </c>
      <c r="O302" s="341">
        <f t="shared" si="323"/>
        <v>0</v>
      </c>
      <c r="P302" s="341">
        <f>SUMIF(GL!$D$6488:$D$6532,B302,GL!$H$6488:$H$6532)</f>
        <v>0</v>
      </c>
      <c r="Q302" s="341">
        <f>SUMIF(GL!$D$6408:$D$6452,B302,GL!$I$6408:$I$6452)</f>
        <v>0</v>
      </c>
      <c r="R302" s="341">
        <f t="shared" ref="R302:S302" si="331">P302+N302</f>
        <v>50000</v>
      </c>
      <c r="S302" s="341">
        <f t="shared" si="331"/>
        <v>0</v>
      </c>
      <c r="T302" s="340"/>
      <c r="U302" s="340"/>
      <c r="V302" s="340"/>
      <c r="W302" s="340"/>
      <c r="X302" s="341">
        <f t="shared" si="325"/>
        <v>50000</v>
      </c>
      <c r="Y302" s="341">
        <f t="shared" si="326"/>
        <v>0</v>
      </c>
      <c r="Z302" s="331"/>
      <c r="AA302" s="110"/>
      <c r="AB302" s="358"/>
      <c r="AC302" s="330"/>
      <c r="AD302" s="110"/>
      <c r="AE302" s="110"/>
      <c r="AF302" s="110"/>
      <c r="AG302" s="110"/>
      <c r="AH302" s="110"/>
      <c r="AI302" s="110"/>
    </row>
    <row r="303" spans="1:35" ht="13.5" customHeight="1">
      <c r="A303" s="4"/>
      <c r="B303" s="15" t="s">
        <v>4370</v>
      </c>
      <c r="C303" s="340" t="s">
        <v>4371</v>
      </c>
      <c r="D303" s="254">
        <f>SUMIF(GL!$D$5:$D$6505,B303,GL!$G$5:$G$6505)</f>
        <v>0</v>
      </c>
      <c r="E303" s="341">
        <f>SUMIF(GL!$D$6:$D$6487,B303,GL!$H$6:$H$6487)</f>
        <v>0</v>
      </c>
      <c r="F303" s="341">
        <f>SUMIF(GL!$D$6:$D$6487,B303,GL!$I$6:$I$6487)</f>
        <v>0</v>
      </c>
      <c r="G303" s="341"/>
      <c r="H303" s="341"/>
      <c r="I303" s="341">
        <f t="shared" si="327"/>
        <v>0</v>
      </c>
      <c r="J303" s="341">
        <f t="shared" si="328"/>
        <v>0</v>
      </c>
      <c r="K303" s="341"/>
      <c r="L303" s="342"/>
      <c r="M303" s="342"/>
      <c r="N303" s="341">
        <f t="shared" si="322"/>
        <v>0</v>
      </c>
      <c r="O303" s="341">
        <f t="shared" si="323"/>
        <v>0</v>
      </c>
      <c r="P303" s="341">
        <f>SUMIF(GL!$D$6488:$D$6532,B303,GL!$H$6488:$H$6532)</f>
        <v>0</v>
      </c>
      <c r="Q303" s="341">
        <f>SUMIF(GL!$D$6408:$D$6452,B303,GL!$I$6408:$I$6452)</f>
        <v>0</v>
      </c>
      <c r="R303" s="341">
        <f t="shared" ref="R303:S303" si="332">P303+N303</f>
        <v>0</v>
      </c>
      <c r="S303" s="341">
        <f t="shared" si="332"/>
        <v>0</v>
      </c>
      <c r="T303" s="340"/>
      <c r="U303" s="340"/>
      <c r="V303" s="340"/>
      <c r="W303" s="340"/>
      <c r="X303" s="341">
        <f t="shared" si="325"/>
        <v>0</v>
      </c>
      <c r="Y303" s="341">
        <f t="shared" si="326"/>
        <v>0</v>
      </c>
      <c r="Z303" s="331"/>
      <c r="AA303" s="110"/>
      <c r="AB303" s="358"/>
      <c r="AC303" s="330"/>
      <c r="AD303" s="110"/>
      <c r="AE303" s="110"/>
      <c r="AF303" s="110"/>
      <c r="AG303" s="110"/>
      <c r="AH303" s="110"/>
      <c r="AI303" s="110"/>
    </row>
    <row r="304" spans="1:35" ht="13.5" customHeight="1">
      <c r="A304" s="4"/>
      <c r="B304" s="15" t="s">
        <v>4372</v>
      </c>
      <c r="C304" s="340" t="s">
        <v>4373</v>
      </c>
      <c r="D304" s="254">
        <f>SUMIF(GL!$D$5:$D$6505,B304,GL!$G$5:$G$6505)</f>
        <v>0</v>
      </c>
      <c r="E304" s="341">
        <f>SUMIF(GL!$D$6:$D$6487,B304,GL!$H$6:$H$6487)</f>
        <v>0</v>
      </c>
      <c r="F304" s="341">
        <f>SUMIF(GL!$D$6:$D$6487,B304,GL!$I$6:$I$6487)</f>
        <v>0</v>
      </c>
      <c r="G304" s="341"/>
      <c r="H304" s="341"/>
      <c r="I304" s="341">
        <f t="shared" si="327"/>
        <v>0</v>
      </c>
      <c r="J304" s="341">
        <f t="shared" si="328"/>
        <v>0</v>
      </c>
      <c r="K304" s="341"/>
      <c r="L304" s="342"/>
      <c r="M304" s="342"/>
      <c r="N304" s="341">
        <f t="shared" si="322"/>
        <v>0</v>
      </c>
      <c r="O304" s="341">
        <f t="shared" si="323"/>
        <v>0</v>
      </c>
      <c r="P304" s="341">
        <f>SUMIF(GL!$D$6488:$D$6532,B304,GL!$H$6488:$H$6532)</f>
        <v>0</v>
      </c>
      <c r="Q304" s="341">
        <f>SUMIF(GL!$D$6408:$D$6452,B304,GL!$I$6408:$I$6452)</f>
        <v>0</v>
      </c>
      <c r="R304" s="341">
        <f t="shared" ref="R304:S304" si="333">P304+N304</f>
        <v>0</v>
      </c>
      <c r="S304" s="341">
        <f t="shared" si="333"/>
        <v>0</v>
      </c>
      <c r="T304" s="340"/>
      <c r="U304" s="340"/>
      <c r="V304" s="340"/>
      <c r="W304" s="340"/>
      <c r="X304" s="341">
        <f t="shared" si="325"/>
        <v>0</v>
      </c>
      <c r="Y304" s="341">
        <f t="shared" si="326"/>
        <v>0</v>
      </c>
      <c r="Z304" s="331"/>
      <c r="AA304" s="110"/>
      <c r="AB304" s="358"/>
      <c r="AC304" s="330"/>
      <c r="AD304" s="110"/>
      <c r="AE304" s="110"/>
      <c r="AF304" s="110"/>
      <c r="AG304" s="110"/>
      <c r="AH304" s="110"/>
      <c r="AI304" s="110"/>
    </row>
    <row r="305" spans="1:35" ht="13.5" customHeight="1">
      <c r="A305" s="4"/>
      <c r="B305" s="15" t="s">
        <v>4374</v>
      </c>
      <c r="C305" s="340" t="s">
        <v>4375</v>
      </c>
      <c r="D305" s="254">
        <f>SUMIF(GL!$D$5:$D$6505,B305,GL!$G$5:$G$6505)</f>
        <v>0</v>
      </c>
      <c r="E305" s="341">
        <f>SUMIF(GL!$D$6:$D$6487,B305,GL!$H$6:$H$6487)</f>
        <v>0</v>
      </c>
      <c r="F305" s="341">
        <f>SUMIF(GL!$D$6:$D$6487,B305,GL!$I$6:$I$6487)</f>
        <v>0</v>
      </c>
      <c r="G305" s="341"/>
      <c r="H305" s="341"/>
      <c r="I305" s="341">
        <f t="shared" si="327"/>
        <v>0</v>
      </c>
      <c r="J305" s="341">
        <f t="shared" si="328"/>
        <v>0</v>
      </c>
      <c r="K305" s="341"/>
      <c r="L305" s="342"/>
      <c r="M305" s="342"/>
      <c r="N305" s="341">
        <f t="shared" si="322"/>
        <v>0</v>
      </c>
      <c r="O305" s="341">
        <f t="shared" si="323"/>
        <v>0</v>
      </c>
      <c r="P305" s="341">
        <f>SUMIF(GL!$D$6488:$D$6532,B305,GL!$H$6488:$H$6532)</f>
        <v>0</v>
      </c>
      <c r="Q305" s="341">
        <f>SUMIF(GL!$D$6408:$D$6452,B305,GL!$I$6408:$I$6452)</f>
        <v>0</v>
      </c>
      <c r="R305" s="341">
        <f t="shared" ref="R305:S305" si="334">P305+N305</f>
        <v>0</v>
      </c>
      <c r="S305" s="341">
        <f t="shared" si="334"/>
        <v>0</v>
      </c>
      <c r="T305" s="340"/>
      <c r="U305" s="340"/>
      <c r="V305" s="340"/>
      <c r="W305" s="340"/>
      <c r="X305" s="341">
        <f t="shared" si="325"/>
        <v>0</v>
      </c>
      <c r="Y305" s="341">
        <f t="shared" si="326"/>
        <v>0</v>
      </c>
      <c r="Z305" s="331"/>
      <c r="AA305" s="110"/>
      <c r="AB305" s="358"/>
      <c r="AC305" s="330"/>
      <c r="AD305" s="110"/>
      <c r="AE305" s="110"/>
      <c r="AF305" s="110"/>
      <c r="AG305" s="110"/>
      <c r="AH305" s="110"/>
      <c r="AI305" s="110"/>
    </row>
    <row r="306" spans="1:35" ht="13.5" customHeight="1">
      <c r="A306" s="4"/>
      <c r="B306" s="15" t="s">
        <v>4376</v>
      </c>
      <c r="C306" s="340" t="s">
        <v>4377</v>
      </c>
      <c r="D306" s="254">
        <f>SUMIF(GL!$D$5:$D$6505,B306,GL!$G$5:$G$6505)</f>
        <v>0</v>
      </c>
      <c r="E306" s="341">
        <f>SUMIF(GL!$D$6:$D$6487,B306,GL!$H$6:$H$6487)</f>
        <v>0</v>
      </c>
      <c r="F306" s="341">
        <f>SUMIF(GL!$D$6:$D$6487,B306,GL!$I$6:$I$6487)</f>
        <v>0</v>
      </c>
      <c r="G306" s="341"/>
      <c r="H306" s="341"/>
      <c r="I306" s="341">
        <f t="shared" si="327"/>
        <v>0</v>
      </c>
      <c r="J306" s="341">
        <f t="shared" si="328"/>
        <v>0</v>
      </c>
      <c r="K306" s="341"/>
      <c r="L306" s="342"/>
      <c r="M306" s="342"/>
      <c r="N306" s="341">
        <f t="shared" si="322"/>
        <v>0</v>
      </c>
      <c r="O306" s="341">
        <f t="shared" si="323"/>
        <v>0</v>
      </c>
      <c r="P306" s="341">
        <f>SUMIF(GL!$D$6488:$D$6532,B306,GL!$H$6488:$H$6532)</f>
        <v>0</v>
      </c>
      <c r="Q306" s="341">
        <f>SUMIF(GL!$D$6408:$D$6452,B306,GL!$I$6408:$I$6452)</f>
        <v>0</v>
      </c>
      <c r="R306" s="341">
        <f t="shared" ref="R306:S306" si="335">P306+N306</f>
        <v>0</v>
      </c>
      <c r="S306" s="341">
        <f t="shared" si="335"/>
        <v>0</v>
      </c>
      <c r="T306" s="340"/>
      <c r="U306" s="340"/>
      <c r="V306" s="340"/>
      <c r="W306" s="340"/>
      <c r="X306" s="341">
        <f t="shared" si="325"/>
        <v>0</v>
      </c>
      <c r="Y306" s="341">
        <f t="shared" si="326"/>
        <v>0</v>
      </c>
      <c r="Z306" s="331"/>
      <c r="AA306" s="110"/>
      <c r="AB306" s="358"/>
      <c r="AC306" s="330"/>
      <c r="AD306" s="110"/>
      <c r="AE306" s="110"/>
      <c r="AF306" s="110"/>
      <c r="AG306" s="110"/>
      <c r="AH306" s="110"/>
      <c r="AI306" s="110"/>
    </row>
    <row r="307" spans="1:35" ht="13.5" customHeight="1">
      <c r="A307" s="4"/>
      <c r="B307" s="15" t="s">
        <v>4378</v>
      </c>
      <c r="C307" s="340" t="s">
        <v>4379</v>
      </c>
      <c r="D307" s="254">
        <f>SUMIF(GL!$D$5:$D$6505,B307,GL!$G$5:$G$6505)</f>
        <v>0</v>
      </c>
      <c r="E307" s="341">
        <f>SUMIF(GL!$D$6:$D$6487,B307,GL!$H$6:$H$6487)</f>
        <v>0</v>
      </c>
      <c r="F307" s="341">
        <f>SUMIF(GL!$D$6:$D$6487,B307,GL!$I$6:$I$6487)</f>
        <v>0</v>
      </c>
      <c r="G307" s="341"/>
      <c r="H307" s="341"/>
      <c r="I307" s="341">
        <f t="shared" si="327"/>
        <v>0</v>
      </c>
      <c r="J307" s="341">
        <f t="shared" si="328"/>
        <v>0</v>
      </c>
      <c r="K307" s="341"/>
      <c r="L307" s="342"/>
      <c r="M307" s="342"/>
      <c r="N307" s="341">
        <f t="shared" si="322"/>
        <v>0</v>
      </c>
      <c r="O307" s="341">
        <f t="shared" si="323"/>
        <v>0</v>
      </c>
      <c r="P307" s="341">
        <f>SUMIF(GL!$D$6488:$D$6532,B307,GL!$H$6488:$H$6532)</f>
        <v>0</v>
      </c>
      <c r="Q307" s="341">
        <f>SUMIF(GL!$D$6408:$D$6452,B307,GL!$I$6408:$I$6452)</f>
        <v>0</v>
      </c>
      <c r="R307" s="341">
        <f t="shared" ref="R307:S307" si="336">P307+N307</f>
        <v>0</v>
      </c>
      <c r="S307" s="341">
        <f t="shared" si="336"/>
        <v>0</v>
      </c>
      <c r="T307" s="340"/>
      <c r="U307" s="340"/>
      <c r="V307" s="340"/>
      <c r="W307" s="340"/>
      <c r="X307" s="341">
        <f t="shared" si="325"/>
        <v>0</v>
      </c>
      <c r="Y307" s="341">
        <f t="shared" si="326"/>
        <v>0</v>
      </c>
      <c r="Z307" s="331"/>
      <c r="AA307" s="110"/>
      <c r="AB307" s="358"/>
      <c r="AC307" s="330"/>
      <c r="AD307" s="110"/>
      <c r="AE307" s="110"/>
      <c r="AF307" s="110"/>
      <c r="AG307" s="110"/>
      <c r="AH307" s="110"/>
      <c r="AI307" s="110"/>
    </row>
    <row r="308" spans="1:35" ht="13.5" customHeight="1">
      <c r="A308" s="4"/>
      <c r="B308" s="15" t="s">
        <v>4380</v>
      </c>
      <c r="C308" s="340" t="s">
        <v>4381</v>
      </c>
      <c r="D308" s="254">
        <f>SUMIF(GL!$D$5:$D$6505,B308,GL!$G$5:$G$6505)</f>
        <v>0</v>
      </c>
      <c r="E308" s="341">
        <f>SUMIF(GL!$D$6:$D$6487,B308,GL!$H$6:$H$6487)</f>
        <v>0</v>
      </c>
      <c r="F308" s="341">
        <f>SUMIF(GL!$D$6:$D$6487,B308,GL!$I$6:$I$6487)</f>
        <v>0</v>
      </c>
      <c r="G308" s="341"/>
      <c r="H308" s="341"/>
      <c r="I308" s="341">
        <f t="shared" si="327"/>
        <v>0</v>
      </c>
      <c r="J308" s="341">
        <f t="shared" si="328"/>
        <v>0</v>
      </c>
      <c r="K308" s="341"/>
      <c r="L308" s="342"/>
      <c r="M308" s="342"/>
      <c r="N308" s="341">
        <f t="shared" si="322"/>
        <v>0</v>
      </c>
      <c r="O308" s="341">
        <f t="shared" si="323"/>
        <v>0</v>
      </c>
      <c r="P308" s="341">
        <f>SUMIF(GL!$D$6488:$D$6532,B308,GL!$H$6488:$H$6532)</f>
        <v>0</v>
      </c>
      <c r="Q308" s="341">
        <f>SUMIF(GL!$D$6408:$D$6452,B308,GL!$I$6408:$I$6452)</f>
        <v>0</v>
      </c>
      <c r="R308" s="341">
        <f t="shared" ref="R308:S308" si="337">P308+N308</f>
        <v>0</v>
      </c>
      <c r="S308" s="341">
        <f t="shared" si="337"/>
        <v>0</v>
      </c>
      <c r="T308" s="340"/>
      <c r="U308" s="340"/>
      <c r="V308" s="340"/>
      <c r="W308" s="340"/>
      <c r="X308" s="341">
        <f t="shared" si="325"/>
        <v>0</v>
      </c>
      <c r="Y308" s="341">
        <f t="shared" si="326"/>
        <v>0</v>
      </c>
      <c r="Z308" s="331"/>
      <c r="AA308" s="110"/>
      <c r="AB308" s="358"/>
      <c r="AC308" s="330"/>
      <c r="AD308" s="110"/>
      <c r="AE308" s="110"/>
      <c r="AF308" s="110"/>
      <c r="AG308" s="110"/>
      <c r="AH308" s="110"/>
      <c r="AI308" s="110"/>
    </row>
    <row r="309" spans="1:35" ht="13.5" customHeight="1">
      <c r="A309" s="4"/>
      <c r="B309" s="15" t="s">
        <v>2929</v>
      </c>
      <c r="C309" s="340" t="s">
        <v>4382</v>
      </c>
      <c r="D309" s="254">
        <f>SUMIF(GL!$D$5:$D$6505,B309,GL!$G$5:$G$6505)</f>
        <v>10</v>
      </c>
      <c r="E309" s="341">
        <f>SUMIF(GL!$D$6:$D$6487,B309,GL!$H$6:$H$6487)</f>
        <v>45000</v>
      </c>
      <c r="F309" s="341">
        <f>SUMIF(GL!$D$6:$D$6487,B309,GL!$I$6:$I$6487)</f>
        <v>0</v>
      </c>
      <c r="G309" s="341"/>
      <c r="H309" s="341"/>
      <c r="I309" s="341">
        <f t="shared" si="327"/>
        <v>45000</v>
      </c>
      <c r="J309" s="341">
        <f t="shared" si="328"/>
        <v>0</v>
      </c>
      <c r="K309" s="341"/>
      <c r="L309" s="342"/>
      <c r="M309" s="342"/>
      <c r="N309" s="341">
        <f t="shared" si="322"/>
        <v>45000</v>
      </c>
      <c r="O309" s="341">
        <f t="shared" si="323"/>
        <v>0</v>
      </c>
      <c r="P309" s="341">
        <f>SUMIF(GL!$D$6488:$D$6532,B309,GL!$H$6488:$H$6532)</f>
        <v>0</v>
      </c>
      <c r="Q309" s="341">
        <f>SUMIF(GL!$D$6408:$D$6452,B309,GL!$I$6408:$I$6452)</f>
        <v>0</v>
      </c>
      <c r="R309" s="341">
        <f t="shared" ref="R309:S309" si="338">P309+N309</f>
        <v>45000</v>
      </c>
      <c r="S309" s="341">
        <f t="shared" si="338"/>
        <v>0</v>
      </c>
      <c r="T309" s="340"/>
      <c r="U309" s="340"/>
      <c r="V309" s="340"/>
      <c r="W309" s="340"/>
      <c r="X309" s="341">
        <f t="shared" si="325"/>
        <v>45000</v>
      </c>
      <c r="Y309" s="341">
        <f t="shared" si="326"/>
        <v>0</v>
      </c>
      <c r="Z309" s="331"/>
      <c r="AA309" s="110"/>
      <c r="AB309" s="358"/>
      <c r="AC309" s="330"/>
      <c r="AD309" s="110"/>
      <c r="AE309" s="110"/>
      <c r="AF309" s="110"/>
      <c r="AG309" s="110"/>
      <c r="AH309" s="110"/>
      <c r="AI309" s="110"/>
    </row>
    <row r="310" spans="1:35" ht="13.5" customHeight="1">
      <c r="A310" s="4"/>
      <c r="B310" s="15" t="s">
        <v>4383</v>
      </c>
      <c r="C310" s="340" t="s">
        <v>4384</v>
      </c>
      <c r="D310" s="254">
        <f>SUMIF(GL!$D$5:$D$6505,B310,GL!$G$5:$G$6505)</f>
        <v>0</v>
      </c>
      <c r="E310" s="341">
        <f>SUMIF(GL!$D$6:$D$6487,B310,GL!$H$6:$H$6487)</f>
        <v>0</v>
      </c>
      <c r="F310" s="341">
        <f>SUMIF(GL!$D$6:$D$6487,B310,GL!$I$6:$I$6487)</f>
        <v>0</v>
      </c>
      <c r="G310" s="341"/>
      <c r="H310" s="341"/>
      <c r="I310" s="341">
        <f t="shared" si="327"/>
        <v>0</v>
      </c>
      <c r="J310" s="341">
        <f t="shared" si="328"/>
        <v>0</v>
      </c>
      <c r="K310" s="341"/>
      <c r="L310" s="342"/>
      <c r="M310" s="342"/>
      <c r="N310" s="341">
        <f t="shared" si="322"/>
        <v>0</v>
      </c>
      <c r="O310" s="341">
        <f t="shared" si="323"/>
        <v>0</v>
      </c>
      <c r="P310" s="341">
        <f>SUMIF(GL!$D$6488:$D$6532,B310,GL!$H$6488:$H$6532)</f>
        <v>0</v>
      </c>
      <c r="Q310" s="341">
        <f>SUMIF(GL!$D$6408:$D$6452,B310,GL!$I$6408:$I$6452)</f>
        <v>0</v>
      </c>
      <c r="R310" s="341">
        <f t="shared" ref="R310:S310" si="339">P310+N310</f>
        <v>0</v>
      </c>
      <c r="S310" s="341">
        <f t="shared" si="339"/>
        <v>0</v>
      </c>
      <c r="T310" s="340"/>
      <c r="U310" s="340"/>
      <c r="V310" s="340"/>
      <c r="W310" s="340"/>
      <c r="X310" s="341">
        <f t="shared" si="325"/>
        <v>0</v>
      </c>
      <c r="Y310" s="341">
        <f t="shared" si="326"/>
        <v>0</v>
      </c>
      <c r="Z310" s="331"/>
      <c r="AA310" s="110"/>
      <c r="AB310" s="358"/>
      <c r="AC310" s="330"/>
      <c r="AD310" s="110"/>
      <c r="AE310" s="110"/>
      <c r="AF310" s="110"/>
      <c r="AG310" s="110"/>
      <c r="AH310" s="110"/>
      <c r="AI310" s="110"/>
    </row>
    <row r="311" spans="1:35" ht="13.5" customHeight="1">
      <c r="A311" s="4"/>
      <c r="B311" s="15" t="s">
        <v>2294</v>
      </c>
      <c r="C311" s="340" t="s">
        <v>4385</v>
      </c>
      <c r="D311" s="254">
        <f>SUMIF(GL!$D$5:$D$6505,B311,GL!$G$5:$G$6505)</f>
        <v>10</v>
      </c>
      <c r="E311" s="341">
        <f>SUMIF(GL!$D$6:$D$6487,B311,GL!$H$6:$H$6487)</f>
        <v>220000</v>
      </c>
      <c r="F311" s="341">
        <f>SUMIF(GL!$D$6:$D$6487,B311,GL!$I$6:$I$6487)</f>
        <v>0</v>
      </c>
      <c r="G311" s="341"/>
      <c r="H311" s="341"/>
      <c r="I311" s="341">
        <f t="shared" si="327"/>
        <v>220000</v>
      </c>
      <c r="J311" s="341">
        <f t="shared" si="328"/>
        <v>0</v>
      </c>
      <c r="K311" s="341"/>
      <c r="L311" s="342"/>
      <c r="M311" s="342"/>
      <c r="N311" s="341">
        <f t="shared" si="322"/>
        <v>220000</v>
      </c>
      <c r="O311" s="341">
        <f t="shared" si="323"/>
        <v>0</v>
      </c>
      <c r="P311" s="341">
        <f>SUMIF(GL!$D$6488:$D$6532,B311,GL!$H$6488:$H$6532)</f>
        <v>0</v>
      </c>
      <c r="Q311" s="341">
        <f>SUMIF(GL!$D$6408:$D$6452,B311,GL!$I$6408:$I$6452)</f>
        <v>0</v>
      </c>
      <c r="R311" s="341">
        <f t="shared" ref="R311:S311" si="340">P311+N311</f>
        <v>220000</v>
      </c>
      <c r="S311" s="341">
        <f t="shared" si="340"/>
        <v>0</v>
      </c>
      <c r="T311" s="340"/>
      <c r="U311" s="340"/>
      <c r="V311" s="340"/>
      <c r="W311" s="340"/>
      <c r="X311" s="341">
        <f t="shared" si="325"/>
        <v>220000</v>
      </c>
      <c r="Y311" s="341">
        <f t="shared" si="326"/>
        <v>0</v>
      </c>
      <c r="Z311" s="331"/>
      <c r="AA311" s="110"/>
      <c r="AB311" s="358"/>
      <c r="AC311" s="330"/>
      <c r="AD311" s="110"/>
      <c r="AE311" s="110"/>
      <c r="AF311" s="110"/>
      <c r="AG311" s="110"/>
      <c r="AH311" s="110"/>
      <c r="AI311" s="110"/>
    </row>
    <row r="312" spans="1:35" ht="13.5" customHeight="1">
      <c r="A312" s="4"/>
      <c r="B312" s="15" t="s">
        <v>4386</v>
      </c>
      <c r="C312" s="340" t="s">
        <v>4387</v>
      </c>
      <c r="D312" s="254">
        <f>SUMIF(GL!$D$5:$D$6505,B312,GL!$G$5:$G$6505)</f>
        <v>0</v>
      </c>
      <c r="E312" s="341">
        <f>SUMIF(GL!$D$6:$D$6487,B312,GL!$H$6:$H$6487)</f>
        <v>0</v>
      </c>
      <c r="F312" s="341">
        <f>SUMIF(GL!$D$6:$D$6487,B312,GL!$I$6:$I$6487)</f>
        <v>0</v>
      </c>
      <c r="G312" s="341"/>
      <c r="H312" s="341"/>
      <c r="I312" s="341">
        <f t="shared" si="327"/>
        <v>0</v>
      </c>
      <c r="J312" s="341">
        <f t="shared" si="328"/>
        <v>0</v>
      </c>
      <c r="K312" s="341"/>
      <c r="L312" s="342"/>
      <c r="M312" s="342"/>
      <c r="N312" s="341">
        <f t="shared" si="322"/>
        <v>0</v>
      </c>
      <c r="O312" s="341">
        <f t="shared" si="323"/>
        <v>0</v>
      </c>
      <c r="P312" s="341">
        <f>SUMIF(GL!$D$6488:$D$6532,B312,GL!$H$6488:$H$6532)</f>
        <v>0</v>
      </c>
      <c r="Q312" s="341">
        <f>SUMIF(GL!$D$6408:$D$6452,B312,GL!$I$6408:$I$6452)</f>
        <v>0</v>
      </c>
      <c r="R312" s="341">
        <f t="shared" ref="R312:S312" si="341">P312+N312</f>
        <v>0</v>
      </c>
      <c r="S312" s="341">
        <f t="shared" si="341"/>
        <v>0</v>
      </c>
      <c r="T312" s="340"/>
      <c r="U312" s="340"/>
      <c r="V312" s="340"/>
      <c r="W312" s="340"/>
      <c r="X312" s="341">
        <f t="shared" si="325"/>
        <v>0</v>
      </c>
      <c r="Y312" s="341">
        <f t="shared" si="326"/>
        <v>0</v>
      </c>
      <c r="Z312" s="331"/>
      <c r="AA312" s="110"/>
      <c r="AB312" s="358"/>
      <c r="AC312" s="330"/>
      <c r="AD312" s="110"/>
      <c r="AE312" s="110"/>
      <c r="AF312" s="110"/>
      <c r="AG312" s="110"/>
      <c r="AH312" s="110"/>
      <c r="AI312" s="110"/>
    </row>
    <row r="313" spans="1:35" ht="13.5" customHeight="1">
      <c r="A313" s="4"/>
      <c r="B313" s="15" t="s">
        <v>4388</v>
      </c>
      <c r="C313" s="340" t="s">
        <v>4389</v>
      </c>
      <c r="D313" s="254">
        <f>SUMIF(GL!$D$5:$D$6505,B313,GL!$G$5:$G$6505)</f>
        <v>0</v>
      </c>
      <c r="E313" s="341">
        <f>SUMIF(GL!$D$6:$D$6487,B313,GL!$H$6:$H$6487)</f>
        <v>0</v>
      </c>
      <c r="F313" s="341">
        <f>SUMIF(GL!$D$6:$D$6487,B313,GL!$I$6:$I$6487)</f>
        <v>0</v>
      </c>
      <c r="G313" s="341"/>
      <c r="H313" s="341"/>
      <c r="I313" s="341">
        <f t="shared" si="327"/>
        <v>0</v>
      </c>
      <c r="J313" s="341">
        <f t="shared" si="328"/>
        <v>0</v>
      </c>
      <c r="K313" s="341"/>
      <c r="L313" s="342"/>
      <c r="M313" s="342"/>
      <c r="N313" s="341">
        <f t="shared" si="322"/>
        <v>0</v>
      </c>
      <c r="O313" s="341">
        <f t="shared" si="323"/>
        <v>0</v>
      </c>
      <c r="P313" s="341">
        <f>SUMIF(GL!$D$6488:$D$6532,B313,GL!$H$6488:$H$6532)</f>
        <v>0</v>
      </c>
      <c r="Q313" s="341">
        <f>SUMIF(GL!$D$6408:$D$6452,B313,GL!$I$6408:$I$6452)</f>
        <v>0</v>
      </c>
      <c r="R313" s="341">
        <f t="shared" ref="R313:S313" si="342">P313+N313</f>
        <v>0</v>
      </c>
      <c r="S313" s="341">
        <f t="shared" si="342"/>
        <v>0</v>
      </c>
      <c r="T313" s="340"/>
      <c r="U313" s="340"/>
      <c r="V313" s="340"/>
      <c r="W313" s="340"/>
      <c r="X313" s="341">
        <f t="shared" si="325"/>
        <v>0</v>
      </c>
      <c r="Y313" s="341">
        <f t="shared" si="326"/>
        <v>0</v>
      </c>
      <c r="Z313" s="331"/>
      <c r="AA313" s="110"/>
      <c r="AB313" s="358"/>
      <c r="AC313" s="330"/>
      <c r="AD313" s="110"/>
      <c r="AE313" s="110"/>
      <c r="AF313" s="110"/>
      <c r="AG313" s="110"/>
      <c r="AH313" s="110"/>
      <c r="AI313" s="110"/>
    </row>
    <row r="314" spans="1:35" ht="13.5" customHeight="1">
      <c r="A314" s="4"/>
      <c r="B314" s="15" t="s">
        <v>2319</v>
      </c>
      <c r="C314" s="340" t="s">
        <v>4390</v>
      </c>
      <c r="D314" s="254">
        <f>SUMIF(GL!$D$5:$D$6505,B314,GL!$G$5:$G$6505)</f>
        <v>1</v>
      </c>
      <c r="E314" s="341">
        <f>SUMIF(GL!$D$6:$D$6487,B314,GL!$H$6:$H$6487)</f>
        <v>60000</v>
      </c>
      <c r="F314" s="341">
        <f>SUMIF(GL!$D$6:$D$6487,B314,GL!$I$6:$I$6487)</f>
        <v>0</v>
      </c>
      <c r="G314" s="341"/>
      <c r="H314" s="341"/>
      <c r="I314" s="341">
        <f t="shared" si="327"/>
        <v>60000</v>
      </c>
      <c r="J314" s="341">
        <f t="shared" si="328"/>
        <v>0</v>
      </c>
      <c r="K314" s="341"/>
      <c r="L314" s="342"/>
      <c r="M314" s="342"/>
      <c r="N314" s="341">
        <f t="shared" si="322"/>
        <v>60000</v>
      </c>
      <c r="O314" s="341">
        <f t="shared" si="323"/>
        <v>0</v>
      </c>
      <c r="P314" s="341">
        <f>SUMIF(GL!$D$6488:$D$6532,B314,GL!$H$6488:$H$6532)</f>
        <v>0</v>
      </c>
      <c r="Q314" s="341">
        <f>SUMIF(GL!$D$6408:$D$6452,B314,GL!$I$6408:$I$6452)</f>
        <v>0</v>
      </c>
      <c r="R314" s="341">
        <f t="shared" ref="R314:S314" si="343">P314+N314</f>
        <v>60000</v>
      </c>
      <c r="S314" s="341">
        <f t="shared" si="343"/>
        <v>0</v>
      </c>
      <c r="T314" s="340"/>
      <c r="U314" s="340"/>
      <c r="V314" s="340"/>
      <c r="W314" s="340"/>
      <c r="X314" s="341">
        <f t="shared" si="325"/>
        <v>60000</v>
      </c>
      <c r="Y314" s="341">
        <f t="shared" si="326"/>
        <v>0</v>
      </c>
      <c r="Z314" s="331"/>
      <c r="AA314" s="110"/>
      <c r="AB314" s="358"/>
      <c r="AC314" s="330"/>
      <c r="AD314" s="110"/>
      <c r="AE314" s="110"/>
      <c r="AF314" s="110"/>
      <c r="AG314" s="110"/>
      <c r="AH314" s="110"/>
      <c r="AI314" s="110"/>
    </row>
    <row r="315" spans="1:35" ht="13.5" customHeight="1">
      <c r="A315" s="4"/>
      <c r="B315" s="15" t="s">
        <v>2398</v>
      </c>
      <c r="C315" s="340" t="s">
        <v>4391</v>
      </c>
      <c r="D315" s="254">
        <f>SUMIF(GL!$D$5:$D$6505,B315,GL!$G$5:$G$6505)</f>
        <v>1</v>
      </c>
      <c r="E315" s="341">
        <f>SUMIF(GL!$D$6:$D$6487,B315,GL!$H$6:$H$6487)</f>
        <v>65000</v>
      </c>
      <c r="F315" s="341">
        <f>SUMIF(GL!$D$6:$D$6487,B315,GL!$I$6:$I$6487)</f>
        <v>0</v>
      </c>
      <c r="G315" s="341"/>
      <c r="H315" s="341"/>
      <c r="I315" s="341">
        <f t="shared" si="327"/>
        <v>65000</v>
      </c>
      <c r="J315" s="341">
        <f t="shared" si="328"/>
        <v>0</v>
      </c>
      <c r="K315" s="341"/>
      <c r="L315" s="342"/>
      <c r="M315" s="342"/>
      <c r="N315" s="341">
        <f t="shared" si="322"/>
        <v>65000</v>
      </c>
      <c r="O315" s="341">
        <f t="shared" si="323"/>
        <v>0</v>
      </c>
      <c r="P315" s="341">
        <f>SUMIF(GL!$D$6488:$D$6532,B315,GL!$H$6488:$H$6532)</f>
        <v>0</v>
      </c>
      <c r="Q315" s="341">
        <f>SUMIF(GL!$D$6408:$D$6452,B315,GL!$I$6408:$I$6452)</f>
        <v>0</v>
      </c>
      <c r="R315" s="341">
        <f t="shared" ref="R315:S315" si="344">P315+N315</f>
        <v>65000</v>
      </c>
      <c r="S315" s="341">
        <f t="shared" si="344"/>
        <v>0</v>
      </c>
      <c r="T315" s="340"/>
      <c r="U315" s="340"/>
      <c r="V315" s="340"/>
      <c r="W315" s="340"/>
      <c r="X315" s="341">
        <f t="shared" si="325"/>
        <v>65000</v>
      </c>
      <c r="Y315" s="341">
        <f t="shared" si="326"/>
        <v>0</v>
      </c>
      <c r="Z315" s="331"/>
      <c r="AA315" s="110"/>
      <c r="AB315" s="358"/>
      <c r="AC315" s="330"/>
      <c r="AD315" s="110"/>
      <c r="AE315" s="110"/>
      <c r="AF315" s="110"/>
      <c r="AG315" s="110"/>
      <c r="AH315" s="110"/>
      <c r="AI315" s="110"/>
    </row>
    <row r="316" spans="1:35" ht="13.5" customHeight="1">
      <c r="A316" s="4"/>
      <c r="B316" s="15" t="s">
        <v>4392</v>
      </c>
      <c r="C316" s="340" t="s">
        <v>4393</v>
      </c>
      <c r="D316" s="254">
        <f>SUMIF(GL!$D$5:$D$6505,B316,GL!$G$5:$G$6505)</f>
        <v>0</v>
      </c>
      <c r="E316" s="341">
        <f>SUMIF(GL!$D$6:$D$6487,B316,GL!$H$6:$H$6487)</f>
        <v>0</v>
      </c>
      <c r="F316" s="341">
        <f>SUMIF(GL!$D$6:$D$6487,B316,GL!$I$6:$I$6487)</f>
        <v>0</v>
      </c>
      <c r="G316" s="341"/>
      <c r="H316" s="341"/>
      <c r="I316" s="341">
        <f t="shared" si="327"/>
        <v>0</v>
      </c>
      <c r="J316" s="341">
        <f t="shared" si="328"/>
        <v>0</v>
      </c>
      <c r="K316" s="341"/>
      <c r="L316" s="342"/>
      <c r="M316" s="342"/>
      <c r="N316" s="341">
        <f t="shared" si="322"/>
        <v>0</v>
      </c>
      <c r="O316" s="341">
        <f t="shared" si="323"/>
        <v>0</v>
      </c>
      <c r="P316" s="341">
        <f>SUMIF(GL!$D$6488:$D$6532,B316,GL!$H$6488:$H$6532)</f>
        <v>0</v>
      </c>
      <c r="Q316" s="341">
        <f>SUMIF(GL!$D$6408:$D$6452,B316,GL!$I$6408:$I$6452)</f>
        <v>0</v>
      </c>
      <c r="R316" s="341">
        <f t="shared" ref="R316:S316" si="345">P316+N316</f>
        <v>0</v>
      </c>
      <c r="S316" s="341">
        <f t="shared" si="345"/>
        <v>0</v>
      </c>
      <c r="T316" s="340"/>
      <c r="U316" s="340"/>
      <c r="V316" s="340"/>
      <c r="W316" s="340"/>
      <c r="X316" s="341">
        <f t="shared" si="325"/>
        <v>0</v>
      </c>
      <c r="Y316" s="341">
        <f t="shared" si="326"/>
        <v>0</v>
      </c>
      <c r="Z316" s="331"/>
      <c r="AA316" s="110"/>
      <c r="AB316" s="358"/>
      <c r="AC316" s="330"/>
      <c r="AD316" s="110"/>
      <c r="AE316" s="110"/>
      <c r="AF316" s="110"/>
      <c r="AG316" s="110"/>
      <c r="AH316" s="110"/>
      <c r="AI316" s="110"/>
    </row>
    <row r="317" spans="1:35" ht="13.5" customHeight="1">
      <c r="A317" s="4"/>
      <c r="B317" s="195" t="s">
        <v>4394</v>
      </c>
      <c r="C317" s="340" t="s">
        <v>4395</v>
      </c>
      <c r="D317" s="254">
        <f>SUMIF(GL!$D$5:$D$6505,B317,GL!$G$5:$G$6505)</f>
        <v>0</v>
      </c>
      <c r="E317" s="341">
        <f>SUMIF(GL!$D$6:$D$6487,B317,GL!$H$6:$H$6487)</f>
        <v>0</v>
      </c>
      <c r="F317" s="341">
        <f>SUMIF(GL!$D$6:$D$6487,B317,GL!$I$6:$I$6487)</f>
        <v>0</v>
      </c>
      <c r="G317" s="341"/>
      <c r="H317" s="341"/>
      <c r="I317" s="341">
        <f t="shared" si="327"/>
        <v>0</v>
      </c>
      <c r="J317" s="341">
        <f t="shared" si="328"/>
        <v>0</v>
      </c>
      <c r="K317" s="341"/>
      <c r="L317" s="342"/>
      <c r="M317" s="342"/>
      <c r="N317" s="341">
        <f t="shared" si="322"/>
        <v>0</v>
      </c>
      <c r="O317" s="341">
        <f t="shared" si="323"/>
        <v>0</v>
      </c>
      <c r="P317" s="341">
        <f>SUMIF(GL!$D$6488:$D$6532,B317,GL!$H$6488:$H$6532)</f>
        <v>0</v>
      </c>
      <c r="Q317" s="341">
        <f>SUMIF(GL!$D$6408:$D$6452,B317,GL!$I$6408:$I$6452)</f>
        <v>0</v>
      </c>
      <c r="R317" s="341">
        <f t="shared" ref="R317:S317" si="346">P317+N317</f>
        <v>0</v>
      </c>
      <c r="S317" s="341">
        <f t="shared" si="346"/>
        <v>0</v>
      </c>
      <c r="T317" s="340"/>
      <c r="U317" s="340"/>
      <c r="V317" s="340"/>
      <c r="W317" s="340"/>
      <c r="X317" s="341">
        <f t="shared" si="325"/>
        <v>0</v>
      </c>
      <c r="Y317" s="341">
        <f t="shared" si="326"/>
        <v>0</v>
      </c>
      <c r="Z317" s="331"/>
      <c r="AA317" s="110"/>
      <c r="AB317" s="358"/>
      <c r="AC317" s="330"/>
      <c r="AD317" s="110"/>
      <c r="AE317" s="110"/>
      <c r="AF317" s="110"/>
      <c r="AG317" s="110"/>
      <c r="AH317" s="110"/>
      <c r="AI317" s="110"/>
    </row>
    <row r="318" spans="1:35" ht="13.5" customHeight="1">
      <c r="A318" s="4"/>
      <c r="B318" s="195" t="s">
        <v>4396</v>
      </c>
      <c r="C318" s="340" t="s">
        <v>4397</v>
      </c>
      <c r="D318" s="254">
        <f>SUMIF(GL!$D$5:$D$6505,B318,GL!$G$5:$G$6505)</f>
        <v>0</v>
      </c>
      <c r="E318" s="341">
        <f>SUMIF(GL!$D$6:$D$6487,B318,GL!$H$6:$H$6487)</f>
        <v>0</v>
      </c>
      <c r="F318" s="341">
        <f>SUMIF(GL!$D$6:$D$6487,B318,GL!$I$6:$I$6487)</f>
        <v>0</v>
      </c>
      <c r="G318" s="341"/>
      <c r="H318" s="341"/>
      <c r="I318" s="341">
        <f t="shared" si="327"/>
        <v>0</v>
      </c>
      <c r="J318" s="341">
        <f t="shared" si="328"/>
        <v>0</v>
      </c>
      <c r="K318" s="341"/>
      <c r="L318" s="342"/>
      <c r="M318" s="342"/>
      <c r="N318" s="341">
        <f t="shared" si="322"/>
        <v>0</v>
      </c>
      <c r="O318" s="341">
        <f t="shared" si="323"/>
        <v>0</v>
      </c>
      <c r="P318" s="341">
        <f>SUMIF(GL!$D$6488:$D$6532,B318,GL!$H$6488:$H$6532)</f>
        <v>0</v>
      </c>
      <c r="Q318" s="341">
        <f>SUMIF(GL!$D$6408:$D$6452,B318,GL!$I$6408:$I$6452)</f>
        <v>0</v>
      </c>
      <c r="R318" s="341">
        <f t="shared" ref="R318:S318" si="347">P318+N318</f>
        <v>0</v>
      </c>
      <c r="S318" s="341">
        <f t="shared" si="347"/>
        <v>0</v>
      </c>
      <c r="T318" s="340"/>
      <c r="U318" s="340"/>
      <c r="V318" s="340"/>
      <c r="W318" s="340"/>
      <c r="X318" s="341">
        <f t="shared" si="325"/>
        <v>0</v>
      </c>
      <c r="Y318" s="341">
        <f t="shared" si="326"/>
        <v>0</v>
      </c>
      <c r="Z318" s="331"/>
      <c r="AA318" s="110"/>
      <c r="AB318" s="358"/>
      <c r="AC318" s="330"/>
      <c r="AD318" s="110"/>
      <c r="AE318" s="110"/>
      <c r="AF318" s="110"/>
      <c r="AG318" s="110"/>
      <c r="AH318" s="110"/>
      <c r="AI318" s="110"/>
    </row>
    <row r="319" spans="1:35" ht="13.5" customHeight="1">
      <c r="A319" s="4"/>
      <c r="B319" s="195" t="s">
        <v>2919</v>
      </c>
      <c r="C319" s="340" t="s">
        <v>4398</v>
      </c>
      <c r="D319" s="254">
        <f>SUMIF(GL!$D$5:$D$6505,B319,GL!$G$5:$G$6505)</f>
        <v>2</v>
      </c>
      <c r="E319" s="341">
        <f>SUMIF(GL!$D$6:$D$6487,B319,GL!$H$6:$H$6487)</f>
        <v>68000</v>
      </c>
      <c r="F319" s="341">
        <f>SUMIF(GL!$D$6:$D$6487,B319,GL!$I$6:$I$6487)</f>
        <v>0</v>
      </c>
      <c r="G319" s="341"/>
      <c r="H319" s="341"/>
      <c r="I319" s="341">
        <f t="shared" si="327"/>
        <v>68000</v>
      </c>
      <c r="J319" s="341">
        <f t="shared" si="328"/>
        <v>0</v>
      </c>
      <c r="K319" s="341"/>
      <c r="L319" s="342"/>
      <c r="M319" s="342"/>
      <c r="N319" s="341">
        <f t="shared" si="322"/>
        <v>68000</v>
      </c>
      <c r="O319" s="341">
        <f t="shared" si="323"/>
        <v>0</v>
      </c>
      <c r="P319" s="341">
        <f>SUMIF(GL!$D$6488:$D$6532,B319,GL!$H$6488:$H$6532)</f>
        <v>0</v>
      </c>
      <c r="Q319" s="341">
        <f>SUMIF(GL!$D$6408:$D$6452,B319,GL!$I$6408:$I$6452)</f>
        <v>0</v>
      </c>
      <c r="R319" s="341">
        <f t="shared" ref="R319:S319" si="348">P319+N319</f>
        <v>68000</v>
      </c>
      <c r="S319" s="341">
        <f t="shared" si="348"/>
        <v>0</v>
      </c>
      <c r="T319" s="340"/>
      <c r="U319" s="340"/>
      <c r="V319" s="340"/>
      <c r="W319" s="340"/>
      <c r="X319" s="341">
        <f t="shared" si="325"/>
        <v>68000</v>
      </c>
      <c r="Y319" s="341">
        <f t="shared" si="326"/>
        <v>0</v>
      </c>
      <c r="Z319" s="331"/>
      <c r="AA319" s="110"/>
      <c r="AB319" s="358"/>
      <c r="AC319" s="330"/>
      <c r="AD319" s="110"/>
      <c r="AE319" s="110"/>
      <c r="AF319" s="110"/>
      <c r="AG319" s="110"/>
      <c r="AH319" s="110"/>
      <c r="AI319" s="110"/>
    </row>
    <row r="320" spans="1:35" ht="13.5" customHeight="1">
      <c r="A320" s="4"/>
      <c r="B320" s="195" t="s">
        <v>2921</v>
      </c>
      <c r="C320" s="340" t="s">
        <v>4399</v>
      </c>
      <c r="D320" s="254">
        <f>SUMIF(GL!$D$5:$D$6505,B320,GL!$G$5:$G$6505)</f>
        <v>2</v>
      </c>
      <c r="E320" s="341">
        <f>SUMIF(GL!$D$6:$D$6487,B320,GL!$H$6:$H$6487)</f>
        <v>84000</v>
      </c>
      <c r="F320" s="341">
        <f>SUMIF(GL!$D$6:$D$6487,B320,GL!$I$6:$I$6487)</f>
        <v>0</v>
      </c>
      <c r="G320" s="341"/>
      <c r="H320" s="341"/>
      <c r="I320" s="341">
        <f t="shared" si="327"/>
        <v>84000</v>
      </c>
      <c r="J320" s="341">
        <f t="shared" si="328"/>
        <v>0</v>
      </c>
      <c r="K320" s="341"/>
      <c r="L320" s="342"/>
      <c r="M320" s="342"/>
      <c r="N320" s="341">
        <f t="shared" si="322"/>
        <v>84000</v>
      </c>
      <c r="O320" s="341">
        <f t="shared" si="323"/>
        <v>0</v>
      </c>
      <c r="P320" s="341">
        <f>SUMIF(GL!$D$6488:$D$6532,B320,GL!$H$6488:$H$6532)</f>
        <v>0</v>
      </c>
      <c r="Q320" s="341">
        <f>SUMIF(GL!$D$6408:$D$6452,B320,GL!$I$6408:$I$6452)</f>
        <v>0</v>
      </c>
      <c r="R320" s="341">
        <f t="shared" ref="R320:S320" si="349">P320+N320</f>
        <v>84000</v>
      </c>
      <c r="S320" s="341">
        <f t="shared" si="349"/>
        <v>0</v>
      </c>
      <c r="T320" s="340"/>
      <c r="U320" s="340"/>
      <c r="V320" s="340"/>
      <c r="W320" s="340"/>
      <c r="X320" s="341">
        <f t="shared" si="325"/>
        <v>84000</v>
      </c>
      <c r="Y320" s="341">
        <f t="shared" si="326"/>
        <v>0</v>
      </c>
      <c r="Z320" s="331"/>
      <c r="AA320" s="110"/>
      <c r="AB320" s="358"/>
      <c r="AC320" s="330"/>
      <c r="AD320" s="110"/>
      <c r="AE320" s="110"/>
      <c r="AF320" s="110"/>
      <c r="AG320" s="110"/>
      <c r="AH320" s="110"/>
      <c r="AI320" s="110"/>
    </row>
    <row r="321" spans="1:35" ht="13.5" customHeight="1">
      <c r="A321" s="4"/>
      <c r="B321" s="195" t="s">
        <v>4400</v>
      </c>
      <c r="C321" s="340" t="s">
        <v>4401</v>
      </c>
      <c r="D321" s="254">
        <f>SUMIF(GL!$D$5:$D$6505,B321,GL!$G$5:$G$6505)</f>
        <v>0</v>
      </c>
      <c r="E321" s="341">
        <f>SUMIF(GL!$D$6:$D$6487,B321,GL!$H$6:$H$6487)</f>
        <v>0</v>
      </c>
      <c r="F321" s="341">
        <f>SUMIF(GL!$D$6:$D$6487,B321,GL!$I$6:$I$6487)</f>
        <v>0</v>
      </c>
      <c r="G321" s="341"/>
      <c r="H321" s="341"/>
      <c r="I321" s="341">
        <f t="shared" si="327"/>
        <v>0</v>
      </c>
      <c r="J321" s="341">
        <f t="shared" si="328"/>
        <v>0</v>
      </c>
      <c r="K321" s="341"/>
      <c r="L321" s="342"/>
      <c r="M321" s="342"/>
      <c r="N321" s="341">
        <f t="shared" si="322"/>
        <v>0</v>
      </c>
      <c r="O321" s="341">
        <f t="shared" si="323"/>
        <v>0</v>
      </c>
      <c r="P321" s="341">
        <f>SUMIF(GL!$D$6488:$D$6532,B321,GL!$H$6488:$H$6532)</f>
        <v>0</v>
      </c>
      <c r="Q321" s="341">
        <f>SUMIF(GL!$D$6408:$D$6452,B321,GL!$I$6408:$I$6452)</f>
        <v>0</v>
      </c>
      <c r="R321" s="341">
        <f t="shared" ref="R321:S321" si="350">P321+N321</f>
        <v>0</v>
      </c>
      <c r="S321" s="341">
        <f t="shared" si="350"/>
        <v>0</v>
      </c>
      <c r="T321" s="340"/>
      <c r="U321" s="340"/>
      <c r="V321" s="340"/>
      <c r="W321" s="340"/>
      <c r="X321" s="341">
        <f t="shared" si="325"/>
        <v>0</v>
      </c>
      <c r="Y321" s="341">
        <f t="shared" si="326"/>
        <v>0</v>
      </c>
      <c r="Z321" s="331"/>
      <c r="AA321" s="110"/>
      <c r="AB321" s="358"/>
      <c r="AC321" s="330"/>
      <c r="AD321" s="110"/>
      <c r="AE321" s="110"/>
      <c r="AF321" s="110"/>
      <c r="AG321" s="110"/>
      <c r="AH321" s="110"/>
      <c r="AI321" s="110"/>
    </row>
    <row r="322" spans="1:35" ht="13.5" customHeight="1">
      <c r="A322" s="4"/>
      <c r="B322" s="195" t="s">
        <v>4402</v>
      </c>
      <c r="C322" s="340" t="s">
        <v>4403</v>
      </c>
      <c r="D322" s="254">
        <f>SUMIF(GL!$D$5:$D$6505,B322,GL!$G$5:$G$6505)</f>
        <v>0</v>
      </c>
      <c r="E322" s="341">
        <f>SUMIF(GL!$D$6:$D$6487,B322,GL!$H$6:$H$6487)</f>
        <v>0</v>
      </c>
      <c r="F322" s="341">
        <f>SUMIF(GL!$D$6:$D$6487,B322,GL!$I$6:$I$6487)</f>
        <v>0</v>
      </c>
      <c r="G322" s="341"/>
      <c r="H322" s="341"/>
      <c r="I322" s="341">
        <f t="shared" si="327"/>
        <v>0</v>
      </c>
      <c r="J322" s="341">
        <f t="shared" si="328"/>
        <v>0</v>
      </c>
      <c r="K322" s="341"/>
      <c r="L322" s="342"/>
      <c r="M322" s="342"/>
      <c r="N322" s="341">
        <f t="shared" si="322"/>
        <v>0</v>
      </c>
      <c r="O322" s="341">
        <f t="shared" si="323"/>
        <v>0</v>
      </c>
      <c r="P322" s="341">
        <f>SUMIF(GL!$D$6488:$D$6532,B322,GL!$H$6488:$H$6532)</f>
        <v>0</v>
      </c>
      <c r="Q322" s="341">
        <f>SUMIF(GL!$D$6408:$D$6452,B322,GL!$I$6408:$I$6452)</f>
        <v>0</v>
      </c>
      <c r="R322" s="341">
        <f t="shared" ref="R322:S322" si="351">P322+N322</f>
        <v>0</v>
      </c>
      <c r="S322" s="341">
        <f t="shared" si="351"/>
        <v>0</v>
      </c>
      <c r="T322" s="340"/>
      <c r="U322" s="340"/>
      <c r="V322" s="340"/>
      <c r="W322" s="340"/>
      <c r="X322" s="341">
        <f t="shared" si="325"/>
        <v>0</v>
      </c>
      <c r="Y322" s="341">
        <f t="shared" si="326"/>
        <v>0</v>
      </c>
      <c r="Z322" s="331"/>
      <c r="AA322" s="110"/>
      <c r="AB322" s="358"/>
      <c r="AC322" s="330"/>
      <c r="AD322" s="110"/>
      <c r="AE322" s="110"/>
      <c r="AF322" s="110"/>
      <c r="AG322" s="110"/>
      <c r="AH322" s="110"/>
      <c r="AI322" s="110"/>
    </row>
    <row r="323" spans="1:35" ht="13.5" customHeight="1">
      <c r="A323" s="4"/>
      <c r="B323" s="195" t="s">
        <v>4404</v>
      </c>
      <c r="C323" s="340" t="s">
        <v>4405</v>
      </c>
      <c r="D323" s="254">
        <f>SUMIF(GL!$D$5:$D$6505,B323,GL!$G$5:$G$6505)</f>
        <v>0</v>
      </c>
      <c r="E323" s="341">
        <f>SUMIF(GL!$D$6:$D$6487,B323,GL!$H$6:$H$6487)</f>
        <v>0</v>
      </c>
      <c r="F323" s="341">
        <f>SUMIF(GL!$D$6:$D$6487,B323,GL!$I$6:$I$6487)</f>
        <v>0</v>
      </c>
      <c r="G323" s="341"/>
      <c r="H323" s="341"/>
      <c r="I323" s="341">
        <f t="shared" si="327"/>
        <v>0</v>
      </c>
      <c r="J323" s="341">
        <f t="shared" si="328"/>
        <v>0</v>
      </c>
      <c r="K323" s="341"/>
      <c r="L323" s="342"/>
      <c r="M323" s="342"/>
      <c r="N323" s="341">
        <f t="shared" si="322"/>
        <v>0</v>
      </c>
      <c r="O323" s="341">
        <f t="shared" si="323"/>
        <v>0</v>
      </c>
      <c r="P323" s="341">
        <f>SUMIF(GL!$D$6488:$D$6532,B323,GL!$H$6488:$H$6532)</f>
        <v>0</v>
      </c>
      <c r="Q323" s="341">
        <f>SUMIF(GL!$D$6408:$D$6452,B323,GL!$I$6408:$I$6452)</f>
        <v>0</v>
      </c>
      <c r="R323" s="341">
        <f t="shared" ref="R323:S323" si="352">P323+N323</f>
        <v>0</v>
      </c>
      <c r="S323" s="341">
        <f t="shared" si="352"/>
        <v>0</v>
      </c>
      <c r="T323" s="340"/>
      <c r="U323" s="340"/>
      <c r="V323" s="340"/>
      <c r="W323" s="340"/>
      <c r="X323" s="341">
        <f t="shared" si="325"/>
        <v>0</v>
      </c>
      <c r="Y323" s="341">
        <f t="shared" si="326"/>
        <v>0</v>
      </c>
      <c r="Z323" s="331"/>
      <c r="AA323" s="110"/>
      <c r="AB323" s="358"/>
      <c r="AC323" s="330"/>
      <c r="AD323" s="110"/>
      <c r="AE323" s="110"/>
      <c r="AF323" s="110"/>
      <c r="AG323" s="110"/>
      <c r="AH323" s="110"/>
      <c r="AI323" s="110"/>
    </row>
    <row r="324" spans="1:35" ht="13.5" customHeight="1">
      <c r="A324" s="4"/>
      <c r="B324" s="195" t="s">
        <v>4406</v>
      </c>
      <c r="C324" s="340" t="s">
        <v>4407</v>
      </c>
      <c r="D324" s="254">
        <f>SUMIF(GL!$D$5:$D$6505,B324,GL!$G$5:$G$6505)</f>
        <v>0</v>
      </c>
      <c r="E324" s="341">
        <f>SUMIF(GL!$D$6:$D$6487,B324,GL!$H$6:$H$6487)</f>
        <v>0</v>
      </c>
      <c r="F324" s="341">
        <f>SUMIF(GL!$D$6:$D$6487,B324,GL!$I$6:$I$6487)</f>
        <v>0</v>
      </c>
      <c r="G324" s="341"/>
      <c r="H324" s="341"/>
      <c r="I324" s="341">
        <f t="shared" si="327"/>
        <v>0</v>
      </c>
      <c r="J324" s="341">
        <f t="shared" si="328"/>
        <v>0</v>
      </c>
      <c r="K324" s="341"/>
      <c r="L324" s="342"/>
      <c r="M324" s="342"/>
      <c r="N324" s="341">
        <f t="shared" si="322"/>
        <v>0</v>
      </c>
      <c r="O324" s="341">
        <f t="shared" si="323"/>
        <v>0</v>
      </c>
      <c r="P324" s="341">
        <f>SUMIF(GL!$D$6488:$D$6532,B324,GL!$H$6488:$H$6532)</f>
        <v>0</v>
      </c>
      <c r="Q324" s="341">
        <f>SUMIF(GL!$D$6408:$D$6452,B324,GL!$I$6408:$I$6452)</f>
        <v>0</v>
      </c>
      <c r="R324" s="341">
        <f t="shared" ref="R324:S324" si="353">P324+N324</f>
        <v>0</v>
      </c>
      <c r="S324" s="341">
        <f t="shared" si="353"/>
        <v>0</v>
      </c>
      <c r="T324" s="340"/>
      <c r="U324" s="340"/>
      <c r="V324" s="340"/>
      <c r="W324" s="340"/>
      <c r="X324" s="341">
        <f t="shared" si="325"/>
        <v>0</v>
      </c>
      <c r="Y324" s="341">
        <f t="shared" si="326"/>
        <v>0</v>
      </c>
      <c r="Z324" s="331"/>
      <c r="AA324" s="110"/>
      <c r="AB324" s="358"/>
      <c r="AC324" s="330"/>
      <c r="AD324" s="110"/>
      <c r="AE324" s="110"/>
      <c r="AF324" s="110"/>
      <c r="AG324" s="110"/>
      <c r="AH324" s="110"/>
      <c r="AI324" s="110"/>
    </row>
    <row r="325" spans="1:35" ht="13.5" customHeight="1">
      <c r="A325" s="4"/>
      <c r="B325" s="195" t="s">
        <v>4408</v>
      </c>
      <c r="C325" s="340" t="s">
        <v>4409</v>
      </c>
      <c r="D325" s="254">
        <f>SUMIF(GL!$D$5:$D$6505,B325,GL!$G$5:$G$6505)</f>
        <v>0</v>
      </c>
      <c r="E325" s="341">
        <f>SUMIF(GL!$D$6:$D$6487,B325,GL!$H$6:$H$6487)</f>
        <v>0</v>
      </c>
      <c r="F325" s="341">
        <f>SUMIF(GL!$D$6:$D$6487,B325,GL!$I$6:$I$6487)</f>
        <v>0</v>
      </c>
      <c r="G325" s="341"/>
      <c r="H325" s="341"/>
      <c r="I325" s="341">
        <f t="shared" si="327"/>
        <v>0</v>
      </c>
      <c r="J325" s="341">
        <f t="shared" si="328"/>
        <v>0</v>
      </c>
      <c r="K325" s="341"/>
      <c r="L325" s="342"/>
      <c r="M325" s="342"/>
      <c r="N325" s="341">
        <f t="shared" si="322"/>
        <v>0</v>
      </c>
      <c r="O325" s="341">
        <f t="shared" si="323"/>
        <v>0</v>
      </c>
      <c r="P325" s="341">
        <f>SUMIF(GL!$D$6488:$D$6532,B325,GL!$H$6488:$H$6532)</f>
        <v>0</v>
      </c>
      <c r="Q325" s="341">
        <f>SUMIF(GL!$D$6408:$D$6452,B325,GL!$I$6408:$I$6452)</f>
        <v>0</v>
      </c>
      <c r="R325" s="341">
        <f t="shared" ref="R325:S325" si="354">P325+N325</f>
        <v>0</v>
      </c>
      <c r="S325" s="341">
        <f t="shared" si="354"/>
        <v>0</v>
      </c>
      <c r="T325" s="340"/>
      <c r="U325" s="340"/>
      <c r="V325" s="340"/>
      <c r="W325" s="340"/>
      <c r="X325" s="341">
        <f t="shared" si="325"/>
        <v>0</v>
      </c>
      <c r="Y325" s="341">
        <f t="shared" si="326"/>
        <v>0</v>
      </c>
      <c r="Z325" s="331"/>
      <c r="AA325" s="110"/>
      <c r="AB325" s="332"/>
      <c r="AC325" s="332"/>
      <c r="AD325" s="110"/>
      <c r="AE325" s="110"/>
      <c r="AF325" s="110"/>
      <c r="AG325" s="110"/>
      <c r="AH325" s="110"/>
      <c r="AI325" s="110"/>
    </row>
    <row r="326" spans="1:35" ht="13.5" customHeight="1">
      <c r="A326" s="4"/>
      <c r="B326" s="195" t="s">
        <v>4410</v>
      </c>
      <c r="C326" s="340" t="s">
        <v>4411</v>
      </c>
      <c r="D326" s="254">
        <f>SUMIF(GL!$D$5:$D$6505,B326,GL!$G$5:$G$6505)</f>
        <v>0</v>
      </c>
      <c r="E326" s="341">
        <f>SUMIF(GL!$D$6:$D$6487,B326,GL!$H$6:$H$6487)</f>
        <v>0</v>
      </c>
      <c r="F326" s="341">
        <f>SUMIF(GL!$D$6:$D$6487,B326,GL!$I$6:$I$6487)</f>
        <v>0</v>
      </c>
      <c r="G326" s="341"/>
      <c r="H326" s="341"/>
      <c r="I326" s="341">
        <f t="shared" si="327"/>
        <v>0</v>
      </c>
      <c r="J326" s="341">
        <f t="shared" si="328"/>
        <v>0</v>
      </c>
      <c r="K326" s="341"/>
      <c r="L326" s="342"/>
      <c r="M326" s="342"/>
      <c r="N326" s="341">
        <f t="shared" si="322"/>
        <v>0</v>
      </c>
      <c r="O326" s="341">
        <f t="shared" si="323"/>
        <v>0</v>
      </c>
      <c r="P326" s="341">
        <f>SUMIF(GL!$D$6488:$D$6532,B326,GL!$H$6488:$H$6532)</f>
        <v>0</v>
      </c>
      <c r="Q326" s="341">
        <f>SUMIF(GL!$D$6408:$D$6452,B326,GL!$I$6408:$I$6452)</f>
        <v>0</v>
      </c>
      <c r="R326" s="341">
        <f t="shared" ref="R326:S326" si="355">P326+N326</f>
        <v>0</v>
      </c>
      <c r="S326" s="341">
        <f t="shared" si="355"/>
        <v>0</v>
      </c>
      <c r="T326" s="340"/>
      <c r="U326" s="340"/>
      <c r="V326" s="340"/>
      <c r="W326" s="340"/>
      <c r="X326" s="341">
        <f t="shared" si="325"/>
        <v>0</v>
      </c>
      <c r="Y326" s="341">
        <f t="shared" si="326"/>
        <v>0</v>
      </c>
      <c r="Z326" s="331"/>
      <c r="AA326" s="110"/>
      <c r="AB326" s="332"/>
      <c r="AC326" s="332"/>
      <c r="AD326" s="110"/>
      <c r="AE326" s="110"/>
      <c r="AF326" s="110"/>
      <c r="AG326" s="110"/>
      <c r="AH326" s="110"/>
      <c r="AI326" s="110"/>
    </row>
    <row r="327" spans="1:35" ht="13.5" customHeight="1">
      <c r="A327" s="4"/>
      <c r="B327" s="195" t="s">
        <v>4412</v>
      </c>
      <c r="C327" s="340" t="s">
        <v>4413</v>
      </c>
      <c r="D327" s="254">
        <f>SUMIF(GL!$D$5:$D$6505,B327,GL!$G$5:$G$6505)</f>
        <v>0</v>
      </c>
      <c r="E327" s="341">
        <f>SUMIF(GL!$D$6:$D$6487,B327,GL!$H$6:$H$6487)</f>
        <v>0</v>
      </c>
      <c r="F327" s="341">
        <f>SUMIF(GL!$D$6:$D$6487,B327,GL!$I$6:$I$6487)</f>
        <v>0</v>
      </c>
      <c r="G327" s="341"/>
      <c r="H327" s="341"/>
      <c r="I327" s="341">
        <f t="shared" si="327"/>
        <v>0</v>
      </c>
      <c r="J327" s="341">
        <f t="shared" si="328"/>
        <v>0</v>
      </c>
      <c r="K327" s="341"/>
      <c r="L327" s="342"/>
      <c r="M327" s="342"/>
      <c r="N327" s="341">
        <f t="shared" si="322"/>
        <v>0</v>
      </c>
      <c r="O327" s="341">
        <f t="shared" si="323"/>
        <v>0</v>
      </c>
      <c r="P327" s="341">
        <f>SUMIF(GL!$D$6488:$D$6532,B327,GL!$H$6488:$H$6532)</f>
        <v>0</v>
      </c>
      <c r="Q327" s="341">
        <f>SUMIF(GL!$D$6408:$D$6452,B327,GL!$I$6408:$I$6452)</f>
        <v>0</v>
      </c>
      <c r="R327" s="341">
        <f t="shared" ref="R327:S327" si="356">P327+N327</f>
        <v>0</v>
      </c>
      <c r="S327" s="341">
        <f t="shared" si="356"/>
        <v>0</v>
      </c>
      <c r="T327" s="340"/>
      <c r="U327" s="340"/>
      <c r="V327" s="340"/>
      <c r="W327" s="340"/>
      <c r="X327" s="341">
        <f t="shared" si="325"/>
        <v>0</v>
      </c>
      <c r="Y327" s="341">
        <f t="shared" si="326"/>
        <v>0</v>
      </c>
      <c r="Z327" s="331"/>
      <c r="AA327" s="110"/>
      <c r="AB327" s="332"/>
      <c r="AC327" s="332"/>
      <c r="AD327" s="110"/>
      <c r="AE327" s="110"/>
      <c r="AF327" s="110"/>
      <c r="AG327" s="110"/>
      <c r="AH327" s="110"/>
      <c r="AI327" s="110"/>
    </row>
    <row r="328" spans="1:35" ht="13.5" customHeight="1">
      <c r="A328" s="4"/>
      <c r="B328" s="195" t="s">
        <v>4414</v>
      </c>
      <c r="C328" s="340" t="s">
        <v>4415</v>
      </c>
      <c r="D328" s="254">
        <f>SUMIF(GL!$D$5:$D$6505,B328,GL!$G$5:$G$6505)</f>
        <v>0</v>
      </c>
      <c r="E328" s="341">
        <f>SUMIF(GL!$D$6:$D$6487,B328,GL!$H$6:$H$6487)</f>
        <v>0</v>
      </c>
      <c r="F328" s="341">
        <f>SUMIF(GL!$D$6:$D$6487,B328,GL!$I$6:$I$6487)</f>
        <v>0</v>
      </c>
      <c r="G328" s="341"/>
      <c r="H328" s="341"/>
      <c r="I328" s="341">
        <f t="shared" si="327"/>
        <v>0</v>
      </c>
      <c r="J328" s="341">
        <f t="shared" si="328"/>
        <v>0</v>
      </c>
      <c r="K328" s="341"/>
      <c r="L328" s="342"/>
      <c r="M328" s="342"/>
      <c r="N328" s="341">
        <f t="shared" si="322"/>
        <v>0</v>
      </c>
      <c r="O328" s="341">
        <f t="shared" si="323"/>
        <v>0</v>
      </c>
      <c r="P328" s="341">
        <f>SUMIF(GL!$D$6488:$D$6532,B328,GL!$H$6488:$H$6532)</f>
        <v>0</v>
      </c>
      <c r="Q328" s="341">
        <f>SUMIF(GL!$D$6408:$D$6452,B328,GL!$I$6408:$I$6452)</f>
        <v>0</v>
      </c>
      <c r="R328" s="341">
        <f t="shared" ref="R328:S328" si="357">P328+N328</f>
        <v>0</v>
      </c>
      <c r="S328" s="341">
        <f t="shared" si="357"/>
        <v>0</v>
      </c>
      <c r="T328" s="340"/>
      <c r="U328" s="340"/>
      <c r="V328" s="340"/>
      <c r="W328" s="340"/>
      <c r="X328" s="341">
        <f t="shared" si="325"/>
        <v>0</v>
      </c>
      <c r="Y328" s="341">
        <f t="shared" si="326"/>
        <v>0</v>
      </c>
      <c r="Z328" s="331"/>
      <c r="AA328" s="110"/>
      <c r="AB328" s="332"/>
      <c r="AC328" s="332"/>
      <c r="AD328" s="110"/>
      <c r="AE328" s="110"/>
      <c r="AF328" s="110"/>
      <c r="AG328" s="110"/>
      <c r="AH328" s="110"/>
      <c r="AI328" s="110"/>
    </row>
    <row r="329" spans="1:35" ht="13.5" customHeight="1">
      <c r="A329" s="4"/>
      <c r="B329" s="195" t="s">
        <v>2915</v>
      </c>
      <c r="C329" s="340" t="s">
        <v>4416</v>
      </c>
      <c r="D329" s="254">
        <f>SUMIF(GL!$D$5:$D$6505,B329,GL!$G$5:$G$6505)</f>
        <v>1</v>
      </c>
      <c r="E329" s="341">
        <f>SUMIF(GL!$D$6:$D$6487,B329,GL!$H$6:$H$6487)</f>
        <v>87000</v>
      </c>
      <c r="F329" s="341">
        <f>SUMIF(GL!$D$6:$D$6487,B329,GL!$I$6:$I$6487)</f>
        <v>0</v>
      </c>
      <c r="G329" s="341"/>
      <c r="H329" s="341"/>
      <c r="I329" s="341">
        <f t="shared" si="327"/>
        <v>87000</v>
      </c>
      <c r="J329" s="341">
        <f t="shared" si="328"/>
        <v>0</v>
      </c>
      <c r="K329" s="341"/>
      <c r="L329" s="342"/>
      <c r="M329" s="342"/>
      <c r="N329" s="341">
        <f t="shared" si="322"/>
        <v>87000</v>
      </c>
      <c r="O329" s="341">
        <f t="shared" si="323"/>
        <v>0</v>
      </c>
      <c r="P329" s="341">
        <f>SUMIF(GL!$D$6488:$D$6532,B329,GL!$H$6488:$H$6532)</f>
        <v>0</v>
      </c>
      <c r="Q329" s="341">
        <f>SUMIF(GL!$D$6408:$D$6452,B329,GL!$I$6408:$I$6452)</f>
        <v>0</v>
      </c>
      <c r="R329" s="341">
        <f t="shared" ref="R329:S329" si="358">P329+N329</f>
        <v>87000</v>
      </c>
      <c r="S329" s="341">
        <f t="shared" si="358"/>
        <v>0</v>
      </c>
      <c r="T329" s="340"/>
      <c r="U329" s="340"/>
      <c r="V329" s="340"/>
      <c r="W329" s="340"/>
      <c r="X329" s="341">
        <f t="shared" si="325"/>
        <v>87000</v>
      </c>
      <c r="Y329" s="341">
        <f t="shared" si="326"/>
        <v>0</v>
      </c>
      <c r="Z329" s="331"/>
      <c r="AA329" s="110"/>
      <c r="AB329" s="332"/>
      <c r="AC329" s="332"/>
      <c r="AD329" s="110"/>
      <c r="AE329" s="110"/>
      <c r="AF329" s="110"/>
      <c r="AG329" s="110"/>
      <c r="AH329" s="110"/>
      <c r="AI329" s="110"/>
    </row>
    <row r="330" spans="1:35" ht="13.5" customHeight="1">
      <c r="A330" s="4"/>
      <c r="B330" s="195" t="s">
        <v>4417</v>
      </c>
      <c r="C330" s="340" t="s">
        <v>4418</v>
      </c>
      <c r="D330" s="254">
        <f>SUMIF(GL!$D$5:$D$6505,B330,GL!$G$5:$G$6505)</f>
        <v>0</v>
      </c>
      <c r="E330" s="341">
        <f>SUMIF(GL!$D$6:$D$6487,B330,GL!$H$6:$H$6487)</f>
        <v>0</v>
      </c>
      <c r="F330" s="341">
        <f>SUMIF(GL!$D$6:$D$6487,B330,GL!$I$6:$I$6487)</f>
        <v>0</v>
      </c>
      <c r="G330" s="341"/>
      <c r="H330" s="341"/>
      <c r="I330" s="341">
        <f t="shared" si="327"/>
        <v>0</v>
      </c>
      <c r="J330" s="341">
        <f t="shared" si="328"/>
        <v>0</v>
      </c>
      <c r="K330" s="341"/>
      <c r="L330" s="342"/>
      <c r="M330" s="342"/>
      <c r="N330" s="341">
        <f t="shared" si="322"/>
        <v>0</v>
      </c>
      <c r="O330" s="341">
        <f t="shared" si="323"/>
        <v>0</v>
      </c>
      <c r="P330" s="341">
        <f>SUMIF(GL!$D$6488:$D$6532,B330,GL!$H$6488:$H$6532)</f>
        <v>0</v>
      </c>
      <c r="Q330" s="341">
        <f>SUMIF(GL!$D$6408:$D$6452,B330,GL!$I$6408:$I$6452)</f>
        <v>0</v>
      </c>
      <c r="R330" s="341">
        <f t="shared" ref="R330:S330" si="359">P330+N330</f>
        <v>0</v>
      </c>
      <c r="S330" s="341">
        <f t="shared" si="359"/>
        <v>0</v>
      </c>
      <c r="T330" s="340"/>
      <c r="U330" s="340"/>
      <c r="V330" s="340"/>
      <c r="W330" s="340"/>
      <c r="X330" s="341">
        <f t="shared" si="325"/>
        <v>0</v>
      </c>
      <c r="Y330" s="341">
        <f t="shared" si="326"/>
        <v>0</v>
      </c>
      <c r="Z330" s="331"/>
      <c r="AA330" s="110"/>
      <c r="AB330" s="332"/>
      <c r="AC330" s="332"/>
      <c r="AD330" s="110"/>
      <c r="AE330" s="110"/>
      <c r="AF330" s="110"/>
      <c r="AG330" s="110"/>
      <c r="AH330" s="110"/>
      <c r="AI330" s="110"/>
    </row>
    <row r="331" spans="1:35" ht="13.5" customHeight="1">
      <c r="A331" s="4"/>
      <c r="B331" s="195"/>
      <c r="C331" s="340" t="s">
        <v>2630</v>
      </c>
      <c r="D331" s="254">
        <f>SUMIF(GL!$D$5:$D$6505,B331,GL!$G$5:$G$6505)</f>
        <v>0</v>
      </c>
      <c r="E331" s="341">
        <f>SUMIF(GL!$D$6:$D$6487,B331,GL!$H$6:$H$6487)</f>
        <v>0</v>
      </c>
      <c r="F331" s="341">
        <f>SUMIF(GL!$D$6:$D$6487,B331,GL!$I$6:$I$6487)</f>
        <v>0</v>
      </c>
      <c r="G331" s="341"/>
      <c r="H331" s="341"/>
      <c r="I331" s="341">
        <f t="shared" si="327"/>
        <v>0</v>
      </c>
      <c r="J331" s="341">
        <f t="shared" si="328"/>
        <v>0</v>
      </c>
      <c r="K331" s="341"/>
      <c r="L331" s="342"/>
      <c r="M331" s="342"/>
      <c r="N331" s="341">
        <f t="shared" si="322"/>
        <v>0</v>
      </c>
      <c r="O331" s="341">
        <f t="shared" si="323"/>
        <v>0</v>
      </c>
      <c r="P331" s="341">
        <f>SUMIF(GL!$D$6488:$D$6532,B331,GL!$H$6488:$H$6532)</f>
        <v>0</v>
      </c>
      <c r="Q331" s="341">
        <f>SUMIF(GL!$D$6408:$D$6452,B331,GL!$I$6408:$I$6452)</f>
        <v>0</v>
      </c>
      <c r="R331" s="341">
        <f t="shared" ref="R331:S331" si="360">P331+N331</f>
        <v>0</v>
      </c>
      <c r="S331" s="341">
        <f t="shared" si="360"/>
        <v>0</v>
      </c>
      <c r="T331" s="340"/>
      <c r="U331" s="340"/>
      <c r="V331" s="340"/>
      <c r="W331" s="340"/>
      <c r="X331" s="341">
        <f t="shared" si="325"/>
        <v>0</v>
      </c>
      <c r="Y331" s="341">
        <f t="shared" si="326"/>
        <v>0</v>
      </c>
      <c r="Z331" s="331"/>
      <c r="AA331" s="110"/>
      <c r="AB331" s="332"/>
      <c r="AC331" s="332"/>
      <c r="AD331" s="110"/>
      <c r="AE331" s="110"/>
      <c r="AF331" s="110"/>
      <c r="AG331" s="110"/>
      <c r="AH331" s="110"/>
      <c r="AI331" s="110"/>
    </row>
    <row r="332" spans="1:35" ht="13.5" customHeight="1">
      <c r="A332" s="4"/>
      <c r="B332" s="195"/>
      <c r="C332" s="340"/>
      <c r="D332" s="254">
        <f>SUMIF(GL!$D$5:$D$6505,B332,GL!$G$5:$G$6505)</f>
        <v>0</v>
      </c>
      <c r="E332" s="341">
        <f>SUMIF(GL!$D$6:$D$6487,B332,GL!$H$6:$H$6487)</f>
        <v>0</v>
      </c>
      <c r="F332" s="341">
        <f>SUMIF(GL!$D$6:$D$6487,B332,GL!$I$6:$I$6487)</f>
        <v>0</v>
      </c>
      <c r="G332" s="341"/>
      <c r="H332" s="341"/>
      <c r="I332" s="341">
        <f t="shared" si="327"/>
        <v>0</v>
      </c>
      <c r="J332" s="341">
        <f t="shared" si="328"/>
        <v>0</v>
      </c>
      <c r="K332" s="341"/>
      <c r="L332" s="342"/>
      <c r="M332" s="342"/>
      <c r="N332" s="341">
        <f t="shared" si="322"/>
        <v>0</v>
      </c>
      <c r="O332" s="341">
        <f t="shared" si="323"/>
        <v>0</v>
      </c>
      <c r="P332" s="341">
        <f>SUMIF(GL!$D$6488:$D$6532,B332,GL!$H$6488:$H$6532)</f>
        <v>0</v>
      </c>
      <c r="Q332" s="341">
        <f>SUMIF(GL!$D$6408:$D$6452,B332,GL!$I$6408:$I$6452)</f>
        <v>0</v>
      </c>
      <c r="R332" s="341">
        <f t="shared" ref="R332:S332" si="361">P332+N332</f>
        <v>0</v>
      </c>
      <c r="S332" s="341">
        <f t="shared" si="361"/>
        <v>0</v>
      </c>
      <c r="T332" s="340"/>
      <c r="U332" s="340"/>
      <c r="V332" s="340"/>
      <c r="W332" s="340"/>
      <c r="X332" s="341">
        <f t="shared" si="325"/>
        <v>0</v>
      </c>
      <c r="Y332" s="341">
        <f t="shared" si="326"/>
        <v>0</v>
      </c>
      <c r="Z332" s="331"/>
      <c r="AA332" s="330"/>
      <c r="AB332" s="332"/>
      <c r="AC332" s="332"/>
      <c r="AD332" s="110"/>
      <c r="AE332" s="110"/>
      <c r="AF332" s="110"/>
      <c r="AG332" s="110"/>
      <c r="AH332" s="110"/>
      <c r="AI332" s="110"/>
    </row>
    <row r="333" spans="1:35" ht="13.5" customHeight="1">
      <c r="A333" s="4"/>
      <c r="B333" s="195"/>
      <c r="C333" s="340"/>
      <c r="D333" s="254">
        <f>SUMIF(GL!$D$5:$D$6505,B333,GL!$G$5:$G$6505)</f>
        <v>0</v>
      </c>
      <c r="E333" s="341">
        <f>SUMIF(GL!$D$6:$D$6487,B333,GL!$H$6:$H$6487)</f>
        <v>0</v>
      </c>
      <c r="F333" s="341">
        <f>SUMIF(GL!$D$6:$D$6487,B333,GL!$I$6:$I$6487)</f>
        <v>0</v>
      </c>
      <c r="G333" s="341"/>
      <c r="H333" s="341"/>
      <c r="I333" s="341">
        <f t="shared" si="327"/>
        <v>0</v>
      </c>
      <c r="J333" s="341">
        <f t="shared" si="328"/>
        <v>0</v>
      </c>
      <c r="K333" s="341"/>
      <c r="L333" s="342"/>
      <c r="M333" s="342"/>
      <c r="N333" s="341">
        <f t="shared" si="322"/>
        <v>0</v>
      </c>
      <c r="O333" s="341">
        <f t="shared" si="323"/>
        <v>0</v>
      </c>
      <c r="P333" s="341">
        <f>SUMIF(GL!$D$6488:$D$6532,B333,GL!$H$6488:$H$6532)</f>
        <v>0</v>
      </c>
      <c r="Q333" s="341">
        <f>SUMIF(GL!$D$6408:$D$6452,B333,GL!$I$6408:$I$6452)</f>
        <v>0</v>
      </c>
      <c r="R333" s="341">
        <f t="shared" ref="R333:S333" si="362">P333+N333</f>
        <v>0</v>
      </c>
      <c r="S333" s="341">
        <f t="shared" si="362"/>
        <v>0</v>
      </c>
      <c r="T333" s="340"/>
      <c r="U333" s="340"/>
      <c r="V333" s="340"/>
      <c r="W333" s="340"/>
      <c r="X333" s="341">
        <f t="shared" si="325"/>
        <v>0</v>
      </c>
      <c r="Y333" s="341">
        <f t="shared" si="326"/>
        <v>0</v>
      </c>
      <c r="Z333" s="331"/>
      <c r="AA333" s="330"/>
      <c r="AB333" s="332"/>
      <c r="AC333" s="332"/>
      <c r="AD333" s="110"/>
      <c r="AE333" s="110"/>
      <c r="AF333" s="110"/>
      <c r="AG333" s="110"/>
      <c r="AH333" s="110"/>
      <c r="AI333" s="110"/>
    </row>
    <row r="334" spans="1:35" ht="13.5" customHeight="1">
      <c r="A334" s="2"/>
      <c r="B334" s="232" t="s">
        <v>3623</v>
      </c>
      <c r="C334" s="361" t="s">
        <v>3829</v>
      </c>
      <c r="D334" s="319">
        <f t="shared" ref="D334:K334" si="363">SUM(D335:D672)</f>
        <v>12830.794000000004</v>
      </c>
      <c r="E334" s="354">
        <f t="shared" si="363"/>
        <v>507366303</v>
      </c>
      <c r="F334" s="354">
        <f t="shared" si="363"/>
        <v>0</v>
      </c>
      <c r="G334" s="354">
        <f t="shared" si="363"/>
        <v>0</v>
      </c>
      <c r="H334" s="354">
        <f t="shared" si="363"/>
        <v>0</v>
      </c>
      <c r="I334" s="354">
        <f t="shared" si="363"/>
        <v>507366303</v>
      </c>
      <c r="J334" s="354">
        <f t="shared" si="363"/>
        <v>0</v>
      </c>
      <c r="K334" s="354">
        <f t="shared" si="363"/>
        <v>0</v>
      </c>
      <c r="L334" s="354">
        <v>537419763</v>
      </c>
      <c r="M334" s="354">
        <f>SUM(M335:M672)</f>
        <v>0</v>
      </c>
      <c r="N334" s="354">
        <f t="shared" si="322"/>
        <v>1044786066</v>
      </c>
      <c r="O334" s="354">
        <f t="shared" si="323"/>
        <v>0</v>
      </c>
      <c r="P334" s="354">
        <f>SUMIF(GL!$D$6488:$D$6532,B334,GL!$H$6488:$H$6532)</f>
        <v>0</v>
      </c>
      <c r="Q334" s="354">
        <f>GL!H5871</f>
        <v>385226661.72156817</v>
      </c>
      <c r="R334" s="354">
        <f t="shared" ref="R334:S334" si="364">P334+N334</f>
        <v>1044786066</v>
      </c>
      <c r="S334" s="354">
        <f t="shared" si="364"/>
        <v>385226661.72156817</v>
      </c>
      <c r="T334" s="307"/>
      <c r="U334" s="307"/>
      <c r="V334" s="307"/>
      <c r="W334" s="307"/>
      <c r="X334" s="354">
        <f t="shared" si="325"/>
        <v>659559404.27843189</v>
      </c>
      <c r="Y334" s="354">
        <f t="shared" si="326"/>
        <v>0</v>
      </c>
      <c r="Z334" s="331"/>
      <c r="AA334" s="330"/>
      <c r="AB334" s="332"/>
      <c r="AC334" s="352"/>
      <c r="AD334" s="351"/>
      <c r="AE334" s="351"/>
      <c r="AF334" s="351"/>
      <c r="AG334" s="351"/>
      <c r="AH334" s="351"/>
      <c r="AI334" s="351"/>
    </row>
    <row r="335" spans="1:35" ht="13.5" customHeight="1">
      <c r="A335" s="4"/>
      <c r="B335" s="362"/>
      <c r="C335" s="247" t="s">
        <v>3830</v>
      </c>
      <c r="D335" s="254">
        <f>SUMIF(GL!$D$5:$D$6505,B335,GL!$G$5:$G$6505)</f>
        <v>0</v>
      </c>
      <c r="E335" s="341">
        <f>SUMIF(GL!$D$6:$D$6487,B335,GL!$H$6:$H$6487)</f>
        <v>0</v>
      </c>
      <c r="F335" s="341">
        <f>SUMIF(GL!$D$6:$D$6487,B335,GL!$I$6:$I$6487)</f>
        <v>0</v>
      </c>
      <c r="G335" s="341"/>
      <c r="H335" s="341"/>
      <c r="I335" s="341">
        <f t="shared" ref="I335:I589" si="365">IF(E335&gt;F335,E335-F335,0)</f>
        <v>0</v>
      </c>
      <c r="J335" s="341">
        <f t="shared" ref="J335:J589" si="366">IF(F335&gt;E335,F335-E335,0)</f>
        <v>0</v>
      </c>
      <c r="K335" s="341"/>
      <c r="L335" s="342"/>
      <c r="M335" s="342"/>
      <c r="N335" s="341">
        <f t="shared" si="322"/>
        <v>0</v>
      </c>
      <c r="O335" s="341">
        <f t="shared" si="323"/>
        <v>0</v>
      </c>
      <c r="P335" s="341">
        <f>SUMIF(GL!$D$6488:$D$6532,B335,GL!$H$6488:$H$6532)</f>
        <v>0</v>
      </c>
      <c r="Q335" s="341">
        <f>SUMIF(GL!$D$6408:$D$6452,B335,GL!$I$6408:$I$6452)</f>
        <v>0</v>
      </c>
      <c r="R335" s="341">
        <f t="shared" ref="R335:S335" si="367">P335+N335</f>
        <v>0</v>
      </c>
      <c r="S335" s="341">
        <f t="shared" si="367"/>
        <v>0</v>
      </c>
      <c r="T335" s="340"/>
      <c r="U335" s="340"/>
      <c r="V335" s="340"/>
      <c r="W335" s="340"/>
      <c r="X335" s="341">
        <f t="shared" si="325"/>
        <v>0</v>
      </c>
      <c r="Y335" s="341">
        <f t="shared" si="326"/>
        <v>0</v>
      </c>
      <c r="Z335" s="331"/>
      <c r="AA335" s="330"/>
      <c r="AB335" s="332"/>
      <c r="AC335" s="332"/>
      <c r="AD335" s="110"/>
      <c r="AE335" s="110"/>
      <c r="AF335" s="110"/>
      <c r="AG335" s="110"/>
      <c r="AH335" s="110"/>
      <c r="AI335" s="110"/>
    </row>
    <row r="336" spans="1:35" ht="13.5" customHeight="1">
      <c r="A336" s="4"/>
      <c r="B336" s="15" t="s">
        <v>4419</v>
      </c>
      <c r="C336" s="341" t="s">
        <v>4420</v>
      </c>
      <c r="D336" s="254">
        <f>SUMIF(GL!$D$5:$D$6505,B336,GL!$G$5:$G$6505)</f>
        <v>0</v>
      </c>
      <c r="E336" s="341">
        <f>SUMIF(GL!$D$6:$D$6487,B336,GL!$H$6:$H$6487)</f>
        <v>0</v>
      </c>
      <c r="F336" s="341">
        <f>SUMIF(GL!$D$6:$D$6487,B336,GL!$I$6:$I$6487)</f>
        <v>0</v>
      </c>
      <c r="G336" s="341"/>
      <c r="H336" s="341"/>
      <c r="I336" s="341">
        <f t="shared" si="365"/>
        <v>0</v>
      </c>
      <c r="J336" s="341">
        <f t="shared" si="366"/>
        <v>0</v>
      </c>
      <c r="K336" s="341"/>
      <c r="L336" s="342"/>
      <c r="M336" s="342"/>
      <c r="N336" s="341">
        <f t="shared" si="322"/>
        <v>0</v>
      </c>
      <c r="O336" s="341">
        <f t="shared" si="323"/>
        <v>0</v>
      </c>
      <c r="P336" s="341">
        <f>SUMIF(GL!$D$6488:$D$6532,B336,GL!$H$6488:$H$6532)</f>
        <v>0</v>
      </c>
      <c r="Q336" s="341">
        <f>SUMIF(GL!$D$6408:$D$6452,B336,GL!$I$6408:$I$6452)</f>
        <v>0</v>
      </c>
      <c r="R336" s="341">
        <f t="shared" ref="R336:S336" si="368">P336+N336</f>
        <v>0</v>
      </c>
      <c r="S336" s="341">
        <f t="shared" si="368"/>
        <v>0</v>
      </c>
      <c r="T336" s="340"/>
      <c r="U336" s="340"/>
      <c r="V336" s="340"/>
      <c r="W336" s="340"/>
      <c r="X336" s="341">
        <f t="shared" si="325"/>
        <v>0</v>
      </c>
      <c r="Y336" s="341">
        <f t="shared" si="326"/>
        <v>0</v>
      </c>
      <c r="Z336" s="331"/>
      <c r="AA336" s="330"/>
      <c r="AB336" s="332"/>
      <c r="AC336" s="332"/>
      <c r="AD336" s="110"/>
      <c r="AE336" s="110"/>
      <c r="AF336" s="110"/>
      <c r="AG336" s="110"/>
      <c r="AH336" s="110"/>
      <c r="AI336" s="110"/>
    </row>
    <row r="337" spans="1:35" ht="13.5" customHeight="1">
      <c r="A337" s="4"/>
      <c r="B337" s="15" t="s">
        <v>3038</v>
      </c>
      <c r="C337" s="363" t="s">
        <v>4421</v>
      </c>
      <c r="D337" s="254">
        <f>SUMIF(GL!$D$5:$D$6505,B337,GL!$G$5:$G$6505)</f>
        <v>2400</v>
      </c>
      <c r="E337" s="341">
        <f>SUMIF(GL!$D$6:$D$6487,B337,GL!$H$6:$H$6487)</f>
        <v>46420000</v>
      </c>
      <c r="F337" s="341">
        <f>SUMIF(GL!$D$6:$D$6487,B337,GL!$I$6:$I$6487)</f>
        <v>0</v>
      </c>
      <c r="G337" s="341"/>
      <c r="H337" s="341"/>
      <c r="I337" s="341">
        <f t="shared" si="365"/>
        <v>46420000</v>
      </c>
      <c r="J337" s="341">
        <f t="shared" si="366"/>
        <v>0</v>
      </c>
      <c r="K337" s="341"/>
      <c r="L337" s="342"/>
      <c r="M337" s="342"/>
      <c r="N337" s="341">
        <f t="shared" si="322"/>
        <v>46420000</v>
      </c>
      <c r="O337" s="341">
        <f t="shared" si="323"/>
        <v>0</v>
      </c>
      <c r="P337" s="341">
        <f>SUMIF(GL!$D$6488:$D$6532,B337,GL!$H$6488:$H$6532)</f>
        <v>0</v>
      </c>
      <c r="Q337" s="341">
        <f>SUMIF(GL!$D$6408:$D$6452,B337,GL!$I$6408:$I$6452)</f>
        <v>0</v>
      </c>
      <c r="R337" s="341">
        <f t="shared" ref="R337:S337" si="369">P337+N337</f>
        <v>46420000</v>
      </c>
      <c r="S337" s="341">
        <f t="shared" si="369"/>
        <v>0</v>
      </c>
      <c r="T337" s="340"/>
      <c r="U337" s="340"/>
      <c r="V337" s="340"/>
      <c r="W337" s="340"/>
      <c r="X337" s="341">
        <f t="shared" si="325"/>
        <v>46420000</v>
      </c>
      <c r="Y337" s="341">
        <f t="shared" si="326"/>
        <v>0</v>
      </c>
      <c r="Z337" s="364"/>
      <c r="AA337" s="330"/>
      <c r="AB337" s="332"/>
      <c r="AC337" s="332"/>
      <c r="AD337" s="110"/>
      <c r="AE337" s="110"/>
      <c r="AF337" s="110"/>
      <c r="AG337" s="110"/>
      <c r="AH337" s="110"/>
      <c r="AI337" s="110"/>
    </row>
    <row r="338" spans="1:35" ht="13.5" customHeight="1">
      <c r="A338" s="4"/>
      <c r="B338" s="15" t="s">
        <v>3044</v>
      </c>
      <c r="C338" s="363" t="s">
        <v>4422</v>
      </c>
      <c r="D338" s="254">
        <f>SUMIF(GL!$D$5:$D$6505,B338,GL!$G$5:$G$6505)</f>
        <v>360</v>
      </c>
      <c r="E338" s="341">
        <f>SUMIF(GL!$D$6:$D$6487,B338,GL!$H$6:$H$6487)</f>
        <v>8808000</v>
      </c>
      <c r="F338" s="341">
        <f>SUMIF(GL!$D$6:$D$6487,B338,GL!$I$6:$I$6487)</f>
        <v>0</v>
      </c>
      <c r="G338" s="341"/>
      <c r="H338" s="341"/>
      <c r="I338" s="341">
        <f t="shared" si="365"/>
        <v>8808000</v>
      </c>
      <c r="J338" s="341">
        <f t="shared" si="366"/>
        <v>0</v>
      </c>
      <c r="K338" s="341"/>
      <c r="L338" s="342"/>
      <c r="M338" s="342"/>
      <c r="N338" s="341">
        <f t="shared" si="322"/>
        <v>8808000</v>
      </c>
      <c r="O338" s="341">
        <f t="shared" si="323"/>
        <v>0</v>
      </c>
      <c r="P338" s="341">
        <f>SUMIF(GL!$D$6488:$D$6532,B338,GL!$H$6488:$H$6532)</f>
        <v>0</v>
      </c>
      <c r="Q338" s="341">
        <f>SUMIF(GL!$D$6408:$D$6452,B338,GL!$I$6408:$I$6452)</f>
        <v>0</v>
      </c>
      <c r="R338" s="341">
        <f t="shared" ref="R338:S338" si="370">P338+N338</f>
        <v>8808000</v>
      </c>
      <c r="S338" s="341">
        <f t="shared" si="370"/>
        <v>0</v>
      </c>
      <c r="T338" s="340"/>
      <c r="U338" s="340"/>
      <c r="V338" s="340"/>
      <c r="W338" s="340"/>
      <c r="X338" s="341">
        <f t="shared" si="325"/>
        <v>8808000</v>
      </c>
      <c r="Y338" s="341">
        <f t="shared" si="326"/>
        <v>0</v>
      </c>
      <c r="Z338" s="364"/>
      <c r="AA338" s="330"/>
      <c r="AB338" s="332"/>
      <c r="AC338" s="332"/>
      <c r="AD338" s="110"/>
      <c r="AE338" s="110"/>
      <c r="AF338" s="110"/>
      <c r="AG338" s="110"/>
      <c r="AH338" s="110"/>
      <c r="AI338" s="110"/>
    </row>
    <row r="339" spans="1:35" ht="13.5" customHeight="1">
      <c r="A339" s="4"/>
      <c r="B339" s="15" t="s">
        <v>3031</v>
      </c>
      <c r="C339" s="363" t="s">
        <v>4423</v>
      </c>
      <c r="D339" s="254">
        <f>SUMIF(GL!$D$5:$D$6505,B339,GL!$G$5:$G$6505)</f>
        <v>120</v>
      </c>
      <c r="E339" s="341">
        <f>SUMIF(GL!$D$6:$D$6487,B339,GL!$H$6:$H$6487)</f>
        <v>2905000</v>
      </c>
      <c r="F339" s="341">
        <f>SUMIF(GL!$D$6:$D$6487,B339,GL!$I$6:$I$6487)</f>
        <v>0</v>
      </c>
      <c r="G339" s="341"/>
      <c r="H339" s="341"/>
      <c r="I339" s="341">
        <f t="shared" si="365"/>
        <v>2905000</v>
      </c>
      <c r="J339" s="341">
        <f t="shared" si="366"/>
        <v>0</v>
      </c>
      <c r="K339" s="341"/>
      <c r="L339" s="342"/>
      <c r="M339" s="342"/>
      <c r="N339" s="341">
        <f t="shared" si="322"/>
        <v>2905000</v>
      </c>
      <c r="O339" s="341">
        <f t="shared" si="323"/>
        <v>0</v>
      </c>
      <c r="P339" s="341">
        <f>SUMIF(GL!$D$6488:$D$6532,B339,GL!$H$6488:$H$6532)</f>
        <v>0</v>
      </c>
      <c r="Q339" s="341">
        <f>SUMIF(GL!$D$6408:$D$6452,B339,GL!$I$6408:$I$6452)</f>
        <v>0</v>
      </c>
      <c r="R339" s="341">
        <f t="shared" ref="R339:S339" si="371">P339+N339</f>
        <v>2905000</v>
      </c>
      <c r="S339" s="341">
        <f t="shared" si="371"/>
        <v>0</v>
      </c>
      <c r="T339" s="340"/>
      <c r="U339" s="340"/>
      <c r="V339" s="340"/>
      <c r="W339" s="340"/>
      <c r="X339" s="341">
        <f t="shared" si="325"/>
        <v>2905000</v>
      </c>
      <c r="Y339" s="341">
        <f t="shared" si="326"/>
        <v>0</v>
      </c>
      <c r="Z339" s="364"/>
      <c r="AA339" s="330"/>
      <c r="AB339" s="332"/>
      <c r="AC339" s="332"/>
      <c r="AD339" s="110"/>
      <c r="AE339" s="110"/>
      <c r="AF339" s="110"/>
      <c r="AG339" s="110"/>
      <c r="AH339" s="110"/>
      <c r="AI339" s="110"/>
    </row>
    <row r="340" spans="1:35" ht="13.5" customHeight="1">
      <c r="A340" s="4"/>
      <c r="B340" s="15" t="s">
        <v>3042</v>
      </c>
      <c r="C340" s="363" t="s">
        <v>4424</v>
      </c>
      <c r="D340" s="254">
        <f>SUMIF(GL!$D$5:$D$6505,B340,GL!$G$5:$G$6505)</f>
        <v>336</v>
      </c>
      <c r="E340" s="341">
        <f>SUMIF(GL!$D$6:$D$6487,B340,GL!$H$6:$H$6487)</f>
        <v>6526800</v>
      </c>
      <c r="F340" s="341">
        <f>SUMIF(GL!$D$6:$D$6487,B340,GL!$I$6:$I$6487)</f>
        <v>0</v>
      </c>
      <c r="G340" s="341"/>
      <c r="H340" s="341"/>
      <c r="I340" s="341">
        <f t="shared" si="365"/>
        <v>6526800</v>
      </c>
      <c r="J340" s="341">
        <f t="shared" si="366"/>
        <v>0</v>
      </c>
      <c r="K340" s="341"/>
      <c r="L340" s="342"/>
      <c r="M340" s="342"/>
      <c r="N340" s="341">
        <f t="shared" si="322"/>
        <v>6526800</v>
      </c>
      <c r="O340" s="341">
        <f t="shared" si="323"/>
        <v>0</v>
      </c>
      <c r="P340" s="341">
        <f>SUMIF(GL!$D$6488:$D$6532,B340,GL!$H$6488:$H$6532)</f>
        <v>0</v>
      </c>
      <c r="Q340" s="341">
        <f>SUMIF(GL!$D$6408:$D$6452,B340,GL!$I$6408:$I$6452)</f>
        <v>0</v>
      </c>
      <c r="R340" s="341">
        <f t="shared" ref="R340:S340" si="372">P340+N340</f>
        <v>6526800</v>
      </c>
      <c r="S340" s="341">
        <f t="shared" si="372"/>
        <v>0</v>
      </c>
      <c r="T340" s="340"/>
      <c r="U340" s="340"/>
      <c r="V340" s="340"/>
      <c r="W340" s="340"/>
      <c r="X340" s="341">
        <f t="shared" si="325"/>
        <v>6526800</v>
      </c>
      <c r="Y340" s="341">
        <f t="shared" si="326"/>
        <v>0</v>
      </c>
      <c r="Z340" s="364"/>
      <c r="AA340" s="330"/>
      <c r="AB340" s="332"/>
      <c r="AC340" s="332"/>
      <c r="AD340" s="110"/>
      <c r="AE340" s="110"/>
      <c r="AF340" s="110"/>
      <c r="AG340" s="110"/>
      <c r="AH340" s="110"/>
      <c r="AI340" s="110"/>
    </row>
    <row r="341" spans="1:35" ht="13.5" customHeight="1">
      <c r="A341" s="4"/>
      <c r="B341" s="15" t="s">
        <v>3046</v>
      </c>
      <c r="C341" s="363" t="s">
        <v>4425</v>
      </c>
      <c r="D341" s="254">
        <f>SUMIF(GL!$D$5:$D$6505,B341,GL!$G$5:$G$6505)</f>
        <v>240</v>
      </c>
      <c r="E341" s="341">
        <f>SUMIF(GL!$D$6:$D$6487,B341,GL!$H$6:$H$6487)</f>
        <v>5092000</v>
      </c>
      <c r="F341" s="341">
        <f>SUMIF(GL!$D$6:$D$6487,B341,GL!$I$6:$I$6487)</f>
        <v>0</v>
      </c>
      <c r="G341" s="341"/>
      <c r="H341" s="341"/>
      <c r="I341" s="341">
        <f t="shared" si="365"/>
        <v>5092000</v>
      </c>
      <c r="J341" s="341">
        <f t="shared" si="366"/>
        <v>0</v>
      </c>
      <c r="K341" s="341"/>
      <c r="L341" s="342"/>
      <c r="M341" s="342"/>
      <c r="N341" s="341">
        <f t="shared" si="322"/>
        <v>5092000</v>
      </c>
      <c r="O341" s="341">
        <f t="shared" si="323"/>
        <v>0</v>
      </c>
      <c r="P341" s="341">
        <f>SUMIF(GL!$D$6488:$D$6532,B341,GL!$H$6488:$H$6532)</f>
        <v>0</v>
      </c>
      <c r="Q341" s="341">
        <f>SUMIF(GL!$D$6408:$D$6452,B341,GL!$I$6408:$I$6452)</f>
        <v>0</v>
      </c>
      <c r="R341" s="341">
        <f t="shared" ref="R341:S341" si="373">P341+N341</f>
        <v>5092000</v>
      </c>
      <c r="S341" s="341">
        <f t="shared" si="373"/>
        <v>0</v>
      </c>
      <c r="T341" s="340"/>
      <c r="U341" s="340"/>
      <c r="V341" s="340"/>
      <c r="W341" s="340"/>
      <c r="X341" s="341">
        <f t="shared" si="325"/>
        <v>5092000</v>
      </c>
      <c r="Y341" s="341">
        <f t="shared" si="326"/>
        <v>0</v>
      </c>
      <c r="Z341" s="364"/>
      <c r="AA341" s="330"/>
      <c r="AB341" s="332"/>
      <c r="AC341" s="332"/>
      <c r="AD341" s="110"/>
      <c r="AE341" s="110"/>
      <c r="AF341" s="110"/>
      <c r="AG341" s="110"/>
      <c r="AH341" s="110"/>
      <c r="AI341" s="110"/>
    </row>
    <row r="342" spans="1:35" ht="13.5" customHeight="1">
      <c r="A342" s="4"/>
      <c r="B342" s="15" t="s">
        <v>4426</v>
      </c>
      <c r="C342" s="363" t="s">
        <v>4427</v>
      </c>
      <c r="D342" s="254">
        <f>SUMIF(GL!$D$5:$D$6505,B342,GL!$G$5:$G$6505)</f>
        <v>0</v>
      </c>
      <c r="E342" s="341">
        <f>SUMIF(GL!$D$6:$D$6487,B342,GL!$H$6:$H$6487)</f>
        <v>0</v>
      </c>
      <c r="F342" s="341">
        <f>SUMIF(GL!$D$6:$D$6487,B342,GL!$I$6:$I$6487)</f>
        <v>0</v>
      </c>
      <c r="G342" s="341"/>
      <c r="H342" s="341"/>
      <c r="I342" s="341">
        <f t="shared" si="365"/>
        <v>0</v>
      </c>
      <c r="J342" s="341">
        <f t="shared" si="366"/>
        <v>0</v>
      </c>
      <c r="K342" s="341"/>
      <c r="L342" s="342"/>
      <c r="M342" s="342"/>
      <c r="N342" s="341">
        <f t="shared" si="322"/>
        <v>0</v>
      </c>
      <c r="O342" s="341">
        <f t="shared" si="323"/>
        <v>0</v>
      </c>
      <c r="P342" s="341">
        <f>SUMIF(GL!$D$6488:$D$6532,B342,GL!$H$6488:$H$6532)</f>
        <v>0</v>
      </c>
      <c r="Q342" s="341">
        <f>SUMIF(GL!$D$6408:$D$6452,B342,GL!$I$6408:$I$6452)</f>
        <v>0</v>
      </c>
      <c r="R342" s="341">
        <f t="shared" ref="R342:S342" si="374">P342+N342</f>
        <v>0</v>
      </c>
      <c r="S342" s="341">
        <f t="shared" si="374"/>
        <v>0</v>
      </c>
      <c r="T342" s="340"/>
      <c r="U342" s="340"/>
      <c r="V342" s="340"/>
      <c r="W342" s="340"/>
      <c r="X342" s="341">
        <f t="shared" si="325"/>
        <v>0</v>
      </c>
      <c r="Y342" s="341">
        <f t="shared" si="326"/>
        <v>0</v>
      </c>
      <c r="Z342" s="364"/>
      <c r="AA342" s="330"/>
      <c r="AB342" s="332"/>
      <c r="AC342" s="332"/>
      <c r="AD342" s="110"/>
      <c r="AE342" s="110"/>
      <c r="AF342" s="110"/>
      <c r="AG342" s="110"/>
      <c r="AH342" s="110"/>
      <c r="AI342" s="110"/>
    </row>
    <row r="343" spans="1:35" ht="13.5" customHeight="1">
      <c r="A343" s="4"/>
      <c r="B343" s="174" t="s">
        <v>4428</v>
      </c>
      <c r="C343" s="363" t="s">
        <v>4429</v>
      </c>
      <c r="D343" s="254">
        <f>SUMIF(GL!$D$5:$D$6505,B343,GL!$G$5:$G$6505)</f>
        <v>0</v>
      </c>
      <c r="E343" s="341">
        <f>SUMIF(GL!$D$6:$D$6487,B343,GL!$H$6:$H$6487)</f>
        <v>0</v>
      </c>
      <c r="F343" s="341">
        <f>SUMIF(GL!$D$6:$D$6487,B343,GL!$I$6:$I$6487)</f>
        <v>0</v>
      </c>
      <c r="G343" s="341"/>
      <c r="H343" s="341"/>
      <c r="I343" s="341">
        <f t="shared" si="365"/>
        <v>0</v>
      </c>
      <c r="J343" s="341">
        <f t="shared" si="366"/>
        <v>0</v>
      </c>
      <c r="K343" s="341"/>
      <c r="L343" s="342"/>
      <c r="M343" s="342"/>
      <c r="N343" s="341">
        <f t="shared" si="322"/>
        <v>0</v>
      </c>
      <c r="O343" s="341">
        <f t="shared" si="323"/>
        <v>0</v>
      </c>
      <c r="P343" s="341">
        <f>SUMIF(GL!$D$6488:$D$6532,B343,GL!$H$6488:$H$6532)</f>
        <v>0</v>
      </c>
      <c r="Q343" s="341">
        <f>SUMIF(GL!$D$6408:$D$6452,B343,GL!$I$6408:$I$6452)</f>
        <v>0</v>
      </c>
      <c r="R343" s="341">
        <f t="shared" ref="R343:S343" si="375">P343+N343</f>
        <v>0</v>
      </c>
      <c r="S343" s="341">
        <f t="shared" si="375"/>
        <v>0</v>
      </c>
      <c r="T343" s="340"/>
      <c r="U343" s="340"/>
      <c r="V343" s="340"/>
      <c r="W343" s="340"/>
      <c r="X343" s="341">
        <f t="shared" si="325"/>
        <v>0</v>
      </c>
      <c r="Y343" s="341">
        <f t="shared" si="326"/>
        <v>0</v>
      </c>
      <c r="Z343" s="364"/>
      <c r="AA343" s="330"/>
      <c r="AB343" s="332"/>
      <c r="AC343" s="332"/>
      <c r="AD343" s="110"/>
      <c r="AE343" s="110"/>
      <c r="AF343" s="110"/>
      <c r="AG343" s="110"/>
      <c r="AH343" s="110"/>
      <c r="AI343" s="110"/>
    </row>
    <row r="344" spans="1:35" ht="13.5" customHeight="1">
      <c r="A344" s="4"/>
      <c r="B344" s="15" t="s">
        <v>3040</v>
      </c>
      <c r="C344" s="363" t="s">
        <v>4430</v>
      </c>
      <c r="D344" s="254">
        <f>SUMIF(GL!$D$5:$D$6505,B344,GL!$G$5:$G$6505)</f>
        <v>1</v>
      </c>
      <c r="E344" s="341">
        <f>SUMIF(GL!$D$6:$D$6487,B344,GL!$H$6:$H$6487)</f>
        <v>1640200</v>
      </c>
      <c r="F344" s="341">
        <f>SUMIF(GL!$D$6:$D$6487,B344,GL!$I$6:$I$6487)</f>
        <v>0</v>
      </c>
      <c r="G344" s="341"/>
      <c r="H344" s="341"/>
      <c r="I344" s="341">
        <f t="shared" si="365"/>
        <v>1640200</v>
      </c>
      <c r="J344" s="341">
        <f t="shared" si="366"/>
        <v>0</v>
      </c>
      <c r="K344" s="341"/>
      <c r="L344" s="342"/>
      <c r="M344" s="342"/>
      <c r="N344" s="341">
        <f t="shared" si="322"/>
        <v>1640200</v>
      </c>
      <c r="O344" s="341">
        <f t="shared" si="323"/>
        <v>0</v>
      </c>
      <c r="P344" s="341">
        <f>SUMIF(GL!$D$6488:$D$6532,B344,GL!$H$6488:$H$6532)</f>
        <v>0</v>
      </c>
      <c r="Q344" s="341">
        <f>SUMIF(GL!$D$6408:$D$6452,B344,GL!$I$6408:$I$6452)</f>
        <v>0</v>
      </c>
      <c r="R344" s="341">
        <f t="shared" ref="R344:S344" si="376">P344+N344</f>
        <v>1640200</v>
      </c>
      <c r="S344" s="341">
        <f t="shared" si="376"/>
        <v>0</v>
      </c>
      <c r="T344" s="340"/>
      <c r="U344" s="340"/>
      <c r="V344" s="340"/>
      <c r="W344" s="340"/>
      <c r="X344" s="341">
        <f t="shared" si="325"/>
        <v>1640200</v>
      </c>
      <c r="Y344" s="341">
        <f t="shared" si="326"/>
        <v>0</v>
      </c>
      <c r="Z344" s="364"/>
      <c r="AA344" s="330"/>
      <c r="AB344" s="332"/>
      <c r="AC344" s="332"/>
      <c r="AD344" s="110"/>
      <c r="AE344" s="110"/>
      <c r="AF344" s="110"/>
      <c r="AG344" s="110"/>
      <c r="AH344" s="110"/>
      <c r="AI344" s="110"/>
    </row>
    <row r="345" spans="1:35" ht="13.5" customHeight="1">
      <c r="A345" s="4"/>
      <c r="B345" s="15" t="s">
        <v>4431</v>
      </c>
      <c r="C345" s="363" t="s">
        <v>4432</v>
      </c>
      <c r="D345" s="254">
        <f>SUMIF(GL!$D$5:$D$6505,B345,GL!$G$5:$G$6505)</f>
        <v>0</v>
      </c>
      <c r="E345" s="341">
        <f>SUMIF(GL!$D$6:$D$6487,B345,GL!$H$6:$H$6487)</f>
        <v>0</v>
      </c>
      <c r="F345" s="341">
        <f>SUMIF(GL!$D$6:$D$6487,B345,GL!$I$6:$I$6487)</f>
        <v>0</v>
      </c>
      <c r="G345" s="341"/>
      <c r="H345" s="341"/>
      <c r="I345" s="341">
        <f t="shared" si="365"/>
        <v>0</v>
      </c>
      <c r="J345" s="341">
        <f t="shared" si="366"/>
        <v>0</v>
      </c>
      <c r="K345" s="341"/>
      <c r="L345" s="342"/>
      <c r="M345" s="342"/>
      <c r="N345" s="341">
        <f t="shared" si="322"/>
        <v>0</v>
      </c>
      <c r="O345" s="341">
        <f t="shared" si="323"/>
        <v>0</v>
      </c>
      <c r="P345" s="341">
        <f>SUMIF(GL!$D$6488:$D$6532,B345,GL!$H$6488:$H$6532)</f>
        <v>0</v>
      </c>
      <c r="Q345" s="341">
        <f>SUMIF(GL!$D$6408:$D$6452,B345,GL!$I$6408:$I$6452)</f>
        <v>0</v>
      </c>
      <c r="R345" s="341">
        <f t="shared" ref="R345:S345" si="377">P345+N345</f>
        <v>0</v>
      </c>
      <c r="S345" s="341">
        <f t="shared" si="377"/>
        <v>0</v>
      </c>
      <c r="T345" s="340"/>
      <c r="U345" s="340"/>
      <c r="V345" s="340"/>
      <c r="W345" s="340"/>
      <c r="X345" s="341">
        <f t="shared" si="325"/>
        <v>0</v>
      </c>
      <c r="Y345" s="341">
        <f t="shared" si="326"/>
        <v>0</v>
      </c>
      <c r="Z345" s="364"/>
      <c r="AA345" s="330"/>
      <c r="AB345" s="332"/>
      <c r="AC345" s="332"/>
      <c r="AD345" s="110"/>
      <c r="AE345" s="110"/>
      <c r="AF345" s="110"/>
      <c r="AG345" s="110"/>
      <c r="AH345" s="110"/>
      <c r="AI345" s="110"/>
    </row>
    <row r="346" spans="1:35" ht="13.5" customHeight="1">
      <c r="A346" s="4"/>
      <c r="B346" s="15" t="s">
        <v>3449</v>
      </c>
      <c r="C346" s="363" t="s">
        <v>4433</v>
      </c>
      <c r="D346" s="254">
        <f>SUMIF(GL!$D$5:$D$6505,B346,GL!$G$5:$G$6505)</f>
        <v>120</v>
      </c>
      <c r="E346" s="341">
        <f>SUMIF(GL!$D$6:$D$6487,B346,GL!$H$6:$H$6487)</f>
        <v>5950000</v>
      </c>
      <c r="F346" s="341">
        <f>SUMIF(GL!$D$6:$D$6487,B346,GL!$I$6:$I$6487)</f>
        <v>0</v>
      </c>
      <c r="G346" s="341"/>
      <c r="H346" s="341"/>
      <c r="I346" s="341">
        <f t="shared" si="365"/>
        <v>5950000</v>
      </c>
      <c r="J346" s="341">
        <f t="shared" si="366"/>
        <v>0</v>
      </c>
      <c r="K346" s="341"/>
      <c r="L346" s="342"/>
      <c r="M346" s="342"/>
      <c r="N346" s="341">
        <f t="shared" si="322"/>
        <v>5950000</v>
      </c>
      <c r="O346" s="341">
        <f t="shared" si="323"/>
        <v>0</v>
      </c>
      <c r="P346" s="341">
        <f>SUMIF(GL!$D$6488:$D$6532,B346,GL!$H$6488:$H$6532)</f>
        <v>0</v>
      </c>
      <c r="Q346" s="341">
        <f>SUMIF(GL!$D$6408:$D$6452,B346,GL!$I$6408:$I$6452)</f>
        <v>0</v>
      </c>
      <c r="R346" s="341">
        <f t="shared" ref="R346:S346" si="378">P346+N346</f>
        <v>5950000</v>
      </c>
      <c r="S346" s="341">
        <f t="shared" si="378"/>
        <v>0</v>
      </c>
      <c r="T346" s="340"/>
      <c r="U346" s="340"/>
      <c r="V346" s="340"/>
      <c r="W346" s="340"/>
      <c r="X346" s="341">
        <f t="shared" si="325"/>
        <v>5950000</v>
      </c>
      <c r="Y346" s="341">
        <f t="shared" si="326"/>
        <v>0</v>
      </c>
      <c r="Z346" s="364"/>
      <c r="AA346" s="330"/>
      <c r="AB346" s="332"/>
      <c r="AC346" s="332"/>
      <c r="AD346" s="110"/>
      <c r="AE346" s="110"/>
      <c r="AF346" s="110"/>
      <c r="AG346" s="110"/>
      <c r="AH346" s="110"/>
      <c r="AI346" s="110"/>
    </row>
    <row r="347" spans="1:35" ht="13.5" customHeight="1">
      <c r="A347" s="4"/>
      <c r="B347" s="15" t="s">
        <v>4434</v>
      </c>
      <c r="C347" s="363" t="s">
        <v>4435</v>
      </c>
      <c r="D347" s="254">
        <f>SUMIF(GL!$D$5:$D$6505,B347,GL!$G$5:$G$6505)</f>
        <v>0</v>
      </c>
      <c r="E347" s="341">
        <f>SUMIF(GL!$D$6:$D$6487,B347,GL!$H$6:$H$6487)</f>
        <v>0</v>
      </c>
      <c r="F347" s="341">
        <f>SUMIF(GL!$D$6:$D$6487,B347,GL!$I$6:$I$6487)</f>
        <v>0</v>
      </c>
      <c r="G347" s="341"/>
      <c r="H347" s="341"/>
      <c r="I347" s="341">
        <f t="shared" si="365"/>
        <v>0</v>
      </c>
      <c r="J347" s="341">
        <f t="shared" si="366"/>
        <v>0</v>
      </c>
      <c r="K347" s="341"/>
      <c r="L347" s="342"/>
      <c r="M347" s="342"/>
      <c r="N347" s="341">
        <f t="shared" si="322"/>
        <v>0</v>
      </c>
      <c r="O347" s="341">
        <f t="shared" si="323"/>
        <v>0</v>
      </c>
      <c r="P347" s="341">
        <f>SUMIF(GL!$D$6488:$D$6532,B347,GL!$H$6488:$H$6532)</f>
        <v>0</v>
      </c>
      <c r="Q347" s="341">
        <f>SUMIF(GL!$D$6408:$D$6452,B347,GL!$I$6408:$I$6452)</f>
        <v>0</v>
      </c>
      <c r="R347" s="341">
        <f t="shared" ref="R347:S347" si="379">P347+N347</f>
        <v>0</v>
      </c>
      <c r="S347" s="341">
        <f t="shared" si="379"/>
        <v>0</v>
      </c>
      <c r="T347" s="340"/>
      <c r="U347" s="340"/>
      <c r="V347" s="340"/>
      <c r="W347" s="340"/>
      <c r="X347" s="341">
        <f t="shared" si="325"/>
        <v>0</v>
      </c>
      <c r="Y347" s="341">
        <f t="shared" si="326"/>
        <v>0</v>
      </c>
      <c r="Z347" s="364"/>
      <c r="AA347" s="330"/>
      <c r="AB347" s="332"/>
      <c r="AC347" s="332"/>
      <c r="AD347" s="110"/>
      <c r="AE347" s="110"/>
      <c r="AF347" s="110"/>
      <c r="AG347" s="110"/>
      <c r="AH347" s="110"/>
      <c r="AI347" s="110"/>
    </row>
    <row r="348" spans="1:35" ht="13.5" customHeight="1">
      <c r="A348" s="4"/>
      <c r="B348" s="15" t="s">
        <v>2971</v>
      </c>
      <c r="C348" s="365" t="s">
        <v>4436</v>
      </c>
      <c r="D348" s="254">
        <f>SUMIF(GL!$D$5:$D$6505,B348,GL!$G$5:$G$6505)</f>
        <v>2400</v>
      </c>
      <c r="E348" s="341">
        <f>SUMIF(GL!$D$6:$D$6487,B348,GL!$H$6:$H$6487)</f>
        <v>52800000</v>
      </c>
      <c r="F348" s="341">
        <f>SUMIF(GL!$D$6:$D$6487,B348,GL!$I$6:$I$6487)</f>
        <v>0</v>
      </c>
      <c r="G348" s="341"/>
      <c r="H348" s="341"/>
      <c r="I348" s="341">
        <f t="shared" si="365"/>
        <v>52800000</v>
      </c>
      <c r="J348" s="341">
        <f t="shared" si="366"/>
        <v>0</v>
      </c>
      <c r="K348" s="341"/>
      <c r="L348" s="342"/>
      <c r="M348" s="342"/>
      <c r="N348" s="341">
        <f t="shared" si="322"/>
        <v>52800000</v>
      </c>
      <c r="O348" s="341">
        <f t="shared" si="323"/>
        <v>0</v>
      </c>
      <c r="P348" s="341">
        <f>SUMIF(GL!$D$6488:$D$6532,B348,GL!$H$6488:$H$6532)</f>
        <v>0</v>
      </c>
      <c r="Q348" s="341">
        <f>SUMIF(GL!$D$6408:$D$6452,B348,GL!$I$6408:$I$6452)</f>
        <v>0</v>
      </c>
      <c r="R348" s="341">
        <f t="shared" ref="R348:S348" si="380">P348+N348</f>
        <v>52800000</v>
      </c>
      <c r="S348" s="341">
        <f t="shared" si="380"/>
        <v>0</v>
      </c>
      <c r="T348" s="340"/>
      <c r="U348" s="340"/>
      <c r="V348" s="340"/>
      <c r="W348" s="340"/>
      <c r="X348" s="341">
        <f t="shared" si="325"/>
        <v>52800000</v>
      </c>
      <c r="Y348" s="341">
        <f t="shared" si="326"/>
        <v>0</v>
      </c>
      <c r="Z348" s="364"/>
      <c r="AA348" s="330"/>
      <c r="AB348" s="332"/>
      <c r="AC348" s="332"/>
      <c r="AD348" s="110"/>
      <c r="AE348" s="110"/>
      <c r="AF348" s="110"/>
      <c r="AG348" s="110"/>
      <c r="AH348" s="110"/>
      <c r="AI348" s="110"/>
    </row>
    <row r="349" spans="1:35" ht="13.5" customHeight="1">
      <c r="A349" s="4"/>
      <c r="B349" s="15" t="s">
        <v>2522</v>
      </c>
      <c r="C349" s="363" t="s">
        <v>4437</v>
      </c>
      <c r="D349" s="254">
        <f>SUMIF(GL!$D$5:$D$6505,B349,GL!$G$5:$G$6505)</f>
        <v>840</v>
      </c>
      <c r="E349" s="341">
        <f>SUMIF(GL!$D$6:$D$6487,B349,GL!$H$6:$H$6487)</f>
        <v>4655000</v>
      </c>
      <c r="F349" s="341">
        <f>SUMIF(GL!$D$6:$D$6487,B349,GL!$I$6:$I$6487)</f>
        <v>0</v>
      </c>
      <c r="G349" s="341"/>
      <c r="H349" s="341"/>
      <c r="I349" s="341">
        <f t="shared" si="365"/>
        <v>4655000</v>
      </c>
      <c r="J349" s="341">
        <f t="shared" si="366"/>
        <v>0</v>
      </c>
      <c r="K349" s="341"/>
      <c r="L349" s="342"/>
      <c r="M349" s="342"/>
      <c r="N349" s="341">
        <f t="shared" si="322"/>
        <v>4655000</v>
      </c>
      <c r="O349" s="341">
        <f t="shared" si="323"/>
        <v>0</v>
      </c>
      <c r="P349" s="341">
        <f>SUMIF(GL!$D$6488:$D$6532,B349,GL!$H$6488:$H$6532)</f>
        <v>0</v>
      </c>
      <c r="Q349" s="341">
        <f>SUMIF(GL!$D$6408:$D$6452,B349,GL!$I$6408:$I$6452)</f>
        <v>0</v>
      </c>
      <c r="R349" s="341">
        <f t="shared" ref="R349:S349" si="381">P349+N349</f>
        <v>4655000</v>
      </c>
      <c r="S349" s="341">
        <f t="shared" si="381"/>
        <v>0</v>
      </c>
      <c r="T349" s="340"/>
      <c r="U349" s="340"/>
      <c r="V349" s="340"/>
      <c r="W349" s="340"/>
      <c r="X349" s="341">
        <f t="shared" si="325"/>
        <v>4655000</v>
      </c>
      <c r="Y349" s="341">
        <f t="shared" si="326"/>
        <v>0</v>
      </c>
      <c r="Z349" s="364"/>
      <c r="AA349" s="330"/>
      <c r="AB349" s="332"/>
      <c r="AC349" s="332"/>
      <c r="AD349" s="110"/>
      <c r="AE349" s="110"/>
      <c r="AF349" s="110"/>
      <c r="AG349" s="110"/>
      <c r="AH349" s="110"/>
      <c r="AI349" s="110"/>
    </row>
    <row r="350" spans="1:35" ht="13.5" customHeight="1">
      <c r="A350" s="4"/>
      <c r="B350" s="15" t="s">
        <v>4438</v>
      </c>
      <c r="C350" s="363" t="s">
        <v>4439</v>
      </c>
      <c r="D350" s="254">
        <f>SUMIF(GL!$D$5:$D$6505,B350,GL!$G$5:$G$6505)</f>
        <v>0</v>
      </c>
      <c r="E350" s="341">
        <f>SUMIF(GL!$D$6:$D$6487,B350,GL!$H$6:$H$6487)</f>
        <v>0</v>
      </c>
      <c r="F350" s="341">
        <f>SUMIF(GL!$D$6:$D$6487,B350,GL!$I$6:$I$6487)</f>
        <v>0</v>
      </c>
      <c r="G350" s="341"/>
      <c r="H350" s="341"/>
      <c r="I350" s="341">
        <f t="shared" si="365"/>
        <v>0</v>
      </c>
      <c r="J350" s="341">
        <f t="shared" si="366"/>
        <v>0</v>
      </c>
      <c r="K350" s="341"/>
      <c r="L350" s="342"/>
      <c r="M350" s="342"/>
      <c r="N350" s="341">
        <f t="shared" si="322"/>
        <v>0</v>
      </c>
      <c r="O350" s="341">
        <f t="shared" si="323"/>
        <v>0</v>
      </c>
      <c r="P350" s="341">
        <f>SUMIF(GL!$D$6488:$D$6532,B350,GL!$H$6488:$H$6532)</f>
        <v>0</v>
      </c>
      <c r="Q350" s="341">
        <f>SUMIF(GL!$D$6408:$D$6452,B350,GL!$I$6408:$I$6452)</f>
        <v>0</v>
      </c>
      <c r="R350" s="341">
        <f t="shared" ref="R350:S350" si="382">P350+N350</f>
        <v>0</v>
      </c>
      <c r="S350" s="341">
        <f t="shared" si="382"/>
        <v>0</v>
      </c>
      <c r="T350" s="340"/>
      <c r="U350" s="340"/>
      <c r="V350" s="340"/>
      <c r="W350" s="340"/>
      <c r="X350" s="341">
        <f t="shared" si="325"/>
        <v>0</v>
      </c>
      <c r="Y350" s="341">
        <f t="shared" si="326"/>
        <v>0</v>
      </c>
      <c r="Z350" s="364"/>
      <c r="AA350" s="330"/>
      <c r="AB350" s="332"/>
      <c r="AC350" s="332"/>
      <c r="AD350" s="110"/>
      <c r="AE350" s="110"/>
      <c r="AF350" s="110"/>
      <c r="AG350" s="110"/>
      <c r="AH350" s="110"/>
      <c r="AI350" s="110"/>
    </row>
    <row r="351" spans="1:35" ht="13.5" customHeight="1">
      <c r="A351" s="4"/>
      <c r="B351" s="15" t="s">
        <v>2526</v>
      </c>
      <c r="C351" s="363" t="s">
        <v>4440</v>
      </c>
      <c r="D351" s="254">
        <f>SUMIF(GL!$D$5:$D$6505,B351,GL!$G$5:$G$6505)</f>
        <v>264</v>
      </c>
      <c r="E351" s="341">
        <f>SUMIF(GL!$D$6:$D$6487,B351,GL!$H$6:$H$6487)</f>
        <v>1463000</v>
      </c>
      <c r="F351" s="341">
        <f>SUMIF(GL!$D$6:$D$6487,B351,GL!$I$6:$I$6487)</f>
        <v>0</v>
      </c>
      <c r="G351" s="341"/>
      <c r="H351" s="341"/>
      <c r="I351" s="341">
        <f t="shared" si="365"/>
        <v>1463000</v>
      </c>
      <c r="J351" s="341">
        <f t="shared" si="366"/>
        <v>0</v>
      </c>
      <c r="K351" s="341"/>
      <c r="L351" s="342"/>
      <c r="M351" s="342"/>
      <c r="N351" s="341">
        <f t="shared" si="322"/>
        <v>1463000</v>
      </c>
      <c r="O351" s="341">
        <f t="shared" si="323"/>
        <v>0</v>
      </c>
      <c r="P351" s="341">
        <f>SUMIF(GL!$D$6488:$D$6532,B351,GL!$H$6488:$H$6532)</f>
        <v>0</v>
      </c>
      <c r="Q351" s="341">
        <f>SUMIF(GL!$D$6408:$D$6452,B351,GL!$I$6408:$I$6452)</f>
        <v>0</v>
      </c>
      <c r="R351" s="341">
        <f t="shared" ref="R351:S351" si="383">P351+N351</f>
        <v>1463000</v>
      </c>
      <c r="S351" s="341">
        <f t="shared" si="383"/>
        <v>0</v>
      </c>
      <c r="T351" s="340"/>
      <c r="U351" s="340"/>
      <c r="V351" s="340"/>
      <c r="W351" s="340"/>
      <c r="X351" s="341">
        <f t="shared" si="325"/>
        <v>1463000</v>
      </c>
      <c r="Y351" s="341">
        <f t="shared" si="326"/>
        <v>0</v>
      </c>
      <c r="Z351" s="364"/>
      <c r="AA351" s="330"/>
      <c r="AB351" s="332"/>
      <c r="AC351" s="332"/>
      <c r="AD351" s="110"/>
      <c r="AE351" s="110"/>
      <c r="AF351" s="110"/>
      <c r="AG351" s="110"/>
      <c r="AH351" s="110"/>
      <c r="AI351" s="110"/>
    </row>
    <row r="352" spans="1:35" ht="13.5" customHeight="1">
      <c r="A352" s="4"/>
      <c r="B352" s="15" t="s">
        <v>4441</v>
      </c>
      <c r="C352" s="363" t="s">
        <v>4442</v>
      </c>
      <c r="D352" s="254">
        <f>SUMIF(GL!$D$5:$D$6505,B352,GL!$G$5:$G$6505)</f>
        <v>0</v>
      </c>
      <c r="E352" s="341">
        <f>SUMIF(GL!$D$6:$D$6487,B352,GL!$H$6:$H$6487)</f>
        <v>0</v>
      </c>
      <c r="F352" s="341">
        <f>SUMIF(GL!$D$6:$D$6487,B352,GL!$I$6:$I$6487)</f>
        <v>0</v>
      </c>
      <c r="G352" s="341"/>
      <c r="H352" s="341"/>
      <c r="I352" s="341">
        <f t="shared" si="365"/>
        <v>0</v>
      </c>
      <c r="J352" s="341">
        <f t="shared" si="366"/>
        <v>0</v>
      </c>
      <c r="K352" s="341"/>
      <c r="L352" s="342"/>
      <c r="M352" s="342"/>
      <c r="N352" s="341">
        <f t="shared" si="322"/>
        <v>0</v>
      </c>
      <c r="O352" s="341">
        <f t="shared" si="323"/>
        <v>0</v>
      </c>
      <c r="P352" s="341">
        <f>SUMIF(GL!$D$6488:$D$6532,B352,GL!$H$6488:$H$6532)</f>
        <v>0</v>
      </c>
      <c r="Q352" s="341">
        <f>SUMIF(GL!$D$6408:$D$6452,B352,GL!$I$6408:$I$6452)</f>
        <v>0</v>
      </c>
      <c r="R352" s="341">
        <f t="shared" ref="R352:S352" si="384">P352+N352</f>
        <v>0</v>
      </c>
      <c r="S352" s="341">
        <f t="shared" si="384"/>
        <v>0</v>
      </c>
      <c r="T352" s="340"/>
      <c r="U352" s="340"/>
      <c r="V352" s="340"/>
      <c r="W352" s="340"/>
      <c r="X352" s="341">
        <f t="shared" si="325"/>
        <v>0</v>
      </c>
      <c r="Y352" s="341">
        <f t="shared" si="326"/>
        <v>0</v>
      </c>
      <c r="Z352" s="364"/>
      <c r="AA352" s="330"/>
      <c r="AB352" s="332"/>
      <c r="AC352" s="332"/>
      <c r="AD352" s="110"/>
      <c r="AE352" s="110"/>
      <c r="AF352" s="110"/>
      <c r="AG352" s="110"/>
      <c r="AH352" s="110"/>
      <c r="AI352" s="110"/>
    </row>
    <row r="353" spans="1:35" ht="13.5" customHeight="1">
      <c r="A353" s="4"/>
      <c r="B353" s="15" t="s">
        <v>2524</v>
      </c>
      <c r="C353" s="363" t="s">
        <v>4443</v>
      </c>
      <c r="D353" s="254">
        <f>SUMIF(GL!$D$5:$D$6505,B353,GL!$G$5:$G$6505)</f>
        <v>240</v>
      </c>
      <c r="E353" s="341">
        <f>SUMIF(GL!$D$6:$D$6487,B353,GL!$H$6:$H$6487)</f>
        <v>1330000</v>
      </c>
      <c r="F353" s="341">
        <f>SUMIF(GL!$D$6:$D$6487,B353,GL!$I$6:$I$6487)</f>
        <v>0</v>
      </c>
      <c r="G353" s="341"/>
      <c r="H353" s="341"/>
      <c r="I353" s="341">
        <f t="shared" si="365"/>
        <v>1330000</v>
      </c>
      <c r="J353" s="341">
        <f t="shared" si="366"/>
        <v>0</v>
      </c>
      <c r="K353" s="341"/>
      <c r="L353" s="342"/>
      <c r="M353" s="342"/>
      <c r="N353" s="341">
        <f t="shared" si="322"/>
        <v>1330000</v>
      </c>
      <c r="O353" s="341">
        <f t="shared" si="323"/>
        <v>0</v>
      </c>
      <c r="P353" s="341">
        <f>SUMIF(GL!$D$6488:$D$6532,B353,GL!$H$6488:$H$6532)</f>
        <v>0</v>
      </c>
      <c r="Q353" s="341">
        <f>SUMIF(GL!$D$6408:$D$6452,B353,GL!$I$6408:$I$6452)</f>
        <v>0</v>
      </c>
      <c r="R353" s="341">
        <f t="shared" ref="R353:S353" si="385">P353+N353</f>
        <v>1330000</v>
      </c>
      <c r="S353" s="341">
        <f t="shared" si="385"/>
        <v>0</v>
      </c>
      <c r="T353" s="340"/>
      <c r="U353" s="340"/>
      <c r="V353" s="340"/>
      <c r="W353" s="340"/>
      <c r="X353" s="341">
        <f t="shared" si="325"/>
        <v>1330000</v>
      </c>
      <c r="Y353" s="341">
        <f t="shared" si="326"/>
        <v>0</v>
      </c>
      <c r="Z353" s="364"/>
      <c r="AA353" s="330"/>
      <c r="AB353" s="332"/>
      <c r="AC353" s="332"/>
      <c r="AD353" s="110"/>
      <c r="AE353" s="110"/>
      <c r="AF353" s="110"/>
      <c r="AG353" s="110"/>
      <c r="AH353" s="110"/>
      <c r="AI353" s="110"/>
    </row>
    <row r="354" spans="1:35" ht="13.5" customHeight="1">
      <c r="A354" s="4"/>
      <c r="B354" s="15" t="s">
        <v>2520</v>
      </c>
      <c r="C354" s="363" t="s">
        <v>4444</v>
      </c>
      <c r="D354" s="254">
        <f>SUMIF(GL!$D$5:$D$6505,B354,GL!$G$5:$G$6505)</f>
        <v>768</v>
      </c>
      <c r="E354" s="341">
        <f>SUMIF(GL!$D$6:$D$6487,B354,GL!$H$6:$H$6487)</f>
        <v>3840000</v>
      </c>
      <c r="F354" s="341">
        <f>SUMIF(GL!$D$6:$D$6487,B354,GL!$I$6:$I$6487)</f>
        <v>0</v>
      </c>
      <c r="G354" s="341"/>
      <c r="H354" s="341"/>
      <c r="I354" s="341">
        <f t="shared" si="365"/>
        <v>3840000</v>
      </c>
      <c r="J354" s="341">
        <f t="shared" si="366"/>
        <v>0</v>
      </c>
      <c r="K354" s="341"/>
      <c r="L354" s="342"/>
      <c r="M354" s="342"/>
      <c r="N354" s="341">
        <f t="shared" si="322"/>
        <v>3840000</v>
      </c>
      <c r="O354" s="341">
        <f t="shared" si="323"/>
        <v>0</v>
      </c>
      <c r="P354" s="341">
        <f>SUMIF(GL!$D$6488:$D$6532,B354,GL!$H$6488:$H$6532)</f>
        <v>0</v>
      </c>
      <c r="Q354" s="341">
        <f>SUMIF(GL!$D$6408:$D$6452,B354,GL!$I$6408:$I$6452)</f>
        <v>0</v>
      </c>
      <c r="R354" s="341">
        <f t="shared" ref="R354:S354" si="386">P354+N354</f>
        <v>3840000</v>
      </c>
      <c r="S354" s="341">
        <f t="shared" si="386"/>
        <v>0</v>
      </c>
      <c r="T354" s="340"/>
      <c r="U354" s="340"/>
      <c r="V354" s="340"/>
      <c r="W354" s="340"/>
      <c r="X354" s="341">
        <f t="shared" si="325"/>
        <v>3840000</v>
      </c>
      <c r="Y354" s="341">
        <f t="shared" si="326"/>
        <v>0</v>
      </c>
      <c r="Z354" s="364"/>
      <c r="AA354" s="330"/>
      <c r="AB354" s="332"/>
      <c r="AC354" s="332"/>
      <c r="AD354" s="110"/>
      <c r="AE354" s="110"/>
      <c r="AF354" s="110"/>
      <c r="AG354" s="110"/>
      <c r="AH354" s="110"/>
      <c r="AI354" s="110"/>
    </row>
    <row r="355" spans="1:35" ht="13.5" customHeight="1">
      <c r="A355" s="4"/>
      <c r="B355" s="15" t="s">
        <v>2534</v>
      </c>
      <c r="C355" s="363" t="s">
        <v>4445</v>
      </c>
      <c r="D355" s="254">
        <f>SUMIF(GL!$D$5:$D$6505,B355,GL!$G$5:$G$6505)</f>
        <v>48</v>
      </c>
      <c r="E355" s="341">
        <f>SUMIF(GL!$D$6:$D$6487,B355,GL!$H$6:$H$6487)</f>
        <v>240000</v>
      </c>
      <c r="F355" s="341">
        <f>SUMIF(GL!$D$6:$D$6487,B355,GL!$I$6:$I$6487)</f>
        <v>0</v>
      </c>
      <c r="G355" s="341"/>
      <c r="H355" s="341"/>
      <c r="I355" s="341">
        <f t="shared" si="365"/>
        <v>240000</v>
      </c>
      <c r="J355" s="341">
        <f t="shared" si="366"/>
        <v>0</v>
      </c>
      <c r="K355" s="341"/>
      <c r="L355" s="342"/>
      <c r="M355" s="342"/>
      <c r="N355" s="341">
        <f t="shared" si="322"/>
        <v>240000</v>
      </c>
      <c r="O355" s="341">
        <f t="shared" si="323"/>
        <v>0</v>
      </c>
      <c r="P355" s="341">
        <f>SUMIF(GL!$D$6488:$D$6532,B355,GL!$H$6488:$H$6532)</f>
        <v>0</v>
      </c>
      <c r="Q355" s="341">
        <f>SUMIF(GL!$D$6408:$D$6452,B355,GL!$I$6408:$I$6452)</f>
        <v>0</v>
      </c>
      <c r="R355" s="341">
        <f t="shared" ref="R355:S355" si="387">P355+N355</f>
        <v>240000</v>
      </c>
      <c r="S355" s="341">
        <f t="shared" si="387"/>
        <v>0</v>
      </c>
      <c r="T355" s="340"/>
      <c r="U355" s="340"/>
      <c r="V355" s="340"/>
      <c r="W355" s="340"/>
      <c r="X355" s="341">
        <f t="shared" si="325"/>
        <v>240000</v>
      </c>
      <c r="Y355" s="341">
        <f t="shared" si="326"/>
        <v>0</v>
      </c>
      <c r="Z355" s="364"/>
      <c r="AA355" s="330"/>
      <c r="AB355" s="332"/>
      <c r="AC355" s="332"/>
      <c r="AD355" s="110"/>
      <c r="AE355" s="110"/>
      <c r="AF355" s="110"/>
      <c r="AG355" s="110"/>
      <c r="AH355" s="110"/>
      <c r="AI355" s="110"/>
    </row>
    <row r="356" spans="1:35" ht="13.5" customHeight="1">
      <c r="A356" s="4"/>
      <c r="B356" s="15" t="s">
        <v>2528</v>
      </c>
      <c r="C356" s="363" t="s">
        <v>4446</v>
      </c>
      <c r="D356" s="254">
        <f>SUMIF(GL!$D$5:$D$6505,B356,GL!$G$5:$G$6505)</f>
        <v>336</v>
      </c>
      <c r="E356" s="341">
        <f>SUMIF(GL!$D$6:$D$6487,B356,GL!$H$6:$H$6487)</f>
        <v>1610000</v>
      </c>
      <c r="F356" s="341">
        <f>SUMIF(GL!$D$6:$D$6487,B356,GL!$I$6:$I$6487)</f>
        <v>0</v>
      </c>
      <c r="G356" s="341"/>
      <c r="H356" s="341"/>
      <c r="I356" s="341">
        <f t="shared" si="365"/>
        <v>1610000</v>
      </c>
      <c r="J356" s="341">
        <f t="shared" si="366"/>
        <v>0</v>
      </c>
      <c r="K356" s="341"/>
      <c r="L356" s="342"/>
      <c r="M356" s="342"/>
      <c r="N356" s="341">
        <f t="shared" si="322"/>
        <v>1610000</v>
      </c>
      <c r="O356" s="341">
        <f t="shared" si="323"/>
        <v>0</v>
      </c>
      <c r="P356" s="341">
        <f>SUMIF(GL!$D$6488:$D$6532,B356,GL!$H$6488:$H$6532)</f>
        <v>0</v>
      </c>
      <c r="Q356" s="341">
        <f>SUMIF(GL!$D$6408:$D$6452,B356,GL!$I$6408:$I$6452)</f>
        <v>0</v>
      </c>
      <c r="R356" s="341">
        <f t="shared" ref="R356:S356" si="388">P356+N356</f>
        <v>1610000</v>
      </c>
      <c r="S356" s="341">
        <f t="shared" si="388"/>
        <v>0</v>
      </c>
      <c r="T356" s="340"/>
      <c r="U356" s="340"/>
      <c r="V356" s="340"/>
      <c r="W356" s="340"/>
      <c r="X356" s="341">
        <f t="shared" si="325"/>
        <v>1610000</v>
      </c>
      <c r="Y356" s="341">
        <f t="shared" si="326"/>
        <v>0</v>
      </c>
      <c r="Z356" s="364"/>
      <c r="AA356" s="330"/>
      <c r="AB356" s="332"/>
      <c r="AC356" s="332"/>
      <c r="AD356" s="110"/>
      <c r="AE356" s="110"/>
      <c r="AF356" s="110"/>
      <c r="AG356" s="110"/>
      <c r="AH356" s="110"/>
      <c r="AI356" s="110"/>
    </row>
    <row r="357" spans="1:35" ht="13.5" customHeight="1">
      <c r="A357" s="4"/>
      <c r="B357" s="15" t="s">
        <v>4447</v>
      </c>
      <c r="C357" s="363" t="s">
        <v>4448</v>
      </c>
      <c r="D357" s="254">
        <f>SUMIF(GL!$D$5:$D$6505,B357,GL!$G$5:$G$6505)</f>
        <v>0</v>
      </c>
      <c r="E357" s="341">
        <f>SUMIF(GL!$D$6:$D$6487,B357,GL!$H$6:$H$6487)</f>
        <v>0</v>
      </c>
      <c r="F357" s="341">
        <f>SUMIF(GL!$D$6:$D$6487,B357,GL!$I$6:$I$6487)</f>
        <v>0</v>
      </c>
      <c r="G357" s="341"/>
      <c r="H357" s="341"/>
      <c r="I357" s="341">
        <f t="shared" si="365"/>
        <v>0</v>
      </c>
      <c r="J357" s="341">
        <f t="shared" si="366"/>
        <v>0</v>
      </c>
      <c r="K357" s="341"/>
      <c r="L357" s="342"/>
      <c r="M357" s="342"/>
      <c r="N357" s="341">
        <f t="shared" si="322"/>
        <v>0</v>
      </c>
      <c r="O357" s="341">
        <f t="shared" si="323"/>
        <v>0</v>
      </c>
      <c r="P357" s="341">
        <f>SUMIF(GL!$D$6488:$D$6532,B357,GL!$H$6488:$H$6532)</f>
        <v>0</v>
      </c>
      <c r="Q357" s="341">
        <f>SUMIF(GL!$D$6408:$D$6452,B357,GL!$I$6408:$I$6452)</f>
        <v>0</v>
      </c>
      <c r="R357" s="341">
        <f t="shared" ref="R357:S357" si="389">P357+N357</f>
        <v>0</v>
      </c>
      <c r="S357" s="341">
        <f t="shared" si="389"/>
        <v>0</v>
      </c>
      <c r="T357" s="340"/>
      <c r="U357" s="340"/>
      <c r="V357" s="340"/>
      <c r="W357" s="340"/>
      <c r="X357" s="341">
        <f t="shared" si="325"/>
        <v>0</v>
      </c>
      <c r="Y357" s="341">
        <f t="shared" si="326"/>
        <v>0</v>
      </c>
      <c r="Z357" s="364"/>
      <c r="AA357" s="330"/>
      <c r="AB357" s="332"/>
      <c r="AC357" s="332"/>
      <c r="AD357" s="110"/>
      <c r="AE357" s="110"/>
      <c r="AF357" s="110"/>
      <c r="AG357" s="110"/>
      <c r="AH357" s="110"/>
      <c r="AI357" s="110"/>
    </row>
    <row r="358" spans="1:35" ht="13.5" customHeight="1">
      <c r="A358" s="4"/>
      <c r="B358" s="15" t="s">
        <v>2492</v>
      </c>
      <c r="C358" s="363" t="s">
        <v>4449</v>
      </c>
      <c r="D358" s="254">
        <f>SUMIF(GL!$D$5:$D$6505,B358,GL!$G$5:$G$6505)</f>
        <v>95</v>
      </c>
      <c r="E358" s="341">
        <f>SUMIF(GL!$D$6:$D$6487,B358,GL!$H$6:$H$6487)</f>
        <v>1900000</v>
      </c>
      <c r="F358" s="341">
        <f>SUMIF(GL!$D$6:$D$6487,B358,GL!$I$6:$I$6487)</f>
        <v>0</v>
      </c>
      <c r="G358" s="341"/>
      <c r="H358" s="341"/>
      <c r="I358" s="341">
        <f t="shared" si="365"/>
        <v>1900000</v>
      </c>
      <c r="J358" s="341">
        <f t="shared" si="366"/>
        <v>0</v>
      </c>
      <c r="K358" s="341"/>
      <c r="L358" s="342"/>
      <c r="M358" s="342"/>
      <c r="N358" s="341">
        <f t="shared" si="322"/>
        <v>1900000</v>
      </c>
      <c r="O358" s="341">
        <f t="shared" si="323"/>
        <v>0</v>
      </c>
      <c r="P358" s="341">
        <f>SUMIF(GL!$D$6488:$D$6532,B358,GL!$H$6488:$H$6532)</f>
        <v>0</v>
      </c>
      <c r="Q358" s="341">
        <f>SUMIF(GL!$D$6408:$D$6452,B358,GL!$I$6408:$I$6452)</f>
        <v>0</v>
      </c>
      <c r="R358" s="341">
        <f t="shared" ref="R358:S358" si="390">P358+N358</f>
        <v>1900000</v>
      </c>
      <c r="S358" s="341">
        <f t="shared" si="390"/>
        <v>0</v>
      </c>
      <c r="T358" s="340"/>
      <c r="U358" s="340"/>
      <c r="V358" s="340"/>
      <c r="W358" s="340"/>
      <c r="X358" s="341">
        <f t="shared" si="325"/>
        <v>1900000</v>
      </c>
      <c r="Y358" s="341">
        <f t="shared" si="326"/>
        <v>0</v>
      </c>
      <c r="Z358" s="364"/>
      <c r="AA358" s="330"/>
      <c r="AB358" s="332"/>
      <c r="AC358" s="332"/>
      <c r="AD358" s="110"/>
      <c r="AE358" s="110"/>
      <c r="AF358" s="110"/>
      <c r="AG358" s="110"/>
      <c r="AH358" s="110"/>
      <c r="AI358" s="110"/>
    </row>
    <row r="359" spans="1:35" ht="13.5" customHeight="1">
      <c r="A359" s="4"/>
      <c r="B359" s="15" t="s">
        <v>2486</v>
      </c>
      <c r="C359" s="363" t="s">
        <v>4450</v>
      </c>
      <c r="D359" s="254">
        <f>SUMIF(GL!$D$5:$D$6505,B359,GL!$G$5:$G$6505)</f>
        <v>145</v>
      </c>
      <c r="E359" s="341">
        <f>SUMIF(GL!$D$6:$D$6487,B359,GL!$H$6:$H$6487)</f>
        <v>1595000</v>
      </c>
      <c r="F359" s="341">
        <f>SUMIF(GL!$D$6:$D$6487,B359,GL!$I$6:$I$6487)</f>
        <v>0</v>
      </c>
      <c r="G359" s="341"/>
      <c r="H359" s="341"/>
      <c r="I359" s="341">
        <f t="shared" si="365"/>
        <v>1595000</v>
      </c>
      <c r="J359" s="341">
        <f t="shared" si="366"/>
        <v>0</v>
      </c>
      <c r="K359" s="341"/>
      <c r="L359" s="342"/>
      <c r="M359" s="342"/>
      <c r="N359" s="341">
        <f t="shared" si="322"/>
        <v>1595000</v>
      </c>
      <c r="O359" s="341">
        <f t="shared" si="323"/>
        <v>0</v>
      </c>
      <c r="P359" s="341">
        <f>SUMIF(GL!$D$6488:$D$6532,B359,GL!$H$6488:$H$6532)</f>
        <v>0</v>
      </c>
      <c r="Q359" s="341">
        <f>SUMIF(GL!$D$6408:$D$6452,B359,GL!$I$6408:$I$6452)</f>
        <v>0</v>
      </c>
      <c r="R359" s="341">
        <f t="shared" ref="R359:S359" si="391">P359+N359</f>
        <v>1595000</v>
      </c>
      <c r="S359" s="341">
        <f t="shared" si="391"/>
        <v>0</v>
      </c>
      <c r="T359" s="340"/>
      <c r="U359" s="340"/>
      <c r="V359" s="340"/>
      <c r="W359" s="340"/>
      <c r="X359" s="341">
        <f t="shared" si="325"/>
        <v>1595000</v>
      </c>
      <c r="Y359" s="341">
        <f t="shared" si="326"/>
        <v>0</v>
      </c>
      <c r="Z359" s="364"/>
      <c r="AA359" s="330"/>
      <c r="AB359" s="332"/>
      <c r="AC359" s="332"/>
      <c r="AD359" s="110"/>
      <c r="AE359" s="110"/>
      <c r="AF359" s="110"/>
      <c r="AG359" s="110"/>
      <c r="AH359" s="110"/>
      <c r="AI359" s="110"/>
    </row>
    <row r="360" spans="1:35" ht="13.5" customHeight="1">
      <c r="A360" s="4"/>
      <c r="B360" s="15" t="s">
        <v>2488</v>
      </c>
      <c r="C360" s="363" t="s">
        <v>4451</v>
      </c>
      <c r="D360" s="254">
        <f>SUMIF(GL!$D$5:$D$6505,B360,GL!$G$5:$G$6505)</f>
        <v>40</v>
      </c>
      <c r="E360" s="341">
        <f>SUMIF(GL!$D$6:$D$6487,B360,GL!$H$6:$H$6487)</f>
        <v>440000</v>
      </c>
      <c r="F360" s="341">
        <f>SUMIF(GL!$D$6:$D$6487,B360,GL!$I$6:$I$6487)</f>
        <v>0</v>
      </c>
      <c r="G360" s="341"/>
      <c r="H360" s="341"/>
      <c r="I360" s="341">
        <f t="shared" si="365"/>
        <v>440000</v>
      </c>
      <c r="J360" s="341">
        <f t="shared" si="366"/>
        <v>0</v>
      </c>
      <c r="K360" s="341"/>
      <c r="L360" s="342"/>
      <c r="M360" s="342"/>
      <c r="N360" s="341">
        <f t="shared" si="322"/>
        <v>440000</v>
      </c>
      <c r="O360" s="341">
        <f t="shared" si="323"/>
        <v>0</v>
      </c>
      <c r="P360" s="341">
        <f>SUMIF(GL!$D$6488:$D$6532,B360,GL!$H$6488:$H$6532)</f>
        <v>0</v>
      </c>
      <c r="Q360" s="341">
        <f>SUMIF(GL!$D$6408:$D$6452,B360,GL!$I$6408:$I$6452)</f>
        <v>0</v>
      </c>
      <c r="R360" s="341">
        <f t="shared" ref="R360:S360" si="392">P360+N360</f>
        <v>440000</v>
      </c>
      <c r="S360" s="341">
        <f t="shared" si="392"/>
        <v>0</v>
      </c>
      <c r="T360" s="340"/>
      <c r="U360" s="340"/>
      <c r="V360" s="340"/>
      <c r="W360" s="340"/>
      <c r="X360" s="341">
        <f t="shared" si="325"/>
        <v>440000</v>
      </c>
      <c r="Y360" s="341">
        <f t="shared" si="326"/>
        <v>0</v>
      </c>
      <c r="Z360" s="364"/>
      <c r="AA360" s="330"/>
      <c r="AB360" s="332"/>
      <c r="AC360" s="332"/>
      <c r="AD360" s="110"/>
      <c r="AE360" s="110"/>
      <c r="AF360" s="110"/>
      <c r="AG360" s="110"/>
      <c r="AH360" s="110"/>
      <c r="AI360" s="110"/>
    </row>
    <row r="361" spans="1:35" ht="13.5" customHeight="1">
      <c r="A361" s="4"/>
      <c r="B361" s="15" t="s">
        <v>2490</v>
      </c>
      <c r="C361" s="363" t="s">
        <v>4452</v>
      </c>
      <c r="D361" s="254">
        <f>SUMIF(GL!$D$5:$D$6505,B361,GL!$G$5:$G$6505)</f>
        <v>45</v>
      </c>
      <c r="E361" s="341">
        <f>SUMIF(GL!$D$6:$D$6487,B361,GL!$H$6:$H$6487)</f>
        <v>495000</v>
      </c>
      <c r="F361" s="341">
        <f>SUMIF(GL!$D$6:$D$6487,B361,GL!$I$6:$I$6487)</f>
        <v>0</v>
      </c>
      <c r="G361" s="341"/>
      <c r="H361" s="341"/>
      <c r="I361" s="341">
        <f t="shared" si="365"/>
        <v>495000</v>
      </c>
      <c r="J361" s="341">
        <f t="shared" si="366"/>
        <v>0</v>
      </c>
      <c r="K361" s="341"/>
      <c r="L361" s="342"/>
      <c r="M361" s="342"/>
      <c r="N361" s="341">
        <f t="shared" si="322"/>
        <v>495000</v>
      </c>
      <c r="O361" s="341">
        <f t="shared" si="323"/>
        <v>0</v>
      </c>
      <c r="P361" s="341">
        <f>SUMIF(GL!$D$6488:$D$6532,B361,GL!$H$6488:$H$6532)</f>
        <v>0</v>
      </c>
      <c r="Q361" s="341">
        <f>SUMIF(GL!$D$6408:$D$6452,B361,GL!$I$6408:$I$6452)</f>
        <v>0</v>
      </c>
      <c r="R361" s="341">
        <f t="shared" ref="R361:S361" si="393">P361+N361</f>
        <v>495000</v>
      </c>
      <c r="S361" s="341">
        <f t="shared" si="393"/>
        <v>0</v>
      </c>
      <c r="T361" s="340"/>
      <c r="U361" s="340"/>
      <c r="V361" s="340"/>
      <c r="W361" s="340"/>
      <c r="X361" s="341">
        <f t="shared" si="325"/>
        <v>495000</v>
      </c>
      <c r="Y361" s="341">
        <f t="shared" si="326"/>
        <v>0</v>
      </c>
      <c r="Z361" s="364"/>
      <c r="AA361" s="330"/>
      <c r="AB361" s="332"/>
      <c r="AC361" s="332"/>
      <c r="AD361" s="110"/>
      <c r="AE361" s="110"/>
      <c r="AF361" s="110"/>
      <c r="AG361" s="110"/>
      <c r="AH361" s="110"/>
      <c r="AI361" s="110"/>
    </row>
    <row r="362" spans="1:35" ht="13.5" customHeight="1">
      <c r="A362" s="4"/>
      <c r="B362" s="15" t="s">
        <v>4453</v>
      </c>
      <c r="C362" s="341" t="s">
        <v>4454</v>
      </c>
      <c r="D362" s="254">
        <f>SUMIF(GL!$D$5:$D$6505,B362,GL!$G$5:$G$6505)</f>
        <v>0</v>
      </c>
      <c r="E362" s="341">
        <f>SUMIF(GL!$D$6:$D$6487,B362,GL!$H$6:$H$6487)</f>
        <v>0</v>
      </c>
      <c r="F362" s="341">
        <f>SUMIF(GL!$D$6:$D$6487,B362,GL!$I$6:$I$6487)</f>
        <v>0</v>
      </c>
      <c r="G362" s="341"/>
      <c r="H362" s="341"/>
      <c r="I362" s="341">
        <f t="shared" si="365"/>
        <v>0</v>
      </c>
      <c r="J362" s="341">
        <f t="shared" si="366"/>
        <v>0</v>
      </c>
      <c r="K362" s="341"/>
      <c r="L362" s="342"/>
      <c r="M362" s="342"/>
      <c r="N362" s="341">
        <f t="shared" si="322"/>
        <v>0</v>
      </c>
      <c r="O362" s="341">
        <f t="shared" si="323"/>
        <v>0</v>
      </c>
      <c r="P362" s="341">
        <f>SUMIF(GL!$D$6488:$D$6532,B362,GL!$H$6488:$H$6532)</f>
        <v>0</v>
      </c>
      <c r="Q362" s="341">
        <f>SUMIF(GL!$D$6408:$D$6452,B362,GL!$I$6408:$I$6452)</f>
        <v>0</v>
      </c>
      <c r="R362" s="341">
        <f t="shared" ref="R362:S362" si="394">P362+N362</f>
        <v>0</v>
      </c>
      <c r="S362" s="341">
        <f t="shared" si="394"/>
        <v>0</v>
      </c>
      <c r="T362" s="340"/>
      <c r="U362" s="340"/>
      <c r="V362" s="340"/>
      <c r="W362" s="340"/>
      <c r="X362" s="341">
        <f t="shared" si="325"/>
        <v>0</v>
      </c>
      <c r="Y362" s="341">
        <f t="shared" si="326"/>
        <v>0</v>
      </c>
      <c r="Z362" s="364"/>
      <c r="AA362" s="330"/>
      <c r="AB362" s="332"/>
      <c r="AC362" s="332"/>
      <c r="AD362" s="110"/>
      <c r="AE362" s="110"/>
      <c r="AF362" s="110"/>
      <c r="AG362" s="110"/>
      <c r="AH362" s="110"/>
      <c r="AI362" s="110"/>
    </row>
    <row r="363" spans="1:35" ht="13.5" customHeight="1">
      <c r="A363" s="4"/>
      <c r="B363" s="15" t="s">
        <v>4455</v>
      </c>
      <c r="C363" s="363" t="s">
        <v>4456</v>
      </c>
      <c r="D363" s="254">
        <f>SUMIF(GL!$D$5:$D$6505,B363,GL!$G$5:$G$6505)</f>
        <v>0</v>
      </c>
      <c r="E363" s="341">
        <f>SUMIF(GL!$D$6:$D$6487,B363,GL!$H$6:$H$6487)</f>
        <v>0</v>
      </c>
      <c r="F363" s="341">
        <f>SUMIF(GL!$D$6:$D$6487,B363,GL!$I$6:$I$6487)</f>
        <v>0</v>
      </c>
      <c r="G363" s="341"/>
      <c r="H363" s="341"/>
      <c r="I363" s="341">
        <f t="shared" si="365"/>
        <v>0</v>
      </c>
      <c r="J363" s="341">
        <f t="shared" si="366"/>
        <v>0</v>
      </c>
      <c r="K363" s="341"/>
      <c r="L363" s="342"/>
      <c r="M363" s="342"/>
      <c r="N363" s="341">
        <f t="shared" si="322"/>
        <v>0</v>
      </c>
      <c r="O363" s="341">
        <f t="shared" si="323"/>
        <v>0</v>
      </c>
      <c r="P363" s="341">
        <f>SUMIF(GL!$D$6488:$D$6532,B363,GL!$H$6488:$H$6532)</f>
        <v>0</v>
      </c>
      <c r="Q363" s="341">
        <f>SUMIF(GL!$D$6408:$D$6452,B363,GL!$I$6408:$I$6452)</f>
        <v>0</v>
      </c>
      <c r="R363" s="341">
        <f t="shared" ref="R363:S363" si="395">P363+N363</f>
        <v>0</v>
      </c>
      <c r="S363" s="341">
        <f t="shared" si="395"/>
        <v>0</v>
      </c>
      <c r="T363" s="340"/>
      <c r="U363" s="340"/>
      <c r="V363" s="340"/>
      <c r="W363" s="340"/>
      <c r="X363" s="341">
        <f t="shared" si="325"/>
        <v>0</v>
      </c>
      <c r="Y363" s="341">
        <f t="shared" si="326"/>
        <v>0</v>
      </c>
      <c r="Z363" s="364"/>
      <c r="AA363" s="330"/>
      <c r="AB363" s="332"/>
      <c r="AC363" s="332"/>
      <c r="AD363" s="110"/>
      <c r="AE363" s="110"/>
      <c r="AF363" s="110"/>
      <c r="AG363" s="110"/>
      <c r="AH363" s="110"/>
      <c r="AI363" s="110"/>
    </row>
    <row r="364" spans="1:35" ht="13.5" customHeight="1">
      <c r="A364" s="4"/>
      <c r="B364" s="15" t="s">
        <v>4457</v>
      </c>
      <c r="C364" s="363" t="s">
        <v>4458</v>
      </c>
      <c r="D364" s="254">
        <f>SUMIF(GL!$D$5:$D$6505,B364,GL!$G$5:$G$6505)</f>
        <v>0</v>
      </c>
      <c r="E364" s="341">
        <f>SUMIF(GL!$D$6:$D$6487,B364,GL!$H$6:$H$6487)</f>
        <v>0</v>
      </c>
      <c r="F364" s="341">
        <f>SUMIF(GL!$D$6:$D$6487,B364,GL!$I$6:$I$6487)</f>
        <v>0</v>
      </c>
      <c r="G364" s="341"/>
      <c r="H364" s="341"/>
      <c r="I364" s="341">
        <f t="shared" si="365"/>
        <v>0</v>
      </c>
      <c r="J364" s="341">
        <f t="shared" si="366"/>
        <v>0</v>
      </c>
      <c r="K364" s="341"/>
      <c r="L364" s="342"/>
      <c r="M364" s="342"/>
      <c r="N364" s="341">
        <f t="shared" si="322"/>
        <v>0</v>
      </c>
      <c r="O364" s="341">
        <f t="shared" si="323"/>
        <v>0</v>
      </c>
      <c r="P364" s="341">
        <f>SUMIF(GL!$D$6488:$D$6532,B364,GL!$H$6488:$H$6532)</f>
        <v>0</v>
      </c>
      <c r="Q364" s="341">
        <f>SUMIF(GL!$D$6408:$D$6452,B364,GL!$I$6408:$I$6452)</f>
        <v>0</v>
      </c>
      <c r="R364" s="341">
        <f t="shared" ref="R364:S364" si="396">P364+N364</f>
        <v>0</v>
      </c>
      <c r="S364" s="341">
        <f t="shared" si="396"/>
        <v>0</v>
      </c>
      <c r="T364" s="340"/>
      <c r="U364" s="340"/>
      <c r="V364" s="340"/>
      <c r="W364" s="340"/>
      <c r="X364" s="341">
        <f t="shared" si="325"/>
        <v>0</v>
      </c>
      <c r="Y364" s="341">
        <f t="shared" si="326"/>
        <v>0</v>
      </c>
      <c r="Z364" s="364"/>
      <c r="AA364" s="330"/>
      <c r="AB364" s="332"/>
      <c r="AC364" s="332"/>
      <c r="AD364" s="110"/>
      <c r="AE364" s="110"/>
      <c r="AF364" s="110"/>
      <c r="AG364" s="110"/>
      <c r="AH364" s="110"/>
      <c r="AI364" s="110"/>
    </row>
    <row r="365" spans="1:35" ht="13.5" customHeight="1">
      <c r="A365" s="4"/>
      <c r="B365" s="15" t="s">
        <v>4459</v>
      </c>
      <c r="C365" s="363" t="s">
        <v>4460</v>
      </c>
      <c r="D365" s="254">
        <f>SUMIF(GL!$D$5:$D$6505,B365,GL!$G$5:$G$6505)</f>
        <v>0</v>
      </c>
      <c r="E365" s="341">
        <f>SUMIF(GL!$D$6:$D$6487,B365,GL!$H$6:$H$6487)</f>
        <v>0</v>
      </c>
      <c r="F365" s="341">
        <f>SUMIF(GL!$D$6:$D$6487,B365,GL!$I$6:$I$6487)</f>
        <v>0</v>
      </c>
      <c r="G365" s="341"/>
      <c r="H365" s="341"/>
      <c r="I365" s="341">
        <f t="shared" si="365"/>
        <v>0</v>
      </c>
      <c r="J365" s="341">
        <f t="shared" si="366"/>
        <v>0</v>
      </c>
      <c r="K365" s="341"/>
      <c r="L365" s="342"/>
      <c r="M365" s="342"/>
      <c r="N365" s="341">
        <f t="shared" si="322"/>
        <v>0</v>
      </c>
      <c r="O365" s="341">
        <f t="shared" si="323"/>
        <v>0</v>
      </c>
      <c r="P365" s="341">
        <f>SUMIF(GL!$D$6488:$D$6532,B365,GL!$H$6488:$H$6532)</f>
        <v>0</v>
      </c>
      <c r="Q365" s="341">
        <f>SUMIF(GL!$D$6408:$D$6452,B365,GL!$I$6408:$I$6452)</f>
        <v>0</v>
      </c>
      <c r="R365" s="341">
        <f t="shared" ref="R365:S365" si="397">P365+N365</f>
        <v>0</v>
      </c>
      <c r="S365" s="341">
        <f t="shared" si="397"/>
        <v>0</v>
      </c>
      <c r="T365" s="340"/>
      <c r="U365" s="340"/>
      <c r="V365" s="340"/>
      <c r="W365" s="340"/>
      <c r="X365" s="341">
        <f t="shared" si="325"/>
        <v>0</v>
      </c>
      <c r="Y365" s="341">
        <f t="shared" si="326"/>
        <v>0</v>
      </c>
      <c r="Z365" s="364"/>
      <c r="AA365" s="330"/>
      <c r="AB365" s="332"/>
      <c r="AC365" s="332"/>
      <c r="AD365" s="110"/>
      <c r="AE365" s="110"/>
      <c r="AF365" s="110"/>
      <c r="AG365" s="110"/>
      <c r="AH365" s="110"/>
      <c r="AI365" s="110"/>
    </row>
    <row r="366" spans="1:35" ht="13.5" customHeight="1">
      <c r="A366" s="4"/>
      <c r="B366" s="15" t="s">
        <v>2510</v>
      </c>
      <c r="C366" s="363" t="s">
        <v>4461</v>
      </c>
      <c r="D366" s="254">
        <f>SUMIF(GL!$D$5:$D$6505,B366,GL!$G$5:$G$6505)</f>
        <v>5</v>
      </c>
      <c r="E366" s="341">
        <f>SUMIF(GL!$D$6:$D$6487,B366,GL!$H$6:$H$6487)</f>
        <v>60000</v>
      </c>
      <c r="F366" s="341">
        <f>SUMIF(GL!$D$6:$D$6487,B366,GL!$I$6:$I$6487)</f>
        <v>0</v>
      </c>
      <c r="G366" s="341"/>
      <c r="H366" s="341"/>
      <c r="I366" s="341">
        <f t="shared" si="365"/>
        <v>60000</v>
      </c>
      <c r="J366" s="341">
        <f t="shared" si="366"/>
        <v>0</v>
      </c>
      <c r="K366" s="341"/>
      <c r="L366" s="342"/>
      <c r="M366" s="342"/>
      <c r="N366" s="341">
        <f t="shared" si="322"/>
        <v>60000</v>
      </c>
      <c r="O366" s="341">
        <f t="shared" si="323"/>
        <v>0</v>
      </c>
      <c r="P366" s="341">
        <f>SUMIF(GL!$D$6488:$D$6532,B366,GL!$H$6488:$H$6532)</f>
        <v>0</v>
      </c>
      <c r="Q366" s="341">
        <f>SUMIF(GL!$D$6408:$D$6452,B366,GL!$I$6408:$I$6452)</f>
        <v>0</v>
      </c>
      <c r="R366" s="341">
        <f t="shared" ref="R366:S366" si="398">P366+N366</f>
        <v>60000</v>
      </c>
      <c r="S366" s="341">
        <f t="shared" si="398"/>
        <v>0</v>
      </c>
      <c r="T366" s="340"/>
      <c r="U366" s="340"/>
      <c r="V366" s="340"/>
      <c r="W366" s="340"/>
      <c r="X366" s="341">
        <f t="shared" si="325"/>
        <v>60000</v>
      </c>
      <c r="Y366" s="341">
        <f t="shared" si="326"/>
        <v>0</v>
      </c>
      <c r="Z366" s="364"/>
      <c r="AA366" s="330"/>
      <c r="AB366" s="332"/>
      <c r="AC366" s="332"/>
      <c r="AD366" s="110"/>
      <c r="AE366" s="110"/>
      <c r="AF366" s="110"/>
      <c r="AG366" s="110"/>
      <c r="AH366" s="110"/>
      <c r="AI366" s="110"/>
    </row>
    <row r="367" spans="1:35" ht="13.5" customHeight="1">
      <c r="A367" s="4"/>
      <c r="B367" s="15" t="s">
        <v>4462</v>
      </c>
      <c r="C367" s="363" t="s">
        <v>4463</v>
      </c>
      <c r="D367" s="254">
        <f>SUMIF(GL!$D$5:$D$6505,B367,GL!$G$5:$G$6505)</f>
        <v>0</v>
      </c>
      <c r="E367" s="341">
        <f>SUMIF(GL!$D$6:$D$6487,B367,GL!$H$6:$H$6487)</f>
        <v>0</v>
      </c>
      <c r="F367" s="341">
        <f>SUMIF(GL!$D$6:$D$6487,B367,GL!$I$6:$I$6487)</f>
        <v>0</v>
      </c>
      <c r="G367" s="341"/>
      <c r="H367" s="341"/>
      <c r="I367" s="341">
        <f t="shared" si="365"/>
        <v>0</v>
      </c>
      <c r="J367" s="341">
        <f t="shared" si="366"/>
        <v>0</v>
      </c>
      <c r="K367" s="341"/>
      <c r="L367" s="342"/>
      <c r="M367" s="342"/>
      <c r="N367" s="341">
        <f t="shared" si="322"/>
        <v>0</v>
      </c>
      <c r="O367" s="341">
        <f t="shared" si="323"/>
        <v>0</v>
      </c>
      <c r="P367" s="341">
        <f>SUMIF(GL!$D$6488:$D$6532,B367,GL!$H$6488:$H$6532)</f>
        <v>0</v>
      </c>
      <c r="Q367" s="341">
        <f>SUMIF(GL!$D$6408:$D$6452,B367,GL!$I$6408:$I$6452)</f>
        <v>0</v>
      </c>
      <c r="R367" s="341">
        <f t="shared" ref="R367:S367" si="399">P367+N367</f>
        <v>0</v>
      </c>
      <c r="S367" s="341">
        <f t="shared" si="399"/>
        <v>0</v>
      </c>
      <c r="T367" s="340"/>
      <c r="U367" s="340"/>
      <c r="V367" s="340"/>
      <c r="W367" s="340"/>
      <c r="X367" s="341">
        <f t="shared" si="325"/>
        <v>0</v>
      </c>
      <c r="Y367" s="341">
        <f t="shared" si="326"/>
        <v>0</v>
      </c>
      <c r="Z367" s="364"/>
      <c r="AA367" s="330"/>
      <c r="AB367" s="332"/>
      <c r="AC367" s="332"/>
      <c r="AD367" s="110"/>
      <c r="AE367" s="110"/>
      <c r="AF367" s="110"/>
      <c r="AG367" s="110"/>
      <c r="AH367" s="110"/>
      <c r="AI367" s="110"/>
    </row>
    <row r="368" spans="1:35" ht="13.5" customHeight="1">
      <c r="A368" s="4"/>
      <c r="B368" s="15" t="s">
        <v>1787</v>
      </c>
      <c r="C368" s="363" t="s">
        <v>4464</v>
      </c>
      <c r="D368" s="254">
        <f>SUMIF(GL!$D$5:$D$6505,B368,GL!$G$5:$G$6505)</f>
        <v>33</v>
      </c>
      <c r="E368" s="341">
        <f>SUMIF(GL!$D$6:$D$6487,B368,GL!$H$6:$H$6487)</f>
        <v>655858</v>
      </c>
      <c r="F368" s="341">
        <f>SUMIF(GL!$D$6:$D$6487,B368,GL!$I$6:$I$6487)</f>
        <v>0</v>
      </c>
      <c r="G368" s="341"/>
      <c r="H368" s="341"/>
      <c r="I368" s="341">
        <f t="shared" si="365"/>
        <v>655858</v>
      </c>
      <c r="J368" s="341">
        <f t="shared" si="366"/>
        <v>0</v>
      </c>
      <c r="K368" s="341"/>
      <c r="L368" s="342"/>
      <c r="M368" s="342"/>
      <c r="N368" s="341">
        <f t="shared" si="322"/>
        <v>655858</v>
      </c>
      <c r="O368" s="341">
        <f t="shared" si="323"/>
        <v>0</v>
      </c>
      <c r="P368" s="341">
        <f>SUMIF(GL!$D$6488:$D$6532,B368,GL!$H$6488:$H$6532)</f>
        <v>0</v>
      </c>
      <c r="Q368" s="341">
        <f>SUMIF(GL!$D$6408:$D$6452,B368,GL!$I$6408:$I$6452)</f>
        <v>0</v>
      </c>
      <c r="R368" s="341">
        <f t="shared" ref="R368:S368" si="400">P368+N368</f>
        <v>655858</v>
      </c>
      <c r="S368" s="341">
        <f t="shared" si="400"/>
        <v>0</v>
      </c>
      <c r="T368" s="340"/>
      <c r="U368" s="340"/>
      <c r="V368" s="340"/>
      <c r="W368" s="340"/>
      <c r="X368" s="341">
        <f t="shared" si="325"/>
        <v>655858</v>
      </c>
      <c r="Y368" s="341">
        <f t="shared" si="326"/>
        <v>0</v>
      </c>
      <c r="Z368" s="364"/>
      <c r="AA368" s="330"/>
      <c r="AB368" s="332"/>
      <c r="AC368" s="332"/>
      <c r="AD368" s="110"/>
      <c r="AE368" s="110"/>
      <c r="AF368" s="110"/>
      <c r="AG368" s="110"/>
      <c r="AH368" s="110"/>
      <c r="AI368" s="110"/>
    </row>
    <row r="369" spans="1:35" ht="13.5" customHeight="1">
      <c r="A369" s="4"/>
      <c r="B369" s="15" t="s">
        <v>4465</v>
      </c>
      <c r="C369" s="363" t="s">
        <v>4466</v>
      </c>
      <c r="D369" s="254">
        <f>SUMIF(GL!$D$5:$D$6505,B369,GL!$G$5:$G$6505)</f>
        <v>0</v>
      </c>
      <c r="E369" s="341">
        <f>SUMIF(GL!$D$6:$D$6487,B369,GL!$H$6:$H$6487)</f>
        <v>0</v>
      </c>
      <c r="F369" s="341">
        <f>SUMIF(GL!$D$6:$D$6487,B369,GL!$I$6:$I$6487)</f>
        <v>0</v>
      </c>
      <c r="G369" s="341"/>
      <c r="H369" s="341"/>
      <c r="I369" s="341">
        <f t="shared" si="365"/>
        <v>0</v>
      </c>
      <c r="J369" s="341">
        <f t="shared" si="366"/>
        <v>0</v>
      </c>
      <c r="K369" s="341"/>
      <c r="L369" s="342"/>
      <c r="M369" s="342"/>
      <c r="N369" s="341">
        <f t="shared" si="322"/>
        <v>0</v>
      </c>
      <c r="O369" s="341">
        <f t="shared" si="323"/>
        <v>0</v>
      </c>
      <c r="P369" s="341">
        <f>SUMIF(GL!$D$6488:$D$6532,B369,GL!$H$6488:$H$6532)</f>
        <v>0</v>
      </c>
      <c r="Q369" s="341">
        <f>SUMIF(GL!$D$6408:$D$6452,B369,GL!$I$6408:$I$6452)</f>
        <v>0</v>
      </c>
      <c r="R369" s="341">
        <f t="shared" ref="R369:S369" si="401">P369+N369</f>
        <v>0</v>
      </c>
      <c r="S369" s="341">
        <f t="shared" si="401"/>
        <v>0</v>
      </c>
      <c r="T369" s="340"/>
      <c r="U369" s="340"/>
      <c r="V369" s="340"/>
      <c r="W369" s="340"/>
      <c r="X369" s="341">
        <f t="shared" si="325"/>
        <v>0</v>
      </c>
      <c r="Y369" s="341">
        <f t="shared" si="326"/>
        <v>0</v>
      </c>
      <c r="Z369" s="364"/>
      <c r="AA369" s="330"/>
      <c r="AB369" s="332"/>
      <c r="AC369" s="332"/>
      <c r="AD369" s="110"/>
      <c r="AE369" s="110"/>
      <c r="AF369" s="110"/>
      <c r="AG369" s="110"/>
      <c r="AH369" s="110"/>
      <c r="AI369" s="110"/>
    </row>
    <row r="370" spans="1:35" ht="13.5" customHeight="1">
      <c r="A370" s="4"/>
      <c r="B370" s="15" t="s">
        <v>4467</v>
      </c>
      <c r="C370" s="363" t="s">
        <v>4468</v>
      </c>
      <c r="D370" s="254">
        <f>SUMIF(GL!$D$5:$D$6505,B370,GL!$G$5:$G$6505)</f>
        <v>0</v>
      </c>
      <c r="E370" s="341">
        <f>SUMIF(GL!$D$6:$D$6487,B370,GL!$H$6:$H$6487)</f>
        <v>0</v>
      </c>
      <c r="F370" s="341">
        <f>SUMIF(GL!$D$6:$D$6487,B370,GL!$I$6:$I$6487)</f>
        <v>0</v>
      </c>
      <c r="G370" s="341"/>
      <c r="H370" s="341"/>
      <c r="I370" s="341">
        <f t="shared" si="365"/>
        <v>0</v>
      </c>
      <c r="J370" s="341">
        <f t="shared" si="366"/>
        <v>0</v>
      </c>
      <c r="K370" s="341"/>
      <c r="L370" s="342"/>
      <c r="M370" s="342"/>
      <c r="N370" s="341">
        <f t="shared" si="322"/>
        <v>0</v>
      </c>
      <c r="O370" s="341">
        <f t="shared" si="323"/>
        <v>0</v>
      </c>
      <c r="P370" s="341">
        <f>SUMIF(GL!$D$6488:$D$6532,B370,GL!$H$6488:$H$6532)</f>
        <v>0</v>
      </c>
      <c r="Q370" s="341">
        <f>SUMIF(GL!$D$6408:$D$6452,B370,GL!$I$6408:$I$6452)</f>
        <v>0</v>
      </c>
      <c r="R370" s="341">
        <f t="shared" ref="R370:S370" si="402">P370+N370</f>
        <v>0</v>
      </c>
      <c r="S370" s="341">
        <f t="shared" si="402"/>
        <v>0</v>
      </c>
      <c r="T370" s="340"/>
      <c r="U370" s="340"/>
      <c r="V370" s="340"/>
      <c r="W370" s="340"/>
      <c r="X370" s="341">
        <f t="shared" si="325"/>
        <v>0</v>
      </c>
      <c r="Y370" s="341">
        <f t="shared" si="326"/>
        <v>0</v>
      </c>
      <c r="Z370" s="364"/>
      <c r="AA370" s="330"/>
      <c r="AB370" s="332"/>
      <c r="AC370" s="332"/>
      <c r="AD370" s="110"/>
      <c r="AE370" s="110"/>
      <c r="AF370" s="110"/>
      <c r="AG370" s="110"/>
      <c r="AH370" s="110"/>
      <c r="AI370" s="110"/>
    </row>
    <row r="371" spans="1:35" ht="13.5" customHeight="1">
      <c r="A371" s="4"/>
      <c r="B371" s="15" t="s">
        <v>4469</v>
      </c>
      <c r="C371" s="363" t="s">
        <v>4470</v>
      </c>
      <c r="D371" s="254">
        <f>SUMIF(GL!$D$5:$D$6505,B371,GL!$G$5:$G$6505)</f>
        <v>0</v>
      </c>
      <c r="E371" s="341">
        <f>SUMIF(GL!$D$6:$D$6487,B371,GL!$H$6:$H$6487)</f>
        <v>0</v>
      </c>
      <c r="F371" s="341">
        <f>SUMIF(GL!$D$6:$D$6487,B371,GL!$I$6:$I$6487)</f>
        <v>0</v>
      </c>
      <c r="G371" s="341"/>
      <c r="H371" s="341"/>
      <c r="I371" s="341">
        <f t="shared" si="365"/>
        <v>0</v>
      </c>
      <c r="J371" s="341">
        <f t="shared" si="366"/>
        <v>0</v>
      </c>
      <c r="K371" s="341"/>
      <c r="L371" s="342"/>
      <c r="M371" s="342"/>
      <c r="N371" s="341">
        <f t="shared" si="322"/>
        <v>0</v>
      </c>
      <c r="O371" s="341">
        <f t="shared" si="323"/>
        <v>0</v>
      </c>
      <c r="P371" s="341">
        <f>SUMIF(GL!$D$6488:$D$6532,B371,GL!$H$6488:$H$6532)</f>
        <v>0</v>
      </c>
      <c r="Q371" s="341">
        <f>SUMIF(GL!$D$6408:$D$6452,B371,GL!$I$6408:$I$6452)</f>
        <v>0</v>
      </c>
      <c r="R371" s="341">
        <f t="shared" ref="R371:S371" si="403">P371+N371</f>
        <v>0</v>
      </c>
      <c r="S371" s="341">
        <f t="shared" si="403"/>
        <v>0</v>
      </c>
      <c r="T371" s="340"/>
      <c r="U371" s="340"/>
      <c r="V371" s="340"/>
      <c r="W371" s="340"/>
      <c r="X371" s="341">
        <f t="shared" si="325"/>
        <v>0</v>
      </c>
      <c r="Y371" s="341">
        <f t="shared" si="326"/>
        <v>0</v>
      </c>
      <c r="Z371" s="364"/>
      <c r="AA371" s="330"/>
      <c r="AB371" s="332"/>
      <c r="AC371" s="332"/>
      <c r="AD371" s="110"/>
      <c r="AE371" s="110"/>
      <c r="AF371" s="110"/>
      <c r="AG371" s="110"/>
      <c r="AH371" s="110"/>
      <c r="AI371" s="110"/>
    </row>
    <row r="372" spans="1:35" ht="13.5" customHeight="1">
      <c r="A372" s="4"/>
      <c r="B372" s="15" t="s">
        <v>4471</v>
      </c>
      <c r="C372" s="363" t="s">
        <v>4472</v>
      </c>
      <c r="D372" s="254">
        <f>SUMIF(GL!$D$5:$D$6505,B372,GL!$G$5:$G$6505)</f>
        <v>0</v>
      </c>
      <c r="E372" s="341">
        <f>SUMIF(GL!$D$6:$D$6487,B372,GL!$H$6:$H$6487)</f>
        <v>0</v>
      </c>
      <c r="F372" s="341">
        <f>SUMIF(GL!$D$6:$D$6487,B372,GL!$I$6:$I$6487)</f>
        <v>0</v>
      </c>
      <c r="G372" s="341"/>
      <c r="H372" s="341"/>
      <c r="I372" s="341">
        <f t="shared" si="365"/>
        <v>0</v>
      </c>
      <c r="J372" s="341">
        <f t="shared" si="366"/>
        <v>0</v>
      </c>
      <c r="K372" s="341"/>
      <c r="L372" s="342"/>
      <c r="M372" s="342"/>
      <c r="N372" s="341">
        <f t="shared" si="322"/>
        <v>0</v>
      </c>
      <c r="O372" s="341">
        <f t="shared" si="323"/>
        <v>0</v>
      </c>
      <c r="P372" s="341">
        <f>SUMIF(GL!$D$6488:$D$6532,B372,GL!$H$6488:$H$6532)</f>
        <v>0</v>
      </c>
      <c r="Q372" s="341">
        <f>SUMIF(GL!$D$6408:$D$6452,B372,GL!$I$6408:$I$6452)</f>
        <v>0</v>
      </c>
      <c r="R372" s="341">
        <f t="shared" ref="R372:S372" si="404">P372+N372</f>
        <v>0</v>
      </c>
      <c r="S372" s="341">
        <f t="shared" si="404"/>
        <v>0</v>
      </c>
      <c r="T372" s="340"/>
      <c r="U372" s="340"/>
      <c r="V372" s="340"/>
      <c r="W372" s="340"/>
      <c r="X372" s="341">
        <f t="shared" si="325"/>
        <v>0</v>
      </c>
      <c r="Y372" s="341">
        <f t="shared" si="326"/>
        <v>0</v>
      </c>
      <c r="Z372" s="364"/>
      <c r="AA372" s="330"/>
      <c r="AB372" s="332"/>
      <c r="AC372" s="332"/>
      <c r="AD372" s="110"/>
      <c r="AE372" s="110"/>
      <c r="AF372" s="110"/>
      <c r="AG372" s="110"/>
      <c r="AH372" s="110"/>
      <c r="AI372" s="110"/>
    </row>
    <row r="373" spans="1:35" ht="13.5" customHeight="1">
      <c r="A373" s="4"/>
      <c r="B373" s="15" t="s">
        <v>4473</v>
      </c>
      <c r="C373" s="341" t="s">
        <v>4474</v>
      </c>
      <c r="D373" s="254">
        <f>SUMIF(GL!$D$5:$D$6505,B373,GL!$G$5:$G$6505)</f>
        <v>0</v>
      </c>
      <c r="E373" s="341">
        <f>SUMIF(GL!$D$6:$D$6487,B373,GL!$H$6:$H$6487)</f>
        <v>0</v>
      </c>
      <c r="F373" s="341">
        <f>SUMIF(GL!$D$6:$D$6487,B373,GL!$I$6:$I$6487)</f>
        <v>0</v>
      </c>
      <c r="G373" s="341"/>
      <c r="H373" s="341"/>
      <c r="I373" s="341">
        <f t="shared" si="365"/>
        <v>0</v>
      </c>
      <c r="J373" s="341">
        <f t="shared" si="366"/>
        <v>0</v>
      </c>
      <c r="K373" s="341"/>
      <c r="L373" s="342"/>
      <c r="M373" s="342"/>
      <c r="N373" s="341">
        <f t="shared" si="322"/>
        <v>0</v>
      </c>
      <c r="O373" s="341">
        <f t="shared" si="323"/>
        <v>0</v>
      </c>
      <c r="P373" s="341">
        <f>SUMIF(GL!$D$6488:$D$6532,B373,GL!$H$6488:$H$6532)</f>
        <v>0</v>
      </c>
      <c r="Q373" s="341">
        <f>SUMIF(GL!$D$6408:$D$6452,B373,GL!$I$6408:$I$6452)</f>
        <v>0</v>
      </c>
      <c r="R373" s="341">
        <f t="shared" ref="R373:S373" si="405">P373+N373</f>
        <v>0</v>
      </c>
      <c r="S373" s="341">
        <f t="shared" si="405"/>
        <v>0</v>
      </c>
      <c r="T373" s="340"/>
      <c r="U373" s="340"/>
      <c r="V373" s="340"/>
      <c r="W373" s="340"/>
      <c r="X373" s="341">
        <f t="shared" si="325"/>
        <v>0</v>
      </c>
      <c r="Y373" s="341">
        <f t="shared" si="326"/>
        <v>0</v>
      </c>
      <c r="Z373" s="364"/>
      <c r="AA373" s="330"/>
      <c r="AB373" s="332"/>
      <c r="AC373" s="332"/>
      <c r="AD373" s="110"/>
      <c r="AE373" s="110"/>
      <c r="AF373" s="110"/>
      <c r="AG373" s="110"/>
      <c r="AH373" s="110"/>
      <c r="AI373" s="110"/>
    </row>
    <row r="374" spans="1:35" ht="13.5" customHeight="1">
      <c r="A374" s="4"/>
      <c r="B374" s="15" t="s">
        <v>4475</v>
      </c>
      <c r="C374" s="363" t="s">
        <v>4476</v>
      </c>
      <c r="D374" s="254">
        <f>SUMIF(GL!$D$5:$D$6505,B374,GL!$G$5:$G$6505)</f>
        <v>0</v>
      </c>
      <c r="E374" s="341">
        <f>SUMIF(GL!$D$6:$D$6487,B374,GL!$H$6:$H$6487)</f>
        <v>0</v>
      </c>
      <c r="F374" s="341">
        <f>SUMIF(GL!$D$6:$D$6487,B374,GL!$I$6:$I$6487)</f>
        <v>0</v>
      </c>
      <c r="G374" s="341"/>
      <c r="H374" s="341"/>
      <c r="I374" s="341">
        <f t="shared" si="365"/>
        <v>0</v>
      </c>
      <c r="J374" s="341">
        <f t="shared" si="366"/>
        <v>0</v>
      </c>
      <c r="K374" s="341"/>
      <c r="L374" s="342"/>
      <c r="M374" s="342"/>
      <c r="N374" s="341">
        <f t="shared" si="322"/>
        <v>0</v>
      </c>
      <c r="O374" s="341">
        <f t="shared" si="323"/>
        <v>0</v>
      </c>
      <c r="P374" s="341">
        <f>SUMIF(GL!$D$6488:$D$6532,B374,GL!$H$6488:$H$6532)</f>
        <v>0</v>
      </c>
      <c r="Q374" s="341">
        <f>SUMIF(GL!$D$6408:$D$6452,B374,GL!$I$6408:$I$6452)</f>
        <v>0</v>
      </c>
      <c r="R374" s="341">
        <f t="shared" ref="R374:S374" si="406">P374+N374</f>
        <v>0</v>
      </c>
      <c r="S374" s="341">
        <f t="shared" si="406"/>
        <v>0</v>
      </c>
      <c r="T374" s="340"/>
      <c r="U374" s="340"/>
      <c r="V374" s="340"/>
      <c r="W374" s="340"/>
      <c r="X374" s="341">
        <f t="shared" si="325"/>
        <v>0</v>
      </c>
      <c r="Y374" s="341">
        <f t="shared" si="326"/>
        <v>0</v>
      </c>
      <c r="Z374" s="364"/>
      <c r="AA374" s="330"/>
      <c r="AB374" s="332"/>
      <c r="AC374" s="332"/>
      <c r="AD374" s="110"/>
      <c r="AE374" s="110"/>
      <c r="AF374" s="110"/>
      <c r="AG374" s="110"/>
      <c r="AH374" s="110"/>
      <c r="AI374" s="110"/>
    </row>
    <row r="375" spans="1:35" ht="13.5" customHeight="1">
      <c r="A375" s="4"/>
      <c r="B375" s="15" t="s">
        <v>4477</v>
      </c>
      <c r="C375" s="363" t="s">
        <v>4478</v>
      </c>
      <c r="D375" s="254">
        <f>SUMIF(GL!$D$5:$D$6505,B375,GL!$G$5:$G$6505)</f>
        <v>0</v>
      </c>
      <c r="E375" s="341">
        <f>SUMIF(GL!$D$6:$D$6487,B375,GL!$H$6:$H$6487)</f>
        <v>0</v>
      </c>
      <c r="F375" s="341">
        <f>SUMIF(GL!$D$6:$D$6487,B375,GL!$I$6:$I$6487)</f>
        <v>0</v>
      </c>
      <c r="G375" s="341"/>
      <c r="H375" s="341"/>
      <c r="I375" s="341">
        <f t="shared" si="365"/>
        <v>0</v>
      </c>
      <c r="J375" s="341">
        <f t="shared" si="366"/>
        <v>0</v>
      </c>
      <c r="K375" s="341"/>
      <c r="L375" s="342"/>
      <c r="M375" s="342"/>
      <c r="N375" s="341">
        <f t="shared" si="322"/>
        <v>0</v>
      </c>
      <c r="O375" s="341">
        <f t="shared" si="323"/>
        <v>0</v>
      </c>
      <c r="P375" s="341">
        <f>SUMIF(GL!$D$6488:$D$6532,B375,GL!$H$6488:$H$6532)</f>
        <v>0</v>
      </c>
      <c r="Q375" s="341">
        <f>SUMIF(GL!$D$6408:$D$6452,B375,GL!$I$6408:$I$6452)</f>
        <v>0</v>
      </c>
      <c r="R375" s="341">
        <f t="shared" ref="R375:S375" si="407">P375+N375</f>
        <v>0</v>
      </c>
      <c r="S375" s="341">
        <f t="shared" si="407"/>
        <v>0</v>
      </c>
      <c r="T375" s="340"/>
      <c r="U375" s="340"/>
      <c r="V375" s="340"/>
      <c r="W375" s="340"/>
      <c r="X375" s="341">
        <f t="shared" si="325"/>
        <v>0</v>
      </c>
      <c r="Y375" s="341">
        <f t="shared" si="326"/>
        <v>0</v>
      </c>
      <c r="Z375" s="364"/>
      <c r="AA375" s="330"/>
      <c r="AB375" s="332"/>
      <c r="AC375" s="332"/>
      <c r="AD375" s="110"/>
      <c r="AE375" s="110"/>
      <c r="AF375" s="110"/>
      <c r="AG375" s="110"/>
      <c r="AH375" s="110"/>
      <c r="AI375" s="110"/>
    </row>
    <row r="376" spans="1:35" ht="13.5" customHeight="1">
      <c r="A376" s="4"/>
      <c r="B376" s="15" t="s">
        <v>4479</v>
      </c>
      <c r="C376" s="363" t="s">
        <v>4480</v>
      </c>
      <c r="D376" s="254">
        <f>SUMIF(GL!$D$5:$D$6505,B376,GL!$G$5:$G$6505)</f>
        <v>0</v>
      </c>
      <c r="E376" s="341">
        <f>SUMIF(GL!$D$6:$D$6487,B376,GL!$H$6:$H$6487)</f>
        <v>0</v>
      </c>
      <c r="F376" s="341">
        <f>SUMIF(GL!$D$6:$D$6487,B376,GL!$I$6:$I$6487)</f>
        <v>0</v>
      </c>
      <c r="G376" s="341"/>
      <c r="H376" s="341"/>
      <c r="I376" s="341">
        <f t="shared" si="365"/>
        <v>0</v>
      </c>
      <c r="J376" s="341">
        <f t="shared" si="366"/>
        <v>0</v>
      </c>
      <c r="K376" s="341"/>
      <c r="L376" s="342"/>
      <c r="M376" s="342"/>
      <c r="N376" s="341">
        <f t="shared" si="322"/>
        <v>0</v>
      </c>
      <c r="O376" s="341">
        <f t="shared" si="323"/>
        <v>0</v>
      </c>
      <c r="P376" s="341">
        <f>SUMIF(GL!$D$6488:$D$6532,B376,GL!$H$6488:$H$6532)</f>
        <v>0</v>
      </c>
      <c r="Q376" s="341">
        <f>SUMIF(GL!$D$6408:$D$6452,B376,GL!$I$6408:$I$6452)</f>
        <v>0</v>
      </c>
      <c r="R376" s="341">
        <f t="shared" ref="R376:S376" si="408">P376+N376</f>
        <v>0</v>
      </c>
      <c r="S376" s="341">
        <f t="shared" si="408"/>
        <v>0</v>
      </c>
      <c r="T376" s="340"/>
      <c r="U376" s="340"/>
      <c r="V376" s="340"/>
      <c r="W376" s="340"/>
      <c r="X376" s="341">
        <f t="shared" si="325"/>
        <v>0</v>
      </c>
      <c r="Y376" s="341">
        <f t="shared" si="326"/>
        <v>0</v>
      </c>
      <c r="Z376" s="364"/>
      <c r="AA376" s="330"/>
      <c r="AB376" s="332"/>
      <c r="AC376" s="332"/>
      <c r="AD376" s="110"/>
      <c r="AE376" s="110"/>
      <c r="AF376" s="110"/>
      <c r="AG376" s="110"/>
      <c r="AH376" s="110"/>
      <c r="AI376" s="110"/>
    </row>
    <row r="377" spans="1:35" ht="13.5" customHeight="1">
      <c r="A377" s="4"/>
      <c r="B377" s="15" t="s">
        <v>2448</v>
      </c>
      <c r="C377" s="363" t="s">
        <v>4481</v>
      </c>
      <c r="D377" s="254">
        <f>SUMIF(GL!$D$5:$D$6505,B377,GL!$G$5:$G$6505)</f>
        <v>2</v>
      </c>
      <c r="E377" s="341">
        <f>SUMIF(GL!$D$6:$D$6487,B377,GL!$H$6:$H$6487)</f>
        <v>608772</v>
      </c>
      <c r="F377" s="341">
        <f>SUMIF(GL!$D$6:$D$6487,B377,GL!$I$6:$I$6487)</f>
        <v>0</v>
      </c>
      <c r="G377" s="341"/>
      <c r="H377" s="341"/>
      <c r="I377" s="341">
        <f t="shared" si="365"/>
        <v>608772</v>
      </c>
      <c r="J377" s="341">
        <f t="shared" si="366"/>
        <v>0</v>
      </c>
      <c r="K377" s="341"/>
      <c r="L377" s="342"/>
      <c r="M377" s="342"/>
      <c r="N377" s="341">
        <f t="shared" si="322"/>
        <v>608772</v>
      </c>
      <c r="O377" s="341">
        <f t="shared" si="323"/>
        <v>0</v>
      </c>
      <c r="P377" s="341">
        <f>SUMIF(GL!$D$6488:$D$6532,B377,GL!$H$6488:$H$6532)</f>
        <v>0</v>
      </c>
      <c r="Q377" s="341">
        <f>SUMIF(GL!$D$6408:$D$6452,B377,GL!$I$6408:$I$6452)</f>
        <v>0</v>
      </c>
      <c r="R377" s="341">
        <f t="shared" ref="R377:S377" si="409">P377+N377</f>
        <v>608772</v>
      </c>
      <c r="S377" s="341">
        <f t="shared" si="409"/>
        <v>0</v>
      </c>
      <c r="T377" s="340"/>
      <c r="U377" s="340"/>
      <c r="V377" s="340"/>
      <c r="W377" s="340"/>
      <c r="X377" s="341">
        <f t="shared" si="325"/>
        <v>608772</v>
      </c>
      <c r="Y377" s="341">
        <f t="shared" si="326"/>
        <v>0</v>
      </c>
      <c r="Z377" s="364"/>
      <c r="AA377" s="330"/>
      <c r="AB377" s="332"/>
      <c r="AC377" s="332"/>
      <c r="AD377" s="110"/>
      <c r="AE377" s="110"/>
      <c r="AF377" s="110"/>
      <c r="AG377" s="110"/>
      <c r="AH377" s="110"/>
      <c r="AI377" s="110"/>
    </row>
    <row r="378" spans="1:35" ht="13.5" customHeight="1">
      <c r="A378" s="4"/>
      <c r="B378" s="15" t="s">
        <v>4482</v>
      </c>
      <c r="C378" s="363" t="s">
        <v>4483</v>
      </c>
      <c r="D378" s="254">
        <f>SUMIF(GL!$D$5:$D$6505,B378,GL!$G$5:$G$6505)</f>
        <v>0</v>
      </c>
      <c r="E378" s="341">
        <f>SUMIF(GL!$D$6:$D$6487,B378,GL!$H$6:$H$6487)</f>
        <v>0</v>
      </c>
      <c r="F378" s="341">
        <f>SUMIF(GL!$D$6:$D$6487,B378,GL!$I$6:$I$6487)</f>
        <v>0</v>
      </c>
      <c r="G378" s="341"/>
      <c r="H378" s="341"/>
      <c r="I378" s="341">
        <f t="shared" si="365"/>
        <v>0</v>
      </c>
      <c r="J378" s="341">
        <f t="shared" si="366"/>
        <v>0</v>
      </c>
      <c r="K378" s="341"/>
      <c r="L378" s="342"/>
      <c r="M378" s="342"/>
      <c r="N378" s="341">
        <f t="shared" si="322"/>
        <v>0</v>
      </c>
      <c r="O378" s="341">
        <f t="shared" si="323"/>
        <v>0</v>
      </c>
      <c r="P378" s="341">
        <f>SUMIF(GL!$D$6488:$D$6532,B378,GL!$H$6488:$H$6532)</f>
        <v>0</v>
      </c>
      <c r="Q378" s="341">
        <f>SUMIF(GL!$D$6408:$D$6452,B378,GL!$I$6408:$I$6452)</f>
        <v>0</v>
      </c>
      <c r="R378" s="341">
        <f t="shared" ref="R378:S378" si="410">P378+N378</f>
        <v>0</v>
      </c>
      <c r="S378" s="341">
        <f t="shared" si="410"/>
        <v>0</v>
      </c>
      <c r="T378" s="340"/>
      <c r="U378" s="340"/>
      <c r="V378" s="340"/>
      <c r="W378" s="340"/>
      <c r="X378" s="341">
        <f t="shared" si="325"/>
        <v>0</v>
      </c>
      <c r="Y378" s="341">
        <f t="shared" si="326"/>
        <v>0</v>
      </c>
      <c r="Z378" s="364"/>
      <c r="AA378" s="330"/>
      <c r="AB378" s="332"/>
      <c r="AC378" s="332"/>
      <c r="AD378" s="110"/>
      <c r="AE378" s="110"/>
      <c r="AF378" s="110"/>
      <c r="AG378" s="110"/>
      <c r="AH378" s="110"/>
      <c r="AI378" s="110"/>
    </row>
    <row r="379" spans="1:35" ht="13.5" customHeight="1">
      <c r="A379" s="4"/>
      <c r="B379" s="15" t="s">
        <v>4484</v>
      </c>
      <c r="C379" s="363" t="s">
        <v>4485</v>
      </c>
      <c r="D379" s="254">
        <f>SUMIF(GL!$D$5:$D$6505,B379,GL!$G$5:$G$6505)</f>
        <v>0</v>
      </c>
      <c r="E379" s="341">
        <f>SUMIF(GL!$D$6:$D$6487,B379,GL!$H$6:$H$6487)</f>
        <v>0</v>
      </c>
      <c r="F379" s="341">
        <f>SUMIF(GL!$D$6:$D$6487,B379,GL!$I$6:$I$6487)</f>
        <v>0</v>
      </c>
      <c r="G379" s="341"/>
      <c r="H379" s="341"/>
      <c r="I379" s="341">
        <f t="shared" si="365"/>
        <v>0</v>
      </c>
      <c r="J379" s="341">
        <f t="shared" si="366"/>
        <v>0</v>
      </c>
      <c r="K379" s="341"/>
      <c r="L379" s="342"/>
      <c r="M379" s="342"/>
      <c r="N379" s="341">
        <f t="shared" si="322"/>
        <v>0</v>
      </c>
      <c r="O379" s="341">
        <f t="shared" si="323"/>
        <v>0</v>
      </c>
      <c r="P379" s="341">
        <f>SUMIF(GL!$D$6488:$D$6532,B379,GL!$H$6488:$H$6532)</f>
        <v>0</v>
      </c>
      <c r="Q379" s="341">
        <f>SUMIF(GL!$D$6408:$D$6452,B379,GL!$I$6408:$I$6452)</f>
        <v>0</v>
      </c>
      <c r="R379" s="341">
        <f t="shared" ref="R379:S379" si="411">P379+N379</f>
        <v>0</v>
      </c>
      <c r="S379" s="341">
        <f t="shared" si="411"/>
        <v>0</v>
      </c>
      <c r="T379" s="340"/>
      <c r="U379" s="340"/>
      <c r="V379" s="340"/>
      <c r="W379" s="340"/>
      <c r="X379" s="341">
        <f t="shared" si="325"/>
        <v>0</v>
      </c>
      <c r="Y379" s="341">
        <f t="shared" si="326"/>
        <v>0</v>
      </c>
      <c r="Z379" s="364"/>
      <c r="AA379" s="330"/>
      <c r="AB379" s="332"/>
      <c r="AC379" s="332"/>
      <c r="AD379" s="110"/>
      <c r="AE379" s="110"/>
      <c r="AF379" s="110"/>
      <c r="AG379" s="110"/>
      <c r="AH379" s="110"/>
      <c r="AI379" s="110"/>
    </row>
    <row r="380" spans="1:35" ht="13.5" customHeight="1">
      <c r="A380" s="4"/>
      <c r="B380" s="15" t="s">
        <v>4486</v>
      </c>
      <c r="C380" s="363" t="s">
        <v>4487</v>
      </c>
      <c r="D380" s="254">
        <f>SUMIF(GL!$D$5:$D$6505,B380,GL!$G$5:$G$6505)</f>
        <v>0</v>
      </c>
      <c r="E380" s="341">
        <f>SUMIF(GL!$D$6:$D$6487,B380,GL!$H$6:$H$6487)</f>
        <v>0</v>
      </c>
      <c r="F380" s="341">
        <f>SUMIF(GL!$D$6:$D$6487,B380,GL!$I$6:$I$6487)</f>
        <v>0</v>
      </c>
      <c r="G380" s="341"/>
      <c r="H380" s="341"/>
      <c r="I380" s="341">
        <f t="shared" si="365"/>
        <v>0</v>
      </c>
      <c r="J380" s="341">
        <f t="shared" si="366"/>
        <v>0</v>
      </c>
      <c r="K380" s="341"/>
      <c r="L380" s="342"/>
      <c r="M380" s="342"/>
      <c r="N380" s="341">
        <f t="shared" si="322"/>
        <v>0</v>
      </c>
      <c r="O380" s="341">
        <f t="shared" si="323"/>
        <v>0</v>
      </c>
      <c r="P380" s="341">
        <f>SUMIF(GL!$D$6488:$D$6532,B380,GL!$H$6488:$H$6532)</f>
        <v>0</v>
      </c>
      <c r="Q380" s="341">
        <f>SUMIF(GL!$D$6408:$D$6452,B380,GL!$I$6408:$I$6452)</f>
        <v>0</v>
      </c>
      <c r="R380" s="341">
        <f t="shared" ref="R380:S380" si="412">P380+N380</f>
        <v>0</v>
      </c>
      <c r="S380" s="341">
        <f t="shared" si="412"/>
        <v>0</v>
      </c>
      <c r="T380" s="340"/>
      <c r="U380" s="340"/>
      <c r="V380" s="340"/>
      <c r="W380" s="340"/>
      <c r="X380" s="341">
        <f t="shared" si="325"/>
        <v>0</v>
      </c>
      <c r="Y380" s="341">
        <f t="shared" si="326"/>
        <v>0</v>
      </c>
      <c r="Z380" s="364"/>
      <c r="AA380" s="330"/>
      <c r="AB380" s="332"/>
      <c r="AC380" s="332"/>
      <c r="AD380" s="110"/>
      <c r="AE380" s="110"/>
      <c r="AF380" s="110"/>
      <c r="AG380" s="110"/>
      <c r="AH380" s="110"/>
      <c r="AI380" s="110"/>
    </row>
    <row r="381" spans="1:35" ht="13.5" customHeight="1">
      <c r="A381" s="4"/>
      <c r="B381" s="15" t="s">
        <v>4488</v>
      </c>
      <c r="C381" s="341" t="s">
        <v>4489</v>
      </c>
      <c r="D381" s="254">
        <f>SUMIF(GL!$D$5:$D$6505,B381,GL!$G$5:$G$6505)</f>
        <v>0</v>
      </c>
      <c r="E381" s="341">
        <f>SUMIF(GL!$D$6:$D$6487,B381,GL!$H$6:$H$6487)</f>
        <v>0</v>
      </c>
      <c r="F381" s="341">
        <f>SUMIF(GL!$D$6:$D$6487,B381,GL!$I$6:$I$6487)</f>
        <v>0</v>
      </c>
      <c r="G381" s="341"/>
      <c r="H381" s="341"/>
      <c r="I381" s="341">
        <f t="shared" si="365"/>
        <v>0</v>
      </c>
      <c r="J381" s="341">
        <f t="shared" si="366"/>
        <v>0</v>
      </c>
      <c r="K381" s="341"/>
      <c r="L381" s="342"/>
      <c r="M381" s="342"/>
      <c r="N381" s="341">
        <f t="shared" si="322"/>
        <v>0</v>
      </c>
      <c r="O381" s="341">
        <f t="shared" si="323"/>
        <v>0</v>
      </c>
      <c r="P381" s="341">
        <f>SUMIF(GL!$D$6488:$D$6532,B381,GL!$H$6488:$H$6532)</f>
        <v>0</v>
      </c>
      <c r="Q381" s="341">
        <f>SUMIF(GL!$D$6408:$D$6452,B381,GL!$I$6408:$I$6452)</f>
        <v>0</v>
      </c>
      <c r="R381" s="341">
        <f t="shared" ref="R381:S381" si="413">P381+N381</f>
        <v>0</v>
      </c>
      <c r="S381" s="341">
        <f t="shared" si="413"/>
        <v>0</v>
      </c>
      <c r="T381" s="340"/>
      <c r="U381" s="340"/>
      <c r="V381" s="340"/>
      <c r="W381" s="340"/>
      <c r="X381" s="341">
        <f t="shared" si="325"/>
        <v>0</v>
      </c>
      <c r="Y381" s="341">
        <f t="shared" si="326"/>
        <v>0</v>
      </c>
      <c r="Z381" s="364"/>
      <c r="AA381" s="330"/>
      <c r="AB381" s="332"/>
      <c r="AC381" s="332"/>
      <c r="AD381" s="110"/>
      <c r="AE381" s="110"/>
      <c r="AF381" s="110"/>
      <c r="AG381" s="110"/>
      <c r="AH381" s="110"/>
      <c r="AI381" s="110"/>
    </row>
    <row r="382" spans="1:35" ht="13.5" customHeight="1">
      <c r="A382" s="4"/>
      <c r="B382" s="15" t="s">
        <v>4490</v>
      </c>
      <c r="C382" s="363" t="s">
        <v>4491</v>
      </c>
      <c r="D382" s="254">
        <f>SUMIF(GL!$D$5:$D$6505,B382,GL!$G$5:$G$6505)</f>
        <v>0</v>
      </c>
      <c r="E382" s="341">
        <f>SUMIF(GL!$D$6:$D$6487,B382,GL!$H$6:$H$6487)</f>
        <v>0</v>
      </c>
      <c r="F382" s="341">
        <f>SUMIF(GL!$D$6:$D$6487,B382,GL!$I$6:$I$6487)</f>
        <v>0</v>
      </c>
      <c r="G382" s="341"/>
      <c r="H382" s="341"/>
      <c r="I382" s="341">
        <f t="shared" si="365"/>
        <v>0</v>
      </c>
      <c r="J382" s="341">
        <f t="shared" si="366"/>
        <v>0</v>
      </c>
      <c r="K382" s="341"/>
      <c r="L382" s="342"/>
      <c r="M382" s="342"/>
      <c r="N382" s="341">
        <f t="shared" si="322"/>
        <v>0</v>
      </c>
      <c r="O382" s="341">
        <f t="shared" si="323"/>
        <v>0</v>
      </c>
      <c r="P382" s="341">
        <f>SUMIF(GL!$D$6488:$D$6532,B382,GL!$H$6488:$H$6532)</f>
        <v>0</v>
      </c>
      <c r="Q382" s="341">
        <f>SUMIF(GL!$D$6408:$D$6452,B382,GL!$I$6408:$I$6452)</f>
        <v>0</v>
      </c>
      <c r="R382" s="341">
        <f t="shared" ref="R382:S382" si="414">P382+N382</f>
        <v>0</v>
      </c>
      <c r="S382" s="341">
        <f t="shared" si="414"/>
        <v>0</v>
      </c>
      <c r="T382" s="340"/>
      <c r="U382" s="340"/>
      <c r="V382" s="340"/>
      <c r="W382" s="340"/>
      <c r="X382" s="341">
        <f t="shared" si="325"/>
        <v>0</v>
      </c>
      <c r="Y382" s="341">
        <f t="shared" si="326"/>
        <v>0</v>
      </c>
      <c r="Z382" s="364"/>
      <c r="AA382" s="330"/>
      <c r="AB382" s="332"/>
      <c r="AC382" s="332"/>
      <c r="AD382" s="110"/>
      <c r="AE382" s="110"/>
      <c r="AF382" s="110"/>
      <c r="AG382" s="110"/>
      <c r="AH382" s="110"/>
      <c r="AI382" s="110"/>
    </row>
    <row r="383" spans="1:35" ht="13.5" customHeight="1">
      <c r="A383" s="4"/>
      <c r="B383" s="15" t="s">
        <v>4492</v>
      </c>
      <c r="C383" s="363" t="s">
        <v>4493</v>
      </c>
      <c r="D383" s="254">
        <f>SUMIF(GL!$D$5:$D$6505,B383,GL!$G$5:$G$6505)</f>
        <v>0</v>
      </c>
      <c r="E383" s="341">
        <f>SUMIF(GL!$D$6:$D$6487,B383,GL!$H$6:$H$6487)</f>
        <v>0</v>
      </c>
      <c r="F383" s="341">
        <f>SUMIF(GL!$D$6:$D$6487,B383,GL!$I$6:$I$6487)</f>
        <v>0</v>
      </c>
      <c r="G383" s="341"/>
      <c r="H383" s="341"/>
      <c r="I383" s="341">
        <f t="shared" si="365"/>
        <v>0</v>
      </c>
      <c r="J383" s="341">
        <f t="shared" si="366"/>
        <v>0</v>
      </c>
      <c r="K383" s="341"/>
      <c r="L383" s="342"/>
      <c r="M383" s="342"/>
      <c r="N383" s="341">
        <f t="shared" si="322"/>
        <v>0</v>
      </c>
      <c r="O383" s="341">
        <f t="shared" si="323"/>
        <v>0</v>
      </c>
      <c r="P383" s="341">
        <f>SUMIF(GL!$D$6488:$D$6532,B383,GL!$H$6488:$H$6532)</f>
        <v>0</v>
      </c>
      <c r="Q383" s="341">
        <f>SUMIF(GL!$D$6408:$D$6452,B383,GL!$I$6408:$I$6452)</f>
        <v>0</v>
      </c>
      <c r="R383" s="341">
        <f t="shared" ref="R383:S383" si="415">P383+N383</f>
        <v>0</v>
      </c>
      <c r="S383" s="341">
        <f t="shared" si="415"/>
        <v>0</v>
      </c>
      <c r="T383" s="340"/>
      <c r="U383" s="340"/>
      <c r="V383" s="340"/>
      <c r="W383" s="340"/>
      <c r="X383" s="341">
        <f t="shared" si="325"/>
        <v>0</v>
      </c>
      <c r="Y383" s="341">
        <f t="shared" si="326"/>
        <v>0</v>
      </c>
      <c r="Z383" s="364"/>
      <c r="AA383" s="330"/>
      <c r="AB383" s="332"/>
      <c r="AC383" s="332"/>
      <c r="AD383" s="110"/>
      <c r="AE383" s="110"/>
      <c r="AF383" s="110"/>
      <c r="AG383" s="110"/>
      <c r="AH383" s="110"/>
      <c r="AI383" s="110"/>
    </row>
    <row r="384" spans="1:35" ht="13.5" customHeight="1">
      <c r="A384" s="4"/>
      <c r="B384" s="15" t="s">
        <v>2589</v>
      </c>
      <c r="C384" s="363" t="s">
        <v>4494</v>
      </c>
      <c r="D384" s="254">
        <f>SUMIF(GL!$D$5:$D$6505,B384,GL!$G$5:$G$6505)</f>
        <v>2</v>
      </c>
      <c r="E384" s="341">
        <f>SUMIF(GL!$D$6:$D$6487,B384,GL!$H$6:$H$6487)</f>
        <v>500000</v>
      </c>
      <c r="F384" s="341">
        <f>SUMIF(GL!$D$6:$D$6487,B384,GL!$I$6:$I$6487)</f>
        <v>0</v>
      </c>
      <c r="G384" s="341"/>
      <c r="H384" s="341"/>
      <c r="I384" s="341">
        <f t="shared" si="365"/>
        <v>500000</v>
      </c>
      <c r="J384" s="341">
        <f t="shared" si="366"/>
        <v>0</v>
      </c>
      <c r="K384" s="341"/>
      <c r="L384" s="342"/>
      <c r="M384" s="342"/>
      <c r="N384" s="341">
        <f t="shared" si="322"/>
        <v>500000</v>
      </c>
      <c r="O384" s="341">
        <f t="shared" si="323"/>
        <v>0</v>
      </c>
      <c r="P384" s="341">
        <f>SUMIF(GL!$D$6488:$D$6532,B384,GL!$H$6488:$H$6532)</f>
        <v>0</v>
      </c>
      <c r="Q384" s="341">
        <f>SUMIF(GL!$D$6408:$D$6452,B384,GL!$I$6408:$I$6452)</f>
        <v>0</v>
      </c>
      <c r="R384" s="341">
        <f t="shared" ref="R384:S384" si="416">P384+N384</f>
        <v>500000</v>
      </c>
      <c r="S384" s="341">
        <f t="shared" si="416"/>
        <v>0</v>
      </c>
      <c r="T384" s="340"/>
      <c r="U384" s="340"/>
      <c r="V384" s="340"/>
      <c r="W384" s="340"/>
      <c r="X384" s="341">
        <f t="shared" si="325"/>
        <v>500000</v>
      </c>
      <c r="Y384" s="341">
        <f t="shared" si="326"/>
        <v>0</v>
      </c>
      <c r="Z384" s="364"/>
      <c r="AA384" s="330"/>
      <c r="AB384" s="332"/>
      <c r="AC384" s="332"/>
      <c r="AD384" s="110"/>
      <c r="AE384" s="110"/>
      <c r="AF384" s="110"/>
      <c r="AG384" s="110"/>
      <c r="AH384" s="110"/>
      <c r="AI384" s="110"/>
    </row>
    <row r="385" spans="1:35" ht="13.5" customHeight="1">
      <c r="A385" s="4"/>
      <c r="B385" s="15" t="s">
        <v>4495</v>
      </c>
      <c r="C385" s="363" t="s">
        <v>4496</v>
      </c>
      <c r="D385" s="254">
        <f>SUMIF(GL!$D$5:$D$6505,B385,GL!$G$5:$G$6505)</f>
        <v>0</v>
      </c>
      <c r="E385" s="341">
        <f>SUMIF(GL!$D$6:$D$6487,B385,GL!$H$6:$H$6487)</f>
        <v>0</v>
      </c>
      <c r="F385" s="341">
        <f>SUMIF(GL!$D$6:$D$6487,B385,GL!$I$6:$I$6487)</f>
        <v>0</v>
      </c>
      <c r="G385" s="341"/>
      <c r="H385" s="341"/>
      <c r="I385" s="341">
        <f t="shared" si="365"/>
        <v>0</v>
      </c>
      <c r="J385" s="341">
        <f t="shared" si="366"/>
        <v>0</v>
      </c>
      <c r="K385" s="341"/>
      <c r="L385" s="342"/>
      <c r="M385" s="342"/>
      <c r="N385" s="341">
        <f t="shared" si="322"/>
        <v>0</v>
      </c>
      <c r="O385" s="341">
        <f t="shared" si="323"/>
        <v>0</v>
      </c>
      <c r="P385" s="341">
        <f>SUMIF(GL!$D$6488:$D$6532,B385,GL!$H$6488:$H$6532)</f>
        <v>0</v>
      </c>
      <c r="Q385" s="341">
        <f>SUMIF(GL!$D$6408:$D$6452,B385,GL!$I$6408:$I$6452)</f>
        <v>0</v>
      </c>
      <c r="R385" s="341">
        <f t="shared" ref="R385:S385" si="417">P385+N385</f>
        <v>0</v>
      </c>
      <c r="S385" s="341">
        <f t="shared" si="417"/>
        <v>0</v>
      </c>
      <c r="T385" s="340"/>
      <c r="U385" s="340"/>
      <c r="V385" s="340"/>
      <c r="W385" s="340"/>
      <c r="X385" s="341">
        <f t="shared" si="325"/>
        <v>0</v>
      </c>
      <c r="Y385" s="341">
        <f t="shared" si="326"/>
        <v>0</v>
      </c>
      <c r="Z385" s="364"/>
      <c r="AA385" s="330"/>
      <c r="AB385" s="332"/>
      <c r="AC385" s="332"/>
      <c r="AD385" s="110"/>
      <c r="AE385" s="110"/>
      <c r="AF385" s="110"/>
      <c r="AG385" s="110"/>
      <c r="AH385" s="110"/>
      <c r="AI385" s="110"/>
    </row>
    <row r="386" spans="1:35" ht="13.5" customHeight="1">
      <c r="A386" s="4"/>
      <c r="B386" s="15" t="s">
        <v>4497</v>
      </c>
      <c r="C386" s="363" t="s">
        <v>4498</v>
      </c>
      <c r="D386" s="254">
        <f>SUMIF(GL!$D$5:$D$6505,B386,GL!$G$5:$G$6505)</f>
        <v>0</v>
      </c>
      <c r="E386" s="341">
        <f>SUMIF(GL!$D$6:$D$6487,B386,GL!$H$6:$H$6487)</f>
        <v>0</v>
      </c>
      <c r="F386" s="341">
        <f>SUMIF(GL!$D$6:$D$6487,B386,GL!$I$6:$I$6487)</f>
        <v>0</v>
      </c>
      <c r="G386" s="341"/>
      <c r="H386" s="341"/>
      <c r="I386" s="341">
        <f t="shared" si="365"/>
        <v>0</v>
      </c>
      <c r="J386" s="341">
        <f t="shared" si="366"/>
        <v>0</v>
      </c>
      <c r="K386" s="341"/>
      <c r="L386" s="342"/>
      <c r="M386" s="342"/>
      <c r="N386" s="341">
        <f t="shared" si="322"/>
        <v>0</v>
      </c>
      <c r="O386" s="341">
        <f t="shared" si="323"/>
        <v>0</v>
      </c>
      <c r="P386" s="341">
        <f>SUMIF(GL!$D$6488:$D$6532,B386,GL!$H$6488:$H$6532)</f>
        <v>0</v>
      </c>
      <c r="Q386" s="341">
        <f>SUMIF(GL!$D$6408:$D$6452,B386,GL!$I$6408:$I$6452)</f>
        <v>0</v>
      </c>
      <c r="R386" s="341">
        <f t="shared" ref="R386:S386" si="418">P386+N386</f>
        <v>0</v>
      </c>
      <c r="S386" s="341">
        <f t="shared" si="418"/>
        <v>0</v>
      </c>
      <c r="T386" s="340"/>
      <c r="U386" s="340"/>
      <c r="V386" s="340"/>
      <c r="W386" s="340"/>
      <c r="X386" s="341">
        <f t="shared" si="325"/>
        <v>0</v>
      </c>
      <c r="Y386" s="341">
        <f t="shared" si="326"/>
        <v>0</v>
      </c>
      <c r="Z386" s="364"/>
      <c r="AA386" s="330"/>
      <c r="AB386" s="332"/>
      <c r="AC386" s="332"/>
      <c r="AD386" s="110"/>
      <c r="AE386" s="110"/>
      <c r="AF386" s="110"/>
      <c r="AG386" s="110"/>
      <c r="AH386" s="110"/>
      <c r="AI386" s="110"/>
    </row>
    <row r="387" spans="1:35" ht="13.5" customHeight="1">
      <c r="A387" s="4"/>
      <c r="B387" s="15" t="s">
        <v>1754</v>
      </c>
      <c r="C387" s="363" t="s">
        <v>4499</v>
      </c>
      <c r="D387" s="254">
        <f>SUMIF(GL!$D$5:$D$6505,B387,GL!$G$5:$G$6505)</f>
        <v>673</v>
      </c>
      <c r="E387" s="341">
        <f>SUMIF(GL!$D$6:$D$6487,B387,GL!$H$6:$H$6487)</f>
        <v>5532000</v>
      </c>
      <c r="F387" s="341">
        <f>SUMIF(GL!$D$6:$D$6487,B387,GL!$I$6:$I$6487)</f>
        <v>0</v>
      </c>
      <c r="G387" s="341"/>
      <c r="H387" s="341"/>
      <c r="I387" s="341">
        <f t="shared" si="365"/>
        <v>5532000</v>
      </c>
      <c r="J387" s="341">
        <f t="shared" si="366"/>
        <v>0</v>
      </c>
      <c r="K387" s="341"/>
      <c r="L387" s="342"/>
      <c r="M387" s="342"/>
      <c r="N387" s="341">
        <f t="shared" si="322"/>
        <v>5532000</v>
      </c>
      <c r="O387" s="341">
        <f t="shared" si="323"/>
        <v>0</v>
      </c>
      <c r="P387" s="341">
        <f>SUMIF(GL!$D$6488:$D$6532,B387,GL!$H$6488:$H$6532)</f>
        <v>0</v>
      </c>
      <c r="Q387" s="341">
        <f>SUMIF(GL!$D$6408:$D$6452,B387,GL!$I$6408:$I$6452)</f>
        <v>0</v>
      </c>
      <c r="R387" s="341">
        <f t="shared" ref="R387:S387" si="419">P387+N387</f>
        <v>5532000</v>
      </c>
      <c r="S387" s="341">
        <f t="shared" si="419"/>
        <v>0</v>
      </c>
      <c r="T387" s="340"/>
      <c r="U387" s="340"/>
      <c r="V387" s="340"/>
      <c r="W387" s="340"/>
      <c r="X387" s="341">
        <f t="shared" si="325"/>
        <v>5532000</v>
      </c>
      <c r="Y387" s="341">
        <f t="shared" si="326"/>
        <v>0</v>
      </c>
      <c r="Z387" s="364"/>
      <c r="AA387" s="330"/>
      <c r="AB387" s="332"/>
      <c r="AC387" s="332"/>
      <c r="AD387" s="110"/>
      <c r="AE387" s="110"/>
      <c r="AF387" s="110"/>
      <c r="AG387" s="110"/>
      <c r="AH387" s="110"/>
      <c r="AI387" s="110"/>
    </row>
    <row r="388" spans="1:35" ht="13.5" customHeight="1">
      <c r="A388" s="4"/>
      <c r="B388" s="15" t="s">
        <v>2153</v>
      </c>
      <c r="C388" s="363" t="s">
        <v>4500</v>
      </c>
      <c r="D388" s="254">
        <f>SUMIF(GL!$D$5:$D$6505,B388,GL!$G$5:$G$6505)</f>
        <v>3.4</v>
      </c>
      <c r="E388" s="341">
        <f>SUMIF(GL!$D$6:$D$6487,B388,GL!$H$6:$H$6487)</f>
        <v>182000</v>
      </c>
      <c r="F388" s="341">
        <f>SUMIF(GL!$D$6:$D$6487,B388,GL!$I$6:$I$6487)</f>
        <v>0</v>
      </c>
      <c r="G388" s="341"/>
      <c r="H388" s="341"/>
      <c r="I388" s="341">
        <f t="shared" si="365"/>
        <v>182000</v>
      </c>
      <c r="J388" s="341">
        <f t="shared" si="366"/>
        <v>0</v>
      </c>
      <c r="K388" s="341"/>
      <c r="L388" s="342"/>
      <c r="M388" s="342"/>
      <c r="N388" s="341">
        <f t="shared" si="322"/>
        <v>182000</v>
      </c>
      <c r="O388" s="341">
        <f t="shared" si="323"/>
        <v>0</v>
      </c>
      <c r="P388" s="341">
        <f>SUMIF(GL!$D$6488:$D$6532,B388,GL!$H$6488:$H$6532)</f>
        <v>0</v>
      </c>
      <c r="Q388" s="341">
        <f>SUMIF(GL!$D$6408:$D$6452,B388,GL!$I$6408:$I$6452)</f>
        <v>0</v>
      </c>
      <c r="R388" s="341">
        <f t="shared" ref="R388:S388" si="420">P388+N388</f>
        <v>182000</v>
      </c>
      <c r="S388" s="341">
        <f t="shared" si="420"/>
        <v>0</v>
      </c>
      <c r="T388" s="340"/>
      <c r="U388" s="340"/>
      <c r="V388" s="340"/>
      <c r="W388" s="340"/>
      <c r="X388" s="341">
        <f t="shared" si="325"/>
        <v>182000</v>
      </c>
      <c r="Y388" s="341">
        <f t="shared" si="326"/>
        <v>0</v>
      </c>
      <c r="Z388" s="364"/>
      <c r="AA388" s="330"/>
      <c r="AB388" s="332"/>
      <c r="AC388" s="332"/>
      <c r="AD388" s="110"/>
      <c r="AE388" s="110"/>
      <c r="AF388" s="110"/>
      <c r="AG388" s="110"/>
      <c r="AH388" s="110"/>
      <c r="AI388" s="110"/>
    </row>
    <row r="389" spans="1:35" ht="13.5" customHeight="1">
      <c r="A389" s="4"/>
      <c r="B389" s="15" t="s">
        <v>1944</v>
      </c>
      <c r="C389" s="363" t="s">
        <v>4501</v>
      </c>
      <c r="D389" s="254">
        <f>SUMIF(GL!$D$5:$D$6505,B389,GL!$G$5:$G$6505)</f>
        <v>6</v>
      </c>
      <c r="E389" s="341">
        <f>SUMIF(GL!$D$6:$D$6487,B389,GL!$H$6:$H$6487)</f>
        <v>62000</v>
      </c>
      <c r="F389" s="341">
        <f>SUMIF(GL!$D$6:$D$6487,B389,GL!$I$6:$I$6487)</f>
        <v>0</v>
      </c>
      <c r="G389" s="341"/>
      <c r="H389" s="341"/>
      <c r="I389" s="341">
        <f t="shared" si="365"/>
        <v>62000</v>
      </c>
      <c r="J389" s="341">
        <f t="shared" si="366"/>
        <v>0</v>
      </c>
      <c r="K389" s="341"/>
      <c r="L389" s="342"/>
      <c r="M389" s="342"/>
      <c r="N389" s="341">
        <f t="shared" si="322"/>
        <v>62000</v>
      </c>
      <c r="O389" s="341">
        <f t="shared" si="323"/>
        <v>0</v>
      </c>
      <c r="P389" s="341">
        <f>SUMIF(GL!$D$6488:$D$6532,B389,GL!$H$6488:$H$6532)</f>
        <v>0</v>
      </c>
      <c r="Q389" s="341">
        <f>SUMIF(GL!$D$6408:$D$6452,B389,GL!$I$6408:$I$6452)</f>
        <v>0</v>
      </c>
      <c r="R389" s="341">
        <f t="shared" ref="R389:S389" si="421">P389+N389</f>
        <v>62000</v>
      </c>
      <c r="S389" s="341">
        <f t="shared" si="421"/>
        <v>0</v>
      </c>
      <c r="T389" s="340"/>
      <c r="U389" s="340"/>
      <c r="V389" s="340"/>
      <c r="W389" s="340"/>
      <c r="X389" s="341">
        <f t="shared" si="325"/>
        <v>62000</v>
      </c>
      <c r="Y389" s="341">
        <f t="shared" si="326"/>
        <v>0</v>
      </c>
      <c r="Z389" s="364"/>
      <c r="AA389" s="330"/>
      <c r="AB389" s="332"/>
      <c r="AC389" s="332"/>
      <c r="AD389" s="110"/>
      <c r="AE389" s="110"/>
      <c r="AF389" s="110"/>
      <c r="AG389" s="110"/>
      <c r="AH389" s="110"/>
      <c r="AI389" s="110"/>
    </row>
    <row r="390" spans="1:35" ht="13.5" customHeight="1">
      <c r="A390" s="4"/>
      <c r="B390" s="15" t="s">
        <v>1768</v>
      </c>
      <c r="C390" s="363" t="s">
        <v>4502</v>
      </c>
      <c r="D390" s="254">
        <f>SUMIF(GL!$D$5:$D$6505,B390,GL!$G$5:$G$6505)</f>
        <v>122.294</v>
      </c>
      <c r="E390" s="341">
        <f>SUMIF(GL!$D$6:$D$6487,B390,GL!$H$6:$H$6487)</f>
        <v>2816544</v>
      </c>
      <c r="F390" s="341">
        <f>SUMIF(GL!$D$6:$D$6487,B390,GL!$I$6:$I$6487)</f>
        <v>0</v>
      </c>
      <c r="G390" s="341"/>
      <c r="H390" s="341"/>
      <c r="I390" s="341">
        <f t="shared" si="365"/>
        <v>2816544</v>
      </c>
      <c r="J390" s="341">
        <f t="shared" si="366"/>
        <v>0</v>
      </c>
      <c r="K390" s="341"/>
      <c r="L390" s="342"/>
      <c r="M390" s="342"/>
      <c r="N390" s="341">
        <f t="shared" si="322"/>
        <v>2816544</v>
      </c>
      <c r="O390" s="341">
        <f t="shared" si="323"/>
        <v>0</v>
      </c>
      <c r="P390" s="341">
        <f>SUMIF(GL!$D$6488:$D$6532,B390,GL!$H$6488:$H$6532)</f>
        <v>0</v>
      </c>
      <c r="Q390" s="341">
        <f>SUMIF(GL!$D$6408:$D$6452,B390,GL!$I$6408:$I$6452)</f>
        <v>0</v>
      </c>
      <c r="R390" s="341">
        <f t="shared" ref="R390:S390" si="422">P390+N390</f>
        <v>2816544</v>
      </c>
      <c r="S390" s="341">
        <f t="shared" si="422"/>
        <v>0</v>
      </c>
      <c r="T390" s="340"/>
      <c r="U390" s="340"/>
      <c r="V390" s="340"/>
      <c r="W390" s="340"/>
      <c r="X390" s="341">
        <f t="shared" si="325"/>
        <v>2816544</v>
      </c>
      <c r="Y390" s="341">
        <f t="shared" si="326"/>
        <v>0</v>
      </c>
      <c r="Z390" s="364"/>
      <c r="AA390" s="330"/>
      <c r="AB390" s="332"/>
      <c r="AC390" s="332"/>
      <c r="AD390" s="110"/>
      <c r="AE390" s="110"/>
      <c r="AF390" s="110"/>
      <c r="AG390" s="110"/>
      <c r="AH390" s="110"/>
      <c r="AI390" s="110"/>
    </row>
    <row r="391" spans="1:35" ht="13.5" customHeight="1">
      <c r="A391" s="4"/>
      <c r="B391" s="15" t="s">
        <v>4503</v>
      </c>
      <c r="C391" s="363" t="s">
        <v>4504</v>
      </c>
      <c r="D391" s="254">
        <f>SUMIF(GL!$D$5:$D$6505,B391,GL!$G$5:$G$6505)</f>
        <v>0</v>
      </c>
      <c r="E391" s="341">
        <f>SUMIF(GL!$D$6:$D$6487,B391,GL!$H$6:$H$6487)</f>
        <v>0</v>
      </c>
      <c r="F391" s="341">
        <f>SUMIF(GL!$D$6:$D$6487,B391,GL!$I$6:$I$6487)</f>
        <v>0</v>
      </c>
      <c r="G391" s="341"/>
      <c r="H391" s="341"/>
      <c r="I391" s="341">
        <f t="shared" si="365"/>
        <v>0</v>
      </c>
      <c r="J391" s="341">
        <f t="shared" si="366"/>
        <v>0</v>
      </c>
      <c r="K391" s="341"/>
      <c r="L391" s="342"/>
      <c r="M391" s="342"/>
      <c r="N391" s="341">
        <f t="shared" si="322"/>
        <v>0</v>
      </c>
      <c r="O391" s="341">
        <f t="shared" si="323"/>
        <v>0</v>
      </c>
      <c r="P391" s="341">
        <f>SUMIF(GL!$D$6488:$D$6532,B391,GL!$H$6488:$H$6532)</f>
        <v>0</v>
      </c>
      <c r="Q391" s="341">
        <f>SUMIF(GL!$D$6408:$D$6452,B391,GL!$I$6408:$I$6452)</f>
        <v>0</v>
      </c>
      <c r="R391" s="341">
        <f t="shared" ref="R391:S391" si="423">P391+N391</f>
        <v>0</v>
      </c>
      <c r="S391" s="341">
        <f t="shared" si="423"/>
        <v>0</v>
      </c>
      <c r="T391" s="340"/>
      <c r="U391" s="340"/>
      <c r="V391" s="340"/>
      <c r="W391" s="340"/>
      <c r="X391" s="341">
        <f t="shared" si="325"/>
        <v>0</v>
      </c>
      <c r="Y391" s="341">
        <f t="shared" si="326"/>
        <v>0</v>
      </c>
      <c r="Z391" s="364"/>
      <c r="AA391" s="330"/>
      <c r="AB391" s="332"/>
      <c r="AC391" s="332"/>
      <c r="AD391" s="110"/>
      <c r="AE391" s="110"/>
      <c r="AF391" s="110"/>
      <c r="AG391" s="110"/>
      <c r="AH391" s="110"/>
      <c r="AI391" s="110"/>
    </row>
    <row r="392" spans="1:35" ht="13.5" customHeight="1">
      <c r="A392" s="4"/>
      <c r="B392" s="15" t="s">
        <v>2252</v>
      </c>
      <c r="C392" s="363" t="s">
        <v>4505</v>
      </c>
      <c r="D392" s="254">
        <f>SUMIF(GL!$D$5:$D$6505,B392,GL!$G$5:$G$6505)</f>
        <v>0.95</v>
      </c>
      <c r="E392" s="341">
        <f>SUMIF(GL!$D$6:$D$6487,B392,GL!$H$6:$H$6487)</f>
        <v>52250</v>
      </c>
      <c r="F392" s="341">
        <f>SUMIF(GL!$D$6:$D$6487,B392,GL!$I$6:$I$6487)</f>
        <v>0</v>
      </c>
      <c r="G392" s="341"/>
      <c r="H392" s="341"/>
      <c r="I392" s="341">
        <f t="shared" si="365"/>
        <v>52250</v>
      </c>
      <c r="J392" s="341">
        <f t="shared" si="366"/>
        <v>0</v>
      </c>
      <c r="K392" s="341"/>
      <c r="L392" s="342"/>
      <c r="M392" s="342"/>
      <c r="N392" s="341">
        <f t="shared" si="322"/>
        <v>52250</v>
      </c>
      <c r="O392" s="341">
        <f t="shared" si="323"/>
        <v>0</v>
      </c>
      <c r="P392" s="341">
        <f>SUMIF(GL!$D$6488:$D$6532,B392,GL!$H$6488:$H$6532)</f>
        <v>0</v>
      </c>
      <c r="Q392" s="341">
        <f>SUMIF(GL!$D$6408:$D$6452,B392,GL!$I$6408:$I$6452)</f>
        <v>0</v>
      </c>
      <c r="R392" s="341">
        <f t="shared" ref="R392:S392" si="424">P392+N392</f>
        <v>52250</v>
      </c>
      <c r="S392" s="341">
        <f t="shared" si="424"/>
        <v>0</v>
      </c>
      <c r="T392" s="340"/>
      <c r="U392" s="340"/>
      <c r="V392" s="340"/>
      <c r="W392" s="340"/>
      <c r="X392" s="341">
        <f t="shared" si="325"/>
        <v>52250</v>
      </c>
      <c r="Y392" s="341">
        <f t="shared" si="326"/>
        <v>0</v>
      </c>
      <c r="Z392" s="364"/>
      <c r="AA392" s="330"/>
      <c r="AB392" s="332"/>
      <c r="AC392" s="332"/>
      <c r="AD392" s="110"/>
      <c r="AE392" s="110"/>
      <c r="AF392" s="110"/>
      <c r="AG392" s="110"/>
      <c r="AH392" s="110"/>
      <c r="AI392" s="110"/>
    </row>
    <row r="393" spans="1:35" ht="13.5" customHeight="1">
      <c r="A393" s="4"/>
      <c r="B393" s="15" t="s">
        <v>2110</v>
      </c>
      <c r="C393" s="363" t="s">
        <v>4506</v>
      </c>
      <c r="D393" s="254">
        <f>SUMIF(GL!$D$5:$D$6505,B393,GL!$G$5:$G$6505)</f>
        <v>29.199999999999996</v>
      </c>
      <c r="E393" s="341">
        <f>SUMIF(GL!$D$6:$D$6487,B393,GL!$H$6:$H$6487)</f>
        <v>421400</v>
      </c>
      <c r="F393" s="341">
        <f>SUMIF(GL!$D$6:$D$6487,B393,GL!$I$6:$I$6487)</f>
        <v>0</v>
      </c>
      <c r="G393" s="341"/>
      <c r="H393" s="341"/>
      <c r="I393" s="341">
        <f t="shared" si="365"/>
        <v>421400</v>
      </c>
      <c r="J393" s="341">
        <f t="shared" si="366"/>
        <v>0</v>
      </c>
      <c r="K393" s="341"/>
      <c r="L393" s="342"/>
      <c r="M393" s="342"/>
      <c r="N393" s="341">
        <f t="shared" si="322"/>
        <v>421400</v>
      </c>
      <c r="O393" s="341">
        <f t="shared" si="323"/>
        <v>0</v>
      </c>
      <c r="P393" s="341">
        <f>SUMIF(GL!$D$6488:$D$6532,B393,GL!$H$6488:$H$6532)</f>
        <v>0</v>
      </c>
      <c r="Q393" s="341">
        <f>SUMIF(GL!$D$6408:$D$6452,B393,GL!$I$6408:$I$6452)</f>
        <v>0</v>
      </c>
      <c r="R393" s="341">
        <f t="shared" ref="R393:S393" si="425">P393+N393</f>
        <v>421400</v>
      </c>
      <c r="S393" s="341">
        <f t="shared" si="425"/>
        <v>0</v>
      </c>
      <c r="T393" s="340"/>
      <c r="U393" s="340"/>
      <c r="V393" s="340"/>
      <c r="W393" s="340"/>
      <c r="X393" s="341">
        <f t="shared" si="325"/>
        <v>421400</v>
      </c>
      <c r="Y393" s="341">
        <f t="shared" si="326"/>
        <v>0</v>
      </c>
      <c r="Z393" s="364"/>
      <c r="AA393" s="330"/>
      <c r="AB393" s="332"/>
      <c r="AC393" s="332"/>
      <c r="AD393" s="110"/>
      <c r="AE393" s="110"/>
      <c r="AF393" s="110"/>
      <c r="AG393" s="110"/>
      <c r="AH393" s="110"/>
      <c r="AI393" s="110"/>
    </row>
    <row r="394" spans="1:35" ht="13.5" customHeight="1">
      <c r="A394" s="4"/>
      <c r="B394" s="15" t="s">
        <v>4507</v>
      </c>
      <c r="C394" s="363" t="s">
        <v>4508</v>
      </c>
      <c r="D394" s="254">
        <f>SUMIF(GL!$D$5:$D$6505,B394,GL!$G$5:$G$6505)</f>
        <v>0</v>
      </c>
      <c r="E394" s="341">
        <f>SUMIF(GL!$D$6:$D$6487,B394,GL!$H$6:$H$6487)</f>
        <v>0</v>
      </c>
      <c r="F394" s="341">
        <f>SUMIF(GL!$D$6:$D$6487,B394,GL!$I$6:$I$6487)</f>
        <v>0</v>
      </c>
      <c r="G394" s="341"/>
      <c r="H394" s="341"/>
      <c r="I394" s="341">
        <f t="shared" si="365"/>
        <v>0</v>
      </c>
      <c r="J394" s="341">
        <f t="shared" si="366"/>
        <v>0</v>
      </c>
      <c r="K394" s="341"/>
      <c r="L394" s="342"/>
      <c r="M394" s="342"/>
      <c r="N394" s="341">
        <f t="shared" si="322"/>
        <v>0</v>
      </c>
      <c r="O394" s="341">
        <f t="shared" si="323"/>
        <v>0</v>
      </c>
      <c r="P394" s="341">
        <f>SUMIF(GL!$D$6488:$D$6532,B394,GL!$H$6488:$H$6532)</f>
        <v>0</v>
      </c>
      <c r="Q394" s="341">
        <f>SUMIF(GL!$D$6408:$D$6452,B394,GL!$I$6408:$I$6452)</f>
        <v>0</v>
      </c>
      <c r="R394" s="341">
        <f t="shared" ref="R394:S394" si="426">P394+N394</f>
        <v>0</v>
      </c>
      <c r="S394" s="341">
        <f t="shared" si="426"/>
        <v>0</v>
      </c>
      <c r="T394" s="340"/>
      <c r="U394" s="340"/>
      <c r="V394" s="340"/>
      <c r="W394" s="340"/>
      <c r="X394" s="341">
        <f t="shared" si="325"/>
        <v>0</v>
      </c>
      <c r="Y394" s="341">
        <f t="shared" si="326"/>
        <v>0</v>
      </c>
      <c r="Z394" s="364"/>
      <c r="AA394" s="330"/>
      <c r="AB394" s="332"/>
      <c r="AC394" s="332"/>
      <c r="AD394" s="110"/>
      <c r="AE394" s="110"/>
      <c r="AF394" s="110"/>
      <c r="AG394" s="110"/>
      <c r="AH394" s="110"/>
      <c r="AI394" s="110"/>
    </row>
    <row r="395" spans="1:35" ht="13.5" customHeight="1">
      <c r="A395" s="4"/>
      <c r="B395" s="15" t="s">
        <v>2121</v>
      </c>
      <c r="C395" s="363" t="s">
        <v>4509</v>
      </c>
      <c r="D395" s="254">
        <f>SUMIF(GL!$D$5:$D$6505,B395,GL!$G$5:$G$6505)</f>
        <v>6.6</v>
      </c>
      <c r="E395" s="341">
        <f>SUMIF(GL!$D$6:$D$6487,B395,GL!$H$6:$H$6487)</f>
        <v>278400</v>
      </c>
      <c r="F395" s="341">
        <f>SUMIF(GL!$D$6:$D$6487,B395,GL!$I$6:$I$6487)</f>
        <v>0</v>
      </c>
      <c r="G395" s="341"/>
      <c r="H395" s="341"/>
      <c r="I395" s="341">
        <f t="shared" si="365"/>
        <v>278400</v>
      </c>
      <c r="J395" s="341">
        <f t="shared" si="366"/>
        <v>0</v>
      </c>
      <c r="K395" s="341"/>
      <c r="L395" s="342"/>
      <c r="M395" s="342"/>
      <c r="N395" s="341">
        <f t="shared" si="322"/>
        <v>278400</v>
      </c>
      <c r="O395" s="341">
        <f t="shared" si="323"/>
        <v>0</v>
      </c>
      <c r="P395" s="341">
        <f>SUMIF(GL!$D$6488:$D$6532,B395,GL!$H$6488:$H$6532)</f>
        <v>0</v>
      </c>
      <c r="Q395" s="341">
        <f>SUMIF(GL!$D$6408:$D$6452,B395,GL!$I$6408:$I$6452)</f>
        <v>0</v>
      </c>
      <c r="R395" s="341">
        <f t="shared" ref="R395:S395" si="427">P395+N395</f>
        <v>278400</v>
      </c>
      <c r="S395" s="341">
        <f t="shared" si="427"/>
        <v>0</v>
      </c>
      <c r="T395" s="340"/>
      <c r="U395" s="340"/>
      <c r="V395" s="340"/>
      <c r="W395" s="340"/>
      <c r="X395" s="341">
        <f t="shared" si="325"/>
        <v>278400</v>
      </c>
      <c r="Y395" s="341">
        <f t="shared" si="326"/>
        <v>0</v>
      </c>
      <c r="Z395" s="364"/>
      <c r="AA395" s="330"/>
      <c r="AB395" s="332"/>
      <c r="AC395" s="332"/>
      <c r="AD395" s="110"/>
      <c r="AE395" s="110"/>
      <c r="AF395" s="110"/>
      <c r="AG395" s="110"/>
      <c r="AH395" s="110"/>
      <c r="AI395" s="110"/>
    </row>
    <row r="396" spans="1:35" ht="13.5" customHeight="1">
      <c r="A396" s="4"/>
      <c r="B396" s="15" t="s">
        <v>2222</v>
      </c>
      <c r="C396" s="363" t="s">
        <v>4510</v>
      </c>
      <c r="D396" s="254">
        <f>SUMIF(GL!$D$5:$D$6505,B396,GL!$G$5:$G$6505)</f>
        <v>3.7</v>
      </c>
      <c r="E396" s="341">
        <f>SUMIF(GL!$D$6:$D$6487,B396,GL!$H$6:$H$6487)</f>
        <v>59200</v>
      </c>
      <c r="F396" s="341">
        <f>SUMIF(GL!$D$6:$D$6487,B396,GL!$I$6:$I$6487)</f>
        <v>0</v>
      </c>
      <c r="G396" s="341"/>
      <c r="H396" s="341"/>
      <c r="I396" s="341">
        <f t="shared" si="365"/>
        <v>59200</v>
      </c>
      <c r="J396" s="341">
        <f t="shared" si="366"/>
        <v>0</v>
      </c>
      <c r="K396" s="341"/>
      <c r="L396" s="342"/>
      <c r="M396" s="342"/>
      <c r="N396" s="341">
        <f t="shared" si="322"/>
        <v>59200</v>
      </c>
      <c r="O396" s="341">
        <f t="shared" si="323"/>
        <v>0</v>
      </c>
      <c r="P396" s="341">
        <f>SUMIF(GL!$D$6488:$D$6532,B396,GL!$H$6488:$H$6532)</f>
        <v>0</v>
      </c>
      <c r="Q396" s="341">
        <f>SUMIF(GL!$D$6408:$D$6452,B396,GL!$I$6408:$I$6452)</f>
        <v>0</v>
      </c>
      <c r="R396" s="341">
        <f t="shared" ref="R396:S396" si="428">P396+N396</f>
        <v>59200</v>
      </c>
      <c r="S396" s="341">
        <f t="shared" si="428"/>
        <v>0</v>
      </c>
      <c r="T396" s="340"/>
      <c r="U396" s="340"/>
      <c r="V396" s="340"/>
      <c r="W396" s="340"/>
      <c r="X396" s="341">
        <f t="shared" si="325"/>
        <v>59200</v>
      </c>
      <c r="Y396" s="341">
        <f t="shared" si="326"/>
        <v>0</v>
      </c>
      <c r="Z396" s="364"/>
      <c r="AA396" s="330"/>
      <c r="AB396" s="332"/>
      <c r="AC396" s="332"/>
      <c r="AD396" s="110"/>
      <c r="AE396" s="110"/>
      <c r="AF396" s="110"/>
      <c r="AG396" s="110"/>
      <c r="AH396" s="110"/>
      <c r="AI396" s="110"/>
    </row>
    <row r="397" spans="1:35" ht="13.5" customHeight="1">
      <c r="A397" s="4"/>
      <c r="B397" s="15" t="s">
        <v>2069</v>
      </c>
      <c r="C397" s="363" t="s">
        <v>4511</v>
      </c>
      <c r="D397" s="254">
        <f>SUMIF(GL!$D$5:$D$6505,B397,GL!$G$5:$G$6505)</f>
        <v>2.35</v>
      </c>
      <c r="E397" s="341">
        <f>SUMIF(GL!$D$6:$D$6487,B397,GL!$H$6:$H$6487)</f>
        <v>101050</v>
      </c>
      <c r="F397" s="341">
        <f>SUMIF(GL!$D$6:$D$6487,B397,GL!$I$6:$I$6487)</f>
        <v>0</v>
      </c>
      <c r="G397" s="341"/>
      <c r="H397" s="341"/>
      <c r="I397" s="341">
        <f t="shared" si="365"/>
        <v>101050</v>
      </c>
      <c r="J397" s="341">
        <f t="shared" si="366"/>
        <v>0</v>
      </c>
      <c r="K397" s="341"/>
      <c r="L397" s="342"/>
      <c r="M397" s="342"/>
      <c r="N397" s="341">
        <f t="shared" si="322"/>
        <v>101050</v>
      </c>
      <c r="O397" s="341">
        <f t="shared" si="323"/>
        <v>0</v>
      </c>
      <c r="P397" s="341">
        <f>SUMIF(GL!$D$6488:$D$6532,B397,GL!$H$6488:$H$6532)</f>
        <v>0</v>
      </c>
      <c r="Q397" s="341">
        <f>SUMIF(GL!$D$6408:$D$6452,B397,GL!$I$6408:$I$6452)</f>
        <v>0</v>
      </c>
      <c r="R397" s="341">
        <f t="shared" ref="R397:S397" si="429">P397+N397</f>
        <v>101050</v>
      </c>
      <c r="S397" s="341">
        <f t="shared" si="429"/>
        <v>0</v>
      </c>
      <c r="T397" s="340"/>
      <c r="U397" s="340"/>
      <c r="V397" s="340"/>
      <c r="W397" s="340"/>
      <c r="X397" s="341">
        <f t="shared" si="325"/>
        <v>101050</v>
      </c>
      <c r="Y397" s="341">
        <f t="shared" si="326"/>
        <v>0</v>
      </c>
      <c r="Z397" s="364"/>
      <c r="AA397" s="330"/>
      <c r="AB397" s="332"/>
      <c r="AC397" s="332"/>
      <c r="AD397" s="110"/>
      <c r="AE397" s="110"/>
      <c r="AF397" s="110"/>
      <c r="AG397" s="110"/>
      <c r="AH397" s="110"/>
      <c r="AI397" s="110"/>
    </row>
    <row r="398" spans="1:35" ht="13.5" customHeight="1">
      <c r="A398" s="4"/>
      <c r="B398" s="15" t="s">
        <v>4512</v>
      </c>
      <c r="C398" s="363" t="s">
        <v>4513</v>
      </c>
      <c r="D398" s="254">
        <f>SUMIF(GL!$D$5:$D$6505,B398,GL!$G$5:$G$6505)</f>
        <v>0</v>
      </c>
      <c r="E398" s="341">
        <f>SUMIF(GL!$D$6:$D$6487,B398,GL!$H$6:$H$6487)</f>
        <v>0</v>
      </c>
      <c r="F398" s="341">
        <f>SUMIF(GL!$D$6:$D$6487,B398,GL!$I$6:$I$6487)</f>
        <v>0</v>
      </c>
      <c r="G398" s="341"/>
      <c r="H398" s="341"/>
      <c r="I398" s="341">
        <f t="shared" si="365"/>
        <v>0</v>
      </c>
      <c r="J398" s="341">
        <f t="shared" si="366"/>
        <v>0</v>
      </c>
      <c r="K398" s="341"/>
      <c r="L398" s="342"/>
      <c r="M398" s="342"/>
      <c r="N398" s="341">
        <f t="shared" si="322"/>
        <v>0</v>
      </c>
      <c r="O398" s="341">
        <f t="shared" si="323"/>
        <v>0</v>
      </c>
      <c r="P398" s="341">
        <f>SUMIF(GL!$D$6488:$D$6532,B398,GL!$H$6488:$H$6532)</f>
        <v>0</v>
      </c>
      <c r="Q398" s="341">
        <f>SUMIF(GL!$D$6408:$D$6452,B398,GL!$I$6408:$I$6452)</f>
        <v>0</v>
      </c>
      <c r="R398" s="341">
        <f t="shared" ref="R398:S398" si="430">P398+N398</f>
        <v>0</v>
      </c>
      <c r="S398" s="341">
        <f t="shared" si="430"/>
        <v>0</v>
      </c>
      <c r="T398" s="340"/>
      <c r="U398" s="340"/>
      <c r="V398" s="340"/>
      <c r="W398" s="340"/>
      <c r="X398" s="341">
        <f t="shared" si="325"/>
        <v>0</v>
      </c>
      <c r="Y398" s="341">
        <f t="shared" si="326"/>
        <v>0</v>
      </c>
      <c r="Z398" s="364"/>
      <c r="AA398" s="330"/>
      <c r="AB398" s="332"/>
      <c r="AC398" s="332"/>
      <c r="AD398" s="110"/>
      <c r="AE398" s="110"/>
      <c r="AF398" s="110"/>
      <c r="AG398" s="110"/>
      <c r="AH398" s="110"/>
      <c r="AI398" s="110"/>
    </row>
    <row r="399" spans="1:35" ht="13.5" customHeight="1">
      <c r="A399" s="4"/>
      <c r="B399" s="15" t="s">
        <v>2118</v>
      </c>
      <c r="C399" s="363" t="s">
        <v>4514</v>
      </c>
      <c r="D399" s="254">
        <f>SUMIF(GL!$D$5:$D$6505,B399,GL!$G$5:$G$6505)</f>
        <v>22.2</v>
      </c>
      <c r="E399" s="341">
        <f>SUMIF(GL!$D$6:$D$6487,B399,GL!$H$6:$H$6487)</f>
        <v>831600</v>
      </c>
      <c r="F399" s="341">
        <f>SUMIF(GL!$D$6:$D$6487,B399,GL!$I$6:$I$6487)</f>
        <v>0</v>
      </c>
      <c r="G399" s="341"/>
      <c r="H399" s="341"/>
      <c r="I399" s="341">
        <f t="shared" si="365"/>
        <v>831600</v>
      </c>
      <c r="J399" s="341">
        <f t="shared" si="366"/>
        <v>0</v>
      </c>
      <c r="K399" s="341"/>
      <c r="L399" s="342"/>
      <c r="M399" s="342"/>
      <c r="N399" s="341">
        <f t="shared" si="322"/>
        <v>831600</v>
      </c>
      <c r="O399" s="341">
        <f t="shared" si="323"/>
        <v>0</v>
      </c>
      <c r="P399" s="341">
        <f>SUMIF(GL!$D$6488:$D$6532,B399,GL!$H$6488:$H$6532)</f>
        <v>0</v>
      </c>
      <c r="Q399" s="341">
        <f>SUMIF(GL!$D$6408:$D$6452,B399,GL!$I$6408:$I$6452)</f>
        <v>0</v>
      </c>
      <c r="R399" s="341">
        <f t="shared" ref="R399:S399" si="431">P399+N399</f>
        <v>831600</v>
      </c>
      <c r="S399" s="341">
        <f t="shared" si="431"/>
        <v>0</v>
      </c>
      <c r="T399" s="340"/>
      <c r="U399" s="340"/>
      <c r="V399" s="340"/>
      <c r="W399" s="340"/>
      <c r="X399" s="341">
        <f t="shared" si="325"/>
        <v>831600</v>
      </c>
      <c r="Y399" s="341">
        <f t="shared" si="326"/>
        <v>0</v>
      </c>
      <c r="Z399" s="364"/>
      <c r="AA399" s="330"/>
      <c r="AB399" s="332"/>
      <c r="AC399" s="332"/>
      <c r="AD399" s="110"/>
      <c r="AE399" s="110"/>
      <c r="AF399" s="110"/>
      <c r="AG399" s="110"/>
      <c r="AH399" s="110"/>
      <c r="AI399" s="110"/>
    </row>
    <row r="400" spans="1:35" ht="13.5" customHeight="1">
      <c r="A400" s="4"/>
      <c r="B400" s="15" t="s">
        <v>2314</v>
      </c>
      <c r="C400" s="363" t="s">
        <v>4515</v>
      </c>
      <c r="D400" s="254">
        <f>SUMIF(GL!$D$5:$D$6505,B400,GL!$G$5:$G$6505)</f>
        <v>3</v>
      </c>
      <c r="E400" s="341">
        <f>SUMIF(GL!$D$6:$D$6487,B400,GL!$H$6:$H$6487)</f>
        <v>66000</v>
      </c>
      <c r="F400" s="341">
        <f>SUMIF(GL!$D$6:$D$6487,B400,GL!$I$6:$I$6487)</f>
        <v>0</v>
      </c>
      <c r="G400" s="341"/>
      <c r="H400" s="341"/>
      <c r="I400" s="341">
        <f t="shared" si="365"/>
        <v>66000</v>
      </c>
      <c r="J400" s="341">
        <f t="shared" si="366"/>
        <v>0</v>
      </c>
      <c r="K400" s="341"/>
      <c r="L400" s="342"/>
      <c r="M400" s="342"/>
      <c r="N400" s="341">
        <f t="shared" si="322"/>
        <v>66000</v>
      </c>
      <c r="O400" s="341">
        <f t="shared" si="323"/>
        <v>0</v>
      </c>
      <c r="P400" s="341">
        <f>SUMIF(GL!$D$6488:$D$6532,B400,GL!$H$6488:$H$6532)</f>
        <v>0</v>
      </c>
      <c r="Q400" s="341">
        <f>SUMIF(GL!$D$6408:$D$6452,B400,GL!$I$6408:$I$6452)</f>
        <v>0</v>
      </c>
      <c r="R400" s="341">
        <f t="shared" ref="R400:S400" si="432">P400+N400</f>
        <v>66000</v>
      </c>
      <c r="S400" s="341">
        <f t="shared" si="432"/>
        <v>0</v>
      </c>
      <c r="T400" s="340"/>
      <c r="U400" s="340"/>
      <c r="V400" s="340"/>
      <c r="W400" s="340"/>
      <c r="X400" s="341">
        <f t="shared" si="325"/>
        <v>66000</v>
      </c>
      <c r="Y400" s="341">
        <f t="shared" si="326"/>
        <v>0</v>
      </c>
      <c r="Z400" s="364"/>
      <c r="AA400" s="330"/>
      <c r="AB400" s="332"/>
      <c r="AC400" s="332"/>
      <c r="AD400" s="110"/>
      <c r="AE400" s="110"/>
      <c r="AF400" s="110"/>
      <c r="AG400" s="110"/>
      <c r="AH400" s="110"/>
      <c r="AI400" s="110"/>
    </row>
    <row r="401" spans="1:35" ht="13.5" customHeight="1">
      <c r="A401" s="4"/>
      <c r="B401" s="15" t="s">
        <v>2094</v>
      </c>
      <c r="C401" s="363" t="s">
        <v>4516</v>
      </c>
      <c r="D401" s="254">
        <f>SUMIF(GL!$D$5:$D$6505,B401,GL!$G$5:$G$6505)</f>
        <v>0.75</v>
      </c>
      <c r="E401" s="341">
        <f>SUMIF(GL!$D$6:$D$6487,B401,GL!$H$6:$H$6487)</f>
        <v>18000</v>
      </c>
      <c r="F401" s="341">
        <f>SUMIF(GL!$D$6:$D$6487,B401,GL!$I$6:$I$6487)</f>
        <v>0</v>
      </c>
      <c r="G401" s="341"/>
      <c r="H401" s="341"/>
      <c r="I401" s="341">
        <f t="shared" si="365"/>
        <v>18000</v>
      </c>
      <c r="J401" s="341">
        <f t="shared" si="366"/>
        <v>0</v>
      </c>
      <c r="K401" s="341"/>
      <c r="L401" s="342"/>
      <c r="M401" s="342"/>
      <c r="N401" s="341">
        <f t="shared" si="322"/>
        <v>18000</v>
      </c>
      <c r="O401" s="341">
        <f t="shared" si="323"/>
        <v>0</v>
      </c>
      <c r="P401" s="341">
        <f>SUMIF(GL!$D$6488:$D$6532,B401,GL!$H$6488:$H$6532)</f>
        <v>0</v>
      </c>
      <c r="Q401" s="341">
        <f>SUMIF(GL!$D$6408:$D$6452,B401,GL!$I$6408:$I$6452)</f>
        <v>0</v>
      </c>
      <c r="R401" s="341">
        <f t="shared" ref="R401:S401" si="433">P401+N401</f>
        <v>18000</v>
      </c>
      <c r="S401" s="341">
        <f t="shared" si="433"/>
        <v>0</v>
      </c>
      <c r="T401" s="340"/>
      <c r="U401" s="340"/>
      <c r="V401" s="340"/>
      <c r="W401" s="340"/>
      <c r="X401" s="341">
        <f t="shared" si="325"/>
        <v>18000</v>
      </c>
      <c r="Y401" s="341">
        <f t="shared" si="326"/>
        <v>0</v>
      </c>
      <c r="Z401" s="364"/>
      <c r="AA401" s="330"/>
      <c r="AB401" s="332"/>
      <c r="AC401" s="332"/>
      <c r="AD401" s="110"/>
      <c r="AE401" s="110"/>
      <c r="AF401" s="110"/>
      <c r="AG401" s="110"/>
      <c r="AH401" s="110"/>
      <c r="AI401" s="110"/>
    </row>
    <row r="402" spans="1:35" ht="13.5" customHeight="1">
      <c r="A402" s="4"/>
      <c r="B402" s="15" t="s">
        <v>4517</v>
      </c>
      <c r="C402" s="363" t="s">
        <v>4518</v>
      </c>
      <c r="D402" s="254">
        <f>SUMIF(GL!$D$5:$D$6505,B402,GL!$G$5:$G$6505)</f>
        <v>0</v>
      </c>
      <c r="E402" s="341">
        <f>SUMIF(GL!$D$6:$D$6487,B402,GL!$H$6:$H$6487)</f>
        <v>0</v>
      </c>
      <c r="F402" s="341">
        <f>SUMIF(GL!$D$6:$D$6487,B402,GL!$I$6:$I$6487)</f>
        <v>0</v>
      </c>
      <c r="G402" s="341"/>
      <c r="H402" s="341"/>
      <c r="I402" s="341">
        <f t="shared" si="365"/>
        <v>0</v>
      </c>
      <c r="J402" s="341">
        <f t="shared" si="366"/>
        <v>0</v>
      </c>
      <c r="K402" s="341"/>
      <c r="L402" s="342"/>
      <c r="M402" s="342"/>
      <c r="N402" s="341">
        <f t="shared" si="322"/>
        <v>0</v>
      </c>
      <c r="O402" s="341">
        <f t="shared" si="323"/>
        <v>0</v>
      </c>
      <c r="P402" s="341">
        <f>SUMIF(GL!$D$6488:$D$6532,B402,GL!$H$6488:$H$6532)</f>
        <v>0</v>
      </c>
      <c r="Q402" s="341">
        <f>SUMIF(GL!$D$6408:$D$6452,B402,GL!$I$6408:$I$6452)</f>
        <v>0</v>
      </c>
      <c r="R402" s="341">
        <f t="shared" ref="R402:S402" si="434">P402+N402</f>
        <v>0</v>
      </c>
      <c r="S402" s="341">
        <f t="shared" si="434"/>
        <v>0</v>
      </c>
      <c r="T402" s="340"/>
      <c r="U402" s="340"/>
      <c r="V402" s="340"/>
      <c r="W402" s="340"/>
      <c r="X402" s="341">
        <f t="shared" si="325"/>
        <v>0</v>
      </c>
      <c r="Y402" s="341">
        <f t="shared" si="326"/>
        <v>0</v>
      </c>
      <c r="Z402" s="364"/>
      <c r="AA402" s="330"/>
      <c r="AB402" s="332"/>
      <c r="AC402" s="332"/>
      <c r="AD402" s="110"/>
      <c r="AE402" s="110"/>
      <c r="AF402" s="110"/>
      <c r="AG402" s="110"/>
      <c r="AH402" s="110"/>
      <c r="AI402" s="110"/>
    </row>
    <row r="403" spans="1:35" ht="13.5" customHeight="1">
      <c r="A403" s="4"/>
      <c r="B403" s="15" t="s">
        <v>4519</v>
      </c>
      <c r="C403" s="363" t="s">
        <v>4520</v>
      </c>
      <c r="D403" s="254">
        <f>SUMIF(GL!$D$5:$D$6505,B403,GL!$G$5:$G$6505)</f>
        <v>0</v>
      </c>
      <c r="E403" s="341">
        <f>SUMIF(GL!$D$6:$D$6487,B403,GL!$H$6:$H$6487)</f>
        <v>0</v>
      </c>
      <c r="F403" s="341">
        <f>SUMIF(GL!$D$6:$D$6487,B403,GL!$I$6:$I$6487)</f>
        <v>0</v>
      </c>
      <c r="G403" s="341"/>
      <c r="H403" s="341"/>
      <c r="I403" s="341">
        <f t="shared" si="365"/>
        <v>0</v>
      </c>
      <c r="J403" s="341">
        <f t="shared" si="366"/>
        <v>0</v>
      </c>
      <c r="K403" s="341"/>
      <c r="L403" s="342"/>
      <c r="M403" s="342"/>
      <c r="N403" s="341">
        <f t="shared" si="322"/>
        <v>0</v>
      </c>
      <c r="O403" s="341">
        <f t="shared" si="323"/>
        <v>0</v>
      </c>
      <c r="P403" s="341">
        <f>SUMIF(GL!$D$6488:$D$6532,B403,GL!$H$6488:$H$6532)</f>
        <v>0</v>
      </c>
      <c r="Q403" s="341">
        <f>SUMIF(GL!$D$6408:$D$6452,B403,GL!$I$6408:$I$6452)</f>
        <v>0</v>
      </c>
      <c r="R403" s="341">
        <f t="shared" ref="R403:S403" si="435">P403+N403</f>
        <v>0</v>
      </c>
      <c r="S403" s="341">
        <f t="shared" si="435"/>
        <v>0</v>
      </c>
      <c r="T403" s="340"/>
      <c r="U403" s="340"/>
      <c r="V403" s="340"/>
      <c r="W403" s="340"/>
      <c r="X403" s="341">
        <f t="shared" si="325"/>
        <v>0</v>
      </c>
      <c r="Y403" s="341">
        <f t="shared" si="326"/>
        <v>0</v>
      </c>
      <c r="Z403" s="364"/>
      <c r="AA403" s="330"/>
      <c r="AB403" s="332"/>
      <c r="AC403" s="332"/>
      <c r="AD403" s="110"/>
      <c r="AE403" s="110"/>
      <c r="AF403" s="110"/>
      <c r="AG403" s="110"/>
      <c r="AH403" s="110"/>
      <c r="AI403" s="110"/>
    </row>
    <row r="404" spans="1:35" ht="13.5" customHeight="1">
      <c r="A404" s="4"/>
      <c r="B404" s="15" t="s">
        <v>4521</v>
      </c>
      <c r="C404" s="363" t="s">
        <v>4522</v>
      </c>
      <c r="D404" s="254">
        <f>SUMIF(GL!$D$5:$D$6505,B404,GL!$G$5:$G$6505)</f>
        <v>0</v>
      </c>
      <c r="E404" s="341">
        <f>SUMIF(GL!$D$6:$D$6487,B404,GL!$H$6:$H$6487)</f>
        <v>0</v>
      </c>
      <c r="F404" s="341">
        <f>SUMIF(GL!$D$6:$D$6487,B404,GL!$I$6:$I$6487)</f>
        <v>0</v>
      </c>
      <c r="G404" s="341"/>
      <c r="H404" s="341"/>
      <c r="I404" s="341">
        <f t="shared" si="365"/>
        <v>0</v>
      </c>
      <c r="J404" s="341">
        <f t="shared" si="366"/>
        <v>0</v>
      </c>
      <c r="K404" s="341"/>
      <c r="L404" s="342"/>
      <c r="M404" s="342"/>
      <c r="N404" s="341">
        <f t="shared" si="322"/>
        <v>0</v>
      </c>
      <c r="O404" s="341">
        <f t="shared" si="323"/>
        <v>0</v>
      </c>
      <c r="P404" s="341">
        <f>SUMIF(GL!$D$6488:$D$6532,B404,GL!$H$6488:$H$6532)</f>
        <v>0</v>
      </c>
      <c r="Q404" s="341">
        <f>SUMIF(GL!$D$6408:$D$6452,B404,GL!$I$6408:$I$6452)</f>
        <v>0</v>
      </c>
      <c r="R404" s="341">
        <f t="shared" ref="R404:S404" si="436">P404+N404</f>
        <v>0</v>
      </c>
      <c r="S404" s="341">
        <f t="shared" si="436"/>
        <v>0</v>
      </c>
      <c r="T404" s="340"/>
      <c r="U404" s="340"/>
      <c r="V404" s="340"/>
      <c r="W404" s="340"/>
      <c r="X404" s="341">
        <f t="shared" si="325"/>
        <v>0</v>
      </c>
      <c r="Y404" s="341">
        <f t="shared" si="326"/>
        <v>0</v>
      </c>
      <c r="Z404" s="364"/>
      <c r="AA404" s="330"/>
      <c r="AB404" s="332"/>
      <c r="AC404" s="332"/>
      <c r="AD404" s="110"/>
      <c r="AE404" s="110"/>
      <c r="AF404" s="110"/>
      <c r="AG404" s="110"/>
      <c r="AH404" s="110"/>
      <c r="AI404" s="110"/>
    </row>
    <row r="405" spans="1:35" ht="13.5" customHeight="1">
      <c r="A405" s="4"/>
      <c r="B405" s="15" t="s">
        <v>4523</v>
      </c>
      <c r="C405" s="363" t="s">
        <v>4524</v>
      </c>
      <c r="D405" s="254">
        <f>SUMIF(GL!$D$5:$D$6505,B405,GL!$G$5:$G$6505)</f>
        <v>0</v>
      </c>
      <c r="E405" s="341">
        <f>SUMIF(GL!$D$6:$D$6487,B405,GL!$H$6:$H$6487)</f>
        <v>0</v>
      </c>
      <c r="F405" s="341">
        <f>SUMIF(GL!$D$6:$D$6487,B405,GL!$I$6:$I$6487)</f>
        <v>0</v>
      </c>
      <c r="G405" s="341"/>
      <c r="H405" s="341"/>
      <c r="I405" s="341">
        <f t="shared" si="365"/>
        <v>0</v>
      </c>
      <c r="J405" s="341">
        <f t="shared" si="366"/>
        <v>0</v>
      </c>
      <c r="K405" s="341"/>
      <c r="L405" s="342"/>
      <c r="M405" s="342"/>
      <c r="N405" s="341">
        <f t="shared" si="322"/>
        <v>0</v>
      </c>
      <c r="O405" s="341">
        <f t="shared" si="323"/>
        <v>0</v>
      </c>
      <c r="P405" s="341">
        <f>SUMIF(GL!$D$6488:$D$6532,B405,GL!$H$6488:$H$6532)</f>
        <v>0</v>
      </c>
      <c r="Q405" s="341">
        <f>SUMIF(GL!$D$6408:$D$6452,B405,GL!$I$6408:$I$6452)</f>
        <v>0</v>
      </c>
      <c r="R405" s="341">
        <f t="shared" ref="R405:S405" si="437">P405+N405</f>
        <v>0</v>
      </c>
      <c r="S405" s="341">
        <f t="shared" si="437"/>
        <v>0</v>
      </c>
      <c r="T405" s="340"/>
      <c r="U405" s="340"/>
      <c r="V405" s="340"/>
      <c r="W405" s="340"/>
      <c r="X405" s="341">
        <f t="shared" si="325"/>
        <v>0</v>
      </c>
      <c r="Y405" s="341">
        <f t="shared" si="326"/>
        <v>0</v>
      </c>
      <c r="Z405" s="364"/>
      <c r="AA405" s="330"/>
      <c r="AB405" s="332"/>
      <c r="AC405" s="332"/>
      <c r="AD405" s="110"/>
      <c r="AE405" s="110"/>
      <c r="AF405" s="110"/>
      <c r="AG405" s="110"/>
      <c r="AH405" s="110"/>
      <c r="AI405" s="110"/>
    </row>
    <row r="406" spans="1:35" ht="13.5" customHeight="1">
      <c r="A406" s="4"/>
      <c r="B406" s="15" t="s">
        <v>2259</v>
      </c>
      <c r="C406" s="363" t="s">
        <v>4525</v>
      </c>
      <c r="D406" s="254">
        <f>SUMIF(GL!$D$5:$D$6505,B406,GL!$G$5:$G$6505)</f>
        <v>0.45</v>
      </c>
      <c r="E406" s="341">
        <f>SUMIF(GL!$D$6:$D$6487,B406,GL!$H$6:$H$6487)</f>
        <v>5850</v>
      </c>
      <c r="F406" s="341">
        <f>SUMIF(GL!$D$6:$D$6487,B406,GL!$I$6:$I$6487)</f>
        <v>0</v>
      </c>
      <c r="G406" s="341"/>
      <c r="H406" s="341"/>
      <c r="I406" s="341">
        <f t="shared" si="365"/>
        <v>5850</v>
      </c>
      <c r="J406" s="341">
        <f t="shared" si="366"/>
        <v>0</v>
      </c>
      <c r="K406" s="341"/>
      <c r="L406" s="342"/>
      <c r="M406" s="342"/>
      <c r="N406" s="341">
        <f t="shared" si="322"/>
        <v>5850</v>
      </c>
      <c r="O406" s="341">
        <f t="shared" si="323"/>
        <v>0</v>
      </c>
      <c r="P406" s="341">
        <f>SUMIF(GL!$D$6488:$D$6532,B406,GL!$H$6488:$H$6532)</f>
        <v>0</v>
      </c>
      <c r="Q406" s="341">
        <f>SUMIF(GL!$D$6408:$D$6452,B406,GL!$I$6408:$I$6452)</f>
        <v>0</v>
      </c>
      <c r="R406" s="341">
        <f t="shared" ref="R406:S406" si="438">P406+N406</f>
        <v>5850</v>
      </c>
      <c r="S406" s="341">
        <f t="shared" si="438"/>
        <v>0</v>
      </c>
      <c r="T406" s="340"/>
      <c r="U406" s="340"/>
      <c r="V406" s="340"/>
      <c r="W406" s="340"/>
      <c r="X406" s="341">
        <f t="shared" si="325"/>
        <v>5850</v>
      </c>
      <c r="Y406" s="341">
        <f t="shared" si="326"/>
        <v>0</v>
      </c>
      <c r="Z406" s="364"/>
      <c r="AA406" s="330"/>
      <c r="AB406" s="332"/>
      <c r="AC406" s="332"/>
      <c r="AD406" s="110"/>
      <c r="AE406" s="110"/>
      <c r="AF406" s="110"/>
      <c r="AG406" s="110"/>
      <c r="AH406" s="110"/>
      <c r="AI406" s="110"/>
    </row>
    <row r="407" spans="1:35" ht="13.5" customHeight="1">
      <c r="A407" s="4"/>
      <c r="B407" s="15" t="s">
        <v>4526</v>
      </c>
      <c r="C407" s="363" t="s">
        <v>4527</v>
      </c>
      <c r="D407" s="254">
        <f>SUMIF(GL!$D$5:$D$6505,B407,GL!$G$5:$G$6505)</f>
        <v>0</v>
      </c>
      <c r="E407" s="341">
        <f>SUMIF(GL!$D$6:$D$6487,B407,GL!$H$6:$H$6487)</f>
        <v>0</v>
      </c>
      <c r="F407" s="341">
        <f>SUMIF(GL!$D$6:$D$6487,B407,GL!$I$6:$I$6487)</f>
        <v>0</v>
      </c>
      <c r="G407" s="341"/>
      <c r="H407" s="341"/>
      <c r="I407" s="341">
        <f t="shared" si="365"/>
        <v>0</v>
      </c>
      <c r="J407" s="341">
        <f t="shared" si="366"/>
        <v>0</v>
      </c>
      <c r="K407" s="341"/>
      <c r="L407" s="342"/>
      <c r="M407" s="342"/>
      <c r="N407" s="341">
        <f t="shared" si="322"/>
        <v>0</v>
      </c>
      <c r="O407" s="341">
        <f t="shared" si="323"/>
        <v>0</v>
      </c>
      <c r="P407" s="341">
        <f>SUMIF(GL!$D$6488:$D$6532,B407,GL!$H$6488:$H$6532)</f>
        <v>0</v>
      </c>
      <c r="Q407" s="341">
        <f>SUMIF(GL!$D$6408:$D$6452,B407,GL!$I$6408:$I$6452)</f>
        <v>0</v>
      </c>
      <c r="R407" s="341">
        <f t="shared" ref="R407:S407" si="439">P407+N407</f>
        <v>0</v>
      </c>
      <c r="S407" s="341">
        <f t="shared" si="439"/>
        <v>0</v>
      </c>
      <c r="T407" s="340"/>
      <c r="U407" s="340"/>
      <c r="V407" s="340"/>
      <c r="W407" s="340"/>
      <c r="X407" s="341">
        <f t="shared" si="325"/>
        <v>0</v>
      </c>
      <c r="Y407" s="341">
        <f t="shared" si="326"/>
        <v>0</v>
      </c>
      <c r="Z407" s="364"/>
      <c r="AA407" s="330"/>
      <c r="AB407" s="332"/>
      <c r="AC407" s="332"/>
      <c r="AD407" s="110"/>
      <c r="AE407" s="110"/>
      <c r="AF407" s="110"/>
      <c r="AG407" s="110"/>
      <c r="AH407" s="110"/>
      <c r="AI407" s="110"/>
    </row>
    <row r="408" spans="1:35" ht="13.5" customHeight="1">
      <c r="A408" s="4"/>
      <c r="B408" s="15" t="s">
        <v>4528</v>
      </c>
      <c r="C408" s="363" t="s">
        <v>4529</v>
      </c>
      <c r="D408" s="254">
        <f>SUMIF(GL!$D$5:$D$6505,B408,GL!$G$5:$G$6505)</f>
        <v>0</v>
      </c>
      <c r="E408" s="341">
        <f>SUMIF(GL!$D$6:$D$6487,B408,GL!$H$6:$H$6487)</f>
        <v>0</v>
      </c>
      <c r="F408" s="341">
        <f>SUMIF(GL!$D$6:$D$6487,B408,GL!$I$6:$I$6487)</f>
        <v>0</v>
      </c>
      <c r="G408" s="341"/>
      <c r="H408" s="341"/>
      <c r="I408" s="341">
        <f t="shared" si="365"/>
        <v>0</v>
      </c>
      <c r="J408" s="341">
        <f t="shared" si="366"/>
        <v>0</v>
      </c>
      <c r="K408" s="341"/>
      <c r="L408" s="342"/>
      <c r="M408" s="342"/>
      <c r="N408" s="341">
        <f t="shared" si="322"/>
        <v>0</v>
      </c>
      <c r="O408" s="341">
        <f t="shared" si="323"/>
        <v>0</v>
      </c>
      <c r="P408" s="341">
        <f>SUMIF(GL!$D$6488:$D$6532,B408,GL!$H$6488:$H$6532)</f>
        <v>0</v>
      </c>
      <c r="Q408" s="341">
        <f>SUMIF(GL!$D$6408:$D$6452,B408,GL!$I$6408:$I$6452)</f>
        <v>0</v>
      </c>
      <c r="R408" s="341">
        <f t="shared" ref="R408:S408" si="440">P408+N408</f>
        <v>0</v>
      </c>
      <c r="S408" s="341">
        <f t="shared" si="440"/>
        <v>0</v>
      </c>
      <c r="T408" s="340"/>
      <c r="U408" s="340"/>
      <c r="V408" s="340"/>
      <c r="W408" s="340"/>
      <c r="X408" s="341">
        <f t="shared" si="325"/>
        <v>0</v>
      </c>
      <c r="Y408" s="341">
        <f t="shared" si="326"/>
        <v>0</v>
      </c>
      <c r="Z408" s="364"/>
      <c r="AA408" s="330"/>
      <c r="AB408" s="332"/>
      <c r="AC408" s="332"/>
      <c r="AD408" s="110"/>
      <c r="AE408" s="110"/>
      <c r="AF408" s="110"/>
      <c r="AG408" s="110"/>
      <c r="AH408" s="110"/>
      <c r="AI408" s="110"/>
    </row>
    <row r="409" spans="1:35" ht="13.5" customHeight="1">
      <c r="A409" s="4"/>
      <c r="B409" s="15" t="s">
        <v>4530</v>
      </c>
      <c r="C409" s="363" t="s">
        <v>4531</v>
      </c>
      <c r="D409" s="254">
        <f>SUMIF(GL!$D$5:$D$6505,B409,GL!$G$5:$G$6505)</f>
        <v>0</v>
      </c>
      <c r="E409" s="341">
        <f>SUMIF(GL!$D$6:$D$6487,B409,GL!$H$6:$H$6487)</f>
        <v>0</v>
      </c>
      <c r="F409" s="341">
        <f>SUMIF(GL!$D$6:$D$6487,B409,GL!$I$6:$I$6487)</f>
        <v>0</v>
      </c>
      <c r="G409" s="341"/>
      <c r="H409" s="341"/>
      <c r="I409" s="341">
        <f t="shared" si="365"/>
        <v>0</v>
      </c>
      <c r="J409" s="341">
        <f t="shared" si="366"/>
        <v>0</v>
      </c>
      <c r="K409" s="341"/>
      <c r="L409" s="342"/>
      <c r="M409" s="342"/>
      <c r="N409" s="341">
        <f t="shared" si="322"/>
        <v>0</v>
      </c>
      <c r="O409" s="341">
        <f t="shared" si="323"/>
        <v>0</v>
      </c>
      <c r="P409" s="341">
        <f>SUMIF(GL!$D$6488:$D$6532,B409,GL!$H$6488:$H$6532)</f>
        <v>0</v>
      </c>
      <c r="Q409" s="341">
        <f>SUMIF(GL!$D$6408:$D$6452,B409,GL!$I$6408:$I$6452)</f>
        <v>0</v>
      </c>
      <c r="R409" s="341">
        <f t="shared" ref="R409:S409" si="441">P409+N409</f>
        <v>0</v>
      </c>
      <c r="S409" s="341">
        <f t="shared" si="441"/>
        <v>0</v>
      </c>
      <c r="T409" s="340"/>
      <c r="U409" s="340"/>
      <c r="V409" s="340"/>
      <c r="W409" s="340"/>
      <c r="X409" s="341">
        <f t="shared" si="325"/>
        <v>0</v>
      </c>
      <c r="Y409" s="341">
        <f t="shared" si="326"/>
        <v>0</v>
      </c>
      <c r="Z409" s="364"/>
      <c r="AA409" s="330"/>
      <c r="AB409" s="332"/>
      <c r="AC409" s="332"/>
      <c r="AD409" s="110"/>
      <c r="AE409" s="110"/>
      <c r="AF409" s="110"/>
      <c r="AG409" s="110"/>
      <c r="AH409" s="110"/>
      <c r="AI409" s="110"/>
    </row>
    <row r="410" spans="1:35" ht="13.5" customHeight="1">
      <c r="A410" s="4"/>
      <c r="B410" s="15" t="s">
        <v>2212</v>
      </c>
      <c r="C410" s="366" t="s">
        <v>4532</v>
      </c>
      <c r="D410" s="254">
        <f>SUMIF(GL!$D$5:$D$6505,B410,GL!$G$5:$G$6505)</f>
        <v>0.5</v>
      </c>
      <c r="E410" s="341">
        <f>SUMIF(GL!$D$6:$D$6487,B410,GL!$H$6:$H$6487)</f>
        <v>125000</v>
      </c>
      <c r="F410" s="341">
        <f>SUMIF(GL!$D$6:$D$6487,B410,GL!$I$6:$I$6487)</f>
        <v>0</v>
      </c>
      <c r="G410" s="341"/>
      <c r="H410" s="341"/>
      <c r="I410" s="341">
        <f t="shared" si="365"/>
        <v>125000</v>
      </c>
      <c r="J410" s="341">
        <f t="shared" si="366"/>
        <v>0</v>
      </c>
      <c r="K410" s="341"/>
      <c r="L410" s="342"/>
      <c r="M410" s="342"/>
      <c r="N410" s="341">
        <f t="shared" si="322"/>
        <v>125000</v>
      </c>
      <c r="O410" s="341">
        <f t="shared" si="323"/>
        <v>0</v>
      </c>
      <c r="P410" s="341">
        <f>SUMIF(GL!$D$6488:$D$6532,B410,GL!$H$6488:$H$6532)</f>
        <v>0</v>
      </c>
      <c r="Q410" s="341">
        <f>SUMIF(GL!$D$6408:$D$6452,B410,GL!$I$6408:$I$6452)</f>
        <v>0</v>
      </c>
      <c r="R410" s="341">
        <f t="shared" ref="R410:S410" si="442">P410+N410</f>
        <v>125000</v>
      </c>
      <c r="S410" s="341">
        <f t="shared" si="442"/>
        <v>0</v>
      </c>
      <c r="T410" s="340"/>
      <c r="U410" s="340"/>
      <c r="V410" s="340"/>
      <c r="W410" s="340"/>
      <c r="X410" s="341">
        <f t="shared" si="325"/>
        <v>125000</v>
      </c>
      <c r="Y410" s="341">
        <f t="shared" si="326"/>
        <v>0</v>
      </c>
      <c r="Z410" s="364"/>
      <c r="AA410" s="330"/>
      <c r="AB410" s="332"/>
      <c r="AC410" s="332"/>
      <c r="AD410" s="110"/>
      <c r="AE410" s="110"/>
      <c r="AF410" s="110"/>
      <c r="AG410" s="110"/>
      <c r="AH410" s="110"/>
      <c r="AI410" s="110"/>
    </row>
    <row r="411" spans="1:35" ht="13.5" customHeight="1">
      <c r="A411" s="4"/>
      <c r="B411" s="15" t="s">
        <v>4533</v>
      </c>
      <c r="C411" s="363" t="s">
        <v>4534</v>
      </c>
      <c r="D411" s="254">
        <f>SUMIF(GL!$D$5:$D$6505,B411,GL!$G$5:$G$6505)</f>
        <v>0</v>
      </c>
      <c r="E411" s="341">
        <f>SUMIF(GL!$D$6:$D$6487,B411,GL!$H$6:$H$6487)</f>
        <v>0</v>
      </c>
      <c r="F411" s="341">
        <f>SUMIF(GL!$D$6:$D$6487,B411,GL!$I$6:$I$6487)</f>
        <v>0</v>
      </c>
      <c r="G411" s="341"/>
      <c r="H411" s="341"/>
      <c r="I411" s="341">
        <f t="shared" si="365"/>
        <v>0</v>
      </c>
      <c r="J411" s="341">
        <f t="shared" si="366"/>
        <v>0</v>
      </c>
      <c r="K411" s="341"/>
      <c r="L411" s="342"/>
      <c r="M411" s="342"/>
      <c r="N411" s="341">
        <f t="shared" si="322"/>
        <v>0</v>
      </c>
      <c r="O411" s="341">
        <f t="shared" si="323"/>
        <v>0</v>
      </c>
      <c r="P411" s="341">
        <f>SUMIF(GL!$D$6488:$D$6532,B411,GL!$H$6488:$H$6532)</f>
        <v>0</v>
      </c>
      <c r="Q411" s="341">
        <f>SUMIF(GL!$D$6408:$D$6452,B411,GL!$I$6408:$I$6452)</f>
        <v>0</v>
      </c>
      <c r="R411" s="341">
        <f t="shared" ref="R411:S411" si="443">P411+N411</f>
        <v>0</v>
      </c>
      <c r="S411" s="341">
        <f t="shared" si="443"/>
        <v>0</v>
      </c>
      <c r="T411" s="340"/>
      <c r="U411" s="340"/>
      <c r="V411" s="340"/>
      <c r="W411" s="340"/>
      <c r="X411" s="341">
        <f t="shared" si="325"/>
        <v>0</v>
      </c>
      <c r="Y411" s="341">
        <f t="shared" si="326"/>
        <v>0</v>
      </c>
      <c r="Z411" s="364"/>
      <c r="AA411" s="330"/>
      <c r="AB411" s="332"/>
      <c r="AC411" s="332"/>
      <c r="AD411" s="110"/>
      <c r="AE411" s="110"/>
      <c r="AF411" s="110"/>
      <c r="AG411" s="110"/>
      <c r="AH411" s="110"/>
      <c r="AI411" s="110"/>
    </row>
    <row r="412" spans="1:35" ht="13.5" customHeight="1">
      <c r="A412" s="4"/>
      <c r="B412" s="15" t="s">
        <v>4535</v>
      </c>
      <c r="C412" s="363" t="s">
        <v>4536</v>
      </c>
      <c r="D412" s="254">
        <f>SUMIF(GL!$D$5:$D$6505,B412,GL!$G$5:$G$6505)</f>
        <v>0</v>
      </c>
      <c r="E412" s="341">
        <f>SUMIF(GL!$D$6:$D$6487,B412,GL!$H$6:$H$6487)</f>
        <v>0</v>
      </c>
      <c r="F412" s="341">
        <f>SUMIF(GL!$D$6:$D$6487,B412,GL!$I$6:$I$6487)</f>
        <v>0</v>
      </c>
      <c r="G412" s="341"/>
      <c r="H412" s="341"/>
      <c r="I412" s="341">
        <f t="shared" si="365"/>
        <v>0</v>
      </c>
      <c r="J412" s="341">
        <f t="shared" si="366"/>
        <v>0</v>
      </c>
      <c r="K412" s="341"/>
      <c r="L412" s="342"/>
      <c r="M412" s="342"/>
      <c r="N412" s="341">
        <f t="shared" si="322"/>
        <v>0</v>
      </c>
      <c r="O412" s="341">
        <f t="shared" si="323"/>
        <v>0</v>
      </c>
      <c r="P412" s="341">
        <f>SUMIF(GL!$D$6488:$D$6532,B412,GL!$H$6488:$H$6532)</f>
        <v>0</v>
      </c>
      <c r="Q412" s="341">
        <f>SUMIF(GL!$D$6408:$D$6452,B412,GL!$I$6408:$I$6452)</f>
        <v>0</v>
      </c>
      <c r="R412" s="341">
        <f t="shared" ref="R412:S412" si="444">P412+N412</f>
        <v>0</v>
      </c>
      <c r="S412" s="341">
        <f t="shared" si="444"/>
        <v>0</v>
      </c>
      <c r="T412" s="340"/>
      <c r="U412" s="340"/>
      <c r="V412" s="340"/>
      <c r="W412" s="340"/>
      <c r="X412" s="341">
        <f t="shared" si="325"/>
        <v>0</v>
      </c>
      <c r="Y412" s="341">
        <f t="shared" si="326"/>
        <v>0</v>
      </c>
      <c r="Z412" s="364"/>
      <c r="AA412" s="330"/>
      <c r="AB412" s="332"/>
      <c r="AC412" s="332"/>
      <c r="AD412" s="110"/>
      <c r="AE412" s="110"/>
      <c r="AF412" s="110"/>
      <c r="AG412" s="110"/>
      <c r="AH412" s="110"/>
      <c r="AI412" s="110"/>
    </row>
    <row r="413" spans="1:35" ht="13.5" customHeight="1">
      <c r="A413" s="4"/>
      <c r="B413" s="15" t="s">
        <v>2706</v>
      </c>
      <c r="C413" s="363" t="s">
        <v>4537</v>
      </c>
      <c r="D413" s="254">
        <f>SUMIF(GL!$D$5:$D$6505,B413,GL!$G$5:$G$6505)</f>
        <v>150</v>
      </c>
      <c r="E413" s="341">
        <f>SUMIF(GL!$D$6:$D$6487,B413,GL!$H$6:$H$6487)</f>
        <v>3900000</v>
      </c>
      <c r="F413" s="341">
        <f>SUMIF(GL!$D$6:$D$6487,B413,GL!$I$6:$I$6487)</f>
        <v>0</v>
      </c>
      <c r="G413" s="341"/>
      <c r="H413" s="341"/>
      <c r="I413" s="341">
        <f t="shared" si="365"/>
        <v>3900000</v>
      </c>
      <c r="J413" s="341">
        <f t="shared" si="366"/>
        <v>0</v>
      </c>
      <c r="K413" s="341"/>
      <c r="L413" s="342"/>
      <c r="M413" s="342"/>
      <c r="N413" s="341">
        <f t="shared" si="322"/>
        <v>3900000</v>
      </c>
      <c r="O413" s="341">
        <f t="shared" si="323"/>
        <v>0</v>
      </c>
      <c r="P413" s="341">
        <f>SUMIF(GL!$D$6488:$D$6532,B413,GL!$H$6488:$H$6532)</f>
        <v>0</v>
      </c>
      <c r="Q413" s="341">
        <f>SUMIF(GL!$D$6408:$D$6452,B413,GL!$I$6408:$I$6452)</f>
        <v>0</v>
      </c>
      <c r="R413" s="341">
        <f t="shared" ref="R413:S413" si="445">P413+N413</f>
        <v>3900000</v>
      </c>
      <c r="S413" s="341">
        <f t="shared" si="445"/>
        <v>0</v>
      </c>
      <c r="T413" s="340"/>
      <c r="U413" s="340"/>
      <c r="V413" s="340"/>
      <c r="W413" s="340"/>
      <c r="X413" s="341">
        <f t="shared" si="325"/>
        <v>3900000</v>
      </c>
      <c r="Y413" s="341">
        <f t="shared" si="326"/>
        <v>0</v>
      </c>
      <c r="Z413" s="364"/>
      <c r="AA413" s="330"/>
      <c r="AB413" s="332"/>
      <c r="AC413" s="332"/>
      <c r="AD413" s="110"/>
      <c r="AE413" s="110"/>
      <c r="AF413" s="110"/>
      <c r="AG413" s="110"/>
      <c r="AH413" s="110"/>
      <c r="AI413" s="110"/>
    </row>
    <row r="414" spans="1:35" ht="13.5" customHeight="1">
      <c r="A414" s="4"/>
      <c r="B414" s="15" t="s">
        <v>4538</v>
      </c>
      <c r="C414" s="363" t="s">
        <v>4539</v>
      </c>
      <c r="D414" s="254">
        <f>SUMIF(GL!$D$5:$D$6505,B414,GL!$G$5:$G$6505)</f>
        <v>0</v>
      </c>
      <c r="E414" s="341">
        <f>SUMIF(GL!$D$6:$D$6487,B414,GL!$H$6:$H$6487)</f>
        <v>0</v>
      </c>
      <c r="F414" s="341">
        <f>SUMIF(GL!$D$6:$D$6487,B414,GL!$I$6:$I$6487)</f>
        <v>0</v>
      </c>
      <c r="G414" s="341"/>
      <c r="H414" s="341"/>
      <c r="I414" s="341">
        <f t="shared" si="365"/>
        <v>0</v>
      </c>
      <c r="J414" s="341">
        <f t="shared" si="366"/>
        <v>0</v>
      </c>
      <c r="K414" s="341"/>
      <c r="L414" s="342"/>
      <c r="M414" s="342"/>
      <c r="N414" s="341">
        <f t="shared" si="322"/>
        <v>0</v>
      </c>
      <c r="O414" s="341">
        <f t="shared" si="323"/>
        <v>0</v>
      </c>
      <c r="P414" s="341">
        <f>SUMIF(GL!$D$6488:$D$6532,B414,GL!$H$6488:$H$6532)</f>
        <v>0</v>
      </c>
      <c r="Q414" s="341">
        <f>SUMIF(GL!$D$6408:$D$6452,B414,GL!$I$6408:$I$6452)</f>
        <v>0</v>
      </c>
      <c r="R414" s="341">
        <f t="shared" ref="R414:S414" si="446">P414+N414</f>
        <v>0</v>
      </c>
      <c r="S414" s="341">
        <f t="shared" si="446"/>
        <v>0</v>
      </c>
      <c r="T414" s="340"/>
      <c r="U414" s="340"/>
      <c r="V414" s="340"/>
      <c r="W414" s="340"/>
      <c r="X414" s="341">
        <f t="shared" si="325"/>
        <v>0</v>
      </c>
      <c r="Y414" s="341">
        <f t="shared" si="326"/>
        <v>0</v>
      </c>
      <c r="Z414" s="364"/>
      <c r="AA414" s="330"/>
      <c r="AB414" s="332"/>
      <c r="AC414" s="332"/>
      <c r="AD414" s="110"/>
      <c r="AE414" s="110"/>
      <c r="AF414" s="110"/>
      <c r="AG414" s="110"/>
      <c r="AH414" s="110"/>
      <c r="AI414" s="110"/>
    </row>
    <row r="415" spans="1:35" ht="13.5" customHeight="1">
      <c r="A415" s="4"/>
      <c r="B415" s="68" t="s">
        <v>4540</v>
      </c>
      <c r="C415" s="363" t="s">
        <v>4541</v>
      </c>
      <c r="D415" s="254">
        <f>SUMIF(GL!$D$5:$D$6505,B415,GL!$G$5:$G$6505)</f>
        <v>0</v>
      </c>
      <c r="E415" s="341">
        <f>SUMIF(GL!$D$6:$D$6487,B415,GL!$H$6:$H$6487)</f>
        <v>0</v>
      </c>
      <c r="F415" s="341">
        <f>SUMIF(GL!$D$6:$D$6487,B415,GL!$I$6:$I$6487)</f>
        <v>0</v>
      </c>
      <c r="G415" s="341"/>
      <c r="H415" s="341"/>
      <c r="I415" s="341">
        <f t="shared" si="365"/>
        <v>0</v>
      </c>
      <c r="J415" s="341">
        <f t="shared" si="366"/>
        <v>0</v>
      </c>
      <c r="K415" s="341"/>
      <c r="L415" s="342"/>
      <c r="M415" s="342"/>
      <c r="N415" s="341">
        <f t="shared" si="322"/>
        <v>0</v>
      </c>
      <c r="O415" s="341">
        <f t="shared" si="323"/>
        <v>0</v>
      </c>
      <c r="P415" s="341">
        <f>SUMIF(GL!$D$6488:$D$6532,B415,GL!$H$6488:$H$6532)</f>
        <v>0</v>
      </c>
      <c r="Q415" s="341">
        <f>SUMIF(GL!$D$6408:$D$6452,B415,GL!$I$6408:$I$6452)</f>
        <v>0</v>
      </c>
      <c r="R415" s="341">
        <f t="shared" ref="R415:S415" si="447">P415+N415</f>
        <v>0</v>
      </c>
      <c r="S415" s="341">
        <f t="shared" si="447"/>
        <v>0</v>
      </c>
      <c r="T415" s="340"/>
      <c r="U415" s="340"/>
      <c r="V415" s="340"/>
      <c r="W415" s="340"/>
      <c r="X415" s="341">
        <f t="shared" si="325"/>
        <v>0</v>
      </c>
      <c r="Y415" s="341">
        <f t="shared" si="326"/>
        <v>0</v>
      </c>
      <c r="Z415" s="364"/>
      <c r="AA415" s="330"/>
      <c r="AB415" s="332"/>
      <c r="AC415" s="332"/>
      <c r="AD415" s="110"/>
      <c r="AE415" s="110"/>
      <c r="AF415" s="110"/>
      <c r="AG415" s="110"/>
      <c r="AH415" s="110"/>
      <c r="AI415" s="110"/>
    </row>
    <row r="416" spans="1:35" ht="13.5" customHeight="1">
      <c r="A416" s="4"/>
      <c r="B416" s="68" t="s">
        <v>4542</v>
      </c>
      <c r="C416" s="363" t="s">
        <v>4543</v>
      </c>
      <c r="D416" s="254">
        <f>SUMIF(GL!$D$5:$D$6505,B416,GL!$G$5:$G$6505)</f>
        <v>0</v>
      </c>
      <c r="E416" s="341">
        <f>SUMIF(GL!$D$6:$D$6487,B416,GL!$H$6:$H$6487)</f>
        <v>0</v>
      </c>
      <c r="F416" s="341">
        <f>SUMIF(GL!$D$6:$D$6487,B416,GL!$I$6:$I$6487)</f>
        <v>0</v>
      </c>
      <c r="G416" s="341"/>
      <c r="H416" s="341"/>
      <c r="I416" s="341">
        <f t="shared" si="365"/>
        <v>0</v>
      </c>
      <c r="J416" s="341">
        <f t="shared" si="366"/>
        <v>0</v>
      </c>
      <c r="K416" s="341"/>
      <c r="L416" s="342"/>
      <c r="M416" s="342"/>
      <c r="N416" s="341">
        <f t="shared" si="322"/>
        <v>0</v>
      </c>
      <c r="O416" s="341">
        <f t="shared" si="323"/>
        <v>0</v>
      </c>
      <c r="P416" s="341">
        <f>SUMIF(GL!$D$6488:$D$6532,B416,GL!$H$6488:$H$6532)</f>
        <v>0</v>
      </c>
      <c r="Q416" s="341">
        <f>SUMIF(GL!$D$6408:$D$6452,B416,GL!$I$6408:$I$6452)</f>
        <v>0</v>
      </c>
      <c r="R416" s="341">
        <f t="shared" ref="R416:S416" si="448">P416+N416</f>
        <v>0</v>
      </c>
      <c r="S416" s="341">
        <f t="shared" si="448"/>
        <v>0</v>
      </c>
      <c r="T416" s="340"/>
      <c r="U416" s="340"/>
      <c r="V416" s="340"/>
      <c r="W416" s="340"/>
      <c r="X416" s="341">
        <f t="shared" si="325"/>
        <v>0</v>
      </c>
      <c r="Y416" s="341">
        <f t="shared" si="326"/>
        <v>0</v>
      </c>
      <c r="Z416" s="364"/>
      <c r="AA416" s="330"/>
      <c r="AB416" s="332"/>
      <c r="AC416" s="332"/>
      <c r="AD416" s="110"/>
      <c r="AE416" s="110"/>
      <c r="AF416" s="110"/>
      <c r="AG416" s="110"/>
      <c r="AH416" s="110"/>
      <c r="AI416" s="110"/>
    </row>
    <row r="417" spans="1:35" ht="13.5" customHeight="1">
      <c r="A417" s="4"/>
      <c r="B417" s="68" t="s">
        <v>4544</v>
      </c>
      <c r="C417" s="363" t="s">
        <v>4545</v>
      </c>
      <c r="D417" s="254">
        <f>SUMIF(GL!$D$5:$D$6505,B417,GL!$G$5:$G$6505)</f>
        <v>0</v>
      </c>
      <c r="E417" s="341">
        <f>SUMIF(GL!$D$6:$D$6487,B417,GL!$H$6:$H$6487)</f>
        <v>0</v>
      </c>
      <c r="F417" s="341">
        <f>SUMIF(GL!$D$6:$D$6487,B417,GL!$I$6:$I$6487)</f>
        <v>0</v>
      </c>
      <c r="G417" s="341"/>
      <c r="H417" s="341"/>
      <c r="I417" s="341">
        <f t="shared" si="365"/>
        <v>0</v>
      </c>
      <c r="J417" s="341">
        <f t="shared" si="366"/>
        <v>0</v>
      </c>
      <c r="K417" s="341"/>
      <c r="L417" s="342"/>
      <c r="M417" s="342"/>
      <c r="N417" s="341">
        <f t="shared" si="322"/>
        <v>0</v>
      </c>
      <c r="O417" s="341">
        <f t="shared" si="323"/>
        <v>0</v>
      </c>
      <c r="P417" s="341">
        <f>SUMIF(GL!$D$6488:$D$6532,B417,GL!$H$6488:$H$6532)</f>
        <v>0</v>
      </c>
      <c r="Q417" s="341">
        <f>SUMIF(GL!$D$6408:$D$6452,B417,GL!$I$6408:$I$6452)</f>
        <v>0</v>
      </c>
      <c r="R417" s="341">
        <f t="shared" ref="R417:S417" si="449">P417+N417</f>
        <v>0</v>
      </c>
      <c r="S417" s="341">
        <f t="shared" si="449"/>
        <v>0</v>
      </c>
      <c r="T417" s="340"/>
      <c r="U417" s="340"/>
      <c r="V417" s="340"/>
      <c r="W417" s="340"/>
      <c r="X417" s="341">
        <f t="shared" si="325"/>
        <v>0</v>
      </c>
      <c r="Y417" s="341">
        <f t="shared" si="326"/>
        <v>0</v>
      </c>
      <c r="Z417" s="364"/>
      <c r="AA417" s="330"/>
      <c r="AB417" s="332"/>
      <c r="AC417" s="332"/>
      <c r="AD417" s="110"/>
      <c r="AE417" s="110"/>
      <c r="AF417" s="110"/>
      <c r="AG417" s="110"/>
      <c r="AH417" s="110"/>
      <c r="AI417" s="110"/>
    </row>
    <row r="418" spans="1:35" ht="13.5" customHeight="1">
      <c r="A418" s="4"/>
      <c r="B418" s="68" t="s">
        <v>4546</v>
      </c>
      <c r="C418" s="363" t="s">
        <v>4547</v>
      </c>
      <c r="D418" s="254">
        <f>SUMIF(GL!$D$5:$D$6505,B418,GL!$G$5:$G$6505)</f>
        <v>0</v>
      </c>
      <c r="E418" s="341">
        <f>SUMIF(GL!$D$6:$D$6487,B418,GL!$H$6:$H$6487)</f>
        <v>0</v>
      </c>
      <c r="F418" s="341">
        <f>SUMIF(GL!$D$6:$D$6487,B418,GL!$I$6:$I$6487)</f>
        <v>0</v>
      </c>
      <c r="G418" s="341"/>
      <c r="H418" s="341"/>
      <c r="I418" s="341">
        <f t="shared" si="365"/>
        <v>0</v>
      </c>
      <c r="J418" s="341">
        <f t="shared" si="366"/>
        <v>0</v>
      </c>
      <c r="K418" s="341"/>
      <c r="L418" s="342"/>
      <c r="M418" s="342"/>
      <c r="N418" s="341">
        <f t="shared" si="322"/>
        <v>0</v>
      </c>
      <c r="O418" s="341">
        <f t="shared" si="323"/>
        <v>0</v>
      </c>
      <c r="P418" s="341">
        <f>SUMIF(GL!$D$6488:$D$6532,B418,GL!$H$6488:$H$6532)</f>
        <v>0</v>
      </c>
      <c r="Q418" s="341">
        <f>SUMIF(GL!$D$6408:$D$6452,B418,GL!$I$6408:$I$6452)</f>
        <v>0</v>
      </c>
      <c r="R418" s="341">
        <f t="shared" ref="R418:S418" si="450">P418+N418</f>
        <v>0</v>
      </c>
      <c r="S418" s="341">
        <f t="shared" si="450"/>
        <v>0</v>
      </c>
      <c r="T418" s="340"/>
      <c r="U418" s="340"/>
      <c r="V418" s="340"/>
      <c r="W418" s="340"/>
      <c r="X418" s="341">
        <f t="shared" si="325"/>
        <v>0</v>
      </c>
      <c r="Y418" s="341">
        <f t="shared" si="326"/>
        <v>0</v>
      </c>
      <c r="Z418" s="246"/>
      <c r="AA418" s="330"/>
      <c r="AB418" s="332"/>
      <c r="AC418" s="332"/>
      <c r="AD418" s="110"/>
      <c r="AE418" s="110"/>
      <c r="AF418" s="110"/>
      <c r="AG418" s="110"/>
      <c r="AH418" s="110"/>
      <c r="AI418" s="110"/>
    </row>
    <row r="419" spans="1:35" ht="13.5" customHeight="1">
      <c r="A419" s="4"/>
      <c r="B419" s="68" t="s">
        <v>4548</v>
      </c>
      <c r="C419" s="363" t="s">
        <v>4549</v>
      </c>
      <c r="D419" s="254">
        <f>SUMIF(GL!$D$5:$D$6505,B419,GL!$G$5:$G$6505)</f>
        <v>0</v>
      </c>
      <c r="E419" s="341">
        <f>SUMIF(GL!$D$6:$D$6487,B419,GL!$H$6:$H$6487)</f>
        <v>0</v>
      </c>
      <c r="F419" s="341">
        <f>SUMIF(GL!$D$6:$D$6487,B419,GL!$I$6:$I$6487)</f>
        <v>0</v>
      </c>
      <c r="G419" s="341"/>
      <c r="H419" s="341"/>
      <c r="I419" s="341">
        <f t="shared" si="365"/>
        <v>0</v>
      </c>
      <c r="J419" s="341">
        <f t="shared" si="366"/>
        <v>0</v>
      </c>
      <c r="K419" s="341"/>
      <c r="L419" s="342"/>
      <c r="M419" s="342"/>
      <c r="N419" s="341">
        <f t="shared" si="322"/>
        <v>0</v>
      </c>
      <c r="O419" s="341">
        <f t="shared" si="323"/>
        <v>0</v>
      </c>
      <c r="P419" s="341">
        <f>SUMIF(GL!$D$6488:$D$6532,B419,GL!$H$6488:$H$6532)</f>
        <v>0</v>
      </c>
      <c r="Q419" s="341">
        <f>SUMIF(GL!$D$6408:$D$6452,B419,GL!$I$6408:$I$6452)</f>
        <v>0</v>
      </c>
      <c r="R419" s="341">
        <f t="shared" ref="R419:S419" si="451">P419+N419</f>
        <v>0</v>
      </c>
      <c r="S419" s="341">
        <f t="shared" si="451"/>
        <v>0</v>
      </c>
      <c r="T419" s="340"/>
      <c r="U419" s="340"/>
      <c r="V419" s="340"/>
      <c r="W419" s="340"/>
      <c r="X419" s="341">
        <f t="shared" si="325"/>
        <v>0</v>
      </c>
      <c r="Y419" s="341">
        <f t="shared" si="326"/>
        <v>0</v>
      </c>
      <c r="Z419" s="246"/>
      <c r="AA419" s="330"/>
      <c r="AB419" s="332"/>
      <c r="AC419" s="332"/>
      <c r="AD419" s="110"/>
      <c r="AE419" s="110"/>
      <c r="AF419" s="110"/>
      <c r="AG419" s="110"/>
      <c r="AH419" s="110"/>
      <c r="AI419" s="110"/>
    </row>
    <row r="420" spans="1:35" ht="13.5" customHeight="1">
      <c r="A420" s="4"/>
      <c r="B420" s="15" t="s">
        <v>4550</v>
      </c>
      <c r="C420" s="363" t="s">
        <v>4551</v>
      </c>
      <c r="D420" s="254">
        <f>SUMIF(GL!$D$5:$D$6505,B420,GL!$G$5:$G$6505)</f>
        <v>0</v>
      </c>
      <c r="E420" s="341">
        <f>SUMIF(GL!$D$6:$D$6487,B420,GL!$H$6:$H$6487)</f>
        <v>0</v>
      </c>
      <c r="F420" s="341">
        <f>SUMIF(GL!$D$6:$D$6487,B420,GL!$I$6:$I$6487)</f>
        <v>0</v>
      </c>
      <c r="G420" s="341"/>
      <c r="H420" s="341"/>
      <c r="I420" s="341">
        <f t="shared" si="365"/>
        <v>0</v>
      </c>
      <c r="J420" s="341">
        <f t="shared" si="366"/>
        <v>0</v>
      </c>
      <c r="K420" s="341"/>
      <c r="L420" s="342"/>
      <c r="M420" s="342"/>
      <c r="N420" s="341">
        <f t="shared" si="322"/>
        <v>0</v>
      </c>
      <c r="O420" s="341">
        <f t="shared" si="323"/>
        <v>0</v>
      </c>
      <c r="P420" s="341">
        <f>SUMIF(GL!$D$6488:$D$6532,B420,GL!$H$6488:$H$6532)</f>
        <v>0</v>
      </c>
      <c r="Q420" s="341">
        <f>SUMIF(GL!$D$6408:$D$6452,B420,GL!$I$6408:$I$6452)</f>
        <v>0</v>
      </c>
      <c r="R420" s="341">
        <f t="shared" ref="R420:S420" si="452">P420+N420</f>
        <v>0</v>
      </c>
      <c r="S420" s="341">
        <f t="shared" si="452"/>
        <v>0</v>
      </c>
      <c r="T420" s="340"/>
      <c r="U420" s="340"/>
      <c r="V420" s="340"/>
      <c r="W420" s="340"/>
      <c r="X420" s="341">
        <f t="shared" si="325"/>
        <v>0</v>
      </c>
      <c r="Y420" s="341">
        <f t="shared" si="326"/>
        <v>0</v>
      </c>
      <c r="Z420" s="246"/>
      <c r="AA420" s="330"/>
      <c r="AB420" s="332"/>
      <c r="AC420" s="332"/>
      <c r="AD420" s="110"/>
      <c r="AE420" s="110"/>
      <c r="AF420" s="110"/>
      <c r="AG420" s="110"/>
      <c r="AH420" s="110"/>
      <c r="AI420" s="110"/>
    </row>
    <row r="421" spans="1:35" ht="13.5" customHeight="1">
      <c r="A421" s="4"/>
      <c r="B421" s="15" t="s">
        <v>2113</v>
      </c>
      <c r="C421" s="363" t="s">
        <v>4552</v>
      </c>
      <c r="D421" s="254">
        <f>SUMIF(GL!$D$5:$D$6505,B421,GL!$G$5:$G$6505)</f>
        <v>3.5</v>
      </c>
      <c r="E421" s="341">
        <f>SUMIF(GL!$D$6:$D$6487,B421,GL!$H$6:$H$6487)</f>
        <v>325000</v>
      </c>
      <c r="F421" s="341">
        <f>SUMIF(GL!$D$6:$D$6487,B421,GL!$I$6:$I$6487)</f>
        <v>0</v>
      </c>
      <c r="G421" s="341"/>
      <c r="H421" s="341"/>
      <c r="I421" s="341">
        <f t="shared" si="365"/>
        <v>325000</v>
      </c>
      <c r="J421" s="341">
        <f t="shared" si="366"/>
        <v>0</v>
      </c>
      <c r="K421" s="341"/>
      <c r="L421" s="342"/>
      <c r="M421" s="342"/>
      <c r="N421" s="341">
        <f t="shared" si="322"/>
        <v>325000</v>
      </c>
      <c r="O421" s="341">
        <f t="shared" si="323"/>
        <v>0</v>
      </c>
      <c r="P421" s="341">
        <f>SUMIF(GL!$D$6488:$D$6532,B421,GL!$H$6488:$H$6532)</f>
        <v>0</v>
      </c>
      <c r="Q421" s="341">
        <f>SUMIF(GL!$D$6408:$D$6452,B421,GL!$I$6408:$I$6452)</f>
        <v>0</v>
      </c>
      <c r="R421" s="341">
        <f t="shared" ref="R421:S421" si="453">P421+N421</f>
        <v>325000</v>
      </c>
      <c r="S421" s="341">
        <f t="shared" si="453"/>
        <v>0</v>
      </c>
      <c r="T421" s="340"/>
      <c r="U421" s="340"/>
      <c r="V421" s="340"/>
      <c r="W421" s="340"/>
      <c r="X421" s="341">
        <f t="shared" si="325"/>
        <v>325000</v>
      </c>
      <c r="Y421" s="341">
        <f t="shared" si="326"/>
        <v>0</v>
      </c>
      <c r="Z421" s="246"/>
      <c r="AA421" s="330"/>
      <c r="AB421" s="332"/>
      <c r="AC421" s="332"/>
      <c r="AD421" s="110"/>
      <c r="AE421" s="110"/>
      <c r="AF421" s="110"/>
      <c r="AG421" s="110"/>
      <c r="AH421" s="110"/>
      <c r="AI421" s="110"/>
    </row>
    <row r="422" spans="1:35" ht="13.5" customHeight="1">
      <c r="A422" s="4"/>
      <c r="B422" s="15" t="s">
        <v>4553</v>
      </c>
      <c r="C422" s="363" t="s">
        <v>4554</v>
      </c>
      <c r="D422" s="254">
        <f>SUMIF(GL!$D$5:$D$6505,B422,GL!$G$5:$G$6505)</f>
        <v>0</v>
      </c>
      <c r="E422" s="341">
        <f>SUMIF(GL!$D$6:$D$6487,B422,GL!$H$6:$H$6487)</f>
        <v>0</v>
      </c>
      <c r="F422" s="341">
        <f>SUMIF(GL!$D$6:$D$6487,B422,GL!$I$6:$I$6487)</f>
        <v>0</v>
      </c>
      <c r="G422" s="341"/>
      <c r="H422" s="341"/>
      <c r="I422" s="341">
        <f t="shared" si="365"/>
        <v>0</v>
      </c>
      <c r="J422" s="341">
        <f t="shared" si="366"/>
        <v>0</v>
      </c>
      <c r="K422" s="341"/>
      <c r="L422" s="342"/>
      <c r="M422" s="342"/>
      <c r="N422" s="341">
        <f t="shared" si="322"/>
        <v>0</v>
      </c>
      <c r="O422" s="341">
        <f t="shared" si="323"/>
        <v>0</v>
      </c>
      <c r="P422" s="341">
        <f>SUMIF(GL!$D$6488:$D$6532,B422,GL!$H$6488:$H$6532)</f>
        <v>0</v>
      </c>
      <c r="Q422" s="341">
        <f>SUMIF(GL!$D$6408:$D$6452,B422,GL!$I$6408:$I$6452)</f>
        <v>0</v>
      </c>
      <c r="R422" s="341">
        <f t="shared" ref="R422:S422" si="454">P422+N422</f>
        <v>0</v>
      </c>
      <c r="S422" s="341">
        <f t="shared" si="454"/>
        <v>0</v>
      </c>
      <c r="T422" s="340"/>
      <c r="U422" s="340"/>
      <c r="V422" s="340"/>
      <c r="W422" s="340"/>
      <c r="X422" s="341">
        <f t="shared" si="325"/>
        <v>0</v>
      </c>
      <c r="Y422" s="341">
        <f t="shared" si="326"/>
        <v>0</v>
      </c>
      <c r="Z422" s="246"/>
      <c r="AA422" s="330"/>
      <c r="AB422" s="332"/>
      <c r="AC422" s="332"/>
      <c r="AD422" s="110"/>
      <c r="AE422" s="110"/>
      <c r="AF422" s="110"/>
      <c r="AG422" s="110"/>
      <c r="AH422" s="110"/>
      <c r="AI422" s="110"/>
    </row>
    <row r="423" spans="1:35" ht="13.5" customHeight="1">
      <c r="A423" s="4"/>
      <c r="B423" s="15" t="s">
        <v>4555</v>
      </c>
      <c r="C423" s="363" t="s">
        <v>4556</v>
      </c>
      <c r="D423" s="254">
        <f>SUMIF(GL!$D$5:$D$6505,B423,GL!$G$5:$G$6505)</f>
        <v>0</v>
      </c>
      <c r="E423" s="341">
        <f>SUMIF(GL!$D$6:$D$6487,B423,GL!$H$6:$H$6487)</f>
        <v>0</v>
      </c>
      <c r="F423" s="341">
        <f>SUMIF(GL!$D$6:$D$6487,B423,GL!$I$6:$I$6487)</f>
        <v>0</v>
      </c>
      <c r="G423" s="341"/>
      <c r="H423" s="341"/>
      <c r="I423" s="341">
        <f t="shared" si="365"/>
        <v>0</v>
      </c>
      <c r="J423" s="341">
        <f t="shared" si="366"/>
        <v>0</v>
      </c>
      <c r="K423" s="341"/>
      <c r="L423" s="342"/>
      <c r="M423" s="342"/>
      <c r="N423" s="341">
        <f t="shared" si="322"/>
        <v>0</v>
      </c>
      <c r="O423" s="341">
        <f t="shared" si="323"/>
        <v>0</v>
      </c>
      <c r="P423" s="341">
        <f>SUMIF(GL!$D$6488:$D$6532,B423,GL!$H$6488:$H$6532)</f>
        <v>0</v>
      </c>
      <c r="Q423" s="341">
        <f>SUMIF(GL!$D$6408:$D$6452,B423,GL!$I$6408:$I$6452)</f>
        <v>0</v>
      </c>
      <c r="R423" s="341">
        <f t="shared" ref="R423:S423" si="455">P423+N423</f>
        <v>0</v>
      </c>
      <c r="S423" s="341">
        <f t="shared" si="455"/>
        <v>0</v>
      </c>
      <c r="T423" s="340"/>
      <c r="U423" s="340"/>
      <c r="V423" s="340"/>
      <c r="W423" s="340"/>
      <c r="X423" s="341">
        <f t="shared" si="325"/>
        <v>0</v>
      </c>
      <c r="Y423" s="341">
        <f t="shared" si="326"/>
        <v>0</v>
      </c>
      <c r="Z423" s="246"/>
      <c r="AA423" s="330"/>
      <c r="AB423" s="332"/>
      <c r="AC423" s="332"/>
      <c r="AD423" s="110"/>
      <c r="AE423" s="110"/>
      <c r="AF423" s="110"/>
      <c r="AG423" s="110"/>
      <c r="AH423" s="110"/>
      <c r="AI423" s="110"/>
    </row>
    <row r="424" spans="1:35" ht="13.5" customHeight="1">
      <c r="A424" s="4"/>
      <c r="B424" s="15" t="s">
        <v>3441</v>
      </c>
      <c r="C424" s="363" t="s">
        <v>4557</v>
      </c>
      <c r="D424" s="254">
        <f>SUMIF(GL!$D$5:$D$6505,B424,GL!$G$5:$G$6505)</f>
        <v>48</v>
      </c>
      <c r="E424" s="341">
        <f>SUMIF(GL!$D$6:$D$6487,B424,GL!$H$6:$H$6487)</f>
        <v>852000</v>
      </c>
      <c r="F424" s="341">
        <f>SUMIF(GL!$D$6:$D$6487,B424,GL!$I$6:$I$6487)</f>
        <v>0</v>
      </c>
      <c r="G424" s="341"/>
      <c r="H424" s="341"/>
      <c r="I424" s="341">
        <f t="shared" si="365"/>
        <v>852000</v>
      </c>
      <c r="J424" s="341">
        <f t="shared" si="366"/>
        <v>0</v>
      </c>
      <c r="K424" s="341"/>
      <c r="L424" s="342"/>
      <c r="M424" s="342"/>
      <c r="N424" s="341">
        <f t="shared" si="322"/>
        <v>852000</v>
      </c>
      <c r="O424" s="341">
        <f t="shared" si="323"/>
        <v>0</v>
      </c>
      <c r="P424" s="341">
        <f>SUMIF(GL!$D$6488:$D$6532,B424,GL!$H$6488:$H$6532)</f>
        <v>0</v>
      </c>
      <c r="Q424" s="341">
        <f>SUMIF(GL!$D$6408:$D$6452,B424,GL!$I$6408:$I$6452)</f>
        <v>0</v>
      </c>
      <c r="R424" s="341">
        <f t="shared" ref="R424:S424" si="456">P424+N424</f>
        <v>852000</v>
      </c>
      <c r="S424" s="341">
        <f t="shared" si="456"/>
        <v>0</v>
      </c>
      <c r="T424" s="340"/>
      <c r="U424" s="340"/>
      <c r="V424" s="340"/>
      <c r="W424" s="340"/>
      <c r="X424" s="341">
        <f t="shared" si="325"/>
        <v>852000</v>
      </c>
      <c r="Y424" s="341">
        <f t="shared" si="326"/>
        <v>0</v>
      </c>
      <c r="Z424" s="246"/>
      <c r="AA424" s="330"/>
      <c r="AB424" s="332"/>
      <c r="AC424" s="332"/>
      <c r="AD424" s="110"/>
      <c r="AE424" s="110"/>
      <c r="AF424" s="110"/>
      <c r="AG424" s="110"/>
      <c r="AH424" s="110"/>
      <c r="AI424" s="110"/>
    </row>
    <row r="425" spans="1:35" ht="13.5" customHeight="1">
      <c r="A425" s="4"/>
      <c r="B425" s="15" t="s">
        <v>4558</v>
      </c>
      <c r="C425" s="363" t="s">
        <v>4559</v>
      </c>
      <c r="D425" s="254">
        <f>SUMIF(GL!$D$5:$D$6505,B425,GL!$G$5:$G$6505)</f>
        <v>0</v>
      </c>
      <c r="E425" s="341">
        <f>SUMIF(GL!$D$6:$D$6487,B425,GL!$H$6:$H$6487)</f>
        <v>0</v>
      </c>
      <c r="F425" s="341">
        <f>SUMIF(GL!$D$6:$D$6487,B425,GL!$I$6:$I$6487)</f>
        <v>0</v>
      </c>
      <c r="G425" s="341"/>
      <c r="H425" s="341"/>
      <c r="I425" s="341">
        <f t="shared" si="365"/>
        <v>0</v>
      </c>
      <c r="J425" s="341">
        <f t="shared" si="366"/>
        <v>0</v>
      </c>
      <c r="K425" s="341"/>
      <c r="L425" s="342"/>
      <c r="M425" s="342"/>
      <c r="N425" s="341">
        <f t="shared" si="322"/>
        <v>0</v>
      </c>
      <c r="O425" s="341">
        <f t="shared" si="323"/>
        <v>0</v>
      </c>
      <c r="P425" s="341">
        <f>SUMIF(GL!$D$6488:$D$6532,B425,GL!$H$6488:$H$6532)</f>
        <v>0</v>
      </c>
      <c r="Q425" s="341">
        <f>SUMIF(GL!$D$6408:$D$6452,B425,GL!$I$6408:$I$6452)</f>
        <v>0</v>
      </c>
      <c r="R425" s="341">
        <f t="shared" ref="R425:S425" si="457">P425+N425</f>
        <v>0</v>
      </c>
      <c r="S425" s="341">
        <f t="shared" si="457"/>
        <v>0</v>
      </c>
      <c r="T425" s="340"/>
      <c r="U425" s="340"/>
      <c r="V425" s="340"/>
      <c r="W425" s="340"/>
      <c r="X425" s="341">
        <f t="shared" si="325"/>
        <v>0</v>
      </c>
      <c r="Y425" s="341">
        <f t="shared" si="326"/>
        <v>0</v>
      </c>
      <c r="Z425" s="246"/>
      <c r="AA425" s="330"/>
      <c r="AB425" s="332"/>
      <c r="AC425" s="332"/>
      <c r="AD425" s="110"/>
      <c r="AE425" s="110"/>
      <c r="AF425" s="110"/>
      <c r="AG425" s="110"/>
      <c r="AH425" s="110"/>
      <c r="AI425" s="110"/>
    </row>
    <row r="426" spans="1:35" ht="13.5" customHeight="1">
      <c r="A426" s="4"/>
      <c r="B426" s="15" t="s">
        <v>4560</v>
      </c>
      <c r="C426" s="363" t="s">
        <v>4561</v>
      </c>
      <c r="D426" s="254">
        <f>SUMIF(GL!$D$5:$D$6505,B426,GL!$G$5:$G$6505)</f>
        <v>0</v>
      </c>
      <c r="E426" s="341">
        <f>SUMIF(GL!$D$6:$D$6487,B426,GL!$H$6:$H$6487)</f>
        <v>0</v>
      </c>
      <c r="F426" s="341">
        <f>SUMIF(GL!$D$6:$D$6487,B426,GL!$I$6:$I$6487)</f>
        <v>0</v>
      </c>
      <c r="G426" s="341"/>
      <c r="H426" s="341"/>
      <c r="I426" s="341">
        <f t="shared" si="365"/>
        <v>0</v>
      </c>
      <c r="J426" s="341">
        <f t="shared" si="366"/>
        <v>0</v>
      </c>
      <c r="K426" s="341"/>
      <c r="L426" s="342"/>
      <c r="M426" s="342"/>
      <c r="N426" s="341">
        <f t="shared" si="322"/>
        <v>0</v>
      </c>
      <c r="O426" s="341">
        <f t="shared" si="323"/>
        <v>0</v>
      </c>
      <c r="P426" s="341">
        <f>SUMIF(GL!$D$6488:$D$6532,B426,GL!$H$6488:$H$6532)</f>
        <v>0</v>
      </c>
      <c r="Q426" s="341">
        <f>SUMIF(GL!$D$6408:$D$6452,B426,GL!$I$6408:$I$6452)</f>
        <v>0</v>
      </c>
      <c r="R426" s="341">
        <f t="shared" ref="R426:S426" si="458">P426+N426</f>
        <v>0</v>
      </c>
      <c r="S426" s="341">
        <f t="shared" si="458"/>
        <v>0</v>
      </c>
      <c r="T426" s="340"/>
      <c r="U426" s="340"/>
      <c r="V426" s="340"/>
      <c r="W426" s="340"/>
      <c r="X426" s="341">
        <f t="shared" si="325"/>
        <v>0</v>
      </c>
      <c r="Y426" s="341">
        <f t="shared" si="326"/>
        <v>0</v>
      </c>
      <c r="Z426" s="246"/>
      <c r="AA426" s="330"/>
      <c r="AB426" s="332"/>
      <c r="AC426" s="332"/>
      <c r="AD426" s="110"/>
      <c r="AE426" s="110"/>
      <c r="AF426" s="110"/>
      <c r="AG426" s="110"/>
      <c r="AH426" s="110"/>
      <c r="AI426" s="110"/>
    </row>
    <row r="427" spans="1:35" ht="13.5" customHeight="1">
      <c r="A427" s="4"/>
      <c r="B427" s="15" t="s">
        <v>3443</v>
      </c>
      <c r="C427" s="363" t="s">
        <v>4562</v>
      </c>
      <c r="D427" s="254">
        <f>SUMIF(GL!$D$5:$D$6505,B427,GL!$G$5:$G$6505)</f>
        <v>72</v>
      </c>
      <c r="E427" s="341">
        <f>SUMIF(GL!$D$6:$D$6487,B427,GL!$H$6:$H$6487)</f>
        <v>1080000</v>
      </c>
      <c r="F427" s="341">
        <f>SUMIF(GL!$D$6:$D$6487,B427,GL!$I$6:$I$6487)</f>
        <v>0</v>
      </c>
      <c r="G427" s="341"/>
      <c r="H427" s="341"/>
      <c r="I427" s="341">
        <f t="shared" si="365"/>
        <v>1080000</v>
      </c>
      <c r="J427" s="341">
        <f t="shared" si="366"/>
        <v>0</v>
      </c>
      <c r="K427" s="341"/>
      <c r="L427" s="342"/>
      <c r="M427" s="342"/>
      <c r="N427" s="341">
        <f t="shared" si="322"/>
        <v>1080000</v>
      </c>
      <c r="O427" s="341">
        <f t="shared" si="323"/>
        <v>0</v>
      </c>
      <c r="P427" s="341">
        <f>SUMIF(GL!$D$6488:$D$6532,B427,GL!$H$6488:$H$6532)</f>
        <v>0</v>
      </c>
      <c r="Q427" s="341">
        <f>SUMIF(GL!$D$6408:$D$6452,B427,GL!$I$6408:$I$6452)</f>
        <v>0</v>
      </c>
      <c r="R427" s="341">
        <f t="shared" ref="R427:S427" si="459">P427+N427</f>
        <v>1080000</v>
      </c>
      <c r="S427" s="341">
        <f t="shared" si="459"/>
        <v>0</v>
      </c>
      <c r="T427" s="340"/>
      <c r="U427" s="340"/>
      <c r="V427" s="340"/>
      <c r="W427" s="340"/>
      <c r="X427" s="341">
        <f t="shared" si="325"/>
        <v>1080000</v>
      </c>
      <c r="Y427" s="341">
        <f t="shared" si="326"/>
        <v>0</v>
      </c>
      <c r="Z427" s="246"/>
      <c r="AA427" s="330"/>
      <c r="AB427" s="332"/>
      <c r="AC427" s="332"/>
      <c r="AD427" s="110"/>
      <c r="AE427" s="110"/>
      <c r="AF427" s="110"/>
      <c r="AG427" s="110"/>
      <c r="AH427" s="110"/>
      <c r="AI427" s="110"/>
    </row>
    <row r="428" spans="1:35" ht="13.5" customHeight="1">
      <c r="A428" s="4"/>
      <c r="B428" s="15" t="s">
        <v>4563</v>
      </c>
      <c r="C428" s="363" t="s">
        <v>4564</v>
      </c>
      <c r="D428" s="254">
        <f>SUMIF(GL!$D$5:$D$6505,B428,GL!$G$5:$G$6505)</f>
        <v>0</v>
      </c>
      <c r="E428" s="341">
        <f>SUMIF(GL!$D$6:$D$6487,B428,GL!$H$6:$H$6487)</f>
        <v>0</v>
      </c>
      <c r="F428" s="341">
        <f>SUMIF(GL!$D$6:$D$6487,B428,GL!$I$6:$I$6487)</f>
        <v>0</v>
      </c>
      <c r="G428" s="341"/>
      <c r="H428" s="341"/>
      <c r="I428" s="341">
        <f t="shared" si="365"/>
        <v>0</v>
      </c>
      <c r="J428" s="341">
        <f t="shared" si="366"/>
        <v>0</v>
      </c>
      <c r="K428" s="341"/>
      <c r="L428" s="342"/>
      <c r="M428" s="342"/>
      <c r="N428" s="341">
        <f t="shared" si="322"/>
        <v>0</v>
      </c>
      <c r="O428" s="341">
        <f t="shared" si="323"/>
        <v>0</v>
      </c>
      <c r="P428" s="341">
        <f>SUMIF(GL!$D$6488:$D$6532,B428,GL!$H$6488:$H$6532)</f>
        <v>0</v>
      </c>
      <c r="Q428" s="341">
        <f>SUMIF(GL!$D$6408:$D$6452,B428,GL!$I$6408:$I$6452)</f>
        <v>0</v>
      </c>
      <c r="R428" s="341">
        <f t="shared" ref="R428:S428" si="460">P428+N428</f>
        <v>0</v>
      </c>
      <c r="S428" s="341">
        <f t="shared" si="460"/>
        <v>0</v>
      </c>
      <c r="T428" s="340"/>
      <c r="U428" s="340"/>
      <c r="V428" s="340"/>
      <c r="W428" s="340"/>
      <c r="X428" s="341">
        <f t="shared" si="325"/>
        <v>0</v>
      </c>
      <c r="Y428" s="341">
        <f t="shared" si="326"/>
        <v>0</v>
      </c>
      <c r="Z428" s="246"/>
      <c r="AA428" s="330"/>
      <c r="AB428" s="332"/>
      <c r="AC428" s="332"/>
      <c r="AD428" s="110"/>
      <c r="AE428" s="110"/>
      <c r="AF428" s="110"/>
      <c r="AG428" s="110"/>
      <c r="AH428" s="110"/>
      <c r="AI428" s="110"/>
    </row>
    <row r="429" spans="1:35" ht="13.5" customHeight="1">
      <c r="A429" s="4"/>
      <c r="B429" s="15" t="s">
        <v>2480</v>
      </c>
      <c r="C429" s="363" t="s">
        <v>4565</v>
      </c>
      <c r="D429" s="254">
        <f>SUMIF(GL!$D$5:$D$6505,B429,GL!$G$5:$G$6505)</f>
        <v>45</v>
      </c>
      <c r="E429" s="341">
        <f>SUMIF(GL!$D$6:$D$6487,B429,GL!$H$6:$H$6487)</f>
        <v>585000</v>
      </c>
      <c r="F429" s="341">
        <f>SUMIF(GL!$D$6:$D$6487,B429,GL!$I$6:$I$6487)</f>
        <v>0</v>
      </c>
      <c r="G429" s="341"/>
      <c r="H429" s="341"/>
      <c r="I429" s="341">
        <f t="shared" si="365"/>
        <v>585000</v>
      </c>
      <c r="J429" s="341">
        <f t="shared" si="366"/>
        <v>0</v>
      </c>
      <c r="K429" s="341"/>
      <c r="L429" s="342"/>
      <c r="M429" s="342"/>
      <c r="N429" s="341">
        <f t="shared" si="322"/>
        <v>585000</v>
      </c>
      <c r="O429" s="341">
        <f t="shared" si="323"/>
        <v>0</v>
      </c>
      <c r="P429" s="341">
        <f>SUMIF(GL!$D$6488:$D$6532,B429,GL!$H$6488:$H$6532)</f>
        <v>0</v>
      </c>
      <c r="Q429" s="341">
        <f>SUMIF(GL!$D$6408:$D$6452,B429,GL!$I$6408:$I$6452)</f>
        <v>0</v>
      </c>
      <c r="R429" s="341">
        <f t="shared" ref="R429:S429" si="461">P429+N429</f>
        <v>585000</v>
      </c>
      <c r="S429" s="341">
        <f t="shared" si="461"/>
        <v>0</v>
      </c>
      <c r="T429" s="340"/>
      <c r="U429" s="340"/>
      <c r="V429" s="340"/>
      <c r="W429" s="340"/>
      <c r="X429" s="341">
        <f t="shared" si="325"/>
        <v>585000</v>
      </c>
      <c r="Y429" s="341">
        <f t="shared" si="326"/>
        <v>0</v>
      </c>
      <c r="Z429" s="246"/>
      <c r="AA429" s="330"/>
      <c r="AB429" s="332"/>
      <c r="AC429" s="332"/>
      <c r="AD429" s="110"/>
      <c r="AE429" s="110"/>
      <c r="AF429" s="110"/>
      <c r="AG429" s="110"/>
      <c r="AH429" s="110"/>
      <c r="AI429" s="110"/>
    </row>
    <row r="430" spans="1:35" ht="13.5" customHeight="1">
      <c r="A430" s="4"/>
      <c r="B430" s="15" t="s">
        <v>2446</v>
      </c>
      <c r="C430" s="363" t="s">
        <v>4566</v>
      </c>
      <c r="D430" s="254">
        <f>SUMIF(GL!$D$5:$D$6505,B430,GL!$G$5:$G$6505)</f>
        <v>4.8999999999999995</v>
      </c>
      <c r="E430" s="341">
        <f>SUMIF(GL!$D$6:$D$6487,B430,GL!$H$6:$H$6487)</f>
        <v>421950</v>
      </c>
      <c r="F430" s="341">
        <f>SUMIF(GL!$D$6:$D$6487,B430,GL!$I$6:$I$6487)</f>
        <v>0</v>
      </c>
      <c r="G430" s="341"/>
      <c r="H430" s="341"/>
      <c r="I430" s="341">
        <f t="shared" si="365"/>
        <v>421950</v>
      </c>
      <c r="J430" s="341">
        <f t="shared" si="366"/>
        <v>0</v>
      </c>
      <c r="K430" s="341"/>
      <c r="L430" s="342"/>
      <c r="M430" s="342"/>
      <c r="N430" s="341">
        <f t="shared" si="322"/>
        <v>421950</v>
      </c>
      <c r="O430" s="341">
        <f t="shared" si="323"/>
        <v>0</v>
      </c>
      <c r="P430" s="341">
        <f>SUMIF(GL!$D$6488:$D$6532,B430,GL!$H$6488:$H$6532)</f>
        <v>0</v>
      </c>
      <c r="Q430" s="341">
        <f>SUMIF(GL!$D$6408:$D$6452,B430,GL!$I$6408:$I$6452)</f>
        <v>0</v>
      </c>
      <c r="R430" s="341">
        <f t="shared" ref="R430:S430" si="462">P430+N430</f>
        <v>421950</v>
      </c>
      <c r="S430" s="341">
        <f t="shared" si="462"/>
        <v>0</v>
      </c>
      <c r="T430" s="340"/>
      <c r="U430" s="340"/>
      <c r="V430" s="340"/>
      <c r="W430" s="340"/>
      <c r="X430" s="341">
        <f t="shared" si="325"/>
        <v>421950</v>
      </c>
      <c r="Y430" s="341">
        <f t="shared" si="326"/>
        <v>0</v>
      </c>
      <c r="Z430" s="246"/>
      <c r="AA430" s="330"/>
      <c r="AB430" s="332"/>
      <c r="AC430" s="332"/>
      <c r="AD430" s="110"/>
      <c r="AE430" s="110"/>
      <c r="AF430" s="110"/>
      <c r="AG430" s="110"/>
      <c r="AH430" s="110"/>
      <c r="AI430" s="110"/>
    </row>
    <row r="431" spans="1:35" ht="13.5" customHeight="1">
      <c r="A431" s="4"/>
      <c r="B431" s="15" t="s">
        <v>4567</v>
      </c>
      <c r="C431" s="363" t="s">
        <v>4568</v>
      </c>
      <c r="D431" s="254">
        <f>SUMIF(GL!$D$5:$D$6505,B431,GL!$G$5:$G$6505)</f>
        <v>0</v>
      </c>
      <c r="E431" s="341">
        <f>SUMIF(GL!$D$6:$D$6487,B431,GL!$H$6:$H$6487)</f>
        <v>0</v>
      </c>
      <c r="F431" s="341">
        <f>SUMIF(GL!$D$6:$D$6487,B431,GL!$I$6:$I$6487)</f>
        <v>0</v>
      </c>
      <c r="G431" s="341"/>
      <c r="H431" s="341"/>
      <c r="I431" s="341">
        <f t="shared" si="365"/>
        <v>0</v>
      </c>
      <c r="J431" s="341">
        <f t="shared" si="366"/>
        <v>0</v>
      </c>
      <c r="K431" s="341"/>
      <c r="L431" s="342"/>
      <c r="M431" s="342"/>
      <c r="N431" s="341">
        <f t="shared" si="322"/>
        <v>0</v>
      </c>
      <c r="O431" s="341">
        <f t="shared" si="323"/>
        <v>0</v>
      </c>
      <c r="P431" s="341">
        <f>SUMIF(GL!$D$6488:$D$6532,B431,GL!$H$6488:$H$6532)</f>
        <v>0</v>
      </c>
      <c r="Q431" s="341">
        <f>SUMIF(GL!$D$6408:$D$6452,B431,GL!$I$6408:$I$6452)</f>
        <v>0</v>
      </c>
      <c r="R431" s="341">
        <f t="shared" ref="R431:S431" si="463">P431+N431</f>
        <v>0</v>
      </c>
      <c r="S431" s="341">
        <f t="shared" si="463"/>
        <v>0</v>
      </c>
      <c r="T431" s="340"/>
      <c r="U431" s="340"/>
      <c r="V431" s="340"/>
      <c r="W431" s="340"/>
      <c r="X431" s="341">
        <f t="shared" si="325"/>
        <v>0</v>
      </c>
      <c r="Y431" s="341">
        <f t="shared" si="326"/>
        <v>0</v>
      </c>
      <c r="Z431" s="246"/>
      <c r="AA431" s="330"/>
      <c r="AB431" s="332"/>
      <c r="AC431" s="332"/>
      <c r="AD431" s="110"/>
      <c r="AE431" s="110"/>
      <c r="AF431" s="110"/>
      <c r="AG431" s="110"/>
      <c r="AH431" s="110"/>
      <c r="AI431" s="110"/>
    </row>
    <row r="432" spans="1:35" ht="13.5" customHeight="1">
      <c r="A432" s="4"/>
      <c r="B432" s="15" t="s">
        <v>4569</v>
      </c>
      <c r="C432" s="363" t="s">
        <v>4570</v>
      </c>
      <c r="D432" s="254">
        <f>SUMIF(GL!$D$5:$D$6505,B432,GL!$G$5:$G$6505)</f>
        <v>0</v>
      </c>
      <c r="E432" s="341">
        <f>SUMIF(GL!$D$6:$D$6487,B432,GL!$H$6:$H$6487)</f>
        <v>0</v>
      </c>
      <c r="F432" s="341">
        <f>SUMIF(GL!$D$6:$D$6487,B432,GL!$I$6:$I$6487)</f>
        <v>0</v>
      </c>
      <c r="G432" s="341"/>
      <c r="H432" s="341"/>
      <c r="I432" s="341">
        <f t="shared" si="365"/>
        <v>0</v>
      </c>
      <c r="J432" s="341">
        <f t="shared" si="366"/>
        <v>0</v>
      </c>
      <c r="K432" s="341"/>
      <c r="L432" s="342"/>
      <c r="M432" s="342"/>
      <c r="N432" s="341">
        <f t="shared" si="322"/>
        <v>0</v>
      </c>
      <c r="O432" s="341">
        <f t="shared" si="323"/>
        <v>0</v>
      </c>
      <c r="P432" s="341">
        <f>SUMIF(GL!$D$6488:$D$6532,B432,GL!$H$6488:$H$6532)</f>
        <v>0</v>
      </c>
      <c r="Q432" s="341">
        <f>SUMIF(GL!$D$6408:$D$6452,B432,GL!$I$6408:$I$6452)</f>
        <v>0</v>
      </c>
      <c r="R432" s="341">
        <f t="shared" ref="R432:S432" si="464">P432+N432</f>
        <v>0</v>
      </c>
      <c r="S432" s="341">
        <f t="shared" si="464"/>
        <v>0</v>
      </c>
      <c r="T432" s="340"/>
      <c r="U432" s="340"/>
      <c r="V432" s="340"/>
      <c r="W432" s="340"/>
      <c r="X432" s="341">
        <f t="shared" si="325"/>
        <v>0</v>
      </c>
      <c r="Y432" s="341">
        <f t="shared" si="326"/>
        <v>0</v>
      </c>
      <c r="Z432" s="246"/>
      <c r="AA432" s="330"/>
      <c r="AB432" s="332"/>
      <c r="AC432" s="332"/>
      <c r="AD432" s="110"/>
      <c r="AE432" s="110"/>
      <c r="AF432" s="110"/>
      <c r="AG432" s="110"/>
      <c r="AH432" s="110"/>
      <c r="AI432" s="110"/>
    </row>
    <row r="433" spans="1:35" ht="13.5" customHeight="1">
      <c r="A433" s="4"/>
      <c r="B433" s="15" t="s">
        <v>4571</v>
      </c>
      <c r="C433" s="363" t="s">
        <v>4572</v>
      </c>
      <c r="D433" s="254">
        <f>SUMIF(GL!$D$5:$D$6505,B433,GL!$G$5:$G$6505)</f>
        <v>0</v>
      </c>
      <c r="E433" s="341">
        <f>SUMIF(GL!$D$6:$D$6487,B433,GL!$H$6:$H$6487)</f>
        <v>0</v>
      </c>
      <c r="F433" s="341">
        <f>SUMIF(GL!$D$6:$D$6487,B433,GL!$I$6:$I$6487)</f>
        <v>0</v>
      </c>
      <c r="G433" s="341"/>
      <c r="H433" s="341"/>
      <c r="I433" s="341">
        <f t="shared" si="365"/>
        <v>0</v>
      </c>
      <c r="J433" s="341">
        <f t="shared" si="366"/>
        <v>0</v>
      </c>
      <c r="K433" s="341"/>
      <c r="L433" s="342"/>
      <c r="M433" s="342"/>
      <c r="N433" s="341">
        <f t="shared" si="322"/>
        <v>0</v>
      </c>
      <c r="O433" s="341">
        <f t="shared" si="323"/>
        <v>0</v>
      </c>
      <c r="P433" s="341">
        <f>SUMIF(GL!$D$6488:$D$6532,B433,GL!$H$6488:$H$6532)</f>
        <v>0</v>
      </c>
      <c r="Q433" s="341">
        <f>SUMIF(GL!$D$6408:$D$6452,B433,GL!$I$6408:$I$6452)</f>
        <v>0</v>
      </c>
      <c r="R433" s="341">
        <f t="shared" ref="R433:S433" si="465">P433+N433</f>
        <v>0</v>
      </c>
      <c r="S433" s="341">
        <f t="shared" si="465"/>
        <v>0</v>
      </c>
      <c r="T433" s="340"/>
      <c r="U433" s="340"/>
      <c r="V433" s="340"/>
      <c r="W433" s="340"/>
      <c r="X433" s="341">
        <f t="shared" si="325"/>
        <v>0</v>
      </c>
      <c r="Y433" s="341">
        <f t="shared" si="326"/>
        <v>0</v>
      </c>
      <c r="Z433" s="246"/>
      <c r="AA433" s="330"/>
      <c r="AB433" s="332"/>
      <c r="AC433" s="332"/>
      <c r="AD433" s="110"/>
      <c r="AE433" s="110"/>
      <c r="AF433" s="110"/>
      <c r="AG433" s="110"/>
      <c r="AH433" s="110"/>
      <c r="AI433" s="110"/>
    </row>
    <row r="434" spans="1:35" ht="13.5" customHeight="1">
      <c r="A434" s="4"/>
      <c r="B434" s="15" t="s">
        <v>2606</v>
      </c>
      <c r="C434" s="363" t="s">
        <v>4573</v>
      </c>
      <c r="D434" s="254">
        <f>SUMIF(GL!$D$5:$D$6505,B434,GL!$G$5:$G$6505)</f>
        <v>48</v>
      </c>
      <c r="E434" s="341">
        <f>SUMIF(GL!$D$6:$D$6487,B434,GL!$H$6:$H$6487)</f>
        <v>440000</v>
      </c>
      <c r="F434" s="341">
        <f>SUMIF(GL!$D$6:$D$6487,B434,GL!$I$6:$I$6487)</f>
        <v>0</v>
      </c>
      <c r="G434" s="341"/>
      <c r="H434" s="341"/>
      <c r="I434" s="341">
        <f t="shared" si="365"/>
        <v>440000</v>
      </c>
      <c r="J434" s="341">
        <f t="shared" si="366"/>
        <v>0</v>
      </c>
      <c r="K434" s="341"/>
      <c r="L434" s="342"/>
      <c r="M434" s="342"/>
      <c r="N434" s="341">
        <f t="shared" si="322"/>
        <v>440000</v>
      </c>
      <c r="O434" s="341">
        <f t="shared" si="323"/>
        <v>0</v>
      </c>
      <c r="P434" s="341">
        <f>SUMIF(GL!$D$6488:$D$6532,B434,GL!$H$6488:$H$6532)</f>
        <v>0</v>
      </c>
      <c r="Q434" s="341">
        <f>SUMIF(GL!$D$6408:$D$6452,B434,GL!$I$6408:$I$6452)</f>
        <v>0</v>
      </c>
      <c r="R434" s="341">
        <f t="shared" ref="R434:S434" si="466">P434+N434</f>
        <v>440000</v>
      </c>
      <c r="S434" s="341">
        <f t="shared" si="466"/>
        <v>0</v>
      </c>
      <c r="T434" s="340"/>
      <c r="U434" s="340"/>
      <c r="V434" s="340"/>
      <c r="W434" s="340"/>
      <c r="X434" s="341">
        <f t="shared" si="325"/>
        <v>440000</v>
      </c>
      <c r="Y434" s="341">
        <f t="shared" si="326"/>
        <v>0</v>
      </c>
      <c r="Z434" s="246"/>
      <c r="AA434" s="330"/>
      <c r="AB434" s="332"/>
      <c r="AC434" s="332"/>
      <c r="AD434" s="110"/>
      <c r="AE434" s="110"/>
      <c r="AF434" s="110"/>
      <c r="AG434" s="110"/>
      <c r="AH434" s="110"/>
      <c r="AI434" s="110"/>
    </row>
    <row r="435" spans="1:35" ht="13.5" customHeight="1">
      <c r="A435" s="4"/>
      <c r="B435" s="15" t="s">
        <v>2593</v>
      </c>
      <c r="C435" s="363" t="s">
        <v>4574</v>
      </c>
      <c r="D435" s="254">
        <f>SUMIF(GL!$D$5:$D$6505,B435,GL!$G$5:$G$6505)</f>
        <v>1800</v>
      </c>
      <c r="E435" s="341">
        <f>SUMIF(GL!$D$6:$D$6487,B435,GL!$H$6:$H$6487)</f>
        <v>15000000</v>
      </c>
      <c r="F435" s="341">
        <f>SUMIF(GL!$D$6:$D$6487,B435,GL!$I$6:$I$6487)</f>
        <v>0</v>
      </c>
      <c r="G435" s="341"/>
      <c r="H435" s="341"/>
      <c r="I435" s="341">
        <f t="shared" si="365"/>
        <v>15000000</v>
      </c>
      <c r="J435" s="341">
        <f t="shared" si="366"/>
        <v>0</v>
      </c>
      <c r="K435" s="341"/>
      <c r="L435" s="342"/>
      <c r="M435" s="342"/>
      <c r="N435" s="341">
        <f t="shared" si="322"/>
        <v>15000000</v>
      </c>
      <c r="O435" s="341">
        <f t="shared" si="323"/>
        <v>0</v>
      </c>
      <c r="P435" s="341">
        <f>SUMIF(GL!$D$6488:$D$6532,B435,GL!$H$6488:$H$6532)</f>
        <v>0</v>
      </c>
      <c r="Q435" s="341">
        <f>SUMIF(GL!$D$6408:$D$6452,B435,GL!$I$6408:$I$6452)</f>
        <v>0</v>
      </c>
      <c r="R435" s="341">
        <f t="shared" ref="R435:S435" si="467">P435+N435</f>
        <v>15000000</v>
      </c>
      <c r="S435" s="341">
        <f t="shared" si="467"/>
        <v>0</v>
      </c>
      <c r="T435" s="340"/>
      <c r="U435" s="340"/>
      <c r="V435" s="340"/>
      <c r="W435" s="340"/>
      <c r="X435" s="341">
        <f t="shared" si="325"/>
        <v>15000000</v>
      </c>
      <c r="Y435" s="341">
        <f t="shared" si="326"/>
        <v>0</v>
      </c>
      <c r="Z435" s="246"/>
      <c r="AA435" s="330"/>
      <c r="AB435" s="332"/>
      <c r="AC435" s="332"/>
      <c r="AD435" s="110"/>
      <c r="AE435" s="110"/>
      <c r="AF435" s="110"/>
      <c r="AG435" s="110"/>
      <c r="AH435" s="110"/>
      <c r="AI435" s="110"/>
    </row>
    <row r="436" spans="1:35" ht="13.5" customHeight="1">
      <c r="A436" s="4"/>
      <c r="B436" s="15" t="s">
        <v>2595</v>
      </c>
      <c r="C436" s="363" t="s">
        <v>4575</v>
      </c>
      <c r="D436" s="254">
        <f>SUMIF(GL!$D$5:$D$6505,B436,GL!$G$5:$G$6505)</f>
        <v>30</v>
      </c>
      <c r="E436" s="341">
        <f>SUMIF(GL!$D$6:$D$6487,B436,GL!$H$6:$H$6487)</f>
        <v>500000</v>
      </c>
      <c r="F436" s="341">
        <f>SUMIF(GL!$D$6:$D$6487,B436,GL!$I$6:$I$6487)</f>
        <v>0</v>
      </c>
      <c r="G436" s="341"/>
      <c r="H436" s="341"/>
      <c r="I436" s="341">
        <f t="shared" si="365"/>
        <v>500000</v>
      </c>
      <c r="J436" s="341">
        <f t="shared" si="366"/>
        <v>0</v>
      </c>
      <c r="K436" s="341"/>
      <c r="L436" s="342"/>
      <c r="M436" s="342"/>
      <c r="N436" s="341">
        <f t="shared" si="322"/>
        <v>500000</v>
      </c>
      <c r="O436" s="341">
        <f t="shared" si="323"/>
        <v>0</v>
      </c>
      <c r="P436" s="341">
        <f>SUMIF(GL!$D$6488:$D$6532,B436,GL!$H$6488:$H$6532)</f>
        <v>0</v>
      </c>
      <c r="Q436" s="341">
        <f>SUMIF(GL!$D$6408:$D$6452,B436,GL!$I$6408:$I$6452)</f>
        <v>0</v>
      </c>
      <c r="R436" s="341">
        <f t="shared" ref="R436:S436" si="468">P436+N436</f>
        <v>500000</v>
      </c>
      <c r="S436" s="341">
        <f t="shared" si="468"/>
        <v>0</v>
      </c>
      <c r="T436" s="340"/>
      <c r="U436" s="340"/>
      <c r="V436" s="340"/>
      <c r="W436" s="340"/>
      <c r="X436" s="341">
        <f t="shared" si="325"/>
        <v>500000</v>
      </c>
      <c r="Y436" s="341">
        <f t="shared" si="326"/>
        <v>0</v>
      </c>
      <c r="Z436" s="246"/>
      <c r="AA436" s="330"/>
      <c r="AB436" s="332"/>
      <c r="AC436" s="332"/>
      <c r="AD436" s="110"/>
      <c r="AE436" s="110"/>
      <c r="AF436" s="110"/>
      <c r="AG436" s="110"/>
      <c r="AH436" s="110"/>
      <c r="AI436" s="110"/>
    </row>
    <row r="437" spans="1:35" ht="13.5" customHeight="1">
      <c r="A437" s="4"/>
      <c r="B437" s="15" t="s">
        <v>4576</v>
      </c>
      <c r="C437" s="363" t="s">
        <v>4577</v>
      </c>
      <c r="D437" s="254">
        <f>SUMIF(GL!$D$5:$D$6505,B437,GL!$G$5:$G$6505)</f>
        <v>0</v>
      </c>
      <c r="E437" s="341">
        <f>SUMIF(GL!$D$6:$D$6487,B437,GL!$H$6:$H$6487)</f>
        <v>0</v>
      </c>
      <c r="F437" s="341">
        <f>SUMIF(GL!$D$6:$D$6487,B437,GL!$I$6:$I$6487)</f>
        <v>0</v>
      </c>
      <c r="G437" s="341"/>
      <c r="H437" s="341"/>
      <c r="I437" s="341">
        <f t="shared" si="365"/>
        <v>0</v>
      </c>
      <c r="J437" s="341">
        <f t="shared" si="366"/>
        <v>0</v>
      </c>
      <c r="K437" s="341"/>
      <c r="L437" s="342"/>
      <c r="M437" s="342"/>
      <c r="N437" s="341">
        <f t="shared" si="322"/>
        <v>0</v>
      </c>
      <c r="O437" s="341">
        <f t="shared" si="323"/>
        <v>0</v>
      </c>
      <c r="P437" s="341">
        <f>SUMIF(GL!$D$6488:$D$6532,B437,GL!$H$6488:$H$6532)</f>
        <v>0</v>
      </c>
      <c r="Q437" s="341">
        <f>SUMIF(GL!$D$6408:$D$6452,B437,GL!$I$6408:$I$6452)</f>
        <v>0</v>
      </c>
      <c r="R437" s="341">
        <f t="shared" ref="R437:S437" si="469">P437+N437</f>
        <v>0</v>
      </c>
      <c r="S437" s="341">
        <f t="shared" si="469"/>
        <v>0</v>
      </c>
      <c r="T437" s="340"/>
      <c r="U437" s="340"/>
      <c r="V437" s="340"/>
      <c r="W437" s="340"/>
      <c r="X437" s="341">
        <f t="shared" si="325"/>
        <v>0</v>
      </c>
      <c r="Y437" s="341">
        <f t="shared" si="326"/>
        <v>0</v>
      </c>
      <c r="Z437" s="246"/>
      <c r="AA437" s="330"/>
      <c r="AB437" s="332"/>
      <c r="AC437" s="332"/>
      <c r="AD437" s="110"/>
      <c r="AE437" s="110"/>
      <c r="AF437" s="110"/>
      <c r="AG437" s="110"/>
      <c r="AH437" s="110"/>
      <c r="AI437" s="110"/>
    </row>
    <row r="438" spans="1:35" ht="13.5" customHeight="1">
      <c r="A438" s="4"/>
      <c r="B438" s="15" t="s">
        <v>4578</v>
      </c>
      <c r="C438" s="363" t="s">
        <v>4579</v>
      </c>
      <c r="D438" s="254">
        <f>SUMIF(GL!$D$5:$D$6505,B438,GL!$G$5:$G$6505)</f>
        <v>0</v>
      </c>
      <c r="E438" s="341">
        <f>SUMIF(GL!$D$6:$D$6487,B438,GL!$H$6:$H$6487)</f>
        <v>0</v>
      </c>
      <c r="F438" s="341">
        <f>SUMIF(GL!$D$6:$D$6487,B438,GL!$I$6:$I$6487)</f>
        <v>0</v>
      </c>
      <c r="G438" s="341"/>
      <c r="H438" s="341"/>
      <c r="I438" s="341">
        <f t="shared" si="365"/>
        <v>0</v>
      </c>
      <c r="J438" s="341">
        <f t="shared" si="366"/>
        <v>0</v>
      </c>
      <c r="K438" s="341"/>
      <c r="L438" s="342"/>
      <c r="M438" s="342"/>
      <c r="N438" s="341">
        <f t="shared" si="322"/>
        <v>0</v>
      </c>
      <c r="O438" s="341">
        <f t="shared" si="323"/>
        <v>0</v>
      </c>
      <c r="P438" s="341">
        <f>SUMIF(GL!$D$6488:$D$6532,B438,GL!$H$6488:$H$6532)</f>
        <v>0</v>
      </c>
      <c r="Q438" s="341">
        <f>SUMIF(GL!$D$6408:$D$6452,B438,GL!$I$6408:$I$6452)</f>
        <v>0</v>
      </c>
      <c r="R438" s="341">
        <f t="shared" ref="R438:S438" si="470">P438+N438</f>
        <v>0</v>
      </c>
      <c r="S438" s="341">
        <f t="shared" si="470"/>
        <v>0</v>
      </c>
      <c r="T438" s="340"/>
      <c r="U438" s="340"/>
      <c r="V438" s="340"/>
      <c r="W438" s="340"/>
      <c r="X438" s="341">
        <f t="shared" si="325"/>
        <v>0</v>
      </c>
      <c r="Y438" s="341">
        <f t="shared" si="326"/>
        <v>0</v>
      </c>
      <c r="Z438" s="246"/>
      <c r="AA438" s="330"/>
      <c r="AB438" s="332"/>
      <c r="AC438" s="332"/>
      <c r="AD438" s="110"/>
      <c r="AE438" s="110"/>
      <c r="AF438" s="110"/>
      <c r="AG438" s="110"/>
      <c r="AH438" s="110"/>
      <c r="AI438" s="110"/>
    </row>
    <row r="439" spans="1:35" ht="13.5" customHeight="1">
      <c r="A439" s="4"/>
      <c r="B439" s="15" t="s">
        <v>4580</v>
      </c>
      <c r="C439" s="363" t="s">
        <v>4581</v>
      </c>
      <c r="D439" s="254">
        <f>SUMIF(GL!$D$5:$D$6505,B439,GL!$G$5:$G$6505)</f>
        <v>0</v>
      </c>
      <c r="E439" s="341">
        <f>SUMIF(GL!$D$6:$D$6487,B439,GL!$H$6:$H$6487)</f>
        <v>0</v>
      </c>
      <c r="F439" s="341">
        <f>SUMIF(GL!$D$6:$D$6487,B439,GL!$I$6:$I$6487)</f>
        <v>0</v>
      </c>
      <c r="G439" s="341"/>
      <c r="H439" s="341"/>
      <c r="I439" s="341">
        <f t="shared" si="365"/>
        <v>0</v>
      </c>
      <c r="J439" s="341">
        <f t="shared" si="366"/>
        <v>0</v>
      </c>
      <c r="K439" s="341"/>
      <c r="L439" s="342"/>
      <c r="M439" s="342"/>
      <c r="N439" s="341">
        <f t="shared" si="322"/>
        <v>0</v>
      </c>
      <c r="O439" s="341">
        <f t="shared" si="323"/>
        <v>0</v>
      </c>
      <c r="P439" s="341">
        <f>SUMIF(GL!$D$6488:$D$6532,B439,GL!$H$6488:$H$6532)</f>
        <v>0</v>
      </c>
      <c r="Q439" s="341">
        <f>SUMIF(GL!$D$6408:$D$6452,B439,GL!$I$6408:$I$6452)</f>
        <v>0</v>
      </c>
      <c r="R439" s="341">
        <f t="shared" ref="R439:S439" si="471">P439+N439</f>
        <v>0</v>
      </c>
      <c r="S439" s="341">
        <f t="shared" si="471"/>
        <v>0</v>
      </c>
      <c r="T439" s="340"/>
      <c r="U439" s="340"/>
      <c r="V439" s="340"/>
      <c r="W439" s="340"/>
      <c r="X439" s="341">
        <f t="shared" si="325"/>
        <v>0</v>
      </c>
      <c r="Y439" s="341">
        <f t="shared" si="326"/>
        <v>0</v>
      </c>
      <c r="Z439" s="246"/>
      <c r="AA439" s="330"/>
      <c r="AB439" s="332"/>
      <c r="AC439" s="332"/>
      <c r="AD439" s="110"/>
      <c r="AE439" s="110"/>
      <c r="AF439" s="110"/>
      <c r="AG439" s="110"/>
      <c r="AH439" s="110"/>
      <c r="AI439" s="110"/>
    </row>
    <row r="440" spans="1:35" ht="13.5" customHeight="1">
      <c r="A440" s="4"/>
      <c r="B440" s="15" t="s">
        <v>4582</v>
      </c>
      <c r="C440" s="363" t="s">
        <v>4583</v>
      </c>
      <c r="D440" s="254">
        <f>SUMIF(GL!$D$5:$D$6505,B440,GL!$G$5:$G$6505)</f>
        <v>0</v>
      </c>
      <c r="E440" s="341">
        <f>SUMIF(GL!$D$6:$D$6487,B440,GL!$H$6:$H$6487)</f>
        <v>0</v>
      </c>
      <c r="F440" s="341">
        <f>SUMIF(GL!$D$6:$D$6487,B440,GL!$I$6:$I$6487)</f>
        <v>0</v>
      </c>
      <c r="G440" s="341"/>
      <c r="H440" s="341"/>
      <c r="I440" s="341">
        <f t="shared" si="365"/>
        <v>0</v>
      </c>
      <c r="J440" s="341">
        <f t="shared" si="366"/>
        <v>0</v>
      </c>
      <c r="K440" s="341"/>
      <c r="L440" s="342"/>
      <c r="M440" s="342"/>
      <c r="N440" s="341">
        <f t="shared" si="322"/>
        <v>0</v>
      </c>
      <c r="O440" s="341">
        <f t="shared" si="323"/>
        <v>0</v>
      </c>
      <c r="P440" s="341">
        <f>SUMIF(GL!$D$6488:$D$6532,B440,GL!$H$6488:$H$6532)</f>
        <v>0</v>
      </c>
      <c r="Q440" s="341">
        <f>SUMIF(GL!$D$6408:$D$6452,B440,GL!$I$6408:$I$6452)</f>
        <v>0</v>
      </c>
      <c r="R440" s="341">
        <f t="shared" ref="R440:S440" si="472">P440+N440</f>
        <v>0</v>
      </c>
      <c r="S440" s="341">
        <f t="shared" si="472"/>
        <v>0</v>
      </c>
      <c r="T440" s="340"/>
      <c r="U440" s="340"/>
      <c r="V440" s="340"/>
      <c r="W440" s="340"/>
      <c r="X440" s="341">
        <f t="shared" si="325"/>
        <v>0</v>
      </c>
      <c r="Y440" s="341">
        <f t="shared" si="326"/>
        <v>0</v>
      </c>
      <c r="Z440" s="246"/>
      <c r="AA440" s="330"/>
      <c r="AB440" s="332"/>
      <c r="AC440" s="332"/>
      <c r="AD440" s="110"/>
      <c r="AE440" s="110"/>
      <c r="AF440" s="110"/>
      <c r="AG440" s="110"/>
      <c r="AH440" s="110"/>
      <c r="AI440" s="110"/>
    </row>
    <row r="441" spans="1:35" ht="13.5" customHeight="1">
      <c r="A441" s="4"/>
      <c r="B441" s="15"/>
      <c r="C441" s="363"/>
      <c r="D441" s="254">
        <f>SUMIF(GL!$D$5:$D$6505,B441,GL!$G$5:$G$6505)</f>
        <v>0</v>
      </c>
      <c r="E441" s="341">
        <f>SUMIF(GL!$D$6:$D$6487,B441,GL!$H$6:$H$6487)</f>
        <v>0</v>
      </c>
      <c r="F441" s="341">
        <f>SUMIF(GL!$D$6:$D$6487,B441,GL!$I$6:$I$6487)</f>
        <v>0</v>
      </c>
      <c r="G441" s="341"/>
      <c r="H441" s="341"/>
      <c r="I441" s="341">
        <f t="shared" si="365"/>
        <v>0</v>
      </c>
      <c r="J441" s="341">
        <f t="shared" si="366"/>
        <v>0</v>
      </c>
      <c r="K441" s="341"/>
      <c r="L441" s="342"/>
      <c r="M441" s="342"/>
      <c r="N441" s="341">
        <f t="shared" si="322"/>
        <v>0</v>
      </c>
      <c r="O441" s="341">
        <f t="shared" si="323"/>
        <v>0</v>
      </c>
      <c r="P441" s="341">
        <f>SUMIF(GL!$D$6488:$D$6532,B441,GL!$H$6488:$H$6532)</f>
        <v>0</v>
      </c>
      <c r="Q441" s="341">
        <f>SUMIF(GL!$D$6408:$D$6452,B441,GL!$I$6408:$I$6452)</f>
        <v>0</v>
      </c>
      <c r="R441" s="341">
        <f t="shared" ref="R441:S441" si="473">P441+N441</f>
        <v>0</v>
      </c>
      <c r="S441" s="341">
        <f t="shared" si="473"/>
        <v>0</v>
      </c>
      <c r="T441" s="340"/>
      <c r="U441" s="340"/>
      <c r="V441" s="340"/>
      <c r="W441" s="340"/>
      <c r="X441" s="341">
        <f t="shared" si="325"/>
        <v>0</v>
      </c>
      <c r="Y441" s="341">
        <f t="shared" si="326"/>
        <v>0</v>
      </c>
      <c r="Z441" s="246"/>
      <c r="AA441" s="330"/>
      <c r="AB441" s="332"/>
      <c r="AC441" s="332"/>
      <c r="AD441" s="110"/>
      <c r="AE441" s="110"/>
      <c r="AF441" s="110"/>
      <c r="AG441" s="110"/>
      <c r="AH441" s="110"/>
      <c r="AI441" s="110"/>
    </row>
    <row r="442" spans="1:35" ht="13.5" customHeight="1">
      <c r="A442" s="4"/>
      <c r="B442" s="15"/>
      <c r="C442" s="363" t="s">
        <v>2630</v>
      </c>
      <c r="D442" s="254">
        <f>SUMIF(GL!$D$5:$D$6505,B442,GL!$G$5:$G$6505)</f>
        <v>0</v>
      </c>
      <c r="E442" s="341">
        <f>SUMIF(GL!$D$6:$D$6487,B442,GL!$H$6:$H$6487)</f>
        <v>0</v>
      </c>
      <c r="F442" s="341">
        <f>SUMIF(GL!$D$6:$D$6487,B442,GL!$I$6:$I$6487)</f>
        <v>0</v>
      </c>
      <c r="G442" s="341"/>
      <c r="H442" s="341"/>
      <c r="I442" s="341">
        <f t="shared" si="365"/>
        <v>0</v>
      </c>
      <c r="J442" s="341">
        <f t="shared" si="366"/>
        <v>0</v>
      </c>
      <c r="K442" s="341"/>
      <c r="L442" s="342"/>
      <c r="M442" s="342"/>
      <c r="N442" s="341">
        <f t="shared" si="322"/>
        <v>0</v>
      </c>
      <c r="O442" s="341">
        <f t="shared" si="323"/>
        <v>0</v>
      </c>
      <c r="P442" s="341">
        <f>SUMIF(GL!$D$6488:$D$6532,B442,GL!$H$6488:$H$6532)</f>
        <v>0</v>
      </c>
      <c r="Q442" s="341">
        <f>SUMIF(GL!$D$6408:$D$6452,B442,GL!$I$6408:$I$6452)</f>
        <v>0</v>
      </c>
      <c r="R442" s="341">
        <f t="shared" ref="R442:S442" si="474">P442+N442</f>
        <v>0</v>
      </c>
      <c r="S442" s="341">
        <f t="shared" si="474"/>
        <v>0</v>
      </c>
      <c r="T442" s="340"/>
      <c r="U442" s="340"/>
      <c r="V442" s="340"/>
      <c r="W442" s="340"/>
      <c r="X442" s="341">
        <f t="shared" si="325"/>
        <v>0</v>
      </c>
      <c r="Y442" s="341">
        <f t="shared" si="326"/>
        <v>0</v>
      </c>
      <c r="Z442" s="246"/>
      <c r="AA442" s="330"/>
      <c r="AB442" s="332"/>
      <c r="AC442" s="332"/>
      <c r="AD442" s="110"/>
      <c r="AE442" s="110"/>
      <c r="AF442" s="110"/>
      <c r="AG442" s="110"/>
      <c r="AH442" s="110"/>
      <c r="AI442" s="110"/>
    </row>
    <row r="443" spans="1:35" ht="13.5" customHeight="1">
      <c r="A443" s="4"/>
      <c r="B443" s="15"/>
      <c r="C443" s="363" t="s">
        <v>2630</v>
      </c>
      <c r="D443" s="254">
        <f>SUMIF(GL!$D$5:$D$6505,B443,GL!$G$5:$G$6505)</f>
        <v>0</v>
      </c>
      <c r="E443" s="341">
        <f>SUMIF(GL!$D$6:$D$6487,B443,GL!$H$6:$H$6487)</f>
        <v>0</v>
      </c>
      <c r="F443" s="341">
        <f>SUMIF(GL!$D$6:$D$6487,B443,GL!$I$6:$I$6487)</f>
        <v>0</v>
      </c>
      <c r="G443" s="341"/>
      <c r="H443" s="341"/>
      <c r="I443" s="341">
        <f t="shared" si="365"/>
        <v>0</v>
      </c>
      <c r="J443" s="341">
        <f t="shared" si="366"/>
        <v>0</v>
      </c>
      <c r="K443" s="341"/>
      <c r="L443" s="342"/>
      <c r="M443" s="342"/>
      <c r="N443" s="341">
        <f t="shared" si="322"/>
        <v>0</v>
      </c>
      <c r="O443" s="341">
        <f t="shared" si="323"/>
        <v>0</v>
      </c>
      <c r="P443" s="341">
        <f>SUMIF(GL!$D$6488:$D$6532,B443,GL!$H$6488:$H$6532)</f>
        <v>0</v>
      </c>
      <c r="Q443" s="341">
        <f>SUMIF(GL!$D$6408:$D$6452,B443,GL!$I$6408:$I$6452)</f>
        <v>0</v>
      </c>
      <c r="R443" s="341">
        <f t="shared" ref="R443:S443" si="475">P443+N443</f>
        <v>0</v>
      </c>
      <c r="S443" s="341">
        <f t="shared" si="475"/>
        <v>0</v>
      </c>
      <c r="T443" s="340"/>
      <c r="U443" s="340"/>
      <c r="V443" s="340"/>
      <c r="W443" s="340"/>
      <c r="X443" s="341">
        <f t="shared" si="325"/>
        <v>0</v>
      </c>
      <c r="Y443" s="341">
        <f t="shared" si="326"/>
        <v>0</v>
      </c>
      <c r="Z443" s="246"/>
      <c r="AA443" s="330"/>
      <c r="AB443" s="332"/>
      <c r="AC443" s="332"/>
      <c r="AD443" s="110"/>
      <c r="AE443" s="110"/>
      <c r="AF443" s="110"/>
      <c r="AG443" s="110"/>
      <c r="AH443" s="110"/>
      <c r="AI443" s="110"/>
    </row>
    <row r="444" spans="1:35" ht="13.5" customHeight="1">
      <c r="A444" s="4"/>
      <c r="B444" s="15"/>
      <c r="C444" s="262"/>
      <c r="D444" s="254"/>
      <c r="E444" s="341">
        <f>SUMIF(GL!$D$6:$D$6487,B444,GL!$H$6:$H$6487)</f>
        <v>0</v>
      </c>
      <c r="F444" s="341">
        <f>SUMIF(GL!$D$6:$D$6487,B444,GL!$I$6:$I$6487)</f>
        <v>0</v>
      </c>
      <c r="G444" s="341"/>
      <c r="H444" s="341"/>
      <c r="I444" s="341">
        <f t="shared" si="365"/>
        <v>0</v>
      </c>
      <c r="J444" s="341">
        <f t="shared" si="366"/>
        <v>0</v>
      </c>
      <c r="K444" s="341"/>
      <c r="L444" s="341"/>
      <c r="M444" s="341"/>
      <c r="N444" s="341">
        <f t="shared" si="322"/>
        <v>0</v>
      </c>
      <c r="O444" s="341">
        <f t="shared" si="323"/>
        <v>0</v>
      </c>
      <c r="P444" s="341">
        <f>SUMIF(GL!$D$6488:$D$6532,B444,GL!$H$6488:$H$6532)</f>
        <v>0</v>
      </c>
      <c r="Q444" s="341">
        <f>SUMIF(GL!$D$6408:$D$6452,B444,GL!$I$6408:$I$6452)</f>
        <v>0</v>
      </c>
      <c r="R444" s="341">
        <f t="shared" ref="R444:S444" si="476">P444+N444</f>
        <v>0</v>
      </c>
      <c r="S444" s="341">
        <f t="shared" si="476"/>
        <v>0</v>
      </c>
      <c r="T444" s="340"/>
      <c r="U444" s="340"/>
      <c r="V444" s="340"/>
      <c r="W444" s="340"/>
      <c r="X444" s="341">
        <f t="shared" si="325"/>
        <v>0</v>
      </c>
      <c r="Y444" s="341">
        <f t="shared" si="326"/>
        <v>0</v>
      </c>
      <c r="Z444" s="246"/>
      <c r="AA444" s="110"/>
      <c r="AB444" s="332"/>
      <c r="AC444" s="332"/>
      <c r="AD444" s="110"/>
      <c r="AE444" s="110"/>
      <c r="AF444" s="110"/>
      <c r="AG444" s="110"/>
      <c r="AH444" s="110"/>
      <c r="AI444" s="110"/>
    </row>
    <row r="445" spans="1:35" ht="13.5" customHeight="1">
      <c r="A445" s="4"/>
      <c r="B445" s="15"/>
      <c r="C445" s="261" t="s">
        <v>3831</v>
      </c>
      <c r="D445" s="254">
        <f>SUMIF(GL!$D$5:$D$6505,B445,GL!$G$5:$G$6505)</f>
        <v>0</v>
      </c>
      <c r="E445" s="341">
        <f>SUMIF(GL!$D$6:$D$6487,B445,GL!$H$6:$H$6487)</f>
        <v>0</v>
      </c>
      <c r="F445" s="341">
        <f>SUMIF(GL!$D$6:$D$6487,B445,GL!$I$6:$I$6487)</f>
        <v>0</v>
      </c>
      <c r="G445" s="341"/>
      <c r="H445" s="341"/>
      <c r="I445" s="341">
        <f t="shared" si="365"/>
        <v>0</v>
      </c>
      <c r="J445" s="341">
        <f t="shared" si="366"/>
        <v>0</v>
      </c>
      <c r="K445" s="341"/>
      <c r="L445" s="342"/>
      <c r="M445" s="342"/>
      <c r="N445" s="341">
        <f t="shared" si="322"/>
        <v>0</v>
      </c>
      <c r="O445" s="341">
        <f t="shared" si="323"/>
        <v>0</v>
      </c>
      <c r="P445" s="341">
        <f>SUMIF(GL!$D$6488:$D$6532,B445,GL!$H$6488:$H$6532)</f>
        <v>0</v>
      </c>
      <c r="Q445" s="341">
        <f>SUMIF(GL!$D$6408:$D$6452,B445,GL!$I$6408:$I$6452)</f>
        <v>0</v>
      </c>
      <c r="R445" s="341">
        <f t="shared" ref="R445:S445" si="477">P445+N445</f>
        <v>0</v>
      </c>
      <c r="S445" s="341">
        <f t="shared" si="477"/>
        <v>0</v>
      </c>
      <c r="T445" s="340"/>
      <c r="U445" s="340"/>
      <c r="V445" s="340"/>
      <c r="W445" s="340"/>
      <c r="X445" s="341">
        <f t="shared" si="325"/>
        <v>0</v>
      </c>
      <c r="Y445" s="341">
        <f t="shared" si="326"/>
        <v>0</v>
      </c>
      <c r="Z445" s="246"/>
      <c r="AA445" s="110"/>
      <c r="AB445" s="332"/>
      <c r="AC445" s="332"/>
      <c r="AD445" s="110"/>
      <c r="AE445" s="110"/>
      <c r="AF445" s="110"/>
      <c r="AG445" s="110"/>
      <c r="AH445" s="110"/>
      <c r="AI445" s="110"/>
    </row>
    <row r="446" spans="1:35" ht="13.5" customHeight="1">
      <c r="A446" s="4"/>
      <c r="B446" s="15" t="s">
        <v>4584</v>
      </c>
      <c r="C446" s="363" t="s">
        <v>4585</v>
      </c>
      <c r="D446" s="254">
        <f>SUMIF(GL!$D$5:$D$6505,B446,GL!$G$5:$G$6505)</f>
        <v>0</v>
      </c>
      <c r="E446" s="341">
        <f>SUMIF(GL!$D$6:$D$6487,B446,GL!$H$6:$H$6487)</f>
        <v>0</v>
      </c>
      <c r="F446" s="341">
        <f>SUMIF(GL!$D$6:$D$6487,B446,GL!$I$6:$I$6487)</f>
        <v>0</v>
      </c>
      <c r="G446" s="341"/>
      <c r="H446" s="341"/>
      <c r="I446" s="341">
        <f t="shared" si="365"/>
        <v>0</v>
      </c>
      <c r="J446" s="341">
        <f t="shared" si="366"/>
        <v>0</v>
      </c>
      <c r="K446" s="341"/>
      <c r="L446" s="342"/>
      <c r="M446" s="342"/>
      <c r="N446" s="341">
        <f t="shared" si="322"/>
        <v>0</v>
      </c>
      <c r="O446" s="341">
        <f t="shared" si="323"/>
        <v>0</v>
      </c>
      <c r="P446" s="341">
        <f>SUMIF(GL!$D$6488:$D$6532,B446,GL!$H$6488:$H$6532)</f>
        <v>0</v>
      </c>
      <c r="Q446" s="341">
        <f>SUMIF(GL!$D$6408:$D$6452,B446,GL!$I$6408:$I$6452)</f>
        <v>0</v>
      </c>
      <c r="R446" s="341">
        <f t="shared" ref="R446:S446" si="478">P446+N446</f>
        <v>0</v>
      </c>
      <c r="S446" s="341">
        <f t="shared" si="478"/>
        <v>0</v>
      </c>
      <c r="T446" s="340"/>
      <c r="U446" s="340"/>
      <c r="V446" s="340"/>
      <c r="W446" s="340"/>
      <c r="X446" s="341">
        <f t="shared" si="325"/>
        <v>0</v>
      </c>
      <c r="Y446" s="341">
        <f t="shared" si="326"/>
        <v>0</v>
      </c>
      <c r="Z446" s="246"/>
      <c r="AA446" s="330"/>
      <c r="AB446" s="332"/>
      <c r="AC446" s="332"/>
      <c r="AD446" s="110"/>
      <c r="AE446" s="110"/>
      <c r="AF446" s="110"/>
      <c r="AG446" s="110"/>
      <c r="AH446" s="110"/>
      <c r="AI446" s="110"/>
    </row>
    <row r="447" spans="1:35" ht="13.5" customHeight="1">
      <c r="A447" s="4"/>
      <c r="B447" s="15" t="s">
        <v>4586</v>
      </c>
      <c r="C447" s="363" t="s">
        <v>4587</v>
      </c>
      <c r="D447" s="254">
        <f>SUMIF(GL!$D$5:$D$6505,B447,GL!$G$5:$G$6505)</f>
        <v>0</v>
      </c>
      <c r="E447" s="341">
        <f>SUMIF(GL!$D$6:$D$6487,B447,GL!$H$6:$H$6487)</f>
        <v>0</v>
      </c>
      <c r="F447" s="341">
        <f>SUMIF(GL!$D$6:$D$6487,B447,GL!$I$6:$I$6487)</f>
        <v>0</v>
      </c>
      <c r="G447" s="341"/>
      <c r="H447" s="341"/>
      <c r="I447" s="341">
        <f t="shared" si="365"/>
        <v>0</v>
      </c>
      <c r="J447" s="341">
        <f t="shared" si="366"/>
        <v>0</v>
      </c>
      <c r="K447" s="341"/>
      <c r="L447" s="342"/>
      <c r="M447" s="342"/>
      <c r="N447" s="341">
        <f t="shared" si="322"/>
        <v>0</v>
      </c>
      <c r="O447" s="341">
        <f t="shared" si="323"/>
        <v>0</v>
      </c>
      <c r="P447" s="341">
        <f>SUMIF(GL!$D$6488:$D$6532,B447,GL!$H$6488:$H$6532)</f>
        <v>0</v>
      </c>
      <c r="Q447" s="341">
        <f>SUMIF(GL!$D$6408:$D$6452,B447,GL!$I$6408:$I$6452)</f>
        <v>0</v>
      </c>
      <c r="R447" s="341">
        <f t="shared" ref="R447:S447" si="479">P447+N447</f>
        <v>0</v>
      </c>
      <c r="S447" s="341">
        <f t="shared" si="479"/>
        <v>0</v>
      </c>
      <c r="T447" s="340"/>
      <c r="U447" s="340"/>
      <c r="V447" s="340"/>
      <c r="W447" s="340"/>
      <c r="X447" s="341">
        <f t="shared" si="325"/>
        <v>0</v>
      </c>
      <c r="Y447" s="341">
        <f t="shared" si="326"/>
        <v>0</v>
      </c>
      <c r="Z447" s="364"/>
      <c r="AA447" s="330"/>
      <c r="AB447" s="332"/>
      <c r="AC447" s="332"/>
      <c r="AD447" s="110"/>
      <c r="AE447" s="110"/>
      <c r="AF447" s="110"/>
      <c r="AG447" s="110"/>
      <c r="AH447" s="110"/>
      <c r="AI447" s="110"/>
    </row>
    <row r="448" spans="1:35" ht="13.5" customHeight="1">
      <c r="A448" s="4"/>
      <c r="B448" s="15" t="s">
        <v>4588</v>
      </c>
      <c r="C448" s="363" t="s">
        <v>4589</v>
      </c>
      <c r="D448" s="254">
        <f>SUMIF(GL!$D$5:$D$6505,B448,GL!$G$5:$G$6505)</f>
        <v>0</v>
      </c>
      <c r="E448" s="341">
        <f>SUMIF(GL!$D$6:$D$6487,B448,GL!$H$6:$H$6487)</f>
        <v>0</v>
      </c>
      <c r="F448" s="341">
        <f>SUMIF(GL!$D$6:$D$6487,B448,GL!$I$6:$I$6487)</f>
        <v>0</v>
      </c>
      <c r="G448" s="341"/>
      <c r="H448" s="341"/>
      <c r="I448" s="341">
        <f t="shared" si="365"/>
        <v>0</v>
      </c>
      <c r="J448" s="341">
        <f t="shared" si="366"/>
        <v>0</v>
      </c>
      <c r="K448" s="341"/>
      <c r="L448" s="342"/>
      <c r="M448" s="342"/>
      <c r="N448" s="341">
        <f t="shared" si="322"/>
        <v>0</v>
      </c>
      <c r="O448" s="341">
        <f t="shared" si="323"/>
        <v>0</v>
      </c>
      <c r="P448" s="341">
        <f>SUMIF(GL!$D$6488:$D$6532,B448,GL!$H$6488:$H$6532)</f>
        <v>0</v>
      </c>
      <c r="Q448" s="341">
        <f>SUMIF(GL!$D$6408:$D$6452,B448,GL!$I$6408:$I$6452)</f>
        <v>0</v>
      </c>
      <c r="R448" s="341">
        <f t="shared" ref="R448:S448" si="480">P448+N448</f>
        <v>0</v>
      </c>
      <c r="S448" s="341">
        <f t="shared" si="480"/>
        <v>0</v>
      </c>
      <c r="T448" s="340"/>
      <c r="U448" s="340"/>
      <c r="V448" s="340"/>
      <c r="W448" s="340"/>
      <c r="X448" s="341">
        <f t="shared" si="325"/>
        <v>0</v>
      </c>
      <c r="Y448" s="341">
        <f t="shared" si="326"/>
        <v>0</v>
      </c>
      <c r="Z448" s="364"/>
      <c r="AA448" s="330"/>
      <c r="AB448" s="332"/>
      <c r="AC448" s="332"/>
      <c r="AD448" s="110"/>
      <c r="AE448" s="110"/>
      <c r="AF448" s="110"/>
      <c r="AG448" s="110"/>
      <c r="AH448" s="110"/>
      <c r="AI448" s="110"/>
    </row>
    <row r="449" spans="1:35" ht="13.5" customHeight="1">
      <c r="A449" s="4"/>
      <c r="B449" s="15" t="s">
        <v>2741</v>
      </c>
      <c r="C449" s="363" t="s">
        <v>4590</v>
      </c>
      <c r="D449" s="254">
        <f>SUMIF(GL!$D$5:$D$6505,B449,GL!$G$5:$G$6505)</f>
        <v>13</v>
      </c>
      <c r="E449" s="341">
        <f>SUMIF(GL!$D$6:$D$6487,B449,GL!$H$6:$H$6487)</f>
        <v>3900000</v>
      </c>
      <c r="F449" s="341">
        <f>SUMIF(GL!$D$6:$D$6487,B449,GL!$I$6:$I$6487)</f>
        <v>0</v>
      </c>
      <c r="G449" s="341"/>
      <c r="H449" s="341"/>
      <c r="I449" s="341">
        <f t="shared" si="365"/>
        <v>3900000</v>
      </c>
      <c r="J449" s="341">
        <f t="shared" si="366"/>
        <v>0</v>
      </c>
      <c r="K449" s="341"/>
      <c r="L449" s="342"/>
      <c r="M449" s="342"/>
      <c r="N449" s="341">
        <f t="shared" si="322"/>
        <v>3900000</v>
      </c>
      <c r="O449" s="341">
        <f t="shared" si="323"/>
        <v>0</v>
      </c>
      <c r="P449" s="341">
        <f>SUMIF(GL!$D$6488:$D$6532,B449,GL!$H$6488:$H$6532)</f>
        <v>0</v>
      </c>
      <c r="Q449" s="341">
        <f>SUMIF(GL!$D$6408:$D$6452,B449,GL!$I$6408:$I$6452)</f>
        <v>0</v>
      </c>
      <c r="R449" s="341">
        <f t="shared" ref="R449:S449" si="481">P449+N449</f>
        <v>3900000</v>
      </c>
      <c r="S449" s="341">
        <f t="shared" si="481"/>
        <v>0</v>
      </c>
      <c r="T449" s="340"/>
      <c r="U449" s="340"/>
      <c r="V449" s="340"/>
      <c r="W449" s="340"/>
      <c r="X449" s="341">
        <f t="shared" si="325"/>
        <v>3900000</v>
      </c>
      <c r="Y449" s="341">
        <f t="shared" si="326"/>
        <v>0</v>
      </c>
      <c r="Z449" s="364"/>
      <c r="AA449" s="330"/>
      <c r="AB449" s="332"/>
      <c r="AC449" s="332"/>
      <c r="AD449" s="110"/>
      <c r="AE449" s="110"/>
      <c r="AF449" s="110"/>
      <c r="AG449" s="110"/>
      <c r="AH449" s="110"/>
      <c r="AI449" s="110"/>
    </row>
    <row r="450" spans="1:35" ht="13.5" customHeight="1">
      <c r="A450" s="4"/>
      <c r="B450" s="15" t="s">
        <v>2858</v>
      </c>
      <c r="C450" s="363" t="s">
        <v>4591</v>
      </c>
      <c r="D450" s="254">
        <f>SUMIF(GL!$D$5:$D$6505,B450,GL!$G$5:$G$6505)</f>
        <v>60</v>
      </c>
      <c r="E450" s="341">
        <f>SUMIF(GL!$D$6:$D$6487,B450,GL!$H$6:$H$6487)</f>
        <v>32940000</v>
      </c>
      <c r="F450" s="341">
        <f>SUMIF(GL!$D$6:$D$6487,B450,GL!$I$6:$I$6487)</f>
        <v>0</v>
      </c>
      <c r="G450" s="341"/>
      <c r="H450" s="341"/>
      <c r="I450" s="341">
        <f t="shared" si="365"/>
        <v>32940000</v>
      </c>
      <c r="J450" s="341">
        <f t="shared" si="366"/>
        <v>0</v>
      </c>
      <c r="K450" s="341"/>
      <c r="L450" s="342"/>
      <c r="M450" s="342"/>
      <c r="N450" s="341">
        <f t="shared" si="322"/>
        <v>32940000</v>
      </c>
      <c r="O450" s="341">
        <f t="shared" si="323"/>
        <v>0</v>
      </c>
      <c r="P450" s="341">
        <f>SUMIF(GL!$D$6488:$D$6532,B450,GL!$H$6488:$H$6532)</f>
        <v>0</v>
      </c>
      <c r="Q450" s="341">
        <f>SUMIF(GL!$D$6408:$D$6452,B450,GL!$I$6408:$I$6452)</f>
        <v>0</v>
      </c>
      <c r="R450" s="341">
        <f t="shared" ref="R450:S450" si="482">P450+N450</f>
        <v>32940000</v>
      </c>
      <c r="S450" s="341">
        <f t="shared" si="482"/>
        <v>0</v>
      </c>
      <c r="T450" s="340"/>
      <c r="U450" s="340"/>
      <c r="V450" s="340"/>
      <c r="W450" s="340"/>
      <c r="X450" s="341">
        <f t="shared" si="325"/>
        <v>32940000</v>
      </c>
      <c r="Y450" s="341">
        <f t="shared" si="326"/>
        <v>0</v>
      </c>
      <c r="Z450" s="364"/>
      <c r="AA450" s="330"/>
      <c r="AB450" s="332"/>
      <c r="AC450" s="332"/>
      <c r="AD450" s="110"/>
      <c r="AE450" s="110"/>
      <c r="AF450" s="110"/>
      <c r="AG450" s="110"/>
      <c r="AH450" s="110"/>
      <c r="AI450" s="110"/>
    </row>
    <row r="451" spans="1:35" ht="13.5" customHeight="1">
      <c r="A451" s="4"/>
      <c r="B451" s="15" t="s">
        <v>2581</v>
      </c>
      <c r="C451" s="363" t="s">
        <v>4592</v>
      </c>
      <c r="D451" s="254">
        <f>SUMIF(GL!$D$5:$D$6505,B451,GL!$G$5:$G$6505)</f>
        <v>30</v>
      </c>
      <c r="E451" s="341">
        <f>SUMIF(GL!$D$6:$D$6487,B451,GL!$H$6:$H$6487)</f>
        <v>17676000</v>
      </c>
      <c r="F451" s="341">
        <f>SUMIF(GL!$D$6:$D$6487,B451,GL!$I$6:$I$6487)</f>
        <v>0</v>
      </c>
      <c r="G451" s="341"/>
      <c r="H451" s="341"/>
      <c r="I451" s="341">
        <f t="shared" si="365"/>
        <v>17676000</v>
      </c>
      <c r="J451" s="341">
        <f t="shared" si="366"/>
        <v>0</v>
      </c>
      <c r="K451" s="341"/>
      <c r="L451" s="342"/>
      <c r="M451" s="342"/>
      <c r="N451" s="341">
        <f t="shared" si="322"/>
        <v>17676000</v>
      </c>
      <c r="O451" s="341">
        <f t="shared" si="323"/>
        <v>0</v>
      </c>
      <c r="P451" s="341">
        <f>SUMIF(GL!$D$6488:$D$6532,B451,GL!$H$6488:$H$6532)</f>
        <v>0</v>
      </c>
      <c r="Q451" s="341">
        <f>SUMIF(GL!$D$6408:$D$6452,B451,GL!$I$6408:$I$6452)</f>
        <v>0</v>
      </c>
      <c r="R451" s="341">
        <f t="shared" ref="R451:S451" si="483">P451+N451</f>
        <v>17676000</v>
      </c>
      <c r="S451" s="341">
        <f t="shared" si="483"/>
        <v>0</v>
      </c>
      <c r="T451" s="340"/>
      <c r="U451" s="340"/>
      <c r="V451" s="340"/>
      <c r="W451" s="340"/>
      <c r="X451" s="341">
        <f t="shared" si="325"/>
        <v>17676000</v>
      </c>
      <c r="Y451" s="341">
        <f t="shared" si="326"/>
        <v>0</v>
      </c>
      <c r="Z451" s="364"/>
      <c r="AA451" s="330"/>
      <c r="AB451" s="332"/>
      <c r="AC451" s="332"/>
      <c r="AD451" s="110"/>
      <c r="AE451" s="110"/>
      <c r="AF451" s="110"/>
      <c r="AG451" s="110"/>
      <c r="AH451" s="110"/>
      <c r="AI451" s="110"/>
    </row>
    <row r="452" spans="1:35" ht="13.5" customHeight="1">
      <c r="A452" s="4"/>
      <c r="B452" s="15" t="s">
        <v>4593</v>
      </c>
      <c r="C452" s="363" t="s">
        <v>4594</v>
      </c>
      <c r="D452" s="254">
        <f>SUMIF(GL!$D$5:$D$6505,B452,GL!$G$5:$G$6505)</f>
        <v>0</v>
      </c>
      <c r="E452" s="341">
        <f>SUMIF(GL!$D$6:$D$6487,B452,GL!$H$6:$H$6487)</f>
        <v>0</v>
      </c>
      <c r="F452" s="341">
        <f>SUMIF(GL!$D$6:$D$6487,B452,GL!$I$6:$I$6487)</f>
        <v>0</v>
      </c>
      <c r="G452" s="341"/>
      <c r="H452" s="341"/>
      <c r="I452" s="341">
        <f t="shared" si="365"/>
        <v>0</v>
      </c>
      <c r="J452" s="341">
        <f t="shared" si="366"/>
        <v>0</v>
      </c>
      <c r="K452" s="341"/>
      <c r="L452" s="342"/>
      <c r="M452" s="342"/>
      <c r="N452" s="341">
        <f t="shared" si="322"/>
        <v>0</v>
      </c>
      <c r="O452" s="341">
        <f t="shared" si="323"/>
        <v>0</v>
      </c>
      <c r="P452" s="341">
        <f>SUMIF(GL!$D$6488:$D$6532,B452,GL!$H$6488:$H$6532)</f>
        <v>0</v>
      </c>
      <c r="Q452" s="341">
        <f>SUMIF(GL!$D$6408:$D$6452,B452,GL!$I$6408:$I$6452)</f>
        <v>0</v>
      </c>
      <c r="R452" s="341">
        <f t="shared" ref="R452:S452" si="484">P452+N452</f>
        <v>0</v>
      </c>
      <c r="S452" s="341">
        <f t="shared" si="484"/>
        <v>0</v>
      </c>
      <c r="T452" s="340"/>
      <c r="U452" s="340"/>
      <c r="V452" s="340"/>
      <c r="W452" s="340"/>
      <c r="X452" s="341">
        <f t="shared" si="325"/>
        <v>0</v>
      </c>
      <c r="Y452" s="341">
        <f t="shared" si="326"/>
        <v>0</v>
      </c>
      <c r="Z452" s="364"/>
      <c r="AA452" s="330"/>
      <c r="AB452" s="332"/>
      <c r="AC452" s="332"/>
      <c r="AD452" s="110"/>
      <c r="AE452" s="110"/>
      <c r="AF452" s="110"/>
      <c r="AG452" s="110"/>
      <c r="AH452" s="110"/>
      <c r="AI452" s="110"/>
    </row>
    <row r="453" spans="1:35" ht="13.5" customHeight="1">
      <c r="A453" s="4"/>
      <c r="B453" s="15" t="s">
        <v>4595</v>
      </c>
      <c r="C453" s="363" t="s">
        <v>4596</v>
      </c>
      <c r="D453" s="254">
        <f>SUMIF(GL!$D$5:$D$6505,B453,GL!$G$5:$G$6505)</f>
        <v>0</v>
      </c>
      <c r="E453" s="341">
        <f>SUMIF(GL!$D$6:$D$6487,B453,GL!$H$6:$H$6487)</f>
        <v>0</v>
      </c>
      <c r="F453" s="341">
        <f>SUMIF(GL!$D$6:$D$6487,B453,GL!$I$6:$I$6487)</f>
        <v>0</v>
      </c>
      <c r="G453" s="341"/>
      <c r="H453" s="341"/>
      <c r="I453" s="341">
        <f t="shared" si="365"/>
        <v>0</v>
      </c>
      <c r="J453" s="341">
        <f t="shared" si="366"/>
        <v>0</v>
      </c>
      <c r="K453" s="341"/>
      <c r="L453" s="342"/>
      <c r="M453" s="342"/>
      <c r="N453" s="341">
        <f t="shared" si="322"/>
        <v>0</v>
      </c>
      <c r="O453" s="341">
        <f t="shared" si="323"/>
        <v>0</v>
      </c>
      <c r="P453" s="341">
        <f>SUMIF(GL!$D$6488:$D$6532,B453,GL!$H$6488:$H$6532)</f>
        <v>0</v>
      </c>
      <c r="Q453" s="341">
        <f>SUMIF(GL!$D$6408:$D$6452,B453,GL!$I$6408:$I$6452)</f>
        <v>0</v>
      </c>
      <c r="R453" s="341">
        <f t="shared" ref="R453:S453" si="485">P453+N453</f>
        <v>0</v>
      </c>
      <c r="S453" s="341">
        <f t="shared" si="485"/>
        <v>0</v>
      </c>
      <c r="T453" s="340"/>
      <c r="U453" s="340"/>
      <c r="V453" s="340"/>
      <c r="W453" s="340"/>
      <c r="X453" s="341">
        <f t="shared" si="325"/>
        <v>0</v>
      </c>
      <c r="Y453" s="341">
        <f t="shared" si="326"/>
        <v>0</v>
      </c>
      <c r="Z453" s="364"/>
      <c r="AA453" s="330"/>
      <c r="AB453" s="332"/>
      <c r="AC453" s="332"/>
      <c r="AD453" s="110"/>
      <c r="AE453" s="110"/>
      <c r="AF453" s="110"/>
      <c r="AG453" s="110"/>
      <c r="AH453" s="110"/>
      <c r="AI453" s="110"/>
    </row>
    <row r="454" spans="1:35" ht="13.5" customHeight="1">
      <c r="A454" s="4"/>
      <c r="B454" s="15" t="s">
        <v>4597</v>
      </c>
      <c r="C454" s="363" t="s">
        <v>4598</v>
      </c>
      <c r="D454" s="254">
        <f>SUMIF(GL!$D$5:$D$6505,B454,GL!$G$5:$G$6505)</f>
        <v>0</v>
      </c>
      <c r="E454" s="341">
        <f>SUMIF(GL!$D$6:$D$6487,B454,GL!$H$6:$H$6487)</f>
        <v>0</v>
      </c>
      <c r="F454" s="341">
        <f>SUMIF(GL!$D$6:$D$6487,B454,GL!$I$6:$I$6487)</f>
        <v>0</v>
      </c>
      <c r="G454" s="341"/>
      <c r="H454" s="341"/>
      <c r="I454" s="341">
        <f t="shared" si="365"/>
        <v>0</v>
      </c>
      <c r="J454" s="341">
        <f t="shared" si="366"/>
        <v>0</v>
      </c>
      <c r="K454" s="341"/>
      <c r="L454" s="342"/>
      <c r="M454" s="342"/>
      <c r="N454" s="341">
        <f t="shared" si="322"/>
        <v>0</v>
      </c>
      <c r="O454" s="341">
        <f t="shared" si="323"/>
        <v>0</v>
      </c>
      <c r="P454" s="341">
        <f>SUMIF(GL!$D$6488:$D$6532,B454,GL!$H$6488:$H$6532)</f>
        <v>0</v>
      </c>
      <c r="Q454" s="341">
        <f>SUMIF(GL!$D$6408:$D$6452,B454,GL!$I$6408:$I$6452)</f>
        <v>0</v>
      </c>
      <c r="R454" s="341">
        <f t="shared" ref="R454:S454" si="486">P454+N454</f>
        <v>0</v>
      </c>
      <c r="S454" s="341">
        <f t="shared" si="486"/>
        <v>0</v>
      </c>
      <c r="T454" s="340"/>
      <c r="U454" s="340"/>
      <c r="V454" s="340"/>
      <c r="W454" s="340"/>
      <c r="X454" s="341">
        <f t="shared" si="325"/>
        <v>0</v>
      </c>
      <c r="Y454" s="341">
        <f t="shared" si="326"/>
        <v>0</v>
      </c>
      <c r="Z454" s="364"/>
      <c r="AA454" s="330"/>
      <c r="AB454" s="332"/>
      <c r="AC454" s="332"/>
      <c r="AD454" s="110"/>
      <c r="AE454" s="110"/>
      <c r="AF454" s="110"/>
      <c r="AG454" s="110"/>
      <c r="AH454" s="110"/>
      <c r="AI454" s="110"/>
    </row>
    <row r="455" spans="1:35" ht="13.5" customHeight="1">
      <c r="A455" s="4"/>
      <c r="B455" s="15" t="s">
        <v>2726</v>
      </c>
      <c r="C455" s="363" t="s">
        <v>4599</v>
      </c>
      <c r="D455" s="254">
        <f>SUMIF(GL!$D$5:$D$6505,B455,GL!$G$5:$G$6505)</f>
        <v>324</v>
      </c>
      <c r="E455" s="341">
        <f>SUMIF(GL!$D$6:$D$6487,B455,GL!$H$6:$H$6487)</f>
        <v>66096000</v>
      </c>
      <c r="F455" s="341">
        <f>SUMIF(GL!$D$6:$D$6487,B455,GL!$I$6:$I$6487)</f>
        <v>0</v>
      </c>
      <c r="G455" s="341"/>
      <c r="H455" s="341"/>
      <c r="I455" s="341">
        <f t="shared" si="365"/>
        <v>66096000</v>
      </c>
      <c r="J455" s="341">
        <f t="shared" si="366"/>
        <v>0</v>
      </c>
      <c r="K455" s="341"/>
      <c r="L455" s="342"/>
      <c r="M455" s="342"/>
      <c r="N455" s="341">
        <f t="shared" si="322"/>
        <v>66096000</v>
      </c>
      <c r="O455" s="341">
        <f t="shared" si="323"/>
        <v>0</v>
      </c>
      <c r="P455" s="341">
        <f>SUMIF(GL!$D$6488:$D$6532,B455,GL!$H$6488:$H$6532)</f>
        <v>0</v>
      </c>
      <c r="Q455" s="341">
        <f>SUMIF(GL!$D$6408:$D$6452,B455,GL!$I$6408:$I$6452)</f>
        <v>0</v>
      </c>
      <c r="R455" s="341">
        <f t="shared" ref="R455:S455" si="487">P455+N455</f>
        <v>66096000</v>
      </c>
      <c r="S455" s="341">
        <f t="shared" si="487"/>
        <v>0</v>
      </c>
      <c r="T455" s="340"/>
      <c r="U455" s="340"/>
      <c r="V455" s="340"/>
      <c r="W455" s="340"/>
      <c r="X455" s="341">
        <f t="shared" si="325"/>
        <v>66096000</v>
      </c>
      <c r="Y455" s="341">
        <f t="shared" si="326"/>
        <v>0</v>
      </c>
      <c r="Z455" s="364"/>
      <c r="AA455" s="330"/>
      <c r="AB455" s="332"/>
      <c r="AC455" s="332"/>
      <c r="AD455" s="110"/>
      <c r="AE455" s="110"/>
      <c r="AF455" s="110"/>
      <c r="AG455" s="110"/>
      <c r="AH455" s="110"/>
      <c r="AI455" s="110"/>
    </row>
    <row r="456" spans="1:35" ht="13.5" customHeight="1">
      <c r="A456" s="4"/>
      <c r="B456" s="15" t="s">
        <v>4600</v>
      </c>
      <c r="C456" s="363" t="s">
        <v>4601</v>
      </c>
      <c r="D456" s="254">
        <f>SUMIF(GL!$D$5:$D$6505,B456,GL!$G$5:$G$6505)</f>
        <v>0</v>
      </c>
      <c r="E456" s="341">
        <f>SUMIF(GL!$D$6:$D$6487,B456,GL!$H$6:$H$6487)</f>
        <v>0</v>
      </c>
      <c r="F456" s="341">
        <f>SUMIF(GL!$D$6:$D$6487,B456,GL!$I$6:$I$6487)</f>
        <v>0</v>
      </c>
      <c r="G456" s="341"/>
      <c r="H456" s="341"/>
      <c r="I456" s="341">
        <f t="shared" si="365"/>
        <v>0</v>
      </c>
      <c r="J456" s="341">
        <f t="shared" si="366"/>
        <v>0</v>
      </c>
      <c r="K456" s="341"/>
      <c r="L456" s="342"/>
      <c r="M456" s="342"/>
      <c r="N456" s="341">
        <f t="shared" si="322"/>
        <v>0</v>
      </c>
      <c r="O456" s="341">
        <f t="shared" si="323"/>
        <v>0</v>
      </c>
      <c r="P456" s="341">
        <f>SUMIF(GL!$D$6488:$D$6532,B456,GL!$H$6488:$H$6532)</f>
        <v>0</v>
      </c>
      <c r="Q456" s="341">
        <f>SUMIF(GL!$D$6408:$D$6452,B456,GL!$I$6408:$I$6452)</f>
        <v>0</v>
      </c>
      <c r="R456" s="341">
        <f t="shared" ref="R456:S456" si="488">P456+N456</f>
        <v>0</v>
      </c>
      <c r="S456" s="341">
        <f t="shared" si="488"/>
        <v>0</v>
      </c>
      <c r="T456" s="340"/>
      <c r="U456" s="340"/>
      <c r="V456" s="340"/>
      <c r="W456" s="340"/>
      <c r="X456" s="341">
        <f t="shared" si="325"/>
        <v>0</v>
      </c>
      <c r="Y456" s="341">
        <f t="shared" si="326"/>
        <v>0</v>
      </c>
      <c r="Z456" s="364"/>
      <c r="AA456" s="330"/>
      <c r="AB456" s="332"/>
      <c r="AC456" s="332"/>
      <c r="AD456" s="110"/>
      <c r="AE456" s="110"/>
      <c r="AF456" s="110"/>
      <c r="AG456" s="110"/>
      <c r="AH456" s="110"/>
      <c r="AI456" s="110"/>
    </row>
    <row r="457" spans="1:35" ht="13.5" customHeight="1">
      <c r="A457" s="4"/>
      <c r="B457" s="15" t="s">
        <v>2585</v>
      </c>
      <c r="C457" s="363" t="s">
        <v>4602</v>
      </c>
      <c r="D457" s="254">
        <f>SUMIF(GL!$D$5:$D$6505,B457,GL!$G$5:$G$6505)</f>
        <v>8</v>
      </c>
      <c r="E457" s="341">
        <f>SUMIF(GL!$D$6:$D$6487,B457,GL!$H$6:$H$6487)</f>
        <v>12000000</v>
      </c>
      <c r="F457" s="341">
        <f>SUMIF(GL!$D$6:$D$6487,B457,GL!$I$6:$I$6487)</f>
        <v>0</v>
      </c>
      <c r="G457" s="341"/>
      <c r="H457" s="341"/>
      <c r="I457" s="341">
        <f t="shared" si="365"/>
        <v>12000000</v>
      </c>
      <c r="J457" s="341">
        <f t="shared" si="366"/>
        <v>0</v>
      </c>
      <c r="K457" s="341"/>
      <c r="L457" s="342"/>
      <c r="M457" s="342"/>
      <c r="N457" s="341">
        <f t="shared" si="322"/>
        <v>12000000</v>
      </c>
      <c r="O457" s="341">
        <f t="shared" si="323"/>
        <v>0</v>
      </c>
      <c r="P457" s="341">
        <f>SUMIF(GL!$D$6488:$D$6532,B457,GL!$H$6488:$H$6532)</f>
        <v>0</v>
      </c>
      <c r="Q457" s="341">
        <f>SUMIF(GL!$D$6408:$D$6452,B457,GL!$I$6408:$I$6452)</f>
        <v>0</v>
      </c>
      <c r="R457" s="341">
        <f t="shared" ref="R457:S457" si="489">P457+N457</f>
        <v>12000000</v>
      </c>
      <c r="S457" s="341">
        <f t="shared" si="489"/>
        <v>0</v>
      </c>
      <c r="T457" s="340"/>
      <c r="U457" s="340"/>
      <c r="V457" s="340"/>
      <c r="W457" s="340"/>
      <c r="X457" s="341">
        <f t="shared" si="325"/>
        <v>12000000</v>
      </c>
      <c r="Y457" s="341">
        <f t="shared" si="326"/>
        <v>0</v>
      </c>
      <c r="Z457" s="364"/>
      <c r="AA457" s="330"/>
      <c r="AB457" s="332"/>
      <c r="AC457" s="332"/>
      <c r="AD457" s="110"/>
      <c r="AE457" s="110"/>
      <c r="AF457" s="110"/>
      <c r="AG457" s="110"/>
      <c r="AH457" s="110"/>
      <c r="AI457" s="110"/>
    </row>
    <row r="458" spans="1:35" ht="13.5" customHeight="1">
      <c r="A458" s="4"/>
      <c r="B458" s="15" t="s">
        <v>4603</v>
      </c>
      <c r="C458" s="363" t="s">
        <v>4604</v>
      </c>
      <c r="D458" s="254">
        <f>SUMIF(GL!$D$5:$D$6505,B458,GL!$G$5:$G$6505)</f>
        <v>0</v>
      </c>
      <c r="E458" s="341">
        <f>SUMIF(GL!$D$6:$D$6487,B458,GL!$H$6:$H$6487)</f>
        <v>0</v>
      </c>
      <c r="F458" s="341">
        <f>SUMIF(GL!$D$6:$D$6487,B458,GL!$I$6:$I$6487)</f>
        <v>0</v>
      </c>
      <c r="G458" s="341"/>
      <c r="H458" s="341"/>
      <c r="I458" s="341">
        <f t="shared" si="365"/>
        <v>0</v>
      </c>
      <c r="J458" s="341">
        <f t="shared" si="366"/>
        <v>0</v>
      </c>
      <c r="K458" s="341"/>
      <c r="L458" s="342"/>
      <c r="M458" s="342"/>
      <c r="N458" s="341">
        <f t="shared" si="322"/>
        <v>0</v>
      </c>
      <c r="O458" s="341">
        <f t="shared" si="323"/>
        <v>0</v>
      </c>
      <c r="P458" s="341">
        <f>SUMIF(GL!$D$6488:$D$6532,B458,GL!$H$6488:$H$6532)</f>
        <v>0</v>
      </c>
      <c r="Q458" s="341">
        <f>SUMIF(GL!$D$6408:$D$6452,B458,GL!$I$6408:$I$6452)</f>
        <v>0</v>
      </c>
      <c r="R458" s="341">
        <f t="shared" ref="R458:S458" si="490">P458+N458</f>
        <v>0</v>
      </c>
      <c r="S458" s="341">
        <f t="shared" si="490"/>
        <v>0</v>
      </c>
      <c r="T458" s="340"/>
      <c r="U458" s="340"/>
      <c r="V458" s="340"/>
      <c r="W458" s="340"/>
      <c r="X458" s="341">
        <f t="shared" si="325"/>
        <v>0</v>
      </c>
      <c r="Y458" s="341">
        <f t="shared" si="326"/>
        <v>0</v>
      </c>
      <c r="Z458" s="364"/>
      <c r="AA458" s="330"/>
      <c r="AB458" s="332"/>
      <c r="AC458" s="332"/>
      <c r="AD458" s="110"/>
      <c r="AE458" s="110"/>
      <c r="AF458" s="110"/>
      <c r="AG458" s="110"/>
      <c r="AH458" s="110"/>
      <c r="AI458" s="110"/>
    </row>
    <row r="459" spans="1:35" ht="13.5" customHeight="1">
      <c r="A459" s="4"/>
      <c r="B459" s="15" t="s">
        <v>4605</v>
      </c>
      <c r="C459" s="363" t="s">
        <v>4606</v>
      </c>
      <c r="D459" s="254">
        <f>SUMIF(GL!$D$5:$D$6505,B459,GL!$G$5:$G$6505)</f>
        <v>0</v>
      </c>
      <c r="E459" s="341">
        <f>SUMIF(GL!$D$6:$D$6487,B459,GL!$H$6:$H$6487)</f>
        <v>0</v>
      </c>
      <c r="F459" s="341">
        <f>SUMIF(GL!$D$6:$D$6487,B459,GL!$I$6:$I$6487)</f>
        <v>0</v>
      </c>
      <c r="G459" s="341"/>
      <c r="H459" s="341"/>
      <c r="I459" s="341">
        <f t="shared" si="365"/>
        <v>0</v>
      </c>
      <c r="J459" s="341">
        <f t="shared" si="366"/>
        <v>0</v>
      </c>
      <c r="K459" s="341"/>
      <c r="L459" s="342"/>
      <c r="M459" s="342"/>
      <c r="N459" s="341">
        <f t="shared" si="322"/>
        <v>0</v>
      </c>
      <c r="O459" s="341">
        <f t="shared" si="323"/>
        <v>0</v>
      </c>
      <c r="P459" s="341">
        <f>SUMIF(GL!$D$6488:$D$6532,B459,GL!$H$6488:$H$6532)</f>
        <v>0</v>
      </c>
      <c r="Q459" s="341">
        <f>SUMIF(GL!$D$6408:$D$6452,B459,GL!$I$6408:$I$6452)</f>
        <v>0</v>
      </c>
      <c r="R459" s="341">
        <f t="shared" ref="R459:S459" si="491">P459+N459</f>
        <v>0</v>
      </c>
      <c r="S459" s="341">
        <f t="shared" si="491"/>
        <v>0</v>
      </c>
      <c r="T459" s="340"/>
      <c r="U459" s="340"/>
      <c r="V459" s="340"/>
      <c r="W459" s="340"/>
      <c r="X459" s="341">
        <f t="shared" si="325"/>
        <v>0</v>
      </c>
      <c r="Y459" s="341">
        <f t="shared" si="326"/>
        <v>0</v>
      </c>
      <c r="Z459" s="364"/>
      <c r="AA459" s="330"/>
      <c r="AB459" s="332"/>
      <c r="AC459" s="332"/>
      <c r="AD459" s="110"/>
      <c r="AE459" s="110"/>
      <c r="AF459" s="110"/>
      <c r="AG459" s="110"/>
      <c r="AH459" s="110"/>
      <c r="AI459" s="110"/>
    </row>
    <row r="460" spans="1:35" ht="13.5" customHeight="1">
      <c r="A460" s="4"/>
      <c r="B460" s="15" t="s">
        <v>4607</v>
      </c>
      <c r="C460" s="363" t="s">
        <v>4608</v>
      </c>
      <c r="D460" s="254">
        <f>SUMIF(GL!$D$5:$D$6505,B460,GL!$G$5:$G$6505)</f>
        <v>0</v>
      </c>
      <c r="E460" s="341">
        <f>SUMIF(GL!$D$6:$D$6487,B460,GL!$H$6:$H$6487)</f>
        <v>0</v>
      </c>
      <c r="F460" s="341">
        <f>SUMIF(GL!$D$6:$D$6487,B460,GL!$I$6:$I$6487)</f>
        <v>0</v>
      </c>
      <c r="G460" s="341"/>
      <c r="H460" s="341"/>
      <c r="I460" s="341">
        <f t="shared" si="365"/>
        <v>0</v>
      </c>
      <c r="J460" s="341">
        <f t="shared" si="366"/>
        <v>0</v>
      </c>
      <c r="K460" s="341"/>
      <c r="L460" s="342"/>
      <c r="M460" s="342"/>
      <c r="N460" s="341">
        <f t="shared" si="322"/>
        <v>0</v>
      </c>
      <c r="O460" s="341">
        <f t="shared" si="323"/>
        <v>0</v>
      </c>
      <c r="P460" s="341">
        <f>SUMIF(GL!$D$6488:$D$6532,B460,GL!$H$6488:$H$6532)</f>
        <v>0</v>
      </c>
      <c r="Q460" s="341">
        <f>SUMIF(GL!$D$6408:$D$6452,B460,GL!$I$6408:$I$6452)</f>
        <v>0</v>
      </c>
      <c r="R460" s="341">
        <f t="shared" ref="R460:S460" si="492">P460+N460</f>
        <v>0</v>
      </c>
      <c r="S460" s="341">
        <f t="shared" si="492"/>
        <v>0</v>
      </c>
      <c r="T460" s="340"/>
      <c r="U460" s="340"/>
      <c r="V460" s="340"/>
      <c r="W460" s="340"/>
      <c r="X460" s="341">
        <f t="shared" si="325"/>
        <v>0</v>
      </c>
      <c r="Y460" s="341">
        <f t="shared" si="326"/>
        <v>0</v>
      </c>
      <c r="Z460" s="246"/>
      <c r="AA460" s="330"/>
      <c r="AB460" s="332"/>
      <c r="AC460" s="332"/>
      <c r="AD460" s="110"/>
      <c r="AE460" s="110"/>
      <c r="AF460" s="110"/>
      <c r="AG460" s="110"/>
      <c r="AH460" s="110"/>
      <c r="AI460" s="110"/>
    </row>
    <row r="461" spans="1:35" ht="13.5" customHeight="1">
      <c r="A461" s="4"/>
      <c r="B461" s="15" t="s">
        <v>4609</v>
      </c>
      <c r="C461" s="363" t="s">
        <v>4610</v>
      </c>
      <c r="D461" s="254">
        <f>SUMIF(GL!$D$5:$D$6505,B461,GL!$G$5:$G$6505)</f>
        <v>0</v>
      </c>
      <c r="E461" s="341">
        <f>SUMIF(GL!$D$6:$D$6487,B461,GL!$H$6:$H$6487)</f>
        <v>0</v>
      </c>
      <c r="F461" s="341">
        <f>SUMIF(GL!$D$6:$D$6487,B461,GL!$I$6:$I$6487)</f>
        <v>0</v>
      </c>
      <c r="G461" s="341"/>
      <c r="H461" s="341"/>
      <c r="I461" s="341">
        <f t="shared" si="365"/>
        <v>0</v>
      </c>
      <c r="J461" s="341">
        <f t="shared" si="366"/>
        <v>0</v>
      </c>
      <c r="K461" s="341"/>
      <c r="L461" s="342"/>
      <c r="M461" s="342"/>
      <c r="N461" s="341">
        <f t="shared" si="322"/>
        <v>0</v>
      </c>
      <c r="O461" s="341">
        <f t="shared" si="323"/>
        <v>0</v>
      </c>
      <c r="P461" s="341">
        <f>SUMIF(GL!$D$6488:$D$6532,B461,GL!$H$6488:$H$6532)</f>
        <v>0</v>
      </c>
      <c r="Q461" s="341">
        <f>SUMIF(GL!$D$6408:$D$6452,B461,GL!$I$6408:$I$6452)</f>
        <v>0</v>
      </c>
      <c r="R461" s="341">
        <f t="shared" ref="R461:S461" si="493">P461+N461</f>
        <v>0</v>
      </c>
      <c r="S461" s="341">
        <f t="shared" si="493"/>
        <v>0</v>
      </c>
      <c r="T461" s="340"/>
      <c r="U461" s="340"/>
      <c r="V461" s="340"/>
      <c r="W461" s="340"/>
      <c r="X461" s="341">
        <f t="shared" si="325"/>
        <v>0</v>
      </c>
      <c r="Y461" s="341">
        <f t="shared" si="326"/>
        <v>0</v>
      </c>
      <c r="Z461" s="246"/>
      <c r="AA461" s="330"/>
      <c r="AB461" s="332"/>
      <c r="AC461" s="332"/>
      <c r="AD461" s="110"/>
      <c r="AE461" s="110"/>
      <c r="AF461" s="110"/>
      <c r="AG461" s="110"/>
      <c r="AH461" s="110"/>
      <c r="AI461" s="110"/>
    </row>
    <row r="462" spans="1:35" ht="13.5" customHeight="1">
      <c r="A462" s="4"/>
      <c r="B462" s="15" t="s">
        <v>4611</v>
      </c>
      <c r="C462" s="363" t="s">
        <v>4612</v>
      </c>
      <c r="D462" s="254">
        <f>SUMIF(GL!$D$5:$D$6505,B462,GL!$G$5:$G$6505)</f>
        <v>0</v>
      </c>
      <c r="E462" s="341">
        <f>SUMIF(GL!$D$6:$D$6487,B462,GL!$H$6:$H$6487)</f>
        <v>0</v>
      </c>
      <c r="F462" s="341">
        <f>SUMIF(GL!$D$6:$D$6487,B462,GL!$I$6:$I$6487)</f>
        <v>0</v>
      </c>
      <c r="G462" s="341"/>
      <c r="H462" s="341"/>
      <c r="I462" s="341">
        <f t="shared" si="365"/>
        <v>0</v>
      </c>
      <c r="J462" s="341">
        <f t="shared" si="366"/>
        <v>0</v>
      </c>
      <c r="K462" s="341"/>
      <c r="L462" s="342"/>
      <c r="M462" s="342"/>
      <c r="N462" s="341">
        <f t="shared" si="322"/>
        <v>0</v>
      </c>
      <c r="O462" s="341">
        <f t="shared" si="323"/>
        <v>0</v>
      </c>
      <c r="P462" s="341">
        <f>SUMIF(GL!$D$6488:$D$6532,B462,GL!$H$6488:$H$6532)</f>
        <v>0</v>
      </c>
      <c r="Q462" s="341">
        <f>SUMIF(GL!$D$6408:$D$6452,B462,GL!$I$6408:$I$6452)</f>
        <v>0</v>
      </c>
      <c r="R462" s="341">
        <f t="shared" ref="R462:S462" si="494">P462+N462</f>
        <v>0</v>
      </c>
      <c r="S462" s="341">
        <f t="shared" si="494"/>
        <v>0</v>
      </c>
      <c r="T462" s="340"/>
      <c r="U462" s="340"/>
      <c r="V462" s="340"/>
      <c r="W462" s="340"/>
      <c r="X462" s="341">
        <f t="shared" si="325"/>
        <v>0</v>
      </c>
      <c r="Y462" s="341">
        <f t="shared" si="326"/>
        <v>0</v>
      </c>
      <c r="Z462" s="246"/>
      <c r="AA462" s="330"/>
      <c r="AB462" s="332"/>
      <c r="AC462" s="332"/>
      <c r="AD462" s="110"/>
      <c r="AE462" s="110"/>
      <c r="AF462" s="110"/>
      <c r="AG462" s="110"/>
      <c r="AH462" s="110"/>
      <c r="AI462" s="110"/>
    </row>
    <row r="463" spans="1:35" ht="13.5" customHeight="1">
      <c r="A463" s="4"/>
      <c r="B463" s="15"/>
      <c r="C463" s="260"/>
      <c r="D463" s="254">
        <f>SUMIF(GL!$D$5:$D$6505,B463,GL!$G$5:$G$6505)</f>
        <v>0</v>
      </c>
      <c r="E463" s="341">
        <f>SUMIF(GL!$D$6:$D$6487,B463,GL!$H$6:$H$6487)</f>
        <v>0</v>
      </c>
      <c r="F463" s="341">
        <f>SUMIF(GL!$D$6:$D$6487,B463,GL!$I$6:$I$6487)</f>
        <v>0</v>
      </c>
      <c r="G463" s="341"/>
      <c r="H463" s="341"/>
      <c r="I463" s="341">
        <f t="shared" si="365"/>
        <v>0</v>
      </c>
      <c r="J463" s="341">
        <f t="shared" si="366"/>
        <v>0</v>
      </c>
      <c r="K463" s="341"/>
      <c r="L463" s="342"/>
      <c r="M463" s="342"/>
      <c r="N463" s="341">
        <f t="shared" si="322"/>
        <v>0</v>
      </c>
      <c r="O463" s="341">
        <f t="shared" si="323"/>
        <v>0</v>
      </c>
      <c r="P463" s="341">
        <f>SUMIF(GL!$D$6488:$D$6532,B463,GL!$H$6488:$H$6532)</f>
        <v>0</v>
      </c>
      <c r="Q463" s="341">
        <f>SUMIF(GL!$D$6408:$D$6452,B463,GL!$I$6408:$I$6452)</f>
        <v>0</v>
      </c>
      <c r="R463" s="341">
        <f t="shared" ref="R463:S463" si="495">P463+N463</f>
        <v>0</v>
      </c>
      <c r="S463" s="341">
        <f t="shared" si="495"/>
        <v>0</v>
      </c>
      <c r="T463" s="340"/>
      <c r="U463" s="340"/>
      <c r="V463" s="340"/>
      <c r="W463" s="340"/>
      <c r="X463" s="341">
        <f t="shared" si="325"/>
        <v>0</v>
      </c>
      <c r="Y463" s="341">
        <f t="shared" si="326"/>
        <v>0</v>
      </c>
      <c r="Z463" s="246"/>
      <c r="AA463" s="330"/>
      <c r="AB463" s="332"/>
      <c r="AC463" s="332"/>
      <c r="AD463" s="110"/>
      <c r="AE463" s="110"/>
      <c r="AF463" s="110"/>
      <c r="AG463" s="110"/>
      <c r="AH463" s="110"/>
      <c r="AI463" s="110"/>
    </row>
    <row r="464" spans="1:35" ht="13.5" customHeight="1">
      <c r="A464" s="4"/>
      <c r="B464" s="15"/>
      <c r="C464" s="260"/>
      <c r="D464" s="254">
        <f>SUMIF(GL!$D$5:$D$6505,B464,GL!$G$5:$G$6505)</f>
        <v>0</v>
      </c>
      <c r="E464" s="341">
        <f>SUMIF(GL!$D$6:$D$6487,B464,GL!$H$6:$H$6487)</f>
        <v>0</v>
      </c>
      <c r="F464" s="341">
        <f>SUMIF(GL!$D$6:$D$6487,B464,GL!$I$6:$I$6487)</f>
        <v>0</v>
      </c>
      <c r="G464" s="341"/>
      <c r="H464" s="341"/>
      <c r="I464" s="341">
        <f t="shared" si="365"/>
        <v>0</v>
      </c>
      <c r="J464" s="341">
        <f t="shared" si="366"/>
        <v>0</v>
      </c>
      <c r="K464" s="341"/>
      <c r="L464" s="342"/>
      <c r="M464" s="342"/>
      <c r="N464" s="341">
        <f t="shared" si="322"/>
        <v>0</v>
      </c>
      <c r="O464" s="341">
        <f t="shared" si="323"/>
        <v>0</v>
      </c>
      <c r="P464" s="341">
        <f>SUMIF(GL!$D$6488:$D$6532,B464,GL!$H$6488:$H$6532)</f>
        <v>0</v>
      </c>
      <c r="Q464" s="341">
        <f>SUMIF(GL!$D$6408:$D$6452,B464,GL!$I$6408:$I$6452)</f>
        <v>0</v>
      </c>
      <c r="R464" s="341">
        <f t="shared" ref="R464:S464" si="496">P464+N464</f>
        <v>0</v>
      </c>
      <c r="S464" s="341">
        <f t="shared" si="496"/>
        <v>0</v>
      </c>
      <c r="T464" s="340"/>
      <c r="U464" s="340"/>
      <c r="V464" s="340"/>
      <c r="W464" s="340"/>
      <c r="X464" s="341">
        <f t="shared" si="325"/>
        <v>0</v>
      </c>
      <c r="Y464" s="341">
        <f t="shared" si="326"/>
        <v>0</v>
      </c>
      <c r="Z464" s="246"/>
      <c r="AA464" s="110"/>
      <c r="AB464" s="332"/>
      <c r="AC464" s="332"/>
      <c r="AD464" s="110"/>
      <c r="AE464" s="110"/>
      <c r="AF464" s="110"/>
      <c r="AG464" s="110"/>
      <c r="AH464" s="110"/>
      <c r="AI464" s="110"/>
    </row>
    <row r="465" spans="1:35" ht="13.5" customHeight="1">
      <c r="A465" s="4"/>
      <c r="B465" s="15"/>
      <c r="C465" s="262"/>
      <c r="D465" s="254">
        <f>SUMIF(GL!$D$5:$D$6505,B465,GL!$G$5:$G$6505)</f>
        <v>0</v>
      </c>
      <c r="E465" s="341">
        <f>SUMIF(GL!$D$6:$D$6487,B465,GL!$H$6:$H$6487)</f>
        <v>0</v>
      </c>
      <c r="F465" s="341">
        <f>SUMIF(GL!$D$6:$D$6487,B465,GL!$I$6:$I$6487)</f>
        <v>0</v>
      </c>
      <c r="G465" s="341"/>
      <c r="H465" s="341"/>
      <c r="I465" s="341">
        <f t="shared" si="365"/>
        <v>0</v>
      </c>
      <c r="J465" s="341">
        <f t="shared" si="366"/>
        <v>0</v>
      </c>
      <c r="K465" s="341"/>
      <c r="L465" s="342"/>
      <c r="M465" s="342"/>
      <c r="N465" s="341">
        <f t="shared" si="322"/>
        <v>0</v>
      </c>
      <c r="O465" s="341">
        <f t="shared" si="323"/>
        <v>0</v>
      </c>
      <c r="P465" s="341">
        <f>SUMIF(GL!$D$6488:$D$6532,B465,GL!$H$6488:$H$6532)</f>
        <v>0</v>
      </c>
      <c r="Q465" s="341">
        <f>SUMIF(GL!$D$6408:$D$6452,B465,GL!$I$6408:$I$6452)</f>
        <v>0</v>
      </c>
      <c r="R465" s="341">
        <f t="shared" ref="R465:S465" si="497">P465+N465</f>
        <v>0</v>
      </c>
      <c r="S465" s="341">
        <f t="shared" si="497"/>
        <v>0</v>
      </c>
      <c r="T465" s="340"/>
      <c r="U465" s="340"/>
      <c r="V465" s="340"/>
      <c r="W465" s="340"/>
      <c r="X465" s="341">
        <f t="shared" si="325"/>
        <v>0</v>
      </c>
      <c r="Y465" s="341">
        <f t="shared" si="326"/>
        <v>0</v>
      </c>
      <c r="Z465" s="246"/>
      <c r="AA465" s="110"/>
      <c r="AB465" s="332"/>
      <c r="AC465" s="332"/>
      <c r="AD465" s="110"/>
      <c r="AE465" s="110"/>
      <c r="AF465" s="110"/>
      <c r="AG465" s="110"/>
      <c r="AH465" s="110"/>
      <c r="AI465" s="110"/>
    </row>
    <row r="466" spans="1:35" ht="13.5" customHeight="1">
      <c r="A466" s="4"/>
      <c r="B466" s="15"/>
      <c r="C466" s="261" t="s">
        <v>3833</v>
      </c>
      <c r="D466" s="254">
        <f>SUMIF(GL!$D$5:$D$6505,B466,GL!$G$5:$G$6505)</f>
        <v>0</v>
      </c>
      <c r="E466" s="341">
        <f>SUMIF(GL!$D$6:$D$6487,B466,GL!$H$6:$H$6487)</f>
        <v>0</v>
      </c>
      <c r="F466" s="341">
        <f>SUMIF(GL!$D$6:$D$6487,B466,GL!$I$6:$I$6487)</f>
        <v>0</v>
      </c>
      <c r="G466" s="341"/>
      <c r="H466" s="341"/>
      <c r="I466" s="341">
        <f t="shared" si="365"/>
        <v>0</v>
      </c>
      <c r="J466" s="341">
        <f t="shared" si="366"/>
        <v>0</v>
      </c>
      <c r="K466" s="341"/>
      <c r="L466" s="342"/>
      <c r="M466" s="342"/>
      <c r="N466" s="341">
        <f t="shared" si="322"/>
        <v>0</v>
      </c>
      <c r="O466" s="341">
        <f t="shared" si="323"/>
        <v>0</v>
      </c>
      <c r="P466" s="341">
        <f>SUMIF(GL!$D$6488:$D$6532,B466,GL!$H$6488:$H$6532)</f>
        <v>0</v>
      </c>
      <c r="Q466" s="341">
        <f>SUMIF(GL!$D$6408:$D$6452,B466,GL!$I$6408:$I$6452)</f>
        <v>0</v>
      </c>
      <c r="R466" s="341">
        <f t="shared" ref="R466:S466" si="498">P466+N466</f>
        <v>0</v>
      </c>
      <c r="S466" s="341">
        <f t="shared" si="498"/>
        <v>0</v>
      </c>
      <c r="T466" s="340"/>
      <c r="U466" s="340"/>
      <c r="V466" s="340"/>
      <c r="W466" s="340"/>
      <c r="X466" s="341">
        <f t="shared" si="325"/>
        <v>0</v>
      </c>
      <c r="Y466" s="341">
        <f t="shared" si="326"/>
        <v>0</v>
      </c>
      <c r="Z466" s="246"/>
      <c r="AA466" s="110"/>
      <c r="AB466" s="332"/>
      <c r="AC466" s="332"/>
      <c r="AD466" s="110"/>
      <c r="AE466" s="110"/>
      <c r="AF466" s="110"/>
      <c r="AG466" s="110"/>
      <c r="AH466" s="110"/>
      <c r="AI466" s="110"/>
    </row>
    <row r="467" spans="1:35" ht="13.5" customHeight="1">
      <c r="A467" s="4"/>
      <c r="B467" s="15" t="s">
        <v>2710</v>
      </c>
      <c r="C467" s="363" t="s">
        <v>4613</v>
      </c>
      <c r="D467" s="254">
        <f>SUMIF(GL!$D$5:$D$6505,B467,GL!$G$5:$G$6505)</f>
        <v>12</v>
      </c>
      <c r="E467" s="341">
        <f>SUMIF(GL!$D$6:$D$6487,B467,GL!$H$6:$H$6487)</f>
        <v>2568000</v>
      </c>
      <c r="F467" s="341">
        <f>SUMIF(GL!$D$6:$D$6487,B467,GL!$I$6:$I$6487)</f>
        <v>0</v>
      </c>
      <c r="G467" s="341"/>
      <c r="H467" s="341"/>
      <c r="I467" s="341">
        <f t="shared" si="365"/>
        <v>2568000</v>
      </c>
      <c r="J467" s="341">
        <f t="shared" si="366"/>
        <v>0</v>
      </c>
      <c r="K467" s="341"/>
      <c r="L467" s="342"/>
      <c r="M467" s="342"/>
      <c r="N467" s="341">
        <f t="shared" si="322"/>
        <v>2568000</v>
      </c>
      <c r="O467" s="341">
        <f t="shared" si="323"/>
        <v>0</v>
      </c>
      <c r="P467" s="341">
        <f>SUMIF(GL!$D$6488:$D$6532,B467,GL!$H$6488:$H$6532)</f>
        <v>0</v>
      </c>
      <c r="Q467" s="341">
        <f>SUMIF(GL!$D$6408:$D$6452,B467,GL!$I$6408:$I$6452)</f>
        <v>0</v>
      </c>
      <c r="R467" s="341">
        <f t="shared" ref="R467:S467" si="499">P467+N467</f>
        <v>2568000</v>
      </c>
      <c r="S467" s="341">
        <f t="shared" si="499"/>
        <v>0</v>
      </c>
      <c r="T467" s="340"/>
      <c r="U467" s="340"/>
      <c r="V467" s="340"/>
      <c r="W467" s="340"/>
      <c r="X467" s="341">
        <f t="shared" si="325"/>
        <v>2568000</v>
      </c>
      <c r="Y467" s="341">
        <f t="shared" si="326"/>
        <v>0</v>
      </c>
      <c r="Z467" s="364"/>
      <c r="AA467" s="330"/>
      <c r="AB467" s="332"/>
      <c r="AC467" s="332"/>
      <c r="AD467" s="110"/>
      <c r="AE467" s="110"/>
      <c r="AF467" s="110"/>
      <c r="AG467" s="110"/>
      <c r="AH467" s="110"/>
      <c r="AI467" s="110"/>
    </row>
    <row r="468" spans="1:35" ht="13.5" customHeight="1">
      <c r="A468" s="4"/>
      <c r="B468" s="15" t="s">
        <v>4614</v>
      </c>
      <c r="C468" s="363" t="s">
        <v>4615</v>
      </c>
      <c r="D468" s="254">
        <f>SUMIF(GL!$D$5:$D$6505,B468,GL!$G$5:$G$6505)</f>
        <v>0</v>
      </c>
      <c r="E468" s="341">
        <f>SUMIF(GL!$D$6:$D$6487,B468,GL!$H$6:$H$6487)</f>
        <v>0</v>
      </c>
      <c r="F468" s="341">
        <f>SUMIF(GL!$D$6:$D$6487,B468,GL!$I$6:$I$6487)</f>
        <v>0</v>
      </c>
      <c r="G468" s="341"/>
      <c r="H468" s="341"/>
      <c r="I468" s="341">
        <f t="shared" si="365"/>
        <v>0</v>
      </c>
      <c r="J468" s="341">
        <f t="shared" si="366"/>
        <v>0</v>
      </c>
      <c r="K468" s="341"/>
      <c r="L468" s="342"/>
      <c r="M468" s="342"/>
      <c r="N468" s="341">
        <f t="shared" si="322"/>
        <v>0</v>
      </c>
      <c r="O468" s="341">
        <f t="shared" si="323"/>
        <v>0</v>
      </c>
      <c r="P468" s="341">
        <f>SUMIF(GL!$D$6488:$D$6532,B468,GL!$H$6488:$H$6532)</f>
        <v>0</v>
      </c>
      <c r="Q468" s="341">
        <f>SUMIF(GL!$D$6408:$D$6452,B468,GL!$I$6408:$I$6452)</f>
        <v>0</v>
      </c>
      <c r="R468" s="341">
        <f t="shared" ref="R468:S468" si="500">P468+N468</f>
        <v>0</v>
      </c>
      <c r="S468" s="341">
        <f t="shared" si="500"/>
        <v>0</v>
      </c>
      <c r="T468" s="340"/>
      <c r="U468" s="340"/>
      <c r="V468" s="340"/>
      <c r="W468" s="340"/>
      <c r="X468" s="341">
        <f t="shared" si="325"/>
        <v>0</v>
      </c>
      <c r="Y468" s="341">
        <f t="shared" si="326"/>
        <v>0</v>
      </c>
      <c r="Z468" s="364"/>
      <c r="AA468" s="330"/>
      <c r="AB468" s="332"/>
      <c r="AC468" s="332"/>
      <c r="AD468" s="110"/>
      <c r="AE468" s="110"/>
      <c r="AF468" s="110"/>
      <c r="AG468" s="110"/>
      <c r="AH468" s="110"/>
      <c r="AI468" s="110"/>
    </row>
    <row r="469" spans="1:35" ht="13.5" customHeight="1">
      <c r="A469" s="4"/>
      <c r="B469" s="15" t="s">
        <v>2842</v>
      </c>
      <c r="C469" s="363" t="s">
        <v>4616</v>
      </c>
      <c r="D469" s="254">
        <f>SUMIF(GL!$D$5:$D$6505,B469,GL!$G$5:$G$6505)</f>
        <v>16</v>
      </c>
      <c r="E469" s="341">
        <f>SUMIF(GL!$D$6:$D$6487,B469,GL!$H$6:$H$6487)</f>
        <v>9415000</v>
      </c>
      <c r="F469" s="341">
        <f>SUMIF(GL!$D$6:$D$6487,B469,GL!$I$6:$I$6487)</f>
        <v>0</v>
      </c>
      <c r="G469" s="341"/>
      <c r="H469" s="341"/>
      <c r="I469" s="341">
        <f t="shared" si="365"/>
        <v>9415000</v>
      </c>
      <c r="J469" s="341">
        <f t="shared" si="366"/>
        <v>0</v>
      </c>
      <c r="K469" s="341"/>
      <c r="L469" s="342"/>
      <c r="M469" s="342"/>
      <c r="N469" s="341">
        <f t="shared" si="322"/>
        <v>9415000</v>
      </c>
      <c r="O469" s="341">
        <f t="shared" si="323"/>
        <v>0</v>
      </c>
      <c r="P469" s="341">
        <f>SUMIF(GL!$D$6488:$D$6532,B469,GL!$H$6488:$H$6532)</f>
        <v>0</v>
      </c>
      <c r="Q469" s="341">
        <f>SUMIF(GL!$D$6408:$D$6452,B469,GL!$I$6408:$I$6452)</f>
        <v>0</v>
      </c>
      <c r="R469" s="341">
        <f t="shared" ref="R469:S469" si="501">P469+N469</f>
        <v>9415000</v>
      </c>
      <c r="S469" s="341">
        <f t="shared" si="501"/>
        <v>0</v>
      </c>
      <c r="T469" s="340"/>
      <c r="U469" s="340"/>
      <c r="V469" s="340"/>
      <c r="W469" s="340"/>
      <c r="X469" s="341">
        <f t="shared" si="325"/>
        <v>9415000</v>
      </c>
      <c r="Y469" s="341">
        <f t="shared" si="326"/>
        <v>0</v>
      </c>
      <c r="Z469" s="364"/>
      <c r="AA469" s="330"/>
      <c r="AB469" s="332"/>
      <c r="AC469" s="332"/>
      <c r="AD469" s="110"/>
      <c r="AE469" s="110"/>
      <c r="AF469" s="110"/>
      <c r="AG469" s="110"/>
      <c r="AH469" s="110"/>
      <c r="AI469" s="110"/>
    </row>
    <row r="470" spans="1:35" ht="13.5" customHeight="1">
      <c r="A470" s="4"/>
      <c r="B470" s="15" t="s">
        <v>4617</v>
      </c>
      <c r="C470" s="363" t="s">
        <v>4618</v>
      </c>
      <c r="D470" s="254">
        <f>SUMIF(GL!$D$5:$D$6505,B470,GL!$G$5:$G$6505)</f>
        <v>0</v>
      </c>
      <c r="E470" s="341">
        <f>SUMIF(GL!$D$6:$D$6487,B470,GL!$H$6:$H$6487)</f>
        <v>0</v>
      </c>
      <c r="F470" s="341">
        <f>SUMIF(GL!$D$6:$D$6487,B470,GL!$I$6:$I$6487)</f>
        <v>0</v>
      </c>
      <c r="G470" s="341"/>
      <c r="H470" s="341"/>
      <c r="I470" s="341">
        <f t="shared" si="365"/>
        <v>0</v>
      </c>
      <c r="J470" s="341">
        <f t="shared" si="366"/>
        <v>0</v>
      </c>
      <c r="K470" s="341"/>
      <c r="L470" s="342"/>
      <c r="M470" s="342"/>
      <c r="N470" s="341">
        <f t="shared" si="322"/>
        <v>0</v>
      </c>
      <c r="O470" s="341">
        <f t="shared" si="323"/>
        <v>0</v>
      </c>
      <c r="P470" s="341">
        <f>SUMIF(GL!$D$6488:$D$6532,B470,GL!$H$6488:$H$6532)</f>
        <v>0</v>
      </c>
      <c r="Q470" s="341">
        <f>SUMIF(GL!$D$6408:$D$6452,B470,GL!$I$6408:$I$6452)</f>
        <v>0</v>
      </c>
      <c r="R470" s="341">
        <f t="shared" ref="R470:S470" si="502">P470+N470</f>
        <v>0</v>
      </c>
      <c r="S470" s="341">
        <f t="shared" si="502"/>
        <v>0</v>
      </c>
      <c r="T470" s="340"/>
      <c r="U470" s="340"/>
      <c r="V470" s="340"/>
      <c r="W470" s="340"/>
      <c r="X470" s="341">
        <f t="shared" si="325"/>
        <v>0</v>
      </c>
      <c r="Y470" s="341">
        <f t="shared" si="326"/>
        <v>0</v>
      </c>
      <c r="Z470" s="364"/>
      <c r="AA470" s="330"/>
      <c r="AB470" s="332"/>
      <c r="AC470" s="332"/>
      <c r="AD470" s="110"/>
      <c r="AE470" s="110"/>
      <c r="AF470" s="110"/>
      <c r="AG470" s="110"/>
      <c r="AH470" s="110"/>
      <c r="AI470" s="110"/>
    </row>
    <row r="471" spans="1:35" ht="13.5" customHeight="1">
      <c r="A471" s="4"/>
      <c r="B471" s="15" t="s">
        <v>4619</v>
      </c>
      <c r="C471" s="363" t="s">
        <v>4620</v>
      </c>
      <c r="D471" s="254">
        <f>SUMIF(GL!$D$5:$D$6505,B471,GL!$G$5:$G$6505)</f>
        <v>0</v>
      </c>
      <c r="E471" s="341">
        <f>SUMIF(GL!$D$6:$D$6487,B471,GL!$H$6:$H$6487)</f>
        <v>0</v>
      </c>
      <c r="F471" s="341">
        <f>SUMIF(GL!$D$6:$D$6487,B471,GL!$I$6:$I$6487)</f>
        <v>0</v>
      </c>
      <c r="G471" s="341"/>
      <c r="H471" s="341"/>
      <c r="I471" s="341">
        <f t="shared" si="365"/>
        <v>0</v>
      </c>
      <c r="J471" s="341">
        <f t="shared" si="366"/>
        <v>0</v>
      </c>
      <c r="K471" s="341"/>
      <c r="L471" s="342"/>
      <c r="M471" s="342"/>
      <c r="N471" s="341">
        <f t="shared" si="322"/>
        <v>0</v>
      </c>
      <c r="O471" s="341">
        <f t="shared" si="323"/>
        <v>0</v>
      </c>
      <c r="P471" s="341">
        <f>SUMIF(GL!$D$6488:$D$6532,B471,GL!$H$6488:$H$6532)</f>
        <v>0</v>
      </c>
      <c r="Q471" s="341">
        <f>SUMIF(GL!$D$6408:$D$6452,B471,GL!$I$6408:$I$6452)</f>
        <v>0</v>
      </c>
      <c r="R471" s="341">
        <f t="shared" ref="R471:S471" si="503">P471+N471</f>
        <v>0</v>
      </c>
      <c r="S471" s="341">
        <f t="shared" si="503"/>
        <v>0</v>
      </c>
      <c r="T471" s="340"/>
      <c r="U471" s="340"/>
      <c r="V471" s="340"/>
      <c r="W471" s="340"/>
      <c r="X471" s="341">
        <f t="shared" si="325"/>
        <v>0</v>
      </c>
      <c r="Y471" s="341">
        <f t="shared" si="326"/>
        <v>0</v>
      </c>
      <c r="Z471" s="364"/>
      <c r="AA471" s="330"/>
      <c r="AB471" s="332"/>
      <c r="AC471" s="332"/>
      <c r="AD471" s="110"/>
      <c r="AE471" s="110"/>
      <c r="AF471" s="110"/>
      <c r="AG471" s="110"/>
      <c r="AH471" s="110"/>
      <c r="AI471" s="110"/>
    </row>
    <row r="472" spans="1:35" ht="13.5" customHeight="1">
      <c r="A472" s="4"/>
      <c r="B472" s="15" t="s">
        <v>2844</v>
      </c>
      <c r="C472" s="363" t="s">
        <v>4621</v>
      </c>
      <c r="D472" s="254">
        <f>SUMIF(GL!$D$5:$D$6505,B472,GL!$G$5:$G$6505)</f>
        <v>4</v>
      </c>
      <c r="E472" s="341">
        <f>SUMIF(GL!$D$6:$D$6487,B472,GL!$H$6:$H$6487)</f>
        <v>1513333</v>
      </c>
      <c r="F472" s="341">
        <f>SUMIF(GL!$D$6:$D$6487,B472,GL!$I$6:$I$6487)</f>
        <v>0</v>
      </c>
      <c r="G472" s="341"/>
      <c r="H472" s="341"/>
      <c r="I472" s="341">
        <f t="shared" si="365"/>
        <v>1513333</v>
      </c>
      <c r="J472" s="341">
        <f t="shared" si="366"/>
        <v>0</v>
      </c>
      <c r="K472" s="341"/>
      <c r="L472" s="342"/>
      <c r="M472" s="342"/>
      <c r="N472" s="341">
        <f t="shared" si="322"/>
        <v>1513333</v>
      </c>
      <c r="O472" s="341">
        <f t="shared" si="323"/>
        <v>0</v>
      </c>
      <c r="P472" s="341">
        <f>SUMIF(GL!$D$6488:$D$6532,B472,GL!$H$6488:$H$6532)</f>
        <v>0</v>
      </c>
      <c r="Q472" s="341">
        <f>SUMIF(GL!$D$6408:$D$6452,B472,GL!$I$6408:$I$6452)</f>
        <v>0</v>
      </c>
      <c r="R472" s="341">
        <f t="shared" ref="R472:S472" si="504">P472+N472</f>
        <v>1513333</v>
      </c>
      <c r="S472" s="341">
        <f t="shared" si="504"/>
        <v>0</v>
      </c>
      <c r="T472" s="340"/>
      <c r="U472" s="340"/>
      <c r="V472" s="340"/>
      <c r="W472" s="340"/>
      <c r="X472" s="341">
        <f t="shared" si="325"/>
        <v>1513333</v>
      </c>
      <c r="Y472" s="341">
        <f t="shared" si="326"/>
        <v>0</v>
      </c>
      <c r="Z472" s="364"/>
      <c r="AA472" s="330"/>
      <c r="AB472" s="332"/>
      <c r="AC472" s="332"/>
      <c r="AD472" s="110"/>
      <c r="AE472" s="110"/>
      <c r="AF472" s="110"/>
      <c r="AG472" s="110"/>
      <c r="AH472" s="110"/>
      <c r="AI472" s="110"/>
    </row>
    <row r="473" spans="1:35" ht="13.5" customHeight="1">
      <c r="A473" s="4"/>
      <c r="B473" s="15" t="s">
        <v>4622</v>
      </c>
      <c r="C473" s="363" t="s">
        <v>4623</v>
      </c>
      <c r="D473" s="254">
        <f>SUMIF(GL!$D$5:$D$6505,B473,GL!$G$5:$G$6505)</f>
        <v>0</v>
      </c>
      <c r="E473" s="341">
        <f>SUMIF(GL!$D$6:$D$6487,B473,GL!$H$6:$H$6487)</f>
        <v>0</v>
      </c>
      <c r="F473" s="341">
        <f>SUMIF(GL!$D$6:$D$6487,B473,GL!$I$6:$I$6487)</f>
        <v>0</v>
      </c>
      <c r="G473" s="341"/>
      <c r="H473" s="341"/>
      <c r="I473" s="341">
        <f t="shared" si="365"/>
        <v>0</v>
      </c>
      <c r="J473" s="341">
        <f t="shared" si="366"/>
        <v>0</v>
      </c>
      <c r="K473" s="341"/>
      <c r="L473" s="342"/>
      <c r="M473" s="342"/>
      <c r="N473" s="341">
        <f t="shared" si="322"/>
        <v>0</v>
      </c>
      <c r="O473" s="341">
        <f t="shared" si="323"/>
        <v>0</v>
      </c>
      <c r="P473" s="341">
        <f>SUMIF(GL!$D$6488:$D$6532,B473,GL!$H$6488:$H$6532)</f>
        <v>0</v>
      </c>
      <c r="Q473" s="341">
        <f>SUMIF(GL!$D$6408:$D$6452,B473,GL!$I$6408:$I$6452)</f>
        <v>0</v>
      </c>
      <c r="R473" s="341">
        <f t="shared" ref="R473:S473" si="505">P473+N473</f>
        <v>0</v>
      </c>
      <c r="S473" s="341">
        <f t="shared" si="505"/>
        <v>0</v>
      </c>
      <c r="T473" s="340"/>
      <c r="U473" s="340"/>
      <c r="V473" s="340"/>
      <c r="W473" s="340"/>
      <c r="X473" s="341">
        <f t="shared" si="325"/>
        <v>0</v>
      </c>
      <c r="Y473" s="341">
        <f t="shared" si="326"/>
        <v>0</v>
      </c>
      <c r="Z473" s="364"/>
      <c r="AA473" s="330"/>
      <c r="AB473" s="332"/>
      <c r="AC473" s="332"/>
      <c r="AD473" s="110"/>
      <c r="AE473" s="110"/>
      <c r="AF473" s="110"/>
      <c r="AG473" s="110"/>
      <c r="AH473" s="110"/>
      <c r="AI473" s="110"/>
    </row>
    <row r="474" spans="1:35" ht="13.5" customHeight="1">
      <c r="A474" s="4"/>
      <c r="B474" s="15" t="s">
        <v>4624</v>
      </c>
      <c r="C474" s="363" t="s">
        <v>4625</v>
      </c>
      <c r="D474" s="254">
        <f>SUMIF(GL!$D$5:$D$6505,B474,GL!$G$5:$G$6505)</f>
        <v>0</v>
      </c>
      <c r="E474" s="341">
        <f>SUMIF(GL!$D$6:$D$6487,B474,GL!$H$6:$H$6487)</f>
        <v>0</v>
      </c>
      <c r="F474" s="341">
        <f>SUMIF(GL!$D$6:$D$6487,B474,GL!$I$6:$I$6487)</f>
        <v>0</v>
      </c>
      <c r="G474" s="341"/>
      <c r="H474" s="341"/>
      <c r="I474" s="341">
        <f t="shared" si="365"/>
        <v>0</v>
      </c>
      <c r="J474" s="341">
        <f t="shared" si="366"/>
        <v>0</v>
      </c>
      <c r="K474" s="341"/>
      <c r="L474" s="342"/>
      <c r="M474" s="342"/>
      <c r="N474" s="341">
        <f t="shared" si="322"/>
        <v>0</v>
      </c>
      <c r="O474" s="341">
        <f t="shared" si="323"/>
        <v>0</v>
      </c>
      <c r="P474" s="341">
        <f>SUMIF(GL!$D$6488:$D$6532,B474,GL!$H$6488:$H$6532)</f>
        <v>0</v>
      </c>
      <c r="Q474" s="341">
        <f>SUMIF(GL!$D$6408:$D$6452,B474,GL!$I$6408:$I$6452)</f>
        <v>0</v>
      </c>
      <c r="R474" s="341">
        <f t="shared" ref="R474:S474" si="506">P474+N474</f>
        <v>0</v>
      </c>
      <c r="S474" s="341">
        <f t="shared" si="506"/>
        <v>0</v>
      </c>
      <c r="T474" s="340"/>
      <c r="U474" s="340"/>
      <c r="V474" s="340"/>
      <c r="W474" s="340"/>
      <c r="X474" s="341">
        <f t="shared" si="325"/>
        <v>0</v>
      </c>
      <c r="Y474" s="341">
        <f t="shared" si="326"/>
        <v>0</v>
      </c>
      <c r="Z474" s="364"/>
      <c r="AA474" s="330"/>
      <c r="AB474" s="332"/>
      <c r="AC474" s="332"/>
      <c r="AD474" s="110"/>
      <c r="AE474" s="110"/>
      <c r="AF474" s="110"/>
      <c r="AG474" s="110"/>
      <c r="AH474" s="110"/>
      <c r="AI474" s="110"/>
    </row>
    <row r="475" spans="1:35" ht="13.5" customHeight="1">
      <c r="A475" s="4"/>
      <c r="B475" s="15" t="s">
        <v>3002</v>
      </c>
      <c r="C475" s="363" t="s">
        <v>4626</v>
      </c>
      <c r="D475" s="254">
        <f>SUMIF(GL!$D$5:$D$6505,B475,GL!$G$5:$G$6505)</f>
        <v>4</v>
      </c>
      <c r="E475" s="341">
        <f>SUMIF(GL!$D$6:$D$6487,B475,GL!$H$6:$H$6487)</f>
        <v>1540000</v>
      </c>
      <c r="F475" s="341">
        <f>SUMIF(GL!$D$6:$D$6487,B475,GL!$I$6:$I$6487)</f>
        <v>0</v>
      </c>
      <c r="G475" s="341"/>
      <c r="H475" s="341"/>
      <c r="I475" s="341">
        <f t="shared" si="365"/>
        <v>1540000</v>
      </c>
      <c r="J475" s="341">
        <f t="shared" si="366"/>
        <v>0</v>
      </c>
      <c r="K475" s="341"/>
      <c r="L475" s="342"/>
      <c r="M475" s="342"/>
      <c r="N475" s="341">
        <f t="shared" si="322"/>
        <v>1540000</v>
      </c>
      <c r="O475" s="341">
        <f t="shared" si="323"/>
        <v>0</v>
      </c>
      <c r="P475" s="341">
        <f>SUMIF(GL!$D$6488:$D$6532,B475,GL!$H$6488:$H$6532)</f>
        <v>0</v>
      </c>
      <c r="Q475" s="341">
        <f>SUMIF(GL!$D$6408:$D$6452,B475,GL!$I$6408:$I$6452)</f>
        <v>0</v>
      </c>
      <c r="R475" s="341">
        <f t="shared" ref="R475:S475" si="507">P475+N475</f>
        <v>1540000</v>
      </c>
      <c r="S475" s="341">
        <f t="shared" si="507"/>
        <v>0</v>
      </c>
      <c r="T475" s="340"/>
      <c r="U475" s="340"/>
      <c r="V475" s="340"/>
      <c r="W475" s="340"/>
      <c r="X475" s="341">
        <f t="shared" si="325"/>
        <v>1540000</v>
      </c>
      <c r="Y475" s="341">
        <f t="shared" si="326"/>
        <v>0</v>
      </c>
      <c r="Z475" s="364"/>
      <c r="AA475" s="330"/>
      <c r="AB475" s="332"/>
      <c r="AC475" s="332"/>
      <c r="AD475" s="110"/>
      <c r="AE475" s="110"/>
      <c r="AF475" s="110"/>
      <c r="AG475" s="110"/>
      <c r="AH475" s="110"/>
      <c r="AI475" s="110"/>
    </row>
    <row r="476" spans="1:35" ht="13.5" customHeight="1">
      <c r="A476" s="4"/>
      <c r="B476" s="15" t="s">
        <v>4627</v>
      </c>
      <c r="C476" s="363" t="s">
        <v>4628</v>
      </c>
      <c r="D476" s="254">
        <f>SUMIF(GL!$D$5:$D$6505,B476,GL!$G$5:$G$6505)</f>
        <v>0</v>
      </c>
      <c r="E476" s="341">
        <f>SUMIF(GL!$D$6:$D$6487,B476,GL!$H$6:$H$6487)</f>
        <v>0</v>
      </c>
      <c r="F476" s="341">
        <f>SUMIF(GL!$D$6:$D$6487,B476,GL!$I$6:$I$6487)</f>
        <v>0</v>
      </c>
      <c r="G476" s="341"/>
      <c r="H476" s="341"/>
      <c r="I476" s="341">
        <f t="shared" si="365"/>
        <v>0</v>
      </c>
      <c r="J476" s="341">
        <f t="shared" si="366"/>
        <v>0</v>
      </c>
      <c r="K476" s="341"/>
      <c r="L476" s="342"/>
      <c r="M476" s="342"/>
      <c r="N476" s="341">
        <f t="shared" si="322"/>
        <v>0</v>
      </c>
      <c r="O476" s="341">
        <f t="shared" si="323"/>
        <v>0</v>
      </c>
      <c r="P476" s="341">
        <f>SUMIF(GL!$D$6488:$D$6532,B476,GL!$H$6488:$H$6532)</f>
        <v>0</v>
      </c>
      <c r="Q476" s="341">
        <f>SUMIF(GL!$D$6408:$D$6452,B476,GL!$I$6408:$I$6452)</f>
        <v>0</v>
      </c>
      <c r="R476" s="341">
        <f t="shared" ref="R476:S476" si="508">P476+N476</f>
        <v>0</v>
      </c>
      <c r="S476" s="341">
        <f t="shared" si="508"/>
        <v>0</v>
      </c>
      <c r="T476" s="340"/>
      <c r="U476" s="340"/>
      <c r="V476" s="340"/>
      <c r="W476" s="340"/>
      <c r="X476" s="341">
        <f t="shared" si="325"/>
        <v>0</v>
      </c>
      <c r="Y476" s="341">
        <f t="shared" si="326"/>
        <v>0</v>
      </c>
      <c r="Z476" s="364"/>
      <c r="AA476" s="330"/>
      <c r="AB476" s="332"/>
      <c r="AC476" s="332"/>
      <c r="AD476" s="110"/>
      <c r="AE476" s="110"/>
      <c r="AF476" s="110"/>
      <c r="AG476" s="110"/>
      <c r="AH476" s="110"/>
      <c r="AI476" s="110"/>
    </row>
    <row r="477" spans="1:35" ht="13.5" customHeight="1">
      <c r="A477" s="4"/>
      <c r="B477" s="15" t="s">
        <v>4629</v>
      </c>
      <c r="C477" s="367" t="s">
        <v>4630</v>
      </c>
      <c r="D477" s="254">
        <f>SUMIF(GL!$D$5:$D$6505,B477,GL!$G$5:$G$6505)</f>
        <v>0</v>
      </c>
      <c r="E477" s="341">
        <f>SUMIF(GL!$D$6:$D$6487,B477,GL!$H$6:$H$6487)</f>
        <v>0</v>
      </c>
      <c r="F477" s="341">
        <f>SUMIF(GL!$D$6:$D$6487,B477,GL!$I$6:$I$6487)</f>
        <v>0</v>
      </c>
      <c r="G477" s="341"/>
      <c r="H477" s="341"/>
      <c r="I477" s="341">
        <f t="shared" si="365"/>
        <v>0</v>
      </c>
      <c r="J477" s="341">
        <f t="shared" si="366"/>
        <v>0</v>
      </c>
      <c r="K477" s="341"/>
      <c r="L477" s="341"/>
      <c r="M477" s="341"/>
      <c r="N477" s="341">
        <f t="shared" si="322"/>
        <v>0</v>
      </c>
      <c r="O477" s="341">
        <f t="shared" si="323"/>
        <v>0</v>
      </c>
      <c r="P477" s="341">
        <f>SUMIF(GL!$D$6488:$D$6532,B477,GL!$H$6488:$H$6532)</f>
        <v>0</v>
      </c>
      <c r="Q477" s="341">
        <f>SUMIF(GL!$D$6408:$D$6452,B477,GL!$I$6408:$I$6452)</f>
        <v>0</v>
      </c>
      <c r="R477" s="341">
        <f t="shared" ref="R477:S477" si="509">P477+N477</f>
        <v>0</v>
      </c>
      <c r="S477" s="341">
        <f t="shared" si="509"/>
        <v>0</v>
      </c>
      <c r="T477" s="340"/>
      <c r="U477" s="340"/>
      <c r="V477" s="340"/>
      <c r="W477" s="340"/>
      <c r="X477" s="341">
        <f t="shared" si="325"/>
        <v>0</v>
      </c>
      <c r="Y477" s="341">
        <f t="shared" si="326"/>
        <v>0</v>
      </c>
      <c r="Z477" s="364"/>
      <c r="AA477" s="330"/>
      <c r="AB477" s="332"/>
      <c r="AC477" s="332"/>
      <c r="AD477" s="110"/>
      <c r="AE477" s="110"/>
      <c r="AF477" s="110"/>
      <c r="AG477" s="110"/>
      <c r="AH477" s="110"/>
      <c r="AI477" s="110"/>
    </row>
    <row r="478" spans="1:35" ht="13.5" customHeight="1">
      <c r="A478" s="4"/>
      <c r="B478" s="15" t="s">
        <v>4631</v>
      </c>
      <c r="C478" s="363" t="s">
        <v>4632</v>
      </c>
      <c r="D478" s="254">
        <f>SUMIF(GL!$D$5:$D$6505,B478,GL!$G$5:$G$6505)</f>
        <v>0</v>
      </c>
      <c r="E478" s="341">
        <f>SUMIF(GL!$D$6:$D$6487,B478,GL!$H$6:$H$6487)</f>
        <v>0</v>
      </c>
      <c r="F478" s="341">
        <f>SUMIF(GL!$D$6:$D$6487,B478,GL!$I$6:$I$6487)</f>
        <v>0</v>
      </c>
      <c r="G478" s="341"/>
      <c r="H478" s="341"/>
      <c r="I478" s="341">
        <f t="shared" si="365"/>
        <v>0</v>
      </c>
      <c r="J478" s="341">
        <f t="shared" si="366"/>
        <v>0</v>
      </c>
      <c r="K478" s="341"/>
      <c r="L478" s="342"/>
      <c r="M478" s="342"/>
      <c r="N478" s="341">
        <f t="shared" si="322"/>
        <v>0</v>
      </c>
      <c r="O478" s="341">
        <f t="shared" si="323"/>
        <v>0</v>
      </c>
      <c r="P478" s="341">
        <f>SUMIF(GL!$D$6488:$D$6532,B478,GL!$H$6488:$H$6532)</f>
        <v>0</v>
      </c>
      <c r="Q478" s="341">
        <f>SUMIF(GL!$D$6408:$D$6452,B478,GL!$I$6408:$I$6452)</f>
        <v>0</v>
      </c>
      <c r="R478" s="341">
        <f t="shared" ref="R478:S478" si="510">P478+N478</f>
        <v>0</v>
      </c>
      <c r="S478" s="341">
        <f t="shared" si="510"/>
        <v>0</v>
      </c>
      <c r="T478" s="340"/>
      <c r="U478" s="340"/>
      <c r="V478" s="340"/>
      <c r="W478" s="340"/>
      <c r="X478" s="341">
        <f t="shared" si="325"/>
        <v>0</v>
      </c>
      <c r="Y478" s="341">
        <f t="shared" si="326"/>
        <v>0</v>
      </c>
      <c r="Z478" s="364"/>
      <c r="AA478" s="330"/>
      <c r="AB478" s="332"/>
      <c r="AC478" s="332"/>
      <c r="AD478" s="110"/>
      <c r="AE478" s="110"/>
      <c r="AF478" s="110"/>
      <c r="AG478" s="110"/>
      <c r="AH478" s="110"/>
      <c r="AI478" s="110"/>
    </row>
    <row r="479" spans="1:35" ht="13.5" customHeight="1">
      <c r="A479" s="4"/>
      <c r="B479" s="15" t="s">
        <v>4633</v>
      </c>
      <c r="C479" s="363" t="s">
        <v>4634</v>
      </c>
      <c r="D479" s="254">
        <f>SUMIF(GL!$D$5:$D$6505,B479,GL!$G$5:$G$6505)</f>
        <v>0</v>
      </c>
      <c r="E479" s="341">
        <f>SUMIF(GL!$D$6:$D$6487,B479,GL!$H$6:$H$6487)</f>
        <v>0</v>
      </c>
      <c r="F479" s="341">
        <f>SUMIF(GL!$D$6:$D$6487,B479,GL!$I$6:$I$6487)</f>
        <v>0</v>
      </c>
      <c r="G479" s="341"/>
      <c r="H479" s="341"/>
      <c r="I479" s="341">
        <f t="shared" si="365"/>
        <v>0</v>
      </c>
      <c r="J479" s="341">
        <f t="shared" si="366"/>
        <v>0</v>
      </c>
      <c r="K479" s="341"/>
      <c r="L479" s="342"/>
      <c r="M479" s="342"/>
      <c r="N479" s="341">
        <f t="shared" si="322"/>
        <v>0</v>
      </c>
      <c r="O479" s="341">
        <f t="shared" si="323"/>
        <v>0</v>
      </c>
      <c r="P479" s="341">
        <f>SUMIF(GL!$D$6488:$D$6532,B479,GL!$H$6488:$H$6532)</f>
        <v>0</v>
      </c>
      <c r="Q479" s="341">
        <f>SUMIF(GL!$D$6408:$D$6452,B479,GL!$I$6408:$I$6452)</f>
        <v>0</v>
      </c>
      <c r="R479" s="341">
        <f t="shared" ref="R479:S479" si="511">P479+N479</f>
        <v>0</v>
      </c>
      <c r="S479" s="341">
        <f t="shared" si="511"/>
        <v>0</v>
      </c>
      <c r="T479" s="340"/>
      <c r="U479" s="340"/>
      <c r="V479" s="340"/>
      <c r="W479" s="340"/>
      <c r="X479" s="341">
        <f t="shared" si="325"/>
        <v>0</v>
      </c>
      <c r="Y479" s="341">
        <f t="shared" si="326"/>
        <v>0</v>
      </c>
      <c r="Z479" s="364"/>
      <c r="AA479" s="330"/>
      <c r="AB479" s="332"/>
      <c r="AC479" s="332"/>
      <c r="AD479" s="110"/>
      <c r="AE479" s="110"/>
      <c r="AF479" s="110"/>
      <c r="AG479" s="110"/>
      <c r="AH479" s="110"/>
      <c r="AI479" s="110"/>
    </row>
    <row r="480" spans="1:35" ht="13.5" customHeight="1">
      <c r="A480" s="4"/>
      <c r="B480" s="15" t="s">
        <v>2714</v>
      </c>
      <c r="C480" s="363" t="s">
        <v>4635</v>
      </c>
      <c r="D480" s="254">
        <f>SUMIF(GL!$D$5:$D$6505,B480,GL!$G$5:$G$6505)</f>
        <v>102</v>
      </c>
      <c r="E480" s="341">
        <f>SUMIF(GL!$D$6:$D$6487,B480,GL!$H$6:$H$6487)</f>
        <v>28538784</v>
      </c>
      <c r="F480" s="341">
        <f>SUMIF(GL!$D$6:$D$6487,B480,GL!$I$6:$I$6487)</f>
        <v>0</v>
      </c>
      <c r="G480" s="341"/>
      <c r="H480" s="341"/>
      <c r="I480" s="341">
        <f t="shared" si="365"/>
        <v>28538784</v>
      </c>
      <c r="J480" s="341">
        <f t="shared" si="366"/>
        <v>0</v>
      </c>
      <c r="K480" s="341"/>
      <c r="L480" s="342"/>
      <c r="M480" s="342"/>
      <c r="N480" s="341">
        <f t="shared" si="322"/>
        <v>28538784</v>
      </c>
      <c r="O480" s="341">
        <f t="shared" si="323"/>
        <v>0</v>
      </c>
      <c r="P480" s="341">
        <f>SUMIF(GL!$D$6488:$D$6532,B480,GL!$H$6488:$H$6532)</f>
        <v>0</v>
      </c>
      <c r="Q480" s="341">
        <f>SUMIF(GL!$D$6408:$D$6452,B480,GL!$I$6408:$I$6452)</f>
        <v>0</v>
      </c>
      <c r="R480" s="341">
        <f t="shared" ref="R480:S480" si="512">P480+N480</f>
        <v>28538784</v>
      </c>
      <c r="S480" s="341">
        <f t="shared" si="512"/>
        <v>0</v>
      </c>
      <c r="T480" s="340"/>
      <c r="U480" s="340"/>
      <c r="V480" s="340"/>
      <c r="W480" s="340"/>
      <c r="X480" s="341">
        <f t="shared" si="325"/>
        <v>28538784</v>
      </c>
      <c r="Y480" s="341">
        <f t="shared" si="326"/>
        <v>0</v>
      </c>
      <c r="Z480" s="364"/>
      <c r="AA480" s="330"/>
      <c r="AB480" s="332"/>
      <c r="AC480" s="332"/>
      <c r="AD480" s="110"/>
      <c r="AE480" s="110"/>
      <c r="AF480" s="110"/>
      <c r="AG480" s="110"/>
      <c r="AH480" s="110"/>
      <c r="AI480" s="110"/>
    </row>
    <row r="481" spans="1:35" ht="13.5" customHeight="1">
      <c r="A481" s="4"/>
      <c r="B481" s="15" t="s">
        <v>4636</v>
      </c>
      <c r="C481" s="363" t="s">
        <v>4637</v>
      </c>
      <c r="D481" s="254">
        <f>SUMIF(GL!$D$5:$D$6505,B481,GL!$G$5:$G$6505)</f>
        <v>0</v>
      </c>
      <c r="E481" s="341">
        <f>SUMIF(GL!$D$6:$D$6487,B481,GL!$H$6:$H$6487)</f>
        <v>0</v>
      </c>
      <c r="F481" s="341">
        <f>SUMIF(GL!$D$6:$D$6487,B481,GL!$I$6:$I$6487)</f>
        <v>0</v>
      </c>
      <c r="G481" s="341"/>
      <c r="H481" s="341"/>
      <c r="I481" s="341">
        <f t="shared" si="365"/>
        <v>0</v>
      </c>
      <c r="J481" s="341">
        <f t="shared" si="366"/>
        <v>0</v>
      </c>
      <c r="K481" s="341"/>
      <c r="L481" s="342"/>
      <c r="M481" s="342"/>
      <c r="N481" s="341">
        <f t="shared" si="322"/>
        <v>0</v>
      </c>
      <c r="O481" s="341">
        <f t="shared" si="323"/>
        <v>0</v>
      </c>
      <c r="P481" s="341">
        <f>SUMIF(GL!$D$6488:$D$6532,B481,GL!$H$6488:$H$6532)</f>
        <v>0</v>
      </c>
      <c r="Q481" s="341">
        <f>SUMIF(GL!$D$6408:$D$6452,B481,GL!$I$6408:$I$6452)</f>
        <v>0</v>
      </c>
      <c r="R481" s="341">
        <f t="shared" ref="R481:S481" si="513">P481+N481</f>
        <v>0</v>
      </c>
      <c r="S481" s="341">
        <f t="shared" si="513"/>
        <v>0</v>
      </c>
      <c r="T481" s="340"/>
      <c r="U481" s="340"/>
      <c r="V481" s="340"/>
      <c r="W481" s="340"/>
      <c r="X481" s="341">
        <f t="shared" si="325"/>
        <v>0</v>
      </c>
      <c r="Y481" s="341">
        <f t="shared" si="326"/>
        <v>0</v>
      </c>
      <c r="Z481" s="364"/>
      <c r="AA481" s="330"/>
      <c r="AB481" s="332"/>
      <c r="AC481" s="332"/>
      <c r="AD481" s="110"/>
      <c r="AE481" s="110"/>
      <c r="AF481" s="110"/>
      <c r="AG481" s="110"/>
      <c r="AH481" s="110"/>
      <c r="AI481" s="110"/>
    </row>
    <row r="482" spans="1:35" ht="13.5" customHeight="1">
      <c r="A482" s="4"/>
      <c r="B482" s="15" t="s">
        <v>4638</v>
      </c>
      <c r="C482" s="363" t="s">
        <v>4639</v>
      </c>
      <c r="D482" s="254">
        <f>SUMIF(GL!$D$5:$D$6505,B482,GL!$G$5:$G$6505)</f>
        <v>0</v>
      </c>
      <c r="E482" s="341">
        <f>SUMIF(GL!$D$6:$D$6487,B482,GL!$H$6:$H$6487)</f>
        <v>0</v>
      </c>
      <c r="F482" s="341">
        <f>SUMIF(GL!$D$6:$D$6487,B482,GL!$I$6:$I$6487)</f>
        <v>0</v>
      </c>
      <c r="G482" s="341"/>
      <c r="H482" s="341"/>
      <c r="I482" s="341">
        <f t="shared" si="365"/>
        <v>0</v>
      </c>
      <c r="J482" s="341">
        <f t="shared" si="366"/>
        <v>0</v>
      </c>
      <c r="K482" s="341"/>
      <c r="L482" s="342"/>
      <c r="M482" s="342"/>
      <c r="N482" s="341">
        <f t="shared" si="322"/>
        <v>0</v>
      </c>
      <c r="O482" s="341">
        <f t="shared" si="323"/>
        <v>0</v>
      </c>
      <c r="P482" s="341">
        <f>SUMIF(GL!$D$6488:$D$6532,B482,GL!$H$6488:$H$6532)</f>
        <v>0</v>
      </c>
      <c r="Q482" s="341">
        <f>SUMIF(GL!$D$6408:$D$6452,B482,GL!$I$6408:$I$6452)</f>
        <v>0</v>
      </c>
      <c r="R482" s="341">
        <f t="shared" ref="R482:S482" si="514">P482+N482</f>
        <v>0</v>
      </c>
      <c r="S482" s="341">
        <f t="shared" si="514"/>
        <v>0</v>
      </c>
      <c r="T482" s="340"/>
      <c r="U482" s="340"/>
      <c r="V482" s="340"/>
      <c r="W482" s="340"/>
      <c r="X482" s="341">
        <f t="shared" si="325"/>
        <v>0</v>
      </c>
      <c r="Y482" s="341">
        <f t="shared" si="326"/>
        <v>0</v>
      </c>
      <c r="Z482" s="364"/>
      <c r="AA482" s="330"/>
      <c r="AB482" s="332"/>
      <c r="AC482" s="332"/>
      <c r="AD482" s="110"/>
      <c r="AE482" s="110"/>
      <c r="AF482" s="110"/>
      <c r="AG482" s="110"/>
      <c r="AH482" s="110"/>
      <c r="AI482" s="110"/>
    </row>
    <row r="483" spans="1:35" ht="13.5" customHeight="1">
      <c r="A483" s="4"/>
      <c r="B483" s="15" t="s">
        <v>4640</v>
      </c>
      <c r="C483" s="363" t="s">
        <v>4641</v>
      </c>
      <c r="D483" s="254">
        <f>SUMIF(GL!$D$5:$D$6505,B483,GL!$G$5:$G$6505)</f>
        <v>0</v>
      </c>
      <c r="E483" s="341">
        <f>SUMIF(GL!$D$6:$D$6487,B483,GL!$H$6:$H$6487)</f>
        <v>0</v>
      </c>
      <c r="F483" s="341">
        <f>SUMIF(GL!$D$6:$D$6487,B483,GL!$I$6:$I$6487)</f>
        <v>0</v>
      </c>
      <c r="G483" s="341"/>
      <c r="H483" s="341"/>
      <c r="I483" s="341">
        <f t="shared" si="365"/>
        <v>0</v>
      </c>
      <c r="J483" s="341">
        <f t="shared" si="366"/>
        <v>0</v>
      </c>
      <c r="K483" s="341"/>
      <c r="L483" s="342"/>
      <c r="M483" s="342"/>
      <c r="N483" s="341">
        <f t="shared" si="322"/>
        <v>0</v>
      </c>
      <c r="O483" s="341">
        <f t="shared" si="323"/>
        <v>0</v>
      </c>
      <c r="P483" s="341">
        <f>SUMIF(GL!$D$6488:$D$6532,B483,GL!$H$6488:$H$6532)</f>
        <v>0</v>
      </c>
      <c r="Q483" s="341">
        <f>SUMIF(GL!$D$6408:$D$6452,B483,GL!$I$6408:$I$6452)</f>
        <v>0</v>
      </c>
      <c r="R483" s="341">
        <f t="shared" ref="R483:S483" si="515">P483+N483</f>
        <v>0</v>
      </c>
      <c r="S483" s="341">
        <f t="shared" si="515"/>
        <v>0</v>
      </c>
      <c r="T483" s="340"/>
      <c r="U483" s="340"/>
      <c r="V483" s="340"/>
      <c r="W483" s="340"/>
      <c r="X483" s="341">
        <f t="shared" si="325"/>
        <v>0</v>
      </c>
      <c r="Y483" s="341">
        <f t="shared" si="326"/>
        <v>0</v>
      </c>
      <c r="Z483" s="364"/>
      <c r="AA483" s="330"/>
      <c r="AB483" s="332"/>
      <c r="AC483" s="332"/>
      <c r="AD483" s="110"/>
      <c r="AE483" s="110"/>
      <c r="AF483" s="110"/>
      <c r="AG483" s="110"/>
      <c r="AH483" s="110"/>
      <c r="AI483" s="110"/>
    </row>
    <row r="484" spans="1:35" ht="13.5" customHeight="1">
      <c r="A484" s="4"/>
      <c r="B484" s="15" t="s">
        <v>4642</v>
      </c>
      <c r="C484" s="363" t="s">
        <v>4643</v>
      </c>
      <c r="D484" s="254">
        <f>SUMIF(GL!$D$5:$D$6505,B484,GL!$G$5:$G$6505)</f>
        <v>0</v>
      </c>
      <c r="E484" s="341">
        <f>SUMIF(GL!$D$6:$D$6487,B484,GL!$H$6:$H$6487)</f>
        <v>0</v>
      </c>
      <c r="F484" s="341">
        <f>SUMIF(GL!$D$6:$D$6487,B484,GL!$I$6:$I$6487)</f>
        <v>0</v>
      </c>
      <c r="G484" s="341"/>
      <c r="H484" s="341"/>
      <c r="I484" s="341">
        <f t="shared" si="365"/>
        <v>0</v>
      </c>
      <c r="J484" s="341">
        <f t="shared" si="366"/>
        <v>0</v>
      </c>
      <c r="K484" s="341"/>
      <c r="L484" s="342"/>
      <c r="M484" s="342"/>
      <c r="N484" s="341">
        <f t="shared" si="322"/>
        <v>0</v>
      </c>
      <c r="O484" s="341">
        <f t="shared" si="323"/>
        <v>0</v>
      </c>
      <c r="P484" s="341">
        <f>SUMIF(GL!$D$6488:$D$6532,B484,GL!$H$6488:$H$6532)</f>
        <v>0</v>
      </c>
      <c r="Q484" s="341">
        <f>SUMIF(GL!$D$6408:$D$6452,B484,GL!$I$6408:$I$6452)</f>
        <v>0</v>
      </c>
      <c r="R484" s="341">
        <f t="shared" ref="R484:S484" si="516">P484+N484</f>
        <v>0</v>
      </c>
      <c r="S484" s="341">
        <f t="shared" si="516"/>
        <v>0</v>
      </c>
      <c r="T484" s="340"/>
      <c r="U484" s="340"/>
      <c r="V484" s="340"/>
      <c r="W484" s="340"/>
      <c r="X484" s="341">
        <f t="shared" si="325"/>
        <v>0</v>
      </c>
      <c r="Y484" s="341">
        <f t="shared" si="326"/>
        <v>0</v>
      </c>
      <c r="Z484" s="364"/>
      <c r="AA484" s="330"/>
      <c r="AB484" s="332"/>
      <c r="AC484" s="332"/>
      <c r="AD484" s="110"/>
      <c r="AE484" s="110"/>
      <c r="AF484" s="110"/>
      <c r="AG484" s="110"/>
      <c r="AH484" s="110"/>
      <c r="AI484" s="110"/>
    </row>
    <row r="485" spans="1:35" ht="13.5" customHeight="1">
      <c r="A485" s="4"/>
      <c r="B485" s="15" t="s">
        <v>4644</v>
      </c>
      <c r="C485" s="363" t="s">
        <v>4645</v>
      </c>
      <c r="D485" s="254">
        <f>SUMIF(GL!$D$5:$D$6505,B485,GL!$G$5:$G$6505)</f>
        <v>0</v>
      </c>
      <c r="E485" s="341">
        <f>SUMIF(GL!$D$6:$D$6487,B485,GL!$H$6:$H$6487)</f>
        <v>0</v>
      </c>
      <c r="F485" s="341">
        <f>SUMIF(GL!$D$6:$D$6487,B485,GL!$I$6:$I$6487)</f>
        <v>0</v>
      </c>
      <c r="G485" s="341"/>
      <c r="H485" s="341"/>
      <c r="I485" s="341">
        <f t="shared" si="365"/>
        <v>0</v>
      </c>
      <c r="J485" s="341">
        <f t="shared" si="366"/>
        <v>0</v>
      </c>
      <c r="K485" s="341"/>
      <c r="L485" s="342"/>
      <c r="M485" s="342"/>
      <c r="N485" s="341">
        <f t="shared" si="322"/>
        <v>0</v>
      </c>
      <c r="O485" s="341">
        <f t="shared" si="323"/>
        <v>0</v>
      </c>
      <c r="P485" s="341">
        <f>SUMIF(GL!$D$6488:$D$6532,B485,GL!$H$6488:$H$6532)</f>
        <v>0</v>
      </c>
      <c r="Q485" s="341">
        <f>SUMIF(GL!$D$6408:$D$6452,B485,GL!$I$6408:$I$6452)</f>
        <v>0</v>
      </c>
      <c r="R485" s="341">
        <f t="shared" ref="R485:S485" si="517">P485+N485</f>
        <v>0</v>
      </c>
      <c r="S485" s="341">
        <f t="shared" si="517"/>
        <v>0</v>
      </c>
      <c r="T485" s="340"/>
      <c r="U485" s="340"/>
      <c r="V485" s="340"/>
      <c r="W485" s="340"/>
      <c r="X485" s="341">
        <f t="shared" si="325"/>
        <v>0</v>
      </c>
      <c r="Y485" s="341">
        <f t="shared" si="326"/>
        <v>0</v>
      </c>
      <c r="Z485" s="364"/>
      <c r="AA485" s="330"/>
      <c r="AB485" s="332"/>
      <c r="AC485" s="332"/>
      <c r="AD485" s="110"/>
      <c r="AE485" s="110"/>
      <c r="AF485" s="110"/>
      <c r="AG485" s="110"/>
      <c r="AH485" s="110"/>
      <c r="AI485" s="110"/>
    </row>
    <row r="486" spans="1:35" ht="13.5" customHeight="1">
      <c r="A486" s="4"/>
      <c r="B486" s="15" t="s">
        <v>4646</v>
      </c>
      <c r="C486" s="363" t="s">
        <v>4647</v>
      </c>
      <c r="D486" s="254">
        <f>SUMIF(GL!$D$5:$D$6505,B486,GL!$G$5:$G$6505)</f>
        <v>0</v>
      </c>
      <c r="E486" s="341">
        <f>SUMIF(GL!$D$6:$D$6487,B486,GL!$H$6:$H$6487)</f>
        <v>0</v>
      </c>
      <c r="F486" s="341">
        <f>SUMIF(GL!$D$6:$D$6487,B486,GL!$I$6:$I$6487)</f>
        <v>0</v>
      </c>
      <c r="G486" s="341"/>
      <c r="H486" s="341"/>
      <c r="I486" s="341">
        <f t="shared" si="365"/>
        <v>0</v>
      </c>
      <c r="J486" s="341">
        <f t="shared" si="366"/>
        <v>0</v>
      </c>
      <c r="K486" s="341"/>
      <c r="L486" s="342"/>
      <c r="M486" s="342"/>
      <c r="N486" s="341">
        <f t="shared" si="322"/>
        <v>0</v>
      </c>
      <c r="O486" s="341">
        <f t="shared" si="323"/>
        <v>0</v>
      </c>
      <c r="P486" s="341">
        <f>SUMIF(GL!$D$6488:$D$6532,B486,GL!$H$6488:$H$6532)</f>
        <v>0</v>
      </c>
      <c r="Q486" s="341">
        <f>SUMIF(GL!$D$6408:$D$6452,B486,GL!$I$6408:$I$6452)</f>
        <v>0</v>
      </c>
      <c r="R486" s="341">
        <f t="shared" ref="R486:S486" si="518">P486+N486</f>
        <v>0</v>
      </c>
      <c r="S486" s="341">
        <f t="shared" si="518"/>
        <v>0</v>
      </c>
      <c r="T486" s="340"/>
      <c r="U486" s="340"/>
      <c r="V486" s="340"/>
      <c r="W486" s="340"/>
      <c r="X486" s="341">
        <f t="shared" si="325"/>
        <v>0</v>
      </c>
      <c r="Y486" s="341">
        <f t="shared" si="326"/>
        <v>0</v>
      </c>
      <c r="Z486" s="364"/>
      <c r="AA486" s="330"/>
      <c r="AB486" s="332"/>
      <c r="AC486" s="332"/>
      <c r="AD486" s="110"/>
      <c r="AE486" s="110"/>
      <c r="AF486" s="110"/>
      <c r="AG486" s="110"/>
      <c r="AH486" s="110"/>
      <c r="AI486" s="110"/>
    </row>
    <row r="487" spans="1:35" ht="13.5" customHeight="1">
      <c r="A487" s="4"/>
      <c r="B487" s="15"/>
      <c r="C487" s="260"/>
      <c r="D487" s="254">
        <f>SUMIF(GL!$D$5:$D$6505,B487,GL!$G$5:$G$6505)</f>
        <v>0</v>
      </c>
      <c r="E487" s="341">
        <f>SUMIF(GL!$D$6:$D$6487,B487,GL!$H$6:$H$6487)</f>
        <v>0</v>
      </c>
      <c r="F487" s="341">
        <f>SUMIF(GL!$D$6:$D$6487,B487,GL!$I$6:$I$6487)</f>
        <v>0</v>
      </c>
      <c r="G487" s="341"/>
      <c r="H487" s="341"/>
      <c r="I487" s="341">
        <f t="shared" si="365"/>
        <v>0</v>
      </c>
      <c r="J487" s="341">
        <f t="shared" si="366"/>
        <v>0</v>
      </c>
      <c r="K487" s="341"/>
      <c r="L487" s="342"/>
      <c r="M487" s="342"/>
      <c r="N487" s="341">
        <f t="shared" si="322"/>
        <v>0</v>
      </c>
      <c r="O487" s="341">
        <f t="shared" si="323"/>
        <v>0</v>
      </c>
      <c r="P487" s="341">
        <f>SUMIF(GL!$D$6488:$D$6532,B487,GL!$H$6488:$H$6532)</f>
        <v>0</v>
      </c>
      <c r="Q487" s="341">
        <f>SUMIF(GL!$D$6408:$D$6452,B487,GL!$I$6408:$I$6452)</f>
        <v>0</v>
      </c>
      <c r="R487" s="341">
        <f t="shared" ref="R487:S487" si="519">P487+N487</f>
        <v>0</v>
      </c>
      <c r="S487" s="341">
        <f t="shared" si="519"/>
        <v>0</v>
      </c>
      <c r="T487" s="340"/>
      <c r="U487" s="340"/>
      <c r="V487" s="340"/>
      <c r="W487" s="340"/>
      <c r="X487" s="341">
        <f t="shared" si="325"/>
        <v>0</v>
      </c>
      <c r="Y487" s="341">
        <f t="shared" si="326"/>
        <v>0</v>
      </c>
      <c r="Z487" s="364"/>
      <c r="AA487" s="110"/>
      <c r="AB487" s="332"/>
      <c r="AC487" s="332"/>
      <c r="AD487" s="110"/>
      <c r="AE487" s="110"/>
      <c r="AF487" s="110"/>
      <c r="AG487" s="110"/>
      <c r="AH487" s="110"/>
      <c r="AI487" s="110"/>
    </row>
    <row r="488" spans="1:35" ht="13.5" customHeight="1">
      <c r="A488" s="4"/>
      <c r="B488" s="15"/>
      <c r="C488" s="262"/>
      <c r="D488" s="254">
        <f>SUMIF(GL!$D$5:$D$6505,B488,GL!$G$5:$G$6505)</f>
        <v>0</v>
      </c>
      <c r="E488" s="341">
        <f>SUMIF(GL!$D$6:$D$6487,B488,GL!$H$6:$H$6487)</f>
        <v>0</v>
      </c>
      <c r="F488" s="341">
        <f>SUMIF(GL!$D$6:$D$6487,B488,GL!$I$6:$I$6487)</f>
        <v>0</v>
      </c>
      <c r="G488" s="341"/>
      <c r="H488" s="341"/>
      <c r="I488" s="341">
        <f t="shared" si="365"/>
        <v>0</v>
      </c>
      <c r="J488" s="341">
        <f t="shared" si="366"/>
        <v>0</v>
      </c>
      <c r="K488" s="341"/>
      <c r="L488" s="342"/>
      <c r="M488" s="342"/>
      <c r="N488" s="341">
        <f t="shared" si="322"/>
        <v>0</v>
      </c>
      <c r="O488" s="341">
        <f t="shared" si="323"/>
        <v>0</v>
      </c>
      <c r="P488" s="341">
        <f>SUMIF(GL!$D$6488:$D$6532,B488,GL!$H$6488:$H$6532)</f>
        <v>0</v>
      </c>
      <c r="Q488" s="341">
        <f>SUMIF(GL!$D$6408:$D$6452,B488,GL!$I$6408:$I$6452)</f>
        <v>0</v>
      </c>
      <c r="R488" s="341">
        <f t="shared" ref="R488:S488" si="520">P488+N488</f>
        <v>0</v>
      </c>
      <c r="S488" s="341">
        <f t="shared" si="520"/>
        <v>0</v>
      </c>
      <c r="T488" s="340"/>
      <c r="U488" s="340"/>
      <c r="V488" s="340"/>
      <c r="W488" s="340"/>
      <c r="X488" s="341">
        <f t="shared" si="325"/>
        <v>0</v>
      </c>
      <c r="Y488" s="341">
        <f t="shared" si="326"/>
        <v>0</v>
      </c>
      <c r="Z488" s="246"/>
      <c r="AA488" s="110"/>
      <c r="AB488" s="332"/>
      <c r="AC488" s="332"/>
      <c r="AD488" s="110"/>
      <c r="AE488" s="110"/>
      <c r="AF488" s="110"/>
      <c r="AG488" s="110"/>
      <c r="AH488" s="110"/>
      <c r="AI488" s="110"/>
    </row>
    <row r="489" spans="1:35" ht="13.5" customHeight="1">
      <c r="A489" s="4"/>
      <c r="B489" s="15"/>
      <c r="C489" s="261" t="s">
        <v>3835</v>
      </c>
      <c r="D489" s="254">
        <f>SUMIF(GL!$D$5:$D$6505,B489,GL!$G$5:$G$6505)</f>
        <v>0</v>
      </c>
      <c r="E489" s="341">
        <f>SUMIF(GL!$D$6:$D$6487,B489,GL!$H$6:$H$6487)</f>
        <v>0</v>
      </c>
      <c r="F489" s="341">
        <f>SUMIF(GL!$D$6:$D$6487,B489,GL!$I$6:$I$6487)</f>
        <v>0</v>
      </c>
      <c r="G489" s="341"/>
      <c r="H489" s="341"/>
      <c r="I489" s="341">
        <f t="shared" si="365"/>
        <v>0</v>
      </c>
      <c r="J489" s="341">
        <f t="shared" si="366"/>
        <v>0</v>
      </c>
      <c r="K489" s="341"/>
      <c r="L489" s="342"/>
      <c r="M489" s="342"/>
      <c r="N489" s="341">
        <f t="shared" si="322"/>
        <v>0</v>
      </c>
      <c r="O489" s="341">
        <f t="shared" si="323"/>
        <v>0</v>
      </c>
      <c r="P489" s="341">
        <f>SUMIF(GL!$D$6488:$D$6532,B489,GL!$H$6488:$H$6532)</f>
        <v>0</v>
      </c>
      <c r="Q489" s="341">
        <f>SUMIF(GL!$D$6408:$D$6452,B489,GL!$I$6408:$I$6452)</f>
        <v>0</v>
      </c>
      <c r="R489" s="341">
        <f t="shared" ref="R489:S489" si="521">P489+N489</f>
        <v>0</v>
      </c>
      <c r="S489" s="341">
        <f t="shared" si="521"/>
        <v>0</v>
      </c>
      <c r="T489" s="340"/>
      <c r="U489" s="340"/>
      <c r="V489" s="340"/>
      <c r="W489" s="340"/>
      <c r="X489" s="341">
        <f t="shared" si="325"/>
        <v>0</v>
      </c>
      <c r="Y489" s="341">
        <f t="shared" si="326"/>
        <v>0</v>
      </c>
      <c r="Z489" s="246"/>
      <c r="AA489" s="110"/>
      <c r="AB489" s="332"/>
      <c r="AC489" s="332"/>
      <c r="AD489" s="110"/>
      <c r="AE489" s="110"/>
      <c r="AF489" s="110"/>
      <c r="AG489" s="110"/>
      <c r="AH489" s="110"/>
      <c r="AI489" s="110"/>
    </row>
    <row r="490" spans="1:35" ht="13.5" customHeight="1">
      <c r="A490" s="4"/>
      <c r="B490" s="15" t="s">
        <v>4648</v>
      </c>
      <c r="C490" s="363" t="s">
        <v>4649</v>
      </c>
      <c r="D490" s="254">
        <f>SUMIF(GL!$D$5:$D$6505,B490,GL!$G$5:$G$6505)</f>
        <v>0</v>
      </c>
      <c r="E490" s="341">
        <f>SUMIF(GL!$D$6:$D$6487,B490,GL!$H$6:$H$6487)</f>
        <v>0</v>
      </c>
      <c r="F490" s="341">
        <f>SUMIF(GL!$D$6:$D$6487,B490,GL!$I$6:$I$6487)</f>
        <v>0</v>
      </c>
      <c r="G490" s="341"/>
      <c r="H490" s="341"/>
      <c r="I490" s="341">
        <f t="shared" si="365"/>
        <v>0</v>
      </c>
      <c r="J490" s="341">
        <f t="shared" si="366"/>
        <v>0</v>
      </c>
      <c r="K490" s="341"/>
      <c r="L490" s="342"/>
      <c r="M490" s="342"/>
      <c r="N490" s="341">
        <f t="shared" si="322"/>
        <v>0</v>
      </c>
      <c r="O490" s="341">
        <f t="shared" si="323"/>
        <v>0</v>
      </c>
      <c r="P490" s="341">
        <f>SUMIF(GL!$D$6488:$D$6532,B490,GL!$H$6488:$H$6532)</f>
        <v>0</v>
      </c>
      <c r="Q490" s="341">
        <f>SUMIF(GL!$D$6408:$D$6452,B490,GL!$I$6408:$I$6452)</f>
        <v>0</v>
      </c>
      <c r="R490" s="341">
        <f t="shared" ref="R490:S490" si="522">P490+N490</f>
        <v>0</v>
      </c>
      <c r="S490" s="341">
        <f t="shared" si="522"/>
        <v>0</v>
      </c>
      <c r="T490" s="340"/>
      <c r="U490" s="340"/>
      <c r="V490" s="340"/>
      <c r="W490" s="340"/>
      <c r="X490" s="341">
        <f t="shared" si="325"/>
        <v>0</v>
      </c>
      <c r="Y490" s="341">
        <f t="shared" si="326"/>
        <v>0</v>
      </c>
      <c r="Z490" s="364"/>
      <c r="AA490" s="330"/>
      <c r="AB490" s="332"/>
      <c r="AC490" s="332"/>
      <c r="AD490" s="110"/>
      <c r="AE490" s="110"/>
      <c r="AF490" s="110"/>
      <c r="AG490" s="110"/>
      <c r="AH490" s="110"/>
      <c r="AI490" s="110"/>
    </row>
    <row r="491" spans="1:35" ht="13.5" customHeight="1">
      <c r="A491" s="4"/>
      <c r="B491" s="368" t="s">
        <v>4650</v>
      </c>
      <c r="C491" s="369" t="s">
        <v>4651</v>
      </c>
      <c r="D491" s="370">
        <f>SUMIF(GL!$D$5:$D$6505,B491,GL!$G$5:$G$6505)</f>
        <v>0</v>
      </c>
      <c r="E491" s="371">
        <f>SUMIF(GL!$D$6:$D$6487,B491,GL!$H$6:$H$6487)</f>
        <v>0</v>
      </c>
      <c r="F491" s="371">
        <f>SUMIF(GL!$D$6:$D$6487,B491,GL!$I$6:$I$6487)</f>
        <v>0</v>
      </c>
      <c r="G491" s="371"/>
      <c r="H491" s="371"/>
      <c r="I491" s="371">
        <f t="shared" si="365"/>
        <v>0</v>
      </c>
      <c r="J491" s="371">
        <f t="shared" si="366"/>
        <v>0</v>
      </c>
      <c r="K491" s="371"/>
      <c r="L491" s="371"/>
      <c r="M491" s="371"/>
      <c r="N491" s="371">
        <f t="shared" si="322"/>
        <v>0</v>
      </c>
      <c r="O491" s="371">
        <f t="shared" si="323"/>
        <v>0</v>
      </c>
      <c r="P491" s="371">
        <f>SUMIF(GL!$D$6488:$D$6532,B491,GL!$H$6488:$H$6532)</f>
        <v>0</v>
      </c>
      <c r="Q491" s="371">
        <f>SUMIF(GL!$D$6408:$D$6452,B491,GL!$I$6408:$I$6452)</f>
        <v>0</v>
      </c>
      <c r="R491" s="371">
        <f t="shared" ref="R491:S491" si="523">P491+N491</f>
        <v>0</v>
      </c>
      <c r="S491" s="371">
        <f t="shared" si="523"/>
        <v>0</v>
      </c>
      <c r="T491" s="372"/>
      <c r="U491" s="372"/>
      <c r="V491" s="372"/>
      <c r="W491" s="372"/>
      <c r="X491" s="371">
        <f t="shared" si="325"/>
        <v>0</v>
      </c>
      <c r="Y491" s="371">
        <f t="shared" si="326"/>
        <v>0</v>
      </c>
      <c r="Z491" s="364"/>
      <c r="AA491" s="330"/>
      <c r="AB491" s="332"/>
      <c r="AC491" s="332"/>
      <c r="AD491" s="110"/>
      <c r="AE491" s="110"/>
      <c r="AF491" s="110"/>
      <c r="AG491" s="110"/>
      <c r="AH491" s="110"/>
      <c r="AI491" s="110"/>
    </row>
    <row r="492" spans="1:35" ht="13.5" customHeight="1">
      <c r="A492" s="4"/>
      <c r="B492" s="15" t="s">
        <v>3021</v>
      </c>
      <c r="C492" s="363" t="s">
        <v>4652</v>
      </c>
      <c r="D492" s="254">
        <f>SUMIF(GL!$D$5:$D$6505,B492,GL!$G$5:$G$6505)</f>
        <v>2</v>
      </c>
      <c r="E492" s="341">
        <f>SUMIF(GL!$D$6:$D$6487,B492,GL!$H$6:$H$6487)</f>
        <v>790000</v>
      </c>
      <c r="F492" s="341">
        <f>SUMIF(GL!$D$6:$D$6487,B492,GL!$I$6:$I$6487)</f>
        <v>0</v>
      </c>
      <c r="G492" s="341"/>
      <c r="H492" s="341"/>
      <c r="I492" s="341">
        <f t="shared" si="365"/>
        <v>790000</v>
      </c>
      <c r="J492" s="341">
        <f t="shared" si="366"/>
        <v>0</v>
      </c>
      <c r="K492" s="341"/>
      <c r="L492" s="342"/>
      <c r="M492" s="342"/>
      <c r="N492" s="341">
        <f t="shared" si="322"/>
        <v>790000</v>
      </c>
      <c r="O492" s="341">
        <f t="shared" si="323"/>
        <v>0</v>
      </c>
      <c r="P492" s="341">
        <f>SUMIF(GL!$D$6488:$D$6532,B492,GL!$H$6488:$H$6532)</f>
        <v>0</v>
      </c>
      <c r="Q492" s="341">
        <f>SUMIF(GL!$D$6408:$D$6452,B492,GL!$I$6408:$I$6452)</f>
        <v>0</v>
      </c>
      <c r="R492" s="341">
        <f t="shared" ref="R492:S492" si="524">P492+N492</f>
        <v>790000</v>
      </c>
      <c r="S492" s="341">
        <f t="shared" si="524"/>
        <v>0</v>
      </c>
      <c r="T492" s="340"/>
      <c r="U492" s="340"/>
      <c r="V492" s="340"/>
      <c r="W492" s="340"/>
      <c r="X492" s="341">
        <f t="shared" si="325"/>
        <v>790000</v>
      </c>
      <c r="Y492" s="341">
        <f t="shared" si="326"/>
        <v>0</v>
      </c>
      <c r="Z492" s="364"/>
      <c r="AA492" s="330"/>
      <c r="AB492" s="332"/>
      <c r="AC492" s="332"/>
      <c r="AD492" s="110"/>
      <c r="AE492" s="110"/>
      <c r="AF492" s="110"/>
      <c r="AG492" s="110"/>
      <c r="AH492" s="110"/>
      <c r="AI492" s="110"/>
    </row>
    <row r="493" spans="1:35" ht="13.5" customHeight="1">
      <c r="A493" s="4"/>
      <c r="B493" s="15" t="s">
        <v>4653</v>
      </c>
      <c r="C493" s="363" t="s">
        <v>4654</v>
      </c>
      <c r="D493" s="254">
        <f>SUMIF(GL!$D$5:$D$6505,B493,GL!$G$5:$G$6505)</f>
        <v>0</v>
      </c>
      <c r="E493" s="341">
        <f>SUMIF(GL!$D$6:$D$6487,B493,GL!$H$6:$H$6487)</f>
        <v>0</v>
      </c>
      <c r="F493" s="341">
        <f>SUMIF(GL!$D$6:$D$6487,B493,GL!$I$6:$I$6487)</f>
        <v>0</v>
      </c>
      <c r="G493" s="341"/>
      <c r="H493" s="341"/>
      <c r="I493" s="341">
        <f t="shared" si="365"/>
        <v>0</v>
      </c>
      <c r="J493" s="341">
        <f t="shared" si="366"/>
        <v>0</v>
      </c>
      <c r="K493" s="341"/>
      <c r="L493" s="342"/>
      <c r="M493" s="342"/>
      <c r="N493" s="341">
        <f t="shared" si="322"/>
        <v>0</v>
      </c>
      <c r="O493" s="341">
        <f t="shared" si="323"/>
        <v>0</v>
      </c>
      <c r="P493" s="341">
        <f>SUMIF(GL!$D$6488:$D$6532,B493,GL!$H$6488:$H$6532)</f>
        <v>0</v>
      </c>
      <c r="Q493" s="341">
        <f>SUMIF(GL!$D$6408:$D$6452,B493,GL!$I$6408:$I$6452)</f>
        <v>0</v>
      </c>
      <c r="R493" s="341">
        <f t="shared" ref="R493:S493" si="525">P493+N493</f>
        <v>0</v>
      </c>
      <c r="S493" s="341">
        <f t="shared" si="525"/>
        <v>0</v>
      </c>
      <c r="T493" s="340"/>
      <c r="U493" s="340"/>
      <c r="V493" s="340"/>
      <c r="W493" s="340"/>
      <c r="X493" s="341">
        <f t="shared" si="325"/>
        <v>0</v>
      </c>
      <c r="Y493" s="341">
        <f t="shared" si="326"/>
        <v>0</v>
      </c>
      <c r="Z493" s="364"/>
      <c r="AA493" s="330"/>
      <c r="AB493" s="332"/>
      <c r="AC493" s="332"/>
      <c r="AD493" s="110"/>
      <c r="AE493" s="110"/>
      <c r="AF493" s="110"/>
      <c r="AG493" s="110"/>
      <c r="AH493" s="110"/>
      <c r="AI493" s="110"/>
    </row>
    <row r="494" spans="1:35" ht="13.5" customHeight="1">
      <c r="A494" s="4"/>
      <c r="B494" s="15" t="s">
        <v>4655</v>
      </c>
      <c r="C494" s="341" t="s">
        <v>4656</v>
      </c>
      <c r="D494" s="254">
        <f>SUMIF(GL!$D$5:$D$6505,B494,GL!$G$5:$G$6505)</f>
        <v>0</v>
      </c>
      <c r="E494" s="341">
        <f>SUMIF(GL!$D$6:$D$6487,B494,GL!$H$6:$H$6487)</f>
        <v>0</v>
      </c>
      <c r="F494" s="341">
        <f>SUMIF(GL!$D$6:$D$6487,B494,GL!$I$6:$I$6487)</f>
        <v>0</v>
      </c>
      <c r="G494" s="341"/>
      <c r="H494" s="341"/>
      <c r="I494" s="341">
        <f t="shared" si="365"/>
        <v>0</v>
      </c>
      <c r="J494" s="341">
        <f t="shared" si="366"/>
        <v>0</v>
      </c>
      <c r="K494" s="341"/>
      <c r="L494" s="342"/>
      <c r="M494" s="342"/>
      <c r="N494" s="341">
        <f t="shared" si="322"/>
        <v>0</v>
      </c>
      <c r="O494" s="341">
        <f t="shared" si="323"/>
        <v>0</v>
      </c>
      <c r="P494" s="341">
        <f>SUMIF(GL!$D$6488:$D$6532,B494,GL!$H$6488:$H$6532)</f>
        <v>0</v>
      </c>
      <c r="Q494" s="341">
        <f>SUMIF(GL!$D$6408:$D$6452,B494,GL!$I$6408:$I$6452)</f>
        <v>0</v>
      </c>
      <c r="R494" s="341">
        <f t="shared" ref="R494:S494" si="526">P494+N494</f>
        <v>0</v>
      </c>
      <c r="S494" s="341">
        <f t="shared" si="526"/>
        <v>0</v>
      </c>
      <c r="T494" s="340"/>
      <c r="U494" s="340"/>
      <c r="V494" s="340"/>
      <c r="W494" s="340"/>
      <c r="X494" s="341">
        <f t="shared" si="325"/>
        <v>0</v>
      </c>
      <c r="Y494" s="341">
        <f t="shared" si="326"/>
        <v>0</v>
      </c>
      <c r="Z494" s="364"/>
      <c r="AA494" s="330"/>
      <c r="AB494" s="332"/>
      <c r="AC494" s="332"/>
      <c r="AD494" s="110"/>
      <c r="AE494" s="110"/>
      <c r="AF494" s="110"/>
      <c r="AG494" s="110"/>
      <c r="AH494" s="110"/>
      <c r="AI494" s="110"/>
    </row>
    <row r="495" spans="1:35" ht="13.5" customHeight="1">
      <c r="A495" s="4"/>
      <c r="B495" s="15" t="s">
        <v>4657</v>
      </c>
      <c r="C495" s="363" t="s">
        <v>4658</v>
      </c>
      <c r="D495" s="254">
        <f>SUMIF(GL!$D$5:$D$6505,B495,GL!$G$5:$G$6505)</f>
        <v>0</v>
      </c>
      <c r="E495" s="341">
        <f>SUMIF(GL!$D$6:$D$6487,B495,GL!$H$6:$H$6487)</f>
        <v>0</v>
      </c>
      <c r="F495" s="341">
        <f>SUMIF(GL!$D$6:$D$6487,B495,GL!$I$6:$I$6487)</f>
        <v>0</v>
      </c>
      <c r="G495" s="341"/>
      <c r="H495" s="341"/>
      <c r="I495" s="341">
        <f t="shared" si="365"/>
        <v>0</v>
      </c>
      <c r="J495" s="341">
        <f t="shared" si="366"/>
        <v>0</v>
      </c>
      <c r="K495" s="341"/>
      <c r="L495" s="342"/>
      <c r="M495" s="342"/>
      <c r="N495" s="341">
        <f t="shared" si="322"/>
        <v>0</v>
      </c>
      <c r="O495" s="341">
        <f t="shared" si="323"/>
        <v>0</v>
      </c>
      <c r="P495" s="341">
        <f>SUMIF(GL!$D$6488:$D$6532,B495,GL!$H$6488:$H$6532)</f>
        <v>0</v>
      </c>
      <c r="Q495" s="341">
        <f>SUMIF(GL!$D$6408:$D$6452,B495,GL!$I$6408:$I$6452)</f>
        <v>0</v>
      </c>
      <c r="R495" s="341">
        <f t="shared" ref="R495:S495" si="527">P495+N495</f>
        <v>0</v>
      </c>
      <c r="S495" s="341">
        <f t="shared" si="527"/>
        <v>0</v>
      </c>
      <c r="T495" s="340"/>
      <c r="U495" s="340"/>
      <c r="V495" s="340"/>
      <c r="W495" s="340"/>
      <c r="X495" s="341">
        <f t="shared" si="325"/>
        <v>0</v>
      </c>
      <c r="Y495" s="341">
        <f t="shared" si="326"/>
        <v>0</v>
      </c>
      <c r="Z495" s="364"/>
      <c r="AA495" s="330"/>
      <c r="AB495" s="332"/>
      <c r="AC495" s="332"/>
      <c r="AD495" s="110"/>
      <c r="AE495" s="110"/>
      <c r="AF495" s="110"/>
      <c r="AG495" s="110"/>
      <c r="AH495" s="110"/>
      <c r="AI495" s="110"/>
    </row>
    <row r="496" spans="1:35" ht="13.5" customHeight="1">
      <c r="A496" s="4"/>
      <c r="B496" s="15" t="s">
        <v>4659</v>
      </c>
      <c r="C496" s="363" t="s">
        <v>4660</v>
      </c>
      <c r="D496" s="254">
        <f>SUMIF(GL!$D$5:$D$6505,B496,GL!$G$5:$G$6505)</f>
        <v>0</v>
      </c>
      <c r="E496" s="341">
        <f>SUMIF(GL!$D$6:$D$6487,B496,GL!$H$6:$H$6487)</f>
        <v>0</v>
      </c>
      <c r="F496" s="341">
        <f>SUMIF(GL!$D$6:$D$6487,B496,GL!$I$6:$I$6487)</f>
        <v>0</v>
      </c>
      <c r="G496" s="341"/>
      <c r="H496" s="341"/>
      <c r="I496" s="341">
        <f t="shared" si="365"/>
        <v>0</v>
      </c>
      <c r="J496" s="341">
        <f t="shared" si="366"/>
        <v>0</v>
      </c>
      <c r="K496" s="341"/>
      <c r="L496" s="342"/>
      <c r="M496" s="342"/>
      <c r="N496" s="341">
        <f t="shared" si="322"/>
        <v>0</v>
      </c>
      <c r="O496" s="341">
        <f t="shared" si="323"/>
        <v>0</v>
      </c>
      <c r="P496" s="341">
        <f>SUMIF(GL!$D$6488:$D$6532,B496,GL!$H$6488:$H$6532)</f>
        <v>0</v>
      </c>
      <c r="Q496" s="341">
        <f>SUMIF(GL!$D$6408:$D$6452,B496,GL!$I$6408:$I$6452)</f>
        <v>0</v>
      </c>
      <c r="R496" s="341">
        <f t="shared" ref="R496:S496" si="528">P496+N496</f>
        <v>0</v>
      </c>
      <c r="S496" s="341">
        <f t="shared" si="528"/>
        <v>0</v>
      </c>
      <c r="T496" s="340"/>
      <c r="U496" s="340"/>
      <c r="V496" s="340"/>
      <c r="W496" s="340"/>
      <c r="X496" s="341">
        <f t="shared" si="325"/>
        <v>0</v>
      </c>
      <c r="Y496" s="341">
        <f t="shared" si="326"/>
        <v>0</v>
      </c>
      <c r="Z496" s="364"/>
      <c r="AA496" s="330"/>
      <c r="AB496" s="332"/>
      <c r="AC496" s="332"/>
      <c r="AD496" s="110"/>
      <c r="AE496" s="110"/>
      <c r="AF496" s="110"/>
      <c r="AG496" s="110"/>
      <c r="AH496" s="110"/>
      <c r="AI496" s="110"/>
    </row>
    <row r="497" spans="1:35" ht="13.5" customHeight="1">
      <c r="A497" s="4"/>
      <c r="B497" s="15" t="s">
        <v>4661</v>
      </c>
      <c r="C497" s="278" t="s">
        <v>4662</v>
      </c>
      <c r="D497" s="254">
        <f>SUMIF(GL!$D$5:$D$6505,B497,GL!$G$5:$G$6505)</f>
        <v>0</v>
      </c>
      <c r="E497" s="341">
        <f>SUMIF(GL!$D$6:$D$6487,B497,GL!$H$6:$H$6487)</f>
        <v>0</v>
      </c>
      <c r="F497" s="341">
        <f>SUMIF(GL!$D$6:$D$6487,B497,GL!$I$6:$I$6487)</f>
        <v>0</v>
      </c>
      <c r="G497" s="341"/>
      <c r="H497" s="341"/>
      <c r="I497" s="341">
        <f t="shared" si="365"/>
        <v>0</v>
      </c>
      <c r="J497" s="341">
        <f t="shared" si="366"/>
        <v>0</v>
      </c>
      <c r="K497" s="341"/>
      <c r="L497" s="342"/>
      <c r="M497" s="342"/>
      <c r="N497" s="341">
        <f t="shared" si="322"/>
        <v>0</v>
      </c>
      <c r="O497" s="341">
        <f t="shared" si="323"/>
        <v>0</v>
      </c>
      <c r="P497" s="341">
        <f>SUMIF(GL!$D$6488:$D$6532,B497,GL!$H$6488:$H$6532)</f>
        <v>0</v>
      </c>
      <c r="Q497" s="341">
        <f>SUMIF(GL!$D$6408:$D$6452,B497,GL!$I$6408:$I$6452)</f>
        <v>0</v>
      </c>
      <c r="R497" s="341">
        <f t="shared" ref="R497:S497" si="529">P497+N497</f>
        <v>0</v>
      </c>
      <c r="S497" s="341">
        <f t="shared" si="529"/>
        <v>0</v>
      </c>
      <c r="T497" s="340"/>
      <c r="U497" s="340"/>
      <c r="V497" s="340"/>
      <c r="W497" s="340"/>
      <c r="X497" s="341">
        <f t="shared" si="325"/>
        <v>0</v>
      </c>
      <c r="Y497" s="341">
        <f t="shared" si="326"/>
        <v>0</v>
      </c>
      <c r="Z497" s="364"/>
      <c r="AA497" s="330"/>
      <c r="AB497" s="332"/>
      <c r="AC497" s="332"/>
      <c r="AD497" s="110"/>
      <c r="AE497" s="110"/>
      <c r="AF497" s="110"/>
      <c r="AG497" s="110"/>
      <c r="AH497" s="110"/>
      <c r="AI497" s="110"/>
    </row>
    <row r="498" spans="1:35" ht="13.5" customHeight="1">
      <c r="A498" s="4"/>
      <c r="B498" s="15" t="s">
        <v>4663</v>
      </c>
      <c r="C498" s="363" t="s">
        <v>4664</v>
      </c>
      <c r="D498" s="254">
        <f>SUMIF(GL!$D$5:$D$6505,B498,GL!$G$5:$G$6505)</f>
        <v>0</v>
      </c>
      <c r="E498" s="341">
        <f>SUMIF(GL!$D$6:$D$6487,B498,GL!$H$6:$H$6487)</f>
        <v>0</v>
      </c>
      <c r="F498" s="341">
        <f>SUMIF(GL!$D$6:$D$6487,B498,GL!$I$6:$I$6487)</f>
        <v>0</v>
      </c>
      <c r="G498" s="341"/>
      <c r="H498" s="341"/>
      <c r="I498" s="341">
        <f t="shared" si="365"/>
        <v>0</v>
      </c>
      <c r="J498" s="341">
        <f t="shared" si="366"/>
        <v>0</v>
      </c>
      <c r="K498" s="341"/>
      <c r="L498" s="342"/>
      <c r="M498" s="342"/>
      <c r="N498" s="341">
        <f t="shared" si="322"/>
        <v>0</v>
      </c>
      <c r="O498" s="341">
        <f t="shared" si="323"/>
        <v>0</v>
      </c>
      <c r="P498" s="341">
        <f>SUMIF(GL!$D$6488:$D$6532,B498,GL!$H$6488:$H$6532)</f>
        <v>0</v>
      </c>
      <c r="Q498" s="341">
        <f>SUMIF(GL!$D$6408:$D$6452,B498,GL!$I$6408:$I$6452)</f>
        <v>0</v>
      </c>
      <c r="R498" s="341">
        <f t="shared" ref="R498:S498" si="530">P498+N498</f>
        <v>0</v>
      </c>
      <c r="S498" s="341">
        <f t="shared" si="530"/>
        <v>0</v>
      </c>
      <c r="T498" s="340"/>
      <c r="U498" s="340"/>
      <c r="V498" s="340"/>
      <c r="W498" s="340"/>
      <c r="X498" s="341">
        <f t="shared" si="325"/>
        <v>0</v>
      </c>
      <c r="Y498" s="341">
        <f t="shared" si="326"/>
        <v>0</v>
      </c>
      <c r="Z498" s="364"/>
      <c r="AA498" s="330"/>
      <c r="AB498" s="332"/>
      <c r="AC498" s="332"/>
      <c r="AD498" s="110"/>
      <c r="AE498" s="110"/>
      <c r="AF498" s="110"/>
      <c r="AG498" s="110"/>
      <c r="AH498" s="110"/>
      <c r="AI498" s="110"/>
    </row>
    <row r="499" spans="1:35" ht="13.5" customHeight="1">
      <c r="A499" s="4"/>
      <c r="B499" s="15" t="s">
        <v>4665</v>
      </c>
      <c r="C499" s="341" t="s">
        <v>4666</v>
      </c>
      <c r="D499" s="254">
        <f>SUMIF(GL!$D$5:$D$6505,B499,GL!$G$5:$G$6505)</f>
        <v>0</v>
      </c>
      <c r="E499" s="341">
        <f>SUMIF(GL!$D$6:$D$6487,B499,GL!$H$6:$H$6487)</f>
        <v>0</v>
      </c>
      <c r="F499" s="341">
        <f>SUMIF(GL!$D$6:$D$6487,B499,GL!$I$6:$I$6487)</f>
        <v>0</v>
      </c>
      <c r="G499" s="341"/>
      <c r="H499" s="341"/>
      <c r="I499" s="341">
        <f t="shared" si="365"/>
        <v>0</v>
      </c>
      <c r="J499" s="341">
        <f t="shared" si="366"/>
        <v>0</v>
      </c>
      <c r="K499" s="341"/>
      <c r="L499" s="342"/>
      <c r="M499" s="342"/>
      <c r="N499" s="341">
        <f t="shared" si="322"/>
        <v>0</v>
      </c>
      <c r="O499" s="341">
        <f t="shared" si="323"/>
        <v>0</v>
      </c>
      <c r="P499" s="341">
        <f>SUMIF(GL!$D$6488:$D$6532,B499,GL!$H$6488:$H$6532)</f>
        <v>0</v>
      </c>
      <c r="Q499" s="341">
        <f>SUMIF(GL!$D$6408:$D$6452,B499,GL!$I$6408:$I$6452)</f>
        <v>0</v>
      </c>
      <c r="R499" s="341">
        <f t="shared" ref="R499:S499" si="531">P499+N499</f>
        <v>0</v>
      </c>
      <c r="S499" s="341">
        <f t="shared" si="531"/>
        <v>0</v>
      </c>
      <c r="T499" s="340"/>
      <c r="U499" s="340"/>
      <c r="V499" s="340"/>
      <c r="W499" s="340"/>
      <c r="X499" s="341">
        <f t="shared" si="325"/>
        <v>0</v>
      </c>
      <c r="Y499" s="341">
        <f t="shared" si="326"/>
        <v>0</v>
      </c>
      <c r="Z499" s="364"/>
      <c r="AA499" s="330"/>
      <c r="AB499" s="332"/>
      <c r="AC499" s="332"/>
      <c r="AD499" s="110"/>
      <c r="AE499" s="110"/>
      <c r="AF499" s="110"/>
      <c r="AG499" s="110"/>
      <c r="AH499" s="110"/>
      <c r="AI499" s="110"/>
    </row>
    <row r="500" spans="1:35" ht="13.5" customHeight="1">
      <c r="A500" s="4"/>
      <c r="B500" s="15" t="s">
        <v>4667</v>
      </c>
      <c r="C500" s="363" t="s">
        <v>4668</v>
      </c>
      <c r="D500" s="254">
        <f>SUMIF(GL!$D$5:$D$6505,B500,GL!$G$5:$G$6505)</f>
        <v>0</v>
      </c>
      <c r="E500" s="341">
        <f>SUMIF(GL!$D$6:$D$6487,B500,GL!$H$6:$H$6487)</f>
        <v>0</v>
      </c>
      <c r="F500" s="341">
        <f>SUMIF(GL!$D$6:$D$6487,B500,GL!$I$6:$I$6487)</f>
        <v>0</v>
      </c>
      <c r="G500" s="341"/>
      <c r="H500" s="341"/>
      <c r="I500" s="341">
        <f t="shared" si="365"/>
        <v>0</v>
      </c>
      <c r="J500" s="341">
        <f t="shared" si="366"/>
        <v>0</v>
      </c>
      <c r="K500" s="341"/>
      <c r="L500" s="342"/>
      <c r="M500" s="342"/>
      <c r="N500" s="341">
        <f t="shared" si="322"/>
        <v>0</v>
      </c>
      <c r="O500" s="341">
        <f t="shared" si="323"/>
        <v>0</v>
      </c>
      <c r="P500" s="341">
        <f>SUMIF(GL!$D$6488:$D$6532,B500,GL!$H$6488:$H$6532)</f>
        <v>0</v>
      </c>
      <c r="Q500" s="341">
        <f>SUMIF(GL!$D$6408:$D$6452,B500,GL!$I$6408:$I$6452)</f>
        <v>0</v>
      </c>
      <c r="R500" s="341">
        <f t="shared" ref="R500:S500" si="532">P500+N500</f>
        <v>0</v>
      </c>
      <c r="S500" s="341">
        <f t="shared" si="532"/>
        <v>0</v>
      </c>
      <c r="T500" s="340"/>
      <c r="U500" s="340"/>
      <c r="V500" s="340"/>
      <c r="W500" s="340"/>
      <c r="X500" s="341">
        <f t="shared" si="325"/>
        <v>0</v>
      </c>
      <c r="Y500" s="341">
        <f t="shared" si="326"/>
        <v>0</v>
      </c>
      <c r="Z500" s="364"/>
      <c r="AA500" s="330"/>
      <c r="AB500" s="332"/>
      <c r="AC500" s="332"/>
      <c r="AD500" s="110"/>
      <c r="AE500" s="110"/>
      <c r="AF500" s="110"/>
      <c r="AG500" s="110"/>
      <c r="AH500" s="110"/>
      <c r="AI500" s="110"/>
    </row>
    <row r="501" spans="1:35" ht="13.5" customHeight="1">
      <c r="A501" s="4"/>
      <c r="B501" s="15" t="s">
        <v>4669</v>
      </c>
      <c r="C501" s="363" t="s">
        <v>4670</v>
      </c>
      <c r="D501" s="254">
        <f>SUMIF(GL!$D$5:$D$6505,B501,GL!$G$5:$G$6505)</f>
        <v>0</v>
      </c>
      <c r="E501" s="341">
        <f>SUMIF(GL!$D$6:$D$6487,B501,GL!$H$6:$H$6487)</f>
        <v>0</v>
      </c>
      <c r="F501" s="341">
        <f>SUMIF(GL!$D$6:$D$6487,B501,GL!$I$6:$I$6487)</f>
        <v>0</v>
      </c>
      <c r="G501" s="341"/>
      <c r="H501" s="341"/>
      <c r="I501" s="341">
        <f t="shared" si="365"/>
        <v>0</v>
      </c>
      <c r="J501" s="341">
        <f t="shared" si="366"/>
        <v>0</v>
      </c>
      <c r="K501" s="341"/>
      <c r="L501" s="342"/>
      <c r="M501" s="342"/>
      <c r="N501" s="341">
        <f t="shared" si="322"/>
        <v>0</v>
      </c>
      <c r="O501" s="341">
        <f t="shared" si="323"/>
        <v>0</v>
      </c>
      <c r="P501" s="341">
        <f>SUMIF(GL!$D$6488:$D$6532,B501,GL!$H$6488:$H$6532)</f>
        <v>0</v>
      </c>
      <c r="Q501" s="341">
        <f>SUMIF(GL!$D$6408:$D$6452,B501,GL!$I$6408:$I$6452)</f>
        <v>0</v>
      </c>
      <c r="R501" s="341">
        <f t="shared" ref="R501:S501" si="533">P501+N501</f>
        <v>0</v>
      </c>
      <c r="S501" s="341">
        <f t="shared" si="533"/>
        <v>0</v>
      </c>
      <c r="T501" s="340"/>
      <c r="U501" s="340"/>
      <c r="V501" s="340"/>
      <c r="W501" s="340"/>
      <c r="X501" s="341">
        <f t="shared" si="325"/>
        <v>0</v>
      </c>
      <c r="Y501" s="341">
        <f t="shared" si="326"/>
        <v>0</v>
      </c>
      <c r="Z501" s="364"/>
      <c r="AA501" s="330"/>
      <c r="AB501" s="332"/>
      <c r="AC501" s="332"/>
      <c r="AD501" s="110"/>
      <c r="AE501" s="110"/>
      <c r="AF501" s="110"/>
      <c r="AG501" s="110"/>
      <c r="AH501" s="110"/>
      <c r="AI501" s="110"/>
    </row>
    <row r="502" spans="1:35" ht="13.5" customHeight="1">
      <c r="A502" s="4"/>
      <c r="B502" s="15" t="s">
        <v>4671</v>
      </c>
      <c r="C502" s="363" t="s">
        <v>4672</v>
      </c>
      <c r="D502" s="254">
        <f>SUMIF(GL!$D$5:$D$6505,B502,GL!$G$5:$G$6505)</f>
        <v>0</v>
      </c>
      <c r="E502" s="341">
        <f>SUMIF(GL!$D$6:$D$6487,B502,GL!$H$6:$H$6487)</f>
        <v>0</v>
      </c>
      <c r="F502" s="341">
        <f>SUMIF(GL!$D$6:$D$6487,B502,GL!$I$6:$I$6487)</f>
        <v>0</v>
      </c>
      <c r="G502" s="341"/>
      <c r="H502" s="341"/>
      <c r="I502" s="341">
        <f t="shared" si="365"/>
        <v>0</v>
      </c>
      <c r="J502" s="341">
        <f t="shared" si="366"/>
        <v>0</v>
      </c>
      <c r="K502" s="341"/>
      <c r="L502" s="342"/>
      <c r="M502" s="342"/>
      <c r="N502" s="341">
        <f t="shared" si="322"/>
        <v>0</v>
      </c>
      <c r="O502" s="341">
        <f t="shared" si="323"/>
        <v>0</v>
      </c>
      <c r="P502" s="341">
        <f>SUMIF(GL!$D$6488:$D$6532,B502,GL!$H$6488:$H$6532)</f>
        <v>0</v>
      </c>
      <c r="Q502" s="341">
        <f>SUMIF(GL!$D$6408:$D$6452,B502,GL!$I$6408:$I$6452)</f>
        <v>0</v>
      </c>
      <c r="R502" s="341">
        <f t="shared" ref="R502:S502" si="534">P502+N502</f>
        <v>0</v>
      </c>
      <c r="S502" s="341">
        <f t="shared" si="534"/>
        <v>0</v>
      </c>
      <c r="T502" s="340"/>
      <c r="U502" s="340"/>
      <c r="V502" s="340"/>
      <c r="W502" s="340"/>
      <c r="X502" s="341">
        <f t="shared" si="325"/>
        <v>0</v>
      </c>
      <c r="Y502" s="341">
        <f t="shared" si="326"/>
        <v>0</v>
      </c>
      <c r="Z502" s="364"/>
      <c r="AA502" s="330"/>
      <c r="AB502" s="332"/>
      <c r="AC502" s="332"/>
      <c r="AD502" s="110"/>
      <c r="AE502" s="110"/>
      <c r="AF502" s="110"/>
      <c r="AG502" s="110"/>
      <c r="AH502" s="110"/>
      <c r="AI502" s="110"/>
    </row>
    <row r="503" spans="1:35" ht="13.5" customHeight="1">
      <c r="A503" s="4"/>
      <c r="B503" s="15" t="s">
        <v>2718</v>
      </c>
      <c r="C503" s="363" t="s">
        <v>4673</v>
      </c>
      <c r="D503" s="254">
        <f>SUMIF(GL!$D$5:$D$6505,B503,GL!$G$5:$G$6505)</f>
        <v>42</v>
      </c>
      <c r="E503" s="341">
        <f>SUMIF(GL!$D$6:$D$6487,B503,GL!$H$6:$H$6487)</f>
        <v>11900028</v>
      </c>
      <c r="F503" s="341">
        <f>SUMIF(GL!$D$6:$D$6487,B503,GL!$I$6:$I$6487)</f>
        <v>0</v>
      </c>
      <c r="G503" s="341"/>
      <c r="H503" s="341"/>
      <c r="I503" s="341">
        <f t="shared" si="365"/>
        <v>11900028</v>
      </c>
      <c r="J503" s="341">
        <f t="shared" si="366"/>
        <v>0</v>
      </c>
      <c r="K503" s="341"/>
      <c r="L503" s="342"/>
      <c r="M503" s="342"/>
      <c r="N503" s="341">
        <f t="shared" si="322"/>
        <v>11900028</v>
      </c>
      <c r="O503" s="341">
        <f t="shared" si="323"/>
        <v>0</v>
      </c>
      <c r="P503" s="341">
        <f>SUMIF(GL!$D$6488:$D$6532,B503,GL!$H$6488:$H$6532)</f>
        <v>0</v>
      </c>
      <c r="Q503" s="341">
        <f>SUMIF(GL!$D$6408:$D$6452,B503,GL!$I$6408:$I$6452)</f>
        <v>0</v>
      </c>
      <c r="R503" s="341">
        <f t="shared" ref="R503:S503" si="535">P503+N503</f>
        <v>11900028</v>
      </c>
      <c r="S503" s="341">
        <f t="shared" si="535"/>
        <v>0</v>
      </c>
      <c r="T503" s="340"/>
      <c r="U503" s="340"/>
      <c r="V503" s="340"/>
      <c r="W503" s="340"/>
      <c r="X503" s="341">
        <f t="shared" si="325"/>
        <v>11900028</v>
      </c>
      <c r="Y503" s="341">
        <f t="shared" si="326"/>
        <v>0</v>
      </c>
      <c r="Z503" s="364"/>
      <c r="AA503" s="330"/>
      <c r="AB503" s="332"/>
      <c r="AC503" s="332"/>
      <c r="AD503" s="110"/>
      <c r="AE503" s="110"/>
      <c r="AF503" s="110"/>
      <c r="AG503" s="110"/>
      <c r="AH503" s="110"/>
      <c r="AI503" s="110"/>
    </row>
    <row r="504" spans="1:35" ht="13.5" customHeight="1">
      <c r="A504" s="4"/>
      <c r="B504" s="15" t="s">
        <v>2720</v>
      </c>
      <c r="C504" s="363" t="s">
        <v>4674</v>
      </c>
      <c r="D504" s="254">
        <f>SUMIF(GL!$D$5:$D$6505,B504,GL!$G$5:$G$6505)</f>
        <v>3</v>
      </c>
      <c r="E504" s="341">
        <f>SUMIF(GL!$D$6:$D$6487,B504,GL!$H$6:$H$6487)</f>
        <v>1175001</v>
      </c>
      <c r="F504" s="341">
        <f>SUMIF(GL!$D$6:$D$6487,B504,GL!$I$6:$I$6487)</f>
        <v>0</v>
      </c>
      <c r="G504" s="341"/>
      <c r="H504" s="341"/>
      <c r="I504" s="341">
        <f t="shared" si="365"/>
        <v>1175001</v>
      </c>
      <c r="J504" s="341">
        <f t="shared" si="366"/>
        <v>0</v>
      </c>
      <c r="K504" s="341"/>
      <c r="L504" s="342"/>
      <c r="M504" s="342"/>
      <c r="N504" s="341">
        <f t="shared" si="322"/>
        <v>1175001</v>
      </c>
      <c r="O504" s="341">
        <f t="shared" si="323"/>
        <v>0</v>
      </c>
      <c r="P504" s="341">
        <f>SUMIF(GL!$D$6488:$D$6532,B504,GL!$H$6488:$H$6532)</f>
        <v>0</v>
      </c>
      <c r="Q504" s="341">
        <f>SUMIF(GL!$D$6408:$D$6452,B504,GL!$I$6408:$I$6452)</f>
        <v>0</v>
      </c>
      <c r="R504" s="341">
        <f t="shared" ref="R504:S504" si="536">P504+N504</f>
        <v>1175001</v>
      </c>
      <c r="S504" s="341">
        <f t="shared" si="536"/>
        <v>0</v>
      </c>
      <c r="T504" s="340"/>
      <c r="U504" s="340"/>
      <c r="V504" s="340"/>
      <c r="W504" s="340"/>
      <c r="X504" s="341">
        <f t="shared" si="325"/>
        <v>1175001</v>
      </c>
      <c r="Y504" s="341">
        <f t="shared" si="326"/>
        <v>0</v>
      </c>
      <c r="Z504" s="364"/>
      <c r="AA504" s="330"/>
      <c r="AB504" s="332"/>
      <c r="AC504" s="332"/>
      <c r="AD504" s="110"/>
      <c r="AE504" s="110"/>
      <c r="AF504" s="110"/>
      <c r="AG504" s="110"/>
      <c r="AH504" s="110"/>
      <c r="AI504" s="110"/>
    </row>
    <row r="505" spans="1:35" ht="13.5" customHeight="1">
      <c r="A505" s="4"/>
      <c r="B505" s="15"/>
      <c r="C505" s="260"/>
      <c r="D505" s="254">
        <f>SUMIF(GL!$D$5:$D$6505,B505,GL!$G$5:$G$6505)</f>
        <v>0</v>
      </c>
      <c r="E505" s="341">
        <f>SUMIF(GL!$D$6:$D$6487,B505,GL!$H$6:$H$6487)</f>
        <v>0</v>
      </c>
      <c r="F505" s="341">
        <f>SUMIF(GL!$D$6:$D$6487,B505,GL!$I$6:$I$6487)</f>
        <v>0</v>
      </c>
      <c r="G505" s="341"/>
      <c r="H505" s="341"/>
      <c r="I505" s="341">
        <f t="shared" si="365"/>
        <v>0</v>
      </c>
      <c r="J505" s="341">
        <f t="shared" si="366"/>
        <v>0</v>
      </c>
      <c r="K505" s="341"/>
      <c r="L505" s="342"/>
      <c r="M505" s="342"/>
      <c r="N505" s="341">
        <f t="shared" si="322"/>
        <v>0</v>
      </c>
      <c r="O505" s="341">
        <f t="shared" si="323"/>
        <v>0</v>
      </c>
      <c r="P505" s="341">
        <f>SUMIF(GL!$D$6488:$D$6532,B505,GL!$H$6488:$H$6532)</f>
        <v>0</v>
      </c>
      <c r="Q505" s="341">
        <f>SUMIF(GL!$D$6408:$D$6452,B505,GL!$I$6408:$I$6452)</f>
        <v>0</v>
      </c>
      <c r="R505" s="341">
        <f t="shared" ref="R505:S505" si="537">P505+N505</f>
        <v>0</v>
      </c>
      <c r="S505" s="341">
        <f t="shared" si="537"/>
        <v>0</v>
      </c>
      <c r="T505" s="340"/>
      <c r="U505" s="340"/>
      <c r="V505" s="340"/>
      <c r="W505" s="340"/>
      <c r="X505" s="341">
        <f t="shared" si="325"/>
        <v>0</v>
      </c>
      <c r="Y505" s="341">
        <f t="shared" si="326"/>
        <v>0</v>
      </c>
      <c r="Z505" s="364"/>
      <c r="AA505" s="110"/>
      <c r="AB505" s="332"/>
      <c r="AC505" s="332"/>
      <c r="AD505" s="110"/>
      <c r="AE505" s="110"/>
      <c r="AF505" s="110"/>
      <c r="AG505" s="110"/>
      <c r="AH505" s="110"/>
      <c r="AI505" s="110"/>
    </row>
    <row r="506" spans="1:35" ht="13.5" customHeight="1">
      <c r="A506" s="4"/>
      <c r="B506" s="15"/>
      <c r="C506" s="247" t="s">
        <v>3836</v>
      </c>
      <c r="D506" s="254">
        <f>SUMIF(GL!$D$5:$D$6505,B506,GL!$G$5:$G$6505)</f>
        <v>0</v>
      </c>
      <c r="E506" s="341">
        <f>SUMIF(GL!$D$6:$D$6487,B506,GL!$H$6:$H$6487)</f>
        <v>0</v>
      </c>
      <c r="F506" s="341">
        <f>SUMIF(GL!$D$6:$D$6487,B506,GL!$I$6:$I$6487)</f>
        <v>0</v>
      </c>
      <c r="G506" s="341"/>
      <c r="H506" s="341"/>
      <c r="I506" s="341">
        <f t="shared" si="365"/>
        <v>0</v>
      </c>
      <c r="J506" s="341">
        <f t="shared" si="366"/>
        <v>0</v>
      </c>
      <c r="K506" s="341"/>
      <c r="L506" s="342"/>
      <c r="M506" s="342"/>
      <c r="N506" s="341">
        <f t="shared" si="322"/>
        <v>0</v>
      </c>
      <c r="O506" s="341">
        <f t="shared" si="323"/>
        <v>0</v>
      </c>
      <c r="P506" s="341">
        <f>SUMIF(GL!$D$6488:$D$6532,B506,GL!$H$6488:$H$6532)</f>
        <v>0</v>
      </c>
      <c r="Q506" s="341">
        <f>SUMIF(GL!$D$6408:$D$6452,B506,GL!$I$6408:$I$6452)</f>
        <v>0</v>
      </c>
      <c r="R506" s="341">
        <f t="shared" ref="R506:S506" si="538">P506+N506</f>
        <v>0</v>
      </c>
      <c r="S506" s="341">
        <f t="shared" si="538"/>
        <v>0</v>
      </c>
      <c r="T506" s="340"/>
      <c r="U506" s="340"/>
      <c r="V506" s="340"/>
      <c r="W506" s="340"/>
      <c r="X506" s="341">
        <f t="shared" si="325"/>
        <v>0</v>
      </c>
      <c r="Y506" s="341">
        <f t="shared" si="326"/>
        <v>0</v>
      </c>
      <c r="Z506" s="364"/>
      <c r="AA506" s="110"/>
      <c r="AB506" s="332"/>
      <c r="AC506" s="332"/>
      <c r="AD506" s="110"/>
      <c r="AE506" s="110"/>
      <c r="AF506" s="110"/>
      <c r="AG506" s="110"/>
      <c r="AH506" s="110"/>
      <c r="AI506" s="110"/>
    </row>
    <row r="507" spans="1:35" ht="13.5" customHeight="1">
      <c r="A507" s="4"/>
      <c r="B507" s="15" t="s">
        <v>4675</v>
      </c>
      <c r="C507" s="363" t="s">
        <v>4676</v>
      </c>
      <c r="D507" s="254">
        <f>SUMIF(GL!$D$5:$D$6505,B507,GL!$G$5:$G$6505)</f>
        <v>0</v>
      </c>
      <c r="E507" s="341">
        <f>SUMIF(GL!$D$6:$D$6487,B507,GL!$H$6:$H$6487)</f>
        <v>0</v>
      </c>
      <c r="F507" s="341">
        <f>SUMIF(GL!$D$6:$D$6487,B507,GL!$I$6:$I$6487)</f>
        <v>0</v>
      </c>
      <c r="G507" s="341"/>
      <c r="H507" s="341"/>
      <c r="I507" s="341">
        <f t="shared" si="365"/>
        <v>0</v>
      </c>
      <c r="J507" s="341">
        <f t="shared" si="366"/>
        <v>0</v>
      </c>
      <c r="K507" s="341"/>
      <c r="L507" s="342"/>
      <c r="M507" s="342"/>
      <c r="N507" s="341">
        <f t="shared" si="322"/>
        <v>0</v>
      </c>
      <c r="O507" s="341">
        <f t="shared" si="323"/>
        <v>0</v>
      </c>
      <c r="P507" s="341">
        <f>SUMIF(GL!$D$6488:$D$6532,B507,GL!$H$6488:$H$6532)</f>
        <v>0</v>
      </c>
      <c r="Q507" s="341">
        <f>SUMIF(GL!$D$6408:$D$6452,B507,GL!$I$6408:$I$6452)</f>
        <v>0</v>
      </c>
      <c r="R507" s="341">
        <f t="shared" ref="R507:S507" si="539">P507+N507</f>
        <v>0</v>
      </c>
      <c r="S507" s="341">
        <f t="shared" si="539"/>
        <v>0</v>
      </c>
      <c r="T507" s="340"/>
      <c r="U507" s="340"/>
      <c r="V507" s="340"/>
      <c r="W507" s="340"/>
      <c r="X507" s="341">
        <f t="shared" si="325"/>
        <v>0</v>
      </c>
      <c r="Y507" s="341">
        <f t="shared" si="326"/>
        <v>0</v>
      </c>
      <c r="Z507" s="364"/>
      <c r="AA507" s="330"/>
      <c r="AB507" s="332"/>
      <c r="AC507" s="332"/>
      <c r="AD507" s="110"/>
      <c r="AE507" s="110"/>
      <c r="AF507" s="110"/>
      <c r="AG507" s="110"/>
      <c r="AH507" s="110"/>
      <c r="AI507" s="110"/>
    </row>
    <row r="508" spans="1:35" ht="13.5" customHeight="1">
      <c r="A508" s="4"/>
      <c r="B508" s="15" t="s">
        <v>3008</v>
      </c>
      <c r="C508" s="363" t="s">
        <v>4677</v>
      </c>
      <c r="D508" s="254">
        <f>SUMIF(GL!$D$5:$D$6505,B508,GL!$G$5:$G$6505)</f>
        <v>3</v>
      </c>
      <c r="E508" s="341">
        <f>SUMIF(GL!$D$6:$D$6487,B508,GL!$H$6:$H$6487)</f>
        <v>1335000</v>
      </c>
      <c r="F508" s="341">
        <f>SUMIF(GL!$D$6:$D$6487,B508,GL!$I$6:$I$6487)</f>
        <v>0</v>
      </c>
      <c r="G508" s="341"/>
      <c r="H508" s="341"/>
      <c r="I508" s="341">
        <f t="shared" si="365"/>
        <v>1335000</v>
      </c>
      <c r="J508" s="341">
        <f t="shared" si="366"/>
        <v>0</v>
      </c>
      <c r="K508" s="341"/>
      <c r="L508" s="342"/>
      <c r="M508" s="342"/>
      <c r="N508" s="341">
        <f t="shared" si="322"/>
        <v>1335000</v>
      </c>
      <c r="O508" s="341">
        <f t="shared" si="323"/>
        <v>0</v>
      </c>
      <c r="P508" s="341">
        <f>SUMIF(GL!$D$6488:$D$6532,B508,GL!$H$6488:$H$6532)</f>
        <v>0</v>
      </c>
      <c r="Q508" s="341">
        <f>SUMIF(GL!$D$6408:$D$6452,B508,GL!$I$6408:$I$6452)</f>
        <v>0</v>
      </c>
      <c r="R508" s="341">
        <f t="shared" ref="R508:S508" si="540">P508+N508</f>
        <v>1335000</v>
      </c>
      <c r="S508" s="341">
        <f t="shared" si="540"/>
        <v>0</v>
      </c>
      <c r="T508" s="340"/>
      <c r="U508" s="340"/>
      <c r="V508" s="340"/>
      <c r="W508" s="340"/>
      <c r="X508" s="341">
        <f t="shared" si="325"/>
        <v>1335000</v>
      </c>
      <c r="Y508" s="341">
        <f t="shared" si="326"/>
        <v>0</v>
      </c>
      <c r="Z508" s="364"/>
      <c r="AA508" s="330"/>
      <c r="AB508" s="332"/>
      <c r="AC508" s="332"/>
      <c r="AD508" s="110"/>
      <c r="AE508" s="110"/>
      <c r="AF508" s="110"/>
      <c r="AG508" s="110"/>
      <c r="AH508" s="110"/>
      <c r="AI508" s="110"/>
    </row>
    <row r="509" spans="1:35" ht="13.5" customHeight="1">
      <c r="A509" s="4"/>
      <c r="B509" s="15" t="s">
        <v>3005</v>
      </c>
      <c r="C509" s="363" t="s">
        <v>4678</v>
      </c>
      <c r="D509" s="254">
        <f>SUMIF(GL!$D$5:$D$6505,B509,GL!$G$5:$G$6505)</f>
        <v>2</v>
      </c>
      <c r="E509" s="341">
        <f>SUMIF(GL!$D$6:$D$6487,B509,GL!$H$6:$H$6487)</f>
        <v>930000</v>
      </c>
      <c r="F509" s="341">
        <f>SUMIF(GL!$D$6:$D$6487,B509,GL!$I$6:$I$6487)</f>
        <v>0</v>
      </c>
      <c r="G509" s="341"/>
      <c r="H509" s="341"/>
      <c r="I509" s="341">
        <f t="shared" si="365"/>
        <v>930000</v>
      </c>
      <c r="J509" s="341">
        <f t="shared" si="366"/>
        <v>0</v>
      </c>
      <c r="K509" s="341"/>
      <c r="L509" s="342"/>
      <c r="M509" s="342"/>
      <c r="N509" s="341">
        <f t="shared" si="322"/>
        <v>930000</v>
      </c>
      <c r="O509" s="341">
        <f t="shared" si="323"/>
        <v>0</v>
      </c>
      <c r="P509" s="341">
        <f>SUMIF(GL!$D$6488:$D$6532,B509,GL!$H$6488:$H$6532)</f>
        <v>0</v>
      </c>
      <c r="Q509" s="341">
        <f>SUMIF(GL!$D$6408:$D$6452,B509,GL!$I$6408:$I$6452)</f>
        <v>0</v>
      </c>
      <c r="R509" s="341">
        <f t="shared" ref="R509:S509" si="541">P509+N509</f>
        <v>930000</v>
      </c>
      <c r="S509" s="341">
        <f t="shared" si="541"/>
        <v>0</v>
      </c>
      <c r="T509" s="340"/>
      <c r="U509" s="340"/>
      <c r="V509" s="340"/>
      <c r="W509" s="340"/>
      <c r="X509" s="341">
        <f t="shared" si="325"/>
        <v>930000</v>
      </c>
      <c r="Y509" s="341">
        <f t="shared" si="326"/>
        <v>0</v>
      </c>
      <c r="Z509" s="364"/>
      <c r="AA509" s="330"/>
      <c r="AB509" s="332"/>
      <c r="AC509" s="332"/>
      <c r="AD509" s="110"/>
      <c r="AE509" s="110"/>
      <c r="AF509" s="110"/>
      <c r="AG509" s="110"/>
      <c r="AH509" s="110"/>
      <c r="AI509" s="110"/>
    </row>
    <row r="510" spans="1:35" ht="13.5" customHeight="1">
      <c r="A510" s="4"/>
      <c r="B510" s="15" t="s">
        <v>4679</v>
      </c>
      <c r="C510" s="363" t="s">
        <v>4680</v>
      </c>
      <c r="D510" s="254">
        <f>SUMIF(GL!$D$5:$D$6505,B510,GL!$G$5:$G$6505)</f>
        <v>0</v>
      </c>
      <c r="E510" s="341">
        <f>SUMIF(GL!$D$6:$D$6487,B510,GL!$H$6:$H$6487)</f>
        <v>0</v>
      </c>
      <c r="F510" s="341">
        <f>SUMIF(GL!$D$6:$D$6487,B510,GL!$I$6:$I$6487)</f>
        <v>0</v>
      </c>
      <c r="G510" s="341"/>
      <c r="H510" s="341"/>
      <c r="I510" s="341">
        <f t="shared" si="365"/>
        <v>0</v>
      </c>
      <c r="J510" s="341">
        <f t="shared" si="366"/>
        <v>0</v>
      </c>
      <c r="K510" s="341"/>
      <c r="L510" s="342"/>
      <c r="M510" s="342"/>
      <c r="N510" s="341">
        <f t="shared" si="322"/>
        <v>0</v>
      </c>
      <c r="O510" s="341">
        <f t="shared" si="323"/>
        <v>0</v>
      </c>
      <c r="P510" s="341">
        <f>SUMIF(GL!$D$6488:$D$6532,B510,GL!$H$6488:$H$6532)</f>
        <v>0</v>
      </c>
      <c r="Q510" s="341">
        <f>SUMIF(GL!$D$6408:$D$6452,B510,GL!$I$6408:$I$6452)</f>
        <v>0</v>
      </c>
      <c r="R510" s="341">
        <f t="shared" ref="R510:S510" si="542">P510+N510</f>
        <v>0</v>
      </c>
      <c r="S510" s="341">
        <f t="shared" si="542"/>
        <v>0</v>
      </c>
      <c r="T510" s="340"/>
      <c r="U510" s="340"/>
      <c r="V510" s="340"/>
      <c r="W510" s="340"/>
      <c r="X510" s="341">
        <f t="shared" si="325"/>
        <v>0</v>
      </c>
      <c r="Y510" s="341">
        <f t="shared" si="326"/>
        <v>0</v>
      </c>
      <c r="Z510" s="364"/>
      <c r="AA510" s="330"/>
      <c r="AB510" s="332"/>
      <c r="AC510" s="332"/>
      <c r="AD510" s="110"/>
      <c r="AE510" s="110"/>
      <c r="AF510" s="110"/>
      <c r="AG510" s="110"/>
      <c r="AH510" s="110"/>
      <c r="AI510" s="110"/>
    </row>
    <row r="511" spans="1:35" ht="13.5" customHeight="1">
      <c r="A511" s="4"/>
      <c r="B511" s="15" t="s">
        <v>2722</v>
      </c>
      <c r="C511" s="363" t="s">
        <v>4681</v>
      </c>
      <c r="D511" s="254">
        <f>SUMIF(GL!$D$5:$D$6505,B511,GL!$G$5:$G$6505)</f>
        <v>52</v>
      </c>
      <c r="E511" s="341">
        <f>SUMIF(GL!$D$6:$D$6487,B511,GL!$H$6:$H$6487)</f>
        <v>16240750</v>
      </c>
      <c r="F511" s="341">
        <f>SUMIF(GL!$D$6:$D$6487,B511,GL!$I$6:$I$6487)</f>
        <v>0</v>
      </c>
      <c r="G511" s="341"/>
      <c r="H511" s="341"/>
      <c r="I511" s="341">
        <f t="shared" si="365"/>
        <v>16240750</v>
      </c>
      <c r="J511" s="341">
        <f t="shared" si="366"/>
        <v>0</v>
      </c>
      <c r="K511" s="341"/>
      <c r="L511" s="342"/>
      <c r="M511" s="342"/>
      <c r="N511" s="341">
        <f t="shared" si="322"/>
        <v>16240750</v>
      </c>
      <c r="O511" s="341">
        <f t="shared" si="323"/>
        <v>0</v>
      </c>
      <c r="P511" s="341">
        <f>SUMIF(GL!$D$6488:$D$6532,B511,GL!$H$6488:$H$6532)</f>
        <v>0</v>
      </c>
      <c r="Q511" s="341">
        <f>SUMIF(GL!$D$6408:$D$6452,B511,GL!$I$6408:$I$6452)</f>
        <v>0</v>
      </c>
      <c r="R511" s="341">
        <f t="shared" ref="R511:S511" si="543">P511+N511</f>
        <v>16240750</v>
      </c>
      <c r="S511" s="341">
        <f t="shared" si="543"/>
        <v>0</v>
      </c>
      <c r="T511" s="340"/>
      <c r="U511" s="340"/>
      <c r="V511" s="340"/>
      <c r="W511" s="340"/>
      <c r="X511" s="341">
        <f t="shared" si="325"/>
        <v>16240750</v>
      </c>
      <c r="Y511" s="341">
        <f t="shared" si="326"/>
        <v>0</v>
      </c>
      <c r="Z511" s="364"/>
      <c r="AA511" s="330"/>
      <c r="AB511" s="332"/>
      <c r="AC511" s="332"/>
      <c r="AD511" s="110"/>
      <c r="AE511" s="110"/>
      <c r="AF511" s="110"/>
      <c r="AG511" s="110"/>
      <c r="AH511" s="110"/>
      <c r="AI511" s="110"/>
    </row>
    <row r="512" spans="1:35" ht="13.5" customHeight="1">
      <c r="A512" s="4"/>
      <c r="B512" s="15" t="s">
        <v>2734</v>
      </c>
      <c r="C512" s="363" t="s">
        <v>4682</v>
      </c>
      <c r="D512" s="254">
        <f>SUMIF(GL!$D$5:$D$6505,B512,GL!$G$5:$G$6505)</f>
        <v>9</v>
      </c>
      <c r="E512" s="341">
        <f>SUMIF(GL!$D$6:$D$6487,B512,GL!$H$6:$H$6487)</f>
        <v>3840000</v>
      </c>
      <c r="F512" s="341">
        <f>SUMIF(GL!$D$6:$D$6487,B512,GL!$I$6:$I$6487)</f>
        <v>0</v>
      </c>
      <c r="G512" s="341"/>
      <c r="H512" s="341"/>
      <c r="I512" s="341">
        <f t="shared" si="365"/>
        <v>3840000</v>
      </c>
      <c r="J512" s="341">
        <f t="shared" si="366"/>
        <v>0</v>
      </c>
      <c r="K512" s="341"/>
      <c r="L512" s="342"/>
      <c r="M512" s="342"/>
      <c r="N512" s="341">
        <f t="shared" si="322"/>
        <v>3840000</v>
      </c>
      <c r="O512" s="341">
        <f t="shared" si="323"/>
        <v>0</v>
      </c>
      <c r="P512" s="341">
        <f>SUMIF(GL!$D$6488:$D$6532,B512,GL!$H$6488:$H$6532)</f>
        <v>0</v>
      </c>
      <c r="Q512" s="341">
        <f>SUMIF(GL!$D$6408:$D$6452,B512,GL!$I$6408:$I$6452)</f>
        <v>0</v>
      </c>
      <c r="R512" s="341">
        <f t="shared" ref="R512:S512" si="544">P512+N512</f>
        <v>3840000</v>
      </c>
      <c r="S512" s="341">
        <f t="shared" si="544"/>
        <v>0</v>
      </c>
      <c r="T512" s="340"/>
      <c r="U512" s="340"/>
      <c r="V512" s="340"/>
      <c r="W512" s="340"/>
      <c r="X512" s="341">
        <f t="shared" si="325"/>
        <v>3840000</v>
      </c>
      <c r="Y512" s="341">
        <f t="shared" si="326"/>
        <v>0</v>
      </c>
      <c r="Z512" s="364"/>
      <c r="AA512" s="330"/>
      <c r="AB512" s="332"/>
      <c r="AC512" s="332"/>
      <c r="AD512" s="110"/>
      <c r="AE512" s="110"/>
      <c r="AF512" s="110"/>
      <c r="AG512" s="110"/>
      <c r="AH512" s="110"/>
      <c r="AI512" s="110"/>
    </row>
    <row r="513" spans="1:35" ht="13.5" customHeight="1">
      <c r="A513" s="4"/>
      <c r="B513" s="15" t="s">
        <v>4683</v>
      </c>
      <c r="C513" s="363" t="s">
        <v>4684</v>
      </c>
      <c r="D513" s="254">
        <f>SUMIF(GL!$D$5:$D$6505,B513,GL!$G$5:$G$6505)</f>
        <v>0</v>
      </c>
      <c r="E513" s="341">
        <f>SUMIF(GL!$D$6:$D$6487,B513,GL!$H$6:$H$6487)</f>
        <v>0</v>
      </c>
      <c r="F513" s="341">
        <f>SUMIF(GL!$D$6:$D$6487,B513,GL!$I$6:$I$6487)</f>
        <v>0</v>
      </c>
      <c r="G513" s="341"/>
      <c r="H513" s="341"/>
      <c r="I513" s="341">
        <f t="shared" si="365"/>
        <v>0</v>
      </c>
      <c r="J513" s="341">
        <f t="shared" si="366"/>
        <v>0</v>
      </c>
      <c r="K513" s="341"/>
      <c r="L513" s="342"/>
      <c r="M513" s="342"/>
      <c r="N513" s="341">
        <f t="shared" si="322"/>
        <v>0</v>
      </c>
      <c r="O513" s="341">
        <f t="shared" si="323"/>
        <v>0</v>
      </c>
      <c r="P513" s="341">
        <f>SUMIF(GL!$D$6488:$D$6532,B513,GL!$H$6488:$H$6532)</f>
        <v>0</v>
      </c>
      <c r="Q513" s="341">
        <f>SUMIF(GL!$D$6408:$D$6452,B513,GL!$I$6408:$I$6452)</f>
        <v>0</v>
      </c>
      <c r="R513" s="341">
        <f t="shared" ref="R513:S513" si="545">P513+N513</f>
        <v>0</v>
      </c>
      <c r="S513" s="341">
        <f t="shared" si="545"/>
        <v>0</v>
      </c>
      <c r="T513" s="340"/>
      <c r="U513" s="340"/>
      <c r="V513" s="340"/>
      <c r="W513" s="340"/>
      <c r="X513" s="341">
        <f t="shared" si="325"/>
        <v>0</v>
      </c>
      <c r="Y513" s="341">
        <f t="shared" si="326"/>
        <v>0</v>
      </c>
      <c r="Z513" s="364"/>
      <c r="AA513" s="330"/>
      <c r="AB513" s="332"/>
      <c r="AC513" s="332"/>
      <c r="AD513" s="110"/>
      <c r="AE513" s="110"/>
      <c r="AF513" s="110"/>
      <c r="AG513" s="110"/>
      <c r="AH513" s="110"/>
      <c r="AI513" s="110"/>
    </row>
    <row r="514" spans="1:35" ht="13.5" customHeight="1">
      <c r="A514" s="4"/>
      <c r="B514" s="15" t="s">
        <v>2865</v>
      </c>
      <c r="C514" s="363" t="s">
        <v>4685</v>
      </c>
      <c r="D514" s="254">
        <f>SUMIF(GL!$D$5:$D$6505,B514,GL!$G$5:$G$6505)</f>
        <v>8</v>
      </c>
      <c r="E514" s="341">
        <f>SUMIF(GL!$D$6:$D$6487,B514,GL!$H$6:$H$6487)</f>
        <v>3635000</v>
      </c>
      <c r="F514" s="341">
        <f>SUMIF(GL!$D$6:$D$6487,B514,GL!$I$6:$I$6487)</f>
        <v>0</v>
      </c>
      <c r="G514" s="341"/>
      <c r="H514" s="341"/>
      <c r="I514" s="341">
        <f t="shared" si="365"/>
        <v>3635000</v>
      </c>
      <c r="J514" s="341">
        <f t="shared" si="366"/>
        <v>0</v>
      </c>
      <c r="K514" s="341"/>
      <c r="L514" s="342"/>
      <c r="M514" s="342"/>
      <c r="N514" s="341">
        <f t="shared" si="322"/>
        <v>3635000</v>
      </c>
      <c r="O514" s="341">
        <f t="shared" si="323"/>
        <v>0</v>
      </c>
      <c r="P514" s="341">
        <f>SUMIF(GL!$D$6488:$D$6532,B514,GL!$H$6488:$H$6532)</f>
        <v>0</v>
      </c>
      <c r="Q514" s="341">
        <f>SUMIF(GL!$D$6408:$D$6452,B514,GL!$I$6408:$I$6452)</f>
        <v>0</v>
      </c>
      <c r="R514" s="341">
        <f t="shared" ref="R514:S514" si="546">P514+N514</f>
        <v>3635000</v>
      </c>
      <c r="S514" s="341">
        <f t="shared" si="546"/>
        <v>0</v>
      </c>
      <c r="T514" s="340"/>
      <c r="U514" s="340"/>
      <c r="V514" s="340"/>
      <c r="W514" s="340"/>
      <c r="X514" s="341">
        <f t="shared" si="325"/>
        <v>3635000</v>
      </c>
      <c r="Y514" s="341">
        <f t="shared" si="326"/>
        <v>0</v>
      </c>
      <c r="Z514" s="364"/>
      <c r="AA514" s="330"/>
      <c r="AB514" s="332"/>
      <c r="AC514" s="332"/>
      <c r="AD514" s="110"/>
      <c r="AE514" s="110"/>
      <c r="AF514" s="110"/>
      <c r="AG514" s="110"/>
      <c r="AH514" s="110"/>
      <c r="AI514" s="110"/>
    </row>
    <row r="515" spans="1:35" ht="13.5" customHeight="1">
      <c r="A515" s="4"/>
      <c r="B515" s="15" t="s">
        <v>2846</v>
      </c>
      <c r="C515" s="363" t="s">
        <v>4686</v>
      </c>
      <c r="D515" s="254">
        <f>SUMIF(GL!$D$5:$D$6505,B515,GL!$G$5:$G$6505)</f>
        <v>7</v>
      </c>
      <c r="E515" s="341">
        <f>SUMIF(GL!$D$6:$D$6487,B515,GL!$H$6:$H$6487)</f>
        <v>2385838</v>
      </c>
      <c r="F515" s="341">
        <f>SUMIF(GL!$D$6:$D$6487,B515,GL!$I$6:$I$6487)</f>
        <v>0</v>
      </c>
      <c r="G515" s="341"/>
      <c r="H515" s="341"/>
      <c r="I515" s="341">
        <f t="shared" si="365"/>
        <v>2385838</v>
      </c>
      <c r="J515" s="341">
        <f t="shared" si="366"/>
        <v>0</v>
      </c>
      <c r="K515" s="341"/>
      <c r="L515" s="342"/>
      <c r="M515" s="342"/>
      <c r="N515" s="341">
        <f t="shared" si="322"/>
        <v>2385838</v>
      </c>
      <c r="O515" s="341">
        <f t="shared" si="323"/>
        <v>0</v>
      </c>
      <c r="P515" s="341">
        <f>SUMIF(GL!$D$6488:$D$6532,B515,GL!$H$6488:$H$6532)</f>
        <v>0</v>
      </c>
      <c r="Q515" s="341">
        <f>SUMIF(GL!$D$6408:$D$6452,B515,GL!$I$6408:$I$6452)</f>
        <v>0</v>
      </c>
      <c r="R515" s="341">
        <f t="shared" ref="R515:S515" si="547">P515+N515</f>
        <v>2385838</v>
      </c>
      <c r="S515" s="341">
        <f t="shared" si="547"/>
        <v>0</v>
      </c>
      <c r="T515" s="340"/>
      <c r="U515" s="340"/>
      <c r="V515" s="340"/>
      <c r="W515" s="340"/>
      <c r="X515" s="341">
        <f t="shared" si="325"/>
        <v>2385838</v>
      </c>
      <c r="Y515" s="341">
        <f t="shared" si="326"/>
        <v>0</v>
      </c>
      <c r="Z515" s="364"/>
      <c r="AA515" s="330"/>
      <c r="AB515" s="332"/>
      <c r="AC515" s="332"/>
      <c r="AD515" s="110"/>
      <c r="AE515" s="110"/>
      <c r="AF515" s="110"/>
      <c r="AG515" s="110"/>
      <c r="AH515" s="110"/>
      <c r="AI515" s="110"/>
    </row>
    <row r="516" spans="1:35" ht="13.5" customHeight="1">
      <c r="A516" s="4"/>
      <c r="B516" s="15" t="s">
        <v>2730</v>
      </c>
      <c r="C516" s="366" t="s">
        <v>4687</v>
      </c>
      <c r="D516" s="254">
        <f>SUMIF(GL!$D$5:$D$6505,B516,GL!$G$5:$G$6505)</f>
        <v>1</v>
      </c>
      <c r="E516" s="341">
        <f>SUMIF(GL!$D$6:$D$6487,B516,GL!$H$6:$H$6487)</f>
        <v>1408334</v>
      </c>
      <c r="F516" s="341">
        <f>SUMIF(GL!$D$6:$D$6487,B516,GL!$I$6:$I$6487)</f>
        <v>0</v>
      </c>
      <c r="G516" s="341"/>
      <c r="H516" s="341"/>
      <c r="I516" s="341">
        <f t="shared" si="365"/>
        <v>1408334</v>
      </c>
      <c r="J516" s="341">
        <f t="shared" si="366"/>
        <v>0</v>
      </c>
      <c r="K516" s="341"/>
      <c r="L516" s="342"/>
      <c r="M516" s="342"/>
      <c r="N516" s="341">
        <f t="shared" si="322"/>
        <v>1408334</v>
      </c>
      <c r="O516" s="341">
        <f t="shared" si="323"/>
        <v>0</v>
      </c>
      <c r="P516" s="341">
        <f>SUMIF(GL!$D$6488:$D$6532,B516,GL!$H$6488:$H$6532)</f>
        <v>0</v>
      </c>
      <c r="Q516" s="341">
        <f>SUMIF(GL!$D$6408:$D$6452,B516,GL!$I$6408:$I$6452)</f>
        <v>0</v>
      </c>
      <c r="R516" s="341">
        <f t="shared" ref="R516:S516" si="548">P516+N516</f>
        <v>1408334</v>
      </c>
      <c r="S516" s="341">
        <f t="shared" si="548"/>
        <v>0</v>
      </c>
      <c r="T516" s="340"/>
      <c r="U516" s="340"/>
      <c r="V516" s="340"/>
      <c r="W516" s="340"/>
      <c r="X516" s="341">
        <f t="shared" si="325"/>
        <v>1408334</v>
      </c>
      <c r="Y516" s="341">
        <f t="shared" si="326"/>
        <v>0</v>
      </c>
      <c r="Z516" s="4"/>
      <c r="AA516" s="330"/>
      <c r="AB516" s="332"/>
      <c r="AC516" s="332"/>
      <c r="AD516" s="110"/>
      <c r="AE516" s="110"/>
      <c r="AF516" s="110"/>
      <c r="AG516" s="110"/>
      <c r="AH516" s="110"/>
      <c r="AI516" s="110"/>
    </row>
    <row r="517" spans="1:35" ht="13.5" customHeight="1">
      <c r="A517" s="4"/>
      <c r="B517" s="15" t="s">
        <v>4688</v>
      </c>
      <c r="C517" s="363" t="s">
        <v>4689</v>
      </c>
      <c r="D517" s="254">
        <f>SUMIF(GL!$D$5:$D$6505,B517,GL!$G$5:$G$6505)</f>
        <v>0</v>
      </c>
      <c r="E517" s="341">
        <f>SUMIF(GL!$D$6:$D$6487,B517,GL!$H$6:$H$6487)</f>
        <v>0</v>
      </c>
      <c r="F517" s="341">
        <f>SUMIF(GL!$D$6:$D$6487,B517,GL!$I$6:$I$6487)</f>
        <v>0</v>
      </c>
      <c r="G517" s="341"/>
      <c r="H517" s="341"/>
      <c r="I517" s="341">
        <f t="shared" si="365"/>
        <v>0</v>
      </c>
      <c r="J517" s="341">
        <f t="shared" si="366"/>
        <v>0</v>
      </c>
      <c r="K517" s="341"/>
      <c r="L517" s="342"/>
      <c r="M517" s="342"/>
      <c r="N517" s="341">
        <f t="shared" si="322"/>
        <v>0</v>
      </c>
      <c r="O517" s="341">
        <f t="shared" si="323"/>
        <v>0</v>
      </c>
      <c r="P517" s="341">
        <f>SUMIF(GL!$D$6488:$D$6532,B517,GL!$H$6488:$H$6532)</f>
        <v>0</v>
      </c>
      <c r="Q517" s="341">
        <f>SUMIF(GL!$D$6408:$D$6452,B517,GL!$I$6408:$I$6452)</f>
        <v>0</v>
      </c>
      <c r="R517" s="341">
        <f t="shared" ref="R517:S517" si="549">P517+N517</f>
        <v>0</v>
      </c>
      <c r="S517" s="341">
        <f t="shared" si="549"/>
        <v>0</v>
      </c>
      <c r="T517" s="340"/>
      <c r="U517" s="340"/>
      <c r="V517" s="340"/>
      <c r="W517" s="340"/>
      <c r="X517" s="341">
        <f t="shared" si="325"/>
        <v>0</v>
      </c>
      <c r="Y517" s="341">
        <f t="shared" si="326"/>
        <v>0</v>
      </c>
      <c r="Z517" s="4"/>
      <c r="AA517" s="330"/>
      <c r="AB517" s="332"/>
      <c r="AC517" s="332"/>
      <c r="AD517" s="110"/>
      <c r="AE517" s="110"/>
      <c r="AF517" s="110"/>
      <c r="AG517" s="110"/>
      <c r="AH517" s="110"/>
      <c r="AI517" s="110"/>
    </row>
    <row r="518" spans="1:35" ht="13.5" customHeight="1">
      <c r="A518" s="4"/>
      <c r="B518" s="15" t="s">
        <v>4690</v>
      </c>
      <c r="C518" s="363" t="s">
        <v>4691</v>
      </c>
      <c r="D518" s="254">
        <f>SUMIF(GL!$D$5:$D$6505,B518,GL!$G$5:$G$6505)</f>
        <v>0</v>
      </c>
      <c r="E518" s="341">
        <f>SUMIF(GL!$D$6:$D$6487,B518,GL!$H$6:$H$6487)</f>
        <v>0</v>
      </c>
      <c r="F518" s="341">
        <f>SUMIF(GL!$D$6:$D$6487,B518,GL!$I$6:$I$6487)</f>
        <v>0</v>
      </c>
      <c r="G518" s="341"/>
      <c r="H518" s="341"/>
      <c r="I518" s="341">
        <f t="shared" si="365"/>
        <v>0</v>
      </c>
      <c r="J518" s="341">
        <f t="shared" si="366"/>
        <v>0</v>
      </c>
      <c r="K518" s="341"/>
      <c r="L518" s="342"/>
      <c r="M518" s="342"/>
      <c r="N518" s="341">
        <f t="shared" si="322"/>
        <v>0</v>
      </c>
      <c r="O518" s="341">
        <f t="shared" si="323"/>
        <v>0</v>
      </c>
      <c r="P518" s="341">
        <f>SUMIF(GL!$D$6488:$D$6532,B518,GL!$H$6488:$H$6532)</f>
        <v>0</v>
      </c>
      <c r="Q518" s="341">
        <f>SUMIF(GL!$D$6408:$D$6452,B518,GL!$I$6408:$I$6452)</f>
        <v>0</v>
      </c>
      <c r="R518" s="341">
        <f t="shared" ref="R518:S518" si="550">P518+N518</f>
        <v>0</v>
      </c>
      <c r="S518" s="341">
        <f t="shared" si="550"/>
        <v>0</v>
      </c>
      <c r="T518" s="340"/>
      <c r="U518" s="340"/>
      <c r="V518" s="340"/>
      <c r="W518" s="340"/>
      <c r="X518" s="341">
        <f t="shared" si="325"/>
        <v>0</v>
      </c>
      <c r="Y518" s="341">
        <f t="shared" si="326"/>
        <v>0</v>
      </c>
      <c r="Z518" s="364"/>
      <c r="AA518" s="330"/>
      <c r="AB518" s="332"/>
      <c r="AC518" s="332"/>
      <c r="AD518" s="110"/>
      <c r="AE518" s="110"/>
      <c r="AF518" s="110"/>
      <c r="AG518" s="110"/>
      <c r="AH518" s="110"/>
      <c r="AI518" s="110"/>
    </row>
    <row r="519" spans="1:35" ht="13.5" customHeight="1">
      <c r="A519" s="4"/>
      <c r="B519" s="15" t="s">
        <v>4692</v>
      </c>
      <c r="C519" s="363" t="s">
        <v>4693</v>
      </c>
      <c r="D519" s="254">
        <f>SUMIF(GL!$D$5:$D$6505,B519,GL!$G$5:$G$6505)</f>
        <v>0</v>
      </c>
      <c r="E519" s="341">
        <f>SUMIF(GL!$D$6:$D$6487,B519,GL!$H$6:$H$6487)</f>
        <v>0</v>
      </c>
      <c r="F519" s="341">
        <f>SUMIF(GL!$D$6:$D$6487,B519,GL!$I$6:$I$6487)</f>
        <v>0</v>
      </c>
      <c r="G519" s="341"/>
      <c r="H519" s="341"/>
      <c r="I519" s="341">
        <f t="shared" si="365"/>
        <v>0</v>
      </c>
      <c r="J519" s="341">
        <f t="shared" si="366"/>
        <v>0</v>
      </c>
      <c r="K519" s="341"/>
      <c r="L519" s="342"/>
      <c r="M519" s="342"/>
      <c r="N519" s="341">
        <f t="shared" si="322"/>
        <v>0</v>
      </c>
      <c r="O519" s="341">
        <f t="shared" si="323"/>
        <v>0</v>
      </c>
      <c r="P519" s="341">
        <f>SUMIF(GL!$D$6488:$D$6532,B519,GL!$H$6488:$H$6532)</f>
        <v>0</v>
      </c>
      <c r="Q519" s="341">
        <f>SUMIF(GL!$D$6408:$D$6452,B519,GL!$I$6408:$I$6452)</f>
        <v>0</v>
      </c>
      <c r="R519" s="341">
        <f t="shared" ref="R519:S519" si="551">P519+N519</f>
        <v>0</v>
      </c>
      <c r="S519" s="341">
        <f t="shared" si="551"/>
        <v>0</v>
      </c>
      <c r="T519" s="340"/>
      <c r="U519" s="340"/>
      <c r="V519" s="340"/>
      <c r="W519" s="340"/>
      <c r="X519" s="341">
        <f t="shared" si="325"/>
        <v>0</v>
      </c>
      <c r="Y519" s="341">
        <f t="shared" si="326"/>
        <v>0</v>
      </c>
      <c r="Z519" s="4"/>
      <c r="AA519" s="330"/>
      <c r="AB519" s="332"/>
      <c r="AC519" s="332"/>
      <c r="AD519" s="110"/>
      <c r="AE519" s="110"/>
      <c r="AF519" s="110"/>
      <c r="AG519" s="110"/>
      <c r="AH519" s="110"/>
      <c r="AI519" s="110"/>
    </row>
    <row r="520" spans="1:35" ht="13.5" customHeight="1">
      <c r="A520" s="4"/>
      <c r="B520" s="15" t="s">
        <v>4694</v>
      </c>
      <c r="C520" s="363" t="s">
        <v>4695</v>
      </c>
      <c r="D520" s="254">
        <f>SUMIF(GL!$D$5:$D$6505,B520,GL!$G$5:$G$6505)</f>
        <v>0</v>
      </c>
      <c r="E520" s="341">
        <f>SUMIF(GL!$D$6:$D$6487,B520,GL!$H$6:$H$6487)</f>
        <v>0</v>
      </c>
      <c r="F520" s="341">
        <f>SUMIF(GL!$D$6:$D$6487,B520,GL!$I$6:$I$6487)</f>
        <v>0</v>
      </c>
      <c r="G520" s="341"/>
      <c r="H520" s="341"/>
      <c r="I520" s="341">
        <f t="shared" si="365"/>
        <v>0</v>
      </c>
      <c r="J520" s="341">
        <f t="shared" si="366"/>
        <v>0</v>
      </c>
      <c r="K520" s="341"/>
      <c r="L520" s="342"/>
      <c r="M520" s="342"/>
      <c r="N520" s="341">
        <f t="shared" si="322"/>
        <v>0</v>
      </c>
      <c r="O520" s="341">
        <f t="shared" si="323"/>
        <v>0</v>
      </c>
      <c r="P520" s="341">
        <f>SUMIF(GL!$D$6488:$D$6532,B520,GL!$H$6488:$H$6532)</f>
        <v>0</v>
      </c>
      <c r="Q520" s="341">
        <f>SUMIF(GL!$D$6408:$D$6452,B520,GL!$I$6408:$I$6452)</f>
        <v>0</v>
      </c>
      <c r="R520" s="341">
        <f t="shared" ref="R520:S520" si="552">P520+N520</f>
        <v>0</v>
      </c>
      <c r="S520" s="341">
        <f t="shared" si="552"/>
        <v>0</v>
      </c>
      <c r="T520" s="340"/>
      <c r="U520" s="340"/>
      <c r="V520" s="340"/>
      <c r="W520" s="340"/>
      <c r="X520" s="341">
        <f t="shared" si="325"/>
        <v>0</v>
      </c>
      <c r="Y520" s="341">
        <f t="shared" si="326"/>
        <v>0</v>
      </c>
      <c r="Z520" s="4"/>
      <c r="AA520" s="330"/>
      <c r="AB520" s="332"/>
      <c r="AC520" s="332"/>
      <c r="AD520" s="110"/>
      <c r="AE520" s="110"/>
      <c r="AF520" s="110"/>
      <c r="AG520" s="110"/>
      <c r="AH520" s="110"/>
      <c r="AI520" s="110"/>
    </row>
    <row r="521" spans="1:35" ht="13.5" customHeight="1">
      <c r="A521" s="4"/>
      <c r="B521" s="15" t="s">
        <v>4696</v>
      </c>
      <c r="C521" s="363" t="s">
        <v>4697</v>
      </c>
      <c r="D521" s="254">
        <f>SUMIF(GL!$D$5:$D$6505,B521,GL!$G$5:$G$6505)</f>
        <v>0</v>
      </c>
      <c r="E521" s="341">
        <f>SUMIF(GL!$D$6:$D$6487,B521,GL!$H$6:$H$6487)</f>
        <v>0</v>
      </c>
      <c r="F521" s="341">
        <f>SUMIF(GL!$D$6:$D$6487,B521,GL!$I$6:$I$6487)</f>
        <v>0</v>
      </c>
      <c r="G521" s="341"/>
      <c r="H521" s="341"/>
      <c r="I521" s="341">
        <f t="shared" si="365"/>
        <v>0</v>
      </c>
      <c r="J521" s="341">
        <f t="shared" si="366"/>
        <v>0</v>
      </c>
      <c r="K521" s="341"/>
      <c r="L521" s="342"/>
      <c r="M521" s="342"/>
      <c r="N521" s="341">
        <f t="shared" si="322"/>
        <v>0</v>
      </c>
      <c r="O521" s="341">
        <f t="shared" si="323"/>
        <v>0</v>
      </c>
      <c r="P521" s="341">
        <f>SUMIF(GL!$D$6488:$D$6532,B521,GL!$H$6488:$H$6532)</f>
        <v>0</v>
      </c>
      <c r="Q521" s="341">
        <f>SUMIF(GL!$D$6408:$D$6452,B521,GL!$I$6408:$I$6452)</f>
        <v>0</v>
      </c>
      <c r="R521" s="341">
        <f t="shared" ref="R521:S521" si="553">P521+N521</f>
        <v>0</v>
      </c>
      <c r="S521" s="341">
        <f t="shared" si="553"/>
        <v>0</v>
      </c>
      <c r="T521" s="340"/>
      <c r="U521" s="340"/>
      <c r="V521" s="340"/>
      <c r="W521" s="340"/>
      <c r="X521" s="341">
        <f t="shared" si="325"/>
        <v>0</v>
      </c>
      <c r="Y521" s="341">
        <f t="shared" si="326"/>
        <v>0</v>
      </c>
      <c r="Z521" s="364"/>
      <c r="AA521" s="330"/>
      <c r="AB521" s="332"/>
      <c r="AC521" s="332"/>
      <c r="AD521" s="110"/>
      <c r="AE521" s="110"/>
      <c r="AF521" s="110"/>
      <c r="AG521" s="110"/>
      <c r="AH521" s="110"/>
      <c r="AI521" s="110"/>
    </row>
    <row r="522" spans="1:35" ht="13.5" customHeight="1">
      <c r="A522" s="4"/>
      <c r="B522" s="15" t="s">
        <v>2989</v>
      </c>
      <c r="C522" s="363" t="s">
        <v>4698</v>
      </c>
      <c r="D522" s="254">
        <f>SUMIF(GL!$D$5:$D$6505,B522,GL!$G$5:$G$6505)</f>
        <v>2</v>
      </c>
      <c r="E522" s="341">
        <f>SUMIF(GL!$D$6:$D$6487,B522,GL!$H$6:$H$6487)</f>
        <v>1380000</v>
      </c>
      <c r="F522" s="341">
        <f>SUMIF(GL!$D$6:$D$6487,B522,GL!$I$6:$I$6487)</f>
        <v>0</v>
      </c>
      <c r="G522" s="341"/>
      <c r="H522" s="341"/>
      <c r="I522" s="341">
        <f t="shared" si="365"/>
        <v>1380000</v>
      </c>
      <c r="J522" s="341">
        <f t="shared" si="366"/>
        <v>0</v>
      </c>
      <c r="K522" s="341"/>
      <c r="L522" s="342"/>
      <c r="M522" s="342"/>
      <c r="N522" s="341">
        <f t="shared" si="322"/>
        <v>1380000</v>
      </c>
      <c r="O522" s="341">
        <f t="shared" si="323"/>
        <v>0</v>
      </c>
      <c r="P522" s="341">
        <f>SUMIF(GL!$D$6488:$D$6532,B522,GL!$H$6488:$H$6532)</f>
        <v>0</v>
      </c>
      <c r="Q522" s="341">
        <f>SUMIF(GL!$D$6408:$D$6452,B522,GL!$I$6408:$I$6452)</f>
        <v>0</v>
      </c>
      <c r="R522" s="341">
        <f t="shared" ref="R522:S522" si="554">P522+N522</f>
        <v>1380000</v>
      </c>
      <c r="S522" s="341">
        <f t="shared" si="554"/>
        <v>0</v>
      </c>
      <c r="T522" s="340"/>
      <c r="U522" s="340"/>
      <c r="V522" s="340"/>
      <c r="W522" s="340"/>
      <c r="X522" s="341">
        <f t="shared" si="325"/>
        <v>1380000</v>
      </c>
      <c r="Y522" s="341">
        <f t="shared" si="326"/>
        <v>0</v>
      </c>
      <c r="Z522" s="364"/>
      <c r="AA522" s="330"/>
      <c r="AB522" s="332"/>
      <c r="AC522" s="332"/>
      <c r="AD522" s="110"/>
      <c r="AE522" s="110"/>
      <c r="AF522" s="110"/>
      <c r="AG522" s="110"/>
      <c r="AH522" s="110"/>
      <c r="AI522" s="110"/>
    </row>
    <row r="523" spans="1:35" ht="13.5" customHeight="1">
      <c r="A523" s="4"/>
      <c r="B523" s="15" t="s">
        <v>4699</v>
      </c>
      <c r="C523" s="363" t="s">
        <v>4700</v>
      </c>
      <c r="D523" s="254">
        <f>SUMIF(GL!$D$5:$D$6505,B523,GL!$G$5:$G$6505)</f>
        <v>0</v>
      </c>
      <c r="E523" s="341">
        <f>SUMIF(GL!$D$6:$D$6487,B523,GL!$H$6:$H$6487)</f>
        <v>0</v>
      </c>
      <c r="F523" s="341">
        <f>SUMIF(GL!$D$6:$D$6487,B523,GL!$I$6:$I$6487)</f>
        <v>0</v>
      </c>
      <c r="G523" s="341"/>
      <c r="H523" s="341"/>
      <c r="I523" s="341">
        <f t="shared" si="365"/>
        <v>0</v>
      </c>
      <c r="J523" s="341">
        <f t="shared" si="366"/>
        <v>0</v>
      </c>
      <c r="K523" s="341"/>
      <c r="L523" s="342"/>
      <c r="M523" s="342"/>
      <c r="N523" s="341">
        <f t="shared" si="322"/>
        <v>0</v>
      </c>
      <c r="O523" s="341">
        <f t="shared" si="323"/>
        <v>0</v>
      </c>
      <c r="P523" s="341">
        <f>SUMIF(GL!$D$6488:$D$6532,B523,GL!$H$6488:$H$6532)</f>
        <v>0</v>
      </c>
      <c r="Q523" s="341">
        <f>SUMIF(GL!$D$6408:$D$6452,B523,GL!$I$6408:$I$6452)</f>
        <v>0</v>
      </c>
      <c r="R523" s="341">
        <f t="shared" ref="R523:S523" si="555">P523+N523</f>
        <v>0</v>
      </c>
      <c r="S523" s="341">
        <f t="shared" si="555"/>
        <v>0</v>
      </c>
      <c r="T523" s="340"/>
      <c r="U523" s="340"/>
      <c r="V523" s="340"/>
      <c r="W523" s="340"/>
      <c r="X523" s="341">
        <f t="shared" si="325"/>
        <v>0</v>
      </c>
      <c r="Y523" s="341">
        <f t="shared" si="326"/>
        <v>0</v>
      </c>
      <c r="Z523" s="364"/>
      <c r="AA523" s="330"/>
      <c r="AB523" s="332"/>
      <c r="AC523" s="332"/>
      <c r="AD523" s="110"/>
      <c r="AE523" s="110"/>
      <c r="AF523" s="110"/>
      <c r="AG523" s="110"/>
      <c r="AH523" s="110"/>
      <c r="AI523" s="110"/>
    </row>
    <row r="524" spans="1:35" ht="13.5" customHeight="1">
      <c r="A524" s="4"/>
      <c r="B524" s="15" t="s">
        <v>4701</v>
      </c>
      <c r="C524" s="363" t="s">
        <v>4702</v>
      </c>
      <c r="D524" s="254">
        <f>SUMIF(GL!$D$5:$D$6505,B524,GL!$G$5:$G$6505)</f>
        <v>0</v>
      </c>
      <c r="E524" s="341">
        <f>SUMIF(GL!$D$6:$D$6487,B524,GL!$H$6:$H$6487)</f>
        <v>0</v>
      </c>
      <c r="F524" s="341">
        <f>SUMIF(GL!$D$6:$D$6487,B524,GL!$I$6:$I$6487)</f>
        <v>0</v>
      </c>
      <c r="G524" s="341"/>
      <c r="H524" s="341"/>
      <c r="I524" s="341">
        <f t="shared" si="365"/>
        <v>0</v>
      </c>
      <c r="J524" s="341">
        <f t="shared" si="366"/>
        <v>0</v>
      </c>
      <c r="K524" s="341"/>
      <c r="L524" s="342"/>
      <c r="M524" s="342"/>
      <c r="N524" s="341">
        <f t="shared" si="322"/>
        <v>0</v>
      </c>
      <c r="O524" s="341">
        <f t="shared" si="323"/>
        <v>0</v>
      </c>
      <c r="P524" s="341">
        <f>SUMIF(GL!$D$6488:$D$6532,B524,GL!$H$6488:$H$6532)</f>
        <v>0</v>
      </c>
      <c r="Q524" s="341">
        <f>SUMIF(GL!$D$6408:$D$6452,B524,GL!$I$6408:$I$6452)</f>
        <v>0</v>
      </c>
      <c r="R524" s="341">
        <f t="shared" ref="R524:S524" si="556">P524+N524</f>
        <v>0</v>
      </c>
      <c r="S524" s="341">
        <f t="shared" si="556"/>
        <v>0</v>
      </c>
      <c r="T524" s="340"/>
      <c r="U524" s="340"/>
      <c r="V524" s="340"/>
      <c r="W524" s="340"/>
      <c r="X524" s="341">
        <f t="shared" si="325"/>
        <v>0</v>
      </c>
      <c r="Y524" s="341">
        <f t="shared" si="326"/>
        <v>0</v>
      </c>
      <c r="Z524" s="364"/>
      <c r="AA524" s="330"/>
      <c r="AB524" s="332"/>
      <c r="AC524" s="332"/>
      <c r="AD524" s="110"/>
      <c r="AE524" s="110"/>
      <c r="AF524" s="110"/>
      <c r="AG524" s="110"/>
      <c r="AH524" s="110"/>
      <c r="AI524" s="110"/>
    </row>
    <row r="525" spans="1:35" ht="13.5" customHeight="1">
      <c r="A525" s="4"/>
      <c r="B525" s="15" t="s">
        <v>2854</v>
      </c>
      <c r="C525" s="363" t="s">
        <v>4703</v>
      </c>
      <c r="D525" s="254">
        <f>SUMIF(GL!$D$5:$D$6505,B525,GL!$G$5:$G$6505)</f>
        <v>4</v>
      </c>
      <c r="E525" s="341">
        <f>SUMIF(GL!$D$6:$D$6487,B525,GL!$H$6:$H$6487)</f>
        <v>2330000</v>
      </c>
      <c r="F525" s="341">
        <f>SUMIF(GL!$D$6:$D$6487,B525,GL!$I$6:$I$6487)</f>
        <v>0</v>
      </c>
      <c r="G525" s="341"/>
      <c r="H525" s="341"/>
      <c r="I525" s="341">
        <f t="shared" si="365"/>
        <v>2330000</v>
      </c>
      <c r="J525" s="341">
        <f t="shared" si="366"/>
        <v>0</v>
      </c>
      <c r="K525" s="341"/>
      <c r="L525" s="342"/>
      <c r="M525" s="342"/>
      <c r="N525" s="341">
        <f t="shared" si="322"/>
        <v>2330000</v>
      </c>
      <c r="O525" s="341">
        <f t="shared" si="323"/>
        <v>0</v>
      </c>
      <c r="P525" s="341">
        <f>SUMIF(GL!$D$6488:$D$6532,B525,GL!$H$6488:$H$6532)</f>
        <v>0</v>
      </c>
      <c r="Q525" s="341">
        <f>SUMIF(GL!$D$6408:$D$6452,B525,GL!$I$6408:$I$6452)</f>
        <v>0</v>
      </c>
      <c r="R525" s="341">
        <f t="shared" ref="R525:S525" si="557">P525+N525</f>
        <v>2330000</v>
      </c>
      <c r="S525" s="341">
        <f t="shared" si="557"/>
        <v>0</v>
      </c>
      <c r="T525" s="340"/>
      <c r="U525" s="340"/>
      <c r="V525" s="340"/>
      <c r="W525" s="340"/>
      <c r="X525" s="341">
        <f t="shared" si="325"/>
        <v>2330000</v>
      </c>
      <c r="Y525" s="341">
        <f t="shared" si="326"/>
        <v>0</v>
      </c>
      <c r="Z525" s="364"/>
      <c r="AA525" s="330"/>
      <c r="AB525" s="332"/>
      <c r="AC525" s="332"/>
      <c r="AD525" s="110"/>
      <c r="AE525" s="110"/>
      <c r="AF525" s="110"/>
      <c r="AG525" s="110"/>
      <c r="AH525" s="110"/>
      <c r="AI525" s="110"/>
    </row>
    <row r="526" spans="1:35" ht="13.5" customHeight="1">
      <c r="A526" s="4"/>
      <c r="B526" s="15" t="s">
        <v>2870</v>
      </c>
      <c r="C526" s="363" t="s">
        <v>4704</v>
      </c>
      <c r="D526" s="254">
        <f>SUMIF(GL!$D$5:$D$6505,B526,GL!$G$5:$G$6505)</f>
        <v>4</v>
      </c>
      <c r="E526" s="341">
        <f>SUMIF(GL!$D$6:$D$6487,B526,GL!$H$6:$H$6487)</f>
        <v>4600000</v>
      </c>
      <c r="F526" s="341">
        <f>SUMIF(GL!$D$6:$D$6487,B526,GL!$I$6:$I$6487)</f>
        <v>0</v>
      </c>
      <c r="G526" s="341"/>
      <c r="H526" s="341"/>
      <c r="I526" s="341">
        <f t="shared" si="365"/>
        <v>4600000</v>
      </c>
      <c r="J526" s="341">
        <f t="shared" si="366"/>
        <v>0</v>
      </c>
      <c r="K526" s="341"/>
      <c r="L526" s="342"/>
      <c r="M526" s="342"/>
      <c r="N526" s="341">
        <f t="shared" si="322"/>
        <v>4600000</v>
      </c>
      <c r="O526" s="341">
        <f t="shared" si="323"/>
        <v>0</v>
      </c>
      <c r="P526" s="341">
        <f>SUMIF(GL!$D$6488:$D$6532,B526,GL!$H$6488:$H$6532)</f>
        <v>0</v>
      </c>
      <c r="Q526" s="341">
        <f>SUMIF(GL!$D$6408:$D$6452,B526,GL!$I$6408:$I$6452)</f>
        <v>0</v>
      </c>
      <c r="R526" s="341">
        <f t="shared" ref="R526:S526" si="558">P526+N526</f>
        <v>4600000</v>
      </c>
      <c r="S526" s="341">
        <f t="shared" si="558"/>
        <v>0</v>
      </c>
      <c r="T526" s="340"/>
      <c r="U526" s="340"/>
      <c r="V526" s="340"/>
      <c r="W526" s="340"/>
      <c r="X526" s="341">
        <f t="shared" si="325"/>
        <v>4600000</v>
      </c>
      <c r="Y526" s="341">
        <f t="shared" si="326"/>
        <v>0</v>
      </c>
      <c r="Z526" s="364"/>
      <c r="AA526" s="330"/>
      <c r="AB526" s="332"/>
      <c r="AC526" s="332"/>
      <c r="AD526" s="110"/>
      <c r="AE526" s="110"/>
      <c r="AF526" s="110"/>
      <c r="AG526" s="110"/>
      <c r="AH526" s="110"/>
      <c r="AI526" s="110"/>
    </row>
    <row r="527" spans="1:35" ht="13.5" customHeight="1">
      <c r="A527" s="4"/>
      <c r="B527" s="15" t="s">
        <v>4705</v>
      </c>
      <c r="C527" s="363" t="s">
        <v>4706</v>
      </c>
      <c r="D527" s="254">
        <f>SUMIF(GL!$D$5:$D$6505,B527,GL!$G$5:$G$6505)</f>
        <v>0</v>
      </c>
      <c r="E527" s="341">
        <f>SUMIF(GL!$D$6:$D$6487,B527,GL!$H$6:$H$6487)</f>
        <v>0</v>
      </c>
      <c r="F527" s="341">
        <f>SUMIF(GL!$D$6:$D$6487,B527,GL!$I$6:$I$6487)</f>
        <v>0</v>
      </c>
      <c r="G527" s="341"/>
      <c r="H527" s="341"/>
      <c r="I527" s="341">
        <f t="shared" si="365"/>
        <v>0</v>
      </c>
      <c r="J527" s="341">
        <f t="shared" si="366"/>
        <v>0</v>
      </c>
      <c r="K527" s="341"/>
      <c r="L527" s="342"/>
      <c r="M527" s="342"/>
      <c r="N527" s="341">
        <f t="shared" si="322"/>
        <v>0</v>
      </c>
      <c r="O527" s="341">
        <f t="shared" si="323"/>
        <v>0</v>
      </c>
      <c r="P527" s="341">
        <f>SUMIF(GL!$D$6488:$D$6532,B527,GL!$H$6488:$H$6532)</f>
        <v>0</v>
      </c>
      <c r="Q527" s="341">
        <f>SUMIF(GL!$D$6408:$D$6452,B527,GL!$I$6408:$I$6452)</f>
        <v>0</v>
      </c>
      <c r="R527" s="341">
        <f t="shared" ref="R527:S527" si="559">P527+N527</f>
        <v>0</v>
      </c>
      <c r="S527" s="341">
        <f t="shared" si="559"/>
        <v>0</v>
      </c>
      <c r="T527" s="340"/>
      <c r="U527" s="340"/>
      <c r="V527" s="340"/>
      <c r="W527" s="340"/>
      <c r="X527" s="341">
        <f t="shared" si="325"/>
        <v>0</v>
      </c>
      <c r="Y527" s="341">
        <f t="shared" si="326"/>
        <v>0</v>
      </c>
      <c r="Z527" s="364"/>
      <c r="AA527" s="330"/>
      <c r="AB527" s="332"/>
      <c r="AC527" s="332"/>
      <c r="AD527" s="110"/>
      <c r="AE527" s="110"/>
      <c r="AF527" s="110"/>
      <c r="AG527" s="110"/>
      <c r="AH527" s="110"/>
      <c r="AI527" s="110"/>
    </row>
    <row r="528" spans="1:35" ht="13.5" customHeight="1">
      <c r="A528" s="4"/>
      <c r="B528" s="15" t="s">
        <v>4707</v>
      </c>
      <c r="C528" s="363" t="s">
        <v>4708</v>
      </c>
      <c r="D528" s="254">
        <f>SUMIF(GL!$D$5:$D$6505,B528,GL!$G$5:$G$6505)</f>
        <v>0</v>
      </c>
      <c r="E528" s="341">
        <f>SUMIF(GL!$D$6:$D$6487,B528,GL!$H$6:$H$6487)</f>
        <v>0</v>
      </c>
      <c r="F528" s="341">
        <f>SUMIF(GL!$D$6:$D$6487,B528,GL!$I$6:$I$6487)</f>
        <v>0</v>
      </c>
      <c r="G528" s="341"/>
      <c r="H528" s="341"/>
      <c r="I528" s="341">
        <f t="shared" si="365"/>
        <v>0</v>
      </c>
      <c r="J528" s="341">
        <f t="shared" si="366"/>
        <v>0</v>
      </c>
      <c r="K528" s="341"/>
      <c r="L528" s="342"/>
      <c r="M528" s="342"/>
      <c r="N528" s="341">
        <f t="shared" si="322"/>
        <v>0</v>
      </c>
      <c r="O528" s="341">
        <f t="shared" si="323"/>
        <v>0</v>
      </c>
      <c r="P528" s="341">
        <f>SUMIF(GL!$D$6488:$D$6532,B528,GL!$H$6488:$H$6532)</f>
        <v>0</v>
      </c>
      <c r="Q528" s="341">
        <f>SUMIF(GL!$D$6408:$D$6452,B528,GL!$I$6408:$I$6452)</f>
        <v>0</v>
      </c>
      <c r="R528" s="341">
        <f t="shared" ref="R528:S528" si="560">P528+N528</f>
        <v>0</v>
      </c>
      <c r="S528" s="341">
        <f t="shared" si="560"/>
        <v>0</v>
      </c>
      <c r="T528" s="340"/>
      <c r="U528" s="340"/>
      <c r="V528" s="340"/>
      <c r="W528" s="340"/>
      <c r="X528" s="341">
        <f t="shared" si="325"/>
        <v>0</v>
      </c>
      <c r="Y528" s="341">
        <f t="shared" si="326"/>
        <v>0</v>
      </c>
      <c r="Z528" s="364"/>
      <c r="AA528" s="330"/>
      <c r="AB528" s="332"/>
      <c r="AC528" s="332"/>
      <c r="AD528" s="110"/>
      <c r="AE528" s="110"/>
      <c r="AF528" s="110"/>
      <c r="AG528" s="110"/>
      <c r="AH528" s="110"/>
      <c r="AI528" s="110"/>
    </row>
    <row r="529" spans="1:35" ht="13.5" customHeight="1">
      <c r="A529" s="4"/>
      <c r="B529" s="15" t="s">
        <v>4709</v>
      </c>
      <c r="C529" s="363" t="s">
        <v>4710</v>
      </c>
      <c r="D529" s="254">
        <f>SUMIF(GL!$D$5:$D$6505,B529,GL!$G$5:$G$6505)</f>
        <v>0</v>
      </c>
      <c r="E529" s="341">
        <f>SUMIF(GL!$D$6:$D$6487,B529,GL!$H$6:$H$6487)</f>
        <v>0</v>
      </c>
      <c r="F529" s="341">
        <f>SUMIF(GL!$D$6:$D$6487,B529,GL!$I$6:$I$6487)</f>
        <v>0</v>
      </c>
      <c r="G529" s="341"/>
      <c r="H529" s="341"/>
      <c r="I529" s="341">
        <f t="shared" si="365"/>
        <v>0</v>
      </c>
      <c r="J529" s="341">
        <f t="shared" si="366"/>
        <v>0</v>
      </c>
      <c r="K529" s="341"/>
      <c r="L529" s="342"/>
      <c r="M529" s="342"/>
      <c r="N529" s="341">
        <f t="shared" si="322"/>
        <v>0</v>
      </c>
      <c r="O529" s="341">
        <f t="shared" si="323"/>
        <v>0</v>
      </c>
      <c r="P529" s="341">
        <f>SUMIF(GL!$D$6488:$D$6532,B529,GL!$H$6488:$H$6532)</f>
        <v>0</v>
      </c>
      <c r="Q529" s="341">
        <f>SUMIF(GL!$D$6408:$D$6452,B529,GL!$I$6408:$I$6452)</f>
        <v>0</v>
      </c>
      <c r="R529" s="341">
        <f t="shared" ref="R529:S529" si="561">P529+N529</f>
        <v>0</v>
      </c>
      <c r="S529" s="341">
        <f t="shared" si="561"/>
        <v>0</v>
      </c>
      <c r="T529" s="340"/>
      <c r="U529" s="340"/>
      <c r="V529" s="340"/>
      <c r="W529" s="340"/>
      <c r="X529" s="341">
        <f t="shared" si="325"/>
        <v>0</v>
      </c>
      <c r="Y529" s="341">
        <f t="shared" si="326"/>
        <v>0</v>
      </c>
      <c r="Z529" s="364"/>
      <c r="AA529" s="330"/>
      <c r="AB529" s="332"/>
      <c r="AC529" s="332"/>
      <c r="AD529" s="110"/>
      <c r="AE529" s="110"/>
      <c r="AF529" s="110"/>
      <c r="AG529" s="110"/>
      <c r="AH529" s="110"/>
      <c r="AI529" s="110"/>
    </row>
    <row r="530" spans="1:35" ht="13.5" customHeight="1">
      <c r="A530" s="4"/>
      <c r="B530" s="15" t="s">
        <v>4711</v>
      </c>
      <c r="C530" s="363" t="s">
        <v>4712</v>
      </c>
      <c r="D530" s="254">
        <f>SUMIF(GL!$D$5:$D$6505,B530,GL!$G$5:$G$6505)</f>
        <v>0</v>
      </c>
      <c r="E530" s="341">
        <f>SUMIF(GL!$D$6:$D$6487,B530,GL!$H$6:$H$6487)</f>
        <v>0</v>
      </c>
      <c r="F530" s="341">
        <f>SUMIF(GL!$D$6:$D$6487,B530,GL!$I$6:$I$6487)</f>
        <v>0</v>
      </c>
      <c r="G530" s="341"/>
      <c r="H530" s="341"/>
      <c r="I530" s="341">
        <f t="shared" si="365"/>
        <v>0</v>
      </c>
      <c r="J530" s="341">
        <f t="shared" si="366"/>
        <v>0</v>
      </c>
      <c r="K530" s="341"/>
      <c r="L530" s="342"/>
      <c r="M530" s="342"/>
      <c r="N530" s="341">
        <f t="shared" si="322"/>
        <v>0</v>
      </c>
      <c r="O530" s="341">
        <f t="shared" si="323"/>
        <v>0</v>
      </c>
      <c r="P530" s="341">
        <f>SUMIF(GL!$D$6488:$D$6532,B530,GL!$H$6488:$H$6532)</f>
        <v>0</v>
      </c>
      <c r="Q530" s="341">
        <f>SUMIF(GL!$D$6408:$D$6452,B530,GL!$I$6408:$I$6452)</f>
        <v>0</v>
      </c>
      <c r="R530" s="341">
        <f t="shared" ref="R530:S530" si="562">P530+N530</f>
        <v>0</v>
      </c>
      <c r="S530" s="341">
        <f t="shared" si="562"/>
        <v>0</v>
      </c>
      <c r="T530" s="340"/>
      <c r="U530" s="340"/>
      <c r="V530" s="340"/>
      <c r="W530" s="340"/>
      <c r="X530" s="341">
        <f t="shared" si="325"/>
        <v>0</v>
      </c>
      <c r="Y530" s="341">
        <f t="shared" si="326"/>
        <v>0</v>
      </c>
      <c r="Z530" s="364"/>
      <c r="AA530" s="330"/>
      <c r="AB530" s="332"/>
      <c r="AC530" s="332"/>
      <c r="AD530" s="110"/>
      <c r="AE530" s="110"/>
      <c r="AF530" s="110"/>
      <c r="AG530" s="110"/>
      <c r="AH530" s="110"/>
      <c r="AI530" s="110"/>
    </row>
    <row r="531" spans="1:35" ht="13.5" customHeight="1">
      <c r="A531" s="4"/>
      <c r="B531" s="15" t="s">
        <v>4713</v>
      </c>
      <c r="C531" s="363" t="s">
        <v>4714</v>
      </c>
      <c r="D531" s="254">
        <f>SUMIF(GL!$D$5:$D$6505,B531,GL!$G$5:$G$6505)</f>
        <v>0</v>
      </c>
      <c r="E531" s="341">
        <f>SUMIF(GL!$D$6:$D$6487,B531,GL!$H$6:$H$6487)</f>
        <v>0</v>
      </c>
      <c r="F531" s="341">
        <f>SUMIF(GL!$D$6:$D$6487,B531,GL!$I$6:$I$6487)</f>
        <v>0</v>
      </c>
      <c r="G531" s="341"/>
      <c r="H531" s="341"/>
      <c r="I531" s="341">
        <f t="shared" si="365"/>
        <v>0</v>
      </c>
      <c r="J531" s="341">
        <f t="shared" si="366"/>
        <v>0</v>
      </c>
      <c r="K531" s="341"/>
      <c r="L531" s="342"/>
      <c r="M531" s="342"/>
      <c r="N531" s="341">
        <f t="shared" si="322"/>
        <v>0</v>
      </c>
      <c r="O531" s="341">
        <f t="shared" si="323"/>
        <v>0</v>
      </c>
      <c r="P531" s="341">
        <f>SUMIF(GL!$D$6488:$D$6532,B531,GL!$H$6488:$H$6532)</f>
        <v>0</v>
      </c>
      <c r="Q531" s="341">
        <f>SUMIF(GL!$D$6408:$D$6452,B531,GL!$I$6408:$I$6452)</f>
        <v>0</v>
      </c>
      <c r="R531" s="341">
        <f t="shared" ref="R531:S531" si="563">P531+N531</f>
        <v>0</v>
      </c>
      <c r="S531" s="341">
        <f t="shared" si="563"/>
        <v>0</v>
      </c>
      <c r="T531" s="340"/>
      <c r="U531" s="340"/>
      <c r="V531" s="340"/>
      <c r="W531" s="340"/>
      <c r="X531" s="341">
        <f t="shared" si="325"/>
        <v>0</v>
      </c>
      <c r="Y531" s="341">
        <f t="shared" si="326"/>
        <v>0</v>
      </c>
      <c r="Z531" s="364"/>
      <c r="AA531" s="330"/>
      <c r="AB531" s="332"/>
      <c r="AC531" s="332"/>
      <c r="AD531" s="110"/>
      <c r="AE531" s="110"/>
      <c r="AF531" s="110"/>
      <c r="AG531" s="110"/>
      <c r="AH531" s="110"/>
      <c r="AI531" s="110"/>
    </row>
    <row r="532" spans="1:35" ht="13.5" customHeight="1">
      <c r="A532" s="4"/>
      <c r="B532" s="15" t="s">
        <v>4715</v>
      </c>
      <c r="C532" s="363" t="s">
        <v>4716</v>
      </c>
      <c r="D532" s="254">
        <f>SUMIF(GL!$D$5:$D$6505,B532,GL!$G$5:$G$6505)</f>
        <v>0</v>
      </c>
      <c r="E532" s="341">
        <f>SUMIF(GL!$D$6:$D$6487,B532,GL!$H$6:$H$6487)</f>
        <v>0</v>
      </c>
      <c r="F532" s="341">
        <f>SUMIF(GL!$D$6:$D$6487,B532,GL!$I$6:$I$6487)</f>
        <v>0</v>
      </c>
      <c r="G532" s="341"/>
      <c r="H532" s="341"/>
      <c r="I532" s="341">
        <f t="shared" si="365"/>
        <v>0</v>
      </c>
      <c r="J532" s="341">
        <f t="shared" si="366"/>
        <v>0</v>
      </c>
      <c r="K532" s="341"/>
      <c r="L532" s="342"/>
      <c r="M532" s="342"/>
      <c r="N532" s="341">
        <f t="shared" si="322"/>
        <v>0</v>
      </c>
      <c r="O532" s="341">
        <f t="shared" si="323"/>
        <v>0</v>
      </c>
      <c r="P532" s="341">
        <f>SUMIF(GL!$D$6488:$D$6532,B532,GL!$H$6488:$H$6532)</f>
        <v>0</v>
      </c>
      <c r="Q532" s="341">
        <f>SUMIF(GL!$D$6408:$D$6452,B532,GL!$I$6408:$I$6452)</f>
        <v>0</v>
      </c>
      <c r="R532" s="341">
        <f t="shared" ref="R532:S532" si="564">P532+N532</f>
        <v>0</v>
      </c>
      <c r="S532" s="341">
        <f t="shared" si="564"/>
        <v>0</v>
      </c>
      <c r="T532" s="340"/>
      <c r="U532" s="340"/>
      <c r="V532" s="340"/>
      <c r="W532" s="340"/>
      <c r="X532" s="341">
        <f t="shared" si="325"/>
        <v>0</v>
      </c>
      <c r="Y532" s="341">
        <f t="shared" si="326"/>
        <v>0</v>
      </c>
      <c r="Z532" s="364"/>
      <c r="AA532" s="330"/>
      <c r="AB532" s="332"/>
      <c r="AC532" s="332"/>
      <c r="AD532" s="110"/>
      <c r="AE532" s="110"/>
      <c r="AF532" s="110"/>
      <c r="AG532" s="110"/>
      <c r="AH532" s="110"/>
      <c r="AI532" s="110"/>
    </row>
    <row r="533" spans="1:35" ht="13.5" customHeight="1">
      <c r="A533" s="4"/>
      <c r="B533" s="15" t="s">
        <v>2753</v>
      </c>
      <c r="C533" s="363" t="s">
        <v>4717</v>
      </c>
      <c r="D533" s="254">
        <f>SUMIF(GL!$D$5:$D$6505,B533,GL!$G$5:$G$6505)</f>
        <v>3</v>
      </c>
      <c r="E533" s="341">
        <f>SUMIF(GL!$D$6:$D$6487,B533,GL!$H$6:$H$6487)</f>
        <v>1750002</v>
      </c>
      <c r="F533" s="341">
        <f>SUMIF(GL!$D$6:$D$6487,B533,GL!$I$6:$I$6487)</f>
        <v>0</v>
      </c>
      <c r="G533" s="341"/>
      <c r="H533" s="341"/>
      <c r="I533" s="341">
        <f t="shared" si="365"/>
        <v>1750002</v>
      </c>
      <c r="J533" s="341">
        <f t="shared" si="366"/>
        <v>0</v>
      </c>
      <c r="K533" s="341"/>
      <c r="L533" s="342"/>
      <c r="M533" s="342"/>
      <c r="N533" s="341">
        <f t="shared" si="322"/>
        <v>1750002</v>
      </c>
      <c r="O533" s="341">
        <f t="shared" si="323"/>
        <v>0</v>
      </c>
      <c r="P533" s="341">
        <f>SUMIF(GL!$D$6488:$D$6532,B533,GL!$H$6488:$H$6532)</f>
        <v>0</v>
      </c>
      <c r="Q533" s="341">
        <f>SUMIF(GL!$D$6408:$D$6452,B533,GL!$I$6408:$I$6452)</f>
        <v>0</v>
      </c>
      <c r="R533" s="341">
        <f t="shared" ref="R533:S533" si="565">P533+N533</f>
        <v>1750002</v>
      </c>
      <c r="S533" s="341">
        <f t="shared" si="565"/>
        <v>0</v>
      </c>
      <c r="T533" s="340"/>
      <c r="U533" s="340"/>
      <c r="V533" s="340"/>
      <c r="W533" s="340"/>
      <c r="X533" s="341">
        <f t="shared" si="325"/>
        <v>1750002</v>
      </c>
      <c r="Y533" s="341">
        <f t="shared" si="326"/>
        <v>0</v>
      </c>
      <c r="Z533" s="364"/>
      <c r="AA533" s="330"/>
      <c r="AB533" s="332"/>
      <c r="AC533" s="332"/>
      <c r="AD533" s="110"/>
      <c r="AE533" s="110"/>
      <c r="AF533" s="110"/>
      <c r="AG533" s="110"/>
      <c r="AH533" s="110"/>
      <c r="AI533" s="110"/>
    </row>
    <row r="534" spans="1:35" ht="13.5" customHeight="1">
      <c r="A534" s="4"/>
      <c r="B534" s="15" t="s">
        <v>2775</v>
      </c>
      <c r="C534" s="363" t="s">
        <v>4718</v>
      </c>
      <c r="D534" s="254">
        <f>SUMIF(GL!$D$5:$D$6505,B534,GL!$G$5:$G$6505)</f>
        <v>3</v>
      </c>
      <c r="E534" s="341">
        <f>SUMIF(GL!$D$6:$D$6487,B534,GL!$H$6:$H$6487)</f>
        <v>1725000</v>
      </c>
      <c r="F534" s="341">
        <f>SUMIF(GL!$D$6:$D$6487,B534,GL!$I$6:$I$6487)</f>
        <v>0</v>
      </c>
      <c r="G534" s="341"/>
      <c r="H534" s="341"/>
      <c r="I534" s="341">
        <f t="shared" si="365"/>
        <v>1725000</v>
      </c>
      <c r="J534" s="341">
        <f t="shared" si="366"/>
        <v>0</v>
      </c>
      <c r="K534" s="341"/>
      <c r="L534" s="342"/>
      <c r="M534" s="342"/>
      <c r="N534" s="341">
        <f t="shared" si="322"/>
        <v>1725000</v>
      </c>
      <c r="O534" s="341">
        <f t="shared" si="323"/>
        <v>0</v>
      </c>
      <c r="P534" s="341">
        <f>SUMIF(GL!$D$6488:$D$6532,B534,GL!$H$6488:$H$6532)</f>
        <v>0</v>
      </c>
      <c r="Q534" s="341">
        <f>SUMIF(GL!$D$6408:$D$6452,B534,GL!$I$6408:$I$6452)</f>
        <v>0</v>
      </c>
      <c r="R534" s="341">
        <f t="shared" ref="R534:S534" si="566">P534+N534</f>
        <v>1725000</v>
      </c>
      <c r="S534" s="341">
        <f t="shared" si="566"/>
        <v>0</v>
      </c>
      <c r="T534" s="340"/>
      <c r="U534" s="340"/>
      <c r="V534" s="340"/>
      <c r="W534" s="340"/>
      <c r="X534" s="341">
        <f t="shared" si="325"/>
        <v>1725000</v>
      </c>
      <c r="Y534" s="341">
        <f t="shared" si="326"/>
        <v>0</v>
      </c>
      <c r="Z534" s="364"/>
      <c r="AA534" s="330"/>
      <c r="AB534" s="332"/>
      <c r="AC534" s="332"/>
      <c r="AD534" s="110"/>
      <c r="AE534" s="110"/>
      <c r="AF534" s="110"/>
      <c r="AG534" s="110"/>
      <c r="AH534" s="110"/>
      <c r="AI534" s="110"/>
    </row>
    <row r="535" spans="1:35" ht="13.5" customHeight="1">
      <c r="A535" s="4"/>
      <c r="B535" s="15" t="s">
        <v>4719</v>
      </c>
      <c r="C535" s="363" t="s">
        <v>4720</v>
      </c>
      <c r="D535" s="254">
        <f>SUMIF(GL!$D$5:$D$6505,B535,GL!$G$5:$G$6505)</f>
        <v>0</v>
      </c>
      <c r="E535" s="341">
        <f>SUMIF(GL!$D$6:$D$6487,B535,GL!$H$6:$H$6487)</f>
        <v>0</v>
      </c>
      <c r="F535" s="341">
        <f>SUMIF(GL!$D$6:$D$6487,B535,GL!$I$6:$I$6487)</f>
        <v>0</v>
      </c>
      <c r="G535" s="341"/>
      <c r="H535" s="341"/>
      <c r="I535" s="341">
        <f t="shared" si="365"/>
        <v>0</v>
      </c>
      <c r="J535" s="341">
        <f t="shared" si="366"/>
        <v>0</v>
      </c>
      <c r="K535" s="341"/>
      <c r="L535" s="342"/>
      <c r="M535" s="342"/>
      <c r="N535" s="341">
        <f t="shared" si="322"/>
        <v>0</v>
      </c>
      <c r="O535" s="341">
        <f t="shared" si="323"/>
        <v>0</v>
      </c>
      <c r="P535" s="341">
        <f>SUMIF(GL!$D$6488:$D$6532,B535,GL!$H$6488:$H$6532)</f>
        <v>0</v>
      </c>
      <c r="Q535" s="341">
        <f>SUMIF(GL!$D$6408:$D$6452,B535,GL!$I$6408:$I$6452)</f>
        <v>0</v>
      </c>
      <c r="R535" s="341">
        <f t="shared" ref="R535:S535" si="567">P535+N535</f>
        <v>0</v>
      </c>
      <c r="S535" s="341">
        <f t="shared" si="567"/>
        <v>0</v>
      </c>
      <c r="T535" s="340"/>
      <c r="U535" s="340"/>
      <c r="V535" s="340"/>
      <c r="W535" s="340"/>
      <c r="X535" s="341">
        <f t="shared" si="325"/>
        <v>0</v>
      </c>
      <c r="Y535" s="341">
        <f t="shared" si="326"/>
        <v>0</v>
      </c>
      <c r="Z535" s="364"/>
      <c r="AA535" s="330"/>
      <c r="AB535" s="332"/>
      <c r="AC535" s="332"/>
      <c r="AD535" s="110"/>
      <c r="AE535" s="110"/>
      <c r="AF535" s="110"/>
      <c r="AG535" s="110"/>
      <c r="AH535" s="110"/>
      <c r="AI535" s="110"/>
    </row>
    <row r="536" spans="1:35" ht="13.5" customHeight="1">
      <c r="A536" s="4"/>
      <c r="B536" s="15" t="s">
        <v>4721</v>
      </c>
      <c r="C536" s="363" t="s">
        <v>4722</v>
      </c>
      <c r="D536" s="254">
        <f>SUMIF(GL!$D$5:$D$6505,B536,GL!$G$5:$G$6505)</f>
        <v>0</v>
      </c>
      <c r="E536" s="341">
        <f>SUMIF(GL!$D$6:$D$6487,B536,GL!$H$6:$H$6487)</f>
        <v>0</v>
      </c>
      <c r="F536" s="341">
        <f>SUMIF(GL!$D$6:$D$6487,B536,GL!$I$6:$I$6487)</f>
        <v>0</v>
      </c>
      <c r="G536" s="341"/>
      <c r="H536" s="341"/>
      <c r="I536" s="341">
        <f t="shared" si="365"/>
        <v>0</v>
      </c>
      <c r="J536" s="341">
        <f t="shared" si="366"/>
        <v>0</v>
      </c>
      <c r="K536" s="341"/>
      <c r="L536" s="342"/>
      <c r="M536" s="342"/>
      <c r="N536" s="341">
        <f t="shared" si="322"/>
        <v>0</v>
      </c>
      <c r="O536" s="341">
        <f t="shared" si="323"/>
        <v>0</v>
      </c>
      <c r="P536" s="341">
        <f>SUMIF(GL!$D$6488:$D$6532,B536,GL!$H$6488:$H$6532)</f>
        <v>0</v>
      </c>
      <c r="Q536" s="341">
        <f>SUMIF(GL!$D$6408:$D$6452,B536,GL!$I$6408:$I$6452)</f>
        <v>0</v>
      </c>
      <c r="R536" s="341">
        <f t="shared" ref="R536:S536" si="568">P536+N536</f>
        <v>0</v>
      </c>
      <c r="S536" s="341">
        <f t="shared" si="568"/>
        <v>0</v>
      </c>
      <c r="T536" s="340"/>
      <c r="U536" s="340"/>
      <c r="V536" s="340"/>
      <c r="W536" s="340"/>
      <c r="X536" s="341">
        <f t="shared" si="325"/>
        <v>0</v>
      </c>
      <c r="Y536" s="341">
        <f t="shared" si="326"/>
        <v>0</v>
      </c>
      <c r="Z536" s="364"/>
      <c r="AA536" s="330"/>
      <c r="AB536" s="332"/>
      <c r="AC536" s="332"/>
      <c r="AD536" s="110"/>
      <c r="AE536" s="110"/>
      <c r="AF536" s="110"/>
      <c r="AG536" s="110"/>
      <c r="AH536" s="110"/>
      <c r="AI536" s="110"/>
    </row>
    <row r="537" spans="1:35" ht="13.5" customHeight="1">
      <c r="A537" s="4"/>
      <c r="B537" s="15" t="s">
        <v>4723</v>
      </c>
      <c r="C537" s="363" t="s">
        <v>4724</v>
      </c>
      <c r="D537" s="254">
        <f>SUMIF(GL!$D$5:$D$6505,B537,GL!$G$5:$G$6505)</f>
        <v>0</v>
      </c>
      <c r="E537" s="341">
        <f>SUMIF(GL!$D$6:$D$6487,B537,GL!$H$6:$H$6487)</f>
        <v>0</v>
      </c>
      <c r="F537" s="341">
        <f>SUMIF(GL!$D$6:$D$6487,B537,GL!$I$6:$I$6487)</f>
        <v>0</v>
      </c>
      <c r="G537" s="341"/>
      <c r="H537" s="341"/>
      <c r="I537" s="341">
        <f t="shared" si="365"/>
        <v>0</v>
      </c>
      <c r="J537" s="341">
        <f t="shared" si="366"/>
        <v>0</v>
      </c>
      <c r="K537" s="341"/>
      <c r="L537" s="342"/>
      <c r="M537" s="342"/>
      <c r="N537" s="341">
        <f t="shared" si="322"/>
        <v>0</v>
      </c>
      <c r="O537" s="341">
        <f t="shared" si="323"/>
        <v>0</v>
      </c>
      <c r="P537" s="341">
        <f>SUMIF(GL!$D$6488:$D$6532,B537,GL!$H$6488:$H$6532)</f>
        <v>0</v>
      </c>
      <c r="Q537" s="341">
        <f>SUMIF(GL!$D$6408:$D$6452,B537,GL!$I$6408:$I$6452)</f>
        <v>0</v>
      </c>
      <c r="R537" s="341">
        <f t="shared" ref="R537:S537" si="569">P537+N537</f>
        <v>0</v>
      </c>
      <c r="S537" s="341">
        <f t="shared" si="569"/>
        <v>0</v>
      </c>
      <c r="T537" s="340"/>
      <c r="U537" s="340"/>
      <c r="V537" s="340"/>
      <c r="W537" s="340"/>
      <c r="X537" s="341">
        <f t="shared" si="325"/>
        <v>0</v>
      </c>
      <c r="Y537" s="341">
        <f t="shared" si="326"/>
        <v>0</v>
      </c>
      <c r="Z537" s="364"/>
      <c r="AA537" s="330"/>
      <c r="AB537" s="332"/>
      <c r="AC537" s="332"/>
      <c r="AD537" s="110"/>
      <c r="AE537" s="110"/>
      <c r="AF537" s="110"/>
      <c r="AG537" s="110"/>
      <c r="AH537" s="110"/>
      <c r="AI537" s="110"/>
    </row>
    <row r="538" spans="1:35" ht="13.5" customHeight="1">
      <c r="A538" s="4"/>
      <c r="B538" s="15"/>
      <c r="C538" s="260"/>
      <c r="D538" s="254">
        <f>SUMIF(GL!$D$5:$D$6505,B538,GL!$G$5:$G$6505)</f>
        <v>0</v>
      </c>
      <c r="E538" s="341">
        <f>SUMIF(GL!$D$6:$D$6487,B538,GL!$H$6:$H$6487)</f>
        <v>0</v>
      </c>
      <c r="F538" s="341">
        <f>SUMIF(GL!$D$6:$D$6487,B538,GL!$I$6:$I$6487)</f>
        <v>0</v>
      </c>
      <c r="G538" s="341"/>
      <c r="H538" s="341"/>
      <c r="I538" s="341">
        <f t="shared" si="365"/>
        <v>0</v>
      </c>
      <c r="J538" s="341">
        <f t="shared" si="366"/>
        <v>0</v>
      </c>
      <c r="K538" s="341"/>
      <c r="L538" s="342"/>
      <c r="M538" s="342"/>
      <c r="N538" s="341">
        <f t="shared" si="322"/>
        <v>0</v>
      </c>
      <c r="O538" s="341">
        <f t="shared" si="323"/>
        <v>0</v>
      </c>
      <c r="P538" s="341">
        <f>SUMIF(GL!$D$6488:$D$6532,B538,GL!$H$6488:$H$6532)</f>
        <v>0</v>
      </c>
      <c r="Q538" s="341">
        <f>SUMIF(GL!$D$6408:$D$6452,B538,GL!$I$6408:$I$6452)</f>
        <v>0</v>
      </c>
      <c r="R538" s="341">
        <f t="shared" ref="R538:S538" si="570">P538+N538</f>
        <v>0</v>
      </c>
      <c r="S538" s="341">
        <f t="shared" si="570"/>
        <v>0</v>
      </c>
      <c r="T538" s="340"/>
      <c r="U538" s="340"/>
      <c r="V538" s="340"/>
      <c r="W538" s="340"/>
      <c r="X538" s="341">
        <f t="shared" si="325"/>
        <v>0</v>
      </c>
      <c r="Y538" s="341">
        <f t="shared" si="326"/>
        <v>0</v>
      </c>
      <c r="Z538" s="364"/>
      <c r="AA538" s="330"/>
      <c r="AB538" s="332"/>
      <c r="AC538" s="332"/>
      <c r="AD538" s="110"/>
      <c r="AE538" s="110"/>
      <c r="AF538" s="110"/>
      <c r="AG538" s="110"/>
      <c r="AH538" s="110"/>
      <c r="AI538" s="110"/>
    </row>
    <row r="539" spans="1:35" ht="13.5" customHeight="1">
      <c r="A539" s="4"/>
      <c r="B539" s="15"/>
      <c r="C539" s="260"/>
      <c r="D539" s="254">
        <f>SUMIF(GL!$D$5:$D$6505,B539,GL!$G$5:$G$6505)</f>
        <v>0</v>
      </c>
      <c r="E539" s="341">
        <f>SUMIF(GL!$D$6:$D$6487,B539,GL!$H$6:$H$6487)</f>
        <v>0</v>
      </c>
      <c r="F539" s="341">
        <f>SUMIF(GL!$D$6:$D$6487,B539,GL!$I$6:$I$6487)</f>
        <v>0</v>
      </c>
      <c r="G539" s="341"/>
      <c r="H539" s="341"/>
      <c r="I539" s="341">
        <f t="shared" si="365"/>
        <v>0</v>
      </c>
      <c r="J539" s="341">
        <f t="shared" si="366"/>
        <v>0</v>
      </c>
      <c r="K539" s="341"/>
      <c r="L539" s="342"/>
      <c r="M539" s="342"/>
      <c r="N539" s="341">
        <f t="shared" si="322"/>
        <v>0</v>
      </c>
      <c r="O539" s="341">
        <f t="shared" si="323"/>
        <v>0</v>
      </c>
      <c r="P539" s="341">
        <f>SUMIF(GL!$D$6488:$D$6532,B539,GL!$H$6488:$H$6532)</f>
        <v>0</v>
      </c>
      <c r="Q539" s="341">
        <f>SUMIF(GL!$D$6408:$D$6452,B539,GL!$I$6408:$I$6452)</f>
        <v>0</v>
      </c>
      <c r="R539" s="341">
        <f t="shared" ref="R539:S539" si="571">P539+N539</f>
        <v>0</v>
      </c>
      <c r="S539" s="341">
        <f t="shared" si="571"/>
        <v>0</v>
      </c>
      <c r="T539" s="340"/>
      <c r="U539" s="340"/>
      <c r="V539" s="340"/>
      <c r="W539" s="340"/>
      <c r="X539" s="341">
        <f t="shared" si="325"/>
        <v>0</v>
      </c>
      <c r="Y539" s="341">
        <f t="shared" si="326"/>
        <v>0</v>
      </c>
      <c r="Z539" s="364"/>
      <c r="AA539" s="330"/>
      <c r="AB539" s="332"/>
      <c r="AC539" s="332"/>
      <c r="AD539" s="110"/>
      <c r="AE539" s="110"/>
      <c r="AF539" s="110"/>
      <c r="AG539" s="110"/>
      <c r="AH539" s="110"/>
      <c r="AI539" s="110"/>
    </row>
    <row r="540" spans="1:35" ht="13.5" customHeight="1">
      <c r="A540" s="4"/>
      <c r="B540" s="15"/>
      <c r="C540" s="261" t="s">
        <v>3837</v>
      </c>
      <c r="D540" s="254">
        <f>SUMIF(GL!$D$5:$D$6505,B540,GL!$G$5:$G$6505)</f>
        <v>0</v>
      </c>
      <c r="E540" s="341">
        <f>SUMIF(GL!$D$6:$D$6487,B540,GL!$H$6:$H$6487)</f>
        <v>0</v>
      </c>
      <c r="F540" s="341">
        <f>SUMIF(GL!$D$6:$D$6487,B540,GL!$I$6:$I$6487)</f>
        <v>0</v>
      </c>
      <c r="G540" s="341"/>
      <c r="H540" s="341"/>
      <c r="I540" s="341">
        <f t="shared" si="365"/>
        <v>0</v>
      </c>
      <c r="J540" s="341">
        <f t="shared" si="366"/>
        <v>0</v>
      </c>
      <c r="K540" s="341"/>
      <c r="L540" s="342"/>
      <c r="M540" s="342"/>
      <c r="N540" s="341">
        <f t="shared" si="322"/>
        <v>0</v>
      </c>
      <c r="O540" s="341">
        <f t="shared" si="323"/>
        <v>0</v>
      </c>
      <c r="P540" s="341">
        <f>SUMIF(GL!$D$6488:$D$6532,B540,GL!$H$6488:$H$6532)</f>
        <v>0</v>
      </c>
      <c r="Q540" s="341">
        <f>SUMIF(GL!$D$6408:$D$6452,B540,GL!$I$6408:$I$6452)</f>
        <v>0</v>
      </c>
      <c r="R540" s="341">
        <f t="shared" ref="R540:S540" si="572">P540+N540</f>
        <v>0</v>
      </c>
      <c r="S540" s="341">
        <f t="shared" si="572"/>
        <v>0</v>
      </c>
      <c r="T540" s="340"/>
      <c r="U540" s="340"/>
      <c r="V540" s="340"/>
      <c r="W540" s="340"/>
      <c r="X540" s="341">
        <f t="shared" si="325"/>
        <v>0</v>
      </c>
      <c r="Y540" s="341">
        <f t="shared" si="326"/>
        <v>0</v>
      </c>
      <c r="Z540" s="364"/>
      <c r="AA540" s="330"/>
      <c r="AB540" s="332"/>
      <c r="AC540" s="332"/>
      <c r="AD540" s="110"/>
      <c r="AE540" s="110"/>
      <c r="AF540" s="110"/>
      <c r="AG540" s="110"/>
      <c r="AH540" s="110"/>
      <c r="AI540" s="110"/>
    </row>
    <row r="541" spans="1:35" ht="13.5" customHeight="1">
      <c r="A541" s="4"/>
      <c r="B541" s="15" t="s">
        <v>4725</v>
      </c>
      <c r="C541" s="363" t="s">
        <v>4726</v>
      </c>
      <c r="D541" s="254">
        <f>SUMIF(GL!$D$5:$D$6505,B541,GL!$G$5:$G$6505)</f>
        <v>0</v>
      </c>
      <c r="E541" s="341">
        <f>SUMIF(GL!$D$6:$D$6487,B541,GL!$H$6:$H$6487)</f>
        <v>0</v>
      </c>
      <c r="F541" s="341">
        <f>SUMIF(GL!$D$6:$D$6487,B541,GL!$I$6:$I$6487)</f>
        <v>0</v>
      </c>
      <c r="G541" s="341"/>
      <c r="H541" s="341"/>
      <c r="I541" s="341">
        <f t="shared" si="365"/>
        <v>0</v>
      </c>
      <c r="J541" s="341">
        <f t="shared" si="366"/>
        <v>0</v>
      </c>
      <c r="K541" s="341"/>
      <c r="L541" s="342"/>
      <c r="M541" s="342"/>
      <c r="N541" s="341">
        <f t="shared" si="322"/>
        <v>0</v>
      </c>
      <c r="O541" s="341">
        <f t="shared" si="323"/>
        <v>0</v>
      </c>
      <c r="P541" s="341">
        <f>SUMIF(GL!$D$6488:$D$6532,B541,GL!$H$6488:$H$6532)</f>
        <v>0</v>
      </c>
      <c r="Q541" s="341">
        <f>SUMIF(GL!$D$6408:$D$6452,B541,GL!$I$6408:$I$6452)</f>
        <v>0</v>
      </c>
      <c r="R541" s="341">
        <f t="shared" ref="R541:S541" si="573">P541+N541</f>
        <v>0</v>
      </c>
      <c r="S541" s="341">
        <f t="shared" si="573"/>
        <v>0</v>
      </c>
      <c r="T541" s="340"/>
      <c r="U541" s="340"/>
      <c r="V541" s="340"/>
      <c r="W541" s="340"/>
      <c r="X541" s="341">
        <f t="shared" si="325"/>
        <v>0</v>
      </c>
      <c r="Y541" s="341">
        <f t="shared" si="326"/>
        <v>0</v>
      </c>
      <c r="Z541" s="364"/>
      <c r="AA541" s="330"/>
      <c r="AB541" s="332"/>
      <c r="AC541" s="332"/>
      <c r="AD541" s="110"/>
      <c r="AE541" s="110"/>
      <c r="AF541" s="110"/>
      <c r="AG541" s="110"/>
      <c r="AH541" s="110"/>
      <c r="AI541" s="110"/>
    </row>
    <row r="542" spans="1:35" ht="13.5" customHeight="1">
      <c r="A542" s="4"/>
      <c r="B542" s="15" t="s">
        <v>4727</v>
      </c>
      <c r="C542" s="363" t="s">
        <v>4728</v>
      </c>
      <c r="D542" s="254">
        <f>SUMIF(GL!$D$5:$D$6505,B542,GL!$G$5:$G$6505)</f>
        <v>0</v>
      </c>
      <c r="E542" s="341">
        <f>SUMIF(GL!$D$6:$D$6487,B542,GL!$H$6:$H$6487)</f>
        <v>0</v>
      </c>
      <c r="F542" s="341">
        <f>SUMIF(GL!$D$6:$D$6487,B542,GL!$I$6:$I$6487)</f>
        <v>0</v>
      </c>
      <c r="G542" s="341"/>
      <c r="H542" s="341"/>
      <c r="I542" s="341">
        <f t="shared" si="365"/>
        <v>0</v>
      </c>
      <c r="J542" s="341">
        <f t="shared" si="366"/>
        <v>0</v>
      </c>
      <c r="K542" s="341"/>
      <c r="L542" s="342"/>
      <c r="M542" s="342"/>
      <c r="N542" s="341">
        <f t="shared" si="322"/>
        <v>0</v>
      </c>
      <c r="O542" s="341">
        <f t="shared" si="323"/>
        <v>0</v>
      </c>
      <c r="P542" s="341">
        <f>SUMIF(GL!$D$6488:$D$6532,B542,GL!$H$6488:$H$6532)</f>
        <v>0</v>
      </c>
      <c r="Q542" s="341">
        <f>SUMIF(GL!$D$6408:$D$6452,B542,GL!$I$6408:$I$6452)</f>
        <v>0</v>
      </c>
      <c r="R542" s="341">
        <f t="shared" ref="R542:S542" si="574">P542+N542</f>
        <v>0</v>
      </c>
      <c r="S542" s="341">
        <f t="shared" si="574"/>
        <v>0</v>
      </c>
      <c r="T542" s="340"/>
      <c r="U542" s="340"/>
      <c r="V542" s="340"/>
      <c r="W542" s="340"/>
      <c r="X542" s="341">
        <f t="shared" si="325"/>
        <v>0</v>
      </c>
      <c r="Y542" s="341">
        <f t="shared" si="326"/>
        <v>0</v>
      </c>
      <c r="Z542" s="364"/>
      <c r="AA542" s="330"/>
      <c r="AB542" s="332"/>
      <c r="AC542" s="332"/>
      <c r="AD542" s="110"/>
      <c r="AE542" s="110"/>
      <c r="AF542" s="110"/>
      <c r="AG542" s="110"/>
      <c r="AH542" s="110"/>
      <c r="AI542" s="110"/>
    </row>
    <row r="543" spans="1:35" ht="13.5" customHeight="1">
      <c r="A543" s="4"/>
      <c r="B543" s="15" t="s">
        <v>4729</v>
      </c>
      <c r="C543" s="363" t="s">
        <v>4730</v>
      </c>
      <c r="D543" s="254">
        <f>SUMIF(GL!$D$5:$D$6505,B543,GL!$G$5:$G$6505)</f>
        <v>0</v>
      </c>
      <c r="E543" s="341">
        <f>SUMIF(GL!$D$6:$D$6487,B543,GL!$H$6:$H$6487)</f>
        <v>0</v>
      </c>
      <c r="F543" s="341">
        <f>SUMIF(GL!$D$6:$D$6487,B543,GL!$I$6:$I$6487)</f>
        <v>0</v>
      </c>
      <c r="G543" s="341"/>
      <c r="H543" s="341"/>
      <c r="I543" s="341">
        <f t="shared" si="365"/>
        <v>0</v>
      </c>
      <c r="J543" s="341">
        <f t="shared" si="366"/>
        <v>0</v>
      </c>
      <c r="K543" s="341"/>
      <c r="L543" s="342"/>
      <c r="M543" s="342"/>
      <c r="N543" s="341">
        <f t="shared" si="322"/>
        <v>0</v>
      </c>
      <c r="O543" s="341">
        <f t="shared" si="323"/>
        <v>0</v>
      </c>
      <c r="P543" s="341">
        <f>SUMIF(GL!$D$6488:$D$6532,B543,GL!$H$6488:$H$6532)</f>
        <v>0</v>
      </c>
      <c r="Q543" s="341">
        <f>SUMIF(GL!$D$6408:$D$6452,B543,GL!$I$6408:$I$6452)</f>
        <v>0</v>
      </c>
      <c r="R543" s="341">
        <f t="shared" ref="R543:S543" si="575">P543+N543</f>
        <v>0</v>
      </c>
      <c r="S543" s="341">
        <f t="shared" si="575"/>
        <v>0</v>
      </c>
      <c r="T543" s="340"/>
      <c r="U543" s="340"/>
      <c r="V543" s="340"/>
      <c r="W543" s="340"/>
      <c r="X543" s="341">
        <f t="shared" si="325"/>
        <v>0</v>
      </c>
      <c r="Y543" s="341">
        <f t="shared" si="326"/>
        <v>0</v>
      </c>
      <c r="Z543" s="364"/>
      <c r="AA543" s="330"/>
      <c r="AB543" s="332"/>
      <c r="AC543" s="332"/>
      <c r="AD543" s="110"/>
      <c r="AE543" s="110"/>
      <c r="AF543" s="110"/>
      <c r="AG543" s="110"/>
      <c r="AH543" s="110"/>
      <c r="AI543" s="110"/>
    </row>
    <row r="544" spans="1:35" ht="13.5" customHeight="1">
      <c r="A544" s="4"/>
      <c r="B544" s="15" t="s">
        <v>4731</v>
      </c>
      <c r="C544" s="363" t="s">
        <v>4732</v>
      </c>
      <c r="D544" s="254">
        <f>SUMIF(GL!$D$5:$D$6505,B544,GL!$G$5:$G$6505)</f>
        <v>0</v>
      </c>
      <c r="E544" s="341">
        <f>SUMIF(GL!$D$6:$D$6487,B544,GL!$H$6:$H$6487)</f>
        <v>0</v>
      </c>
      <c r="F544" s="341">
        <f>SUMIF(GL!$D$6:$D$6487,B544,GL!$I$6:$I$6487)</f>
        <v>0</v>
      </c>
      <c r="G544" s="341"/>
      <c r="H544" s="341"/>
      <c r="I544" s="341">
        <f t="shared" si="365"/>
        <v>0</v>
      </c>
      <c r="J544" s="341">
        <f t="shared" si="366"/>
        <v>0</v>
      </c>
      <c r="K544" s="341"/>
      <c r="L544" s="342"/>
      <c r="M544" s="342"/>
      <c r="N544" s="341">
        <f t="shared" si="322"/>
        <v>0</v>
      </c>
      <c r="O544" s="341">
        <f t="shared" si="323"/>
        <v>0</v>
      </c>
      <c r="P544" s="341">
        <f>SUMIF(GL!$D$6488:$D$6532,B544,GL!$H$6488:$H$6532)</f>
        <v>0</v>
      </c>
      <c r="Q544" s="341">
        <f>SUMIF(GL!$D$6408:$D$6452,B544,GL!$I$6408:$I$6452)</f>
        <v>0</v>
      </c>
      <c r="R544" s="341">
        <f t="shared" ref="R544:S544" si="576">P544+N544</f>
        <v>0</v>
      </c>
      <c r="S544" s="341">
        <f t="shared" si="576"/>
        <v>0</v>
      </c>
      <c r="T544" s="340"/>
      <c r="U544" s="340"/>
      <c r="V544" s="340"/>
      <c r="W544" s="340"/>
      <c r="X544" s="341">
        <f t="shared" si="325"/>
        <v>0</v>
      </c>
      <c r="Y544" s="341">
        <f t="shared" si="326"/>
        <v>0</v>
      </c>
      <c r="Z544" s="364"/>
      <c r="AA544" s="330"/>
      <c r="AB544" s="332"/>
      <c r="AC544" s="332"/>
      <c r="AD544" s="110"/>
      <c r="AE544" s="110"/>
      <c r="AF544" s="110"/>
      <c r="AG544" s="110"/>
      <c r="AH544" s="110"/>
      <c r="AI544" s="110"/>
    </row>
    <row r="545" spans="1:35" ht="13.5" customHeight="1">
      <c r="A545" s="4"/>
      <c r="B545" s="15" t="s">
        <v>4733</v>
      </c>
      <c r="C545" s="363" t="s">
        <v>4734</v>
      </c>
      <c r="D545" s="254">
        <f>SUMIF(GL!$D$5:$D$6505,B545,GL!$G$5:$G$6505)</f>
        <v>0</v>
      </c>
      <c r="E545" s="341">
        <f>SUMIF(GL!$D$6:$D$6487,B545,GL!$H$6:$H$6487)</f>
        <v>0</v>
      </c>
      <c r="F545" s="341">
        <f>SUMIF(GL!$D$6:$D$6487,B545,GL!$I$6:$I$6487)</f>
        <v>0</v>
      </c>
      <c r="G545" s="341"/>
      <c r="H545" s="341"/>
      <c r="I545" s="341">
        <f t="shared" si="365"/>
        <v>0</v>
      </c>
      <c r="J545" s="341">
        <f t="shared" si="366"/>
        <v>0</v>
      </c>
      <c r="K545" s="341"/>
      <c r="L545" s="342"/>
      <c r="M545" s="342"/>
      <c r="N545" s="341">
        <f t="shared" si="322"/>
        <v>0</v>
      </c>
      <c r="O545" s="341">
        <f t="shared" si="323"/>
        <v>0</v>
      </c>
      <c r="P545" s="341">
        <f>SUMIF(GL!$D$6488:$D$6532,B545,GL!$H$6488:$H$6532)</f>
        <v>0</v>
      </c>
      <c r="Q545" s="341">
        <f>SUMIF(GL!$D$6408:$D$6452,B545,GL!$I$6408:$I$6452)</f>
        <v>0</v>
      </c>
      <c r="R545" s="341">
        <f t="shared" ref="R545:S545" si="577">P545+N545</f>
        <v>0</v>
      </c>
      <c r="S545" s="341">
        <f t="shared" si="577"/>
        <v>0</v>
      </c>
      <c r="T545" s="340"/>
      <c r="U545" s="340"/>
      <c r="V545" s="340"/>
      <c r="W545" s="340"/>
      <c r="X545" s="341">
        <f t="shared" si="325"/>
        <v>0</v>
      </c>
      <c r="Y545" s="341">
        <f t="shared" si="326"/>
        <v>0</v>
      </c>
      <c r="Z545" s="364"/>
      <c r="AA545" s="330"/>
      <c r="AB545" s="332"/>
      <c r="AC545" s="332"/>
      <c r="AD545" s="110"/>
      <c r="AE545" s="110"/>
      <c r="AF545" s="110"/>
      <c r="AG545" s="110"/>
      <c r="AH545" s="110"/>
      <c r="AI545" s="110"/>
    </row>
    <row r="546" spans="1:35" ht="13.5" customHeight="1">
      <c r="A546" s="4"/>
      <c r="B546" s="15" t="s">
        <v>4735</v>
      </c>
      <c r="C546" s="363" t="s">
        <v>4736</v>
      </c>
      <c r="D546" s="254">
        <f>SUMIF(GL!$D$5:$D$6505,B546,GL!$G$5:$G$6505)</f>
        <v>0</v>
      </c>
      <c r="E546" s="341">
        <f>SUMIF(GL!$D$6:$D$6487,B546,GL!$H$6:$H$6487)</f>
        <v>0</v>
      </c>
      <c r="F546" s="341">
        <f>SUMIF(GL!$D$6:$D$6487,B546,GL!$I$6:$I$6487)</f>
        <v>0</v>
      </c>
      <c r="G546" s="341"/>
      <c r="H546" s="341"/>
      <c r="I546" s="341">
        <f t="shared" si="365"/>
        <v>0</v>
      </c>
      <c r="J546" s="341">
        <f t="shared" si="366"/>
        <v>0</v>
      </c>
      <c r="K546" s="341"/>
      <c r="L546" s="342"/>
      <c r="M546" s="342"/>
      <c r="N546" s="341">
        <f t="shared" si="322"/>
        <v>0</v>
      </c>
      <c r="O546" s="341">
        <f t="shared" si="323"/>
        <v>0</v>
      </c>
      <c r="P546" s="341">
        <f>SUMIF(GL!$D$6488:$D$6532,B546,GL!$H$6488:$H$6532)</f>
        <v>0</v>
      </c>
      <c r="Q546" s="341">
        <f>SUMIF(GL!$D$6408:$D$6452,B546,GL!$I$6408:$I$6452)</f>
        <v>0</v>
      </c>
      <c r="R546" s="341">
        <f t="shared" ref="R546:S546" si="578">P546+N546</f>
        <v>0</v>
      </c>
      <c r="S546" s="341">
        <f t="shared" si="578"/>
        <v>0</v>
      </c>
      <c r="T546" s="340"/>
      <c r="U546" s="340"/>
      <c r="V546" s="340"/>
      <c r="W546" s="340"/>
      <c r="X546" s="341">
        <f t="shared" si="325"/>
        <v>0</v>
      </c>
      <c r="Y546" s="341">
        <f t="shared" si="326"/>
        <v>0</v>
      </c>
      <c r="Z546" s="364"/>
      <c r="AA546" s="330"/>
      <c r="AB546" s="332"/>
      <c r="AC546" s="332"/>
      <c r="AD546" s="110"/>
      <c r="AE546" s="110"/>
      <c r="AF546" s="110"/>
      <c r="AG546" s="110"/>
      <c r="AH546" s="110"/>
      <c r="AI546" s="110"/>
    </row>
    <row r="547" spans="1:35" ht="13.5" customHeight="1">
      <c r="A547" s="4"/>
      <c r="B547" s="15" t="s">
        <v>4737</v>
      </c>
      <c r="C547" s="363" t="s">
        <v>4738</v>
      </c>
      <c r="D547" s="254">
        <f>SUMIF(GL!$D$5:$D$6505,B547,GL!$G$5:$G$6505)</f>
        <v>0</v>
      </c>
      <c r="E547" s="341">
        <f>SUMIF(GL!$D$6:$D$6487,B547,GL!$H$6:$H$6487)</f>
        <v>0</v>
      </c>
      <c r="F547" s="341">
        <f>SUMIF(GL!$D$6:$D$6487,B547,GL!$I$6:$I$6487)</f>
        <v>0</v>
      </c>
      <c r="G547" s="341"/>
      <c r="H547" s="341"/>
      <c r="I547" s="341">
        <f t="shared" si="365"/>
        <v>0</v>
      </c>
      <c r="J547" s="341">
        <f t="shared" si="366"/>
        <v>0</v>
      </c>
      <c r="K547" s="341"/>
      <c r="L547" s="342"/>
      <c r="M547" s="342"/>
      <c r="N547" s="341">
        <f t="shared" si="322"/>
        <v>0</v>
      </c>
      <c r="O547" s="341">
        <f t="shared" si="323"/>
        <v>0</v>
      </c>
      <c r="P547" s="341">
        <f>SUMIF(GL!$D$6488:$D$6532,B547,GL!$H$6488:$H$6532)</f>
        <v>0</v>
      </c>
      <c r="Q547" s="341">
        <f>SUMIF(GL!$D$6408:$D$6452,B547,GL!$I$6408:$I$6452)</f>
        <v>0</v>
      </c>
      <c r="R547" s="341">
        <f t="shared" ref="R547:S547" si="579">P547+N547</f>
        <v>0</v>
      </c>
      <c r="S547" s="341">
        <f t="shared" si="579"/>
        <v>0</v>
      </c>
      <c r="T547" s="340"/>
      <c r="U547" s="340"/>
      <c r="V547" s="340"/>
      <c r="W547" s="340"/>
      <c r="X547" s="341">
        <f t="shared" si="325"/>
        <v>0</v>
      </c>
      <c r="Y547" s="341">
        <f t="shared" si="326"/>
        <v>0</v>
      </c>
      <c r="Z547" s="364"/>
      <c r="AA547" s="330"/>
      <c r="AB547" s="332"/>
      <c r="AC547" s="332"/>
      <c r="AD547" s="110"/>
      <c r="AE547" s="110"/>
      <c r="AF547" s="110"/>
      <c r="AG547" s="110"/>
      <c r="AH547" s="110"/>
      <c r="AI547" s="110"/>
    </row>
    <row r="548" spans="1:35" ht="13.5" customHeight="1">
      <c r="A548" s="4"/>
      <c r="B548" s="15" t="s">
        <v>2574</v>
      </c>
      <c r="C548" s="363" t="s">
        <v>4739</v>
      </c>
      <c r="D548" s="254">
        <f>SUMIF(GL!$D$5:$D$6505,B548,GL!$G$5:$G$6505)</f>
        <v>12</v>
      </c>
      <c r="E548" s="341">
        <f>SUMIF(GL!$D$6:$D$6487,B548,GL!$H$6:$H$6487)</f>
        <v>6612000</v>
      </c>
      <c r="F548" s="341">
        <f>SUMIF(GL!$D$6:$D$6487,B548,GL!$I$6:$I$6487)</f>
        <v>0</v>
      </c>
      <c r="G548" s="341"/>
      <c r="H548" s="341"/>
      <c r="I548" s="341">
        <f t="shared" si="365"/>
        <v>6612000</v>
      </c>
      <c r="J548" s="341">
        <f t="shared" si="366"/>
        <v>0</v>
      </c>
      <c r="K548" s="341"/>
      <c r="L548" s="342"/>
      <c r="M548" s="342"/>
      <c r="N548" s="341">
        <f t="shared" si="322"/>
        <v>6612000</v>
      </c>
      <c r="O548" s="341">
        <f t="shared" si="323"/>
        <v>0</v>
      </c>
      <c r="P548" s="341">
        <f>SUMIF(GL!$D$6488:$D$6532,B548,GL!$H$6488:$H$6532)</f>
        <v>0</v>
      </c>
      <c r="Q548" s="341">
        <f>SUMIF(GL!$D$6408:$D$6452,B548,GL!$I$6408:$I$6452)</f>
        <v>0</v>
      </c>
      <c r="R548" s="341">
        <f t="shared" ref="R548:S548" si="580">P548+N548</f>
        <v>6612000</v>
      </c>
      <c r="S548" s="341">
        <f t="shared" si="580"/>
        <v>0</v>
      </c>
      <c r="T548" s="340"/>
      <c r="U548" s="340"/>
      <c r="V548" s="340"/>
      <c r="W548" s="340"/>
      <c r="X548" s="341">
        <f t="shared" si="325"/>
        <v>6612000</v>
      </c>
      <c r="Y548" s="341">
        <f t="shared" si="326"/>
        <v>0</v>
      </c>
      <c r="Z548" s="364"/>
      <c r="AA548" s="330"/>
      <c r="AB548" s="332"/>
      <c r="AC548" s="332"/>
      <c r="AD548" s="110"/>
      <c r="AE548" s="110"/>
      <c r="AF548" s="110"/>
      <c r="AG548" s="110"/>
      <c r="AH548" s="110"/>
      <c r="AI548" s="110"/>
    </row>
    <row r="549" spans="1:35" ht="13.5" customHeight="1">
      <c r="A549" s="4"/>
      <c r="B549" s="15" t="s">
        <v>2559</v>
      </c>
      <c r="C549" s="363" t="s">
        <v>4740</v>
      </c>
      <c r="D549" s="254">
        <f>SUMIF(GL!$D$5:$D$6505,B549,GL!$G$5:$G$6505)</f>
        <v>3</v>
      </c>
      <c r="E549" s="341">
        <f>SUMIF(GL!$D$6:$D$6487,B549,GL!$H$6:$H$6487)</f>
        <v>1635000</v>
      </c>
      <c r="F549" s="341">
        <f>SUMIF(GL!$D$6:$D$6487,B549,GL!$I$6:$I$6487)</f>
        <v>0</v>
      </c>
      <c r="G549" s="341"/>
      <c r="H549" s="341"/>
      <c r="I549" s="341">
        <f t="shared" si="365"/>
        <v>1635000</v>
      </c>
      <c r="J549" s="341">
        <f t="shared" si="366"/>
        <v>0</v>
      </c>
      <c r="K549" s="341"/>
      <c r="L549" s="342"/>
      <c r="M549" s="342"/>
      <c r="N549" s="341">
        <f t="shared" si="322"/>
        <v>1635000</v>
      </c>
      <c r="O549" s="341">
        <f t="shared" si="323"/>
        <v>0</v>
      </c>
      <c r="P549" s="341">
        <f>SUMIF(GL!$D$6488:$D$6532,B549,GL!$H$6488:$H$6532)</f>
        <v>0</v>
      </c>
      <c r="Q549" s="341">
        <f>SUMIF(GL!$D$6408:$D$6452,B549,GL!$I$6408:$I$6452)</f>
        <v>0</v>
      </c>
      <c r="R549" s="341">
        <f t="shared" ref="R549:S549" si="581">P549+N549</f>
        <v>1635000</v>
      </c>
      <c r="S549" s="341">
        <f t="shared" si="581"/>
        <v>0</v>
      </c>
      <c r="T549" s="340"/>
      <c r="U549" s="340"/>
      <c r="V549" s="340"/>
      <c r="W549" s="340"/>
      <c r="X549" s="341">
        <f t="shared" si="325"/>
        <v>1635000</v>
      </c>
      <c r="Y549" s="341">
        <f t="shared" si="326"/>
        <v>0</v>
      </c>
      <c r="Z549" s="364"/>
      <c r="AA549" s="330"/>
      <c r="AB549" s="332"/>
      <c r="AC549" s="332"/>
      <c r="AD549" s="110"/>
      <c r="AE549" s="110"/>
      <c r="AF549" s="110"/>
      <c r="AG549" s="110"/>
      <c r="AH549" s="110"/>
      <c r="AI549" s="110"/>
    </row>
    <row r="550" spans="1:35" ht="13.5" customHeight="1">
      <c r="A550" s="4"/>
      <c r="B550" s="15" t="s">
        <v>4741</v>
      </c>
      <c r="C550" s="363" t="s">
        <v>4742</v>
      </c>
      <c r="D550" s="254">
        <f>SUMIF(GL!$D$5:$D$6505,B550,GL!$G$5:$G$6505)</f>
        <v>0</v>
      </c>
      <c r="E550" s="341">
        <f>SUMIF(GL!$D$6:$D$6487,B550,GL!$H$6:$H$6487)</f>
        <v>0</v>
      </c>
      <c r="F550" s="341">
        <f>SUMIF(GL!$D$6:$D$6487,B550,GL!$I$6:$I$6487)</f>
        <v>0</v>
      </c>
      <c r="G550" s="341"/>
      <c r="H550" s="341"/>
      <c r="I550" s="341">
        <f t="shared" si="365"/>
        <v>0</v>
      </c>
      <c r="J550" s="341">
        <f t="shared" si="366"/>
        <v>0</v>
      </c>
      <c r="K550" s="341"/>
      <c r="L550" s="342"/>
      <c r="M550" s="342"/>
      <c r="N550" s="341">
        <f t="shared" si="322"/>
        <v>0</v>
      </c>
      <c r="O550" s="341">
        <f t="shared" si="323"/>
        <v>0</v>
      </c>
      <c r="P550" s="341">
        <f>SUMIF(GL!$D$6488:$D$6532,B550,GL!$H$6488:$H$6532)</f>
        <v>0</v>
      </c>
      <c r="Q550" s="341">
        <f>SUMIF(GL!$D$6408:$D$6452,B550,GL!$I$6408:$I$6452)</f>
        <v>0</v>
      </c>
      <c r="R550" s="341">
        <f t="shared" ref="R550:S550" si="582">P550+N550</f>
        <v>0</v>
      </c>
      <c r="S550" s="341">
        <f t="shared" si="582"/>
        <v>0</v>
      </c>
      <c r="T550" s="340"/>
      <c r="U550" s="340"/>
      <c r="V550" s="340"/>
      <c r="W550" s="340"/>
      <c r="X550" s="341">
        <f t="shared" si="325"/>
        <v>0</v>
      </c>
      <c r="Y550" s="341">
        <f t="shared" si="326"/>
        <v>0</v>
      </c>
      <c r="Z550" s="364"/>
      <c r="AA550" s="330"/>
      <c r="AB550" s="332"/>
      <c r="AC550" s="332"/>
      <c r="AD550" s="110"/>
      <c r="AE550" s="110"/>
      <c r="AF550" s="110"/>
      <c r="AG550" s="110"/>
      <c r="AH550" s="110"/>
      <c r="AI550" s="110"/>
    </row>
    <row r="551" spans="1:35" ht="13.5" customHeight="1">
      <c r="A551" s="4"/>
      <c r="B551" s="15" t="s">
        <v>4743</v>
      </c>
      <c r="C551" s="363" t="s">
        <v>4744</v>
      </c>
      <c r="D551" s="254">
        <f>SUMIF(GL!$D$5:$D$6505,B551,GL!$G$5:$G$6505)</f>
        <v>0</v>
      </c>
      <c r="E551" s="341">
        <f>SUMIF(GL!$D$6:$D$6487,B551,GL!$H$6:$H$6487)</f>
        <v>0</v>
      </c>
      <c r="F551" s="341">
        <f>SUMIF(GL!$D$6:$D$6487,B551,GL!$I$6:$I$6487)</f>
        <v>0</v>
      </c>
      <c r="G551" s="341"/>
      <c r="H551" s="341"/>
      <c r="I551" s="341">
        <f t="shared" si="365"/>
        <v>0</v>
      </c>
      <c r="J551" s="341">
        <f t="shared" si="366"/>
        <v>0</v>
      </c>
      <c r="K551" s="341"/>
      <c r="L551" s="342"/>
      <c r="M551" s="342"/>
      <c r="N551" s="341">
        <f t="shared" si="322"/>
        <v>0</v>
      </c>
      <c r="O551" s="341">
        <f t="shared" si="323"/>
        <v>0</v>
      </c>
      <c r="P551" s="341">
        <f>SUMIF(GL!$D$6488:$D$6532,B551,GL!$H$6488:$H$6532)</f>
        <v>0</v>
      </c>
      <c r="Q551" s="341">
        <f>SUMIF(GL!$D$6408:$D$6452,B551,GL!$I$6408:$I$6452)</f>
        <v>0</v>
      </c>
      <c r="R551" s="341">
        <f t="shared" ref="R551:S551" si="583">P551+N551</f>
        <v>0</v>
      </c>
      <c r="S551" s="341">
        <f t="shared" si="583"/>
        <v>0</v>
      </c>
      <c r="T551" s="340"/>
      <c r="U551" s="340"/>
      <c r="V551" s="340"/>
      <c r="W551" s="340"/>
      <c r="X551" s="341">
        <f t="shared" si="325"/>
        <v>0</v>
      </c>
      <c r="Y551" s="341">
        <f t="shared" si="326"/>
        <v>0</v>
      </c>
      <c r="Z551" s="364"/>
      <c r="AA551" s="330"/>
      <c r="AB551" s="332"/>
      <c r="AC551" s="332"/>
      <c r="AD551" s="110"/>
      <c r="AE551" s="110"/>
      <c r="AF551" s="110"/>
      <c r="AG551" s="110"/>
      <c r="AH551" s="110"/>
      <c r="AI551" s="110"/>
    </row>
    <row r="552" spans="1:35" ht="13.5" customHeight="1">
      <c r="A552" s="4"/>
      <c r="B552" s="15" t="s">
        <v>4745</v>
      </c>
      <c r="C552" s="191" t="s">
        <v>4746</v>
      </c>
      <c r="D552" s="254">
        <f>SUMIF(GL!$D$5:$D$6505,B552,GL!$G$5:$G$6505)</f>
        <v>0</v>
      </c>
      <c r="E552" s="341">
        <f>SUMIF(GL!$D$6:$D$6487,B552,GL!$H$6:$H$6487)</f>
        <v>0</v>
      </c>
      <c r="F552" s="341">
        <f>SUMIF(GL!$D$6:$D$6487,B552,GL!$I$6:$I$6487)</f>
        <v>0</v>
      </c>
      <c r="G552" s="341"/>
      <c r="H552" s="341"/>
      <c r="I552" s="341">
        <f t="shared" si="365"/>
        <v>0</v>
      </c>
      <c r="J552" s="341">
        <f t="shared" si="366"/>
        <v>0</v>
      </c>
      <c r="K552" s="341"/>
      <c r="L552" s="342"/>
      <c r="M552" s="342"/>
      <c r="N552" s="341">
        <f t="shared" si="322"/>
        <v>0</v>
      </c>
      <c r="O552" s="341">
        <f t="shared" si="323"/>
        <v>0</v>
      </c>
      <c r="P552" s="341">
        <f>SUMIF(GL!$D$6488:$D$6532,B552,GL!$H$6488:$H$6532)</f>
        <v>0</v>
      </c>
      <c r="Q552" s="341">
        <f>SUMIF(GL!$D$6408:$D$6452,B552,GL!$I$6408:$I$6452)</f>
        <v>0</v>
      </c>
      <c r="R552" s="341">
        <f t="shared" ref="R552:S552" si="584">P552+N552</f>
        <v>0</v>
      </c>
      <c r="S552" s="341">
        <f t="shared" si="584"/>
        <v>0</v>
      </c>
      <c r="T552" s="340"/>
      <c r="U552" s="340"/>
      <c r="V552" s="340"/>
      <c r="W552" s="340"/>
      <c r="X552" s="341">
        <f t="shared" si="325"/>
        <v>0</v>
      </c>
      <c r="Y552" s="341">
        <f t="shared" si="326"/>
        <v>0</v>
      </c>
      <c r="Z552" s="364"/>
      <c r="AA552" s="330"/>
      <c r="AB552" s="332"/>
      <c r="AC552" s="332"/>
      <c r="AD552" s="110"/>
      <c r="AE552" s="110"/>
      <c r="AF552" s="110"/>
      <c r="AG552" s="110"/>
      <c r="AH552" s="110"/>
      <c r="AI552" s="110"/>
    </row>
    <row r="553" spans="1:35" ht="13.5" customHeight="1">
      <c r="A553" s="4"/>
      <c r="B553" s="15" t="s">
        <v>4747</v>
      </c>
      <c r="C553" s="363" t="s">
        <v>4748</v>
      </c>
      <c r="D553" s="254">
        <f>SUMIF(GL!$D$5:$D$6505,B553,GL!$G$5:$G$6505)</f>
        <v>0</v>
      </c>
      <c r="E553" s="341">
        <f>SUMIF(GL!$D$6:$D$6487,B553,GL!$H$6:$H$6487)</f>
        <v>0</v>
      </c>
      <c r="F553" s="341">
        <f>SUMIF(GL!$D$6:$D$6487,B553,GL!$I$6:$I$6487)</f>
        <v>0</v>
      </c>
      <c r="G553" s="341"/>
      <c r="H553" s="341"/>
      <c r="I553" s="341">
        <f t="shared" si="365"/>
        <v>0</v>
      </c>
      <c r="J553" s="341">
        <f t="shared" si="366"/>
        <v>0</v>
      </c>
      <c r="K553" s="341"/>
      <c r="L553" s="342"/>
      <c r="M553" s="342"/>
      <c r="N553" s="341">
        <f t="shared" si="322"/>
        <v>0</v>
      </c>
      <c r="O553" s="341">
        <f t="shared" si="323"/>
        <v>0</v>
      </c>
      <c r="P553" s="341">
        <f>SUMIF(GL!$D$6488:$D$6532,B553,GL!$H$6488:$H$6532)</f>
        <v>0</v>
      </c>
      <c r="Q553" s="341">
        <f>SUMIF(GL!$D$6408:$D$6452,B553,GL!$I$6408:$I$6452)</f>
        <v>0</v>
      </c>
      <c r="R553" s="341">
        <f t="shared" ref="R553:S553" si="585">P553+N553</f>
        <v>0</v>
      </c>
      <c r="S553" s="341">
        <f t="shared" si="585"/>
        <v>0</v>
      </c>
      <c r="T553" s="340"/>
      <c r="U553" s="340"/>
      <c r="V553" s="340"/>
      <c r="W553" s="340"/>
      <c r="X553" s="341">
        <f t="shared" si="325"/>
        <v>0</v>
      </c>
      <c r="Y553" s="341">
        <f t="shared" si="326"/>
        <v>0</v>
      </c>
      <c r="Z553" s="364"/>
      <c r="AA553" s="330"/>
      <c r="AB553" s="332"/>
      <c r="AC553" s="332"/>
      <c r="AD553" s="110"/>
      <c r="AE553" s="110"/>
      <c r="AF553" s="110"/>
      <c r="AG553" s="110"/>
      <c r="AH553" s="110"/>
      <c r="AI553" s="110"/>
    </row>
    <row r="554" spans="1:35" ht="13.5" customHeight="1">
      <c r="A554" s="4"/>
      <c r="B554" s="15" t="s">
        <v>4749</v>
      </c>
      <c r="C554" s="363" t="s">
        <v>4750</v>
      </c>
      <c r="D554" s="254">
        <f>SUMIF(GL!$D$5:$D$6505,B554,GL!$G$5:$G$6505)</f>
        <v>0</v>
      </c>
      <c r="E554" s="341">
        <f>SUMIF(GL!$D$6:$D$6487,B554,GL!$H$6:$H$6487)</f>
        <v>0</v>
      </c>
      <c r="F554" s="341">
        <f>SUMIF(GL!$D$6:$D$6487,B554,GL!$I$6:$I$6487)</f>
        <v>0</v>
      </c>
      <c r="G554" s="341"/>
      <c r="H554" s="341"/>
      <c r="I554" s="341">
        <f t="shared" si="365"/>
        <v>0</v>
      </c>
      <c r="J554" s="341">
        <f t="shared" si="366"/>
        <v>0</v>
      </c>
      <c r="K554" s="341"/>
      <c r="L554" s="342"/>
      <c r="M554" s="342"/>
      <c r="N554" s="341">
        <f t="shared" ref="N554:N710" si="586">IF(I554+L554&gt;J554+M554,(I554+L554)-(J554+M554),0)</f>
        <v>0</v>
      </c>
      <c r="O554" s="341">
        <f t="shared" ref="O554:O710" si="587">IF(J554+M554&gt;I554+L554,(J554+M554)-(I554+L554),0)</f>
        <v>0</v>
      </c>
      <c r="P554" s="341">
        <f>SUMIF(GL!$D$6488:$D$6532,B554,GL!$H$6488:$H$6532)</f>
        <v>0</v>
      </c>
      <c r="Q554" s="341">
        <f>SUMIF(GL!$D$6408:$D$6452,B554,GL!$I$6408:$I$6452)</f>
        <v>0</v>
      </c>
      <c r="R554" s="341">
        <f t="shared" ref="R554:S554" si="588">P554+N554</f>
        <v>0</v>
      </c>
      <c r="S554" s="341">
        <f t="shared" si="588"/>
        <v>0</v>
      </c>
      <c r="T554" s="340"/>
      <c r="U554" s="340"/>
      <c r="V554" s="340"/>
      <c r="W554" s="340"/>
      <c r="X554" s="341">
        <f t="shared" ref="X554:X710" si="589">IF(R554&gt;S554,R554-S554,0)</f>
        <v>0</v>
      </c>
      <c r="Y554" s="341">
        <f t="shared" ref="Y554:Y710" si="590">IF(S554&gt;R554,S554-R554,0)</f>
        <v>0</v>
      </c>
      <c r="Z554" s="364"/>
      <c r="AA554" s="330"/>
      <c r="AB554" s="332"/>
      <c r="AC554" s="332"/>
      <c r="AD554" s="110"/>
      <c r="AE554" s="110"/>
      <c r="AF554" s="110"/>
      <c r="AG554" s="110"/>
      <c r="AH554" s="110"/>
      <c r="AI554" s="110"/>
    </row>
    <row r="555" spans="1:35" ht="13.5" customHeight="1">
      <c r="A555" s="4"/>
      <c r="B555" s="15" t="s">
        <v>2567</v>
      </c>
      <c r="C555" s="363" t="s">
        <v>4751</v>
      </c>
      <c r="D555" s="254">
        <f>SUMIF(GL!$D$5:$D$6505,B555,GL!$G$5:$G$6505)</f>
        <v>18</v>
      </c>
      <c r="E555" s="341">
        <f>SUMIF(GL!$D$6:$D$6487,B555,GL!$H$6:$H$6487)</f>
        <v>17280000</v>
      </c>
      <c r="F555" s="341">
        <f>SUMIF(GL!$D$6:$D$6487,B555,GL!$I$6:$I$6487)</f>
        <v>0</v>
      </c>
      <c r="G555" s="341"/>
      <c r="H555" s="341"/>
      <c r="I555" s="341">
        <f t="shared" si="365"/>
        <v>17280000</v>
      </c>
      <c r="J555" s="341">
        <f t="shared" si="366"/>
        <v>0</v>
      </c>
      <c r="K555" s="341"/>
      <c r="L555" s="342"/>
      <c r="M555" s="342"/>
      <c r="N555" s="341">
        <f t="shared" si="586"/>
        <v>17280000</v>
      </c>
      <c r="O555" s="341">
        <f t="shared" si="587"/>
        <v>0</v>
      </c>
      <c r="P555" s="341">
        <f>SUMIF(GL!$D$6488:$D$6532,B555,GL!$H$6488:$H$6532)</f>
        <v>0</v>
      </c>
      <c r="Q555" s="341">
        <f>SUMIF(GL!$D$6408:$D$6452,B555,GL!$I$6408:$I$6452)</f>
        <v>0</v>
      </c>
      <c r="R555" s="341">
        <f t="shared" ref="R555:S555" si="591">P555+N555</f>
        <v>17280000</v>
      </c>
      <c r="S555" s="341">
        <f t="shared" si="591"/>
        <v>0</v>
      </c>
      <c r="T555" s="340"/>
      <c r="U555" s="340"/>
      <c r="V555" s="340"/>
      <c r="W555" s="340"/>
      <c r="X555" s="341">
        <f t="shared" si="589"/>
        <v>17280000</v>
      </c>
      <c r="Y555" s="341">
        <f t="shared" si="590"/>
        <v>0</v>
      </c>
      <c r="Z555" s="364"/>
      <c r="AA555" s="330"/>
      <c r="AB555" s="332"/>
      <c r="AC555" s="332"/>
      <c r="AD555" s="110"/>
      <c r="AE555" s="110"/>
      <c r="AF555" s="110"/>
      <c r="AG555" s="110"/>
      <c r="AH555" s="110"/>
      <c r="AI555" s="110"/>
    </row>
    <row r="556" spans="1:35" ht="13.5" customHeight="1">
      <c r="A556" s="4"/>
      <c r="B556" s="15" t="s">
        <v>4752</v>
      </c>
      <c r="C556" s="363" t="s">
        <v>4753</v>
      </c>
      <c r="D556" s="254">
        <f>SUMIF(GL!$D$5:$D$6505,B556,GL!$G$5:$G$6505)</f>
        <v>0</v>
      </c>
      <c r="E556" s="341">
        <f>SUMIF(GL!$D$6:$D$6487,B556,GL!$H$6:$H$6487)</f>
        <v>0</v>
      </c>
      <c r="F556" s="341">
        <f>SUMIF(GL!$D$6:$D$6487,B556,GL!$I$6:$I$6487)</f>
        <v>0</v>
      </c>
      <c r="G556" s="341"/>
      <c r="H556" s="341"/>
      <c r="I556" s="341">
        <f t="shared" si="365"/>
        <v>0</v>
      </c>
      <c r="J556" s="341">
        <f t="shared" si="366"/>
        <v>0</v>
      </c>
      <c r="K556" s="341"/>
      <c r="L556" s="342"/>
      <c r="M556" s="342"/>
      <c r="N556" s="341">
        <f t="shared" si="586"/>
        <v>0</v>
      </c>
      <c r="O556" s="341">
        <f t="shared" si="587"/>
        <v>0</v>
      </c>
      <c r="P556" s="341">
        <f>SUMIF(GL!$D$6488:$D$6532,B556,GL!$H$6488:$H$6532)</f>
        <v>0</v>
      </c>
      <c r="Q556" s="341">
        <f>SUMIF(GL!$D$6408:$D$6452,B556,GL!$I$6408:$I$6452)</f>
        <v>0</v>
      </c>
      <c r="R556" s="341">
        <f t="shared" ref="R556:S556" si="592">P556+N556</f>
        <v>0</v>
      </c>
      <c r="S556" s="341">
        <f t="shared" si="592"/>
        <v>0</v>
      </c>
      <c r="T556" s="340"/>
      <c r="U556" s="340"/>
      <c r="V556" s="340"/>
      <c r="W556" s="340"/>
      <c r="X556" s="341">
        <f t="shared" si="589"/>
        <v>0</v>
      </c>
      <c r="Y556" s="341">
        <f t="shared" si="590"/>
        <v>0</v>
      </c>
      <c r="Z556" s="364"/>
      <c r="AA556" s="330"/>
      <c r="AB556" s="332"/>
      <c r="AC556" s="332"/>
      <c r="AD556" s="110"/>
      <c r="AE556" s="110"/>
      <c r="AF556" s="110"/>
      <c r="AG556" s="110"/>
      <c r="AH556" s="110"/>
      <c r="AI556" s="110"/>
    </row>
    <row r="557" spans="1:35" ht="13.5" customHeight="1">
      <c r="A557" s="4"/>
      <c r="B557" s="15" t="s">
        <v>4754</v>
      </c>
      <c r="C557" s="363" t="s">
        <v>4755</v>
      </c>
      <c r="D557" s="254">
        <f>SUMIF(GL!$D$5:$D$6505,B557,GL!$G$5:$G$6505)</f>
        <v>0</v>
      </c>
      <c r="E557" s="341">
        <f>SUMIF(GL!$D$6:$D$6487,B557,GL!$H$6:$H$6487)</f>
        <v>0</v>
      </c>
      <c r="F557" s="341">
        <f>SUMIF(GL!$D$6:$D$6487,B557,GL!$I$6:$I$6487)</f>
        <v>0</v>
      </c>
      <c r="G557" s="341"/>
      <c r="H557" s="341"/>
      <c r="I557" s="341">
        <f t="shared" si="365"/>
        <v>0</v>
      </c>
      <c r="J557" s="341">
        <f t="shared" si="366"/>
        <v>0</v>
      </c>
      <c r="K557" s="341"/>
      <c r="L557" s="342"/>
      <c r="M557" s="342"/>
      <c r="N557" s="341">
        <f t="shared" si="586"/>
        <v>0</v>
      </c>
      <c r="O557" s="341">
        <f t="shared" si="587"/>
        <v>0</v>
      </c>
      <c r="P557" s="341">
        <f>SUMIF(GL!$D$6488:$D$6532,B557,GL!$H$6488:$H$6532)</f>
        <v>0</v>
      </c>
      <c r="Q557" s="341">
        <f>SUMIF(GL!$D$6408:$D$6452,B557,GL!$I$6408:$I$6452)</f>
        <v>0</v>
      </c>
      <c r="R557" s="341">
        <f t="shared" ref="R557:S557" si="593">P557+N557</f>
        <v>0</v>
      </c>
      <c r="S557" s="341">
        <f t="shared" si="593"/>
        <v>0</v>
      </c>
      <c r="T557" s="340"/>
      <c r="U557" s="340"/>
      <c r="V557" s="340"/>
      <c r="W557" s="340"/>
      <c r="X557" s="341">
        <f t="shared" si="589"/>
        <v>0</v>
      </c>
      <c r="Y557" s="341">
        <f t="shared" si="590"/>
        <v>0</v>
      </c>
      <c r="Z557" s="364"/>
      <c r="AA557" s="330"/>
      <c r="AB557" s="332"/>
      <c r="AC557" s="332"/>
      <c r="AD557" s="110"/>
      <c r="AE557" s="110"/>
      <c r="AF557" s="110"/>
      <c r="AG557" s="110"/>
      <c r="AH557" s="110"/>
      <c r="AI557" s="110"/>
    </row>
    <row r="558" spans="1:35" ht="13.5" customHeight="1">
      <c r="A558" s="4"/>
      <c r="B558" s="15" t="s">
        <v>2565</v>
      </c>
      <c r="C558" s="363" t="s">
        <v>4756</v>
      </c>
      <c r="D558" s="254">
        <f>SUMIF(GL!$D$5:$D$6505,B558,GL!$G$5:$G$6505)</f>
        <v>6</v>
      </c>
      <c r="E558" s="341">
        <f>SUMIF(GL!$D$6:$D$6487,B558,GL!$H$6:$H$6487)</f>
        <v>5400000</v>
      </c>
      <c r="F558" s="341">
        <f>SUMIF(GL!$D$6:$D$6487,B558,GL!$I$6:$I$6487)</f>
        <v>0</v>
      </c>
      <c r="G558" s="341"/>
      <c r="H558" s="341"/>
      <c r="I558" s="341">
        <f t="shared" si="365"/>
        <v>5400000</v>
      </c>
      <c r="J558" s="341">
        <f t="shared" si="366"/>
        <v>0</v>
      </c>
      <c r="K558" s="341"/>
      <c r="L558" s="342"/>
      <c r="M558" s="342"/>
      <c r="N558" s="341">
        <f t="shared" si="586"/>
        <v>5400000</v>
      </c>
      <c r="O558" s="341">
        <f t="shared" si="587"/>
        <v>0</v>
      </c>
      <c r="P558" s="341">
        <f>SUMIF(GL!$D$6488:$D$6532,B558,GL!$H$6488:$H$6532)</f>
        <v>0</v>
      </c>
      <c r="Q558" s="341">
        <f>SUMIF(GL!$D$6408:$D$6452,B558,GL!$I$6408:$I$6452)</f>
        <v>0</v>
      </c>
      <c r="R558" s="341">
        <f t="shared" ref="R558:S558" si="594">P558+N558</f>
        <v>5400000</v>
      </c>
      <c r="S558" s="341">
        <f t="shared" si="594"/>
        <v>0</v>
      </c>
      <c r="T558" s="340"/>
      <c r="U558" s="340"/>
      <c r="V558" s="340"/>
      <c r="W558" s="340"/>
      <c r="X558" s="341">
        <f t="shared" si="589"/>
        <v>5400000</v>
      </c>
      <c r="Y558" s="341">
        <f t="shared" si="590"/>
        <v>0</v>
      </c>
      <c r="Z558" s="364"/>
      <c r="AA558" s="330"/>
      <c r="AB558" s="332"/>
      <c r="AC558" s="332"/>
      <c r="AD558" s="110"/>
      <c r="AE558" s="110"/>
      <c r="AF558" s="110"/>
      <c r="AG558" s="110"/>
      <c r="AH558" s="110"/>
      <c r="AI558" s="110"/>
    </row>
    <row r="559" spans="1:35" ht="13.5" customHeight="1">
      <c r="A559" s="4"/>
      <c r="B559" s="15" t="s">
        <v>4757</v>
      </c>
      <c r="C559" s="363" t="s">
        <v>4758</v>
      </c>
      <c r="D559" s="254">
        <f>SUMIF(GL!$D$5:$D$6505,B559,GL!$G$5:$G$6505)</f>
        <v>0</v>
      </c>
      <c r="E559" s="341">
        <f>SUMIF(GL!$D$6:$D$6487,B559,GL!$H$6:$H$6487)</f>
        <v>0</v>
      </c>
      <c r="F559" s="341">
        <f>SUMIF(GL!$D$6:$D$6487,B559,GL!$I$6:$I$6487)</f>
        <v>0</v>
      </c>
      <c r="G559" s="341"/>
      <c r="H559" s="341"/>
      <c r="I559" s="341">
        <f t="shared" si="365"/>
        <v>0</v>
      </c>
      <c r="J559" s="341">
        <f t="shared" si="366"/>
        <v>0</v>
      </c>
      <c r="K559" s="341"/>
      <c r="L559" s="342"/>
      <c r="M559" s="342"/>
      <c r="N559" s="341">
        <f t="shared" si="586"/>
        <v>0</v>
      </c>
      <c r="O559" s="341">
        <f t="shared" si="587"/>
        <v>0</v>
      </c>
      <c r="P559" s="341">
        <f>SUMIF(GL!$D$6488:$D$6532,B559,GL!$H$6488:$H$6532)</f>
        <v>0</v>
      </c>
      <c r="Q559" s="341">
        <f>SUMIF(GL!$D$6408:$D$6452,B559,GL!$I$6408:$I$6452)</f>
        <v>0</v>
      </c>
      <c r="R559" s="341">
        <f t="shared" ref="R559:S559" si="595">P559+N559</f>
        <v>0</v>
      </c>
      <c r="S559" s="341">
        <f t="shared" si="595"/>
        <v>0</v>
      </c>
      <c r="T559" s="340"/>
      <c r="U559" s="340"/>
      <c r="V559" s="340"/>
      <c r="W559" s="340"/>
      <c r="X559" s="341">
        <f t="shared" si="589"/>
        <v>0</v>
      </c>
      <c r="Y559" s="341">
        <f t="shared" si="590"/>
        <v>0</v>
      </c>
      <c r="Z559" s="364"/>
      <c r="AA559" s="330"/>
      <c r="AB559" s="332"/>
      <c r="AC559" s="332"/>
      <c r="AD559" s="110"/>
      <c r="AE559" s="110"/>
      <c r="AF559" s="110"/>
      <c r="AG559" s="110"/>
      <c r="AH559" s="110"/>
      <c r="AI559" s="110"/>
    </row>
    <row r="560" spans="1:35" ht="13.5" customHeight="1">
      <c r="A560" s="4"/>
      <c r="B560" s="15" t="s">
        <v>4759</v>
      </c>
      <c r="C560" s="363" t="s">
        <v>4760</v>
      </c>
      <c r="D560" s="254">
        <f>SUMIF(GL!$D$5:$D$6505,B560,GL!$G$5:$G$6505)</f>
        <v>0</v>
      </c>
      <c r="E560" s="341">
        <f>SUMIF(GL!$D$6:$D$6487,B560,GL!$H$6:$H$6487)</f>
        <v>0</v>
      </c>
      <c r="F560" s="341">
        <f>SUMIF(GL!$D$6:$D$6487,B560,GL!$I$6:$I$6487)</f>
        <v>0</v>
      </c>
      <c r="G560" s="341"/>
      <c r="H560" s="341"/>
      <c r="I560" s="341">
        <f t="shared" si="365"/>
        <v>0</v>
      </c>
      <c r="J560" s="341">
        <f t="shared" si="366"/>
        <v>0</v>
      </c>
      <c r="K560" s="341"/>
      <c r="L560" s="342"/>
      <c r="M560" s="342"/>
      <c r="N560" s="341">
        <f t="shared" si="586"/>
        <v>0</v>
      </c>
      <c r="O560" s="341">
        <f t="shared" si="587"/>
        <v>0</v>
      </c>
      <c r="P560" s="341">
        <f>SUMIF(GL!$D$6488:$D$6532,B560,GL!$H$6488:$H$6532)</f>
        <v>0</v>
      </c>
      <c r="Q560" s="341">
        <f>SUMIF(GL!$D$6408:$D$6452,B560,GL!$I$6408:$I$6452)</f>
        <v>0</v>
      </c>
      <c r="R560" s="341">
        <f t="shared" ref="R560:S560" si="596">P560+N560</f>
        <v>0</v>
      </c>
      <c r="S560" s="341">
        <f t="shared" si="596"/>
        <v>0</v>
      </c>
      <c r="T560" s="340"/>
      <c r="U560" s="340"/>
      <c r="V560" s="340"/>
      <c r="W560" s="340"/>
      <c r="X560" s="341">
        <f t="shared" si="589"/>
        <v>0</v>
      </c>
      <c r="Y560" s="341">
        <f t="shared" si="590"/>
        <v>0</v>
      </c>
      <c r="Z560" s="364"/>
      <c r="AA560" s="330"/>
      <c r="AB560" s="332"/>
      <c r="AC560" s="332"/>
      <c r="AD560" s="110"/>
      <c r="AE560" s="110"/>
      <c r="AF560" s="110"/>
      <c r="AG560" s="110"/>
      <c r="AH560" s="110"/>
      <c r="AI560" s="110"/>
    </row>
    <row r="561" spans="1:35" ht="13.5" customHeight="1">
      <c r="A561" s="4"/>
      <c r="B561" s="15" t="s">
        <v>4761</v>
      </c>
      <c r="C561" s="363" t="s">
        <v>4762</v>
      </c>
      <c r="D561" s="254">
        <f>SUMIF(GL!$D$5:$D$6505,B561,GL!$G$5:$G$6505)</f>
        <v>0</v>
      </c>
      <c r="E561" s="341">
        <f>SUMIF(GL!$D$6:$D$6487,B561,GL!$H$6:$H$6487)</f>
        <v>0</v>
      </c>
      <c r="F561" s="341">
        <f>SUMIF(GL!$D$6:$D$6487,B561,GL!$I$6:$I$6487)</f>
        <v>0</v>
      </c>
      <c r="G561" s="341"/>
      <c r="H561" s="341"/>
      <c r="I561" s="341">
        <f t="shared" si="365"/>
        <v>0</v>
      </c>
      <c r="J561" s="341">
        <f t="shared" si="366"/>
        <v>0</v>
      </c>
      <c r="K561" s="341"/>
      <c r="L561" s="342"/>
      <c r="M561" s="342"/>
      <c r="N561" s="341">
        <f t="shared" si="586"/>
        <v>0</v>
      </c>
      <c r="O561" s="341">
        <f t="shared" si="587"/>
        <v>0</v>
      </c>
      <c r="P561" s="341">
        <f>SUMIF(GL!$D$6488:$D$6532,B561,GL!$H$6488:$H$6532)</f>
        <v>0</v>
      </c>
      <c r="Q561" s="341">
        <f>SUMIF(GL!$D$6408:$D$6452,B561,GL!$I$6408:$I$6452)</f>
        <v>0</v>
      </c>
      <c r="R561" s="341">
        <f t="shared" ref="R561:S561" si="597">P561+N561</f>
        <v>0</v>
      </c>
      <c r="S561" s="341">
        <f t="shared" si="597"/>
        <v>0</v>
      </c>
      <c r="T561" s="340"/>
      <c r="U561" s="340"/>
      <c r="V561" s="340"/>
      <c r="W561" s="340"/>
      <c r="X561" s="341">
        <f t="shared" si="589"/>
        <v>0</v>
      </c>
      <c r="Y561" s="341">
        <f t="shared" si="590"/>
        <v>0</v>
      </c>
      <c r="Z561" s="364"/>
      <c r="AA561" s="330"/>
      <c r="AB561" s="332"/>
      <c r="AC561" s="332"/>
      <c r="AD561" s="110"/>
      <c r="AE561" s="110"/>
      <c r="AF561" s="110"/>
      <c r="AG561" s="110"/>
      <c r="AH561" s="110"/>
      <c r="AI561" s="110"/>
    </row>
    <row r="562" spans="1:35" ht="13.5" customHeight="1">
      <c r="A562" s="4"/>
      <c r="B562" s="15" t="s">
        <v>4763</v>
      </c>
      <c r="C562" s="363" t="s">
        <v>4764</v>
      </c>
      <c r="D562" s="254">
        <f>SUMIF(GL!$D$5:$D$6505,B562,GL!$G$5:$G$6505)</f>
        <v>0</v>
      </c>
      <c r="E562" s="341">
        <f>SUMIF(GL!$D$6:$D$6487,B562,GL!$H$6:$H$6487)</f>
        <v>0</v>
      </c>
      <c r="F562" s="341">
        <f>SUMIF(GL!$D$6:$D$6487,B562,GL!$I$6:$I$6487)</f>
        <v>0</v>
      </c>
      <c r="G562" s="341"/>
      <c r="H562" s="341"/>
      <c r="I562" s="341">
        <f t="shared" si="365"/>
        <v>0</v>
      </c>
      <c r="J562" s="341">
        <f t="shared" si="366"/>
        <v>0</v>
      </c>
      <c r="K562" s="341"/>
      <c r="L562" s="342"/>
      <c r="M562" s="342"/>
      <c r="N562" s="341">
        <f t="shared" si="586"/>
        <v>0</v>
      </c>
      <c r="O562" s="341">
        <f t="shared" si="587"/>
        <v>0</v>
      </c>
      <c r="P562" s="341">
        <f>SUMIF(GL!$D$6488:$D$6532,B562,GL!$H$6488:$H$6532)</f>
        <v>0</v>
      </c>
      <c r="Q562" s="341">
        <f>SUMIF(GL!$D$6408:$D$6452,B562,GL!$I$6408:$I$6452)</f>
        <v>0</v>
      </c>
      <c r="R562" s="341">
        <f t="shared" ref="R562:S562" si="598">P562+N562</f>
        <v>0</v>
      </c>
      <c r="S562" s="341">
        <f t="shared" si="598"/>
        <v>0</v>
      </c>
      <c r="T562" s="340"/>
      <c r="U562" s="340"/>
      <c r="V562" s="340"/>
      <c r="W562" s="340"/>
      <c r="X562" s="341">
        <f t="shared" si="589"/>
        <v>0</v>
      </c>
      <c r="Y562" s="341">
        <f t="shared" si="590"/>
        <v>0</v>
      </c>
      <c r="Z562" s="4"/>
      <c r="AA562" s="330"/>
      <c r="AB562" s="332"/>
      <c r="AC562" s="332"/>
      <c r="AD562" s="110"/>
      <c r="AE562" s="110"/>
      <c r="AF562" s="110"/>
      <c r="AG562" s="110"/>
      <c r="AH562" s="110"/>
      <c r="AI562" s="110"/>
    </row>
    <row r="563" spans="1:35" ht="13.5" customHeight="1">
      <c r="A563" s="4"/>
      <c r="B563" s="15" t="s">
        <v>2716</v>
      </c>
      <c r="C563" s="363" t="s">
        <v>4765</v>
      </c>
      <c r="D563" s="254">
        <f>SUMIF(GL!$D$5:$D$6505,B563,GL!$G$5:$G$6505)</f>
        <v>72</v>
      </c>
      <c r="E563" s="341">
        <f>SUMIF(GL!$D$6:$D$6487,B563,GL!$H$6:$H$6487)</f>
        <v>24735024</v>
      </c>
      <c r="F563" s="341">
        <f>SUMIF(GL!$D$6:$D$6487,B563,GL!$I$6:$I$6487)</f>
        <v>0</v>
      </c>
      <c r="G563" s="341"/>
      <c r="H563" s="341"/>
      <c r="I563" s="341">
        <f t="shared" si="365"/>
        <v>24735024</v>
      </c>
      <c r="J563" s="341">
        <f t="shared" si="366"/>
        <v>0</v>
      </c>
      <c r="K563" s="341"/>
      <c r="L563" s="342"/>
      <c r="M563" s="342"/>
      <c r="N563" s="341">
        <f t="shared" si="586"/>
        <v>24735024</v>
      </c>
      <c r="O563" s="341">
        <f t="shared" si="587"/>
        <v>0</v>
      </c>
      <c r="P563" s="341">
        <f>SUMIF(GL!$D$6488:$D$6532,B563,GL!$H$6488:$H$6532)</f>
        <v>0</v>
      </c>
      <c r="Q563" s="341">
        <f>SUMIF(GL!$D$6408:$D$6452,B563,GL!$I$6408:$I$6452)</f>
        <v>0</v>
      </c>
      <c r="R563" s="341">
        <f t="shared" ref="R563:S563" si="599">P563+N563</f>
        <v>24735024</v>
      </c>
      <c r="S563" s="341">
        <f t="shared" si="599"/>
        <v>0</v>
      </c>
      <c r="T563" s="340"/>
      <c r="U563" s="340"/>
      <c r="V563" s="340"/>
      <c r="W563" s="340"/>
      <c r="X563" s="341">
        <f t="shared" si="589"/>
        <v>24735024</v>
      </c>
      <c r="Y563" s="341">
        <f t="shared" si="590"/>
        <v>0</v>
      </c>
      <c r="Z563" s="4"/>
      <c r="AA563" s="330"/>
      <c r="AB563" s="332"/>
      <c r="AC563" s="332"/>
      <c r="AD563" s="110"/>
      <c r="AE563" s="110"/>
      <c r="AF563" s="110"/>
      <c r="AG563" s="110"/>
      <c r="AH563" s="110"/>
      <c r="AI563" s="110"/>
    </row>
    <row r="564" spans="1:35" ht="13.5" customHeight="1">
      <c r="A564" s="4"/>
      <c r="B564" s="15" t="s">
        <v>4766</v>
      </c>
      <c r="C564" s="363" t="s">
        <v>4767</v>
      </c>
      <c r="D564" s="254">
        <f>SUMIF(GL!$D$5:$D$6505,B564,GL!$G$5:$G$6505)</f>
        <v>0</v>
      </c>
      <c r="E564" s="341">
        <f>SUMIF(GL!$D$6:$D$6487,B564,GL!$H$6:$H$6487)</f>
        <v>0</v>
      </c>
      <c r="F564" s="341">
        <f>SUMIF(GL!$D$6:$D$6487,B564,GL!$I$6:$I$6487)</f>
        <v>0</v>
      </c>
      <c r="G564" s="341"/>
      <c r="H564" s="341"/>
      <c r="I564" s="341">
        <f t="shared" si="365"/>
        <v>0</v>
      </c>
      <c r="J564" s="341">
        <f t="shared" si="366"/>
        <v>0</v>
      </c>
      <c r="K564" s="341"/>
      <c r="L564" s="342"/>
      <c r="M564" s="342"/>
      <c r="N564" s="341">
        <f t="shared" si="586"/>
        <v>0</v>
      </c>
      <c r="O564" s="341">
        <f t="shared" si="587"/>
        <v>0</v>
      </c>
      <c r="P564" s="341">
        <f>SUMIF(GL!$D$6488:$D$6532,B564,GL!$H$6488:$H$6532)</f>
        <v>0</v>
      </c>
      <c r="Q564" s="341">
        <f>SUMIF(GL!$D$6408:$D$6452,B564,GL!$I$6408:$I$6452)</f>
        <v>0</v>
      </c>
      <c r="R564" s="341">
        <f t="shared" ref="R564:S564" si="600">P564+N564</f>
        <v>0</v>
      </c>
      <c r="S564" s="341">
        <f t="shared" si="600"/>
        <v>0</v>
      </c>
      <c r="T564" s="340"/>
      <c r="U564" s="340"/>
      <c r="V564" s="340"/>
      <c r="W564" s="340"/>
      <c r="X564" s="341">
        <f t="shared" si="589"/>
        <v>0</v>
      </c>
      <c r="Y564" s="341">
        <f t="shared" si="590"/>
        <v>0</v>
      </c>
      <c r="Z564" s="4"/>
      <c r="AA564" s="330"/>
      <c r="AB564" s="332"/>
      <c r="AC564" s="332"/>
      <c r="AD564" s="110"/>
      <c r="AE564" s="110"/>
      <c r="AF564" s="110"/>
      <c r="AG564" s="110"/>
      <c r="AH564" s="110"/>
      <c r="AI564" s="110"/>
    </row>
    <row r="565" spans="1:35" ht="13.5" customHeight="1">
      <c r="A565" s="4"/>
      <c r="B565" s="15" t="s">
        <v>4768</v>
      </c>
      <c r="C565" s="363" t="s">
        <v>4769</v>
      </c>
      <c r="D565" s="254">
        <f>SUMIF(GL!$D$5:$D$6505,B565,GL!$G$5:$G$6505)</f>
        <v>0</v>
      </c>
      <c r="E565" s="341">
        <f>SUMIF(GL!$D$6:$D$6487,B565,GL!$H$6:$H$6487)</f>
        <v>0</v>
      </c>
      <c r="F565" s="341">
        <f>SUMIF(GL!$D$6:$D$6487,B565,GL!$I$6:$I$6487)</f>
        <v>0</v>
      </c>
      <c r="G565" s="341"/>
      <c r="H565" s="341"/>
      <c r="I565" s="341">
        <f t="shared" si="365"/>
        <v>0</v>
      </c>
      <c r="J565" s="341">
        <f t="shared" si="366"/>
        <v>0</v>
      </c>
      <c r="K565" s="341"/>
      <c r="L565" s="342"/>
      <c r="M565" s="342"/>
      <c r="N565" s="341">
        <f t="shared" si="586"/>
        <v>0</v>
      </c>
      <c r="O565" s="341">
        <f t="shared" si="587"/>
        <v>0</v>
      </c>
      <c r="P565" s="341">
        <f>SUMIF(GL!$D$6488:$D$6532,B565,GL!$H$6488:$H$6532)</f>
        <v>0</v>
      </c>
      <c r="Q565" s="341">
        <f>SUMIF(GL!$D$6408:$D$6452,B565,GL!$I$6408:$I$6452)</f>
        <v>0</v>
      </c>
      <c r="R565" s="341">
        <f t="shared" ref="R565:S565" si="601">P565+N565</f>
        <v>0</v>
      </c>
      <c r="S565" s="341">
        <f t="shared" si="601"/>
        <v>0</v>
      </c>
      <c r="T565" s="340"/>
      <c r="U565" s="340"/>
      <c r="V565" s="340"/>
      <c r="W565" s="340"/>
      <c r="X565" s="341">
        <f t="shared" si="589"/>
        <v>0</v>
      </c>
      <c r="Y565" s="341">
        <f t="shared" si="590"/>
        <v>0</v>
      </c>
      <c r="Z565" s="4"/>
      <c r="AA565" s="330"/>
      <c r="AB565" s="332"/>
      <c r="AC565" s="332"/>
      <c r="AD565" s="110"/>
      <c r="AE565" s="110"/>
      <c r="AF565" s="110"/>
      <c r="AG565" s="110"/>
      <c r="AH565" s="110"/>
      <c r="AI565" s="110"/>
    </row>
    <row r="566" spans="1:35" ht="13.5" customHeight="1">
      <c r="A566" s="4"/>
      <c r="B566" s="15" t="s">
        <v>4770</v>
      </c>
      <c r="C566" s="363" t="s">
        <v>4771</v>
      </c>
      <c r="D566" s="254">
        <f>SUMIF(GL!$D$5:$D$6505,B566,GL!$G$5:$G$6505)</f>
        <v>0</v>
      </c>
      <c r="E566" s="341">
        <f>SUMIF(GL!$D$6:$D$6487,B566,GL!$H$6:$H$6487)</f>
        <v>0</v>
      </c>
      <c r="F566" s="341">
        <f>SUMIF(GL!$D$6:$D$6487,B566,GL!$I$6:$I$6487)</f>
        <v>0</v>
      </c>
      <c r="G566" s="341"/>
      <c r="H566" s="341"/>
      <c r="I566" s="341">
        <f t="shared" si="365"/>
        <v>0</v>
      </c>
      <c r="J566" s="341">
        <f t="shared" si="366"/>
        <v>0</v>
      </c>
      <c r="K566" s="341"/>
      <c r="L566" s="342"/>
      <c r="M566" s="342"/>
      <c r="N566" s="341">
        <f t="shared" si="586"/>
        <v>0</v>
      </c>
      <c r="O566" s="341">
        <f t="shared" si="587"/>
        <v>0</v>
      </c>
      <c r="P566" s="341">
        <f>SUMIF(GL!$D$6488:$D$6532,B566,GL!$H$6488:$H$6532)</f>
        <v>0</v>
      </c>
      <c r="Q566" s="341">
        <f>SUMIF(GL!$D$6408:$D$6452,B566,GL!$I$6408:$I$6452)</f>
        <v>0</v>
      </c>
      <c r="R566" s="341">
        <f t="shared" ref="R566:S566" si="602">P566+N566</f>
        <v>0</v>
      </c>
      <c r="S566" s="341">
        <f t="shared" si="602"/>
        <v>0</v>
      </c>
      <c r="T566" s="340"/>
      <c r="U566" s="340"/>
      <c r="V566" s="340"/>
      <c r="W566" s="340"/>
      <c r="X566" s="341">
        <f t="shared" si="589"/>
        <v>0</v>
      </c>
      <c r="Y566" s="341">
        <f t="shared" si="590"/>
        <v>0</v>
      </c>
      <c r="Z566" s="4"/>
      <c r="AA566" s="330"/>
      <c r="AB566" s="332"/>
      <c r="AC566" s="332"/>
      <c r="AD566" s="110"/>
      <c r="AE566" s="110"/>
      <c r="AF566" s="110"/>
      <c r="AG566" s="110"/>
      <c r="AH566" s="110"/>
      <c r="AI566" s="110"/>
    </row>
    <row r="567" spans="1:35" ht="13.5" customHeight="1">
      <c r="A567" s="4"/>
      <c r="B567" s="15" t="s">
        <v>4772</v>
      </c>
      <c r="C567" s="363" t="s">
        <v>4773</v>
      </c>
      <c r="D567" s="254">
        <f>SUMIF(GL!$D$5:$D$6505,B567,GL!$G$5:$G$6505)</f>
        <v>0</v>
      </c>
      <c r="E567" s="341">
        <f>SUMIF(GL!$D$6:$D$6487,B567,GL!$H$6:$H$6487)</f>
        <v>0</v>
      </c>
      <c r="F567" s="341">
        <f>SUMIF(GL!$D$6:$D$6487,B567,GL!$I$6:$I$6487)</f>
        <v>0</v>
      </c>
      <c r="G567" s="341"/>
      <c r="H567" s="341"/>
      <c r="I567" s="341">
        <f t="shared" si="365"/>
        <v>0</v>
      </c>
      <c r="J567" s="341">
        <f t="shared" si="366"/>
        <v>0</v>
      </c>
      <c r="K567" s="341"/>
      <c r="L567" s="342"/>
      <c r="M567" s="342"/>
      <c r="N567" s="341">
        <f t="shared" si="586"/>
        <v>0</v>
      </c>
      <c r="O567" s="341">
        <f t="shared" si="587"/>
        <v>0</v>
      </c>
      <c r="P567" s="341">
        <f>SUMIF(GL!$D$6488:$D$6532,B567,GL!$H$6488:$H$6532)</f>
        <v>0</v>
      </c>
      <c r="Q567" s="341">
        <f>SUMIF(GL!$D$6408:$D$6452,B567,GL!$I$6408:$I$6452)</f>
        <v>0</v>
      </c>
      <c r="R567" s="341">
        <f t="shared" ref="R567:S567" si="603">P567+N567</f>
        <v>0</v>
      </c>
      <c r="S567" s="341">
        <f t="shared" si="603"/>
        <v>0</v>
      </c>
      <c r="T567" s="340"/>
      <c r="U567" s="340"/>
      <c r="V567" s="340"/>
      <c r="W567" s="340"/>
      <c r="X567" s="341">
        <f t="shared" si="589"/>
        <v>0</v>
      </c>
      <c r="Y567" s="341">
        <f t="shared" si="590"/>
        <v>0</v>
      </c>
      <c r="Z567" s="4"/>
      <c r="AA567" s="330"/>
      <c r="AB567" s="332"/>
      <c r="AC567" s="332"/>
      <c r="AD567" s="110"/>
      <c r="AE567" s="110"/>
      <c r="AF567" s="110"/>
      <c r="AG567" s="110"/>
      <c r="AH567" s="110"/>
      <c r="AI567" s="110"/>
    </row>
    <row r="568" spans="1:35" ht="13.5" customHeight="1">
      <c r="A568" s="4"/>
      <c r="B568" s="15"/>
      <c r="C568" s="262"/>
      <c r="D568" s="254">
        <f>SUMIF(GL!$D$5:$D$6505,B568,GL!$G$5:$G$6505)</f>
        <v>0</v>
      </c>
      <c r="E568" s="341">
        <f>SUMIF(GL!$D$6:$D$6487,B568,GL!$H$6:$H$6487)</f>
        <v>0</v>
      </c>
      <c r="F568" s="341">
        <f>SUMIF(GL!$D$6:$D$6487,B568,GL!$I$6:$I$6487)</f>
        <v>0</v>
      </c>
      <c r="G568" s="341"/>
      <c r="H568" s="341"/>
      <c r="I568" s="341">
        <f t="shared" si="365"/>
        <v>0</v>
      </c>
      <c r="J568" s="341">
        <f t="shared" si="366"/>
        <v>0</v>
      </c>
      <c r="K568" s="341"/>
      <c r="L568" s="342"/>
      <c r="M568" s="342"/>
      <c r="N568" s="341">
        <f t="shared" si="586"/>
        <v>0</v>
      </c>
      <c r="O568" s="341">
        <f t="shared" si="587"/>
        <v>0</v>
      </c>
      <c r="P568" s="341">
        <f>SUMIF(GL!$D$6488:$D$6532,B568,GL!$H$6488:$H$6532)</f>
        <v>0</v>
      </c>
      <c r="Q568" s="341">
        <f>SUMIF(GL!$D$6408:$D$6452,B568,GL!$I$6408:$I$6452)</f>
        <v>0</v>
      </c>
      <c r="R568" s="341">
        <f t="shared" ref="R568:S568" si="604">P568+N568</f>
        <v>0</v>
      </c>
      <c r="S568" s="341">
        <f t="shared" si="604"/>
        <v>0</v>
      </c>
      <c r="T568" s="340"/>
      <c r="U568" s="340"/>
      <c r="V568" s="340"/>
      <c r="W568" s="340"/>
      <c r="X568" s="341">
        <f t="shared" si="589"/>
        <v>0</v>
      </c>
      <c r="Y568" s="341">
        <f t="shared" si="590"/>
        <v>0</v>
      </c>
      <c r="Z568" s="364"/>
      <c r="AA568" s="110"/>
      <c r="AB568" s="332"/>
      <c r="AC568" s="332"/>
      <c r="AD568" s="110"/>
      <c r="AE568" s="110"/>
      <c r="AF568" s="110"/>
      <c r="AG568" s="110"/>
      <c r="AH568" s="110"/>
      <c r="AI568" s="110"/>
    </row>
    <row r="569" spans="1:35" ht="13.5" customHeight="1">
      <c r="A569" s="4"/>
      <c r="B569" s="15"/>
      <c r="C569" s="261" t="s">
        <v>3838</v>
      </c>
      <c r="D569" s="254">
        <f>SUMIF(GL!$D$5:$D$6505,B569,GL!$G$5:$G$6505)</f>
        <v>0</v>
      </c>
      <c r="E569" s="341">
        <f>SUMIF(GL!$D$6:$D$6487,B569,GL!$H$6:$H$6487)</f>
        <v>0</v>
      </c>
      <c r="F569" s="341">
        <f>SUMIF(GL!$D$6:$D$6487,B569,GL!$I$6:$I$6487)</f>
        <v>0</v>
      </c>
      <c r="G569" s="341"/>
      <c r="H569" s="341"/>
      <c r="I569" s="341">
        <f t="shared" si="365"/>
        <v>0</v>
      </c>
      <c r="J569" s="341">
        <f t="shared" si="366"/>
        <v>0</v>
      </c>
      <c r="K569" s="341"/>
      <c r="L569" s="342"/>
      <c r="M569" s="342"/>
      <c r="N569" s="341">
        <f t="shared" si="586"/>
        <v>0</v>
      </c>
      <c r="O569" s="341">
        <f t="shared" si="587"/>
        <v>0</v>
      </c>
      <c r="P569" s="341">
        <f>SUMIF(GL!$D$6488:$D$6532,B569,GL!$H$6488:$H$6532)</f>
        <v>0</v>
      </c>
      <c r="Q569" s="341">
        <f>SUMIF(GL!$D$6408:$D$6452,B569,GL!$I$6408:$I$6452)</f>
        <v>0</v>
      </c>
      <c r="R569" s="341">
        <f t="shared" ref="R569:S569" si="605">P569+N569</f>
        <v>0</v>
      </c>
      <c r="S569" s="341">
        <f t="shared" si="605"/>
        <v>0</v>
      </c>
      <c r="T569" s="340"/>
      <c r="U569" s="340"/>
      <c r="V569" s="340"/>
      <c r="W569" s="340"/>
      <c r="X569" s="341">
        <f t="shared" si="589"/>
        <v>0</v>
      </c>
      <c r="Y569" s="341">
        <f t="shared" si="590"/>
        <v>0</v>
      </c>
      <c r="Z569" s="364"/>
      <c r="AA569" s="330"/>
      <c r="AB569" s="332"/>
      <c r="AC569" s="332"/>
      <c r="AD569" s="110"/>
      <c r="AE569" s="110"/>
      <c r="AF569" s="110"/>
      <c r="AG569" s="110"/>
      <c r="AH569" s="110"/>
      <c r="AI569" s="110"/>
    </row>
    <row r="570" spans="1:35" ht="13.5" customHeight="1">
      <c r="A570" s="4"/>
      <c r="B570" s="15" t="s">
        <v>4774</v>
      </c>
      <c r="C570" s="363" t="s">
        <v>4775</v>
      </c>
      <c r="D570" s="254">
        <f>SUMIF(GL!$D$5:$D$6505,B570,GL!$G$5:$G$6505)</f>
        <v>0</v>
      </c>
      <c r="E570" s="341">
        <f>SUMIF(GL!$D$6:$D$6487,B570,GL!$H$6:$H$6487)</f>
        <v>0</v>
      </c>
      <c r="F570" s="341">
        <f>SUMIF(GL!$D$6:$D$6487,B570,GL!$I$6:$I$6487)</f>
        <v>0</v>
      </c>
      <c r="G570" s="341"/>
      <c r="H570" s="341"/>
      <c r="I570" s="341">
        <f t="shared" si="365"/>
        <v>0</v>
      </c>
      <c r="J570" s="341">
        <f t="shared" si="366"/>
        <v>0</v>
      </c>
      <c r="K570" s="341"/>
      <c r="L570" s="342"/>
      <c r="M570" s="342"/>
      <c r="N570" s="341">
        <f t="shared" si="586"/>
        <v>0</v>
      </c>
      <c r="O570" s="341">
        <f t="shared" si="587"/>
        <v>0</v>
      </c>
      <c r="P570" s="341">
        <f>SUMIF(GL!$D$6488:$D$6532,B570,GL!$H$6488:$H$6532)</f>
        <v>0</v>
      </c>
      <c r="Q570" s="341">
        <f>SUMIF(GL!$D$6408:$D$6452,B570,GL!$I$6408:$I$6452)</f>
        <v>0</v>
      </c>
      <c r="R570" s="341">
        <f t="shared" ref="R570:S570" si="606">P570+N570</f>
        <v>0</v>
      </c>
      <c r="S570" s="341">
        <f t="shared" si="606"/>
        <v>0</v>
      </c>
      <c r="T570" s="340"/>
      <c r="U570" s="340"/>
      <c r="V570" s="340"/>
      <c r="W570" s="340"/>
      <c r="X570" s="341">
        <f t="shared" si="589"/>
        <v>0</v>
      </c>
      <c r="Y570" s="341">
        <f t="shared" si="590"/>
        <v>0</v>
      </c>
      <c r="Z570" s="364"/>
      <c r="AA570" s="330"/>
      <c r="AB570" s="332"/>
      <c r="AC570" s="332"/>
      <c r="AD570" s="110"/>
      <c r="AE570" s="110"/>
      <c r="AF570" s="110"/>
      <c r="AG570" s="110"/>
      <c r="AH570" s="110"/>
      <c r="AI570" s="110"/>
    </row>
    <row r="571" spans="1:35" ht="13.5" customHeight="1">
      <c r="A571" s="4"/>
      <c r="B571" s="15" t="s">
        <v>4776</v>
      </c>
      <c r="C571" s="366" t="s">
        <v>4777</v>
      </c>
      <c r="D571" s="254">
        <f>SUMIF(GL!$D$5:$D$6505,B571,GL!$G$5:$G$6505)</f>
        <v>0</v>
      </c>
      <c r="E571" s="341">
        <f>SUMIF(GL!$D$6:$D$6487,B571,GL!$H$6:$H$6487)</f>
        <v>0</v>
      </c>
      <c r="F571" s="341">
        <f>SUMIF(GL!$D$6:$D$6487,B571,GL!$I$6:$I$6487)</f>
        <v>0</v>
      </c>
      <c r="G571" s="341"/>
      <c r="H571" s="341"/>
      <c r="I571" s="341">
        <f t="shared" si="365"/>
        <v>0</v>
      </c>
      <c r="J571" s="341">
        <f t="shared" si="366"/>
        <v>0</v>
      </c>
      <c r="K571" s="341"/>
      <c r="L571" s="342"/>
      <c r="M571" s="342"/>
      <c r="N571" s="341">
        <f t="shared" si="586"/>
        <v>0</v>
      </c>
      <c r="O571" s="341">
        <f t="shared" si="587"/>
        <v>0</v>
      </c>
      <c r="P571" s="341">
        <f>SUMIF(GL!$D$6488:$D$6532,B571,GL!$H$6488:$H$6532)</f>
        <v>0</v>
      </c>
      <c r="Q571" s="341">
        <f>SUMIF(GL!$D$6408:$D$6452,B571,GL!$I$6408:$I$6452)</f>
        <v>0</v>
      </c>
      <c r="R571" s="341">
        <f t="shared" ref="R571:S571" si="607">P571+N571</f>
        <v>0</v>
      </c>
      <c r="S571" s="341">
        <f t="shared" si="607"/>
        <v>0</v>
      </c>
      <c r="T571" s="340"/>
      <c r="U571" s="340"/>
      <c r="V571" s="340"/>
      <c r="W571" s="340"/>
      <c r="X571" s="341">
        <f t="shared" si="589"/>
        <v>0</v>
      </c>
      <c r="Y571" s="341">
        <f t="shared" si="590"/>
        <v>0</v>
      </c>
      <c r="Z571" s="364"/>
      <c r="AA571" s="330"/>
      <c r="AB571" s="332"/>
      <c r="AC571" s="332"/>
      <c r="AD571" s="110"/>
      <c r="AE571" s="110"/>
      <c r="AF571" s="110"/>
      <c r="AG571" s="110"/>
      <c r="AH571" s="110"/>
      <c r="AI571" s="110"/>
    </row>
    <row r="572" spans="1:35" ht="13.5" customHeight="1">
      <c r="A572" s="4"/>
      <c r="B572" s="15" t="s">
        <v>4778</v>
      </c>
      <c r="C572" s="363" t="s">
        <v>4779</v>
      </c>
      <c r="D572" s="254">
        <f>SUMIF(GL!$D$5:$D$6505,B572,GL!$G$5:$G$6505)</f>
        <v>0</v>
      </c>
      <c r="E572" s="341">
        <f>SUMIF(GL!$D$6:$D$6487,B572,GL!$H$6:$H$6487)</f>
        <v>0</v>
      </c>
      <c r="F572" s="341">
        <f>SUMIF(GL!$D$6:$D$6487,B572,GL!$I$6:$I$6487)</f>
        <v>0</v>
      </c>
      <c r="G572" s="341"/>
      <c r="H572" s="341"/>
      <c r="I572" s="341">
        <f t="shared" si="365"/>
        <v>0</v>
      </c>
      <c r="J572" s="341">
        <f t="shared" si="366"/>
        <v>0</v>
      </c>
      <c r="K572" s="341"/>
      <c r="L572" s="342"/>
      <c r="M572" s="342"/>
      <c r="N572" s="341">
        <f t="shared" si="586"/>
        <v>0</v>
      </c>
      <c r="O572" s="341">
        <f t="shared" si="587"/>
        <v>0</v>
      </c>
      <c r="P572" s="341">
        <f>SUMIF(GL!$D$6488:$D$6532,B572,GL!$H$6488:$H$6532)</f>
        <v>0</v>
      </c>
      <c r="Q572" s="341">
        <f>SUMIF(GL!$D$6408:$D$6452,B572,GL!$I$6408:$I$6452)</f>
        <v>0</v>
      </c>
      <c r="R572" s="341">
        <f t="shared" ref="R572:S572" si="608">P572+N572</f>
        <v>0</v>
      </c>
      <c r="S572" s="341">
        <f t="shared" si="608"/>
        <v>0</v>
      </c>
      <c r="T572" s="340"/>
      <c r="U572" s="340"/>
      <c r="V572" s="340"/>
      <c r="W572" s="340"/>
      <c r="X572" s="341">
        <f t="shared" si="589"/>
        <v>0</v>
      </c>
      <c r="Y572" s="341">
        <f t="shared" si="590"/>
        <v>0</v>
      </c>
      <c r="Z572" s="364"/>
      <c r="AA572" s="330"/>
      <c r="AB572" s="332"/>
      <c r="AC572" s="332"/>
      <c r="AD572" s="110"/>
      <c r="AE572" s="110"/>
      <c r="AF572" s="110"/>
      <c r="AG572" s="110"/>
      <c r="AH572" s="110"/>
      <c r="AI572" s="110"/>
    </row>
    <row r="573" spans="1:35" ht="13.5" customHeight="1">
      <c r="A573" s="4"/>
      <c r="B573" s="15" t="s">
        <v>4780</v>
      </c>
      <c r="C573" s="363" t="s">
        <v>4781</v>
      </c>
      <c r="D573" s="254">
        <f>SUMIF(GL!$D$5:$D$6505,B573,GL!$G$5:$G$6505)</f>
        <v>0</v>
      </c>
      <c r="E573" s="341">
        <f>SUMIF(GL!$D$6:$D$6487,B573,GL!$H$6:$H$6487)</f>
        <v>0</v>
      </c>
      <c r="F573" s="341">
        <f>SUMIF(GL!$D$6:$D$6487,B573,GL!$I$6:$I$6487)</f>
        <v>0</v>
      </c>
      <c r="G573" s="341"/>
      <c r="H573" s="341"/>
      <c r="I573" s="341">
        <f t="shared" si="365"/>
        <v>0</v>
      </c>
      <c r="J573" s="341">
        <f t="shared" si="366"/>
        <v>0</v>
      </c>
      <c r="K573" s="341"/>
      <c r="L573" s="342"/>
      <c r="M573" s="342"/>
      <c r="N573" s="341">
        <f t="shared" si="586"/>
        <v>0</v>
      </c>
      <c r="O573" s="341">
        <f t="shared" si="587"/>
        <v>0</v>
      </c>
      <c r="P573" s="341">
        <f>SUMIF(GL!$D$6488:$D$6532,B573,GL!$H$6488:$H$6532)</f>
        <v>0</v>
      </c>
      <c r="Q573" s="341">
        <f>SUMIF(GL!$D$6408:$D$6452,B573,GL!$I$6408:$I$6452)</f>
        <v>0</v>
      </c>
      <c r="R573" s="341">
        <f t="shared" ref="R573:S573" si="609">P573+N573</f>
        <v>0</v>
      </c>
      <c r="S573" s="341">
        <f t="shared" si="609"/>
        <v>0</v>
      </c>
      <c r="T573" s="340"/>
      <c r="U573" s="340"/>
      <c r="V573" s="340"/>
      <c r="W573" s="340"/>
      <c r="X573" s="341">
        <f t="shared" si="589"/>
        <v>0</v>
      </c>
      <c r="Y573" s="341">
        <f t="shared" si="590"/>
        <v>0</v>
      </c>
      <c r="Z573" s="364"/>
      <c r="AA573" s="330"/>
      <c r="AB573" s="332"/>
      <c r="AC573" s="332"/>
      <c r="AD573" s="110"/>
      <c r="AE573" s="110"/>
      <c r="AF573" s="110"/>
      <c r="AG573" s="110"/>
      <c r="AH573" s="110"/>
      <c r="AI573" s="110"/>
    </row>
    <row r="574" spans="1:35" ht="13.5" customHeight="1">
      <c r="A574" s="4"/>
      <c r="B574" s="15" t="s">
        <v>4782</v>
      </c>
      <c r="C574" s="363" t="s">
        <v>4783</v>
      </c>
      <c r="D574" s="254">
        <f>SUMIF(GL!$D$5:$D$6505,B574,GL!$G$5:$G$6505)</f>
        <v>0</v>
      </c>
      <c r="E574" s="341">
        <f>SUMIF(GL!$D$6:$D$6487,B574,GL!$H$6:$H$6487)</f>
        <v>0</v>
      </c>
      <c r="F574" s="341">
        <f>SUMIF(GL!$D$6:$D$6487,B574,GL!$I$6:$I$6487)</f>
        <v>0</v>
      </c>
      <c r="G574" s="341"/>
      <c r="H574" s="341"/>
      <c r="I574" s="341">
        <f t="shared" si="365"/>
        <v>0</v>
      </c>
      <c r="J574" s="341">
        <f t="shared" si="366"/>
        <v>0</v>
      </c>
      <c r="K574" s="341"/>
      <c r="L574" s="342"/>
      <c r="M574" s="342"/>
      <c r="N574" s="341">
        <f t="shared" si="586"/>
        <v>0</v>
      </c>
      <c r="O574" s="341">
        <f t="shared" si="587"/>
        <v>0</v>
      </c>
      <c r="P574" s="341">
        <f>SUMIF(GL!$D$6488:$D$6532,B574,GL!$H$6488:$H$6532)</f>
        <v>0</v>
      </c>
      <c r="Q574" s="341">
        <f>SUMIF(GL!$D$6408:$D$6452,B574,GL!$I$6408:$I$6452)</f>
        <v>0</v>
      </c>
      <c r="R574" s="341">
        <f t="shared" ref="R574:S574" si="610">P574+N574</f>
        <v>0</v>
      </c>
      <c r="S574" s="341">
        <f t="shared" si="610"/>
        <v>0</v>
      </c>
      <c r="T574" s="340"/>
      <c r="U574" s="340"/>
      <c r="V574" s="340"/>
      <c r="W574" s="340"/>
      <c r="X574" s="341">
        <f t="shared" si="589"/>
        <v>0</v>
      </c>
      <c r="Y574" s="341">
        <f t="shared" si="590"/>
        <v>0</v>
      </c>
      <c r="Z574" s="364"/>
      <c r="AA574" s="330"/>
      <c r="AB574" s="332"/>
      <c r="AC574" s="332"/>
      <c r="AD574" s="110"/>
      <c r="AE574" s="110"/>
      <c r="AF574" s="110"/>
      <c r="AG574" s="110"/>
      <c r="AH574" s="110"/>
      <c r="AI574" s="110"/>
    </row>
    <row r="575" spans="1:35" ht="13.5" customHeight="1">
      <c r="A575" s="4"/>
      <c r="B575" s="15" t="s">
        <v>4784</v>
      </c>
      <c r="C575" s="363" t="s">
        <v>4785</v>
      </c>
      <c r="D575" s="254">
        <f>SUMIF(GL!$D$5:$D$6505,B575,GL!$G$5:$G$6505)</f>
        <v>0</v>
      </c>
      <c r="E575" s="341">
        <f>SUMIF(GL!$D$6:$D$6487,B575,GL!$H$6:$H$6487)</f>
        <v>0</v>
      </c>
      <c r="F575" s="341">
        <f>SUMIF(GL!$D$6:$D$6487,B575,GL!$I$6:$I$6487)</f>
        <v>0</v>
      </c>
      <c r="G575" s="341"/>
      <c r="H575" s="341"/>
      <c r="I575" s="341">
        <f t="shared" si="365"/>
        <v>0</v>
      </c>
      <c r="J575" s="341">
        <f t="shared" si="366"/>
        <v>0</v>
      </c>
      <c r="K575" s="341"/>
      <c r="L575" s="342"/>
      <c r="M575" s="342"/>
      <c r="N575" s="341">
        <f t="shared" si="586"/>
        <v>0</v>
      </c>
      <c r="O575" s="341">
        <f t="shared" si="587"/>
        <v>0</v>
      </c>
      <c r="P575" s="341">
        <f>SUMIF(GL!$D$6488:$D$6532,B575,GL!$H$6488:$H$6532)</f>
        <v>0</v>
      </c>
      <c r="Q575" s="341">
        <f>SUMIF(GL!$D$6408:$D$6452,B575,GL!$I$6408:$I$6452)</f>
        <v>0</v>
      </c>
      <c r="R575" s="341">
        <f t="shared" ref="R575:S575" si="611">P575+N575</f>
        <v>0</v>
      </c>
      <c r="S575" s="341">
        <f t="shared" si="611"/>
        <v>0</v>
      </c>
      <c r="T575" s="340"/>
      <c r="U575" s="340"/>
      <c r="V575" s="340"/>
      <c r="W575" s="340"/>
      <c r="X575" s="341">
        <f t="shared" si="589"/>
        <v>0</v>
      </c>
      <c r="Y575" s="341">
        <f t="shared" si="590"/>
        <v>0</v>
      </c>
      <c r="Z575" s="364"/>
      <c r="AA575" s="330"/>
      <c r="AB575" s="332"/>
      <c r="AC575" s="332"/>
      <c r="AD575" s="110"/>
      <c r="AE575" s="110"/>
      <c r="AF575" s="110"/>
      <c r="AG575" s="110"/>
      <c r="AH575" s="110"/>
      <c r="AI575" s="110"/>
    </row>
    <row r="576" spans="1:35" ht="13.5" customHeight="1">
      <c r="A576" s="4"/>
      <c r="B576" s="15" t="s">
        <v>4786</v>
      </c>
      <c r="C576" s="363" t="s">
        <v>4787</v>
      </c>
      <c r="D576" s="254">
        <f>SUMIF(GL!$D$5:$D$6505,B576,GL!$G$5:$G$6505)</f>
        <v>0</v>
      </c>
      <c r="E576" s="341">
        <f>SUMIF(GL!$D$6:$D$6487,B576,GL!$H$6:$H$6487)</f>
        <v>0</v>
      </c>
      <c r="F576" s="341">
        <f>SUMIF(GL!$D$6:$D$6487,B576,GL!$I$6:$I$6487)</f>
        <v>0</v>
      </c>
      <c r="G576" s="341"/>
      <c r="H576" s="341"/>
      <c r="I576" s="341">
        <f t="shared" si="365"/>
        <v>0</v>
      </c>
      <c r="J576" s="341">
        <f t="shared" si="366"/>
        <v>0</v>
      </c>
      <c r="K576" s="341"/>
      <c r="L576" s="342"/>
      <c r="M576" s="342"/>
      <c r="N576" s="341">
        <f t="shared" si="586"/>
        <v>0</v>
      </c>
      <c r="O576" s="341">
        <f t="shared" si="587"/>
        <v>0</v>
      </c>
      <c r="P576" s="341">
        <f>SUMIF(GL!$D$6488:$D$6532,B576,GL!$H$6488:$H$6532)</f>
        <v>0</v>
      </c>
      <c r="Q576" s="341">
        <f>SUMIF(GL!$D$6408:$D$6452,B576,GL!$I$6408:$I$6452)</f>
        <v>0</v>
      </c>
      <c r="R576" s="341">
        <f t="shared" ref="R576:S576" si="612">P576+N576</f>
        <v>0</v>
      </c>
      <c r="S576" s="341">
        <f t="shared" si="612"/>
        <v>0</v>
      </c>
      <c r="T576" s="340"/>
      <c r="U576" s="340"/>
      <c r="V576" s="340"/>
      <c r="W576" s="340"/>
      <c r="X576" s="341">
        <f t="shared" si="589"/>
        <v>0</v>
      </c>
      <c r="Y576" s="341">
        <f t="shared" si="590"/>
        <v>0</v>
      </c>
      <c r="Z576" s="364"/>
      <c r="AA576" s="330"/>
      <c r="AB576" s="332"/>
      <c r="AC576" s="332"/>
      <c r="AD576" s="110"/>
      <c r="AE576" s="110"/>
      <c r="AF576" s="110"/>
      <c r="AG576" s="110"/>
      <c r="AH576" s="110"/>
      <c r="AI576" s="110"/>
    </row>
    <row r="577" spans="1:35" ht="13.5" customHeight="1">
      <c r="A577" s="4"/>
      <c r="B577" s="15" t="s">
        <v>4788</v>
      </c>
      <c r="C577" s="363" t="s">
        <v>4789</v>
      </c>
      <c r="D577" s="254">
        <f>SUMIF(GL!$D$5:$D$6505,B577,GL!$G$5:$G$6505)</f>
        <v>0</v>
      </c>
      <c r="E577" s="341">
        <f>SUMIF(GL!$D$6:$D$6487,B577,GL!$H$6:$H$6487)</f>
        <v>0</v>
      </c>
      <c r="F577" s="341">
        <f>SUMIF(GL!$D$6:$D$6487,B577,GL!$I$6:$I$6487)</f>
        <v>0</v>
      </c>
      <c r="G577" s="341"/>
      <c r="H577" s="341"/>
      <c r="I577" s="341">
        <f t="shared" si="365"/>
        <v>0</v>
      </c>
      <c r="J577" s="341">
        <f t="shared" si="366"/>
        <v>0</v>
      </c>
      <c r="K577" s="341"/>
      <c r="L577" s="342"/>
      <c r="M577" s="342"/>
      <c r="N577" s="341">
        <f t="shared" si="586"/>
        <v>0</v>
      </c>
      <c r="O577" s="341">
        <f t="shared" si="587"/>
        <v>0</v>
      </c>
      <c r="P577" s="341">
        <f>SUMIF(GL!$D$6488:$D$6532,B577,GL!$H$6488:$H$6532)</f>
        <v>0</v>
      </c>
      <c r="Q577" s="341">
        <f>SUMIF(GL!$D$6408:$D$6452,B577,GL!$I$6408:$I$6452)</f>
        <v>0</v>
      </c>
      <c r="R577" s="341">
        <f t="shared" ref="R577:S577" si="613">P577+N577</f>
        <v>0</v>
      </c>
      <c r="S577" s="341">
        <f t="shared" si="613"/>
        <v>0</v>
      </c>
      <c r="T577" s="340"/>
      <c r="U577" s="340"/>
      <c r="V577" s="340"/>
      <c r="W577" s="340"/>
      <c r="X577" s="341">
        <f t="shared" si="589"/>
        <v>0</v>
      </c>
      <c r="Y577" s="341">
        <f t="shared" si="590"/>
        <v>0</v>
      </c>
      <c r="Z577" s="364"/>
      <c r="AA577" s="330"/>
      <c r="AB577" s="332"/>
      <c r="AC577" s="332"/>
      <c r="AD577" s="110"/>
      <c r="AE577" s="110"/>
      <c r="AF577" s="110"/>
      <c r="AG577" s="110"/>
      <c r="AH577" s="110"/>
      <c r="AI577" s="110"/>
    </row>
    <row r="578" spans="1:35" ht="13.5" customHeight="1">
      <c r="A578" s="4"/>
      <c r="B578" s="15" t="s">
        <v>4790</v>
      </c>
      <c r="C578" s="363" t="s">
        <v>4791</v>
      </c>
      <c r="D578" s="254">
        <f>SUMIF(GL!$D$5:$D$6505,B578,GL!$G$5:$G$6505)</f>
        <v>0</v>
      </c>
      <c r="E578" s="341">
        <f>SUMIF(GL!$D$6:$D$6487,B578,GL!$H$6:$H$6487)</f>
        <v>0</v>
      </c>
      <c r="F578" s="341">
        <f>SUMIF(GL!$D$6:$D$6487,B578,GL!$I$6:$I$6487)</f>
        <v>0</v>
      </c>
      <c r="G578" s="341"/>
      <c r="H578" s="341"/>
      <c r="I578" s="341">
        <f t="shared" si="365"/>
        <v>0</v>
      </c>
      <c r="J578" s="341">
        <f t="shared" si="366"/>
        <v>0</v>
      </c>
      <c r="K578" s="341"/>
      <c r="L578" s="342"/>
      <c r="M578" s="342"/>
      <c r="N578" s="341">
        <f t="shared" si="586"/>
        <v>0</v>
      </c>
      <c r="O578" s="341">
        <f t="shared" si="587"/>
        <v>0</v>
      </c>
      <c r="P578" s="341">
        <f>SUMIF(GL!$D$6488:$D$6532,B578,GL!$H$6488:$H$6532)</f>
        <v>0</v>
      </c>
      <c r="Q578" s="341">
        <f>SUMIF(GL!$D$6408:$D$6452,B578,GL!$I$6408:$I$6452)</f>
        <v>0</v>
      </c>
      <c r="R578" s="341">
        <f t="shared" ref="R578:S578" si="614">P578+N578</f>
        <v>0</v>
      </c>
      <c r="S578" s="341">
        <f t="shared" si="614"/>
        <v>0</v>
      </c>
      <c r="T578" s="340"/>
      <c r="U578" s="340"/>
      <c r="V578" s="340"/>
      <c r="W578" s="340"/>
      <c r="X578" s="341">
        <f t="shared" si="589"/>
        <v>0</v>
      </c>
      <c r="Y578" s="341">
        <f t="shared" si="590"/>
        <v>0</v>
      </c>
      <c r="Z578" s="364"/>
      <c r="AA578" s="330"/>
      <c r="AB578" s="332"/>
      <c r="AC578" s="332"/>
      <c r="AD578" s="110"/>
      <c r="AE578" s="110"/>
      <c r="AF578" s="110"/>
      <c r="AG578" s="110"/>
      <c r="AH578" s="110"/>
      <c r="AI578" s="110"/>
    </row>
    <row r="579" spans="1:35" ht="13.5" customHeight="1">
      <c r="A579" s="4"/>
      <c r="B579" s="15"/>
      <c r="C579" s="262"/>
      <c r="D579" s="254">
        <f>SUMIF(GL!$D$5:$D$6505,B579,GL!$G$5:$G$6505)</f>
        <v>0</v>
      </c>
      <c r="E579" s="341">
        <f>SUMIF(GL!$D$6:$D$6487,B579,GL!$H$6:$H$6487)</f>
        <v>0</v>
      </c>
      <c r="F579" s="341">
        <f>SUMIF(GL!$D$6:$D$6487,B579,GL!$I$6:$I$6487)</f>
        <v>0</v>
      </c>
      <c r="G579" s="341"/>
      <c r="H579" s="341"/>
      <c r="I579" s="341">
        <f t="shared" si="365"/>
        <v>0</v>
      </c>
      <c r="J579" s="341">
        <f t="shared" si="366"/>
        <v>0</v>
      </c>
      <c r="K579" s="341"/>
      <c r="L579" s="342"/>
      <c r="M579" s="342"/>
      <c r="N579" s="341">
        <f t="shared" si="586"/>
        <v>0</v>
      </c>
      <c r="O579" s="341">
        <f t="shared" si="587"/>
        <v>0</v>
      </c>
      <c r="P579" s="341">
        <f>SUMIF(GL!$D$6488:$D$6532,B579,GL!$H$6488:$H$6532)</f>
        <v>0</v>
      </c>
      <c r="Q579" s="341">
        <f>SUMIF(GL!$D$6408:$D$6452,B579,GL!$I$6408:$I$6452)</f>
        <v>0</v>
      </c>
      <c r="R579" s="341">
        <f t="shared" ref="R579:S579" si="615">P579+N579</f>
        <v>0</v>
      </c>
      <c r="S579" s="341">
        <f t="shared" si="615"/>
        <v>0</v>
      </c>
      <c r="T579" s="340"/>
      <c r="U579" s="340"/>
      <c r="V579" s="340"/>
      <c r="W579" s="340"/>
      <c r="X579" s="341">
        <f t="shared" si="589"/>
        <v>0</v>
      </c>
      <c r="Y579" s="341">
        <f t="shared" si="590"/>
        <v>0</v>
      </c>
      <c r="Z579" s="364"/>
      <c r="AA579" s="330"/>
      <c r="AB579" s="332"/>
      <c r="AC579" s="332"/>
      <c r="AD579" s="110"/>
      <c r="AE579" s="110"/>
      <c r="AF579" s="110"/>
      <c r="AG579" s="110"/>
      <c r="AH579" s="110"/>
      <c r="AI579" s="110"/>
    </row>
    <row r="580" spans="1:35" ht="13.5" customHeight="1">
      <c r="A580" s="4"/>
      <c r="B580" s="15"/>
      <c r="C580" s="262"/>
      <c r="D580" s="254">
        <f>SUMIF(GL!$D$5:$D$6505,B580,GL!$G$5:$G$6505)</f>
        <v>0</v>
      </c>
      <c r="E580" s="341">
        <f>SUMIF(GL!$D$6:$D$6487,B580,GL!$H$6:$H$6487)</f>
        <v>0</v>
      </c>
      <c r="F580" s="341">
        <f>SUMIF(GL!$D$6:$D$6487,B580,GL!$I$6:$I$6487)</f>
        <v>0</v>
      </c>
      <c r="G580" s="341"/>
      <c r="H580" s="341"/>
      <c r="I580" s="341">
        <f t="shared" si="365"/>
        <v>0</v>
      </c>
      <c r="J580" s="341">
        <f t="shared" si="366"/>
        <v>0</v>
      </c>
      <c r="K580" s="341"/>
      <c r="L580" s="342"/>
      <c r="M580" s="342"/>
      <c r="N580" s="341">
        <f t="shared" si="586"/>
        <v>0</v>
      </c>
      <c r="O580" s="341">
        <f t="shared" si="587"/>
        <v>0</v>
      </c>
      <c r="P580" s="341">
        <f>SUMIF(GL!$D$6488:$D$6532,B580,GL!$H$6488:$H$6532)</f>
        <v>0</v>
      </c>
      <c r="Q580" s="341">
        <f>SUMIF(GL!$D$6408:$D$6452,B580,GL!$I$6408:$I$6452)</f>
        <v>0</v>
      </c>
      <c r="R580" s="341">
        <f t="shared" ref="R580:S580" si="616">P580+N580</f>
        <v>0</v>
      </c>
      <c r="S580" s="341">
        <f t="shared" si="616"/>
        <v>0</v>
      </c>
      <c r="T580" s="340"/>
      <c r="U580" s="340"/>
      <c r="V580" s="340"/>
      <c r="W580" s="340"/>
      <c r="X580" s="341">
        <f t="shared" si="589"/>
        <v>0</v>
      </c>
      <c r="Y580" s="341">
        <f t="shared" si="590"/>
        <v>0</v>
      </c>
      <c r="Z580" s="364"/>
      <c r="AA580" s="330"/>
      <c r="AB580" s="332"/>
      <c r="AC580" s="332"/>
      <c r="AD580" s="110"/>
      <c r="AE580" s="110"/>
      <c r="AF580" s="110"/>
      <c r="AG580" s="110"/>
      <c r="AH580" s="110"/>
      <c r="AI580" s="110"/>
    </row>
    <row r="581" spans="1:35" ht="13.5" customHeight="1">
      <c r="A581" s="4"/>
      <c r="B581" s="15"/>
      <c r="C581" s="262"/>
      <c r="D581" s="254">
        <f>SUMIF(GL!$D$5:$D$6505,B581,GL!$G$5:$G$6505)</f>
        <v>0</v>
      </c>
      <c r="E581" s="341">
        <f>SUMIF(GL!$D$6:$D$6487,B581,GL!$H$6:$H$6487)</f>
        <v>0</v>
      </c>
      <c r="F581" s="341">
        <f>SUMIF(GL!$D$6:$D$6487,B581,GL!$I$6:$I$6487)</f>
        <v>0</v>
      </c>
      <c r="G581" s="341"/>
      <c r="H581" s="341"/>
      <c r="I581" s="341">
        <f t="shared" si="365"/>
        <v>0</v>
      </c>
      <c r="J581" s="341">
        <f t="shared" si="366"/>
        <v>0</v>
      </c>
      <c r="K581" s="341"/>
      <c r="L581" s="342"/>
      <c r="M581" s="342"/>
      <c r="N581" s="341">
        <f t="shared" si="586"/>
        <v>0</v>
      </c>
      <c r="O581" s="341">
        <f t="shared" si="587"/>
        <v>0</v>
      </c>
      <c r="P581" s="341">
        <f>SUMIF(GL!$D$6488:$D$6532,B581,GL!$H$6488:$H$6532)</f>
        <v>0</v>
      </c>
      <c r="Q581" s="341">
        <f>SUMIF(GL!$D$6408:$D$6452,B581,GL!$I$6408:$I$6452)</f>
        <v>0</v>
      </c>
      <c r="R581" s="341">
        <f t="shared" ref="R581:S581" si="617">P581+N581</f>
        <v>0</v>
      </c>
      <c r="S581" s="341">
        <f t="shared" si="617"/>
        <v>0</v>
      </c>
      <c r="T581" s="340"/>
      <c r="U581" s="340"/>
      <c r="V581" s="340"/>
      <c r="W581" s="340"/>
      <c r="X581" s="341">
        <f t="shared" si="589"/>
        <v>0</v>
      </c>
      <c r="Y581" s="341">
        <f t="shared" si="590"/>
        <v>0</v>
      </c>
      <c r="Z581" s="364"/>
      <c r="AA581" s="330"/>
      <c r="AB581" s="332"/>
      <c r="AC581" s="332"/>
      <c r="AD581" s="110"/>
      <c r="AE581" s="110"/>
      <c r="AF581" s="110"/>
      <c r="AG581" s="110"/>
      <c r="AH581" s="110"/>
      <c r="AI581" s="110"/>
    </row>
    <row r="582" spans="1:35" ht="13.5" customHeight="1">
      <c r="A582" s="4"/>
      <c r="B582" s="15"/>
      <c r="C582" s="261" t="s">
        <v>3839</v>
      </c>
      <c r="D582" s="254">
        <f>SUMIF(GL!$D$5:$D$6505,B582,GL!$G$5:$G$6505)</f>
        <v>0</v>
      </c>
      <c r="E582" s="341">
        <f>SUMIF(GL!$D$6:$D$6487,B582,GL!$H$6:$H$6487)</f>
        <v>0</v>
      </c>
      <c r="F582" s="341">
        <f>SUMIF(GL!$D$6:$D$6487,B582,GL!$I$6:$I$6487)</f>
        <v>0</v>
      </c>
      <c r="G582" s="341"/>
      <c r="H582" s="341"/>
      <c r="I582" s="341">
        <f t="shared" si="365"/>
        <v>0</v>
      </c>
      <c r="J582" s="341">
        <f t="shared" si="366"/>
        <v>0</v>
      </c>
      <c r="K582" s="341"/>
      <c r="L582" s="342"/>
      <c r="M582" s="342"/>
      <c r="N582" s="341">
        <f t="shared" si="586"/>
        <v>0</v>
      </c>
      <c r="O582" s="341">
        <f t="shared" si="587"/>
        <v>0</v>
      </c>
      <c r="P582" s="341">
        <f>SUMIF(GL!$D$6488:$D$6532,B582,GL!$H$6488:$H$6532)</f>
        <v>0</v>
      </c>
      <c r="Q582" s="341">
        <f>SUMIF(GL!$D$6408:$D$6452,B582,GL!$I$6408:$I$6452)</f>
        <v>0</v>
      </c>
      <c r="R582" s="341">
        <f t="shared" ref="R582:S582" si="618">P582+N582</f>
        <v>0</v>
      </c>
      <c r="S582" s="341">
        <f t="shared" si="618"/>
        <v>0</v>
      </c>
      <c r="T582" s="340"/>
      <c r="U582" s="340"/>
      <c r="V582" s="340"/>
      <c r="W582" s="340"/>
      <c r="X582" s="341">
        <f t="shared" si="589"/>
        <v>0</v>
      </c>
      <c r="Y582" s="341">
        <f t="shared" si="590"/>
        <v>0</v>
      </c>
      <c r="Z582" s="364"/>
      <c r="AA582" s="110"/>
      <c r="AB582" s="332"/>
      <c r="AC582" s="332"/>
      <c r="AD582" s="110"/>
      <c r="AE582" s="110"/>
      <c r="AF582" s="110"/>
      <c r="AG582" s="110"/>
      <c r="AH582" s="110"/>
      <c r="AI582" s="110"/>
    </row>
    <row r="583" spans="1:35" ht="13.5" customHeight="1">
      <c r="A583" s="4"/>
      <c r="B583" s="15" t="s">
        <v>3015</v>
      </c>
      <c r="C583" s="363" t="s">
        <v>4792</v>
      </c>
      <c r="D583" s="254">
        <f>SUMIF(GL!$D$5:$D$6505,B583,GL!$G$5:$G$6505)</f>
        <v>3</v>
      </c>
      <c r="E583" s="341">
        <f>SUMIF(GL!$D$6:$D$6487,B583,GL!$H$6:$H$6487)</f>
        <v>1185000</v>
      </c>
      <c r="F583" s="341">
        <f>SUMIF(GL!$D$6:$D$6487,B583,GL!$I$6:$I$6487)</f>
        <v>0</v>
      </c>
      <c r="G583" s="341"/>
      <c r="H583" s="341"/>
      <c r="I583" s="341">
        <f t="shared" si="365"/>
        <v>1185000</v>
      </c>
      <c r="J583" s="341">
        <f t="shared" si="366"/>
        <v>0</v>
      </c>
      <c r="K583" s="341"/>
      <c r="L583" s="342"/>
      <c r="M583" s="342"/>
      <c r="N583" s="341">
        <f t="shared" si="586"/>
        <v>1185000</v>
      </c>
      <c r="O583" s="341">
        <f t="shared" si="587"/>
        <v>0</v>
      </c>
      <c r="P583" s="341">
        <f>SUMIF(GL!$D$6488:$D$6532,B583,GL!$H$6488:$H$6532)</f>
        <v>0</v>
      </c>
      <c r="Q583" s="341">
        <f>SUMIF(GL!$D$6408:$D$6452,B583,GL!$I$6408:$I$6452)</f>
        <v>0</v>
      </c>
      <c r="R583" s="341">
        <f t="shared" ref="R583:S583" si="619">P583+N583</f>
        <v>1185000</v>
      </c>
      <c r="S583" s="341">
        <f t="shared" si="619"/>
        <v>0</v>
      </c>
      <c r="T583" s="340"/>
      <c r="U583" s="340"/>
      <c r="V583" s="340"/>
      <c r="W583" s="340"/>
      <c r="X583" s="341">
        <f t="shared" si="589"/>
        <v>1185000</v>
      </c>
      <c r="Y583" s="341">
        <f t="shared" si="590"/>
        <v>0</v>
      </c>
      <c r="Z583" s="364"/>
      <c r="AA583" s="330"/>
      <c r="AB583" s="332"/>
      <c r="AC583" s="332"/>
      <c r="AD583" s="110"/>
      <c r="AE583" s="110"/>
      <c r="AF583" s="110"/>
      <c r="AG583" s="110"/>
      <c r="AH583" s="110"/>
      <c r="AI583" s="110"/>
    </row>
    <row r="584" spans="1:35" ht="13.5" customHeight="1">
      <c r="A584" s="4"/>
      <c r="B584" s="15" t="s">
        <v>2561</v>
      </c>
      <c r="C584" s="363" t="s">
        <v>4793</v>
      </c>
      <c r="D584" s="254">
        <f>SUMIF(GL!$D$5:$D$6505,B584,GL!$G$5:$G$6505)</f>
        <v>40</v>
      </c>
      <c r="E584" s="341">
        <f>SUMIF(GL!$D$6:$D$6487,B584,GL!$H$6:$H$6487)</f>
        <v>13000000</v>
      </c>
      <c r="F584" s="341">
        <f>SUMIF(GL!$D$6:$D$6487,B584,GL!$I$6:$I$6487)</f>
        <v>0</v>
      </c>
      <c r="G584" s="341"/>
      <c r="H584" s="341"/>
      <c r="I584" s="341">
        <f t="shared" si="365"/>
        <v>13000000</v>
      </c>
      <c r="J584" s="341">
        <f t="shared" si="366"/>
        <v>0</v>
      </c>
      <c r="K584" s="341"/>
      <c r="L584" s="342"/>
      <c r="M584" s="342"/>
      <c r="N584" s="341">
        <f t="shared" si="586"/>
        <v>13000000</v>
      </c>
      <c r="O584" s="341">
        <f t="shared" si="587"/>
        <v>0</v>
      </c>
      <c r="P584" s="341">
        <f>SUMIF(GL!$D$6488:$D$6532,B584,GL!$H$6488:$H$6532)</f>
        <v>0</v>
      </c>
      <c r="Q584" s="341">
        <f>SUMIF(GL!$D$6408:$D$6452,B584,GL!$I$6408:$I$6452)</f>
        <v>0</v>
      </c>
      <c r="R584" s="341">
        <f t="shared" ref="R584:S584" si="620">P584+N584</f>
        <v>13000000</v>
      </c>
      <c r="S584" s="341">
        <f t="shared" si="620"/>
        <v>0</v>
      </c>
      <c r="T584" s="340"/>
      <c r="U584" s="340"/>
      <c r="V584" s="340"/>
      <c r="W584" s="340"/>
      <c r="X584" s="341">
        <f t="shared" si="589"/>
        <v>13000000</v>
      </c>
      <c r="Y584" s="341">
        <f t="shared" si="590"/>
        <v>0</v>
      </c>
      <c r="Z584" s="364"/>
      <c r="AA584" s="330"/>
      <c r="AB584" s="332"/>
      <c r="AC584" s="332"/>
      <c r="AD584" s="110"/>
      <c r="AE584" s="110"/>
      <c r="AF584" s="110"/>
      <c r="AG584" s="110"/>
      <c r="AH584" s="110"/>
      <c r="AI584" s="110"/>
    </row>
    <row r="585" spans="1:35" ht="13.5" customHeight="1">
      <c r="A585" s="4"/>
      <c r="B585" s="15" t="s">
        <v>4794</v>
      </c>
      <c r="C585" s="278" t="s">
        <v>4795</v>
      </c>
      <c r="D585" s="254">
        <f>SUMIF(GL!$D$5:$D$6505,B585,GL!$G$5:$G$6505)</f>
        <v>0</v>
      </c>
      <c r="E585" s="341">
        <f>SUMIF(GL!$D$6:$D$6487,B585,GL!$H$6:$H$6487)</f>
        <v>0</v>
      </c>
      <c r="F585" s="341">
        <f>SUMIF(GL!$D$6:$D$6487,B585,GL!$I$6:$I$6487)</f>
        <v>0</v>
      </c>
      <c r="G585" s="341"/>
      <c r="H585" s="341"/>
      <c r="I585" s="341">
        <f t="shared" si="365"/>
        <v>0</v>
      </c>
      <c r="J585" s="341">
        <f t="shared" si="366"/>
        <v>0</v>
      </c>
      <c r="K585" s="341"/>
      <c r="L585" s="342"/>
      <c r="M585" s="342"/>
      <c r="N585" s="341">
        <f t="shared" si="586"/>
        <v>0</v>
      </c>
      <c r="O585" s="341">
        <f t="shared" si="587"/>
        <v>0</v>
      </c>
      <c r="P585" s="341">
        <f>SUMIF(GL!$D$6488:$D$6532,B585,GL!$H$6488:$H$6532)</f>
        <v>0</v>
      </c>
      <c r="Q585" s="341">
        <f>SUMIF(GL!$D$6408:$D$6452,B585,GL!$I$6408:$I$6452)</f>
        <v>0</v>
      </c>
      <c r="R585" s="341">
        <f t="shared" ref="R585:S585" si="621">P585+N585</f>
        <v>0</v>
      </c>
      <c r="S585" s="341">
        <f t="shared" si="621"/>
        <v>0</v>
      </c>
      <c r="T585" s="340"/>
      <c r="U585" s="340"/>
      <c r="V585" s="340"/>
      <c r="W585" s="340"/>
      <c r="X585" s="341">
        <f t="shared" si="589"/>
        <v>0</v>
      </c>
      <c r="Y585" s="341">
        <f t="shared" si="590"/>
        <v>0</v>
      </c>
      <c r="Z585" s="364"/>
      <c r="AA585" s="330"/>
      <c r="AB585" s="332"/>
      <c r="AC585" s="332"/>
      <c r="AD585" s="110"/>
      <c r="AE585" s="110"/>
      <c r="AF585" s="110"/>
      <c r="AG585" s="110"/>
      <c r="AH585" s="110"/>
      <c r="AI585" s="110"/>
    </row>
    <row r="586" spans="1:35" ht="13.5" customHeight="1">
      <c r="A586" s="4"/>
      <c r="B586" s="15" t="s">
        <v>3011</v>
      </c>
      <c r="C586" s="363" t="s">
        <v>4796</v>
      </c>
      <c r="D586" s="254">
        <f>SUMIF(GL!$D$5:$D$6505,B586,GL!$G$5:$G$6505)</f>
        <v>2</v>
      </c>
      <c r="E586" s="341">
        <f>SUMIF(GL!$D$6:$D$6487,B586,GL!$H$6:$H$6487)</f>
        <v>770000</v>
      </c>
      <c r="F586" s="341">
        <f>SUMIF(GL!$D$6:$D$6487,B586,GL!$I$6:$I$6487)</f>
        <v>0</v>
      </c>
      <c r="G586" s="341"/>
      <c r="H586" s="341"/>
      <c r="I586" s="341">
        <f t="shared" si="365"/>
        <v>770000</v>
      </c>
      <c r="J586" s="341">
        <f t="shared" si="366"/>
        <v>0</v>
      </c>
      <c r="K586" s="341"/>
      <c r="L586" s="342"/>
      <c r="M586" s="342"/>
      <c r="N586" s="341">
        <f t="shared" si="586"/>
        <v>770000</v>
      </c>
      <c r="O586" s="341">
        <f t="shared" si="587"/>
        <v>0</v>
      </c>
      <c r="P586" s="341">
        <f>SUMIF(GL!$D$6488:$D$6532,B586,GL!$H$6488:$H$6532)</f>
        <v>0</v>
      </c>
      <c r="Q586" s="341">
        <f>SUMIF(GL!$D$6408:$D$6452,B586,GL!$I$6408:$I$6452)</f>
        <v>0</v>
      </c>
      <c r="R586" s="341">
        <f t="shared" ref="R586:S586" si="622">P586+N586</f>
        <v>770000</v>
      </c>
      <c r="S586" s="341">
        <f t="shared" si="622"/>
        <v>0</v>
      </c>
      <c r="T586" s="340"/>
      <c r="U586" s="340"/>
      <c r="V586" s="340"/>
      <c r="W586" s="340"/>
      <c r="X586" s="341">
        <f t="shared" si="589"/>
        <v>770000</v>
      </c>
      <c r="Y586" s="341">
        <f t="shared" si="590"/>
        <v>0</v>
      </c>
      <c r="Z586" s="364"/>
      <c r="AA586" s="330"/>
      <c r="AB586" s="332"/>
      <c r="AC586" s="332"/>
      <c r="AD586" s="110"/>
      <c r="AE586" s="110"/>
      <c r="AF586" s="110"/>
      <c r="AG586" s="110"/>
      <c r="AH586" s="110"/>
      <c r="AI586" s="110"/>
    </row>
    <row r="587" spans="1:35" ht="13.5" customHeight="1">
      <c r="A587" s="4"/>
      <c r="B587" s="15" t="s">
        <v>3013</v>
      </c>
      <c r="C587" s="363" t="s">
        <v>4797</v>
      </c>
      <c r="D587" s="254">
        <f>SUMIF(GL!$D$5:$D$6505,B587,GL!$G$5:$G$6505)</f>
        <v>3</v>
      </c>
      <c r="E587" s="341">
        <f>SUMIF(GL!$D$6:$D$6487,B587,GL!$H$6:$H$6487)</f>
        <v>1125000</v>
      </c>
      <c r="F587" s="341">
        <f>SUMIF(GL!$D$6:$D$6487,B587,GL!$I$6:$I$6487)</f>
        <v>0</v>
      </c>
      <c r="G587" s="341"/>
      <c r="H587" s="341"/>
      <c r="I587" s="341">
        <f t="shared" si="365"/>
        <v>1125000</v>
      </c>
      <c r="J587" s="341">
        <f t="shared" si="366"/>
        <v>0</v>
      </c>
      <c r="K587" s="341"/>
      <c r="L587" s="342"/>
      <c r="M587" s="342"/>
      <c r="N587" s="341">
        <f t="shared" si="586"/>
        <v>1125000</v>
      </c>
      <c r="O587" s="341">
        <f t="shared" si="587"/>
        <v>0</v>
      </c>
      <c r="P587" s="341">
        <f>SUMIF(GL!$D$6488:$D$6532,B587,GL!$H$6488:$H$6532)</f>
        <v>0</v>
      </c>
      <c r="Q587" s="341">
        <f>SUMIF(GL!$D$6408:$D$6452,B587,GL!$I$6408:$I$6452)</f>
        <v>0</v>
      </c>
      <c r="R587" s="341">
        <f t="shared" ref="R587:S587" si="623">P587+N587</f>
        <v>1125000</v>
      </c>
      <c r="S587" s="341">
        <f t="shared" si="623"/>
        <v>0</v>
      </c>
      <c r="T587" s="340"/>
      <c r="U587" s="340"/>
      <c r="V587" s="340"/>
      <c r="W587" s="340"/>
      <c r="X587" s="341">
        <f t="shared" si="589"/>
        <v>1125000</v>
      </c>
      <c r="Y587" s="341">
        <f t="shared" si="590"/>
        <v>0</v>
      </c>
      <c r="Z587" s="364"/>
      <c r="AA587" s="330"/>
      <c r="AB587" s="332"/>
      <c r="AC587" s="332"/>
      <c r="AD587" s="110"/>
      <c r="AE587" s="110"/>
      <c r="AF587" s="110"/>
      <c r="AG587" s="110"/>
      <c r="AH587" s="110"/>
      <c r="AI587" s="110"/>
    </row>
    <row r="588" spans="1:35" ht="13.5" customHeight="1">
      <c r="A588" s="4"/>
      <c r="B588" s="15" t="s">
        <v>4798</v>
      </c>
      <c r="C588" s="363" t="s">
        <v>4799</v>
      </c>
      <c r="D588" s="254">
        <f>SUMIF(GL!$D$5:$D$6505,B588,GL!$G$5:$G$6505)</f>
        <v>0</v>
      </c>
      <c r="E588" s="341">
        <f>SUMIF(GL!$D$6:$D$6487,B588,GL!$H$6:$H$6487)</f>
        <v>0</v>
      </c>
      <c r="F588" s="341">
        <f>SUMIF(GL!$D$6:$D$6487,B588,GL!$I$6:$I$6487)</f>
        <v>0</v>
      </c>
      <c r="G588" s="341"/>
      <c r="H588" s="341"/>
      <c r="I588" s="341">
        <f t="shared" si="365"/>
        <v>0</v>
      </c>
      <c r="J588" s="341">
        <f t="shared" si="366"/>
        <v>0</v>
      </c>
      <c r="K588" s="341"/>
      <c r="L588" s="342"/>
      <c r="M588" s="342"/>
      <c r="N588" s="341">
        <f t="shared" si="586"/>
        <v>0</v>
      </c>
      <c r="O588" s="341">
        <f t="shared" si="587"/>
        <v>0</v>
      </c>
      <c r="P588" s="341">
        <f>SUMIF(GL!$D$6488:$D$6532,B588,GL!$H$6488:$H$6532)</f>
        <v>0</v>
      </c>
      <c r="Q588" s="341">
        <f>SUMIF(GL!$D$6408:$D$6452,B588,GL!$I$6408:$I$6452)</f>
        <v>0</v>
      </c>
      <c r="R588" s="341">
        <f t="shared" ref="R588:S588" si="624">P588+N588</f>
        <v>0</v>
      </c>
      <c r="S588" s="341">
        <f t="shared" si="624"/>
        <v>0</v>
      </c>
      <c r="T588" s="340"/>
      <c r="U588" s="340"/>
      <c r="V588" s="340"/>
      <c r="W588" s="340"/>
      <c r="X588" s="341">
        <f t="shared" si="589"/>
        <v>0</v>
      </c>
      <c r="Y588" s="341">
        <f t="shared" si="590"/>
        <v>0</v>
      </c>
      <c r="Z588" s="364"/>
      <c r="AA588" s="330"/>
      <c r="AB588" s="332"/>
      <c r="AC588" s="332"/>
      <c r="AD588" s="110"/>
      <c r="AE588" s="110"/>
      <c r="AF588" s="110"/>
      <c r="AG588" s="110"/>
      <c r="AH588" s="110"/>
      <c r="AI588" s="110"/>
    </row>
    <row r="589" spans="1:35" ht="13.5" customHeight="1">
      <c r="A589" s="4"/>
      <c r="B589" s="15" t="s">
        <v>2850</v>
      </c>
      <c r="C589" s="363" t="s">
        <v>4800</v>
      </c>
      <c r="D589" s="254">
        <f>SUMIF(GL!$D$5:$D$6505,B589,GL!$G$5:$G$6505)</f>
        <v>2</v>
      </c>
      <c r="E589" s="341">
        <f>SUMIF(GL!$D$6:$D$6487,B589,GL!$H$6:$H$6487)</f>
        <v>983334</v>
      </c>
      <c r="F589" s="341">
        <f>SUMIF(GL!$D$6:$D$6487,B589,GL!$I$6:$I$6487)</f>
        <v>0</v>
      </c>
      <c r="G589" s="341"/>
      <c r="H589" s="341"/>
      <c r="I589" s="341">
        <f t="shared" si="365"/>
        <v>983334</v>
      </c>
      <c r="J589" s="341">
        <f t="shared" si="366"/>
        <v>0</v>
      </c>
      <c r="K589" s="341"/>
      <c r="L589" s="342"/>
      <c r="M589" s="342"/>
      <c r="N589" s="341">
        <f t="shared" si="586"/>
        <v>983334</v>
      </c>
      <c r="O589" s="341">
        <f t="shared" si="587"/>
        <v>0</v>
      </c>
      <c r="P589" s="341">
        <f>SUMIF(GL!$D$6488:$D$6532,B589,GL!$H$6488:$H$6532)</f>
        <v>0</v>
      </c>
      <c r="Q589" s="341">
        <f>SUMIF(GL!$D$6408:$D$6452,B589,GL!$I$6408:$I$6452)</f>
        <v>0</v>
      </c>
      <c r="R589" s="341">
        <f t="shared" ref="R589:S589" si="625">P589+N589</f>
        <v>983334</v>
      </c>
      <c r="S589" s="341">
        <f t="shared" si="625"/>
        <v>0</v>
      </c>
      <c r="T589" s="340"/>
      <c r="U589" s="340"/>
      <c r="V589" s="340"/>
      <c r="W589" s="340"/>
      <c r="X589" s="341">
        <f t="shared" si="589"/>
        <v>983334</v>
      </c>
      <c r="Y589" s="341">
        <f t="shared" si="590"/>
        <v>0</v>
      </c>
      <c r="Z589" s="364"/>
      <c r="AA589" s="330"/>
      <c r="AB589" s="332"/>
      <c r="AC589" s="332"/>
      <c r="AD589" s="110"/>
      <c r="AE589" s="110"/>
      <c r="AF589" s="110"/>
      <c r="AG589" s="110"/>
      <c r="AH589" s="110"/>
      <c r="AI589" s="110"/>
    </row>
    <row r="590" spans="1:35" ht="13.5" customHeight="1">
      <c r="A590" s="4"/>
      <c r="B590" s="15" t="s">
        <v>2848</v>
      </c>
      <c r="C590" s="373" t="s">
        <v>4801</v>
      </c>
      <c r="D590" s="254">
        <f>SUMIF(GL!$D$5:$D$6505,B590,GL!$G$5:$G$6505)</f>
        <v>3</v>
      </c>
      <c r="E590" s="341">
        <f>SUMIF(GL!$D$6:$D$6487,B590,GL!$H$6:$H$6487)</f>
        <v>1130001</v>
      </c>
      <c r="F590" s="341">
        <f>SUMIF(GL!$D$6:$D$6487,B590,GL!$I$6:$I$6487)</f>
        <v>0</v>
      </c>
      <c r="G590" s="341"/>
      <c r="H590" s="341"/>
      <c r="I590" s="341">
        <f t="shared" ref="I590:I672" si="626">IF(E590&gt;F590,E590-F590,0)</f>
        <v>1130001</v>
      </c>
      <c r="J590" s="341">
        <f t="shared" ref="J590:J672" si="627">IF(F590&gt;E590,F590-E590,0)</f>
        <v>0</v>
      </c>
      <c r="K590" s="341"/>
      <c r="L590" s="342"/>
      <c r="M590" s="342"/>
      <c r="N590" s="341">
        <f t="shared" si="586"/>
        <v>1130001</v>
      </c>
      <c r="O590" s="341">
        <f t="shared" si="587"/>
        <v>0</v>
      </c>
      <c r="P590" s="341">
        <f>SUMIF(GL!$D$6488:$D$6532,B590,GL!$H$6488:$H$6532)</f>
        <v>0</v>
      </c>
      <c r="Q590" s="341">
        <f>SUMIF(GL!$D$6408:$D$6452,B590,GL!$I$6408:$I$6452)</f>
        <v>0</v>
      </c>
      <c r="R590" s="341">
        <f t="shared" ref="R590:S590" si="628">P590+N590</f>
        <v>1130001</v>
      </c>
      <c r="S590" s="341">
        <f t="shared" si="628"/>
        <v>0</v>
      </c>
      <c r="T590" s="340"/>
      <c r="U590" s="340"/>
      <c r="V590" s="340"/>
      <c r="W590" s="340"/>
      <c r="X590" s="341">
        <f t="shared" si="589"/>
        <v>1130001</v>
      </c>
      <c r="Y590" s="341">
        <f t="shared" si="590"/>
        <v>0</v>
      </c>
      <c r="Z590" s="364"/>
      <c r="AA590" s="330"/>
      <c r="AB590" s="332"/>
      <c r="AC590" s="332"/>
      <c r="AD590" s="110"/>
      <c r="AE590" s="110"/>
      <c r="AF590" s="110"/>
      <c r="AG590" s="110"/>
      <c r="AH590" s="110"/>
      <c r="AI590" s="110"/>
    </row>
    <row r="591" spans="1:35" ht="13.5" customHeight="1">
      <c r="A591" s="4"/>
      <c r="B591" s="15" t="s">
        <v>4802</v>
      </c>
      <c r="C591" s="278" t="s">
        <v>4803</v>
      </c>
      <c r="D591" s="254">
        <f>SUMIF(GL!$D$5:$D$6505,B591,GL!$G$5:$G$6505)</f>
        <v>0</v>
      </c>
      <c r="E591" s="341">
        <f>SUMIF(GL!$D$6:$D$6487,B591,GL!$H$6:$H$6487)</f>
        <v>0</v>
      </c>
      <c r="F591" s="341">
        <f>SUMIF(GL!$D$6:$D$6487,B591,GL!$I$6:$I$6487)</f>
        <v>0</v>
      </c>
      <c r="G591" s="341"/>
      <c r="H591" s="341"/>
      <c r="I591" s="341">
        <f t="shared" si="626"/>
        <v>0</v>
      </c>
      <c r="J591" s="341">
        <f t="shared" si="627"/>
        <v>0</v>
      </c>
      <c r="K591" s="341"/>
      <c r="L591" s="342"/>
      <c r="M591" s="342"/>
      <c r="N591" s="341">
        <f t="shared" si="586"/>
        <v>0</v>
      </c>
      <c r="O591" s="341">
        <f t="shared" si="587"/>
        <v>0</v>
      </c>
      <c r="P591" s="341">
        <f>SUMIF(GL!$D$6488:$D$6532,B591,GL!$H$6488:$H$6532)</f>
        <v>0</v>
      </c>
      <c r="Q591" s="341">
        <f>SUMIF(GL!$D$6408:$D$6452,B591,GL!$I$6408:$I$6452)</f>
        <v>0</v>
      </c>
      <c r="R591" s="341">
        <f t="shared" ref="R591:S591" si="629">P591+N591</f>
        <v>0</v>
      </c>
      <c r="S591" s="341">
        <f t="shared" si="629"/>
        <v>0</v>
      </c>
      <c r="T591" s="340"/>
      <c r="U591" s="340"/>
      <c r="V591" s="340"/>
      <c r="W591" s="340"/>
      <c r="X591" s="341">
        <f t="shared" si="589"/>
        <v>0</v>
      </c>
      <c r="Y591" s="341">
        <f t="shared" si="590"/>
        <v>0</v>
      </c>
      <c r="Z591" s="364"/>
      <c r="AA591" s="330"/>
      <c r="AB591" s="332"/>
      <c r="AC591" s="332"/>
      <c r="AD591" s="110"/>
      <c r="AE591" s="110"/>
      <c r="AF591" s="110"/>
      <c r="AG591" s="110"/>
      <c r="AH591" s="110"/>
      <c r="AI591" s="110"/>
    </row>
    <row r="592" spans="1:35" ht="13.5" customHeight="1">
      <c r="A592" s="4"/>
      <c r="B592" s="15" t="s">
        <v>4804</v>
      </c>
      <c r="C592" s="363" t="s">
        <v>4805</v>
      </c>
      <c r="D592" s="254">
        <f>SUMIF(GL!$D$5:$D$6505,B592,GL!$G$5:$G$6505)</f>
        <v>0</v>
      </c>
      <c r="E592" s="341">
        <f>SUMIF(GL!$D$6:$D$6487,B592,GL!$H$6:$H$6487)</f>
        <v>0</v>
      </c>
      <c r="F592" s="341">
        <f>SUMIF(GL!$D$6:$D$6487,B592,GL!$I$6:$I$6487)</f>
        <v>0</v>
      </c>
      <c r="G592" s="341"/>
      <c r="H592" s="341"/>
      <c r="I592" s="341">
        <f t="shared" si="626"/>
        <v>0</v>
      </c>
      <c r="J592" s="341">
        <f t="shared" si="627"/>
        <v>0</v>
      </c>
      <c r="K592" s="341"/>
      <c r="L592" s="342"/>
      <c r="M592" s="342"/>
      <c r="N592" s="341">
        <f t="shared" si="586"/>
        <v>0</v>
      </c>
      <c r="O592" s="341">
        <f t="shared" si="587"/>
        <v>0</v>
      </c>
      <c r="P592" s="341">
        <f>SUMIF(GL!$D$6488:$D$6532,B592,GL!$H$6488:$H$6532)</f>
        <v>0</v>
      </c>
      <c r="Q592" s="341">
        <f>SUMIF(GL!$D$6408:$D$6452,B592,GL!$I$6408:$I$6452)</f>
        <v>0</v>
      </c>
      <c r="R592" s="341">
        <f t="shared" ref="R592:S592" si="630">P592+N592</f>
        <v>0</v>
      </c>
      <c r="S592" s="341">
        <f t="shared" si="630"/>
        <v>0</v>
      </c>
      <c r="T592" s="340"/>
      <c r="U592" s="340"/>
      <c r="V592" s="340"/>
      <c r="W592" s="340"/>
      <c r="X592" s="341">
        <f t="shared" si="589"/>
        <v>0</v>
      </c>
      <c r="Y592" s="341">
        <f t="shared" si="590"/>
        <v>0</v>
      </c>
      <c r="Z592" s="364"/>
      <c r="AA592" s="330"/>
      <c r="AB592" s="332"/>
      <c r="AC592" s="332"/>
      <c r="AD592" s="110"/>
      <c r="AE592" s="110"/>
      <c r="AF592" s="110"/>
      <c r="AG592" s="110"/>
      <c r="AH592" s="110"/>
      <c r="AI592" s="110"/>
    </row>
    <row r="593" spans="1:35" ht="13.5" customHeight="1">
      <c r="A593" s="4"/>
      <c r="B593" s="15" t="s">
        <v>4806</v>
      </c>
      <c r="C593" s="363" t="s">
        <v>4807</v>
      </c>
      <c r="D593" s="254">
        <f>SUMIF(GL!$D$5:$D$6505,B593,GL!$G$5:$G$6505)</f>
        <v>0</v>
      </c>
      <c r="E593" s="341">
        <f>SUMIF(GL!$D$6:$D$6487,B593,GL!$H$6:$H$6487)</f>
        <v>0</v>
      </c>
      <c r="F593" s="341">
        <f>SUMIF(GL!$D$6:$D$6487,B593,GL!$I$6:$I$6487)</f>
        <v>0</v>
      </c>
      <c r="G593" s="341"/>
      <c r="H593" s="341"/>
      <c r="I593" s="341">
        <f t="shared" si="626"/>
        <v>0</v>
      </c>
      <c r="J593" s="341">
        <f t="shared" si="627"/>
        <v>0</v>
      </c>
      <c r="K593" s="341"/>
      <c r="L593" s="342"/>
      <c r="M593" s="342"/>
      <c r="N593" s="341">
        <f t="shared" si="586"/>
        <v>0</v>
      </c>
      <c r="O593" s="341">
        <f t="shared" si="587"/>
        <v>0</v>
      </c>
      <c r="P593" s="341">
        <f>SUMIF(GL!$D$6488:$D$6532,B593,GL!$H$6488:$H$6532)</f>
        <v>0</v>
      </c>
      <c r="Q593" s="341">
        <f>SUMIF(GL!$D$6408:$D$6452,B593,GL!$I$6408:$I$6452)</f>
        <v>0</v>
      </c>
      <c r="R593" s="341">
        <f t="shared" ref="R593:S593" si="631">P593+N593</f>
        <v>0</v>
      </c>
      <c r="S593" s="341">
        <f t="shared" si="631"/>
        <v>0</v>
      </c>
      <c r="T593" s="340"/>
      <c r="U593" s="340"/>
      <c r="V593" s="340"/>
      <c r="W593" s="340"/>
      <c r="X593" s="341">
        <f t="shared" si="589"/>
        <v>0</v>
      </c>
      <c r="Y593" s="341">
        <f t="shared" si="590"/>
        <v>0</v>
      </c>
      <c r="Z593" s="364"/>
      <c r="AA593" s="330"/>
      <c r="AB593" s="332"/>
      <c r="AC593" s="332"/>
      <c r="AD593" s="110"/>
      <c r="AE593" s="110"/>
      <c r="AF593" s="110"/>
      <c r="AG593" s="110"/>
      <c r="AH593" s="110"/>
      <c r="AI593" s="110"/>
    </row>
    <row r="594" spans="1:35" ht="13.5" customHeight="1">
      <c r="A594" s="4"/>
      <c r="B594" s="15" t="s">
        <v>4808</v>
      </c>
      <c r="C594" s="363" t="s">
        <v>4809</v>
      </c>
      <c r="D594" s="254">
        <f>SUMIF(GL!$D$5:$D$6505,B594,GL!$G$5:$G$6505)</f>
        <v>0</v>
      </c>
      <c r="E594" s="341">
        <f>SUMIF(GL!$D$6:$D$6487,B594,GL!$H$6:$H$6487)</f>
        <v>0</v>
      </c>
      <c r="F594" s="341">
        <f>SUMIF(GL!$D$6:$D$6487,B594,GL!$I$6:$I$6487)</f>
        <v>0</v>
      </c>
      <c r="G594" s="341"/>
      <c r="H594" s="341"/>
      <c r="I594" s="341">
        <f t="shared" si="626"/>
        <v>0</v>
      </c>
      <c r="J594" s="341">
        <f t="shared" si="627"/>
        <v>0</v>
      </c>
      <c r="K594" s="341"/>
      <c r="L594" s="342"/>
      <c r="M594" s="342"/>
      <c r="N594" s="341">
        <f t="shared" si="586"/>
        <v>0</v>
      </c>
      <c r="O594" s="341">
        <f t="shared" si="587"/>
        <v>0</v>
      </c>
      <c r="P594" s="341">
        <f>SUMIF(GL!$D$6488:$D$6532,B594,GL!$H$6488:$H$6532)</f>
        <v>0</v>
      </c>
      <c r="Q594" s="341">
        <f>SUMIF(GL!$D$6408:$D$6452,B594,GL!$I$6408:$I$6452)</f>
        <v>0</v>
      </c>
      <c r="R594" s="341">
        <f t="shared" ref="R594:S594" si="632">P594+N594</f>
        <v>0</v>
      </c>
      <c r="S594" s="341">
        <f t="shared" si="632"/>
        <v>0</v>
      </c>
      <c r="T594" s="340"/>
      <c r="U594" s="340"/>
      <c r="V594" s="340"/>
      <c r="W594" s="340"/>
      <c r="X594" s="341">
        <f t="shared" si="589"/>
        <v>0</v>
      </c>
      <c r="Y594" s="341">
        <f t="shared" si="590"/>
        <v>0</v>
      </c>
      <c r="Z594" s="364"/>
      <c r="AA594" s="330"/>
      <c r="AB594" s="332"/>
      <c r="AC594" s="332"/>
      <c r="AD594" s="110"/>
      <c r="AE594" s="110"/>
      <c r="AF594" s="110"/>
      <c r="AG594" s="110"/>
      <c r="AH594" s="110"/>
      <c r="AI594" s="110"/>
    </row>
    <row r="595" spans="1:35" ht="13.5" customHeight="1">
      <c r="A595" s="4"/>
      <c r="B595" s="15" t="s">
        <v>4810</v>
      </c>
      <c r="C595" s="363" t="s">
        <v>4811</v>
      </c>
      <c r="D595" s="254">
        <f>SUMIF(GL!$D$5:$D$6505,B595,GL!$G$5:$G$6505)</f>
        <v>0</v>
      </c>
      <c r="E595" s="341">
        <f>SUMIF(GL!$D$6:$D$6487,B595,GL!$H$6:$H$6487)</f>
        <v>0</v>
      </c>
      <c r="F595" s="341">
        <f>SUMIF(GL!$D$6:$D$6487,B595,GL!$I$6:$I$6487)</f>
        <v>0</v>
      </c>
      <c r="G595" s="341"/>
      <c r="H595" s="341"/>
      <c r="I595" s="341">
        <f t="shared" si="626"/>
        <v>0</v>
      </c>
      <c r="J595" s="341">
        <f t="shared" si="627"/>
        <v>0</v>
      </c>
      <c r="K595" s="341"/>
      <c r="L595" s="342"/>
      <c r="M595" s="342"/>
      <c r="N595" s="341">
        <f t="shared" si="586"/>
        <v>0</v>
      </c>
      <c r="O595" s="341">
        <f t="shared" si="587"/>
        <v>0</v>
      </c>
      <c r="P595" s="341">
        <f>SUMIF(GL!$D$6488:$D$6532,B595,GL!$H$6488:$H$6532)</f>
        <v>0</v>
      </c>
      <c r="Q595" s="341">
        <f>SUMIF(GL!$D$6408:$D$6452,B595,GL!$I$6408:$I$6452)</f>
        <v>0</v>
      </c>
      <c r="R595" s="341">
        <f t="shared" ref="R595:S595" si="633">P595+N595</f>
        <v>0</v>
      </c>
      <c r="S595" s="341">
        <f t="shared" si="633"/>
        <v>0</v>
      </c>
      <c r="T595" s="340"/>
      <c r="U595" s="340"/>
      <c r="V595" s="340"/>
      <c r="W595" s="340"/>
      <c r="X595" s="341">
        <f t="shared" si="589"/>
        <v>0</v>
      </c>
      <c r="Y595" s="341">
        <f t="shared" si="590"/>
        <v>0</v>
      </c>
      <c r="Z595" s="246"/>
      <c r="AA595" s="330"/>
      <c r="AB595" s="332"/>
      <c r="AC595" s="332"/>
      <c r="AD595" s="110"/>
      <c r="AE595" s="110"/>
      <c r="AF595" s="110"/>
      <c r="AG595" s="110"/>
      <c r="AH595" s="110"/>
      <c r="AI595" s="110"/>
    </row>
    <row r="596" spans="1:35" ht="13.5" customHeight="1">
      <c r="A596" s="4"/>
      <c r="B596" s="15" t="s">
        <v>4812</v>
      </c>
      <c r="C596" s="363" t="s">
        <v>4813</v>
      </c>
      <c r="D596" s="254">
        <f>SUMIF(GL!$D$5:$D$6505,B596,GL!$G$5:$G$6505)</f>
        <v>0</v>
      </c>
      <c r="E596" s="341">
        <f>SUMIF(GL!$D$6:$D$6487,B596,GL!$H$6:$H$6487)</f>
        <v>0</v>
      </c>
      <c r="F596" s="341">
        <f>SUMIF(GL!$D$6:$D$6487,B596,GL!$I$6:$I$6487)</f>
        <v>0</v>
      </c>
      <c r="G596" s="341"/>
      <c r="H596" s="341"/>
      <c r="I596" s="341">
        <f t="shared" si="626"/>
        <v>0</v>
      </c>
      <c r="J596" s="341">
        <f t="shared" si="627"/>
        <v>0</v>
      </c>
      <c r="K596" s="341"/>
      <c r="L596" s="342"/>
      <c r="M596" s="342"/>
      <c r="N596" s="341">
        <f t="shared" si="586"/>
        <v>0</v>
      </c>
      <c r="O596" s="341">
        <f t="shared" si="587"/>
        <v>0</v>
      </c>
      <c r="P596" s="341">
        <f>SUMIF(GL!$D$6488:$D$6532,B596,GL!$H$6488:$H$6532)</f>
        <v>0</v>
      </c>
      <c r="Q596" s="341">
        <f>SUMIF(GL!$D$6408:$D$6452,B596,GL!$I$6408:$I$6452)</f>
        <v>0</v>
      </c>
      <c r="R596" s="341">
        <f t="shared" ref="R596:S596" si="634">P596+N596</f>
        <v>0</v>
      </c>
      <c r="S596" s="341">
        <f t="shared" si="634"/>
        <v>0</v>
      </c>
      <c r="T596" s="340"/>
      <c r="U596" s="340"/>
      <c r="V596" s="340"/>
      <c r="W596" s="340"/>
      <c r="X596" s="341">
        <f t="shared" si="589"/>
        <v>0</v>
      </c>
      <c r="Y596" s="341">
        <f t="shared" si="590"/>
        <v>0</v>
      </c>
      <c r="Z596" s="246"/>
      <c r="AA596" s="330"/>
      <c r="AB596" s="332"/>
      <c r="AC596" s="332"/>
      <c r="AD596" s="110"/>
      <c r="AE596" s="110"/>
      <c r="AF596" s="110"/>
      <c r="AG596" s="110"/>
      <c r="AH596" s="110"/>
      <c r="AI596" s="110"/>
    </row>
    <row r="597" spans="1:35" ht="13.5" customHeight="1">
      <c r="A597" s="4"/>
      <c r="B597" s="15" t="s">
        <v>4814</v>
      </c>
      <c r="C597" s="363" t="s">
        <v>4815</v>
      </c>
      <c r="D597" s="254">
        <f>SUMIF(GL!$D$5:$D$6505,B597,GL!$G$5:$G$6505)</f>
        <v>0</v>
      </c>
      <c r="E597" s="341">
        <f>SUMIF(GL!$D$6:$D$6487,B597,GL!$H$6:$H$6487)</f>
        <v>0</v>
      </c>
      <c r="F597" s="341">
        <f>SUMIF(GL!$D$6:$D$6487,B597,GL!$I$6:$I$6487)</f>
        <v>0</v>
      </c>
      <c r="G597" s="341"/>
      <c r="H597" s="341"/>
      <c r="I597" s="341">
        <f t="shared" si="626"/>
        <v>0</v>
      </c>
      <c r="J597" s="341">
        <f t="shared" si="627"/>
        <v>0</v>
      </c>
      <c r="K597" s="341"/>
      <c r="L597" s="342"/>
      <c r="M597" s="342"/>
      <c r="N597" s="341">
        <f t="shared" si="586"/>
        <v>0</v>
      </c>
      <c r="O597" s="341">
        <f t="shared" si="587"/>
        <v>0</v>
      </c>
      <c r="P597" s="341">
        <f>SUMIF(GL!$D$6488:$D$6532,B597,GL!$H$6488:$H$6532)</f>
        <v>0</v>
      </c>
      <c r="Q597" s="341">
        <f>SUMIF(GL!$D$6408:$D$6452,B597,GL!$I$6408:$I$6452)</f>
        <v>0</v>
      </c>
      <c r="R597" s="341">
        <f t="shared" ref="R597:S597" si="635">P597+N597</f>
        <v>0</v>
      </c>
      <c r="S597" s="341">
        <f t="shared" si="635"/>
        <v>0</v>
      </c>
      <c r="T597" s="340"/>
      <c r="U597" s="340"/>
      <c r="V597" s="340"/>
      <c r="W597" s="340"/>
      <c r="X597" s="341">
        <f t="shared" si="589"/>
        <v>0</v>
      </c>
      <c r="Y597" s="341">
        <f t="shared" si="590"/>
        <v>0</v>
      </c>
      <c r="Z597" s="364"/>
      <c r="AA597" s="330"/>
      <c r="AB597" s="332"/>
      <c r="AC597" s="332"/>
      <c r="AD597" s="110"/>
      <c r="AE597" s="110"/>
      <c r="AF597" s="110"/>
      <c r="AG597" s="110"/>
      <c r="AH597" s="110"/>
      <c r="AI597" s="110"/>
    </row>
    <row r="598" spans="1:35" ht="13.5" customHeight="1">
      <c r="A598" s="4"/>
      <c r="B598" s="15" t="s">
        <v>4816</v>
      </c>
      <c r="C598" s="363" t="s">
        <v>4817</v>
      </c>
      <c r="D598" s="254">
        <f>SUMIF(GL!$D$5:$D$6505,B598,GL!$G$5:$G$6505)</f>
        <v>0</v>
      </c>
      <c r="E598" s="341">
        <f>SUMIF(GL!$D$6:$D$6487,B598,GL!$H$6:$H$6487)</f>
        <v>0</v>
      </c>
      <c r="F598" s="341">
        <f>SUMIF(GL!$D$6:$D$6487,B598,GL!$I$6:$I$6487)</f>
        <v>0</v>
      </c>
      <c r="G598" s="341"/>
      <c r="H598" s="341"/>
      <c r="I598" s="341">
        <f t="shared" si="626"/>
        <v>0</v>
      </c>
      <c r="J598" s="341">
        <f t="shared" si="627"/>
        <v>0</v>
      </c>
      <c r="K598" s="341"/>
      <c r="L598" s="342"/>
      <c r="M598" s="342"/>
      <c r="N598" s="341">
        <f t="shared" si="586"/>
        <v>0</v>
      </c>
      <c r="O598" s="341">
        <f t="shared" si="587"/>
        <v>0</v>
      </c>
      <c r="P598" s="341">
        <f>SUMIF(GL!$D$6488:$D$6532,B598,GL!$H$6488:$H$6532)</f>
        <v>0</v>
      </c>
      <c r="Q598" s="341">
        <f>SUMIF(GL!$D$6408:$D$6452,B598,GL!$I$6408:$I$6452)</f>
        <v>0</v>
      </c>
      <c r="R598" s="341">
        <f t="shared" ref="R598:S598" si="636">P598+N598</f>
        <v>0</v>
      </c>
      <c r="S598" s="341">
        <f t="shared" si="636"/>
        <v>0</v>
      </c>
      <c r="T598" s="340"/>
      <c r="U598" s="340"/>
      <c r="V598" s="340"/>
      <c r="W598" s="340"/>
      <c r="X598" s="341">
        <f t="shared" si="589"/>
        <v>0</v>
      </c>
      <c r="Y598" s="341">
        <f t="shared" si="590"/>
        <v>0</v>
      </c>
      <c r="Z598" s="364"/>
      <c r="AA598" s="330"/>
      <c r="AB598" s="332"/>
      <c r="AC598" s="332"/>
      <c r="AD598" s="110"/>
      <c r="AE598" s="110"/>
      <c r="AF598" s="110"/>
      <c r="AG598" s="110"/>
      <c r="AH598" s="110"/>
      <c r="AI598" s="110"/>
    </row>
    <row r="599" spans="1:35" ht="13.5" customHeight="1">
      <c r="A599" s="4"/>
      <c r="B599" s="15" t="s">
        <v>4818</v>
      </c>
      <c r="C599" s="363" t="s">
        <v>4819</v>
      </c>
      <c r="D599" s="254">
        <f>SUMIF(GL!$D$5:$D$6505,B599,GL!$G$5:$G$6505)</f>
        <v>0</v>
      </c>
      <c r="E599" s="341">
        <f>SUMIF(GL!$D$6:$D$6487,B599,GL!$H$6:$H$6487)</f>
        <v>0</v>
      </c>
      <c r="F599" s="341">
        <f>SUMIF(GL!$D$6:$D$6487,B599,GL!$I$6:$I$6487)</f>
        <v>0</v>
      </c>
      <c r="G599" s="341"/>
      <c r="H599" s="341"/>
      <c r="I599" s="341">
        <f t="shared" si="626"/>
        <v>0</v>
      </c>
      <c r="J599" s="341">
        <f t="shared" si="627"/>
        <v>0</v>
      </c>
      <c r="K599" s="341"/>
      <c r="L599" s="342"/>
      <c r="M599" s="342"/>
      <c r="N599" s="341">
        <f t="shared" si="586"/>
        <v>0</v>
      </c>
      <c r="O599" s="341">
        <f t="shared" si="587"/>
        <v>0</v>
      </c>
      <c r="P599" s="341">
        <f>SUMIF(GL!$D$6488:$D$6532,B599,GL!$H$6488:$H$6532)</f>
        <v>0</v>
      </c>
      <c r="Q599" s="341">
        <f>SUMIF(GL!$D$6408:$D$6452,B599,GL!$I$6408:$I$6452)</f>
        <v>0</v>
      </c>
      <c r="R599" s="341">
        <f t="shared" ref="R599:S599" si="637">P599+N599</f>
        <v>0</v>
      </c>
      <c r="S599" s="341">
        <f t="shared" si="637"/>
        <v>0</v>
      </c>
      <c r="T599" s="340"/>
      <c r="U599" s="340"/>
      <c r="V599" s="340"/>
      <c r="W599" s="340"/>
      <c r="X599" s="341">
        <f t="shared" si="589"/>
        <v>0</v>
      </c>
      <c r="Y599" s="341">
        <f t="shared" si="590"/>
        <v>0</v>
      </c>
      <c r="Z599" s="364"/>
      <c r="AA599" s="330"/>
      <c r="AB599" s="332"/>
      <c r="AC599" s="332"/>
      <c r="AD599" s="110"/>
      <c r="AE599" s="110"/>
      <c r="AF599" s="110"/>
      <c r="AG599" s="110"/>
      <c r="AH599" s="110"/>
      <c r="AI599" s="110"/>
    </row>
    <row r="600" spans="1:35" ht="13.5" customHeight="1">
      <c r="A600" s="4"/>
      <c r="B600" s="15" t="s">
        <v>4820</v>
      </c>
      <c r="C600" s="363" t="s">
        <v>4821</v>
      </c>
      <c r="D600" s="254">
        <f>SUMIF(GL!$D$5:$D$6505,B600,GL!$G$5:$G$6505)</f>
        <v>0</v>
      </c>
      <c r="E600" s="341">
        <f>SUMIF(GL!$D$6:$D$6487,B600,GL!$H$6:$H$6487)</f>
        <v>0</v>
      </c>
      <c r="F600" s="341">
        <f>SUMIF(GL!$D$6:$D$6487,B600,GL!$I$6:$I$6487)</f>
        <v>0</v>
      </c>
      <c r="G600" s="341"/>
      <c r="H600" s="341"/>
      <c r="I600" s="341">
        <f t="shared" si="626"/>
        <v>0</v>
      </c>
      <c r="J600" s="341">
        <f t="shared" si="627"/>
        <v>0</v>
      </c>
      <c r="K600" s="341"/>
      <c r="L600" s="342"/>
      <c r="M600" s="342"/>
      <c r="N600" s="341">
        <f t="shared" si="586"/>
        <v>0</v>
      </c>
      <c r="O600" s="341">
        <f t="shared" si="587"/>
        <v>0</v>
      </c>
      <c r="P600" s="341">
        <f>SUMIF(GL!$D$6488:$D$6532,B600,GL!$H$6488:$H$6532)</f>
        <v>0</v>
      </c>
      <c r="Q600" s="341">
        <f>SUMIF(GL!$D$6408:$D$6452,B600,GL!$I$6408:$I$6452)</f>
        <v>0</v>
      </c>
      <c r="R600" s="341">
        <f t="shared" ref="R600:S600" si="638">P600+N600</f>
        <v>0</v>
      </c>
      <c r="S600" s="341">
        <f t="shared" si="638"/>
        <v>0</v>
      </c>
      <c r="T600" s="340"/>
      <c r="U600" s="340"/>
      <c r="V600" s="340"/>
      <c r="W600" s="340"/>
      <c r="X600" s="341">
        <f t="shared" si="589"/>
        <v>0</v>
      </c>
      <c r="Y600" s="341">
        <f t="shared" si="590"/>
        <v>0</v>
      </c>
      <c r="Z600" s="364"/>
      <c r="AA600" s="330"/>
      <c r="AB600" s="332"/>
      <c r="AC600" s="332"/>
      <c r="AD600" s="110"/>
      <c r="AE600" s="110"/>
      <c r="AF600" s="110"/>
      <c r="AG600" s="110"/>
      <c r="AH600" s="110"/>
      <c r="AI600" s="110"/>
    </row>
    <row r="601" spans="1:35" ht="13.5" customHeight="1">
      <c r="A601" s="4"/>
      <c r="B601" s="15" t="s">
        <v>2440</v>
      </c>
      <c r="C601" s="363" t="s">
        <v>4822</v>
      </c>
      <c r="D601" s="254">
        <f>SUMIF(GL!$D$5:$D$6505,B601,GL!$G$5:$G$6505)</f>
        <v>3</v>
      </c>
      <c r="E601" s="341">
        <f>SUMIF(GL!$D$6:$D$6487,B601,GL!$H$6:$H$6487)</f>
        <v>870000</v>
      </c>
      <c r="F601" s="341">
        <f>SUMIF(GL!$D$6:$D$6487,B601,GL!$I$6:$I$6487)</f>
        <v>0</v>
      </c>
      <c r="G601" s="341"/>
      <c r="H601" s="341"/>
      <c r="I601" s="341">
        <f t="shared" si="626"/>
        <v>870000</v>
      </c>
      <c r="J601" s="341">
        <f t="shared" si="627"/>
        <v>0</v>
      </c>
      <c r="K601" s="341"/>
      <c r="L601" s="342"/>
      <c r="M601" s="342"/>
      <c r="N601" s="341">
        <f t="shared" si="586"/>
        <v>870000</v>
      </c>
      <c r="O601" s="341">
        <f t="shared" si="587"/>
        <v>0</v>
      </c>
      <c r="P601" s="341">
        <f>SUMIF(GL!$D$6488:$D$6532,B601,GL!$H$6488:$H$6532)</f>
        <v>0</v>
      </c>
      <c r="Q601" s="341">
        <f>SUMIF(GL!$D$6408:$D$6452,B601,GL!$I$6408:$I$6452)</f>
        <v>0</v>
      </c>
      <c r="R601" s="341">
        <f t="shared" ref="R601:S601" si="639">P601+N601</f>
        <v>870000</v>
      </c>
      <c r="S601" s="341">
        <f t="shared" si="639"/>
        <v>0</v>
      </c>
      <c r="T601" s="340"/>
      <c r="U601" s="340"/>
      <c r="V601" s="340"/>
      <c r="W601" s="340"/>
      <c r="X601" s="341">
        <f t="shared" si="589"/>
        <v>870000</v>
      </c>
      <c r="Y601" s="341">
        <f t="shared" si="590"/>
        <v>0</v>
      </c>
      <c r="Z601" s="364"/>
      <c r="AA601" s="330"/>
      <c r="AB601" s="332"/>
      <c r="AC601" s="332"/>
      <c r="AD601" s="110"/>
      <c r="AE601" s="110"/>
      <c r="AF601" s="110"/>
      <c r="AG601" s="110"/>
      <c r="AH601" s="110"/>
      <c r="AI601" s="110"/>
    </row>
    <row r="602" spans="1:35" ht="13.5" customHeight="1">
      <c r="A602" s="4"/>
      <c r="B602" s="15" t="s">
        <v>4823</v>
      </c>
      <c r="C602" s="363" t="s">
        <v>4824</v>
      </c>
      <c r="D602" s="254">
        <f>SUMIF(GL!$D$5:$D$6505,B602,GL!$G$5:$G$6505)</f>
        <v>0</v>
      </c>
      <c r="E602" s="341">
        <f>SUMIF(GL!$D$6:$D$6487,B602,GL!$H$6:$H$6487)</f>
        <v>0</v>
      </c>
      <c r="F602" s="341">
        <f>SUMIF(GL!$D$6:$D$6487,B602,GL!$I$6:$I$6487)</f>
        <v>0</v>
      </c>
      <c r="G602" s="341"/>
      <c r="H602" s="341"/>
      <c r="I602" s="341">
        <f t="shared" si="626"/>
        <v>0</v>
      </c>
      <c r="J602" s="341">
        <f t="shared" si="627"/>
        <v>0</v>
      </c>
      <c r="K602" s="341"/>
      <c r="L602" s="342"/>
      <c r="M602" s="342"/>
      <c r="N602" s="341">
        <f t="shared" si="586"/>
        <v>0</v>
      </c>
      <c r="O602" s="341">
        <f t="shared" si="587"/>
        <v>0</v>
      </c>
      <c r="P602" s="341">
        <f>SUMIF(GL!$D$6488:$D$6532,B602,GL!$H$6488:$H$6532)</f>
        <v>0</v>
      </c>
      <c r="Q602" s="341">
        <f>SUMIF(GL!$D$6408:$D$6452,B602,GL!$I$6408:$I$6452)</f>
        <v>0</v>
      </c>
      <c r="R602" s="341">
        <f t="shared" ref="R602:S602" si="640">P602+N602</f>
        <v>0</v>
      </c>
      <c r="S602" s="341">
        <f t="shared" si="640"/>
        <v>0</v>
      </c>
      <c r="T602" s="340"/>
      <c r="U602" s="340"/>
      <c r="V602" s="340"/>
      <c r="W602" s="340"/>
      <c r="X602" s="341">
        <f t="shared" si="589"/>
        <v>0</v>
      </c>
      <c r="Y602" s="341">
        <f t="shared" si="590"/>
        <v>0</v>
      </c>
      <c r="Z602" s="364"/>
      <c r="AA602" s="330"/>
      <c r="AB602" s="332"/>
      <c r="AC602" s="332"/>
      <c r="AD602" s="110"/>
      <c r="AE602" s="110"/>
      <c r="AF602" s="110"/>
      <c r="AG602" s="110"/>
      <c r="AH602" s="110"/>
      <c r="AI602" s="110"/>
    </row>
    <row r="603" spans="1:35" ht="13.5" customHeight="1">
      <c r="A603" s="4"/>
      <c r="B603" s="15" t="s">
        <v>2442</v>
      </c>
      <c r="C603" s="363" t="s">
        <v>4825</v>
      </c>
      <c r="D603" s="254">
        <f>SUMIF(GL!$D$5:$D$6505,B603,GL!$G$5:$G$6505)</f>
        <v>6</v>
      </c>
      <c r="E603" s="341">
        <f>SUMIF(GL!$D$6:$D$6487,B603,GL!$H$6:$H$6487)</f>
        <v>1320000</v>
      </c>
      <c r="F603" s="341">
        <f>SUMIF(GL!$D$6:$D$6487,B603,GL!$I$6:$I$6487)</f>
        <v>0</v>
      </c>
      <c r="G603" s="341"/>
      <c r="H603" s="341"/>
      <c r="I603" s="341">
        <f t="shared" si="626"/>
        <v>1320000</v>
      </c>
      <c r="J603" s="341">
        <f t="shared" si="627"/>
        <v>0</v>
      </c>
      <c r="K603" s="341"/>
      <c r="L603" s="342"/>
      <c r="M603" s="342"/>
      <c r="N603" s="341">
        <f t="shared" si="586"/>
        <v>1320000</v>
      </c>
      <c r="O603" s="341">
        <f t="shared" si="587"/>
        <v>0</v>
      </c>
      <c r="P603" s="341">
        <f>SUMIF(GL!$D$6488:$D$6532,B603,GL!$H$6488:$H$6532)</f>
        <v>0</v>
      </c>
      <c r="Q603" s="341">
        <f>SUMIF(GL!$D$6408:$D$6452,B603,GL!$I$6408:$I$6452)</f>
        <v>0</v>
      </c>
      <c r="R603" s="341">
        <f t="shared" ref="R603:S603" si="641">P603+N603</f>
        <v>1320000</v>
      </c>
      <c r="S603" s="341">
        <f t="shared" si="641"/>
        <v>0</v>
      </c>
      <c r="T603" s="340"/>
      <c r="U603" s="340"/>
      <c r="V603" s="340"/>
      <c r="W603" s="340"/>
      <c r="X603" s="341">
        <f t="shared" si="589"/>
        <v>1320000</v>
      </c>
      <c r="Y603" s="341">
        <f t="shared" si="590"/>
        <v>0</v>
      </c>
      <c r="Z603" s="364"/>
      <c r="AA603" s="330"/>
      <c r="AB603" s="332"/>
      <c r="AC603" s="332"/>
      <c r="AD603" s="110"/>
      <c r="AE603" s="110"/>
      <c r="AF603" s="110"/>
      <c r="AG603" s="110"/>
      <c r="AH603" s="110"/>
      <c r="AI603" s="110"/>
    </row>
    <row r="604" spans="1:35" ht="13.5" customHeight="1">
      <c r="A604" s="4"/>
      <c r="B604" s="15" t="s">
        <v>2438</v>
      </c>
      <c r="C604" s="363" t="s">
        <v>4826</v>
      </c>
      <c r="D604" s="254">
        <f>SUMIF(GL!$D$5:$D$6505,B604,GL!$G$5:$G$6505)</f>
        <v>3</v>
      </c>
      <c r="E604" s="341">
        <f>SUMIF(GL!$D$6:$D$6487,B604,GL!$H$6:$H$6487)</f>
        <v>660000</v>
      </c>
      <c r="F604" s="341">
        <f>SUMIF(GL!$D$6:$D$6487,B604,GL!$I$6:$I$6487)</f>
        <v>0</v>
      </c>
      <c r="G604" s="341"/>
      <c r="H604" s="341"/>
      <c r="I604" s="341">
        <f t="shared" si="626"/>
        <v>660000</v>
      </c>
      <c r="J604" s="341">
        <f t="shared" si="627"/>
        <v>0</v>
      </c>
      <c r="K604" s="341"/>
      <c r="L604" s="342"/>
      <c r="M604" s="342"/>
      <c r="N604" s="341">
        <f t="shared" si="586"/>
        <v>660000</v>
      </c>
      <c r="O604" s="341">
        <f t="shared" si="587"/>
        <v>0</v>
      </c>
      <c r="P604" s="341">
        <f>SUMIF(GL!$D$6488:$D$6532,B604,GL!$H$6488:$H$6532)</f>
        <v>0</v>
      </c>
      <c r="Q604" s="341">
        <f>SUMIF(GL!$D$6408:$D$6452,B604,GL!$I$6408:$I$6452)</f>
        <v>0</v>
      </c>
      <c r="R604" s="341">
        <f t="shared" ref="R604:S604" si="642">P604+N604</f>
        <v>660000</v>
      </c>
      <c r="S604" s="341">
        <f t="shared" si="642"/>
        <v>0</v>
      </c>
      <c r="T604" s="340"/>
      <c r="U604" s="340"/>
      <c r="V604" s="340"/>
      <c r="W604" s="340"/>
      <c r="X604" s="341">
        <f t="shared" si="589"/>
        <v>660000</v>
      </c>
      <c r="Y604" s="341">
        <f t="shared" si="590"/>
        <v>0</v>
      </c>
      <c r="Z604" s="364"/>
      <c r="AA604" s="330"/>
      <c r="AB604" s="332"/>
      <c r="AC604" s="332"/>
      <c r="AD604" s="110"/>
      <c r="AE604" s="110"/>
      <c r="AF604" s="110"/>
      <c r="AG604" s="110"/>
      <c r="AH604" s="110"/>
      <c r="AI604" s="110"/>
    </row>
    <row r="605" spans="1:35" ht="13.5" customHeight="1">
      <c r="A605" s="4"/>
      <c r="B605" s="15" t="s">
        <v>4827</v>
      </c>
      <c r="C605" s="363" t="s">
        <v>4828</v>
      </c>
      <c r="D605" s="254">
        <f>SUMIF(GL!$D$5:$D$6505,B605,GL!$G$5:$G$6505)</f>
        <v>0</v>
      </c>
      <c r="E605" s="341">
        <f>SUMIF(GL!$D$6:$D$6487,B605,GL!$H$6:$H$6487)</f>
        <v>0</v>
      </c>
      <c r="F605" s="341">
        <f>SUMIF(GL!$D$6:$D$6487,B605,GL!$I$6:$I$6487)</f>
        <v>0</v>
      </c>
      <c r="G605" s="341"/>
      <c r="H605" s="341"/>
      <c r="I605" s="341">
        <f t="shared" si="626"/>
        <v>0</v>
      </c>
      <c r="J605" s="341">
        <f t="shared" si="627"/>
        <v>0</v>
      </c>
      <c r="K605" s="341"/>
      <c r="L605" s="342"/>
      <c r="M605" s="342"/>
      <c r="N605" s="341">
        <f t="shared" si="586"/>
        <v>0</v>
      </c>
      <c r="O605" s="341">
        <f t="shared" si="587"/>
        <v>0</v>
      </c>
      <c r="P605" s="341">
        <f>SUMIF(GL!$D$6488:$D$6532,B605,GL!$H$6488:$H$6532)</f>
        <v>0</v>
      </c>
      <c r="Q605" s="341">
        <f>SUMIF(GL!$D$6408:$D$6452,B605,GL!$I$6408:$I$6452)</f>
        <v>0</v>
      </c>
      <c r="R605" s="341">
        <f t="shared" ref="R605:S605" si="643">P605+N605</f>
        <v>0</v>
      </c>
      <c r="S605" s="341">
        <f t="shared" si="643"/>
        <v>0</v>
      </c>
      <c r="T605" s="340"/>
      <c r="U605" s="340"/>
      <c r="V605" s="340"/>
      <c r="W605" s="340"/>
      <c r="X605" s="341">
        <f t="shared" si="589"/>
        <v>0</v>
      </c>
      <c r="Y605" s="341">
        <f t="shared" si="590"/>
        <v>0</v>
      </c>
      <c r="Z605" s="364"/>
      <c r="AA605" s="330"/>
      <c r="AB605" s="332"/>
      <c r="AC605" s="332"/>
      <c r="AD605" s="110"/>
      <c r="AE605" s="110"/>
      <c r="AF605" s="110"/>
      <c r="AG605" s="110"/>
      <c r="AH605" s="110"/>
      <c r="AI605" s="110"/>
    </row>
    <row r="606" spans="1:35" ht="13.5" customHeight="1">
      <c r="A606" s="4"/>
      <c r="B606" s="15" t="s">
        <v>4829</v>
      </c>
      <c r="C606" s="363" t="s">
        <v>4830</v>
      </c>
      <c r="D606" s="254">
        <f>SUMIF(GL!$D$5:$D$6505,B606,GL!$G$5:$G$6505)</f>
        <v>0</v>
      </c>
      <c r="E606" s="341">
        <f>SUMIF(GL!$D$6:$D$6487,B606,GL!$H$6:$H$6487)</f>
        <v>0</v>
      </c>
      <c r="F606" s="341">
        <f>SUMIF(GL!$D$6:$D$6487,B606,GL!$I$6:$I$6487)</f>
        <v>0</v>
      </c>
      <c r="G606" s="341"/>
      <c r="H606" s="341"/>
      <c r="I606" s="341">
        <f t="shared" si="626"/>
        <v>0</v>
      </c>
      <c r="J606" s="341">
        <f t="shared" si="627"/>
        <v>0</v>
      </c>
      <c r="K606" s="341"/>
      <c r="L606" s="342"/>
      <c r="M606" s="342"/>
      <c r="N606" s="341">
        <f t="shared" si="586"/>
        <v>0</v>
      </c>
      <c r="O606" s="341">
        <f t="shared" si="587"/>
        <v>0</v>
      </c>
      <c r="P606" s="341">
        <f>SUMIF(GL!$D$6488:$D$6532,B606,GL!$H$6488:$H$6532)</f>
        <v>0</v>
      </c>
      <c r="Q606" s="341">
        <f>SUMIF(GL!$D$6408:$D$6452,B606,GL!$I$6408:$I$6452)</f>
        <v>0</v>
      </c>
      <c r="R606" s="341">
        <f t="shared" ref="R606:S606" si="644">P606+N606</f>
        <v>0</v>
      </c>
      <c r="S606" s="341">
        <f t="shared" si="644"/>
        <v>0</v>
      </c>
      <c r="T606" s="340"/>
      <c r="U606" s="340"/>
      <c r="V606" s="340"/>
      <c r="W606" s="340"/>
      <c r="X606" s="341">
        <f t="shared" si="589"/>
        <v>0</v>
      </c>
      <c r="Y606" s="341">
        <f t="shared" si="590"/>
        <v>0</v>
      </c>
      <c r="Z606" s="364"/>
      <c r="AA606" s="330"/>
      <c r="AB606" s="332"/>
      <c r="AC606" s="332"/>
      <c r="AD606" s="110"/>
      <c r="AE606" s="110"/>
      <c r="AF606" s="110"/>
      <c r="AG606" s="110"/>
      <c r="AH606" s="110"/>
      <c r="AI606" s="110"/>
    </row>
    <row r="607" spans="1:35" ht="13.5" customHeight="1">
      <c r="A607" s="4"/>
      <c r="B607" s="15" t="s">
        <v>4831</v>
      </c>
      <c r="C607" s="363" t="s">
        <v>4832</v>
      </c>
      <c r="D607" s="254">
        <f>SUMIF(GL!$D$5:$D$6505,B607,GL!$G$5:$G$6505)</f>
        <v>0</v>
      </c>
      <c r="E607" s="341">
        <f>SUMIF(GL!$D$6:$D$6487,B607,GL!$H$6:$H$6487)</f>
        <v>0</v>
      </c>
      <c r="F607" s="341">
        <f>SUMIF(GL!$D$6:$D$6487,B607,GL!$I$6:$I$6487)</f>
        <v>0</v>
      </c>
      <c r="G607" s="341"/>
      <c r="H607" s="341"/>
      <c r="I607" s="341">
        <f t="shared" si="626"/>
        <v>0</v>
      </c>
      <c r="J607" s="341">
        <f t="shared" si="627"/>
        <v>0</v>
      </c>
      <c r="K607" s="341"/>
      <c r="L607" s="342"/>
      <c r="M607" s="342"/>
      <c r="N607" s="341">
        <f t="shared" si="586"/>
        <v>0</v>
      </c>
      <c r="O607" s="341">
        <f t="shared" si="587"/>
        <v>0</v>
      </c>
      <c r="P607" s="341">
        <f>SUMIF(GL!$D$6488:$D$6532,B607,GL!$H$6488:$H$6532)</f>
        <v>0</v>
      </c>
      <c r="Q607" s="341">
        <f>SUMIF(GL!$D$6408:$D$6452,B607,GL!$I$6408:$I$6452)</f>
        <v>0</v>
      </c>
      <c r="R607" s="341">
        <f t="shared" ref="R607:S607" si="645">P607+N607</f>
        <v>0</v>
      </c>
      <c r="S607" s="341">
        <f t="shared" si="645"/>
        <v>0</v>
      </c>
      <c r="T607" s="340"/>
      <c r="U607" s="340"/>
      <c r="V607" s="340"/>
      <c r="W607" s="340"/>
      <c r="X607" s="341">
        <f t="shared" si="589"/>
        <v>0</v>
      </c>
      <c r="Y607" s="341">
        <f t="shared" si="590"/>
        <v>0</v>
      </c>
      <c r="Z607" s="364"/>
      <c r="AA607" s="330"/>
      <c r="AB607" s="332"/>
      <c r="AC607" s="332"/>
      <c r="AD607" s="110"/>
      <c r="AE607" s="110"/>
      <c r="AF607" s="110"/>
      <c r="AG607" s="110"/>
      <c r="AH607" s="110"/>
      <c r="AI607" s="110"/>
    </row>
    <row r="608" spans="1:35" ht="13.5" customHeight="1">
      <c r="A608" s="4"/>
      <c r="B608" s="15" t="s">
        <v>4833</v>
      </c>
      <c r="C608" s="363" t="s">
        <v>4834</v>
      </c>
      <c r="D608" s="254">
        <f>SUMIF(GL!$D$5:$D$6505,B608,GL!$G$5:$G$6505)</f>
        <v>0</v>
      </c>
      <c r="E608" s="341">
        <f>SUMIF(GL!$D$6:$D$6487,B608,GL!$H$6:$H$6487)</f>
        <v>0</v>
      </c>
      <c r="F608" s="341">
        <f>SUMIF(GL!$D$6:$D$6487,B608,GL!$I$6:$I$6487)</f>
        <v>0</v>
      </c>
      <c r="G608" s="341"/>
      <c r="H608" s="341"/>
      <c r="I608" s="341">
        <f t="shared" si="626"/>
        <v>0</v>
      </c>
      <c r="J608" s="341">
        <f t="shared" si="627"/>
        <v>0</v>
      </c>
      <c r="K608" s="341"/>
      <c r="L608" s="342"/>
      <c r="M608" s="342"/>
      <c r="N608" s="341">
        <f t="shared" si="586"/>
        <v>0</v>
      </c>
      <c r="O608" s="341">
        <f t="shared" si="587"/>
        <v>0</v>
      </c>
      <c r="P608" s="341">
        <f>SUMIF(GL!$D$6488:$D$6532,B608,GL!$H$6488:$H$6532)</f>
        <v>0</v>
      </c>
      <c r="Q608" s="341">
        <f>SUMIF(GL!$D$6408:$D$6452,B608,GL!$I$6408:$I$6452)</f>
        <v>0</v>
      </c>
      <c r="R608" s="341">
        <f t="shared" ref="R608:S608" si="646">P608+N608</f>
        <v>0</v>
      </c>
      <c r="S608" s="341">
        <f t="shared" si="646"/>
        <v>0</v>
      </c>
      <c r="T608" s="340"/>
      <c r="U608" s="340"/>
      <c r="V608" s="340"/>
      <c r="W608" s="340"/>
      <c r="X608" s="341">
        <f t="shared" si="589"/>
        <v>0</v>
      </c>
      <c r="Y608" s="341">
        <f t="shared" si="590"/>
        <v>0</v>
      </c>
      <c r="Z608" s="364"/>
      <c r="AA608" s="330"/>
      <c r="AB608" s="332"/>
      <c r="AC608" s="332"/>
      <c r="AD608" s="110"/>
      <c r="AE608" s="110"/>
      <c r="AF608" s="110"/>
      <c r="AG608" s="110"/>
      <c r="AH608" s="110"/>
      <c r="AI608" s="110"/>
    </row>
    <row r="609" spans="1:35" ht="13.5" customHeight="1">
      <c r="A609" s="4"/>
      <c r="B609" s="15" t="s">
        <v>4835</v>
      </c>
      <c r="C609" s="363" t="s">
        <v>4836</v>
      </c>
      <c r="D609" s="254">
        <f>SUMIF(GL!$D$5:$D$6505,B609,GL!$G$5:$G$6505)</f>
        <v>0</v>
      </c>
      <c r="E609" s="341">
        <f>SUMIF(GL!$D$6:$D$6487,B609,GL!$H$6:$H$6487)</f>
        <v>0</v>
      </c>
      <c r="F609" s="341">
        <f>SUMIF(GL!$D$6:$D$6487,B609,GL!$I$6:$I$6487)</f>
        <v>0</v>
      </c>
      <c r="G609" s="341"/>
      <c r="H609" s="341"/>
      <c r="I609" s="341">
        <f t="shared" si="626"/>
        <v>0</v>
      </c>
      <c r="J609" s="341">
        <f t="shared" si="627"/>
        <v>0</v>
      </c>
      <c r="K609" s="341"/>
      <c r="L609" s="342"/>
      <c r="M609" s="342"/>
      <c r="N609" s="341">
        <f t="shared" si="586"/>
        <v>0</v>
      </c>
      <c r="O609" s="341">
        <f t="shared" si="587"/>
        <v>0</v>
      </c>
      <c r="P609" s="341">
        <f>SUMIF(GL!$D$6488:$D$6532,B609,GL!$H$6488:$H$6532)</f>
        <v>0</v>
      </c>
      <c r="Q609" s="341">
        <f>SUMIF(GL!$D$6408:$D$6452,B609,GL!$I$6408:$I$6452)</f>
        <v>0</v>
      </c>
      <c r="R609" s="341">
        <f t="shared" ref="R609:S609" si="647">P609+N609</f>
        <v>0</v>
      </c>
      <c r="S609" s="341">
        <f t="shared" si="647"/>
        <v>0</v>
      </c>
      <c r="T609" s="340"/>
      <c r="U609" s="340"/>
      <c r="V609" s="340"/>
      <c r="W609" s="340"/>
      <c r="X609" s="341">
        <f t="shared" si="589"/>
        <v>0</v>
      </c>
      <c r="Y609" s="341">
        <f t="shared" si="590"/>
        <v>0</v>
      </c>
      <c r="Z609" s="364"/>
      <c r="AA609" s="330"/>
      <c r="AB609" s="332"/>
      <c r="AC609" s="332"/>
      <c r="AD609" s="110"/>
      <c r="AE609" s="110"/>
      <c r="AF609" s="110"/>
      <c r="AG609" s="110"/>
      <c r="AH609" s="110"/>
      <c r="AI609" s="110"/>
    </row>
    <row r="610" spans="1:35" ht="13.5" customHeight="1">
      <c r="A610" s="4"/>
      <c r="B610" s="15" t="s">
        <v>4837</v>
      </c>
      <c r="C610" s="366" t="s">
        <v>4838</v>
      </c>
      <c r="D610" s="254">
        <f>SUMIF(GL!$D$5:$D$6505,B610,GL!$G$5:$G$6505)</f>
        <v>0</v>
      </c>
      <c r="E610" s="341">
        <f>SUMIF(GL!$D$6:$D$6487,B610,GL!$H$6:$H$6487)</f>
        <v>0</v>
      </c>
      <c r="F610" s="341">
        <f>SUMIF(GL!$D$6:$D$6487,B610,GL!$I$6:$I$6487)</f>
        <v>0</v>
      </c>
      <c r="G610" s="341"/>
      <c r="H610" s="341"/>
      <c r="I610" s="341">
        <f t="shared" si="626"/>
        <v>0</v>
      </c>
      <c r="J610" s="341">
        <f t="shared" si="627"/>
        <v>0</v>
      </c>
      <c r="K610" s="341"/>
      <c r="L610" s="342"/>
      <c r="M610" s="342"/>
      <c r="N610" s="341">
        <f t="shared" si="586"/>
        <v>0</v>
      </c>
      <c r="O610" s="341">
        <f t="shared" si="587"/>
        <v>0</v>
      </c>
      <c r="P610" s="341">
        <f>SUMIF(GL!$D$6488:$D$6532,B610,GL!$H$6488:$H$6532)</f>
        <v>0</v>
      </c>
      <c r="Q610" s="341">
        <f>SUMIF(GL!$D$6408:$D$6452,B610,GL!$I$6408:$I$6452)</f>
        <v>0</v>
      </c>
      <c r="R610" s="341">
        <f t="shared" ref="R610:S610" si="648">P610+N610</f>
        <v>0</v>
      </c>
      <c r="S610" s="341">
        <f t="shared" si="648"/>
        <v>0</v>
      </c>
      <c r="T610" s="340"/>
      <c r="U610" s="340"/>
      <c r="V610" s="340"/>
      <c r="W610" s="340"/>
      <c r="X610" s="341">
        <f t="shared" si="589"/>
        <v>0</v>
      </c>
      <c r="Y610" s="341">
        <f t="shared" si="590"/>
        <v>0</v>
      </c>
      <c r="Z610" s="364"/>
      <c r="AA610" s="330"/>
      <c r="AB610" s="332"/>
      <c r="AC610" s="332"/>
      <c r="AD610" s="110"/>
      <c r="AE610" s="110"/>
      <c r="AF610" s="110"/>
      <c r="AG610" s="110"/>
      <c r="AH610" s="110"/>
      <c r="AI610" s="110"/>
    </row>
    <row r="611" spans="1:35" ht="13.5" customHeight="1">
      <c r="A611" s="4"/>
      <c r="B611" s="146" t="s">
        <v>4839</v>
      </c>
      <c r="C611" s="366" t="s">
        <v>4840</v>
      </c>
      <c r="D611" s="254">
        <f>SUMIF(GL!$D$5:$D$6505,B611,GL!$G$5:$G$6505)</f>
        <v>0</v>
      </c>
      <c r="E611" s="341">
        <f>SUMIF(GL!$D$6:$D$6487,B611,GL!$H$6:$H$6487)</f>
        <v>0</v>
      </c>
      <c r="F611" s="341">
        <f>SUMIF(GL!$D$6:$D$6487,B611,GL!$I$6:$I$6487)</f>
        <v>0</v>
      </c>
      <c r="G611" s="341"/>
      <c r="H611" s="341"/>
      <c r="I611" s="341">
        <f t="shared" si="626"/>
        <v>0</v>
      </c>
      <c r="J611" s="341">
        <f t="shared" si="627"/>
        <v>0</v>
      </c>
      <c r="K611" s="341"/>
      <c r="L611" s="342"/>
      <c r="M611" s="342"/>
      <c r="N611" s="341">
        <f t="shared" si="586"/>
        <v>0</v>
      </c>
      <c r="O611" s="341">
        <f t="shared" si="587"/>
        <v>0</v>
      </c>
      <c r="P611" s="341">
        <f>SUMIF(GL!$D$6488:$D$6532,B611,GL!$H$6488:$H$6532)</f>
        <v>0</v>
      </c>
      <c r="Q611" s="341">
        <f>SUMIF(GL!$D$6408:$D$6452,B611,GL!$I$6408:$I$6452)</f>
        <v>0</v>
      </c>
      <c r="R611" s="341">
        <f t="shared" ref="R611:S611" si="649">P611+N611</f>
        <v>0</v>
      </c>
      <c r="S611" s="341">
        <f t="shared" si="649"/>
        <v>0</v>
      </c>
      <c r="T611" s="340"/>
      <c r="U611" s="340"/>
      <c r="V611" s="340"/>
      <c r="W611" s="340"/>
      <c r="X611" s="341">
        <f t="shared" si="589"/>
        <v>0</v>
      </c>
      <c r="Y611" s="341">
        <f t="shared" si="590"/>
        <v>0</v>
      </c>
      <c r="Z611" s="364"/>
      <c r="AA611" s="330"/>
      <c r="AB611" s="332"/>
      <c r="AC611" s="332"/>
      <c r="AD611" s="110"/>
      <c r="AE611" s="110"/>
      <c r="AF611" s="110"/>
      <c r="AG611" s="110"/>
      <c r="AH611" s="110"/>
      <c r="AI611" s="110"/>
    </row>
    <row r="612" spans="1:35" ht="13.5" customHeight="1">
      <c r="A612" s="4"/>
      <c r="B612" s="146"/>
      <c r="C612" s="360"/>
      <c r="D612" s="254">
        <f>SUMIF(GL!$D$5:$D$6505,B612,GL!$G$5:$G$6505)</f>
        <v>0</v>
      </c>
      <c r="E612" s="341">
        <f>SUMIF(GL!$D$6:$D$6487,B612,GL!$H$6:$H$6487)</f>
        <v>0</v>
      </c>
      <c r="F612" s="341">
        <f>SUMIF(GL!$D$6:$D$6487,B612,GL!$I$6:$I$6487)</f>
        <v>0</v>
      </c>
      <c r="G612" s="341"/>
      <c r="H612" s="341"/>
      <c r="I612" s="341">
        <f t="shared" si="626"/>
        <v>0</v>
      </c>
      <c r="J612" s="341">
        <f t="shared" si="627"/>
        <v>0</v>
      </c>
      <c r="K612" s="341"/>
      <c r="L612" s="342"/>
      <c r="M612" s="342"/>
      <c r="N612" s="341">
        <f t="shared" si="586"/>
        <v>0</v>
      </c>
      <c r="O612" s="341">
        <f t="shared" si="587"/>
        <v>0</v>
      </c>
      <c r="P612" s="341">
        <f>SUMIF(GL!$D$6488:$D$6532,B612,GL!$H$6488:$H$6532)</f>
        <v>0</v>
      </c>
      <c r="Q612" s="341">
        <f>SUMIF(GL!$D$6408:$D$6452,B612,GL!$I$6408:$I$6452)</f>
        <v>0</v>
      </c>
      <c r="R612" s="341">
        <f t="shared" ref="R612:S612" si="650">P612+N612</f>
        <v>0</v>
      </c>
      <c r="S612" s="341">
        <f t="shared" si="650"/>
        <v>0</v>
      </c>
      <c r="T612" s="340"/>
      <c r="U612" s="340"/>
      <c r="V612" s="340"/>
      <c r="W612" s="340"/>
      <c r="X612" s="341">
        <f t="shared" si="589"/>
        <v>0</v>
      </c>
      <c r="Y612" s="341">
        <f t="shared" si="590"/>
        <v>0</v>
      </c>
      <c r="Z612" s="4"/>
      <c r="AA612" s="110"/>
      <c r="AB612" s="332"/>
      <c r="AC612" s="332"/>
      <c r="AD612" s="110"/>
      <c r="AE612" s="110"/>
      <c r="AF612" s="110"/>
      <c r="AG612" s="110"/>
      <c r="AH612" s="110"/>
      <c r="AI612" s="110"/>
    </row>
    <row r="613" spans="1:35" ht="13.5" customHeight="1">
      <c r="A613" s="4"/>
      <c r="B613" s="199"/>
      <c r="C613" s="247" t="s">
        <v>3840</v>
      </c>
      <c r="D613" s="254">
        <f>SUMIF(GL!$D$5:$D$6505,B613,GL!$G$5:$G$6505)</f>
        <v>0</v>
      </c>
      <c r="E613" s="341">
        <f>SUMIF(GL!$D$6:$D$6487,B613,GL!$H$6:$H$6487)</f>
        <v>0</v>
      </c>
      <c r="F613" s="341">
        <f>SUMIF(GL!$D$6:$D$6487,B613,GL!$I$6:$I$6487)</f>
        <v>0</v>
      </c>
      <c r="G613" s="341"/>
      <c r="H613" s="341"/>
      <c r="I613" s="341">
        <f t="shared" si="626"/>
        <v>0</v>
      </c>
      <c r="J613" s="341">
        <f t="shared" si="627"/>
        <v>0</v>
      </c>
      <c r="K613" s="341"/>
      <c r="L613" s="342"/>
      <c r="M613" s="342"/>
      <c r="N613" s="341">
        <f t="shared" si="586"/>
        <v>0</v>
      </c>
      <c r="O613" s="341">
        <f t="shared" si="587"/>
        <v>0</v>
      </c>
      <c r="P613" s="341">
        <f>SUMIF(GL!$D$6488:$D$6532,B613,GL!$H$6488:$H$6532)</f>
        <v>0</v>
      </c>
      <c r="Q613" s="341">
        <f>SUMIF(GL!$D$6408:$D$6452,B613,GL!$I$6408:$I$6452)</f>
        <v>0</v>
      </c>
      <c r="R613" s="341">
        <f t="shared" ref="R613:S613" si="651">P613+N613</f>
        <v>0</v>
      </c>
      <c r="S613" s="341">
        <f t="shared" si="651"/>
        <v>0</v>
      </c>
      <c r="T613" s="340"/>
      <c r="U613" s="340"/>
      <c r="V613" s="340"/>
      <c r="W613" s="340"/>
      <c r="X613" s="341">
        <f t="shared" si="589"/>
        <v>0</v>
      </c>
      <c r="Y613" s="341">
        <f t="shared" si="590"/>
        <v>0</v>
      </c>
      <c r="Z613" s="364"/>
      <c r="AA613" s="110"/>
      <c r="AB613" s="332"/>
      <c r="AC613" s="332"/>
      <c r="AD613" s="110"/>
      <c r="AE613" s="110"/>
      <c r="AF613" s="110"/>
      <c r="AG613" s="110"/>
      <c r="AH613" s="110"/>
      <c r="AI613" s="110"/>
    </row>
    <row r="614" spans="1:35" ht="13.5" customHeight="1">
      <c r="A614" s="4"/>
      <c r="B614" s="15" t="s">
        <v>4841</v>
      </c>
      <c r="C614" s="363" t="s">
        <v>4842</v>
      </c>
      <c r="D614" s="254">
        <f>SUMIF(GL!$D$5:$D$6505,B614,GL!$G$5:$G$6505)</f>
        <v>0</v>
      </c>
      <c r="E614" s="341">
        <f>SUMIF(GL!$D$6:$D$6487,B614,GL!$H$6:$H$6487)</f>
        <v>0</v>
      </c>
      <c r="F614" s="341">
        <f>SUMIF(GL!$D$6:$D$6487,B614,GL!$I$6:$I$6487)</f>
        <v>0</v>
      </c>
      <c r="G614" s="341"/>
      <c r="H614" s="341"/>
      <c r="I614" s="341">
        <f t="shared" si="626"/>
        <v>0</v>
      </c>
      <c r="J614" s="341">
        <f t="shared" si="627"/>
        <v>0</v>
      </c>
      <c r="K614" s="341"/>
      <c r="L614" s="342"/>
      <c r="M614" s="342"/>
      <c r="N614" s="341">
        <f t="shared" si="586"/>
        <v>0</v>
      </c>
      <c r="O614" s="341">
        <f t="shared" si="587"/>
        <v>0</v>
      </c>
      <c r="P614" s="341">
        <f>SUMIF(GL!$D$6488:$D$6532,B614,GL!$H$6488:$H$6532)</f>
        <v>0</v>
      </c>
      <c r="Q614" s="341">
        <f>SUMIF(GL!$D$6408:$D$6452,B614,GL!$I$6408:$I$6452)</f>
        <v>0</v>
      </c>
      <c r="R614" s="341">
        <f t="shared" ref="R614:S614" si="652">P614+N614</f>
        <v>0</v>
      </c>
      <c r="S614" s="341">
        <f t="shared" si="652"/>
        <v>0</v>
      </c>
      <c r="T614" s="340"/>
      <c r="U614" s="340"/>
      <c r="V614" s="340"/>
      <c r="W614" s="340"/>
      <c r="X614" s="341">
        <f t="shared" si="589"/>
        <v>0</v>
      </c>
      <c r="Y614" s="341">
        <f t="shared" si="590"/>
        <v>0</v>
      </c>
      <c r="Z614" s="364"/>
      <c r="AA614" s="330"/>
      <c r="AB614" s="332"/>
      <c r="AC614" s="332"/>
      <c r="AD614" s="110"/>
      <c r="AE614" s="110"/>
      <c r="AF614" s="110"/>
      <c r="AG614" s="110"/>
      <c r="AH614" s="110"/>
      <c r="AI614" s="110"/>
    </row>
    <row r="615" spans="1:35" ht="13.5" customHeight="1">
      <c r="A615" s="4"/>
      <c r="B615" s="15" t="s">
        <v>4843</v>
      </c>
      <c r="C615" s="363" t="s">
        <v>4844</v>
      </c>
      <c r="D615" s="254">
        <f>SUMIF(GL!$D$5:$D$6505,B615,GL!$G$5:$G$6505)</f>
        <v>0</v>
      </c>
      <c r="E615" s="341">
        <f>SUMIF(GL!$D$6:$D$6487,B615,GL!$H$6:$H$6487)</f>
        <v>0</v>
      </c>
      <c r="F615" s="341">
        <f>SUMIF(GL!$D$6:$D$6487,B615,GL!$I$6:$I$6487)</f>
        <v>0</v>
      </c>
      <c r="G615" s="341"/>
      <c r="H615" s="341"/>
      <c r="I615" s="341">
        <f t="shared" si="626"/>
        <v>0</v>
      </c>
      <c r="J615" s="341">
        <f t="shared" si="627"/>
        <v>0</v>
      </c>
      <c r="K615" s="341"/>
      <c r="L615" s="342"/>
      <c r="M615" s="342"/>
      <c r="N615" s="341">
        <f t="shared" si="586"/>
        <v>0</v>
      </c>
      <c r="O615" s="341">
        <f t="shared" si="587"/>
        <v>0</v>
      </c>
      <c r="P615" s="341">
        <f>SUMIF(GL!$D$6488:$D$6532,B615,GL!$H$6488:$H$6532)</f>
        <v>0</v>
      </c>
      <c r="Q615" s="341">
        <f>SUMIF(GL!$D$6408:$D$6452,B615,GL!$I$6408:$I$6452)</f>
        <v>0</v>
      </c>
      <c r="R615" s="341">
        <f t="shared" ref="R615:S615" si="653">P615+N615</f>
        <v>0</v>
      </c>
      <c r="S615" s="341">
        <f t="shared" si="653"/>
        <v>0</v>
      </c>
      <c r="T615" s="340"/>
      <c r="U615" s="340"/>
      <c r="V615" s="340"/>
      <c r="W615" s="340"/>
      <c r="X615" s="341">
        <f t="shared" si="589"/>
        <v>0</v>
      </c>
      <c r="Y615" s="341">
        <f t="shared" si="590"/>
        <v>0</v>
      </c>
      <c r="Z615" s="364"/>
      <c r="AA615" s="330"/>
      <c r="AB615" s="332"/>
      <c r="AC615" s="332"/>
      <c r="AD615" s="110"/>
      <c r="AE615" s="110"/>
      <c r="AF615" s="110"/>
      <c r="AG615" s="110"/>
      <c r="AH615" s="110"/>
      <c r="AI615" s="110"/>
    </row>
    <row r="616" spans="1:35" ht="13.5" customHeight="1">
      <c r="A616" s="4"/>
      <c r="B616" s="15" t="s">
        <v>4845</v>
      </c>
      <c r="C616" s="363" t="s">
        <v>4846</v>
      </c>
      <c r="D616" s="254">
        <f>SUMIF(GL!$D$5:$D$6505,B616,GL!$G$5:$G$6505)</f>
        <v>0</v>
      </c>
      <c r="E616" s="341">
        <f>SUMIF(GL!$D$6:$D$6487,B616,GL!$H$6:$H$6487)</f>
        <v>0</v>
      </c>
      <c r="F616" s="341">
        <f>SUMIF(GL!$D$6:$D$6487,B616,GL!$I$6:$I$6487)</f>
        <v>0</v>
      </c>
      <c r="G616" s="341"/>
      <c r="H616" s="341"/>
      <c r="I616" s="341">
        <f t="shared" si="626"/>
        <v>0</v>
      </c>
      <c r="J616" s="341">
        <f t="shared" si="627"/>
        <v>0</v>
      </c>
      <c r="K616" s="341"/>
      <c r="L616" s="342"/>
      <c r="M616" s="342"/>
      <c r="N616" s="341">
        <f t="shared" si="586"/>
        <v>0</v>
      </c>
      <c r="O616" s="341">
        <f t="shared" si="587"/>
        <v>0</v>
      </c>
      <c r="P616" s="341">
        <f>SUMIF(GL!$D$6488:$D$6532,B616,GL!$H$6488:$H$6532)</f>
        <v>0</v>
      </c>
      <c r="Q616" s="341">
        <f>SUMIF(GL!$D$6408:$D$6452,B616,GL!$I$6408:$I$6452)</f>
        <v>0</v>
      </c>
      <c r="R616" s="341">
        <f t="shared" ref="R616:S616" si="654">P616+N616</f>
        <v>0</v>
      </c>
      <c r="S616" s="341">
        <f t="shared" si="654"/>
        <v>0</v>
      </c>
      <c r="T616" s="340"/>
      <c r="U616" s="340"/>
      <c r="V616" s="340"/>
      <c r="W616" s="340"/>
      <c r="X616" s="341">
        <f t="shared" si="589"/>
        <v>0</v>
      </c>
      <c r="Y616" s="341">
        <f t="shared" si="590"/>
        <v>0</v>
      </c>
      <c r="Z616" s="364"/>
      <c r="AA616" s="330"/>
      <c r="AB616" s="332"/>
      <c r="AC616" s="332"/>
      <c r="AD616" s="110"/>
      <c r="AE616" s="110"/>
      <c r="AF616" s="110"/>
      <c r="AG616" s="110"/>
      <c r="AH616" s="110"/>
      <c r="AI616" s="110"/>
    </row>
    <row r="617" spans="1:35" ht="13.5" customHeight="1">
      <c r="A617" s="4"/>
      <c r="B617" s="15" t="s">
        <v>4847</v>
      </c>
      <c r="C617" s="374" t="s">
        <v>4848</v>
      </c>
      <c r="D617" s="254">
        <f>SUMIF(GL!$D$5:$D$6505,B617,GL!$G$5:$G$6505)</f>
        <v>0</v>
      </c>
      <c r="E617" s="341">
        <f>SUMIF(GL!$D$6:$D$6487,B617,GL!$H$6:$H$6487)</f>
        <v>0</v>
      </c>
      <c r="F617" s="341">
        <f>SUMIF(GL!$D$6:$D$6487,B617,GL!$I$6:$I$6487)</f>
        <v>0</v>
      </c>
      <c r="G617" s="341"/>
      <c r="H617" s="341"/>
      <c r="I617" s="341">
        <f t="shared" si="626"/>
        <v>0</v>
      </c>
      <c r="J617" s="341">
        <f t="shared" si="627"/>
        <v>0</v>
      </c>
      <c r="K617" s="341"/>
      <c r="L617" s="342"/>
      <c r="M617" s="342"/>
      <c r="N617" s="341">
        <f t="shared" si="586"/>
        <v>0</v>
      </c>
      <c r="O617" s="341">
        <f t="shared" si="587"/>
        <v>0</v>
      </c>
      <c r="P617" s="341">
        <f>SUMIF(GL!$D$6488:$D$6532,B617,GL!$H$6488:$H$6532)</f>
        <v>0</v>
      </c>
      <c r="Q617" s="341">
        <f>SUMIF(GL!$D$6408:$D$6452,B617,GL!$I$6408:$I$6452)</f>
        <v>0</v>
      </c>
      <c r="R617" s="341">
        <f t="shared" ref="R617:S617" si="655">P617+N617</f>
        <v>0</v>
      </c>
      <c r="S617" s="341">
        <f t="shared" si="655"/>
        <v>0</v>
      </c>
      <c r="T617" s="340"/>
      <c r="U617" s="340"/>
      <c r="V617" s="340"/>
      <c r="W617" s="340"/>
      <c r="X617" s="341">
        <f t="shared" si="589"/>
        <v>0</v>
      </c>
      <c r="Y617" s="341">
        <f t="shared" si="590"/>
        <v>0</v>
      </c>
      <c r="Z617" s="364"/>
      <c r="AA617" s="330"/>
      <c r="AB617" s="332"/>
      <c r="AC617" s="332"/>
      <c r="AD617" s="110"/>
      <c r="AE617" s="110"/>
      <c r="AF617" s="110"/>
      <c r="AG617" s="110"/>
      <c r="AH617" s="110"/>
      <c r="AI617" s="110"/>
    </row>
    <row r="618" spans="1:35" ht="13.5" customHeight="1">
      <c r="A618" s="4"/>
      <c r="B618" s="199" t="s">
        <v>4849</v>
      </c>
      <c r="C618" s="278" t="s">
        <v>4850</v>
      </c>
      <c r="D618" s="254">
        <f>SUMIF(GL!$D$5:$D$6505,B618,GL!$G$5:$G$6505)</f>
        <v>0</v>
      </c>
      <c r="E618" s="341">
        <f>SUMIF(GL!$D$6:$D$6487,B618,GL!$H$6:$H$6487)</f>
        <v>0</v>
      </c>
      <c r="F618" s="341">
        <f>SUMIF(GL!$D$6:$D$6487,B618,GL!$I$6:$I$6487)</f>
        <v>0</v>
      </c>
      <c r="G618" s="341"/>
      <c r="H618" s="341"/>
      <c r="I618" s="341">
        <f t="shared" si="626"/>
        <v>0</v>
      </c>
      <c r="J618" s="341">
        <f t="shared" si="627"/>
        <v>0</v>
      </c>
      <c r="K618" s="341"/>
      <c r="L618" s="342"/>
      <c r="M618" s="342"/>
      <c r="N618" s="341">
        <f t="shared" si="586"/>
        <v>0</v>
      </c>
      <c r="O618" s="341">
        <f t="shared" si="587"/>
        <v>0</v>
      </c>
      <c r="P618" s="341">
        <f>SUMIF(GL!$D$6488:$D$6532,B618,GL!$H$6488:$H$6532)</f>
        <v>0</v>
      </c>
      <c r="Q618" s="341">
        <f>SUMIF(GL!$D$6408:$D$6452,B618,GL!$I$6408:$I$6452)</f>
        <v>0</v>
      </c>
      <c r="R618" s="341">
        <f t="shared" ref="R618:S618" si="656">P618+N618</f>
        <v>0</v>
      </c>
      <c r="S618" s="341">
        <f t="shared" si="656"/>
        <v>0</v>
      </c>
      <c r="T618" s="340"/>
      <c r="U618" s="340"/>
      <c r="V618" s="340"/>
      <c r="W618" s="340"/>
      <c r="X618" s="341">
        <f t="shared" si="589"/>
        <v>0</v>
      </c>
      <c r="Y618" s="341">
        <f t="shared" si="590"/>
        <v>0</v>
      </c>
      <c r="Z618" s="364"/>
      <c r="AA618" s="330"/>
      <c r="AB618" s="332"/>
      <c r="AC618" s="332"/>
      <c r="AD618" s="110"/>
      <c r="AE618" s="110"/>
      <c r="AF618" s="110"/>
      <c r="AG618" s="110"/>
      <c r="AH618" s="110"/>
      <c r="AI618" s="110"/>
    </row>
    <row r="619" spans="1:35" ht="13.5" customHeight="1">
      <c r="A619" s="4"/>
      <c r="B619" s="199"/>
      <c r="C619" s="259"/>
      <c r="D619" s="254">
        <f>SUMIF(GL!$D$5:$D$6505,B619,GL!$G$5:$G$6505)</f>
        <v>0</v>
      </c>
      <c r="E619" s="341">
        <f>SUMIF(GL!$D$6:$D$6487,B619,GL!$H$6:$H$6487)</f>
        <v>0</v>
      </c>
      <c r="F619" s="341">
        <f>SUMIF(GL!$D$6:$D$6487,B619,GL!$I$6:$I$6487)</f>
        <v>0</v>
      </c>
      <c r="G619" s="341"/>
      <c r="H619" s="341"/>
      <c r="I619" s="341">
        <f t="shared" si="626"/>
        <v>0</v>
      </c>
      <c r="J619" s="341">
        <f t="shared" si="627"/>
        <v>0</v>
      </c>
      <c r="K619" s="341"/>
      <c r="L619" s="342"/>
      <c r="M619" s="342"/>
      <c r="N619" s="341">
        <f t="shared" si="586"/>
        <v>0</v>
      </c>
      <c r="O619" s="341">
        <f t="shared" si="587"/>
        <v>0</v>
      </c>
      <c r="P619" s="341">
        <f>SUMIF(GL!$D$6488:$D$6532,B619,GL!$H$6488:$H$6532)</f>
        <v>0</v>
      </c>
      <c r="Q619" s="341">
        <f>SUMIF(GL!$D$6408:$D$6452,B619,GL!$I$6408:$I$6452)</f>
        <v>0</v>
      </c>
      <c r="R619" s="341">
        <f t="shared" ref="R619:S619" si="657">P619+N619</f>
        <v>0</v>
      </c>
      <c r="S619" s="341">
        <f t="shared" si="657"/>
        <v>0</v>
      </c>
      <c r="T619" s="340"/>
      <c r="U619" s="340"/>
      <c r="V619" s="340"/>
      <c r="W619" s="340"/>
      <c r="X619" s="341">
        <f t="shared" si="589"/>
        <v>0</v>
      </c>
      <c r="Y619" s="341">
        <f t="shared" si="590"/>
        <v>0</v>
      </c>
      <c r="Z619" s="364"/>
      <c r="AA619" s="110"/>
      <c r="AB619" s="332"/>
      <c r="AC619" s="332"/>
      <c r="AD619" s="110"/>
      <c r="AE619" s="110"/>
      <c r="AF619" s="110"/>
      <c r="AG619" s="110"/>
      <c r="AH619" s="110"/>
      <c r="AI619" s="110"/>
    </row>
    <row r="620" spans="1:35" ht="13.5" customHeight="1">
      <c r="A620" s="4"/>
      <c r="B620" s="199"/>
      <c r="C620" s="247" t="s">
        <v>3841</v>
      </c>
      <c r="D620" s="254">
        <f>SUMIF(GL!$D$5:$D$6505,B620,GL!$G$5:$G$6505)</f>
        <v>0</v>
      </c>
      <c r="E620" s="341">
        <f>SUMIF(GL!$D$6:$D$6487,B620,GL!$H$6:$H$6487)</f>
        <v>0</v>
      </c>
      <c r="F620" s="341">
        <f>SUMIF(GL!$D$6:$D$6487,B620,GL!$I$6:$I$6487)</f>
        <v>0</v>
      </c>
      <c r="G620" s="341"/>
      <c r="H620" s="341"/>
      <c r="I620" s="341">
        <f t="shared" si="626"/>
        <v>0</v>
      </c>
      <c r="J620" s="341">
        <f t="shared" si="627"/>
        <v>0</v>
      </c>
      <c r="K620" s="341"/>
      <c r="L620" s="342"/>
      <c r="M620" s="342"/>
      <c r="N620" s="341">
        <f t="shared" si="586"/>
        <v>0</v>
      </c>
      <c r="O620" s="341">
        <f t="shared" si="587"/>
        <v>0</v>
      </c>
      <c r="P620" s="341">
        <f>SUMIF(GL!$D$6488:$D$6532,B620,GL!$H$6488:$H$6532)</f>
        <v>0</v>
      </c>
      <c r="Q620" s="341">
        <f>SUMIF(GL!$D$6408:$D$6452,B620,GL!$I$6408:$I$6452)</f>
        <v>0</v>
      </c>
      <c r="R620" s="341">
        <f t="shared" ref="R620:S620" si="658">P620+N620</f>
        <v>0</v>
      </c>
      <c r="S620" s="341">
        <f t="shared" si="658"/>
        <v>0</v>
      </c>
      <c r="T620" s="340"/>
      <c r="U620" s="340"/>
      <c r="V620" s="340"/>
      <c r="W620" s="340"/>
      <c r="X620" s="341">
        <f t="shared" si="589"/>
        <v>0</v>
      </c>
      <c r="Y620" s="341">
        <f t="shared" si="590"/>
        <v>0</v>
      </c>
      <c r="Z620" s="364"/>
      <c r="AA620" s="110"/>
      <c r="AB620" s="332"/>
      <c r="AC620" s="332"/>
      <c r="AD620" s="110"/>
      <c r="AE620" s="110"/>
      <c r="AF620" s="110"/>
      <c r="AG620" s="110"/>
      <c r="AH620" s="110"/>
      <c r="AI620" s="110"/>
    </row>
    <row r="621" spans="1:35" ht="13.5" customHeight="1">
      <c r="A621" s="4"/>
      <c r="B621" s="15" t="s">
        <v>4851</v>
      </c>
      <c r="C621" s="365" t="s">
        <v>4852</v>
      </c>
      <c r="D621" s="254">
        <f>SUMIF(GL!$D$5:$D$6505,B621,GL!$G$5:$G$6505)</f>
        <v>0</v>
      </c>
      <c r="E621" s="341">
        <f>SUMIF(GL!$D$6:$D$6487,B621,GL!$H$6:$H$6487)</f>
        <v>0</v>
      </c>
      <c r="F621" s="341">
        <f>SUMIF(GL!$D$6:$D$6487,B621,GL!$I$6:$I$6487)</f>
        <v>0</v>
      </c>
      <c r="G621" s="341"/>
      <c r="H621" s="341"/>
      <c r="I621" s="341">
        <f t="shared" si="626"/>
        <v>0</v>
      </c>
      <c r="J621" s="341">
        <f t="shared" si="627"/>
        <v>0</v>
      </c>
      <c r="K621" s="341"/>
      <c r="L621" s="342"/>
      <c r="M621" s="342"/>
      <c r="N621" s="341">
        <f t="shared" si="586"/>
        <v>0</v>
      </c>
      <c r="O621" s="341">
        <f t="shared" si="587"/>
        <v>0</v>
      </c>
      <c r="P621" s="341">
        <f>SUMIF(GL!$D$6488:$D$6532,B621,GL!$H$6488:$H$6532)</f>
        <v>0</v>
      </c>
      <c r="Q621" s="341">
        <f>SUMIF(GL!$D$6408:$D$6452,B621,GL!$I$6408:$I$6452)</f>
        <v>0</v>
      </c>
      <c r="R621" s="341">
        <f t="shared" ref="R621:S621" si="659">P621+N621</f>
        <v>0</v>
      </c>
      <c r="S621" s="341">
        <f t="shared" si="659"/>
        <v>0</v>
      </c>
      <c r="T621" s="340"/>
      <c r="U621" s="340"/>
      <c r="V621" s="340"/>
      <c r="W621" s="340"/>
      <c r="X621" s="341">
        <f t="shared" si="589"/>
        <v>0</v>
      </c>
      <c r="Y621" s="341">
        <f t="shared" si="590"/>
        <v>0</v>
      </c>
      <c r="Z621" s="364"/>
      <c r="AA621" s="330"/>
      <c r="AB621" s="332"/>
      <c r="AC621" s="332"/>
      <c r="AD621" s="110"/>
      <c r="AE621" s="110"/>
      <c r="AF621" s="110"/>
      <c r="AG621" s="110"/>
      <c r="AH621" s="110"/>
      <c r="AI621" s="110"/>
    </row>
    <row r="622" spans="1:35" ht="13.5" customHeight="1">
      <c r="A622" s="4"/>
      <c r="B622" s="15" t="s">
        <v>4853</v>
      </c>
      <c r="C622" s="363" t="s">
        <v>4854</v>
      </c>
      <c r="D622" s="254">
        <f>SUMIF(GL!$D$5:$D$6505,B622,GL!$G$5:$G$6505)</f>
        <v>0</v>
      </c>
      <c r="E622" s="341">
        <f>SUMIF(GL!$D$6:$D$6487,B622,GL!$H$6:$H$6487)</f>
        <v>0</v>
      </c>
      <c r="F622" s="341">
        <f>SUMIF(GL!$D$6:$D$6487,B622,GL!$I$6:$I$6487)</f>
        <v>0</v>
      </c>
      <c r="G622" s="341"/>
      <c r="H622" s="341"/>
      <c r="I622" s="341">
        <f t="shared" si="626"/>
        <v>0</v>
      </c>
      <c r="J622" s="341">
        <f t="shared" si="627"/>
        <v>0</v>
      </c>
      <c r="K622" s="341"/>
      <c r="L622" s="342"/>
      <c r="M622" s="342"/>
      <c r="N622" s="341">
        <f t="shared" si="586"/>
        <v>0</v>
      </c>
      <c r="O622" s="341">
        <f t="shared" si="587"/>
        <v>0</v>
      </c>
      <c r="P622" s="341">
        <f>SUMIF(GL!$D$6488:$D$6532,B622,GL!$H$6488:$H$6532)</f>
        <v>0</v>
      </c>
      <c r="Q622" s="341">
        <f>SUMIF(GL!$D$6408:$D$6452,B622,GL!$I$6408:$I$6452)</f>
        <v>0</v>
      </c>
      <c r="R622" s="341">
        <f t="shared" ref="R622:S622" si="660">P622+N622</f>
        <v>0</v>
      </c>
      <c r="S622" s="341">
        <f t="shared" si="660"/>
        <v>0</v>
      </c>
      <c r="T622" s="340"/>
      <c r="U622" s="340"/>
      <c r="V622" s="340"/>
      <c r="W622" s="340"/>
      <c r="X622" s="341">
        <f t="shared" si="589"/>
        <v>0</v>
      </c>
      <c r="Y622" s="341">
        <f t="shared" si="590"/>
        <v>0</v>
      </c>
      <c r="Z622" s="364"/>
      <c r="AA622" s="330"/>
      <c r="AB622" s="332"/>
      <c r="AC622" s="332"/>
      <c r="AD622" s="110"/>
      <c r="AE622" s="110"/>
      <c r="AF622" s="110"/>
      <c r="AG622" s="110"/>
      <c r="AH622" s="110"/>
      <c r="AI622" s="110"/>
    </row>
    <row r="623" spans="1:35" ht="13.5" customHeight="1">
      <c r="A623" s="4"/>
      <c r="B623" s="15" t="s">
        <v>4855</v>
      </c>
      <c r="C623" s="363" t="s">
        <v>4856</v>
      </c>
      <c r="D623" s="254">
        <f>SUMIF(GL!$D$5:$D$6505,B623,GL!$G$5:$G$6505)</f>
        <v>0</v>
      </c>
      <c r="E623" s="341">
        <f>SUMIF(GL!$D$6:$D$6487,B623,GL!$H$6:$H$6487)</f>
        <v>0</v>
      </c>
      <c r="F623" s="341">
        <f>SUMIF(GL!$D$6:$D$6487,B623,GL!$I$6:$I$6487)</f>
        <v>0</v>
      </c>
      <c r="G623" s="341"/>
      <c r="H623" s="341"/>
      <c r="I623" s="341">
        <f t="shared" si="626"/>
        <v>0</v>
      </c>
      <c r="J623" s="341">
        <f t="shared" si="627"/>
        <v>0</v>
      </c>
      <c r="K623" s="341"/>
      <c r="L623" s="342"/>
      <c r="M623" s="342"/>
      <c r="N623" s="341">
        <f t="shared" si="586"/>
        <v>0</v>
      </c>
      <c r="O623" s="341">
        <f t="shared" si="587"/>
        <v>0</v>
      </c>
      <c r="P623" s="341">
        <f>SUMIF(GL!$D$6488:$D$6532,B623,GL!$H$6488:$H$6532)</f>
        <v>0</v>
      </c>
      <c r="Q623" s="341">
        <f>SUMIF(GL!$D$6408:$D$6452,B623,GL!$I$6408:$I$6452)</f>
        <v>0</v>
      </c>
      <c r="R623" s="341">
        <f t="shared" ref="R623:S623" si="661">P623+N623</f>
        <v>0</v>
      </c>
      <c r="S623" s="341">
        <f t="shared" si="661"/>
        <v>0</v>
      </c>
      <c r="T623" s="340"/>
      <c r="U623" s="340"/>
      <c r="V623" s="340"/>
      <c r="W623" s="340"/>
      <c r="X623" s="341">
        <f t="shared" si="589"/>
        <v>0</v>
      </c>
      <c r="Y623" s="341">
        <f t="shared" si="590"/>
        <v>0</v>
      </c>
      <c r="Z623" s="364"/>
      <c r="AA623" s="330"/>
      <c r="AB623" s="332"/>
      <c r="AC623" s="332"/>
      <c r="AD623" s="110"/>
      <c r="AE623" s="110"/>
      <c r="AF623" s="110"/>
      <c r="AG623" s="110"/>
      <c r="AH623" s="110"/>
      <c r="AI623" s="110"/>
    </row>
    <row r="624" spans="1:35" ht="13.5" customHeight="1">
      <c r="A624" s="4"/>
      <c r="B624" s="15" t="s">
        <v>4857</v>
      </c>
      <c r="C624" s="363" t="s">
        <v>4858</v>
      </c>
      <c r="D624" s="254">
        <f>SUMIF(GL!$D$5:$D$6505,B624,GL!$G$5:$G$6505)</f>
        <v>0</v>
      </c>
      <c r="E624" s="341">
        <f>SUMIF(GL!$D$6:$D$6487,B624,GL!$H$6:$H$6487)</f>
        <v>0</v>
      </c>
      <c r="F624" s="341">
        <f>SUMIF(GL!$D$6:$D$6487,B624,GL!$I$6:$I$6487)</f>
        <v>0</v>
      </c>
      <c r="G624" s="341"/>
      <c r="H624" s="341"/>
      <c r="I624" s="341">
        <f t="shared" si="626"/>
        <v>0</v>
      </c>
      <c r="J624" s="341">
        <f t="shared" si="627"/>
        <v>0</v>
      </c>
      <c r="K624" s="341"/>
      <c r="L624" s="342"/>
      <c r="M624" s="342"/>
      <c r="N624" s="341">
        <f t="shared" si="586"/>
        <v>0</v>
      </c>
      <c r="O624" s="341">
        <f t="shared" si="587"/>
        <v>0</v>
      </c>
      <c r="P624" s="341">
        <f>SUMIF(GL!$D$6488:$D$6532,B624,GL!$H$6488:$H$6532)</f>
        <v>0</v>
      </c>
      <c r="Q624" s="341">
        <f>SUMIF(GL!$D$6408:$D$6452,B624,GL!$I$6408:$I$6452)</f>
        <v>0</v>
      </c>
      <c r="R624" s="341">
        <f t="shared" ref="R624:S624" si="662">P624+N624</f>
        <v>0</v>
      </c>
      <c r="S624" s="341">
        <f t="shared" si="662"/>
        <v>0</v>
      </c>
      <c r="T624" s="340"/>
      <c r="U624" s="340"/>
      <c r="V624" s="340"/>
      <c r="W624" s="340"/>
      <c r="X624" s="341">
        <f t="shared" si="589"/>
        <v>0</v>
      </c>
      <c r="Y624" s="341">
        <f t="shared" si="590"/>
        <v>0</v>
      </c>
      <c r="Z624" s="364"/>
      <c r="AA624" s="330"/>
      <c r="AB624" s="332"/>
      <c r="AC624" s="332"/>
      <c r="AD624" s="110"/>
      <c r="AE624" s="110"/>
      <c r="AF624" s="110"/>
      <c r="AG624" s="110"/>
      <c r="AH624" s="110"/>
      <c r="AI624" s="110"/>
    </row>
    <row r="625" spans="1:35" ht="13.5" customHeight="1">
      <c r="A625" s="4"/>
      <c r="B625" s="15" t="s">
        <v>4859</v>
      </c>
      <c r="C625" s="363" t="s">
        <v>4860</v>
      </c>
      <c r="D625" s="254">
        <f>SUMIF(GL!$D$5:$D$6505,B625,GL!$G$5:$G$6505)</f>
        <v>0</v>
      </c>
      <c r="E625" s="341">
        <f>SUMIF(GL!$D$6:$D$6487,B625,GL!$H$6:$H$6487)</f>
        <v>0</v>
      </c>
      <c r="F625" s="341">
        <f>SUMIF(GL!$D$6:$D$6487,B625,GL!$I$6:$I$6487)</f>
        <v>0</v>
      </c>
      <c r="G625" s="341"/>
      <c r="H625" s="341"/>
      <c r="I625" s="341">
        <f t="shared" si="626"/>
        <v>0</v>
      </c>
      <c r="J625" s="341">
        <f t="shared" si="627"/>
        <v>0</v>
      </c>
      <c r="K625" s="341"/>
      <c r="L625" s="342"/>
      <c r="M625" s="342"/>
      <c r="N625" s="341">
        <f t="shared" si="586"/>
        <v>0</v>
      </c>
      <c r="O625" s="341">
        <f t="shared" si="587"/>
        <v>0</v>
      </c>
      <c r="P625" s="341">
        <f>SUMIF(GL!$D$6488:$D$6532,B625,GL!$H$6488:$H$6532)</f>
        <v>0</v>
      </c>
      <c r="Q625" s="341">
        <f>SUMIF(GL!$D$6408:$D$6452,B625,GL!$I$6408:$I$6452)</f>
        <v>0</v>
      </c>
      <c r="R625" s="341">
        <f t="shared" ref="R625:S625" si="663">P625+N625</f>
        <v>0</v>
      </c>
      <c r="S625" s="341">
        <f t="shared" si="663"/>
        <v>0</v>
      </c>
      <c r="T625" s="340"/>
      <c r="U625" s="340"/>
      <c r="V625" s="340"/>
      <c r="W625" s="340"/>
      <c r="X625" s="341">
        <f t="shared" si="589"/>
        <v>0</v>
      </c>
      <c r="Y625" s="341">
        <f t="shared" si="590"/>
        <v>0</v>
      </c>
      <c r="Z625" s="364"/>
      <c r="AA625" s="330"/>
      <c r="AB625" s="332"/>
      <c r="AC625" s="332"/>
      <c r="AD625" s="110"/>
      <c r="AE625" s="110"/>
      <c r="AF625" s="110"/>
      <c r="AG625" s="110"/>
      <c r="AH625" s="110"/>
      <c r="AI625" s="110"/>
    </row>
    <row r="626" spans="1:35" ht="13.5" customHeight="1">
      <c r="A626" s="4"/>
      <c r="B626" s="15" t="s">
        <v>4861</v>
      </c>
      <c r="C626" s="363" t="s">
        <v>4862</v>
      </c>
      <c r="D626" s="254">
        <f>SUMIF(GL!$D$5:$D$6505,B626,GL!$G$5:$G$6505)</f>
        <v>0</v>
      </c>
      <c r="E626" s="341">
        <f>SUMIF(GL!$D$6:$D$6487,B626,GL!$H$6:$H$6487)</f>
        <v>0</v>
      </c>
      <c r="F626" s="341">
        <f>SUMIF(GL!$D$6:$D$6487,B626,GL!$I$6:$I$6487)</f>
        <v>0</v>
      </c>
      <c r="G626" s="341"/>
      <c r="H626" s="341"/>
      <c r="I626" s="341">
        <f t="shared" si="626"/>
        <v>0</v>
      </c>
      <c r="J626" s="341">
        <f t="shared" si="627"/>
        <v>0</v>
      </c>
      <c r="K626" s="341"/>
      <c r="L626" s="342"/>
      <c r="M626" s="342"/>
      <c r="N626" s="341">
        <f t="shared" si="586"/>
        <v>0</v>
      </c>
      <c r="O626" s="341">
        <f t="shared" si="587"/>
        <v>0</v>
      </c>
      <c r="P626" s="341">
        <f>SUMIF(GL!$D$6488:$D$6532,B626,GL!$H$6488:$H$6532)</f>
        <v>0</v>
      </c>
      <c r="Q626" s="341">
        <f>SUMIF(GL!$D$6408:$D$6452,B626,GL!$I$6408:$I$6452)</f>
        <v>0</v>
      </c>
      <c r="R626" s="341">
        <f t="shared" ref="R626:S626" si="664">P626+N626</f>
        <v>0</v>
      </c>
      <c r="S626" s="341">
        <f t="shared" si="664"/>
        <v>0</v>
      </c>
      <c r="T626" s="340"/>
      <c r="U626" s="340"/>
      <c r="V626" s="340"/>
      <c r="W626" s="340"/>
      <c r="X626" s="341">
        <f t="shared" si="589"/>
        <v>0</v>
      </c>
      <c r="Y626" s="341">
        <f t="shared" si="590"/>
        <v>0</v>
      </c>
      <c r="Z626" s="364"/>
      <c r="AA626" s="330"/>
      <c r="AB626" s="332"/>
      <c r="AC626" s="332"/>
      <c r="AD626" s="110"/>
      <c r="AE626" s="110"/>
      <c r="AF626" s="110"/>
      <c r="AG626" s="110"/>
      <c r="AH626" s="110"/>
      <c r="AI626" s="110"/>
    </row>
    <row r="627" spans="1:35" ht="13.5" customHeight="1">
      <c r="A627" s="4"/>
      <c r="B627" s="15" t="s">
        <v>4863</v>
      </c>
      <c r="C627" s="363" t="s">
        <v>4864</v>
      </c>
      <c r="D627" s="254">
        <f>SUMIF(GL!$D$5:$D$6505,B627,GL!$G$5:$G$6505)</f>
        <v>0</v>
      </c>
      <c r="E627" s="341">
        <f>SUMIF(GL!$D$6:$D$6487,B627,GL!$H$6:$H$6487)</f>
        <v>0</v>
      </c>
      <c r="F627" s="341">
        <f>SUMIF(GL!$D$6:$D$6487,B627,GL!$I$6:$I$6487)</f>
        <v>0</v>
      </c>
      <c r="G627" s="341"/>
      <c r="H627" s="341"/>
      <c r="I627" s="341">
        <f t="shared" si="626"/>
        <v>0</v>
      </c>
      <c r="J627" s="341">
        <f t="shared" si="627"/>
        <v>0</v>
      </c>
      <c r="K627" s="341"/>
      <c r="L627" s="342"/>
      <c r="M627" s="342"/>
      <c r="N627" s="341">
        <f t="shared" si="586"/>
        <v>0</v>
      </c>
      <c r="O627" s="341">
        <f t="shared" si="587"/>
        <v>0</v>
      </c>
      <c r="P627" s="341">
        <f>SUMIF(GL!$D$6488:$D$6532,B627,GL!$H$6488:$H$6532)</f>
        <v>0</v>
      </c>
      <c r="Q627" s="341">
        <f>SUMIF(GL!$D$6408:$D$6452,B627,GL!$I$6408:$I$6452)</f>
        <v>0</v>
      </c>
      <c r="R627" s="341">
        <f t="shared" ref="R627:S627" si="665">P627+N627</f>
        <v>0</v>
      </c>
      <c r="S627" s="341">
        <f t="shared" si="665"/>
        <v>0</v>
      </c>
      <c r="T627" s="340"/>
      <c r="U627" s="340"/>
      <c r="V627" s="340"/>
      <c r="W627" s="340"/>
      <c r="X627" s="341">
        <f t="shared" si="589"/>
        <v>0</v>
      </c>
      <c r="Y627" s="341">
        <f t="shared" si="590"/>
        <v>0</v>
      </c>
      <c r="Z627" s="364"/>
      <c r="AA627" s="330"/>
      <c r="AB627" s="332"/>
      <c r="AC627" s="332"/>
      <c r="AD627" s="110"/>
      <c r="AE627" s="110"/>
      <c r="AF627" s="110"/>
      <c r="AG627" s="110"/>
      <c r="AH627" s="110"/>
      <c r="AI627" s="110"/>
    </row>
    <row r="628" spans="1:35" ht="13.5" customHeight="1">
      <c r="A628" s="4"/>
      <c r="B628" s="15" t="s">
        <v>4865</v>
      </c>
      <c r="C628" s="363" t="s">
        <v>4866</v>
      </c>
      <c r="D628" s="254">
        <f>SUMIF(GL!$D$5:$D$6505,B628,GL!$G$5:$G$6505)</f>
        <v>0</v>
      </c>
      <c r="E628" s="341">
        <f>SUMIF(GL!$D$6:$D$6487,B628,GL!$H$6:$H$6487)</f>
        <v>0</v>
      </c>
      <c r="F628" s="341">
        <f>SUMIF(GL!$D$6:$D$6487,B628,GL!$I$6:$I$6487)</f>
        <v>0</v>
      </c>
      <c r="G628" s="341"/>
      <c r="H628" s="341"/>
      <c r="I628" s="341">
        <f t="shared" si="626"/>
        <v>0</v>
      </c>
      <c r="J628" s="341">
        <f t="shared" si="627"/>
        <v>0</v>
      </c>
      <c r="K628" s="341"/>
      <c r="L628" s="342"/>
      <c r="M628" s="342"/>
      <c r="N628" s="341">
        <f t="shared" si="586"/>
        <v>0</v>
      </c>
      <c r="O628" s="341">
        <f t="shared" si="587"/>
        <v>0</v>
      </c>
      <c r="P628" s="341">
        <f>SUMIF(GL!$D$6488:$D$6532,B628,GL!$H$6488:$H$6532)</f>
        <v>0</v>
      </c>
      <c r="Q628" s="341">
        <f>SUMIF(GL!$D$6408:$D$6452,B628,GL!$I$6408:$I$6452)</f>
        <v>0</v>
      </c>
      <c r="R628" s="341">
        <f t="shared" ref="R628:S628" si="666">P628+N628</f>
        <v>0</v>
      </c>
      <c r="S628" s="341">
        <f t="shared" si="666"/>
        <v>0</v>
      </c>
      <c r="T628" s="340"/>
      <c r="U628" s="340"/>
      <c r="V628" s="340"/>
      <c r="W628" s="340"/>
      <c r="X628" s="341">
        <f t="shared" si="589"/>
        <v>0</v>
      </c>
      <c r="Y628" s="341">
        <f t="shared" si="590"/>
        <v>0</v>
      </c>
      <c r="Z628" s="364"/>
      <c r="AA628" s="330"/>
      <c r="AB628" s="332"/>
      <c r="AC628" s="332"/>
      <c r="AD628" s="110"/>
      <c r="AE628" s="110"/>
      <c r="AF628" s="110"/>
      <c r="AG628" s="110"/>
      <c r="AH628" s="110"/>
      <c r="AI628" s="110"/>
    </row>
    <row r="629" spans="1:35" ht="13.5" customHeight="1">
      <c r="A629" s="4"/>
      <c r="B629" s="15" t="s">
        <v>4867</v>
      </c>
      <c r="C629" s="363" t="s">
        <v>4868</v>
      </c>
      <c r="D629" s="254">
        <f>SUMIF(GL!$D$5:$D$6505,B629,GL!$G$5:$G$6505)</f>
        <v>0</v>
      </c>
      <c r="E629" s="341">
        <f>SUMIF(GL!$D$6:$D$6487,B629,GL!$H$6:$H$6487)</f>
        <v>0</v>
      </c>
      <c r="F629" s="341">
        <f>SUMIF(GL!$D$6:$D$6487,B629,GL!$I$6:$I$6487)</f>
        <v>0</v>
      </c>
      <c r="G629" s="341"/>
      <c r="H629" s="341"/>
      <c r="I629" s="341">
        <f t="shared" si="626"/>
        <v>0</v>
      </c>
      <c r="J629" s="341">
        <f t="shared" si="627"/>
        <v>0</v>
      </c>
      <c r="K629" s="341"/>
      <c r="L629" s="342"/>
      <c r="M629" s="342"/>
      <c r="N629" s="341">
        <f t="shared" si="586"/>
        <v>0</v>
      </c>
      <c r="O629" s="341">
        <f t="shared" si="587"/>
        <v>0</v>
      </c>
      <c r="P629" s="341">
        <f>SUMIF(GL!$D$6488:$D$6532,B629,GL!$H$6488:$H$6532)</f>
        <v>0</v>
      </c>
      <c r="Q629" s="341">
        <f>SUMIF(GL!$D$6408:$D$6452,B629,GL!$I$6408:$I$6452)</f>
        <v>0</v>
      </c>
      <c r="R629" s="341">
        <f t="shared" ref="R629:S629" si="667">P629+N629</f>
        <v>0</v>
      </c>
      <c r="S629" s="341">
        <f t="shared" si="667"/>
        <v>0</v>
      </c>
      <c r="T629" s="340"/>
      <c r="U629" s="340"/>
      <c r="V629" s="340"/>
      <c r="W629" s="340"/>
      <c r="X629" s="341">
        <f t="shared" si="589"/>
        <v>0</v>
      </c>
      <c r="Y629" s="341">
        <f t="shared" si="590"/>
        <v>0</v>
      </c>
      <c r="Z629" s="364"/>
      <c r="AA629" s="330"/>
      <c r="AB629" s="332"/>
      <c r="AC629" s="332"/>
      <c r="AD629" s="110"/>
      <c r="AE629" s="110"/>
      <c r="AF629" s="110"/>
      <c r="AG629" s="110"/>
      <c r="AH629" s="110"/>
      <c r="AI629" s="110"/>
    </row>
    <row r="630" spans="1:35" ht="13.5" customHeight="1">
      <c r="A630" s="4"/>
      <c r="B630" s="15" t="s">
        <v>4869</v>
      </c>
      <c r="C630" s="363" t="s">
        <v>4870</v>
      </c>
      <c r="D630" s="254">
        <f>SUMIF(GL!$D$5:$D$6505,B630,GL!$G$5:$G$6505)</f>
        <v>0</v>
      </c>
      <c r="E630" s="341">
        <f>SUMIF(GL!$D$6:$D$6487,B630,GL!$H$6:$H$6487)</f>
        <v>0</v>
      </c>
      <c r="F630" s="341">
        <f>SUMIF(GL!$D$6:$D$6487,B630,GL!$I$6:$I$6487)</f>
        <v>0</v>
      </c>
      <c r="G630" s="341"/>
      <c r="H630" s="341"/>
      <c r="I630" s="341">
        <f t="shared" si="626"/>
        <v>0</v>
      </c>
      <c r="J630" s="341">
        <f t="shared" si="627"/>
        <v>0</v>
      </c>
      <c r="K630" s="341"/>
      <c r="L630" s="342"/>
      <c r="M630" s="342"/>
      <c r="N630" s="341">
        <f t="shared" si="586"/>
        <v>0</v>
      </c>
      <c r="O630" s="341">
        <f t="shared" si="587"/>
        <v>0</v>
      </c>
      <c r="P630" s="341">
        <f>SUMIF(GL!$D$6488:$D$6532,B630,GL!$H$6488:$H$6532)</f>
        <v>0</v>
      </c>
      <c r="Q630" s="341">
        <f>SUMIF(GL!$D$6408:$D$6452,B630,GL!$I$6408:$I$6452)</f>
        <v>0</v>
      </c>
      <c r="R630" s="341">
        <f t="shared" ref="R630:S630" si="668">P630+N630</f>
        <v>0</v>
      </c>
      <c r="S630" s="341">
        <f t="shared" si="668"/>
        <v>0</v>
      </c>
      <c r="T630" s="340"/>
      <c r="U630" s="340"/>
      <c r="V630" s="340"/>
      <c r="W630" s="340"/>
      <c r="X630" s="341">
        <f t="shared" si="589"/>
        <v>0</v>
      </c>
      <c r="Y630" s="341">
        <f t="shared" si="590"/>
        <v>0</v>
      </c>
      <c r="Z630" s="364"/>
      <c r="AA630" s="330"/>
      <c r="AB630" s="332"/>
      <c r="AC630" s="332"/>
      <c r="AD630" s="110"/>
      <c r="AE630" s="110"/>
      <c r="AF630" s="110"/>
      <c r="AG630" s="110"/>
      <c r="AH630" s="110"/>
      <c r="AI630" s="110"/>
    </row>
    <row r="631" spans="1:35" ht="13.5" customHeight="1">
      <c r="A631" s="4"/>
      <c r="B631" s="15" t="s">
        <v>4871</v>
      </c>
      <c r="C631" s="363" t="s">
        <v>4872</v>
      </c>
      <c r="D631" s="254">
        <f>SUMIF(GL!$D$5:$D$6505,B631,GL!$G$5:$G$6505)</f>
        <v>0</v>
      </c>
      <c r="E631" s="341">
        <f>SUMIF(GL!$D$6:$D$6487,B631,GL!$H$6:$H$6487)</f>
        <v>0</v>
      </c>
      <c r="F631" s="341">
        <f>SUMIF(GL!$D$6:$D$6487,B631,GL!$I$6:$I$6487)</f>
        <v>0</v>
      </c>
      <c r="G631" s="341"/>
      <c r="H631" s="341"/>
      <c r="I631" s="341">
        <f t="shared" si="626"/>
        <v>0</v>
      </c>
      <c r="J631" s="341">
        <f t="shared" si="627"/>
        <v>0</v>
      </c>
      <c r="K631" s="341"/>
      <c r="L631" s="342"/>
      <c r="M631" s="342"/>
      <c r="N631" s="341">
        <f t="shared" si="586"/>
        <v>0</v>
      </c>
      <c r="O631" s="341">
        <f t="shared" si="587"/>
        <v>0</v>
      </c>
      <c r="P631" s="341">
        <f>SUMIF(GL!$D$6488:$D$6532,B631,GL!$H$6488:$H$6532)</f>
        <v>0</v>
      </c>
      <c r="Q631" s="341">
        <f>SUMIF(GL!$D$6408:$D$6452,B631,GL!$I$6408:$I$6452)</f>
        <v>0</v>
      </c>
      <c r="R631" s="341">
        <f t="shared" ref="R631:S631" si="669">P631+N631</f>
        <v>0</v>
      </c>
      <c r="S631" s="341">
        <f t="shared" si="669"/>
        <v>0</v>
      </c>
      <c r="T631" s="340"/>
      <c r="U631" s="340"/>
      <c r="V631" s="340"/>
      <c r="W631" s="340"/>
      <c r="X631" s="341">
        <f t="shared" si="589"/>
        <v>0</v>
      </c>
      <c r="Y631" s="341">
        <f t="shared" si="590"/>
        <v>0</v>
      </c>
      <c r="Z631" s="364"/>
      <c r="AA631" s="330"/>
      <c r="AB631" s="332"/>
      <c r="AC631" s="332"/>
      <c r="AD631" s="110"/>
      <c r="AE631" s="110"/>
      <c r="AF631" s="110"/>
      <c r="AG631" s="110"/>
      <c r="AH631" s="110"/>
      <c r="AI631" s="110"/>
    </row>
    <row r="632" spans="1:35" ht="13.5" customHeight="1">
      <c r="A632" s="4"/>
      <c r="B632" s="15" t="s">
        <v>4873</v>
      </c>
      <c r="C632" s="363" t="s">
        <v>4874</v>
      </c>
      <c r="D632" s="254">
        <f>SUMIF(GL!$D$5:$D$6505,B632,GL!$G$5:$G$6505)</f>
        <v>0</v>
      </c>
      <c r="E632" s="341">
        <f>SUMIF(GL!$D$6:$D$6487,B632,GL!$H$6:$H$6487)</f>
        <v>0</v>
      </c>
      <c r="F632" s="341">
        <f>SUMIF(GL!$D$6:$D$6487,B632,GL!$I$6:$I$6487)</f>
        <v>0</v>
      </c>
      <c r="G632" s="341"/>
      <c r="H632" s="341"/>
      <c r="I632" s="341">
        <f t="shared" si="626"/>
        <v>0</v>
      </c>
      <c r="J632" s="341">
        <f t="shared" si="627"/>
        <v>0</v>
      </c>
      <c r="K632" s="341"/>
      <c r="L632" s="342"/>
      <c r="M632" s="342"/>
      <c r="N632" s="341">
        <f t="shared" si="586"/>
        <v>0</v>
      </c>
      <c r="O632" s="341">
        <f t="shared" si="587"/>
        <v>0</v>
      </c>
      <c r="P632" s="341">
        <f>SUMIF(GL!$D$6488:$D$6532,B632,GL!$H$6488:$H$6532)</f>
        <v>0</v>
      </c>
      <c r="Q632" s="341">
        <f>SUMIF(GL!$D$6408:$D$6452,B632,GL!$I$6408:$I$6452)</f>
        <v>0</v>
      </c>
      <c r="R632" s="341">
        <f t="shared" ref="R632:S632" si="670">P632+N632</f>
        <v>0</v>
      </c>
      <c r="S632" s="341">
        <f t="shared" si="670"/>
        <v>0</v>
      </c>
      <c r="T632" s="340"/>
      <c r="U632" s="340"/>
      <c r="V632" s="340"/>
      <c r="W632" s="340"/>
      <c r="X632" s="341">
        <f t="shared" si="589"/>
        <v>0</v>
      </c>
      <c r="Y632" s="341">
        <f t="shared" si="590"/>
        <v>0</v>
      </c>
      <c r="Z632" s="364"/>
      <c r="AA632" s="330"/>
      <c r="AB632" s="332"/>
      <c r="AC632" s="332"/>
      <c r="AD632" s="110"/>
      <c r="AE632" s="110"/>
      <c r="AF632" s="110"/>
      <c r="AG632" s="110"/>
      <c r="AH632" s="110"/>
      <c r="AI632" s="110"/>
    </row>
    <row r="633" spans="1:35" ht="13.5" customHeight="1">
      <c r="A633" s="4"/>
      <c r="B633" s="15" t="s">
        <v>4875</v>
      </c>
      <c r="C633" s="363" t="s">
        <v>4876</v>
      </c>
      <c r="D633" s="254">
        <f>SUMIF(GL!$D$5:$D$6505,B633,GL!$G$5:$G$6505)</f>
        <v>0</v>
      </c>
      <c r="E633" s="341">
        <f>SUMIF(GL!$D$6:$D$6487,B633,GL!$H$6:$H$6487)</f>
        <v>0</v>
      </c>
      <c r="F633" s="341">
        <f>SUMIF(GL!$D$6:$D$6487,B633,GL!$I$6:$I$6487)</f>
        <v>0</v>
      </c>
      <c r="G633" s="341"/>
      <c r="H633" s="341"/>
      <c r="I633" s="341">
        <f t="shared" si="626"/>
        <v>0</v>
      </c>
      <c r="J633" s="341">
        <f t="shared" si="627"/>
        <v>0</v>
      </c>
      <c r="K633" s="341"/>
      <c r="L633" s="342"/>
      <c r="M633" s="342"/>
      <c r="N633" s="341">
        <f t="shared" si="586"/>
        <v>0</v>
      </c>
      <c r="O633" s="341">
        <f t="shared" si="587"/>
        <v>0</v>
      </c>
      <c r="P633" s="341">
        <f>SUMIF(GL!$D$6488:$D$6532,B633,GL!$H$6488:$H$6532)</f>
        <v>0</v>
      </c>
      <c r="Q633" s="341">
        <f>SUMIF(GL!$D$6408:$D$6452,B633,GL!$I$6408:$I$6452)</f>
        <v>0</v>
      </c>
      <c r="R633" s="341">
        <f t="shared" ref="R633:S633" si="671">P633+N633</f>
        <v>0</v>
      </c>
      <c r="S633" s="341">
        <f t="shared" si="671"/>
        <v>0</v>
      </c>
      <c r="T633" s="340"/>
      <c r="U633" s="340"/>
      <c r="V633" s="340"/>
      <c r="W633" s="340"/>
      <c r="X633" s="341">
        <f t="shared" si="589"/>
        <v>0</v>
      </c>
      <c r="Y633" s="341">
        <f t="shared" si="590"/>
        <v>0</v>
      </c>
      <c r="Z633" s="364"/>
      <c r="AA633" s="330"/>
      <c r="AB633" s="332"/>
      <c r="AC633" s="332"/>
      <c r="AD633" s="110"/>
      <c r="AE633" s="110"/>
      <c r="AF633" s="110"/>
      <c r="AG633" s="110"/>
      <c r="AH633" s="110"/>
      <c r="AI633" s="110"/>
    </row>
    <row r="634" spans="1:35" ht="13.5" customHeight="1">
      <c r="A634" s="4"/>
      <c r="B634" s="15" t="s">
        <v>4877</v>
      </c>
      <c r="C634" s="363" t="s">
        <v>4878</v>
      </c>
      <c r="D634" s="254">
        <f>SUMIF(GL!$D$5:$D$6505,B634,GL!$G$5:$G$6505)</f>
        <v>0</v>
      </c>
      <c r="E634" s="341">
        <f>SUMIF(GL!$D$6:$D$6487,B634,GL!$H$6:$H$6487)</f>
        <v>0</v>
      </c>
      <c r="F634" s="341">
        <f>SUMIF(GL!$D$6:$D$6487,B634,GL!$I$6:$I$6487)</f>
        <v>0</v>
      </c>
      <c r="G634" s="341"/>
      <c r="H634" s="341"/>
      <c r="I634" s="341">
        <f t="shared" si="626"/>
        <v>0</v>
      </c>
      <c r="J634" s="341">
        <f t="shared" si="627"/>
        <v>0</v>
      </c>
      <c r="K634" s="341"/>
      <c r="L634" s="342"/>
      <c r="M634" s="342"/>
      <c r="N634" s="341">
        <f t="shared" si="586"/>
        <v>0</v>
      </c>
      <c r="O634" s="341">
        <f t="shared" si="587"/>
        <v>0</v>
      </c>
      <c r="P634" s="341">
        <f>SUMIF(GL!$D$6488:$D$6532,B634,GL!$H$6488:$H$6532)</f>
        <v>0</v>
      </c>
      <c r="Q634" s="341">
        <f>SUMIF(GL!$D$6408:$D$6452,B634,GL!$I$6408:$I$6452)</f>
        <v>0</v>
      </c>
      <c r="R634" s="341">
        <f t="shared" ref="R634:S634" si="672">P634+N634</f>
        <v>0</v>
      </c>
      <c r="S634" s="341">
        <f t="shared" si="672"/>
        <v>0</v>
      </c>
      <c r="T634" s="340"/>
      <c r="U634" s="340"/>
      <c r="V634" s="340"/>
      <c r="W634" s="340"/>
      <c r="X634" s="341">
        <f t="shared" si="589"/>
        <v>0</v>
      </c>
      <c r="Y634" s="341">
        <f t="shared" si="590"/>
        <v>0</v>
      </c>
      <c r="Z634" s="364"/>
      <c r="AA634" s="330"/>
      <c r="AB634" s="332"/>
      <c r="AC634" s="332"/>
      <c r="AD634" s="110"/>
      <c r="AE634" s="110"/>
      <c r="AF634" s="110"/>
      <c r="AG634" s="110"/>
      <c r="AH634" s="110"/>
      <c r="AI634" s="110"/>
    </row>
    <row r="635" spans="1:35" ht="13.5" customHeight="1">
      <c r="A635" s="4"/>
      <c r="B635" s="15" t="s">
        <v>2583</v>
      </c>
      <c r="C635" s="363" t="s">
        <v>4879</v>
      </c>
      <c r="D635" s="254">
        <f>SUMIF(GL!$D$5:$D$6505,B635,GL!$G$5:$G$6505)</f>
        <v>8</v>
      </c>
      <c r="E635" s="341">
        <f>SUMIF(GL!$D$6:$D$6487,B635,GL!$H$6:$H$6487)</f>
        <v>11196000</v>
      </c>
      <c r="F635" s="341">
        <f>SUMIF(GL!$D$6:$D$6487,B635,GL!$I$6:$I$6487)</f>
        <v>0</v>
      </c>
      <c r="G635" s="341"/>
      <c r="H635" s="341"/>
      <c r="I635" s="341">
        <f t="shared" si="626"/>
        <v>11196000</v>
      </c>
      <c r="J635" s="341">
        <f t="shared" si="627"/>
        <v>0</v>
      </c>
      <c r="K635" s="341"/>
      <c r="L635" s="342"/>
      <c r="M635" s="342"/>
      <c r="N635" s="341">
        <f t="shared" si="586"/>
        <v>11196000</v>
      </c>
      <c r="O635" s="341">
        <f t="shared" si="587"/>
        <v>0</v>
      </c>
      <c r="P635" s="341">
        <f>SUMIF(GL!$D$6488:$D$6532,B635,GL!$H$6488:$H$6532)</f>
        <v>0</v>
      </c>
      <c r="Q635" s="341">
        <f>SUMIF(GL!$D$6408:$D$6452,B635,GL!$I$6408:$I$6452)</f>
        <v>0</v>
      </c>
      <c r="R635" s="341">
        <f t="shared" ref="R635:S635" si="673">P635+N635</f>
        <v>11196000</v>
      </c>
      <c r="S635" s="341">
        <f t="shared" si="673"/>
        <v>0</v>
      </c>
      <c r="T635" s="340"/>
      <c r="U635" s="340"/>
      <c r="V635" s="340"/>
      <c r="W635" s="340"/>
      <c r="X635" s="341">
        <f t="shared" si="589"/>
        <v>11196000</v>
      </c>
      <c r="Y635" s="341">
        <f t="shared" si="590"/>
        <v>0</v>
      </c>
      <c r="Z635" s="364"/>
      <c r="AA635" s="330"/>
      <c r="AB635" s="332"/>
      <c r="AC635" s="332"/>
      <c r="AD635" s="110"/>
      <c r="AE635" s="110"/>
      <c r="AF635" s="110"/>
      <c r="AG635" s="110"/>
      <c r="AH635" s="110"/>
      <c r="AI635" s="110"/>
    </row>
    <row r="636" spans="1:35" ht="13.5" customHeight="1">
      <c r="A636" s="4"/>
      <c r="B636" s="15" t="s">
        <v>4880</v>
      </c>
      <c r="C636" s="363" t="s">
        <v>4881</v>
      </c>
      <c r="D636" s="254">
        <f>SUMIF(GL!$D$5:$D$6505,B636,GL!$G$5:$G$6505)</f>
        <v>0</v>
      </c>
      <c r="E636" s="341">
        <f>SUMIF(GL!$D$6:$D$6487,B636,GL!$H$6:$H$6487)</f>
        <v>0</v>
      </c>
      <c r="F636" s="341">
        <f>SUMIF(GL!$D$6:$D$6487,B636,GL!$I$6:$I$6487)</f>
        <v>0</v>
      </c>
      <c r="G636" s="341"/>
      <c r="H636" s="341"/>
      <c r="I636" s="341">
        <f t="shared" si="626"/>
        <v>0</v>
      </c>
      <c r="J636" s="341">
        <f t="shared" si="627"/>
        <v>0</v>
      </c>
      <c r="K636" s="341"/>
      <c r="L636" s="342"/>
      <c r="M636" s="342"/>
      <c r="N636" s="341">
        <f t="shared" si="586"/>
        <v>0</v>
      </c>
      <c r="O636" s="341">
        <f t="shared" si="587"/>
        <v>0</v>
      </c>
      <c r="P636" s="341">
        <f>SUMIF(GL!$D$6488:$D$6532,B636,GL!$H$6488:$H$6532)</f>
        <v>0</v>
      </c>
      <c r="Q636" s="341">
        <f>SUMIF(GL!$D$6408:$D$6452,B636,GL!$I$6408:$I$6452)</f>
        <v>0</v>
      </c>
      <c r="R636" s="341">
        <f t="shared" ref="R636:S636" si="674">P636+N636</f>
        <v>0</v>
      </c>
      <c r="S636" s="341">
        <f t="shared" si="674"/>
        <v>0</v>
      </c>
      <c r="T636" s="340"/>
      <c r="U636" s="340"/>
      <c r="V636" s="340"/>
      <c r="W636" s="340"/>
      <c r="X636" s="341">
        <f t="shared" si="589"/>
        <v>0</v>
      </c>
      <c r="Y636" s="341">
        <f t="shared" si="590"/>
        <v>0</v>
      </c>
      <c r="Z636" s="364"/>
      <c r="AA636" s="330"/>
      <c r="AB636" s="332"/>
      <c r="AC636" s="332"/>
      <c r="AD636" s="110"/>
      <c r="AE636" s="110"/>
      <c r="AF636" s="110"/>
      <c r="AG636" s="110"/>
      <c r="AH636" s="110"/>
      <c r="AI636" s="110"/>
    </row>
    <row r="637" spans="1:35" ht="13.5" customHeight="1">
      <c r="A637" s="4"/>
      <c r="B637" s="15" t="s">
        <v>4882</v>
      </c>
      <c r="C637" s="363" t="s">
        <v>4883</v>
      </c>
      <c r="D637" s="254">
        <f>SUMIF(GL!$D$5:$D$6505,B637,GL!$G$5:$G$6505)</f>
        <v>0</v>
      </c>
      <c r="E637" s="341">
        <f>SUMIF(GL!$D$6:$D$6487,B637,GL!$H$6:$H$6487)</f>
        <v>0</v>
      </c>
      <c r="F637" s="341">
        <f>SUMIF(GL!$D$6:$D$6487,B637,GL!$I$6:$I$6487)</f>
        <v>0</v>
      </c>
      <c r="G637" s="341"/>
      <c r="H637" s="341"/>
      <c r="I637" s="341">
        <f t="shared" si="626"/>
        <v>0</v>
      </c>
      <c r="J637" s="341">
        <f t="shared" si="627"/>
        <v>0</v>
      </c>
      <c r="K637" s="341"/>
      <c r="L637" s="342"/>
      <c r="M637" s="342"/>
      <c r="N637" s="341">
        <f t="shared" si="586"/>
        <v>0</v>
      </c>
      <c r="O637" s="341">
        <f t="shared" si="587"/>
        <v>0</v>
      </c>
      <c r="P637" s="341">
        <f>SUMIF(GL!$D$6488:$D$6532,B637,GL!$H$6488:$H$6532)</f>
        <v>0</v>
      </c>
      <c r="Q637" s="341">
        <f>SUMIF(GL!$D$6408:$D$6452,B637,GL!$I$6408:$I$6452)</f>
        <v>0</v>
      </c>
      <c r="R637" s="341">
        <f t="shared" ref="R637:S637" si="675">P637+N637</f>
        <v>0</v>
      </c>
      <c r="S637" s="341">
        <f t="shared" si="675"/>
        <v>0</v>
      </c>
      <c r="T637" s="340"/>
      <c r="U637" s="340"/>
      <c r="V637" s="340"/>
      <c r="W637" s="340"/>
      <c r="X637" s="341">
        <f t="shared" si="589"/>
        <v>0</v>
      </c>
      <c r="Y637" s="341">
        <f t="shared" si="590"/>
        <v>0</v>
      </c>
      <c r="Z637" s="364"/>
      <c r="AA637" s="330"/>
      <c r="AB637" s="332"/>
      <c r="AC637" s="332"/>
      <c r="AD637" s="110"/>
      <c r="AE637" s="110"/>
      <c r="AF637" s="110"/>
      <c r="AG637" s="110"/>
      <c r="AH637" s="110"/>
      <c r="AI637" s="110"/>
    </row>
    <row r="638" spans="1:35" ht="13.5" customHeight="1">
      <c r="A638" s="4"/>
      <c r="B638" s="15" t="s">
        <v>2981</v>
      </c>
      <c r="C638" s="363" t="s">
        <v>4884</v>
      </c>
      <c r="D638" s="254">
        <f>SUMIF(GL!$D$5:$D$6505,B638,GL!$G$5:$G$6505)</f>
        <v>3</v>
      </c>
      <c r="E638" s="341">
        <f>SUMIF(GL!$D$6:$D$6487,B638,GL!$H$6:$H$6487)</f>
        <v>747000</v>
      </c>
      <c r="F638" s="341">
        <f>SUMIF(GL!$D$6:$D$6487,B638,GL!$I$6:$I$6487)</f>
        <v>0</v>
      </c>
      <c r="G638" s="341"/>
      <c r="H638" s="341"/>
      <c r="I638" s="341">
        <f t="shared" si="626"/>
        <v>747000</v>
      </c>
      <c r="J638" s="341">
        <f t="shared" si="627"/>
        <v>0</v>
      </c>
      <c r="K638" s="341"/>
      <c r="L638" s="342"/>
      <c r="M638" s="342"/>
      <c r="N638" s="341">
        <f t="shared" si="586"/>
        <v>747000</v>
      </c>
      <c r="O638" s="341">
        <f t="shared" si="587"/>
        <v>0</v>
      </c>
      <c r="P638" s="341">
        <f>SUMIF(GL!$D$6488:$D$6532,B638,GL!$H$6488:$H$6532)</f>
        <v>0</v>
      </c>
      <c r="Q638" s="341">
        <f>SUMIF(GL!$D$6408:$D$6452,B638,GL!$I$6408:$I$6452)</f>
        <v>0</v>
      </c>
      <c r="R638" s="341">
        <f t="shared" ref="R638:S638" si="676">P638+N638</f>
        <v>747000</v>
      </c>
      <c r="S638" s="341">
        <f t="shared" si="676"/>
        <v>0</v>
      </c>
      <c r="T638" s="340"/>
      <c r="U638" s="340"/>
      <c r="V638" s="340"/>
      <c r="W638" s="340"/>
      <c r="X638" s="341">
        <f t="shared" si="589"/>
        <v>747000</v>
      </c>
      <c r="Y638" s="341">
        <f t="shared" si="590"/>
        <v>0</v>
      </c>
      <c r="Z638" s="364"/>
      <c r="AA638" s="330"/>
      <c r="AB638" s="332"/>
      <c r="AC638" s="332"/>
      <c r="AD638" s="110"/>
      <c r="AE638" s="110"/>
      <c r="AF638" s="110"/>
      <c r="AG638" s="110"/>
      <c r="AH638" s="110"/>
      <c r="AI638" s="110"/>
    </row>
    <row r="639" spans="1:35" ht="13.5" customHeight="1">
      <c r="A639" s="4"/>
      <c r="B639" s="15" t="s">
        <v>2983</v>
      </c>
      <c r="C639" s="363" t="s">
        <v>4885</v>
      </c>
      <c r="D639" s="254">
        <f>SUMIF(GL!$D$5:$D$6505,B639,GL!$G$5:$G$6505)</f>
        <v>3</v>
      </c>
      <c r="E639" s="341">
        <f>SUMIF(GL!$D$6:$D$6487,B639,GL!$H$6:$H$6487)</f>
        <v>747000</v>
      </c>
      <c r="F639" s="341">
        <f>SUMIF(GL!$D$6:$D$6487,B639,GL!$I$6:$I$6487)</f>
        <v>0</v>
      </c>
      <c r="G639" s="341"/>
      <c r="H639" s="341"/>
      <c r="I639" s="341">
        <f t="shared" si="626"/>
        <v>747000</v>
      </c>
      <c r="J639" s="341">
        <f t="shared" si="627"/>
        <v>0</v>
      </c>
      <c r="K639" s="341"/>
      <c r="L639" s="342"/>
      <c r="M639" s="342"/>
      <c r="N639" s="341">
        <f t="shared" si="586"/>
        <v>747000</v>
      </c>
      <c r="O639" s="341">
        <f t="shared" si="587"/>
        <v>0</v>
      </c>
      <c r="P639" s="341">
        <f>SUMIF(GL!$D$6488:$D$6532,B639,GL!$H$6488:$H$6532)</f>
        <v>0</v>
      </c>
      <c r="Q639" s="341">
        <f>SUMIF(GL!$D$6408:$D$6452,B639,GL!$I$6408:$I$6452)</f>
        <v>0</v>
      </c>
      <c r="R639" s="341">
        <f t="shared" ref="R639:S639" si="677">P639+N639</f>
        <v>747000</v>
      </c>
      <c r="S639" s="341">
        <f t="shared" si="677"/>
        <v>0</v>
      </c>
      <c r="T639" s="340"/>
      <c r="U639" s="340"/>
      <c r="V639" s="340"/>
      <c r="W639" s="340"/>
      <c r="X639" s="341">
        <f t="shared" si="589"/>
        <v>747000</v>
      </c>
      <c r="Y639" s="341">
        <f t="shared" si="590"/>
        <v>0</v>
      </c>
      <c r="Z639" s="364"/>
      <c r="AA639" s="330"/>
      <c r="AB639" s="332"/>
      <c r="AC639" s="332"/>
      <c r="AD639" s="110"/>
      <c r="AE639" s="110"/>
      <c r="AF639" s="110"/>
      <c r="AG639" s="110"/>
      <c r="AH639" s="110"/>
      <c r="AI639" s="110"/>
    </row>
    <row r="640" spans="1:35" ht="13.5" customHeight="1">
      <c r="A640" s="4"/>
      <c r="B640" s="15" t="s">
        <v>4886</v>
      </c>
      <c r="C640" s="363" t="s">
        <v>4887</v>
      </c>
      <c r="D640" s="254">
        <f>SUMIF(GL!$D$5:$D$6505,B640,GL!$G$5:$G$6505)</f>
        <v>0</v>
      </c>
      <c r="E640" s="341">
        <f>SUMIF(GL!$D$6:$D$6487,B640,GL!$H$6:$H$6487)</f>
        <v>0</v>
      </c>
      <c r="F640" s="341">
        <f>SUMIF(GL!$D$6:$D$6487,B640,GL!$I$6:$I$6487)</f>
        <v>0</v>
      </c>
      <c r="G640" s="341"/>
      <c r="H640" s="341"/>
      <c r="I640" s="341">
        <f t="shared" si="626"/>
        <v>0</v>
      </c>
      <c r="J640" s="341">
        <f t="shared" si="627"/>
        <v>0</v>
      </c>
      <c r="K640" s="341"/>
      <c r="L640" s="342"/>
      <c r="M640" s="342"/>
      <c r="N640" s="341">
        <f t="shared" si="586"/>
        <v>0</v>
      </c>
      <c r="O640" s="341">
        <f t="shared" si="587"/>
        <v>0</v>
      </c>
      <c r="P640" s="341">
        <f>SUMIF(GL!$D$6488:$D$6532,B640,GL!$H$6488:$H$6532)</f>
        <v>0</v>
      </c>
      <c r="Q640" s="341">
        <f>SUMIF(GL!$D$6408:$D$6452,B640,GL!$I$6408:$I$6452)</f>
        <v>0</v>
      </c>
      <c r="R640" s="341">
        <f t="shared" ref="R640:S640" si="678">P640+N640</f>
        <v>0</v>
      </c>
      <c r="S640" s="341">
        <f t="shared" si="678"/>
        <v>0</v>
      </c>
      <c r="T640" s="340"/>
      <c r="U640" s="340"/>
      <c r="V640" s="340"/>
      <c r="W640" s="340"/>
      <c r="X640" s="341">
        <f t="shared" si="589"/>
        <v>0</v>
      </c>
      <c r="Y640" s="341">
        <f t="shared" si="590"/>
        <v>0</v>
      </c>
      <c r="Z640" s="364"/>
      <c r="AA640" s="330"/>
      <c r="AB640" s="332"/>
      <c r="AC640" s="332"/>
      <c r="AD640" s="110"/>
      <c r="AE640" s="110"/>
      <c r="AF640" s="110"/>
      <c r="AG640" s="110"/>
      <c r="AH640" s="110"/>
      <c r="AI640" s="110"/>
    </row>
    <row r="641" spans="1:35" ht="13.5" customHeight="1">
      <c r="A641" s="4"/>
      <c r="B641" s="15" t="s">
        <v>2985</v>
      </c>
      <c r="C641" s="341" t="s">
        <v>4888</v>
      </c>
      <c r="D641" s="254">
        <f>SUMIF(GL!$D$5:$D$6505,B641,GL!$G$5:$G$6505)</f>
        <v>3</v>
      </c>
      <c r="E641" s="341">
        <f>SUMIF(GL!$D$6:$D$6487,B641,GL!$H$6:$H$6487)</f>
        <v>747000</v>
      </c>
      <c r="F641" s="341">
        <f>SUMIF(GL!$D$6:$D$6487,B641,GL!$I$6:$I$6487)</f>
        <v>0</v>
      </c>
      <c r="G641" s="341"/>
      <c r="H641" s="341"/>
      <c r="I641" s="341">
        <f t="shared" si="626"/>
        <v>747000</v>
      </c>
      <c r="J641" s="341">
        <f t="shared" si="627"/>
        <v>0</v>
      </c>
      <c r="K641" s="341"/>
      <c r="L641" s="342"/>
      <c r="M641" s="342"/>
      <c r="N641" s="341">
        <f t="shared" si="586"/>
        <v>747000</v>
      </c>
      <c r="O641" s="341">
        <f t="shared" si="587"/>
        <v>0</v>
      </c>
      <c r="P641" s="341">
        <f>SUMIF(GL!$D$6488:$D$6532,B641,GL!$H$6488:$H$6532)</f>
        <v>0</v>
      </c>
      <c r="Q641" s="341">
        <f>SUMIF(GL!$D$6408:$D$6452,B641,GL!$I$6408:$I$6452)</f>
        <v>0</v>
      </c>
      <c r="R641" s="341">
        <f t="shared" ref="R641:S641" si="679">P641+N641</f>
        <v>747000</v>
      </c>
      <c r="S641" s="341">
        <f t="shared" si="679"/>
        <v>0</v>
      </c>
      <c r="T641" s="340"/>
      <c r="U641" s="340"/>
      <c r="V641" s="340"/>
      <c r="W641" s="340"/>
      <c r="X641" s="341">
        <f t="shared" si="589"/>
        <v>747000</v>
      </c>
      <c r="Y641" s="341">
        <f t="shared" si="590"/>
        <v>0</v>
      </c>
      <c r="Z641" s="364"/>
      <c r="AA641" s="330"/>
      <c r="AB641" s="332"/>
      <c r="AC641" s="332"/>
      <c r="AD641" s="110"/>
      <c r="AE641" s="110"/>
      <c r="AF641" s="110"/>
      <c r="AG641" s="110"/>
      <c r="AH641" s="110"/>
      <c r="AI641" s="110"/>
    </row>
    <row r="642" spans="1:35" ht="13.5" customHeight="1">
      <c r="A642" s="4"/>
      <c r="B642" s="15" t="s">
        <v>2979</v>
      </c>
      <c r="C642" s="363" t="s">
        <v>4889</v>
      </c>
      <c r="D642" s="254">
        <f>SUMIF(GL!$D$5:$D$6505,B642,GL!$G$5:$G$6505)</f>
        <v>3</v>
      </c>
      <c r="E642" s="341">
        <f>SUMIF(GL!$D$6:$D$6487,B642,GL!$H$6:$H$6487)</f>
        <v>747000</v>
      </c>
      <c r="F642" s="341">
        <f>SUMIF(GL!$D$6:$D$6487,B642,GL!$I$6:$I$6487)</f>
        <v>0</v>
      </c>
      <c r="G642" s="341"/>
      <c r="H642" s="341"/>
      <c r="I642" s="341">
        <f t="shared" si="626"/>
        <v>747000</v>
      </c>
      <c r="J642" s="341">
        <f t="shared" si="627"/>
        <v>0</v>
      </c>
      <c r="K642" s="341"/>
      <c r="L642" s="342"/>
      <c r="M642" s="342"/>
      <c r="N642" s="341">
        <f t="shared" si="586"/>
        <v>747000</v>
      </c>
      <c r="O642" s="341">
        <f t="shared" si="587"/>
        <v>0</v>
      </c>
      <c r="P642" s="341">
        <f>SUMIF(GL!$D$6488:$D$6532,B642,GL!$H$6488:$H$6532)</f>
        <v>0</v>
      </c>
      <c r="Q642" s="341">
        <f>SUMIF(GL!$D$6408:$D$6452,B642,GL!$I$6408:$I$6452)</f>
        <v>0</v>
      </c>
      <c r="R642" s="341">
        <f t="shared" ref="R642:S642" si="680">P642+N642</f>
        <v>747000</v>
      </c>
      <c r="S642" s="341">
        <f t="shared" si="680"/>
        <v>0</v>
      </c>
      <c r="T642" s="340"/>
      <c r="U642" s="340"/>
      <c r="V642" s="340"/>
      <c r="W642" s="340"/>
      <c r="X642" s="341">
        <f t="shared" si="589"/>
        <v>747000</v>
      </c>
      <c r="Y642" s="341">
        <f t="shared" si="590"/>
        <v>0</v>
      </c>
      <c r="Z642" s="364"/>
      <c r="AA642" s="330"/>
      <c r="AB642" s="332"/>
      <c r="AC642" s="332"/>
      <c r="AD642" s="110"/>
      <c r="AE642" s="110"/>
      <c r="AF642" s="110"/>
      <c r="AG642" s="110"/>
      <c r="AH642" s="110"/>
      <c r="AI642" s="110"/>
    </row>
    <row r="643" spans="1:35" ht="13.5" customHeight="1">
      <c r="A643" s="4"/>
      <c r="B643" s="15" t="s">
        <v>4890</v>
      </c>
      <c r="C643" s="363" t="s">
        <v>4891</v>
      </c>
      <c r="D643" s="254">
        <f>SUMIF(GL!$D$5:$D$6505,B643,GL!$G$5:$G$6505)</f>
        <v>0</v>
      </c>
      <c r="E643" s="341">
        <f>SUMIF(GL!$D$6:$D$6487,B643,GL!$H$6:$H$6487)</f>
        <v>0</v>
      </c>
      <c r="F643" s="341">
        <f>SUMIF(GL!$D$6:$D$6487,B643,GL!$I$6:$I$6487)</f>
        <v>0</v>
      </c>
      <c r="G643" s="341"/>
      <c r="H643" s="341"/>
      <c r="I643" s="341">
        <f t="shared" si="626"/>
        <v>0</v>
      </c>
      <c r="J643" s="341">
        <f t="shared" si="627"/>
        <v>0</v>
      </c>
      <c r="K643" s="341"/>
      <c r="L643" s="342"/>
      <c r="M643" s="342"/>
      <c r="N643" s="341">
        <f t="shared" si="586"/>
        <v>0</v>
      </c>
      <c r="O643" s="341">
        <f t="shared" si="587"/>
        <v>0</v>
      </c>
      <c r="P643" s="341">
        <f>SUMIF(GL!$D$6488:$D$6532,B643,GL!$H$6488:$H$6532)</f>
        <v>0</v>
      </c>
      <c r="Q643" s="341">
        <f>SUMIF(GL!$D$6408:$D$6452,B643,GL!$I$6408:$I$6452)</f>
        <v>0</v>
      </c>
      <c r="R643" s="341">
        <f t="shared" ref="R643:S643" si="681">P643+N643</f>
        <v>0</v>
      </c>
      <c r="S643" s="341">
        <f t="shared" si="681"/>
        <v>0</v>
      </c>
      <c r="T643" s="340"/>
      <c r="U643" s="340"/>
      <c r="V643" s="340"/>
      <c r="W643" s="340"/>
      <c r="X643" s="341">
        <f t="shared" si="589"/>
        <v>0</v>
      </c>
      <c r="Y643" s="341">
        <f t="shared" si="590"/>
        <v>0</v>
      </c>
      <c r="Z643" s="364"/>
      <c r="AA643" s="330"/>
      <c r="AB643" s="332"/>
      <c r="AC643" s="332"/>
      <c r="AD643" s="110"/>
      <c r="AE643" s="110"/>
      <c r="AF643" s="110"/>
      <c r="AG643" s="110"/>
      <c r="AH643" s="110"/>
      <c r="AI643" s="110"/>
    </row>
    <row r="644" spans="1:35" ht="13.5" customHeight="1">
      <c r="A644" s="4"/>
      <c r="B644" s="15" t="s">
        <v>4892</v>
      </c>
      <c r="C644" s="363" t="s">
        <v>4893</v>
      </c>
      <c r="D644" s="254">
        <f>SUMIF(GL!$D$5:$D$6505,B644,GL!$G$5:$G$6505)</f>
        <v>0</v>
      </c>
      <c r="E644" s="341">
        <f>SUMIF(GL!$D$6:$D$6487,B644,GL!$H$6:$H$6487)</f>
        <v>0</v>
      </c>
      <c r="F644" s="341">
        <f>SUMIF(GL!$D$6:$D$6487,B644,GL!$I$6:$I$6487)</f>
        <v>0</v>
      </c>
      <c r="G644" s="341"/>
      <c r="H644" s="341"/>
      <c r="I644" s="341">
        <f t="shared" si="626"/>
        <v>0</v>
      </c>
      <c r="J644" s="341">
        <f t="shared" si="627"/>
        <v>0</v>
      </c>
      <c r="K644" s="341"/>
      <c r="L644" s="342"/>
      <c r="M644" s="342"/>
      <c r="N644" s="341">
        <f t="shared" si="586"/>
        <v>0</v>
      </c>
      <c r="O644" s="341">
        <f t="shared" si="587"/>
        <v>0</v>
      </c>
      <c r="P644" s="341">
        <f>SUMIF(GL!$D$6488:$D$6532,B644,GL!$H$6488:$H$6532)</f>
        <v>0</v>
      </c>
      <c r="Q644" s="341">
        <f>SUMIF(GL!$D$6408:$D$6452,B644,GL!$I$6408:$I$6452)</f>
        <v>0</v>
      </c>
      <c r="R644" s="341">
        <f t="shared" ref="R644:S644" si="682">P644+N644</f>
        <v>0</v>
      </c>
      <c r="S644" s="341">
        <f t="shared" si="682"/>
        <v>0</v>
      </c>
      <c r="T644" s="340"/>
      <c r="U644" s="340"/>
      <c r="V644" s="340"/>
      <c r="W644" s="340"/>
      <c r="X644" s="341">
        <f t="shared" si="589"/>
        <v>0</v>
      </c>
      <c r="Y644" s="341">
        <f t="shared" si="590"/>
        <v>0</v>
      </c>
      <c r="Z644" s="364"/>
      <c r="AA644" s="330"/>
      <c r="AB644" s="332"/>
      <c r="AC644" s="332"/>
      <c r="AD644" s="110"/>
      <c r="AE644" s="110"/>
      <c r="AF644" s="110"/>
      <c r="AG644" s="110"/>
      <c r="AH644" s="110"/>
      <c r="AI644" s="110"/>
    </row>
    <row r="645" spans="1:35" ht="13.5" customHeight="1">
      <c r="A645" s="4"/>
      <c r="B645" s="15" t="s">
        <v>4894</v>
      </c>
      <c r="C645" s="363" t="s">
        <v>4895</v>
      </c>
      <c r="D645" s="254">
        <f>SUMIF(GL!$D$5:$D$6505,B645,GL!$G$5:$G$6505)</f>
        <v>0</v>
      </c>
      <c r="E645" s="341">
        <f>SUMIF(GL!$D$6:$D$6487,B645,GL!$H$6:$H$6487)</f>
        <v>0</v>
      </c>
      <c r="F645" s="341">
        <f>SUMIF(GL!$D$6:$D$6487,B645,GL!$I$6:$I$6487)</f>
        <v>0</v>
      </c>
      <c r="G645" s="341"/>
      <c r="H645" s="341"/>
      <c r="I645" s="341">
        <f t="shared" si="626"/>
        <v>0</v>
      </c>
      <c r="J645" s="341">
        <f t="shared" si="627"/>
        <v>0</v>
      </c>
      <c r="K645" s="341"/>
      <c r="L645" s="342"/>
      <c r="M645" s="342"/>
      <c r="N645" s="341">
        <f t="shared" si="586"/>
        <v>0</v>
      </c>
      <c r="O645" s="341">
        <f t="shared" si="587"/>
        <v>0</v>
      </c>
      <c r="P645" s="341">
        <f>SUMIF(GL!$D$6488:$D$6532,B645,GL!$H$6488:$H$6532)</f>
        <v>0</v>
      </c>
      <c r="Q645" s="341">
        <f>SUMIF(GL!$D$6408:$D$6452,B645,GL!$I$6408:$I$6452)</f>
        <v>0</v>
      </c>
      <c r="R645" s="341">
        <f t="shared" ref="R645:S645" si="683">P645+N645</f>
        <v>0</v>
      </c>
      <c r="S645" s="341">
        <f t="shared" si="683"/>
        <v>0</v>
      </c>
      <c r="T645" s="340"/>
      <c r="U645" s="340"/>
      <c r="V645" s="340"/>
      <c r="W645" s="340"/>
      <c r="X645" s="341">
        <f t="shared" si="589"/>
        <v>0</v>
      </c>
      <c r="Y645" s="341">
        <f t="shared" si="590"/>
        <v>0</v>
      </c>
      <c r="Z645" s="364"/>
      <c r="AA645" s="330"/>
      <c r="AB645" s="332"/>
      <c r="AC645" s="332"/>
      <c r="AD645" s="110"/>
      <c r="AE645" s="110"/>
      <c r="AF645" s="110"/>
      <c r="AG645" s="110"/>
      <c r="AH645" s="110"/>
      <c r="AI645" s="110"/>
    </row>
    <row r="646" spans="1:35" ht="13.5" customHeight="1">
      <c r="A646" s="4"/>
      <c r="B646" s="15" t="s">
        <v>4896</v>
      </c>
      <c r="C646" s="363" t="s">
        <v>4897</v>
      </c>
      <c r="D646" s="254">
        <f>SUMIF(GL!$D$5:$D$6505,B646,GL!$G$5:$G$6505)</f>
        <v>0</v>
      </c>
      <c r="E646" s="341">
        <f>SUMIF(GL!$D$6:$D$6487,B646,GL!$H$6:$H$6487)</f>
        <v>0</v>
      </c>
      <c r="F646" s="341">
        <f>SUMIF(GL!$D$6:$D$6487,B646,GL!$I$6:$I$6487)</f>
        <v>0</v>
      </c>
      <c r="G646" s="341"/>
      <c r="H646" s="341"/>
      <c r="I646" s="341">
        <f t="shared" si="626"/>
        <v>0</v>
      </c>
      <c r="J646" s="341">
        <f t="shared" si="627"/>
        <v>0</v>
      </c>
      <c r="K646" s="341"/>
      <c r="L646" s="342"/>
      <c r="M646" s="342"/>
      <c r="N646" s="341">
        <f t="shared" si="586"/>
        <v>0</v>
      </c>
      <c r="O646" s="341">
        <f t="shared" si="587"/>
        <v>0</v>
      </c>
      <c r="P646" s="341">
        <f>SUMIF(GL!$D$6488:$D$6532,B646,GL!$H$6488:$H$6532)</f>
        <v>0</v>
      </c>
      <c r="Q646" s="341">
        <f>SUMIF(GL!$D$6408:$D$6452,B646,GL!$I$6408:$I$6452)</f>
        <v>0</v>
      </c>
      <c r="R646" s="341">
        <f t="shared" ref="R646:S646" si="684">P646+N646</f>
        <v>0</v>
      </c>
      <c r="S646" s="341">
        <f t="shared" si="684"/>
        <v>0</v>
      </c>
      <c r="T646" s="340"/>
      <c r="U646" s="340"/>
      <c r="V646" s="340"/>
      <c r="W646" s="340"/>
      <c r="X646" s="341">
        <f t="shared" si="589"/>
        <v>0</v>
      </c>
      <c r="Y646" s="341">
        <f t="shared" si="590"/>
        <v>0</v>
      </c>
      <c r="Z646" s="364"/>
      <c r="AA646" s="330"/>
      <c r="AB646" s="332"/>
      <c r="AC646" s="332"/>
      <c r="AD646" s="110"/>
      <c r="AE646" s="110"/>
      <c r="AF646" s="110"/>
      <c r="AG646" s="110"/>
      <c r="AH646" s="110"/>
      <c r="AI646" s="110"/>
    </row>
    <row r="647" spans="1:35" ht="13.5" customHeight="1">
      <c r="A647" s="4"/>
      <c r="B647" s="15" t="s">
        <v>4898</v>
      </c>
      <c r="C647" s="341" t="s">
        <v>4899</v>
      </c>
      <c r="D647" s="254">
        <f>SUMIF(GL!$D$5:$D$6505,B647,GL!$G$5:$G$6505)</f>
        <v>0</v>
      </c>
      <c r="E647" s="341">
        <f>SUMIF(GL!$D$6:$D$6487,B647,GL!$H$6:$H$6487)</f>
        <v>0</v>
      </c>
      <c r="F647" s="341">
        <f>SUMIF(GL!$D$6:$D$6487,B647,GL!$I$6:$I$6487)</f>
        <v>0</v>
      </c>
      <c r="G647" s="341"/>
      <c r="H647" s="341"/>
      <c r="I647" s="341">
        <f t="shared" si="626"/>
        <v>0</v>
      </c>
      <c r="J647" s="341">
        <f t="shared" si="627"/>
        <v>0</v>
      </c>
      <c r="K647" s="341"/>
      <c r="L647" s="342"/>
      <c r="M647" s="342"/>
      <c r="N647" s="341">
        <f t="shared" si="586"/>
        <v>0</v>
      </c>
      <c r="O647" s="341">
        <f t="shared" si="587"/>
        <v>0</v>
      </c>
      <c r="P647" s="341">
        <f>SUMIF(GL!$D$6488:$D$6532,B647,GL!$H$6488:$H$6532)</f>
        <v>0</v>
      </c>
      <c r="Q647" s="341">
        <f>SUMIF(GL!$D$6408:$D$6452,B647,GL!$I$6408:$I$6452)</f>
        <v>0</v>
      </c>
      <c r="R647" s="341">
        <f t="shared" ref="R647:S647" si="685">P647+N647</f>
        <v>0</v>
      </c>
      <c r="S647" s="341">
        <f t="shared" si="685"/>
        <v>0</v>
      </c>
      <c r="T647" s="340"/>
      <c r="U647" s="340"/>
      <c r="V647" s="340"/>
      <c r="W647" s="340"/>
      <c r="X647" s="341">
        <f t="shared" si="589"/>
        <v>0</v>
      </c>
      <c r="Y647" s="341">
        <f t="shared" si="590"/>
        <v>0</v>
      </c>
      <c r="Z647" s="364"/>
      <c r="AA647" s="330"/>
      <c r="AB647" s="332"/>
      <c r="AC647" s="332"/>
      <c r="AD647" s="110"/>
      <c r="AE647" s="110"/>
      <c r="AF647" s="110"/>
      <c r="AG647" s="110"/>
      <c r="AH647" s="110"/>
      <c r="AI647" s="110"/>
    </row>
    <row r="648" spans="1:35" ht="13.5" customHeight="1">
      <c r="A648" s="4"/>
      <c r="B648" s="15" t="s">
        <v>4900</v>
      </c>
      <c r="C648" s="341" t="s">
        <v>4901</v>
      </c>
      <c r="D648" s="254">
        <f>SUMIF(GL!$D$5:$D$6505,B648,GL!$G$5:$G$6505)</f>
        <v>0</v>
      </c>
      <c r="E648" s="341">
        <f>SUMIF(GL!$D$6:$D$6487,B648,GL!$H$6:$H$6487)</f>
        <v>0</v>
      </c>
      <c r="F648" s="341">
        <f>SUMIF(GL!$D$6:$D$6487,B648,GL!$I$6:$I$6487)</f>
        <v>0</v>
      </c>
      <c r="G648" s="341"/>
      <c r="H648" s="341"/>
      <c r="I648" s="341">
        <f t="shared" si="626"/>
        <v>0</v>
      </c>
      <c r="J648" s="341">
        <f t="shared" si="627"/>
        <v>0</v>
      </c>
      <c r="K648" s="341"/>
      <c r="L648" s="342"/>
      <c r="M648" s="342"/>
      <c r="N648" s="341">
        <f t="shared" si="586"/>
        <v>0</v>
      </c>
      <c r="O648" s="341">
        <f t="shared" si="587"/>
        <v>0</v>
      </c>
      <c r="P648" s="341">
        <f>SUMIF(GL!$D$6488:$D$6532,B648,GL!$H$6488:$H$6532)</f>
        <v>0</v>
      </c>
      <c r="Q648" s="341">
        <f>SUMIF(GL!$D$6408:$D$6452,B648,GL!$I$6408:$I$6452)</f>
        <v>0</v>
      </c>
      <c r="R648" s="341">
        <f t="shared" ref="R648:S648" si="686">P648+N648</f>
        <v>0</v>
      </c>
      <c r="S648" s="341">
        <f t="shared" si="686"/>
        <v>0</v>
      </c>
      <c r="T648" s="340"/>
      <c r="U648" s="340"/>
      <c r="V648" s="340"/>
      <c r="W648" s="340"/>
      <c r="X648" s="341">
        <f t="shared" si="589"/>
        <v>0</v>
      </c>
      <c r="Y648" s="341">
        <f t="shared" si="590"/>
        <v>0</v>
      </c>
      <c r="Z648" s="364"/>
      <c r="AA648" s="330"/>
      <c r="AB648" s="332"/>
      <c r="AC648" s="332"/>
      <c r="AD648" s="110"/>
      <c r="AE648" s="110"/>
      <c r="AF648" s="110"/>
      <c r="AG648" s="110"/>
      <c r="AH648" s="110"/>
      <c r="AI648" s="110"/>
    </row>
    <row r="649" spans="1:35" ht="13.5" customHeight="1">
      <c r="A649" s="4"/>
      <c r="B649" s="15" t="s">
        <v>4902</v>
      </c>
      <c r="C649" s="341" t="s">
        <v>4903</v>
      </c>
      <c r="D649" s="254">
        <f>SUMIF(GL!$D$5:$D$6505,B649,GL!$G$5:$G$6505)</f>
        <v>0</v>
      </c>
      <c r="E649" s="341">
        <f>SUMIF(GL!$D$6:$D$6487,B649,GL!$H$6:$H$6487)</f>
        <v>0</v>
      </c>
      <c r="F649" s="341">
        <f>SUMIF(GL!$D$6:$D$6487,B649,GL!$I$6:$I$6487)</f>
        <v>0</v>
      </c>
      <c r="G649" s="341"/>
      <c r="H649" s="341"/>
      <c r="I649" s="341">
        <f t="shared" si="626"/>
        <v>0</v>
      </c>
      <c r="J649" s="341">
        <f t="shared" si="627"/>
        <v>0</v>
      </c>
      <c r="K649" s="341"/>
      <c r="L649" s="342"/>
      <c r="M649" s="342"/>
      <c r="N649" s="341">
        <f t="shared" si="586"/>
        <v>0</v>
      </c>
      <c r="O649" s="341">
        <f t="shared" si="587"/>
        <v>0</v>
      </c>
      <c r="P649" s="341">
        <f>SUMIF(GL!$D$6488:$D$6532,B649,GL!$H$6488:$H$6532)</f>
        <v>0</v>
      </c>
      <c r="Q649" s="341">
        <f>SUMIF(GL!$D$6408:$D$6452,B649,GL!$I$6408:$I$6452)</f>
        <v>0</v>
      </c>
      <c r="R649" s="341">
        <f t="shared" ref="R649:S649" si="687">P649+N649</f>
        <v>0</v>
      </c>
      <c r="S649" s="341">
        <f t="shared" si="687"/>
        <v>0</v>
      </c>
      <c r="T649" s="340"/>
      <c r="U649" s="340"/>
      <c r="V649" s="340"/>
      <c r="W649" s="340"/>
      <c r="X649" s="341">
        <f t="shared" si="589"/>
        <v>0</v>
      </c>
      <c r="Y649" s="341">
        <f t="shared" si="590"/>
        <v>0</v>
      </c>
      <c r="Z649" s="364"/>
      <c r="AA649" s="330"/>
      <c r="AB649" s="332"/>
      <c r="AC649" s="332"/>
      <c r="AD649" s="110"/>
      <c r="AE649" s="110"/>
      <c r="AF649" s="110"/>
      <c r="AG649" s="110"/>
      <c r="AH649" s="110"/>
      <c r="AI649" s="110"/>
    </row>
    <row r="650" spans="1:35" ht="13.5" customHeight="1">
      <c r="A650" s="4"/>
      <c r="B650" s="15" t="s">
        <v>4904</v>
      </c>
      <c r="C650" s="341" t="s">
        <v>4905</v>
      </c>
      <c r="D650" s="254">
        <f>SUMIF(GL!$D$5:$D$6505,B650,GL!$G$5:$G$6505)</f>
        <v>0</v>
      </c>
      <c r="E650" s="341">
        <f>SUMIF(GL!$D$6:$D$6487,B650,GL!$H$6:$H$6487)</f>
        <v>0</v>
      </c>
      <c r="F650" s="341">
        <f>SUMIF(GL!$D$6:$D$6487,B650,GL!$I$6:$I$6487)</f>
        <v>0</v>
      </c>
      <c r="G650" s="341"/>
      <c r="H650" s="341"/>
      <c r="I650" s="341">
        <f t="shared" si="626"/>
        <v>0</v>
      </c>
      <c r="J650" s="341">
        <f t="shared" si="627"/>
        <v>0</v>
      </c>
      <c r="K650" s="341"/>
      <c r="L650" s="342"/>
      <c r="M650" s="342"/>
      <c r="N650" s="341">
        <f t="shared" si="586"/>
        <v>0</v>
      </c>
      <c r="O650" s="341">
        <f t="shared" si="587"/>
        <v>0</v>
      </c>
      <c r="P650" s="341">
        <f>SUMIF(GL!$D$6488:$D$6532,B650,GL!$H$6488:$H$6532)</f>
        <v>0</v>
      </c>
      <c r="Q650" s="341">
        <f>SUMIF(GL!$D$6408:$D$6452,B650,GL!$I$6408:$I$6452)</f>
        <v>0</v>
      </c>
      <c r="R650" s="341">
        <f t="shared" ref="R650:S650" si="688">P650+N650</f>
        <v>0</v>
      </c>
      <c r="S650" s="341">
        <f t="shared" si="688"/>
        <v>0</v>
      </c>
      <c r="T650" s="340"/>
      <c r="U650" s="340"/>
      <c r="V650" s="340"/>
      <c r="W650" s="340"/>
      <c r="X650" s="341">
        <f t="shared" si="589"/>
        <v>0</v>
      </c>
      <c r="Y650" s="341">
        <f t="shared" si="590"/>
        <v>0</v>
      </c>
      <c r="Z650" s="364"/>
      <c r="AA650" s="330"/>
      <c r="AB650" s="332"/>
      <c r="AC650" s="332"/>
      <c r="AD650" s="110"/>
      <c r="AE650" s="110"/>
      <c r="AF650" s="110"/>
      <c r="AG650" s="110"/>
      <c r="AH650" s="110"/>
      <c r="AI650" s="110"/>
    </row>
    <row r="651" spans="1:35" ht="13.5" customHeight="1">
      <c r="A651" s="4"/>
      <c r="B651" s="15" t="s">
        <v>4906</v>
      </c>
      <c r="C651" s="363" t="s">
        <v>4907</v>
      </c>
      <c r="D651" s="254">
        <f>SUMIF(GL!$D$5:$D$6505,B651,GL!$G$5:$G$6505)</f>
        <v>0</v>
      </c>
      <c r="E651" s="341">
        <f>SUMIF(GL!$D$6:$D$6487,B651,GL!$H$6:$H$6487)</f>
        <v>0</v>
      </c>
      <c r="F651" s="341">
        <f>SUMIF(GL!$D$6:$D$6487,B651,GL!$I$6:$I$6487)</f>
        <v>0</v>
      </c>
      <c r="G651" s="341"/>
      <c r="H651" s="341"/>
      <c r="I651" s="341">
        <f t="shared" si="626"/>
        <v>0</v>
      </c>
      <c r="J651" s="341">
        <f t="shared" si="627"/>
        <v>0</v>
      </c>
      <c r="K651" s="341"/>
      <c r="L651" s="342"/>
      <c r="M651" s="342"/>
      <c r="N651" s="341">
        <f t="shared" si="586"/>
        <v>0</v>
      </c>
      <c r="O651" s="341">
        <f t="shared" si="587"/>
        <v>0</v>
      </c>
      <c r="P651" s="341">
        <f>SUMIF(GL!$D$6488:$D$6532,B651,GL!$H$6488:$H$6532)</f>
        <v>0</v>
      </c>
      <c r="Q651" s="341">
        <f>SUMIF(GL!$D$6408:$D$6452,B651,GL!$I$6408:$I$6452)</f>
        <v>0</v>
      </c>
      <c r="R651" s="341">
        <f t="shared" ref="R651:S651" si="689">P651+N651</f>
        <v>0</v>
      </c>
      <c r="S651" s="341">
        <f t="shared" si="689"/>
        <v>0</v>
      </c>
      <c r="T651" s="340"/>
      <c r="U651" s="340"/>
      <c r="V651" s="340"/>
      <c r="W651" s="340"/>
      <c r="X651" s="341">
        <f t="shared" si="589"/>
        <v>0</v>
      </c>
      <c r="Y651" s="341">
        <f t="shared" si="590"/>
        <v>0</v>
      </c>
      <c r="Z651" s="364"/>
      <c r="AA651" s="330"/>
      <c r="AB651" s="332"/>
      <c r="AC651" s="332"/>
      <c r="AD651" s="110"/>
      <c r="AE651" s="110"/>
      <c r="AF651" s="110"/>
      <c r="AG651" s="110"/>
      <c r="AH651" s="110"/>
      <c r="AI651" s="110"/>
    </row>
    <row r="652" spans="1:35" ht="13.5" customHeight="1">
      <c r="A652" s="4"/>
      <c r="B652" s="15" t="s">
        <v>4908</v>
      </c>
      <c r="C652" s="363" t="s">
        <v>4909</v>
      </c>
      <c r="D652" s="254">
        <f>SUMIF(GL!$D$5:$D$6505,B652,GL!$G$5:$G$6505)</f>
        <v>0</v>
      </c>
      <c r="E652" s="341">
        <f>SUMIF(GL!$D$6:$D$6487,B652,GL!$H$6:$H$6487)</f>
        <v>0</v>
      </c>
      <c r="F652" s="341">
        <f>SUMIF(GL!$D$6:$D$6487,B652,GL!$I$6:$I$6487)</f>
        <v>0</v>
      </c>
      <c r="G652" s="341"/>
      <c r="H652" s="341"/>
      <c r="I652" s="341">
        <f t="shared" si="626"/>
        <v>0</v>
      </c>
      <c r="J652" s="341">
        <f t="shared" si="627"/>
        <v>0</v>
      </c>
      <c r="K652" s="341"/>
      <c r="L652" s="342"/>
      <c r="M652" s="342"/>
      <c r="N652" s="341">
        <f t="shared" si="586"/>
        <v>0</v>
      </c>
      <c r="O652" s="341">
        <f t="shared" si="587"/>
        <v>0</v>
      </c>
      <c r="P652" s="341">
        <f>SUMIF(GL!$D$6488:$D$6532,B652,GL!$H$6488:$H$6532)</f>
        <v>0</v>
      </c>
      <c r="Q652" s="341">
        <f>SUMIF(GL!$D$6408:$D$6452,B652,GL!$I$6408:$I$6452)</f>
        <v>0</v>
      </c>
      <c r="R652" s="341">
        <f t="shared" ref="R652:S652" si="690">P652+N652</f>
        <v>0</v>
      </c>
      <c r="S652" s="341">
        <f t="shared" si="690"/>
        <v>0</v>
      </c>
      <c r="T652" s="340"/>
      <c r="U652" s="340"/>
      <c r="V652" s="340"/>
      <c r="W652" s="340"/>
      <c r="X652" s="341">
        <f t="shared" si="589"/>
        <v>0</v>
      </c>
      <c r="Y652" s="341">
        <f t="shared" si="590"/>
        <v>0</v>
      </c>
      <c r="Z652" s="364"/>
      <c r="AA652" s="330"/>
      <c r="AB652" s="332"/>
      <c r="AC652" s="332"/>
      <c r="AD652" s="110"/>
      <c r="AE652" s="110"/>
      <c r="AF652" s="110"/>
      <c r="AG652" s="110"/>
      <c r="AH652" s="110"/>
      <c r="AI652" s="110"/>
    </row>
    <row r="653" spans="1:35" ht="13.5" customHeight="1">
      <c r="A653" s="4"/>
      <c r="B653" s="15" t="s">
        <v>4910</v>
      </c>
      <c r="C653" s="363" t="s">
        <v>4911</v>
      </c>
      <c r="D653" s="254">
        <f>SUMIF(GL!$D$5:$D$6505,B653,GL!$G$5:$G$6505)</f>
        <v>0</v>
      </c>
      <c r="E653" s="341">
        <f>SUMIF(GL!$D$6:$D$6487,B653,GL!$H$6:$H$6487)</f>
        <v>0</v>
      </c>
      <c r="F653" s="341">
        <f>SUMIF(GL!$D$6:$D$6487,B653,GL!$I$6:$I$6487)</f>
        <v>0</v>
      </c>
      <c r="G653" s="341"/>
      <c r="H653" s="341"/>
      <c r="I653" s="341">
        <f t="shared" si="626"/>
        <v>0</v>
      </c>
      <c r="J653" s="341">
        <f t="shared" si="627"/>
        <v>0</v>
      </c>
      <c r="K653" s="341"/>
      <c r="L653" s="342"/>
      <c r="M653" s="342"/>
      <c r="N653" s="341">
        <f t="shared" si="586"/>
        <v>0</v>
      </c>
      <c r="O653" s="341">
        <f t="shared" si="587"/>
        <v>0</v>
      </c>
      <c r="P653" s="341">
        <f>SUMIF(GL!$D$6488:$D$6532,B653,GL!$H$6488:$H$6532)</f>
        <v>0</v>
      </c>
      <c r="Q653" s="341">
        <f>SUMIF(GL!$D$6408:$D$6452,B653,GL!$I$6408:$I$6452)</f>
        <v>0</v>
      </c>
      <c r="R653" s="341">
        <f t="shared" ref="R653:S653" si="691">P653+N653</f>
        <v>0</v>
      </c>
      <c r="S653" s="341">
        <f t="shared" si="691"/>
        <v>0</v>
      </c>
      <c r="T653" s="340"/>
      <c r="U653" s="340"/>
      <c r="V653" s="340"/>
      <c r="W653" s="340"/>
      <c r="X653" s="341">
        <f t="shared" si="589"/>
        <v>0</v>
      </c>
      <c r="Y653" s="341">
        <f t="shared" si="590"/>
        <v>0</v>
      </c>
      <c r="Z653" s="364"/>
      <c r="AA653" s="330"/>
      <c r="AB653" s="332"/>
      <c r="AC653" s="332"/>
      <c r="AD653" s="110"/>
      <c r="AE653" s="110"/>
      <c r="AF653" s="110"/>
      <c r="AG653" s="110"/>
      <c r="AH653" s="110"/>
      <c r="AI653" s="110"/>
    </row>
    <row r="654" spans="1:35" ht="13.5" customHeight="1">
      <c r="A654" s="4"/>
      <c r="B654" s="15" t="s">
        <v>4912</v>
      </c>
      <c r="C654" s="363" t="s">
        <v>4913</v>
      </c>
      <c r="D654" s="254">
        <f>SUMIF(GL!$D$5:$D$6505,B654,GL!$G$5:$G$6505)</f>
        <v>0</v>
      </c>
      <c r="E654" s="341">
        <f>SUMIF(GL!$D$6:$D$6487,B654,GL!$H$6:$H$6487)</f>
        <v>0</v>
      </c>
      <c r="F654" s="341">
        <f>SUMIF(GL!$D$6:$D$6487,B654,GL!$I$6:$I$6487)</f>
        <v>0</v>
      </c>
      <c r="G654" s="341"/>
      <c r="H654" s="341"/>
      <c r="I654" s="341">
        <f t="shared" si="626"/>
        <v>0</v>
      </c>
      <c r="J654" s="341">
        <f t="shared" si="627"/>
        <v>0</v>
      </c>
      <c r="K654" s="341"/>
      <c r="L654" s="342"/>
      <c r="M654" s="342"/>
      <c r="N654" s="341">
        <f t="shared" si="586"/>
        <v>0</v>
      </c>
      <c r="O654" s="341">
        <f t="shared" si="587"/>
        <v>0</v>
      </c>
      <c r="P654" s="341">
        <f>SUMIF(GL!$D$6488:$D$6532,B654,GL!$H$6488:$H$6532)</f>
        <v>0</v>
      </c>
      <c r="Q654" s="341">
        <f>SUMIF(GL!$D$6408:$D$6452,B654,GL!$I$6408:$I$6452)</f>
        <v>0</v>
      </c>
      <c r="R654" s="341">
        <f t="shared" ref="R654:S654" si="692">P654+N654</f>
        <v>0</v>
      </c>
      <c r="S654" s="341">
        <f t="shared" si="692"/>
        <v>0</v>
      </c>
      <c r="T654" s="340"/>
      <c r="U654" s="340"/>
      <c r="V654" s="340"/>
      <c r="W654" s="340"/>
      <c r="X654" s="341">
        <f t="shared" si="589"/>
        <v>0</v>
      </c>
      <c r="Y654" s="341">
        <f t="shared" si="590"/>
        <v>0</v>
      </c>
      <c r="Z654" s="364"/>
      <c r="AA654" s="330"/>
      <c r="AB654" s="332"/>
      <c r="AC654" s="332"/>
      <c r="AD654" s="110"/>
      <c r="AE654" s="110"/>
      <c r="AF654" s="110"/>
      <c r="AG654" s="110"/>
      <c r="AH654" s="110"/>
      <c r="AI654" s="110"/>
    </row>
    <row r="655" spans="1:35" ht="13.5" customHeight="1">
      <c r="A655" s="4"/>
      <c r="B655" s="15" t="s">
        <v>4914</v>
      </c>
      <c r="C655" s="363" t="s">
        <v>4915</v>
      </c>
      <c r="D655" s="254">
        <f>SUMIF(GL!$D$5:$D$6505,B655,GL!$G$5:$G$6505)</f>
        <v>0</v>
      </c>
      <c r="E655" s="341">
        <f>SUMIF(GL!$D$6:$D$6487,B655,GL!$H$6:$H$6487)</f>
        <v>0</v>
      </c>
      <c r="F655" s="341">
        <f>SUMIF(GL!$D$6:$D$6487,B655,GL!$I$6:$I$6487)</f>
        <v>0</v>
      </c>
      <c r="G655" s="341"/>
      <c r="H655" s="341"/>
      <c r="I655" s="341">
        <f t="shared" si="626"/>
        <v>0</v>
      </c>
      <c r="J655" s="341">
        <f t="shared" si="627"/>
        <v>0</v>
      </c>
      <c r="K655" s="341"/>
      <c r="L655" s="342"/>
      <c r="M655" s="342"/>
      <c r="N655" s="341">
        <f t="shared" si="586"/>
        <v>0</v>
      </c>
      <c r="O655" s="341">
        <f t="shared" si="587"/>
        <v>0</v>
      </c>
      <c r="P655" s="341">
        <f>SUMIF(GL!$D$6488:$D$6532,B655,GL!$H$6488:$H$6532)</f>
        <v>0</v>
      </c>
      <c r="Q655" s="341">
        <f>SUMIF(GL!$D$6408:$D$6452,B655,GL!$I$6408:$I$6452)</f>
        <v>0</v>
      </c>
      <c r="R655" s="341">
        <f t="shared" ref="R655:S655" si="693">P655+N655</f>
        <v>0</v>
      </c>
      <c r="S655" s="341">
        <f t="shared" si="693"/>
        <v>0</v>
      </c>
      <c r="T655" s="340"/>
      <c r="U655" s="340"/>
      <c r="V655" s="340"/>
      <c r="W655" s="340"/>
      <c r="X655" s="341">
        <f t="shared" si="589"/>
        <v>0</v>
      </c>
      <c r="Y655" s="341">
        <f t="shared" si="590"/>
        <v>0</v>
      </c>
      <c r="Z655" s="364"/>
      <c r="AA655" s="330"/>
      <c r="AB655" s="332"/>
      <c r="AC655" s="332"/>
      <c r="AD655" s="110"/>
      <c r="AE655" s="110"/>
      <c r="AF655" s="110"/>
      <c r="AG655" s="110"/>
      <c r="AH655" s="110"/>
      <c r="AI655" s="110"/>
    </row>
    <row r="656" spans="1:35" ht="13.5" customHeight="1">
      <c r="A656" s="4"/>
      <c r="B656" s="15" t="s">
        <v>4916</v>
      </c>
      <c r="C656" s="363" t="s">
        <v>4917</v>
      </c>
      <c r="D656" s="254">
        <f>SUMIF(GL!$D$5:$D$6505,B656,GL!$G$5:$G$6505)</f>
        <v>0</v>
      </c>
      <c r="E656" s="341">
        <f>SUMIF(GL!$D$6:$D$6487,B656,GL!$H$6:$H$6487)</f>
        <v>0</v>
      </c>
      <c r="F656" s="341">
        <f>SUMIF(GL!$D$6:$D$6487,B656,GL!$I$6:$I$6487)</f>
        <v>0</v>
      </c>
      <c r="G656" s="341"/>
      <c r="H656" s="341"/>
      <c r="I656" s="341">
        <f t="shared" si="626"/>
        <v>0</v>
      </c>
      <c r="J656" s="341">
        <f t="shared" si="627"/>
        <v>0</v>
      </c>
      <c r="K656" s="341"/>
      <c r="L656" s="342"/>
      <c r="M656" s="342"/>
      <c r="N656" s="341">
        <f t="shared" si="586"/>
        <v>0</v>
      </c>
      <c r="O656" s="341">
        <f t="shared" si="587"/>
        <v>0</v>
      </c>
      <c r="P656" s="341">
        <f>SUMIF(GL!$D$6488:$D$6532,B656,GL!$H$6488:$H$6532)</f>
        <v>0</v>
      </c>
      <c r="Q656" s="341">
        <f>SUMIF(GL!$D$6408:$D$6452,B656,GL!$I$6408:$I$6452)</f>
        <v>0</v>
      </c>
      <c r="R656" s="341">
        <f t="shared" ref="R656:S656" si="694">P656+N656</f>
        <v>0</v>
      </c>
      <c r="S656" s="341">
        <f t="shared" si="694"/>
        <v>0</v>
      </c>
      <c r="T656" s="340"/>
      <c r="U656" s="340"/>
      <c r="V656" s="340"/>
      <c r="W656" s="340"/>
      <c r="X656" s="341">
        <f t="shared" si="589"/>
        <v>0</v>
      </c>
      <c r="Y656" s="341">
        <f t="shared" si="590"/>
        <v>0</v>
      </c>
      <c r="Z656" s="364"/>
      <c r="AA656" s="330"/>
      <c r="AB656" s="332"/>
      <c r="AC656" s="332"/>
      <c r="AD656" s="110"/>
      <c r="AE656" s="110"/>
      <c r="AF656" s="110"/>
      <c r="AG656" s="110"/>
      <c r="AH656" s="110"/>
      <c r="AI656" s="110"/>
    </row>
    <row r="657" spans="1:35" ht="13.5" customHeight="1">
      <c r="A657" s="4"/>
      <c r="B657" s="15" t="s">
        <v>4918</v>
      </c>
      <c r="C657" s="363" t="s">
        <v>4919</v>
      </c>
      <c r="D657" s="254">
        <f>SUMIF(GL!$D$5:$D$6505,B657,GL!$G$5:$G$6505)</f>
        <v>0</v>
      </c>
      <c r="E657" s="341">
        <f>SUMIF(GL!$D$6:$D$6487,B657,GL!$H$6:$H$6487)</f>
        <v>0</v>
      </c>
      <c r="F657" s="341">
        <f>SUMIF(GL!$D$6:$D$6487,B657,GL!$I$6:$I$6487)</f>
        <v>0</v>
      </c>
      <c r="G657" s="341"/>
      <c r="H657" s="341"/>
      <c r="I657" s="341">
        <f t="shared" si="626"/>
        <v>0</v>
      </c>
      <c r="J657" s="341">
        <f t="shared" si="627"/>
        <v>0</v>
      </c>
      <c r="K657" s="341"/>
      <c r="L657" s="342"/>
      <c r="M657" s="342"/>
      <c r="N657" s="341">
        <f t="shared" si="586"/>
        <v>0</v>
      </c>
      <c r="O657" s="341">
        <f t="shared" si="587"/>
        <v>0</v>
      </c>
      <c r="P657" s="341">
        <f>SUMIF(GL!$D$6488:$D$6532,B657,GL!$H$6488:$H$6532)</f>
        <v>0</v>
      </c>
      <c r="Q657" s="341">
        <f>SUMIF(GL!$D$6408:$D$6452,B657,GL!$I$6408:$I$6452)</f>
        <v>0</v>
      </c>
      <c r="R657" s="341">
        <f t="shared" ref="R657:S657" si="695">P657+N657</f>
        <v>0</v>
      </c>
      <c r="S657" s="341">
        <f t="shared" si="695"/>
        <v>0</v>
      </c>
      <c r="T657" s="340"/>
      <c r="U657" s="340"/>
      <c r="V657" s="340"/>
      <c r="W657" s="340"/>
      <c r="X657" s="341">
        <f t="shared" si="589"/>
        <v>0</v>
      </c>
      <c r="Y657" s="341">
        <f t="shared" si="590"/>
        <v>0</v>
      </c>
      <c r="Z657" s="364"/>
      <c r="AA657" s="330"/>
      <c r="AB657" s="332"/>
      <c r="AC657" s="332"/>
      <c r="AD657" s="110"/>
      <c r="AE657" s="110"/>
      <c r="AF657" s="110"/>
      <c r="AG657" s="110"/>
      <c r="AH657" s="110"/>
      <c r="AI657" s="110"/>
    </row>
    <row r="658" spans="1:35" ht="13.5" customHeight="1">
      <c r="A658" s="4"/>
      <c r="B658" s="15" t="s">
        <v>4920</v>
      </c>
      <c r="C658" s="341" t="s">
        <v>4921</v>
      </c>
      <c r="D658" s="254">
        <f>SUMIF(GL!$D$5:$D$6505,B658,GL!$G$5:$G$6505)</f>
        <v>0</v>
      </c>
      <c r="E658" s="341">
        <f>SUMIF(GL!$D$6:$D$6487,B658,GL!$H$6:$H$6487)</f>
        <v>0</v>
      </c>
      <c r="F658" s="341">
        <f>SUMIF(GL!$D$6:$D$6487,B658,GL!$I$6:$I$6487)</f>
        <v>0</v>
      </c>
      <c r="G658" s="341"/>
      <c r="H658" s="341"/>
      <c r="I658" s="341">
        <f t="shared" si="626"/>
        <v>0</v>
      </c>
      <c r="J658" s="341">
        <f t="shared" si="627"/>
        <v>0</v>
      </c>
      <c r="K658" s="341"/>
      <c r="L658" s="342"/>
      <c r="M658" s="342"/>
      <c r="N658" s="341">
        <f t="shared" si="586"/>
        <v>0</v>
      </c>
      <c r="O658" s="341">
        <f t="shared" si="587"/>
        <v>0</v>
      </c>
      <c r="P658" s="341">
        <f>SUMIF(GL!$D$6488:$D$6532,B658,GL!$H$6488:$H$6532)</f>
        <v>0</v>
      </c>
      <c r="Q658" s="341">
        <f>SUMIF(GL!$D$6408:$D$6452,B658,GL!$I$6408:$I$6452)</f>
        <v>0</v>
      </c>
      <c r="R658" s="341">
        <f t="shared" ref="R658:S658" si="696">P658+N658</f>
        <v>0</v>
      </c>
      <c r="S658" s="341">
        <f t="shared" si="696"/>
        <v>0</v>
      </c>
      <c r="T658" s="340"/>
      <c r="U658" s="340"/>
      <c r="V658" s="340"/>
      <c r="W658" s="340"/>
      <c r="X658" s="341">
        <f t="shared" si="589"/>
        <v>0</v>
      </c>
      <c r="Y658" s="341">
        <f t="shared" si="590"/>
        <v>0</v>
      </c>
      <c r="Z658" s="364"/>
      <c r="AA658" s="330"/>
      <c r="AB658" s="332"/>
      <c r="AC658" s="332"/>
      <c r="AD658" s="110"/>
      <c r="AE658" s="110"/>
      <c r="AF658" s="110"/>
      <c r="AG658" s="110"/>
      <c r="AH658" s="110"/>
      <c r="AI658" s="110"/>
    </row>
    <row r="659" spans="1:35" ht="13.5" customHeight="1">
      <c r="A659" s="4"/>
      <c r="B659" s="15" t="s">
        <v>4922</v>
      </c>
      <c r="C659" s="341" t="s">
        <v>4923</v>
      </c>
      <c r="D659" s="254">
        <f>SUMIF(GL!$D$5:$D$6505,B659,GL!$G$5:$G$6505)</f>
        <v>0</v>
      </c>
      <c r="E659" s="341">
        <f>SUMIF(GL!$D$6:$D$6487,B659,GL!$H$6:$H$6487)</f>
        <v>0</v>
      </c>
      <c r="F659" s="341">
        <f>SUMIF(GL!$D$6:$D$6487,B659,GL!$I$6:$I$6487)</f>
        <v>0</v>
      </c>
      <c r="G659" s="341"/>
      <c r="H659" s="341"/>
      <c r="I659" s="341">
        <f t="shared" si="626"/>
        <v>0</v>
      </c>
      <c r="J659" s="341">
        <f t="shared" si="627"/>
        <v>0</v>
      </c>
      <c r="K659" s="341"/>
      <c r="L659" s="342"/>
      <c r="M659" s="342"/>
      <c r="N659" s="341">
        <f t="shared" si="586"/>
        <v>0</v>
      </c>
      <c r="O659" s="341">
        <f t="shared" si="587"/>
        <v>0</v>
      </c>
      <c r="P659" s="341">
        <f>SUMIF(GL!$D$6488:$D$6532,B659,GL!$H$6488:$H$6532)</f>
        <v>0</v>
      </c>
      <c r="Q659" s="341">
        <f>SUMIF(GL!$D$6408:$D$6452,B659,GL!$I$6408:$I$6452)</f>
        <v>0</v>
      </c>
      <c r="R659" s="341">
        <f t="shared" ref="R659:S659" si="697">P659+N659</f>
        <v>0</v>
      </c>
      <c r="S659" s="341">
        <f t="shared" si="697"/>
        <v>0</v>
      </c>
      <c r="T659" s="340"/>
      <c r="U659" s="340"/>
      <c r="V659" s="340"/>
      <c r="W659" s="340"/>
      <c r="X659" s="341">
        <f t="shared" si="589"/>
        <v>0</v>
      </c>
      <c r="Y659" s="341">
        <f t="shared" si="590"/>
        <v>0</v>
      </c>
      <c r="Z659" s="4"/>
      <c r="AA659" s="330"/>
      <c r="AB659" s="332"/>
      <c r="AC659" s="332"/>
      <c r="AD659" s="110"/>
      <c r="AE659" s="110"/>
      <c r="AF659" s="110"/>
      <c r="AG659" s="110"/>
      <c r="AH659" s="110"/>
      <c r="AI659" s="110"/>
    </row>
    <row r="660" spans="1:35" ht="13.5" customHeight="1">
      <c r="A660" s="4"/>
      <c r="B660" s="15" t="s">
        <v>4924</v>
      </c>
      <c r="C660" s="341" t="s">
        <v>4925</v>
      </c>
      <c r="D660" s="254">
        <f>SUMIF(GL!$D$5:$D$6505,B660,GL!$G$5:$G$6505)</f>
        <v>0</v>
      </c>
      <c r="E660" s="341">
        <f>SUMIF(GL!$D$6:$D$6487,B660,GL!$H$6:$H$6487)</f>
        <v>0</v>
      </c>
      <c r="F660" s="341">
        <f>SUMIF(GL!$D$6:$D$6487,B660,GL!$I$6:$I$6487)</f>
        <v>0</v>
      </c>
      <c r="G660" s="341"/>
      <c r="H660" s="341"/>
      <c r="I660" s="341">
        <f t="shared" si="626"/>
        <v>0</v>
      </c>
      <c r="J660" s="341">
        <f t="shared" si="627"/>
        <v>0</v>
      </c>
      <c r="K660" s="341"/>
      <c r="L660" s="342"/>
      <c r="M660" s="342"/>
      <c r="N660" s="341">
        <f t="shared" si="586"/>
        <v>0</v>
      </c>
      <c r="O660" s="341">
        <f t="shared" si="587"/>
        <v>0</v>
      </c>
      <c r="P660" s="341">
        <f>SUMIF(GL!$D$6488:$D$6532,B660,GL!$H$6488:$H$6532)</f>
        <v>0</v>
      </c>
      <c r="Q660" s="341">
        <f>SUMIF(GL!$D$6408:$D$6452,B660,GL!$I$6408:$I$6452)</f>
        <v>0</v>
      </c>
      <c r="R660" s="341">
        <f t="shared" ref="R660:S660" si="698">P660+N660</f>
        <v>0</v>
      </c>
      <c r="S660" s="341">
        <f t="shared" si="698"/>
        <v>0</v>
      </c>
      <c r="T660" s="340"/>
      <c r="U660" s="340"/>
      <c r="V660" s="340"/>
      <c r="W660" s="340"/>
      <c r="X660" s="341">
        <f t="shared" si="589"/>
        <v>0</v>
      </c>
      <c r="Y660" s="341">
        <f t="shared" si="590"/>
        <v>0</v>
      </c>
      <c r="Z660" s="4"/>
      <c r="AA660" s="330"/>
      <c r="AB660" s="332"/>
      <c r="AC660" s="332"/>
      <c r="AD660" s="110"/>
      <c r="AE660" s="110"/>
      <c r="AF660" s="110"/>
      <c r="AG660" s="110"/>
      <c r="AH660" s="110"/>
      <c r="AI660" s="110"/>
    </row>
    <row r="661" spans="1:35" ht="13.5" customHeight="1">
      <c r="A661" s="4"/>
      <c r="B661" s="15" t="s">
        <v>4926</v>
      </c>
      <c r="C661" s="341" t="s">
        <v>4927</v>
      </c>
      <c r="D661" s="254">
        <f>SUMIF(GL!$D$5:$D$6505,B661,GL!$G$5:$G$6505)</f>
        <v>0</v>
      </c>
      <c r="E661" s="341">
        <f>SUMIF(GL!$D$6:$D$6487,B661,GL!$H$6:$H$6487)</f>
        <v>0</v>
      </c>
      <c r="F661" s="341">
        <f>SUMIF(GL!$D$6:$D$6487,B661,GL!$I$6:$I$6487)</f>
        <v>0</v>
      </c>
      <c r="G661" s="341"/>
      <c r="H661" s="341"/>
      <c r="I661" s="341">
        <f t="shared" si="626"/>
        <v>0</v>
      </c>
      <c r="J661" s="341">
        <f t="shared" si="627"/>
        <v>0</v>
      </c>
      <c r="K661" s="341"/>
      <c r="L661" s="342"/>
      <c r="M661" s="342"/>
      <c r="N661" s="341">
        <f t="shared" si="586"/>
        <v>0</v>
      </c>
      <c r="O661" s="341">
        <f t="shared" si="587"/>
        <v>0</v>
      </c>
      <c r="P661" s="341">
        <f>SUMIF(GL!$D$6488:$D$6532,B661,GL!$H$6488:$H$6532)</f>
        <v>0</v>
      </c>
      <c r="Q661" s="341">
        <f>SUMIF(GL!$D$6408:$D$6452,B661,GL!$I$6408:$I$6452)</f>
        <v>0</v>
      </c>
      <c r="R661" s="341">
        <f t="shared" ref="R661:S661" si="699">P661+N661</f>
        <v>0</v>
      </c>
      <c r="S661" s="341">
        <f t="shared" si="699"/>
        <v>0</v>
      </c>
      <c r="T661" s="340"/>
      <c r="U661" s="340"/>
      <c r="V661" s="340"/>
      <c r="W661" s="340"/>
      <c r="X661" s="341">
        <f t="shared" si="589"/>
        <v>0</v>
      </c>
      <c r="Y661" s="341">
        <f t="shared" si="590"/>
        <v>0</v>
      </c>
      <c r="Z661" s="4"/>
      <c r="AA661" s="330"/>
      <c r="AB661" s="332"/>
      <c r="AC661" s="332"/>
      <c r="AD661" s="110"/>
      <c r="AE661" s="110"/>
      <c r="AF661" s="110"/>
      <c r="AG661" s="110"/>
      <c r="AH661" s="110"/>
      <c r="AI661" s="110"/>
    </row>
    <row r="662" spans="1:35" ht="13.5" customHeight="1">
      <c r="A662" s="4"/>
      <c r="B662" s="15" t="s">
        <v>4928</v>
      </c>
      <c r="C662" s="341" t="s">
        <v>4929</v>
      </c>
      <c r="D662" s="254">
        <f>SUMIF(GL!$D$5:$D$6505,B662,GL!$G$5:$G$6505)</f>
        <v>0</v>
      </c>
      <c r="E662" s="341">
        <f>SUMIF(GL!$D$6:$D$6487,B662,GL!$H$6:$H$6487)</f>
        <v>0</v>
      </c>
      <c r="F662" s="341">
        <f>SUMIF(GL!$D$6:$D$6487,B662,GL!$I$6:$I$6487)</f>
        <v>0</v>
      </c>
      <c r="G662" s="341"/>
      <c r="H662" s="341"/>
      <c r="I662" s="341">
        <f t="shared" si="626"/>
        <v>0</v>
      </c>
      <c r="J662" s="341">
        <f t="shared" si="627"/>
        <v>0</v>
      </c>
      <c r="K662" s="341"/>
      <c r="L662" s="342"/>
      <c r="M662" s="342"/>
      <c r="N662" s="341">
        <f t="shared" si="586"/>
        <v>0</v>
      </c>
      <c r="O662" s="341">
        <f t="shared" si="587"/>
        <v>0</v>
      </c>
      <c r="P662" s="341">
        <f>SUMIF(GL!$D$6488:$D$6532,B662,GL!$H$6488:$H$6532)</f>
        <v>0</v>
      </c>
      <c r="Q662" s="341">
        <f>SUMIF(GL!$D$6408:$D$6452,B662,GL!$I$6408:$I$6452)</f>
        <v>0</v>
      </c>
      <c r="R662" s="341">
        <f t="shared" ref="R662:S662" si="700">P662+N662</f>
        <v>0</v>
      </c>
      <c r="S662" s="341">
        <f t="shared" si="700"/>
        <v>0</v>
      </c>
      <c r="T662" s="340"/>
      <c r="U662" s="340"/>
      <c r="V662" s="340"/>
      <c r="W662" s="340"/>
      <c r="X662" s="341">
        <f t="shared" si="589"/>
        <v>0</v>
      </c>
      <c r="Y662" s="341">
        <f t="shared" si="590"/>
        <v>0</v>
      </c>
      <c r="Z662" s="4"/>
      <c r="AA662" s="330"/>
      <c r="AB662" s="332"/>
      <c r="AC662" s="332"/>
      <c r="AD662" s="110"/>
      <c r="AE662" s="110"/>
      <c r="AF662" s="110"/>
      <c r="AG662" s="110"/>
      <c r="AH662" s="110"/>
      <c r="AI662" s="110"/>
    </row>
    <row r="663" spans="1:35" ht="13.5" customHeight="1">
      <c r="A663" s="4"/>
      <c r="B663" s="15" t="s">
        <v>4930</v>
      </c>
      <c r="C663" s="363" t="s">
        <v>4931</v>
      </c>
      <c r="D663" s="254">
        <f>SUMIF(GL!$D$5:$D$6505,B663,GL!$G$5:$G$6505)</f>
        <v>0</v>
      </c>
      <c r="E663" s="341">
        <f>SUMIF(GL!$D$6:$D$6487,B663,GL!$H$6:$H$6487)</f>
        <v>0</v>
      </c>
      <c r="F663" s="341">
        <f>SUMIF(GL!$D$6:$D$6487,B663,GL!$I$6:$I$6487)</f>
        <v>0</v>
      </c>
      <c r="G663" s="341"/>
      <c r="H663" s="341"/>
      <c r="I663" s="341">
        <f t="shared" si="626"/>
        <v>0</v>
      </c>
      <c r="J663" s="341">
        <f t="shared" si="627"/>
        <v>0</v>
      </c>
      <c r="K663" s="341"/>
      <c r="L663" s="342"/>
      <c r="M663" s="342"/>
      <c r="N663" s="341">
        <f t="shared" si="586"/>
        <v>0</v>
      </c>
      <c r="O663" s="341">
        <f t="shared" si="587"/>
        <v>0</v>
      </c>
      <c r="P663" s="341">
        <f>SUMIF(GL!$D$6488:$D$6532,B663,GL!$H$6488:$H$6532)</f>
        <v>0</v>
      </c>
      <c r="Q663" s="341">
        <f>SUMIF(GL!$D$6408:$D$6452,B663,GL!$I$6408:$I$6452)</f>
        <v>0</v>
      </c>
      <c r="R663" s="341">
        <f t="shared" ref="R663:S663" si="701">P663+N663</f>
        <v>0</v>
      </c>
      <c r="S663" s="341">
        <f t="shared" si="701"/>
        <v>0</v>
      </c>
      <c r="T663" s="340"/>
      <c r="U663" s="340"/>
      <c r="V663" s="340"/>
      <c r="W663" s="340"/>
      <c r="X663" s="341">
        <f t="shared" si="589"/>
        <v>0</v>
      </c>
      <c r="Y663" s="341">
        <f t="shared" si="590"/>
        <v>0</v>
      </c>
      <c r="Z663" s="4"/>
      <c r="AA663" s="330"/>
      <c r="AB663" s="332"/>
      <c r="AC663" s="332"/>
      <c r="AD663" s="110"/>
      <c r="AE663" s="110"/>
      <c r="AF663" s="110"/>
      <c r="AG663" s="110"/>
      <c r="AH663" s="110"/>
      <c r="AI663" s="110"/>
    </row>
    <row r="664" spans="1:35" ht="13.5" customHeight="1">
      <c r="A664" s="4"/>
      <c r="B664" s="15" t="s">
        <v>4932</v>
      </c>
      <c r="C664" s="363" t="s">
        <v>4933</v>
      </c>
      <c r="D664" s="254">
        <f>SUMIF(GL!$D$5:$D$6505,B664,GL!$G$5:$G$6505)</f>
        <v>0</v>
      </c>
      <c r="E664" s="341">
        <f>SUMIF(GL!$D$6:$D$6487,B664,GL!$H$6:$H$6487)</f>
        <v>0</v>
      </c>
      <c r="F664" s="341">
        <f>SUMIF(GL!$D$6:$D$6487,B664,GL!$I$6:$I$6487)</f>
        <v>0</v>
      </c>
      <c r="G664" s="341"/>
      <c r="H664" s="341"/>
      <c r="I664" s="341">
        <f t="shared" si="626"/>
        <v>0</v>
      </c>
      <c r="J664" s="341">
        <f t="shared" si="627"/>
        <v>0</v>
      </c>
      <c r="K664" s="341"/>
      <c r="L664" s="342"/>
      <c r="M664" s="342"/>
      <c r="N664" s="341">
        <f t="shared" si="586"/>
        <v>0</v>
      </c>
      <c r="O664" s="341">
        <f t="shared" si="587"/>
        <v>0</v>
      </c>
      <c r="P664" s="341">
        <f>SUMIF(GL!$D$6488:$D$6532,B664,GL!$H$6488:$H$6532)</f>
        <v>0</v>
      </c>
      <c r="Q664" s="341">
        <f>SUMIF(GL!$D$6408:$D$6452,B664,GL!$I$6408:$I$6452)</f>
        <v>0</v>
      </c>
      <c r="R664" s="341">
        <f t="shared" ref="R664:S664" si="702">P664+N664</f>
        <v>0</v>
      </c>
      <c r="S664" s="341">
        <f t="shared" si="702"/>
        <v>0</v>
      </c>
      <c r="T664" s="340"/>
      <c r="U664" s="340"/>
      <c r="V664" s="340"/>
      <c r="W664" s="340"/>
      <c r="X664" s="341">
        <f t="shared" si="589"/>
        <v>0</v>
      </c>
      <c r="Y664" s="341">
        <f t="shared" si="590"/>
        <v>0</v>
      </c>
      <c r="Z664" s="4"/>
      <c r="AA664" s="330"/>
      <c r="AB664" s="332"/>
      <c r="AC664" s="332"/>
      <c r="AD664" s="110"/>
      <c r="AE664" s="110"/>
      <c r="AF664" s="110"/>
      <c r="AG664" s="110"/>
      <c r="AH664" s="110"/>
      <c r="AI664" s="110"/>
    </row>
    <row r="665" spans="1:35" ht="13.5" customHeight="1">
      <c r="A665" s="4"/>
      <c r="B665" s="15" t="s">
        <v>4934</v>
      </c>
      <c r="C665" s="363" t="s">
        <v>4935</v>
      </c>
      <c r="D665" s="254">
        <f>SUMIF(GL!$D$5:$D$6505,B665,GL!$G$5:$G$6505)</f>
        <v>0</v>
      </c>
      <c r="E665" s="341">
        <f>SUMIF(GL!$D$6:$D$6487,B665,GL!$H$6:$H$6487)</f>
        <v>0</v>
      </c>
      <c r="F665" s="341">
        <f>SUMIF(GL!$D$6:$D$6487,B665,GL!$I$6:$I$6487)</f>
        <v>0</v>
      </c>
      <c r="G665" s="341"/>
      <c r="H665" s="341"/>
      <c r="I665" s="341">
        <f t="shared" si="626"/>
        <v>0</v>
      </c>
      <c r="J665" s="341">
        <f t="shared" si="627"/>
        <v>0</v>
      </c>
      <c r="K665" s="341"/>
      <c r="L665" s="342"/>
      <c r="M665" s="342"/>
      <c r="N665" s="341">
        <f t="shared" si="586"/>
        <v>0</v>
      </c>
      <c r="O665" s="341">
        <f t="shared" si="587"/>
        <v>0</v>
      </c>
      <c r="P665" s="341">
        <f>SUMIF(GL!$D$6488:$D$6532,B665,GL!$H$6488:$H$6532)</f>
        <v>0</v>
      </c>
      <c r="Q665" s="341">
        <f>SUMIF(GL!$D$6408:$D$6452,B665,GL!$I$6408:$I$6452)</f>
        <v>0</v>
      </c>
      <c r="R665" s="341">
        <f t="shared" ref="R665:S665" si="703">P665+N665</f>
        <v>0</v>
      </c>
      <c r="S665" s="341">
        <f t="shared" si="703"/>
        <v>0</v>
      </c>
      <c r="T665" s="340"/>
      <c r="U665" s="340"/>
      <c r="V665" s="340"/>
      <c r="W665" s="340"/>
      <c r="X665" s="341">
        <f t="shared" si="589"/>
        <v>0</v>
      </c>
      <c r="Y665" s="341">
        <f t="shared" si="590"/>
        <v>0</v>
      </c>
      <c r="Z665" s="4"/>
      <c r="AA665" s="330"/>
      <c r="AB665" s="332"/>
      <c r="AC665" s="332"/>
      <c r="AD665" s="110"/>
      <c r="AE665" s="110"/>
      <c r="AF665" s="110"/>
      <c r="AG665" s="110"/>
      <c r="AH665" s="110"/>
      <c r="AI665" s="110"/>
    </row>
    <row r="666" spans="1:35" ht="13.5" customHeight="1">
      <c r="A666" s="4"/>
      <c r="B666" s="15" t="s">
        <v>4936</v>
      </c>
      <c r="C666" s="363" t="s">
        <v>4937</v>
      </c>
      <c r="D666" s="254">
        <f>SUMIF(GL!$D$5:$D$6505,B666,GL!$G$5:$G$6505)</f>
        <v>0</v>
      </c>
      <c r="E666" s="341">
        <f>SUMIF(GL!$D$6:$D$6487,B666,GL!$H$6:$H$6487)</f>
        <v>0</v>
      </c>
      <c r="F666" s="341">
        <f>SUMIF(GL!$D$6:$D$6487,B666,GL!$I$6:$I$6487)</f>
        <v>0</v>
      </c>
      <c r="G666" s="341"/>
      <c r="H666" s="341"/>
      <c r="I666" s="341">
        <f t="shared" si="626"/>
        <v>0</v>
      </c>
      <c r="J666" s="341">
        <f t="shared" si="627"/>
        <v>0</v>
      </c>
      <c r="K666" s="341"/>
      <c r="L666" s="342"/>
      <c r="M666" s="342"/>
      <c r="N666" s="341">
        <f t="shared" si="586"/>
        <v>0</v>
      </c>
      <c r="O666" s="341">
        <f t="shared" si="587"/>
        <v>0</v>
      </c>
      <c r="P666" s="341">
        <f>SUMIF(GL!$D$6488:$D$6532,B666,GL!$H$6488:$H$6532)</f>
        <v>0</v>
      </c>
      <c r="Q666" s="341">
        <f>SUMIF(GL!$D$6408:$D$6452,B666,GL!$I$6408:$I$6452)</f>
        <v>0</v>
      </c>
      <c r="R666" s="341">
        <f t="shared" ref="R666:S666" si="704">P666+N666</f>
        <v>0</v>
      </c>
      <c r="S666" s="341">
        <f t="shared" si="704"/>
        <v>0</v>
      </c>
      <c r="T666" s="340"/>
      <c r="U666" s="340"/>
      <c r="V666" s="340"/>
      <c r="W666" s="340"/>
      <c r="X666" s="341">
        <f t="shared" si="589"/>
        <v>0</v>
      </c>
      <c r="Y666" s="341">
        <f t="shared" si="590"/>
        <v>0</v>
      </c>
      <c r="Z666" s="4"/>
      <c r="AA666" s="330"/>
      <c r="AB666" s="332"/>
      <c r="AC666" s="332"/>
      <c r="AD666" s="110"/>
      <c r="AE666" s="110"/>
      <c r="AF666" s="110"/>
      <c r="AG666" s="110"/>
      <c r="AH666" s="110"/>
      <c r="AI666" s="110"/>
    </row>
    <row r="667" spans="1:35" ht="13.5" customHeight="1">
      <c r="A667" s="4"/>
      <c r="B667" s="15"/>
      <c r="C667" s="262"/>
      <c r="D667" s="254">
        <f>SUMIF(GL!$D$5:$D$6505,B667,GL!$G$5:$G$6505)</f>
        <v>0</v>
      </c>
      <c r="E667" s="341">
        <f>SUMIF(GL!$D$6:$D$6487,B667,GL!$H$6:$H$6487)</f>
        <v>0</v>
      </c>
      <c r="F667" s="341">
        <f>SUMIF(GL!$D$6:$D$6487,B667,GL!$I$6:$I$6487)</f>
        <v>0</v>
      </c>
      <c r="G667" s="341"/>
      <c r="H667" s="341"/>
      <c r="I667" s="341">
        <f t="shared" si="626"/>
        <v>0</v>
      </c>
      <c r="J667" s="341">
        <f t="shared" si="627"/>
        <v>0</v>
      </c>
      <c r="K667" s="341"/>
      <c r="L667" s="342"/>
      <c r="M667" s="342"/>
      <c r="N667" s="341">
        <f t="shared" si="586"/>
        <v>0</v>
      </c>
      <c r="O667" s="341">
        <f t="shared" si="587"/>
        <v>0</v>
      </c>
      <c r="P667" s="341">
        <f>SUMIF(GL!$D$6488:$D$6532,B667,GL!$H$6488:$H$6532)</f>
        <v>0</v>
      </c>
      <c r="Q667" s="341">
        <f>SUMIF(GL!$D$6408:$D$6452,B667,GL!$I$6408:$I$6452)</f>
        <v>0</v>
      </c>
      <c r="R667" s="341">
        <f t="shared" ref="R667:S667" si="705">P667+N667</f>
        <v>0</v>
      </c>
      <c r="S667" s="341">
        <f t="shared" si="705"/>
        <v>0</v>
      </c>
      <c r="T667" s="340"/>
      <c r="U667" s="340"/>
      <c r="V667" s="340"/>
      <c r="W667" s="340"/>
      <c r="X667" s="341">
        <f t="shared" si="589"/>
        <v>0</v>
      </c>
      <c r="Y667" s="341">
        <f t="shared" si="590"/>
        <v>0</v>
      </c>
      <c r="Z667" s="4"/>
      <c r="AA667" s="110"/>
      <c r="AB667" s="332"/>
      <c r="AC667" s="332"/>
      <c r="AD667" s="110"/>
      <c r="AE667" s="110"/>
      <c r="AF667" s="110"/>
      <c r="AG667" s="110"/>
      <c r="AH667" s="110"/>
      <c r="AI667" s="110"/>
    </row>
    <row r="668" spans="1:35" ht="13.5" customHeight="1">
      <c r="A668" s="4"/>
      <c r="B668" s="15"/>
      <c r="C668" s="261" t="s">
        <v>3843</v>
      </c>
      <c r="D668" s="254">
        <f>SUMIF(GL!$D$5:$D$6505,B668,GL!$G$5:$G$6505)</f>
        <v>0</v>
      </c>
      <c r="E668" s="341">
        <f>SUMIF(GL!$D$6:$D$6487,B668,GL!$H$6:$H$6487)</f>
        <v>0</v>
      </c>
      <c r="F668" s="341">
        <f>SUMIF(GL!$D$6:$D$6487,B668,GL!$I$6:$I$6487)</f>
        <v>0</v>
      </c>
      <c r="G668" s="341"/>
      <c r="H668" s="341"/>
      <c r="I668" s="341">
        <f t="shared" si="626"/>
        <v>0</v>
      </c>
      <c r="J668" s="341">
        <f t="shared" si="627"/>
        <v>0</v>
      </c>
      <c r="K668" s="341"/>
      <c r="L668" s="342"/>
      <c r="M668" s="342"/>
      <c r="N668" s="341">
        <f t="shared" si="586"/>
        <v>0</v>
      </c>
      <c r="O668" s="341">
        <f t="shared" si="587"/>
        <v>0</v>
      </c>
      <c r="P668" s="341">
        <f>SUMIF(GL!$D$6488:$D$6532,B668,GL!$H$6488:$H$6532)</f>
        <v>0</v>
      </c>
      <c r="Q668" s="341">
        <f>SUMIF(GL!$D$6408:$D$6452,B668,GL!$I$6408:$I$6452)</f>
        <v>0</v>
      </c>
      <c r="R668" s="341">
        <f t="shared" ref="R668:S668" si="706">P668+N668</f>
        <v>0</v>
      </c>
      <c r="S668" s="341">
        <f t="shared" si="706"/>
        <v>0</v>
      </c>
      <c r="T668" s="340"/>
      <c r="U668" s="340"/>
      <c r="V668" s="340"/>
      <c r="W668" s="340"/>
      <c r="X668" s="341">
        <f t="shared" si="589"/>
        <v>0</v>
      </c>
      <c r="Y668" s="341">
        <f t="shared" si="590"/>
        <v>0</v>
      </c>
      <c r="Z668" s="364"/>
      <c r="AA668" s="330"/>
      <c r="AB668" s="332"/>
      <c r="AC668" s="332"/>
      <c r="AD668" s="110"/>
      <c r="AE668" s="110"/>
      <c r="AF668" s="110"/>
      <c r="AG668" s="110"/>
      <c r="AH668" s="110"/>
      <c r="AI668" s="110"/>
    </row>
    <row r="669" spans="1:35" ht="13.5" customHeight="1">
      <c r="A669" s="4"/>
      <c r="B669" s="15" t="s">
        <v>4938</v>
      </c>
      <c r="C669" s="363" t="s">
        <v>4939</v>
      </c>
      <c r="D669" s="254">
        <f>SUMIF(GL!$D$5:$D$6505,B669,GL!$G$5:$G$6505)</f>
        <v>0</v>
      </c>
      <c r="E669" s="341">
        <f>SUMIF(GL!$D$6:$D$6487,B669,GL!$H$6:$H$6487)</f>
        <v>0</v>
      </c>
      <c r="F669" s="341">
        <f>SUMIF(GL!$D$6:$D$6487,B669,GL!$I$6:$I$6487)</f>
        <v>0</v>
      </c>
      <c r="G669" s="341"/>
      <c r="H669" s="341"/>
      <c r="I669" s="341">
        <f t="shared" si="626"/>
        <v>0</v>
      </c>
      <c r="J669" s="341">
        <f t="shared" si="627"/>
        <v>0</v>
      </c>
      <c r="K669" s="341"/>
      <c r="L669" s="342"/>
      <c r="M669" s="342"/>
      <c r="N669" s="341">
        <f t="shared" si="586"/>
        <v>0</v>
      </c>
      <c r="O669" s="341">
        <f t="shared" si="587"/>
        <v>0</v>
      </c>
      <c r="P669" s="341">
        <f>SUMIF(GL!$D$6488:$D$6532,B669,GL!$H$6488:$H$6532)</f>
        <v>0</v>
      </c>
      <c r="Q669" s="341">
        <f>SUMIF(GL!$D$6408:$D$6452,B669,GL!$I$6408:$I$6452)</f>
        <v>0</v>
      </c>
      <c r="R669" s="341">
        <f t="shared" ref="R669:S669" si="707">P669+N669</f>
        <v>0</v>
      </c>
      <c r="S669" s="341">
        <f t="shared" si="707"/>
        <v>0</v>
      </c>
      <c r="T669" s="340"/>
      <c r="U669" s="340"/>
      <c r="V669" s="340"/>
      <c r="W669" s="340"/>
      <c r="X669" s="341">
        <f t="shared" si="589"/>
        <v>0</v>
      </c>
      <c r="Y669" s="341">
        <f t="shared" si="590"/>
        <v>0</v>
      </c>
      <c r="Z669" s="364"/>
      <c r="AA669" s="330"/>
      <c r="AB669" s="332"/>
      <c r="AC669" s="332"/>
      <c r="AD669" s="110"/>
      <c r="AE669" s="110"/>
      <c r="AF669" s="110"/>
      <c r="AG669" s="110"/>
      <c r="AH669" s="110"/>
      <c r="AI669" s="110"/>
    </row>
    <row r="670" spans="1:35" ht="13.5" customHeight="1">
      <c r="A670" s="4"/>
      <c r="B670" s="15" t="s">
        <v>2852</v>
      </c>
      <c r="C670" s="363" t="s">
        <v>4940</v>
      </c>
      <c r="D670" s="254">
        <f>SUMIF(GL!$D$5:$D$6505,B670,GL!$G$5:$G$6505)</f>
        <v>1</v>
      </c>
      <c r="E670" s="341">
        <f>SUMIF(GL!$D$6:$D$6487,B670,GL!$H$6:$H$6487)</f>
        <v>1675000</v>
      </c>
      <c r="F670" s="341">
        <f>SUMIF(GL!$D$6:$D$6487,B670,GL!$I$6:$I$6487)</f>
        <v>0</v>
      </c>
      <c r="G670" s="341"/>
      <c r="H670" s="341"/>
      <c r="I670" s="341">
        <f t="shared" si="626"/>
        <v>1675000</v>
      </c>
      <c r="J670" s="341">
        <f t="shared" si="627"/>
        <v>0</v>
      </c>
      <c r="K670" s="341"/>
      <c r="L670" s="342"/>
      <c r="M670" s="342"/>
      <c r="N670" s="341">
        <f t="shared" si="586"/>
        <v>1675000</v>
      </c>
      <c r="O670" s="341">
        <f t="shared" si="587"/>
        <v>0</v>
      </c>
      <c r="P670" s="341">
        <f>SUMIF(GL!$D$6488:$D$6532,B670,GL!$H$6488:$H$6532)</f>
        <v>0</v>
      </c>
      <c r="Q670" s="341">
        <f>SUMIF(GL!$D$6408:$D$6452,B670,GL!$I$6408:$I$6452)</f>
        <v>0</v>
      </c>
      <c r="R670" s="341">
        <f t="shared" ref="R670:S670" si="708">P670+N670</f>
        <v>1675000</v>
      </c>
      <c r="S670" s="341">
        <f t="shared" si="708"/>
        <v>0</v>
      </c>
      <c r="T670" s="340"/>
      <c r="U670" s="340"/>
      <c r="V670" s="340"/>
      <c r="W670" s="340"/>
      <c r="X670" s="341">
        <f t="shared" si="589"/>
        <v>1675000</v>
      </c>
      <c r="Y670" s="341">
        <f t="shared" si="590"/>
        <v>0</v>
      </c>
      <c r="Z670" s="246"/>
      <c r="AA670" s="110"/>
      <c r="AB670" s="332"/>
      <c r="AC670" s="332"/>
      <c r="AD670" s="110"/>
      <c r="AE670" s="110"/>
      <c r="AF670" s="110"/>
      <c r="AG670" s="110"/>
      <c r="AH670" s="110"/>
      <c r="AI670" s="110"/>
    </row>
    <row r="671" spans="1:35" ht="13.5" customHeight="1">
      <c r="A671" s="4"/>
      <c r="B671" s="15"/>
      <c r="C671" s="260"/>
      <c r="D671" s="254">
        <f>SUMIF(GL!$D$5:$D$6505,B671,GL!$G$5:$G$6505)</f>
        <v>0</v>
      </c>
      <c r="E671" s="341">
        <f>SUMIF(GL!$D$6:$D$6487,B671,GL!$H$6:$H$6487)</f>
        <v>0</v>
      </c>
      <c r="F671" s="341">
        <f>SUMIF(GL!$D$6:$D$6487,B671,GL!$I$6:$I$6487)</f>
        <v>0</v>
      </c>
      <c r="G671" s="341"/>
      <c r="H671" s="341"/>
      <c r="I671" s="341">
        <f t="shared" si="626"/>
        <v>0</v>
      </c>
      <c r="J671" s="341">
        <f t="shared" si="627"/>
        <v>0</v>
      </c>
      <c r="K671" s="341"/>
      <c r="L671" s="342"/>
      <c r="M671" s="342"/>
      <c r="N671" s="341">
        <f t="shared" si="586"/>
        <v>0</v>
      </c>
      <c r="O671" s="341">
        <f t="shared" si="587"/>
        <v>0</v>
      </c>
      <c r="P671" s="341">
        <f>SUMIF(GL!$D$6488:$D$6532,B671,GL!$H$6488:$H$6532)</f>
        <v>0</v>
      </c>
      <c r="Q671" s="341">
        <f>SUMIF(GL!$D$6408:$D$6452,B671,GL!$I$6408:$I$6452)</f>
        <v>0</v>
      </c>
      <c r="R671" s="341">
        <f t="shared" ref="R671:S671" si="709">P671+N671</f>
        <v>0</v>
      </c>
      <c r="S671" s="341">
        <f t="shared" si="709"/>
        <v>0</v>
      </c>
      <c r="T671" s="340"/>
      <c r="U671" s="340"/>
      <c r="V671" s="340"/>
      <c r="W671" s="340"/>
      <c r="X671" s="341">
        <f t="shared" si="589"/>
        <v>0</v>
      </c>
      <c r="Y671" s="341">
        <f t="shared" si="590"/>
        <v>0</v>
      </c>
      <c r="Z671" s="246"/>
      <c r="AA671" s="110"/>
      <c r="AB671" s="332"/>
      <c r="AC671" s="332"/>
      <c r="AD671" s="110"/>
      <c r="AE671" s="110"/>
      <c r="AF671" s="110"/>
      <c r="AG671" s="110"/>
      <c r="AH671" s="110"/>
      <c r="AI671" s="110"/>
    </row>
    <row r="672" spans="1:35" ht="13.5" customHeight="1">
      <c r="A672" s="4"/>
      <c r="B672" s="15"/>
      <c r="C672" s="260"/>
      <c r="D672" s="254">
        <f>SUMIF(GL!$D$5:$D$6505,B672,GL!$G$5:$G$6505)</f>
        <v>0</v>
      </c>
      <c r="E672" s="341">
        <f>SUMIF(GL!$D$6:$D$6487,B672,GL!$H$6:$H$6487)</f>
        <v>0</v>
      </c>
      <c r="F672" s="341">
        <f>SUMIF(GL!$D$6:$D$6487,B672,GL!$I$6:$I$6487)</f>
        <v>0</v>
      </c>
      <c r="G672" s="341"/>
      <c r="H672" s="341"/>
      <c r="I672" s="341">
        <f t="shared" si="626"/>
        <v>0</v>
      </c>
      <c r="J672" s="341">
        <f t="shared" si="627"/>
        <v>0</v>
      </c>
      <c r="K672" s="341"/>
      <c r="L672" s="342"/>
      <c r="M672" s="342"/>
      <c r="N672" s="341">
        <f t="shared" si="586"/>
        <v>0</v>
      </c>
      <c r="O672" s="341">
        <f t="shared" si="587"/>
        <v>0</v>
      </c>
      <c r="P672" s="341">
        <f>SUMIF(GL!$D$6488:$D$6532,B672,GL!$H$6488:$H$6532)</f>
        <v>0</v>
      </c>
      <c r="Q672" s="341">
        <f>SUMIF(GL!$D$6408:$D$6452,B672,GL!$I$6408:$I$6452)</f>
        <v>0</v>
      </c>
      <c r="R672" s="341">
        <f t="shared" ref="R672:S672" si="710">P672+N672</f>
        <v>0</v>
      </c>
      <c r="S672" s="341">
        <f t="shared" si="710"/>
        <v>0</v>
      </c>
      <c r="T672" s="340"/>
      <c r="U672" s="340"/>
      <c r="V672" s="340"/>
      <c r="W672" s="340"/>
      <c r="X672" s="341">
        <f t="shared" si="589"/>
        <v>0</v>
      </c>
      <c r="Y672" s="341">
        <f t="shared" si="590"/>
        <v>0</v>
      </c>
      <c r="Z672" s="246"/>
      <c r="AA672" s="110"/>
      <c r="AB672" s="332"/>
      <c r="AC672" s="332"/>
      <c r="AD672" s="110"/>
      <c r="AE672" s="110"/>
      <c r="AF672" s="110"/>
      <c r="AG672" s="110"/>
      <c r="AH672" s="110"/>
      <c r="AI672" s="110"/>
    </row>
    <row r="673" spans="1:35" ht="13.5" customHeight="1">
      <c r="A673" s="2"/>
      <c r="B673" s="127" t="s">
        <v>3625</v>
      </c>
      <c r="C673" s="307" t="s">
        <v>3844</v>
      </c>
      <c r="D673" s="319">
        <f t="shared" ref="D673:K673" si="711">SUM(D674:D713)</f>
        <v>0</v>
      </c>
      <c r="E673" s="354">
        <f t="shared" si="711"/>
        <v>0</v>
      </c>
      <c r="F673" s="354">
        <f t="shared" si="711"/>
        <v>0</v>
      </c>
      <c r="G673" s="354">
        <f t="shared" si="711"/>
        <v>0</v>
      </c>
      <c r="H673" s="354">
        <f t="shared" si="711"/>
        <v>0</v>
      </c>
      <c r="I673" s="354">
        <f t="shared" si="711"/>
        <v>0</v>
      </c>
      <c r="J673" s="354">
        <f t="shared" si="711"/>
        <v>0</v>
      </c>
      <c r="K673" s="354">
        <f t="shared" si="711"/>
        <v>0</v>
      </c>
      <c r="L673" s="354">
        <v>3876228</v>
      </c>
      <c r="M673" s="354"/>
      <c r="N673" s="354">
        <f t="shared" si="586"/>
        <v>3876228</v>
      </c>
      <c r="O673" s="354">
        <f t="shared" si="587"/>
        <v>0</v>
      </c>
      <c r="P673" s="354">
        <f>SUMIF(GL!$D$6488:$D$6532,B673,GL!$H$6488:$H$6532)</f>
        <v>0</v>
      </c>
      <c r="Q673" s="354">
        <f>GL!H5872</f>
        <v>735701.88181818172</v>
      </c>
      <c r="R673" s="354">
        <f t="shared" ref="R673:S673" si="712">P673+N673</f>
        <v>3876228</v>
      </c>
      <c r="S673" s="354">
        <f t="shared" si="712"/>
        <v>735701.88181818172</v>
      </c>
      <c r="T673" s="307"/>
      <c r="U673" s="307"/>
      <c r="V673" s="307"/>
      <c r="W673" s="307"/>
      <c r="X673" s="354">
        <f t="shared" si="589"/>
        <v>3140526.1181818182</v>
      </c>
      <c r="Y673" s="354">
        <f t="shared" si="590"/>
        <v>0</v>
      </c>
      <c r="Z673" s="364"/>
      <c r="AA673" s="351"/>
      <c r="AB673" s="352"/>
      <c r="AC673" s="352"/>
      <c r="AD673" s="351"/>
      <c r="AE673" s="351"/>
      <c r="AF673" s="351"/>
      <c r="AG673" s="351"/>
      <c r="AH673" s="351"/>
      <c r="AI673" s="351"/>
    </row>
    <row r="674" spans="1:35" ht="13.5" customHeight="1">
      <c r="A674" s="4"/>
      <c r="B674" s="15" t="s">
        <v>4941</v>
      </c>
      <c r="C674" s="375" t="s">
        <v>4942</v>
      </c>
      <c r="D674" s="254">
        <f>SUMIF(GL!$D$5:$D$6505,B674,GL!$G$5:$G$6505)</f>
        <v>0</v>
      </c>
      <c r="E674" s="341">
        <f>SUMIF(GL!$D$6:$D$6487,B674,GL!$H$6:$H$6487)</f>
        <v>0</v>
      </c>
      <c r="F674" s="341">
        <f>SUMIF(GL!$D$6:$D$6487,B674,GL!$I$6:$I$6487)</f>
        <v>0</v>
      </c>
      <c r="G674" s="341"/>
      <c r="H674" s="341"/>
      <c r="I674" s="341">
        <f t="shared" ref="I674:I710" si="713">IF(E674&gt;F674,E674-F674,0)</f>
        <v>0</v>
      </c>
      <c r="J674" s="341">
        <f t="shared" ref="J674:J710" si="714">IF(F674&gt;E674,F674-E674,0)</f>
        <v>0</v>
      </c>
      <c r="K674" s="341"/>
      <c r="L674" s="342"/>
      <c r="M674" s="342"/>
      <c r="N674" s="341">
        <f t="shared" si="586"/>
        <v>0</v>
      </c>
      <c r="O674" s="341">
        <f t="shared" si="587"/>
        <v>0</v>
      </c>
      <c r="P674" s="341">
        <f>SUMIF(GL!$D$6488:$D$6532,B674,GL!$H$6488:$H$6532)</f>
        <v>0</v>
      </c>
      <c r="Q674" s="341">
        <f>SUMIF(GL!$D$6408:$D$6452,B674,GL!$I$6408:$I$6452)</f>
        <v>0</v>
      </c>
      <c r="R674" s="341">
        <f t="shared" ref="R674:S674" si="715">P674+N674</f>
        <v>0</v>
      </c>
      <c r="S674" s="341">
        <f t="shared" si="715"/>
        <v>0</v>
      </c>
      <c r="T674" s="340"/>
      <c r="U674" s="340"/>
      <c r="V674" s="340"/>
      <c r="W674" s="340"/>
      <c r="X674" s="341">
        <f t="shared" si="589"/>
        <v>0</v>
      </c>
      <c r="Y674" s="341">
        <f t="shared" si="590"/>
        <v>0</v>
      </c>
      <c r="Z674" s="364"/>
      <c r="AA674" s="110"/>
      <c r="AB674" s="332"/>
      <c r="AC674" s="332"/>
      <c r="AD674" s="110"/>
      <c r="AE674" s="110"/>
      <c r="AF674" s="110"/>
      <c r="AG674" s="110"/>
      <c r="AH674" s="110"/>
      <c r="AI674" s="110"/>
    </row>
    <row r="675" spans="1:35" ht="13.5" customHeight="1">
      <c r="A675" s="4"/>
      <c r="B675" s="15" t="s">
        <v>4943</v>
      </c>
      <c r="C675" s="376" t="s">
        <v>4944</v>
      </c>
      <c r="D675" s="254">
        <f>SUMIF(GL!$D$5:$D$6505,B675,GL!$G$5:$G$6505)</f>
        <v>0</v>
      </c>
      <c r="E675" s="341">
        <f>SUMIF(GL!$D$6:$D$6487,B675,GL!$H$6:$H$6487)</f>
        <v>0</v>
      </c>
      <c r="F675" s="341">
        <f>SUMIF(GL!$D$6:$D$6487,B675,GL!$I$6:$I$6487)</f>
        <v>0</v>
      </c>
      <c r="G675" s="341"/>
      <c r="H675" s="341"/>
      <c r="I675" s="341">
        <f t="shared" si="713"/>
        <v>0</v>
      </c>
      <c r="J675" s="341">
        <f t="shared" si="714"/>
        <v>0</v>
      </c>
      <c r="K675" s="341"/>
      <c r="L675" s="342"/>
      <c r="M675" s="342"/>
      <c r="N675" s="341">
        <f t="shared" si="586"/>
        <v>0</v>
      </c>
      <c r="O675" s="341">
        <f t="shared" si="587"/>
        <v>0</v>
      </c>
      <c r="P675" s="341">
        <f>SUMIF(GL!$D$6488:$D$6532,B675,GL!$H$6488:$H$6532)</f>
        <v>0</v>
      </c>
      <c r="Q675" s="341">
        <f>SUMIF(GL!$D$6408:$D$6452,B675,GL!$I$6408:$I$6452)</f>
        <v>0</v>
      </c>
      <c r="R675" s="341">
        <f t="shared" ref="R675:S675" si="716">P675+N675</f>
        <v>0</v>
      </c>
      <c r="S675" s="341">
        <f t="shared" si="716"/>
        <v>0</v>
      </c>
      <c r="T675" s="340"/>
      <c r="U675" s="340"/>
      <c r="V675" s="340"/>
      <c r="W675" s="340"/>
      <c r="X675" s="341">
        <f t="shared" si="589"/>
        <v>0</v>
      </c>
      <c r="Y675" s="341">
        <f t="shared" si="590"/>
        <v>0</v>
      </c>
      <c r="Z675" s="364"/>
      <c r="AA675" s="110"/>
      <c r="AB675" s="332"/>
      <c r="AC675" s="332"/>
      <c r="AD675" s="110"/>
      <c r="AE675" s="110"/>
      <c r="AF675" s="110"/>
      <c r="AG675" s="110"/>
      <c r="AH675" s="110"/>
      <c r="AI675" s="110"/>
    </row>
    <row r="676" spans="1:35" ht="13.5" customHeight="1">
      <c r="A676" s="4"/>
      <c r="B676" s="15" t="s">
        <v>4945</v>
      </c>
      <c r="C676" s="375" t="s">
        <v>4946</v>
      </c>
      <c r="D676" s="254">
        <f>SUMIF(GL!$D$5:$D$6505,B676,GL!$G$5:$G$6505)</f>
        <v>0</v>
      </c>
      <c r="E676" s="341">
        <f>SUMIF(GL!$D$6:$D$6487,B676,GL!$H$6:$H$6487)</f>
        <v>0</v>
      </c>
      <c r="F676" s="341">
        <f>SUMIF(GL!$D$6:$D$6487,B676,GL!$I$6:$I$6487)</f>
        <v>0</v>
      </c>
      <c r="G676" s="341"/>
      <c r="H676" s="341"/>
      <c r="I676" s="341">
        <f t="shared" si="713"/>
        <v>0</v>
      </c>
      <c r="J676" s="341">
        <f t="shared" si="714"/>
        <v>0</v>
      </c>
      <c r="K676" s="341"/>
      <c r="L676" s="342"/>
      <c r="M676" s="342"/>
      <c r="N676" s="341">
        <f t="shared" si="586"/>
        <v>0</v>
      </c>
      <c r="O676" s="341">
        <f t="shared" si="587"/>
        <v>0</v>
      </c>
      <c r="P676" s="341">
        <f>SUMIF(GL!$D$6488:$D$6532,B676,GL!$H$6488:$H$6532)</f>
        <v>0</v>
      </c>
      <c r="Q676" s="341">
        <f>SUMIF(GL!$D$6408:$D$6452,B676,GL!$I$6408:$I$6452)</f>
        <v>0</v>
      </c>
      <c r="R676" s="341">
        <f t="shared" ref="R676:S676" si="717">P676+N676</f>
        <v>0</v>
      </c>
      <c r="S676" s="341">
        <f t="shared" si="717"/>
        <v>0</v>
      </c>
      <c r="T676" s="340"/>
      <c r="U676" s="340"/>
      <c r="V676" s="340"/>
      <c r="W676" s="340"/>
      <c r="X676" s="341">
        <f t="shared" si="589"/>
        <v>0</v>
      </c>
      <c r="Y676" s="341">
        <f t="shared" si="590"/>
        <v>0</v>
      </c>
      <c r="Z676" s="364"/>
      <c r="AA676" s="110"/>
      <c r="AB676" s="332"/>
      <c r="AC676" s="332"/>
      <c r="AD676" s="110"/>
      <c r="AE676" s="110"/>
      <c r="AF676" s="110"/>
      <c r="AG676" s="110"/>
      <c r="AH676" s="110"/>
      <c r="AI676" s="110"/>
    </row>
    <row r="677" spans="1:35" ht="13.5" customHeight="1">
      <c r="A677" s="4"/>
      <c r="B677" s="15" t="s">
        <v>4947</v>
      </c>
      <c r="C677" s="376" t="s">
        <v>4948</v>
      </c>
      <c r="D677" s="254">
        <f>SUMIF(GL!$D$5:$D$6505,B677,GL!$G$5:$G$6505)</f>
        <v>0</v>
      </c>
      <c r="E677" s="341">
        <f>SUMIF(GL!$D$6:$D$6487,B677,GL!$H$6:$H$6487)</f>
        <v>0</v>
      </c>
      <c r="F677" s="341">
        <f>SUMIF(GL!$D$6:$D$6487,B677,GL!$I$6:$I$6487)</f>
        <v>0</v>
      </c>
      <c r="G677" s="341"/>
      <c r="H677" s="341"/>
      <c r="I677" s="341">
        <f t="shared" si="713"/>
        <v>0</v>
      </c>
      <c r="J677" s="341">
        <f t="shared" si="714"/>
        <v>0</v>
      </c>
      <c r="K677" s="341"/>
      <c r="L677" s="342"/>
      <c r="M677" s="342"/>
      <c r="N677" s="341">
        <f t="shared" si="586"/>
        <v>0</v>
      </c>
      <c r="O677" s="341">
        <f t="shared" si="587"/>
        <v>0</v>
      </c>
      <c r="P677" s="341">
        <f>SUMIF(GL!$D$6488:$D$6532,B677,GL!$H$6488:$H$6532)</f>
        <v>0</v>
      </c>
      <c r="Q677" s="341">
        <f>SUMIF(GL!$D$6408:$D$6452,B677,GL!$I$6408:$I$6452)</f>
        <v>0</v>
      </c>
      <c r="R677" s="341">
        <f t="shared" ref="R677:S677" si="718">P677+N677</f>
        <v>0</v>
      </c>
      <c r="S677" s="341">
        <f t="shared" si="718"/>
        <v>0</v>
      </c>
      <c r="T677" s="340"/>
      <c r="U677" s="340"/>
      <c r="V677" s="340"/>
      <c r="W677" s="340"/>
      <c r="X677" s="341">
        <f t="shared" si="589"/>
        <v>0</v>
      </c>
      <c r="Y677" s="341">
        <f t="shared" si="590"/>
        <v>0</v>
      </c>
      <c r="Z677" s="364"/>
      <c r="AA677" s="110"/>
      <c r="AB677" s="332"/>
      <c r="AC677" s="332"/>
      <c r="AD677" s="110"/>
      <c r="AE677" s="110"/>
      <c r="AF677" s="110"/>
      <c r="AG677" s="110"/>
      <c r="AH677" s="110"/>
      <c r="AI677" s="110"/>
    </row>
    <row r="678" spans="1:35" ht="13.5" customHeight="1">
      <c r="A678" s="4"/>
      <c r="B678" s="15" t="s">
        <v>4949</v>
      </c>
      <c r="C678" s="375" t="s">
        <v>4950</v>
      </c>
      <c r="D678" s="254">
        <f>SUMIF(GL!$D$5:$D$6505,B678,GL!$G$5:$G$6505)</f>
        <v>0</v>
      </c>
      <c r="E678" s="341">
        <f>SUMIF(GL!$D$6:$D$6487,B678,GL!$H$6:$H$6487)</f>
        <v>0</v>
      </c>
      <c r="F678" s="341">
        <f>SUMIF(GL!$D$6:$D$6487,B678,GL!$I$6:$I$6487)</f>
        <v>0</v>
      </c>
      <c r="G678" s="341"/>
      <c r="H678" s="341"/>
      <c r="I678" s="341">
        <f t="shared" si="713"/>
        <v>0</v>
      </c>
      <c r="J678" s="341">
        <f t="shared" si="714"/>
        <v>0</v>
      </c>
      <c r="K678" s="341"/>
      <c r="L678" s="342"/>
      <c r="M678" s="342"/>
      <c r="N678" s="341">
        <f t="shared" si="586"/>
        <v>0</v>
      </c>
      <c r="O678" s="341">
        <f t="shared" si="587"/>
        <v>0</v>
      </c>
      <c r="P678" s="341">
        <f>SUMIF(GL!$D$6488:$D$6532,B678,GL!$H$6488:$H$6532)</f>
        <v>0</v>
      </c>
      <c r="Q678" s="341">
        <f>SUMIF(GL!$D$6408:$D$6452,B678,GL!$I$6408:$I$6452)</f>
        <v>0</v>
      </c>
      <c r="R678" s="341">
        <f t="shared" ref="R678:S678" si="719">P678+N678</f>
        <v>0</v>
      </c>
      <c r="S678" s="341">
        <f t="shared" si="719"/>
        <v>0</v>
      </c>
      <c r="T678" s="340"/>
      <c r="U678" s="340"/>
      <c r="V678" s="340"/>
      <c r="W678" s="340"/>
      <c r="X678" s="341">
        <f t="shared" si="589"/>
        <v>0</v>
      </c>
      <c r="Y678" s="341">
        <f t="shared" si="590"/>
        <v>0</v>
      </c>
      <c r="Z678" s="364"/>
      <c r="AA678" s="110"/>
      <c r="AB678" s="332"/>
      <c r="AC678" s="332"/>
      <c r="AD678" s="110"/>
      <c r="AE678" s="110"/>
      <c r="AF678" s="110"/>
      <c r="AG678" s="110"/>
      <c r="AH678" s="110"/>
      <c r="AI678" s="110"/>
    </row>
    <row r="679" spans="1:35" ht="13.5" customHeight="1">
      <c r="A679" s="4"/>
      <c r="B679" s="15" t="s">
        <v>4951</v>
      </c>
      <c r="C679" s="376" t="s">
        <v>4952</v>
      </c>
      <c r="D679" s="254">
        <f>SUMIF(GL!$D$5:$D$6505,B679,GL!$G$5:$G$6505)</f>
        <v>0</v>
      </c>
      <c r="E679" s="341">
        <f>SUMIF(GL!$D$6:$D$6487,B679,GL!$H$6:$H$6487)</f>
        <v>0</v>
      </c>
      <c r="F679" s="341">
        <f>SUMIF(GL!$D$6:$D$6487,B679,GL!$I$6:$I$6487)</f>
        <v>0</v>
      </c>
      <c r="G679" s="341"/>
      <c r="H679" s="341"/>
      <c r="I679" s="341">
        <f t="shared" si="713"/>
        <v>0</v>
      </c>
      <c r="J679" s="341">
        <f t="shared" si="714"/>
        <v>0</v>
      </c>
      <c r="K679" s="341"/>
      <c r="L679" s="342"/>
      <c r="M679" s="342"/>
      <c r="N679" s="341">
        <f t="shared" si="586"/>
        <v>0</v>
      </c>
      <c r="O679" s="341">
        <f t="shared" si="587"/>
        <v>0</v>
      </c>
      <c r="P679" s="341">
        <f>SUMIF(GL!$D$6488:$D$6532,B679,GL!$H$6488:$H$6532)</f>
        <v>0</v>
      </c>
      <c r="Q679" s="341">
        <f>SUMIF(GL!$D$6408:$D$6452,B679,GL!$I$6408:$I$6452)</f>
        <v>0</v>
      </c>
      <c r="R679" s="341">
        <f t="shared" ref="R679:S679" si="720">P679+N679</f>
        <v>0</v>
      </c>
      <c r="S679" s="341">
        <f t="shared" si="720"/>
        <v>0</v>
      </c>
      <c r="T679" s="340"/>
      <c r="U679" s="340"/>
      <c r="V679" s="340"/>
      <c r="W679" s="340"/>
      <c r="X679" s="341">
        <f t="shared" si="589"/>
        <v>0</v>
      </c>
      <c r="Y679" s="341">
        <f t="shared" si="590"/>
        <v>0</v>
      </c>
      <c r="Z679" s="364"/>
      <c r="AA679" s="110"/>
      <c r="AB679" s="332"/>
      <c r="AC679" s="332"/>
      <c r="AD679" s="110"/>
      <c r="AE679" s="110"/>
      <c r="AF679" s="110"/>
      <c r="AG679" s="110"/>
      <c r="AH679" s="110"/>
      <c r="AI679" s="110"/>
    </row>
    <row r="680" spans="1:35" ht="13.5" customHeight="1">
      <c r="A680" s="4"/>
      <c r="B680" s="15" t="s">
        <v>4953</v>
      </c>
      <c r="C680" s="376" t="s">
        <v>4954</v>
      </c>
      <c r="D680" s="254">
        <f>SUMIF(GL!$D$5:$D$6505,B680,GL!$G$5:$G$6505)</f>
        <v>0</v>
      </c>
      <c r="E680" s="341">
        <f>SUMIF(GL!$D$6:$D$6487,B680,GL!$H$6:$H$6487)</f>
        <v>0</v>
      </c>
      <c r="F680" s="341">
        <f>SUMIF(GL!$D$6:$D$6487,B680,GL!$I$6:$I$6487)</f>
        <v>0</v>
      </c>
      <c r="G680" s="341"/>
      <c r="H680" s="341"/>
      <c r="I680" s="341">
        <f t="shared" si="713"/>
        <v>0</v>
      </c>
      <c r="J680" s="341">
        <f t="shared" si="714"/>
        <v>0</v>
      </c>
      <c r="K680" s="341"/>
      <c r="L680" s="342"/>
      <c r="M680" s="342"/>
      <c r="N680" s="341">
        <f t="shared" si="586"/>
        <v>0</v>
      </c>
      <c r="O680" s="341">
        <f t="shared" si="587"/>
        <v>0</v>
      </c>
      <c r="P680" s="341">
        <f>SUMIF(GL!$D$6488:$D$6532,B680,GL!$H$6488:$H$6532)</f>
        <v>0</v>
      </c>
      <c r="Q680" s="341">
        <f>SUMIF(GL!$D$6408:$D$6452,B680,GL!$I$6408:$I$6452)</f>
        <v>0</v>
      </c>
      <c r="R680" s="341">
        <f t="shared" ref="R680:S680" si="721">P680+N680</f>
        <v>0</v>
      </c>
      <c r="S680" s="341">
        <f t="shared" si="721"/>
        <v>0</v>
      </c>
      <c r="T680" s="340"/>
      <c r="U680" s="340"/>
      <c r="V680" s="340"/>
      <c r="W680" s="340"/>
      <c r="X680" s="341">
        <f t="shared" si="589"/>
        <v>0</v>
      </c>
      <c r="Y680" s="341">
        <f t="shared" si="590"/>
        <v>0</v>
      </c>
      <c r="Z680" s="364"/>
      <c r="AA680" s="110"/>
      <c r="AB680" s="332"/>
      <c r="AC680" s="332"/>
      <c r="AD680" s="110"/>
      <c r="AE680" s="110"/>
      <c r="AF680" s="110"/>
      <c r="AG680" s="110"/>
      <c r="AH680" s="110"/>
      <c r="AI680" s="110"/>
    </row>
    <row r="681" spans="1:35" ht="13.5" customHeight="1">
      <c r="A681" s="4"/>
      <c r="B681" s="15" t="s">
        <v>4955</v>
      </c>
      <c r="C681" s="376" t="s">
        <v>4956</v>
      </c>
      <c r="D681" s="254">
        <f>SUMIF(GL!$D$5:$D$6505,B681,GL!$G$5:$G$6505)</f>
        <v>0</v>
      </c>
      <c r="E681" s="341">
        <f>SUMIF(GL!$D$6:$D$6487,B681,GL!$H$6:$H$6487)</f>
        <v>0</v>
      </c>
      <c r="F681" s="341">
        <f>SUMIF(GL!$D$6:$D$6487,B681,GL!$I$6:$I$6487)</f>
        <v>0</v>
      </c>
      <c r="G681" s="341"/>
      <c r="H681" s="341"/>
      <c r="I681" s="341">
        <f t="shared" si="713"/>
        <v>0</v>
      </c>
      <c r="J681" s="341">
        <f t="shared" si="714"/>
        <v>0</v>
      </c>
      <c r="K681" s="341"/>
      <c r="L681" s="342"/>
      <c r="M681" s="342"/>
      <c r="N681" s="341">
        <f t="shared" si="586"/>
        <v>0</v>
      </c>
      <c r="O681" s="341">
        <f t="shared" si="587"/>
        <v>0</v>
      </c>
      <c r="P681" s="341">
        <f>SUMIF(GL!$D$6488:$D$6532,B681,GL!$H$6488:$H$6532)</f>
        <v>0</v>
      </c>
      <c r="Q681" s="341">
        <f>SUMIF(GL!$D$6408:$D$6452,B681,GL!$I$6408:$I$6452)</f>
        <v>0</v>
      </c>
      <c r="R681" s="341">
        <f t="shared" ref="R681:S681" si="722">P681+N681</f>
        <v>0</v>
      </c>
      <c r="S681" s="341">
        <f t="shared" si="722"/>
        <v>0</v>
      </c>
      <c r="T681" s="340"/>
      <c r="U681" s="340"/>
      <c r="V681" s="340"/>
      <c r="W681" s="340"/>
      <c r="X681" s="341">
        <f t="shared" si="589"/>
        <v>0</v>
      </c>
      <c r="Y681" s="341">
        <f t="shared" si="590"/>
        <v>0</v>
      </c>
      <c r="Z681" s="364"/>
      <c r="AA681" s="110"/>
      <c r="AB681" s="332"/>
      <c r="AC681" s="332"/>
      <c r="AD681" s="110"/>
      <c r="AE681" s="110"/>
      <c r="AF681" s="110"/>
      <c r="AG681" s="110"/>
      <c r="AH681" s="110"/>
      <c r="AI681" s="110"/>
    </row>
    <row r="682" spans="1:35" ht="13.5" customHeight="1">
      <c r="A682" s="4"/>
      <c r="B682" s="15" t="s">
        <v>4957</v>
      </c>
      <c r="C682" s="375" t="s">
        <v>4958</v>
      </c>
      <c r="D682" s="254">
        <f>SUMIF(GL!$D$5:$D$6505,B682,GL!$G$5:$G$6505)</f>
        <v>0</v>
      </c>
      <c r="E682" s="341">
        <f>SUMIF(GL!$D$6:$D$6487,B682,GL!$H$6:$H$6487)</f>
        <v>0</v>
      </c>
      <c r="F682" s="341">
        <f>SUMIF(GL!$D$6:$D$6487,B682,GL!$I$6:$I$6487)</f>
        <v>0</v>
      </c>
      <c r="G682" s="341"/>
      <c r="H682" s="341"/>
      <c r="I682" s="341">
        <f t="shared" si="713"/>
        <v>0</v>
      </c>
      <c r="J682" s="341">
        <f t="shared" si="714"/>
        <v>0</v>
      </c>
      <c r="K682" s="341"/>
      <c r="L682" s="342"/>
      <c r="M682" s="342"/>
      <c r="N682" s="341">
        <f t="shared" si="586"/>
        <v>0</v>
      </c>
      <c r="O682" s="341">
        <f t="shared" si="587"/>
        <v>0</v>
      </c>
      <c r="P682" s="341">
        <f>SUMIF(GL!$D$6488:$D$6532,B682,GL!$H$6488:$H$6532)</f>
        <v>0</v>
      </c>
      <c r="Q682" s="341">
        <f>SUMIF(GL!$D$6408:$D$6452,B682,GL!$I$6408:$I$6452)</f>
        <v>0</v>
      </c>
      <c r="R682" s="341">
        <f t="shared" ref="R682:S682" si="723">P682+N682</f>
        <v>0</v>
      </c>
      <c r="S682" s="341">
        <f t="shared" si="723"/>
        <v>0</v>
      </c>
      <c r="T682" s="340"/>
      <c r="U682" s="340"/>
      <c r="V682" s="340"/>
      <c r="W682" s="340"/>
      <c r="X682" s="341">
        <f t="shared" si="589"/>
        <v>0</v>
      </c>
      <c r="Y682" s="341">
        <f t="shared" si="590"/>
        <v>0</v>
      </c>
      <c r="Z682" s="331"/>
      <c r="AA682" s="110"/>
      <c r="AB682" s="332"/>
      <c r="AC682" s="332"/>
      <c r="AD682" s="110"/>
      <c r="AE682" s="110"/>
      <c r="AF682" s="110"/>
      <c r="AG682" s="110"/>
      <c r="AH682" s="110"/>
      <c r="AI682" s="110"/>
    </row>
    <row r="683" spans="1:35" ht="13.5" customHeight="1">
      <c r="A683" s="4"/>
      <c r="B683" s="15" t="s">
        <v>4959</v>
      </c>
      <c r="C683" s="375" t="s">
        <v>4960</v>
      </c>
      <c r="D683" s="254">
        <f>SUMIF(GL!$D$5:$D$6505,B683,GL!$G$5:$G$6505)</f>
        <v>0</v>
      </c>
      <c r="E683" s="341">
        <f>SUMIF(GL!$D$6:$D$6487,B683,GL!$H$6:$H$6487)</f>
        <v>0</v>
      </c>
      <c r="F683" s="341">
        <f>SUMIF(GL!$D$6:$D$6487,B683,GL!$I$6:$I$6487)</f>
        <v>0</v>
      </c>
      <c r="G683" s="341"/>
      <c r="H683" s="341"/>
      <c r="I683" s="341">
        <f t="shared" si="713"/>
        <v>0</v>
      </c>
      <c r="J683" s="341">
        <f t="shared" si="714"/>
        <v>0</v>
      </c>
      <c r="K683" s="341"/>
      <c r="L683" s="342"/>
      <c r="M683" s="342"/>
      <c r="N683" s="341">
        <f t="shared" si="586"/>
        <v>0</v>
      </c>
      <c r="O683" s="341">
        <f t="shared" si="587"/>
        <v>0</v>
      </c>
      <c r="P683" s="341">
        <f>SUMIF(GL!$D$6488:$D$6532,B683,GL!$H$6488:$H$6532)</f>
        <v>0</v>
      </c>
      <c r="Q683" s="341">
        <f>SUMIF(GL!$D$6408:$D$6452,B683,GL!$I$6408:$I$6452)</f>
        <v>0</v>
      </c>
      <c r="R683" s="341">
        <f t="shared" ref="R683:S683" si="724">P683+N683</f>
        <v>0</v>
      </c>
      <c r="S683" s="341">
        <f t="shared" si="724"/>
        <v>0</v>
      </c>
      <c r="T683" s="340"/>
      <c r="U683" s="340"/>
      <c r="V683" s="340"/>
      <c r="W683" s="340"/>
      <c r="X683" s="341">
        <f t="shared" si="589"/>
        <v>0</v>
      </c>
      <c r="Y683" s="341">
        <f t="shared" si="590"/>
        <v>0</v>
      </c>
      <c r="Z683" s="331"/>
      <c r="AA683" s="110"/>
      <c r="AB683" s="332"/>
      <c r="AC683" s="332"/>
      <c r="AD683" s="110"/>
      <c r="AE683" s="110"/>
      <c r="AF683" s="110"/>
      <c r="AG683" s="110"/>
      <c r="AH683" s="110"/>
      <c r="AI683" s="110"/>
    </row>
    <row r="684" spans="1:35" ht="13.5" customHeight="1">
      <c r="A684" s="4"/>
      <c r="B684" s="15" t="s">
        <v>4961</v>
      </c>
      <c r="C684" s="375" t="s">
        <v>4962</v>
      </c>
      <c r="D684" s="254">
        <f>SUMIF(GL!$D$5:$D$6505,B684,GL!$G$5:$G$6505)</f>
        <v>0</v>
      </c>
      <c r="E684" s="341">
        <f>SUMIF(GL!$D$6:$D$6487,B684,GL!$H$6:$H$6487)</f>
        <v>0</v>
      </c>
      <c r="F684" s="341">
        <f>SUMIF(GL!$D$6:$D$6487,B684,GL!$I$6:$I$6487)</f>
        <v>0</v>
      </c>
      <c r="G684" s="341"/>
      <c r="H684" s="341"/>
      <c r="I684" s="341">
        <f t="shared" si="713"/>
        <v>0</v>
      </c>
      <c r="J684" s="341">
        <f t="shared" si="714"/>
        <v>0</v>
      </c>
      <c r="K684" s="341"/>
      <c r="L684" s="342"/>
      <c r="M684" s="342"/>
      <c r="N684" s="341">
        <f t="shared" si="586"/>
        <v>0</v>
      </c>
      <c r="O684" s="341">
        <f t="shared" si="587"/>
        <v>0</v>
      </c>
      <c r="P684" s="341">
        <f>SUMIF(GL!$D$6488:$D$6532,B684,GL!$H$6488:$H$6532)</f>
        <v>0</v>
      </c>
      <c r="Q684" s="341">
        <f>SUMIF(GL!$D$6408:$D$6452,B684,GL!$I$6408:$I$6452)</f>
        <v>0</v>
      </c>
      <c r="R684" s="341">
        <f t="shared" ref="R684:S684" si="725">P684+N684</f>
        <v>0</v>
      </c>
      <c r="S684" s="341">
        <f t="shared" si="725"/>
        <v>0</v>
      </c>
      <c r="T684" s="340"/>
      <c r="U684" s="340"/>
      <c r="V684" s="340"/>
      <c r="W684" s="340"/>
      <c r="X684" s="341">
        <f t="shared" si="589"/>
        <v>0</v>
      </c>
      <c r="Y684" s="341">
        <f t="shared" si="590"/>
        <v>0</v>
      </c>
      <c r="Z684" s="331"/>
      <c r="AA684" s="110"/>
      <c r="AB684" s="332"/>
      <c r="AC684" s="332"/>
      <c r="AD684" s="110"/>
      <c r="AE684" s="110"/>
      <c r="AF684" s="110"/>
      <c r="AG684" s="110"/>
      <c r="AH684" s="110"/>
      <c r="AI684" s="110"/>
    </row>
    <row r="685" spans="1:35" ht="13.5" customHeight="1">
      <c r="A685" s="4"/>
      <c r="B685" s="15" t="s">
        <v>4963</v>
      </c>
      <c r="C685" s="376" t="s">
        <v>4964</v>
      </c>
      <c r="D685" s="254">
        <f>SUMIF(GL!$D$5:$D$6505,B685,GL!$G$5:$G$6505)</f>
        <v>0</v>
      </c>
      <c r="E685" s="341">
        <f>SUMIF(GL!$D$6:$D$6487,B685,GL!$H$6:$H$6487)</f>
        <v>0</v>
      </c>
      <c r="F685" s="341">
        <f>SUMIF(GL!$D$6:$D$6487,B685,GL!$I$6:$I$6487)</f>
        <v>0</v>
      </c>
      <c r="G685" s="341"/>
      <c r="H685" s="341"/>
      <c r="I685" s="341">
        <f t="shared" si="713"/>
        <v>0</v>
      </c>
      <c r="J685" s="341">
        <f t="shared" si="714"/>
        <v>0</v>
      </c>
      <c r="K685" s="341"/>
      <c r="L685" s="342"/>
      <c r="M685" s="342"/>
      <c r="N685" s="341">
        <f t="shared" si="586"/>
        <v>0</v>
      </c>
      <c r="O685" s="341">
        <f t="shared" si="587"/>
        <v>0</v>
      </c>
      <c r="P685" s="341">
        <f>SUMIF(GL!$D$6488:$D$6532,B685,GL!$H$6488:$H$6532)</f>
        <v>0</v>
      </c>
      <c r="Q685" s="341">
        <f>SUMIF(GL!$D$6408:$D$6452,B685,GL!$I$6408:$I$6452)</f>
        <v>0</v>
      </c>
      <c r="R685" s="341">
        <f t="shared" ref="R685:S685" si="726">P685+N685</f>
        <v>0</v>
      </c>
      <c r="S685" s="341">
        <f t="shared" si="726"/>
        <v>0</v>
      </c>
      <c r="T685" s="340"/>
      <c r="U685" s="340"/>
      <c r="V685" s="340"/>
      <c r="W685" s="340"/>
      <c r="X685" s="341">
        <f t="shared" si="589"/>
        <v>0</v>
      </c>
      <c r="Y685" s="341">
        <f t="shared" si="590"/>
        <v>0</v>
      </c>
      <c r="Z685" s="331"/>
      <c r="AA685" s="110"/>
      <c r="AB685" s="332"/>
      <c r="AC685" s="332"/>
      <c r="AD685" s="110"/>
      <c r="AE685" s="110"/>
      <c r="AF685" s="110"/>
      <c r="AG685" s="110"/>
      <c r="AH685" s="110"/>
      <c r="AI685" s="110"/>
    </row>
    <row r="686" spans="1:35" ht="13.5" customHeight="1">
      <c r="A686" s="4"/>
      <c r="B686" s="15" t="s">
        <v>4965</v>
      </c>
      <c r="C686" s="376" t="s">
        <v>4966</v>
      </c>
      <c r="D686" s="254">
        <f>SUMIF(GL!$D$5:$D$6505,B686,GL!$G$5:$G$6505)</f>
        <v>0</v>
      </c>
      <c r="E686" s="341">
        <f>SUMIF(GL!$D$6:$D$6487,B686,GL!$H$6:$H$6487)</f>
        <v>0</v>
      </c>
      <c r="F686" s="341">
        <f>SUMIF(GL!$D$6:$D$6487,B686,GL!$I$6:$I$6487)</f>
        <v>0</v>
      </c>
      <c r="G686" s="341"/>
      <c r="H686" s="341"/>
      <c r="I686" s="341">
        <f t="shared" si="713"/>
        <v>0</v>
      </c>
      <c r="J686" s="341">
        <f t="shared" si="714"/>
        <v>0</v>
      </c>
      <c r="K686" s="341"/>
      <c r="L686" s="342"/>
      <c r="M686" s="342"/>
      <c r="N686" s="341">
        <f t="shared" si="586"/>
        <v>0</v>
      </c>
      <c r="O686" s="341">
        <f t="shared" si="587"/>
        <v>0</v>
      </c>
      <c r="P686" s="341">
        <f>SUMIF(GL!$D$6488:$D$6532,B686,GL!$H$6488:$H$6532)</f>
        <v>0</v>
      </c>
      <c r="Q686" s="341">
        <f>SUMIF(GL!$D$6408:$D$6452,B686,GL!$I$6408:$I$6452)</f>
        <v>0</v>
      </c>
      <c r="R686" s="341">
        <f t="shared" ref="R686:S686" si="727">P686+N686</f>
        <v>0</v>
      </c>
      <c r="S686" s="341">
        <f t="shared" si="727"/>
        <v>0</v>
      </c>
      <c r="T686" s="340"/>
      <c r="U686" s="340"/>
      <c r="V686" s="340"/>
      <c r="W686" s="340"/>
      <c r="X686" s="341">
        <f t="shared" si="589"/>
        <v>0</v>
      </c>
      <c r="Y686" s="341">
        <f t="shared" si="590"/>
        <v>0</v>
      </c>
      <c r="Z686" s="331"/>
      <c r="AA686" s="110"/>
      <c r="AB686" s="332"/>
      <c r="AC686" s="332"/>
      <c r="AD686" s="110"/>
      <c r="AE686" s="110"/>
      <c r="AF686" s="110"/>
      <c r="AG686" s="110"/>
      <c r="AH686" s="110"/>
      <c r="AI686" s="110"/>
    </row>
    <row r="687" spans="1:35" ht="13.5" customHeight="1">
      <c r="A687" s="4"/>
      <c r="B687" s="15" t="s">
        <v>4967</v>
      </c>
      <c r="C687" s="376" t="s">
        <v>4968</v>
      </c>
      <c r="D687" s="254">
        <f>SUMIF(GL!$D$5:$D$6505,B687,GL!$G$5:$G$6505)</f>
        <v>0</v>
      </c>
      <c r="E687" s="341">
        <f>SUMIF(GL!$D$6:$D$6487,B687,GL!$H$6:$H$6487)</f>
        <v>0</v>
      </c>
      <c r="F687" s="341">
        <f>SUMIF(GL!$D$6:$D$6487,B687,GL!$I$6:$I$6487)</f>
        <v>0</v>
      </c>
      <c r="G687" s="341"/>
      <c r="H687" s="341"/>
      <c r="I687" s="341">
        <f t="shared" si="713"/>
        <v>0</v>
      </c>
      <c r="J687" s="341">
        <f t="shared" si="714"/>
        <v>0</v>
      </c>
      <c r="K687" s="341"/>
      <c r="L687" s="342"/>
      <c r="M687" s="342"/>
      <c r="N687" s="341">
        <f t="shared" si="586"/>
        <v>0</v>
      </c>
      <c r="O687" s="341">
        <f t="shared" si="587"/>
        <v>0</v>
      </c>
      <c r="P687" s="341">
        <f>SUMIF(GL!$D$6488:$D$6532,B687,GL!$H$6488:$H$6532)</f>
        <v>0</v>
      </c>
      <c r="Q687" s="341">
        <f>SUMIF(GL!$D$6408:$D$6452,B687,GL!$I$6408:$I$6452)</f>
        <v>0</v>
      </c>
      <c r="R687" s="341">
        <f t="shared" ref="R687:S687" si="728">P687+N687</f>
        <v>0</v>
      </c>
      <c r="S687" s="341">
        <f t="shared" si="728"/>
        <v>0</v>
      </c>
      <c r="T687" s="340"/>
      <c r="U687" s="340"/>
      <c r="V687" s="340"/>
      <c r="W687" s="340"/>
      <c r="X687" s="341">
        <f t="shared" si="589"/>
        <v>0</v>
      </c>
      <c r="Y687" s="341">
        <f t="shared" si="590"/>
        <v>0</v>
      </c>
      <c r="Z687" s="331"/>
      <c r="AA687" s="110"/>
      <c r="AB687" s="332"/>
      <c r="AC687" s="332"/>
      <c r="AD687" s="110"/>
      <c r="AE687" s="110"/>
      <c r="AF687" s="110"/>
      <c r="AG687" s="110"/>
      <c r="AH687" s="110"/>
      <c r="AI687" s="110"/>
    </row>
    <row r="688" spans="1:35" ht="13.5" customHeight="1">
      <c r="A688" s="4"/>
      <c r="B688" s="15" t="s">
        <v>4969</v>
      </c>
      <c r="C688" s="376" t="s">
        <v>4970</v>
      </c>
      <c r="D688" s="254">
        <f>SUMIF(GL!$D$5:$D$6505,B688,GL!$G$5:$G$6505)</f>
        <v>0</v>
      </c>
      <c r="E688" s="341">
        <f>SUMIF(GL!$D$6:$D$6487,B688,GL!$H$6:$H$6487)</f>
        <v>0</v>
      </c>
      <c r="F688" s="341">
        <f>SUMIF(GL!$D$6:$D$6487,B688,GL!$I$6:$I$6487)</f>
        <v>0</v>
      </c>
      <c r="G688" s="341"/>
      <c r="H688" s="341"/>
      <c r="I688" s="341">
        <f t="shared" si="713"/>
        <v>0</v>
      </c>
      <c r="J688" s="341">
        <f t="shared" si="714"/>
        <v>0</v>
      </c>
      <c r="K688" s="341"/>
      <c r="L688" s="342"/>
      <c r="M688" s="342"/>
      <c r="N688" s="341">
        <f t="shared" si="586"/>
        <v>0</v>
      </c>
      <c r="O688" s="341">
        <f t="shared" si="587"/>
        <v>0</v>
      </c>
      <c r="P688" s="341">
        <f>SUMIF(GL!$D$6488:$D$6532,B688,GL!$H$6488:$H$6532)</f>
        <v>0</v>
      </c>
      <c r="Q688" s="341">
        <f>SUMIF(GL!$D$6408:$D$6452,B688,GL!$I$6408:$I$6452)</f>
        <v>0</v>
      </c>
      <c r="R688" s="341">
        <f t="shared" ref="R688:S688" si="729">P688+N688</f>
        <v>0</v>
      </c>
      <c r="S688" s="341">
        <f t="shared" si="729"/>
        <v>0</v>
      </c>
      <c r="T688" s="340"/>
      <c r="U688" s="340"/>
      <c r="V688" s="340"/>
      <c r="W688" s="340"/>
      <c r="X688" s="341">
        <f t="shared" si="589"/>
        <v>0</v>
      </c>
      <c r="Y688" s="341">
        <f t="shared" si="590"/>
        <v>0</v>
      </c>
      <c r="Z688" s="331"/>
      <c r="AA688" s="110"/>
      <c r="AB688" s="332"/>
      <c r="AC688" s="332"/>
      <c r="AD688" s="110"/>
      <c r="AE688" s="110"/>
      <c r="AF688" s="110"/>
      <c r="AG688" s="110"/>
      <c r="AH688" s="110"/>
      <c r="AI688" s="110"/>
    </row>
    <row r="689" spans="1:35" ht="13.5" customHeight="1">
      <c r="A689" s="4"/>
      <c r="B689" s="15" t="s">
        <v>4971</v>
      </c>
      <c r="C689" s="375" t="s">
        <v>4972</v>
      </c>
      <c r="D689" s="254">
        <f>SUMIF(GL!$D$5:$D$6505,B689,GL!$G$5:$G$6505)</f>
        <v>0</v>
      </c>
      <c r="E689" s="341">
        <f>SUMIF(GL!$D$6:$D$6487,B689,GL!$H$6:$H$6487)</f>
        <v>0</v>
      </c>
      <c r="F689" s="341">
        <f>SUMIF(GL!$D$6:$D$6487,B689,GL!$I$6:$I$6487)</f>
        <v>0</v>
      </c>
      <c r="G689" s="341"/>
      <c r="H689" s="341"/>
      <c r="I689" s="341">
        <f t="shared" si="713"/>
        <v>0</v>
      </c>
      <c r="J689" s="341">
        <f t="shared" si="714"/>
        <v>0</v>
      </c>
      <c r="K689" s="341"/>
      <c r="L689" s="342"/>
      <c r="M689" s="342"/>
      <c r="N689" s="341">
        <f t="shared" si="586"/>
        <v>0</v>
      </c>
      <c r="O689" s="341">
        <f t="shared" si="587"/>
        <v>0</v>
      </c>
      <c r="P689" s="341">
        <f>SUMIF(GL!$D$6488:$D$6532,B689,GL!$H$6488:$H$6532)</f>
        <v>0</v>
      </c>
      <c r="Q689" s="341">
        <f>SUMIF(GL!$D$6408:$D$6452,B689,GL!$I$6408:$I$6452)</f>
        <v>0</v>
      </c>
      <c r="R689" s="341">
        <f t="shared" ref="R689:S689" si="730">P689+N689</f>
        <v>0</v>
      </c>
      <c r="S689" s="341">
        <f t="shared" si="730"/>
        <v>0</v>
      </c>
      <c r="T689" s="340"/>
      <c r="U689" s="340"/>
      <c r="V689" s="340"/>
      <c r="W689" s="340"/>
      <c r="X689" s="341">
        <f t="shared" si="589"/>
        <v>0</v>
      </c>
      <c r="Y689" s="341">
        <f t="shared" si="590"/>
        <v>0</v>
      </c>
      <c r="Z689" s="331"/>
      <c r="AA689" s="110"/>
      <c r="AB689" s="332"/>
      <c r="AC689" s="332"/>
      <c r="AD689" s="110"/>
      <c r="AE689" s="110"/>
      <c r="AF689" s="110"/>
      <c r="AG689" s="110"/>
      <c r="AH689" s="110"/>
      <c r="AI689" s="110"/>
    </row>
    <row r="690" spans="1:35" ht="13.5" customHeight="1">
      <c r="A690" s="4"/>
      <c r="B690" s="15" t="s">
        <v>4973</v>
      </c>
      <c r="C690" s="376" t="s">
        <v>4974</v>
      </c>
      <c r="D690" s="254">
        <f>SUMIF(GL!$D$5:$D$6505,B690,GL!$G$5:$G$6505)</f>
        <v>0</v>
      </c>
      <c r="E690" s="341">
        <f>SUMIF(GL!$D$6:$D$6487,B690,GL!$H$6:$H$6487)</f>
        <v>0</v>
      </c>
      <c r="F690" s="341">
        <f>SUMIF(GL!$D$6:$D$6487,B690,GL!$I$6:$I$6487)</f>
        <v>0</v>
      </c>
      <c r="G690" s="341"/>
      <c r="H690" s="341"/>
      <c r="I690" s="341">
        <f t="shared" si="713"/>
        <v>0</v>
      </c>
      <c r="J690" s="341">
        <f t="shared" si="714"/>
        <v>0</v>
      </c>
      <c r="K690" s="341"/>
      <c r="L690" s="342"/>
      <c r="M690" s="342"/>
      <c r="N690" s="341">
        <f t="shared" si="586"/>
        <v>0</v>
      </c>
      <c r="O690" s="341">
        <f t="shared" si="587"/>
        <v>0</v>
      </c>
      <c r="P690" s="341">
        <f>SUMIF(GL!$D$6488:$D$6532,B690,GL!$H$6488:$H$6532)</f>
        <v>0</v>
      </c>
      <c r="Q690" s="341">
        <f>SUMIF(GL!$D$6408:$D$6452,B690,GL!$I$6408:$I$6452)</f>
        <v>0</v>
      </c>
      <c r="R690" s="341">
        <f t="shared" ref="R690:S690" si="731">P690+N690</f>
        <v>0</v>
      </c>
      <c r="S690" s="341">
        <f t="shared" si="731"/>
        <v>0</v>
      </c>
      <c r="T690" s="340"/>
      <c r="U690" s="340"/>
      <c r="V690" s="340"/>
      <c r="W690" s="340"/>
      <c r="X690" s="341">
        <f t="shared" si="589"/>
        <v>0</v>
      </c>
      <c r="Y690" s="341">
        <f t="shared" si="590"/>
        <v>0</v>
      </c>
      <c r="Z690" s="331"/>
      <c r="AA690" s="110"/>
      <c r="AB690" s="332"/>
      <c r="AC690" s="332"/>
      <c r="AD690" s="110"/>
      <c r="AE690" s="110"/>
      <c r="AF690" s="110"/>
      <c r="AG690" s="110"/>
      <c r="AH690" s="110"/>
      <c r="AI690" s="110"/>
    </row>
    <row r="691" spans="1:35" ht="13.5" customHeight="1">
      <c r="A691" s="4"/>
      <c r="B691" s="15" t="s">
        <v>4975</v>
      </c>
      <c r="C691" s="376" t="s">
        <v>4976</v>
      </c>
      <c r="D691" s="254">
        <f>SUMIF(GL!$D$5:$D$6505,B691,GL!$G$5:$G$6505)</f>
        <v>0</v>
      </c>
      <c r="E691" s="341">
        <f>SUMIF(GL!$D$6:$D$6487,B691,GL!$H$6:$H$6487)</f>
        <v>0</v>
      </c>
      <c r="F691" s="341">
        <f>SUMIF(GL!$D$6:$D$6487,B691,GL!$I$6:$I$6487)</f>
        <v>0</v>
      </c>
      <c r="G691" s="341"/>
      <c r="H691" s="341"/>
      <c r="I691" s="341">
        <f t="shared" si="713"/>
        <v>0</v>
      </c>
      <c r="J691" s="341">
        <f t="shared" si="714"/>
        <v>0</v>
      </c>
      <c r="K691" s="341"/>
      <c r="L691" s="342"/>
      <c r="M691" s="342"/>
      <c r="N691" s="341">
        <f t="shared" si="586"/>
        <v>0</v>
      </c>
      <c r="O691" s="341">
        <f t="shared" si="587"/>
        <v>0</v>
      </c>
      <c r="P691" s="341">
        <f>SUMIF(GL!$D$6488:$D$6532,B691,GL!$H$6488:$H$6532)</f>
        <v>0</v>
      </c>
      <c r="Q691" s="341">
        <f>SUMIF(GL!$D$6408:$D$6452,B691,GL!$I$6408:$I$6452)</f>
        <v>0</v>
      </c>
      <c r="R691" s="341">
        <f t="shared" ref="R691:S691" si="732">P691+N691</f>
        <v>0</v>
      </c>
      <c r="S691" s="341">
        <f t="shared" si="732"/>
        <v>0</v>
      </c>
      <c r="T691" s="340"/>
      <c r="U691" s="340"/>
      <c r="V691" s="340"/>
      <c r="W691" s="340"/>
      <c r="X691" s="341">
        <f t="shared" si="589"/>
        <v>0</v>
      </c>
      <c r="Y691" s="341">
        <f t="shared" si="590"/>
        <v>0</v>
      </c>
      <c r="Z691" s="331"/>
      <c r="AA691" s="110"/>
      <c r="AB691" s="332"/>
      <c r="AC691" s="332"/>
      <c r="AD691" s="110"/>
      <c r="AE691" s="110"/>
      <c r="AF691" s="110"/>
      <c r="AG691" s="110"/>
      <c r="AH691" s="110"/>
      <c r="AI691" s="110"/>
    </row>
    <row r="692" spans="1:35" ht="13.5" customHeight="1">
      <c r="A692" s="4"/>
      <c r="B692" s="15" t="s">
        <v>4977</v>
      </c>
      <c r="C692" s="376" t="s">
        <v>4978</v>
      </c>
      <c r="D692" s="254">
        <f>SUMIF(GL!$D$5:$D$6505,B692,GL!$G$5:$G$6505)</f>
        <v>0</v>
      </c>
      <c r="E692" s="341">
        <f>SUMIF(GL!$D$6:$D$6487,B692,GL!$H$6:$H$6487)</f>
        <v>0</v>
      </c>
      <c r="F692" s="341">
        <f>SUMIF(GL!$D$6:$D$6487,B692,GL!$I$6:$I$6487)</f>
        <v>0</v>
      </c>
      <c r="G692" s="341"/>
      <c r="H692" s="341"/>
      <c r="I692" s="341">
        <f t="shared" si="713"/>
        <v>0</v>
      </c>
      <c r="J692" s="341">
        <f t="shared" si="714"/>
        <v>0</v>
      </c>
      <c r="K692" s="341"/>
      <c r="L692" s="342"/>
      <c r="M692" s="342"/>
      <c r="N692" s="341">
        <f t="shared" si="586"/>
        <v>0</v>
      </c>
      <c r="O692" s="341">
        <f t="shared" si="587"/>
        <v>0</v>
      </c>
      <c r="P692" s="341">
        <f>SUMIF(GL!$D$6488:$D$6532,B692,GL!$H$6488:$H$6532)</f>
        <v>0</v>
      </c>
      <c r="Q692" s="341">
        <f>SUMIF(GL!$D$6408:$D$6452,B692,GL!$I$6408:$I$6452)</f>
        <v>0</v>
      </c>
      <c r="R692" s="341">
        <f t="shared" ref="R692:S692" si="733">P692+N692</f>
        <v>0</v>
      </c>
      <c r="S692" s="341">
        <f t="shared" si="733"/>
        <v>0</v>
      </c>
      <c r="T692" s="340"/>
      <c r="U692" s="340"/>
      <c r="V692" s="340"/>
      <c r="W692" s="340"/>
      <c r="X692" s="341">
        <f t="shared" si="589"/>
        <v>0</v>
      </c>
      <c r="Y692" s="341">
        <f t="shared" si="590"/>
        <v>0</v>
      </c>
      <c r="Z692" s="331"/>
      <c r="AA692" s="110"/>
      <c r="AB692" s="332"/>
      <c r="AC692" s="332"/>
      <c r="AD692" s="110"/>
      <c r="AE692" s="110"/>
      <c r="AF692" s="110"/>
      <c r="AG692" s="110"/>
      <c r="AH692" s="110"/>
      <c r="AI692" s="110"/>
    </row>
    <row r="693" spans="1:35" ht="13.5" customHeight="1">
      <c r="A693" s="4"/>
      <c r="B693" s="15" t="s">
        <v>4979</v>
      </c>
      <c r="C693" s="376" t="s">
        <v>4980</v>
      </c>
      <c r="D693" s="254">
        <f>SUMIF(GL!$D$5:$D$6505,B693,GL!$G$5:$G$6505)</f>
        <v>0</v>
      </c>
      <c r="E693" s="341">
        <f>SUMIF(GL!$D$6:$D$6487,B693,GL!$H$6:$H$6487)</f>
        <v>0</v>
      </c>
      <c r="F693" s="341">
        <f>SUMIF(GL!$D$6:$D$6487,B693,GL!$I$6:$I$6487)</f>
        <v>0</v>
      </c>
      <c r="G693" s="341"/>
      <c r="H693" s="341"/>
      <c r="I693" s="341">
        <f t="shared" si="713"/>
        <v>0</v>
      </c>
      <c r="J693" s="341">
        <f t="shared" si="714"/>
        <v>0</v>
      </c>
      <c r="K693" s="341"/>
      <c r="L693" s="342"/>
      <c r="M693" s="342"/>
      <c r="N693" s="341">
        <f t="shared" si="586"/>
        <v>0</v>
      </c>
      <c r="O693" s="341">
        <f t="shared" si="587"/>
        <v>0</v>
      </c>
      <c r="P693" s="341">
        <f>SUMIF(GL!$D$6488:$D$6532,B693,GL!$H$6488:$H$6532)</f>
        <v>0</v>
      </c>
      <c r="Q693" s="341">
        <f>SUMIF(GL!$D$6408:$D$6452,B693,GL!$I$6408:$I$6452)</f>
        <v>0</v>
      </c>
      <c r="R693" s="341">
        <f t="shared" ref="R693:S693" si="734">P693+N693</f>
        <v>0</v>
      </c>
      <c r="S693" s="341">
        <f t="shared" si="734"/>
        <v>0</v>
      </c>
      <c r="T693" s="340"/>
      <c r="U693" s="340"/>
      <c r="V693" s="340"/>
      <c r="W693" s="340"/>
      <c r="X693" s="341">
        <f t="shared" si="589"/>
        <v>0</v>
      </c>
      <c r="Y693" s="341">
        <f t="shared" si="590"/>
        <v>0</v>
      </c>
      <c r="Z693" s="331"/>
      <c r="AA693" s="110"/>
      <c r="AB693" s="332"/>
      <c r="AC693" s="332"/>
      <c r="AD693" s="110"/>
      <c r="AE693" s="110"/>
      <c r="AF693" s="110"/>
      <c r="AG693" s="110"/>
      <c r="AH693" s="110"/>
      <c r="AI693" s="110"/>
    </row>
    <row r="694" spans="1:35" ht="13.5" customHeight="1">
      <c r="A694" s="4"/>
      <c r="B694" s="15" t="s">
        <v>4981</v>
      </c>
      <c r="C694" s="376" t="s">
        <v>4982</v>
      </c>
      <c r="D694" s="254">
        <f>SUMIF(GL!$D$5:$D$6505,B694,GL!$G$5:$G$6505)</f>
        <v>0</v>
      </c>
      <c r="E694" s="341">
        <f>SUMIF(GL!$D$6:$D$6487,B694,GL!$H$6:$H$6487)</f>
        <v>0</v>
      </c>
      <c r="F694" s="341">
        <f>SUMIF(GL!$D$6:$D$6487,B694,GL!$I$6:$I$6487)</f>
        <v>0</v>
      </c>
      <c r="G694" s="341"/>
      <c r="H694" s="341"/>
      <c r="I694" s="341">
        <f t="shared" si="713"/>
        <v>0</v>
      </c>
      <c r="J694" s="341">
        <f t="shared" si="714"/>
        <v>0</v>
      </c>
      <c r="K694" s="341"/>
      <c r="L694" s="342"/>
      <c r="M694" s="342"/>
      <c r="N694" s="341">
        <f t="shared" si="586"/>
        <v>0</v>
      </c>
      <c r="O694" s="341">
        <f t="shared" si="587"/>
        <v>0</v>
      </c>
      <c r="P694" s="341">
        <f>SUMIF(GL!$D$6488:$D$6532,B694,GL!$H$6488:$H$6532)</f>
        <v>0</v>
      </c>
      <c r="Q694" s="341">
        <f>SUMIF(GL!$D$6408:$D$6452,B694,GL!$I$6408:$I$6452)</f>
        <v>0</v>
      </c>
      <c r="R694" s="341">
        <f t="shared" ref="R694:S694" si="735">P694+N694</f>
        <v>0</v>
      </c>
      <c r="S694" s="341">
        <f t="shared" si="735"/>
        <v>0</v>
      </c>
      <c r="T694" s="340"/>
      <c r="U694" s="340"/>
      <c r="V694" s="340"/>
      <c r="W694" s="340"/>
      <c r="X694" s="341">
        <f t="shared" si="589"/>
        <v>0</v>
      </c>
      <c r="Y694" s="341">
        <f t="shared" si="590"/>
        <v>0</v>
      </c>
      <c r="Z694" s="331"/>
      <c r="AA694" s="110"/>
      <c r="AB694" s="332"/>
      <c r="AC694" s="332"/>
      <c r="AD694" s="110"/>
      <c r="AE694" s="110"/>
      <c r="AF694" s="110"/>
      <c r="AG694" s="110"/>
      <c r="AH694" s="110"/>
      <c r="AI694" s="110"/>
    </row>
    <row r="695" spans="1:35" ht="13.5" customHeight="1">
      <c r="A695" s="4"/>
      <c r="B695" s="15" t="s">
        <v>4983</v>
      </c>
      <c r="C695" s="376" t="s">
        <v>4984</v>
      </c>
      <c r="D695" s="254">
        <f>SUMIF(GL!$D$5:$D$6505,B695,GL!$G$5:$G$6505)</f>
        <v>0</v>
      </c>
      <c r="E695" s="341">
        <f>SUMIF(GL!$D$6:$D$6487,B695,GL!$H$6:$H$6487)</f>
        <v>0</v>
      </c>
      <c r="F695" s="341">
        <f>SUMIF(GL!$D$6:$D$6487,B695,GL!$I$6:$I$6487)</f>
        <v>0</v>
      </c>
      <c r="G695" s="341"/>
      <c r="H695" s="341"/>
      <c r="I695" s="341">
        <f t="shared" si="713"/>
        <v>0</v>
      </c>
      <c r="J695" s="341">
        <f t="shared" si="714"/>
        <v>0</v>
      </c>
      <c r="K695" s="341"/>
      <c r="L695" s="342"/>
      <c r="M695" s="342"/>
      <c r="N695" s="341">
        <f t="shared" si="586"/>
        <v>0</v>
      </c>
      <c r="O695" s="341">
        <f t="shared" si="587"/>
        <v>0</v>
      </c>
      <c r="P695" s="341">
        <f>SUMIF(GL!$D$6488:$D$6532,B695,GL!$H$6488:$H$6532)</f>
        <v>0</v>
      </c>
      <c r="Q695" s="341">
        <f>SUMIF(GL!$D$6408:$D$6452,B695,GL!$I$6408:$I$6452)</f>
        <v>0</v>
      </c>
      <c r="R695" s="341">
        <f t="shared" ref="R695:S695" si="736">P695+N695</f>
        <v>0</v>
      </c>
      <c r="S695" s="341">
        <f t="shared" si="736"/>
        <v>0</v>
      </c>
      <c r="T695" s="340"/>
      <c r="U695" s="340"/>
      <c r="V695" s="340"/>
      <c r="W695" s="340"/>
      <c r="X695" s="341">
        <f t="shared" si="589"/>
        <v>0</v>
      </c>
      <c r="Y695" s="341">
        <f t="shared" si="590"/>
        <v>0</v>
      </c>
      <c r="Z695" s="331"/>
      <c r="AA695" s="110"/>
      <c r="AB695" s="332"/>
      <c r="AC695" s="332"/>
      <c r="AD695" s="110"/>
      <c r="AE695" s="110"/>
      <c r="AF695" s="110"/>
      <c r="AG695" s="110"/>
      <c r="AH695" s="110"/>
      <c r="AI695" s="110"/>
    </row>
    <row r="696" spans="1:35" ht="13.5" customHeight="1">
      <c r="A696" s="4"/>
      <c r="B696" s="15" t="s">
        <v>4985</v>
      </c>
      <c r="C696" s="260" t="s">
        <v>4986</v>
      </c>
      <c r="D696" s="254">
        <f>SUMIF(GL!$D$5:$D$6505,B696,GL!$G$5:$G$6505)</f>
        <v>0</v>
      </c>
      <c r="E696" s="341">
        <f>SUMIF(GL!$D$6:$D$6487,B696,GL!$H$6:$H$6487)</f>
        <v>0</v>
      </c>
      <c r="F696" s="341">
        <f>SUMIF(GL!$D$6:$D$6487,B696,GL!$I$6:$I$6487)</f>
        <v>0</v>
      </c>
      <c r="G696" s="341"/>
      <c r="H696" s="341"/>
      <c r="I696" s="341">
        <f t="shared" si="713"/>
        <v>0</v>
      </c>
      <c r="J696" s="341">
        <f t="shared" si="714"/>
        <v>0</v>
      </c>
      <c r="K696" s="341"/>
      <c r="L696" s="342"/>
      <c r="M696" s="342"/>
      <c r="N696" s="341">
        <f t="shared" si="586"/>
        <v>0</v>
      </c>
      <c r="O696" s="341">
        <f t="shared" si="587"/>
        <v>0</v>
      </c>
      <c r="P696" s="341">
        <f>SUMIF(GL!$D$6488:$D$6532,B696,GL!$H$6488:$H$6532)</f>
        <v>0</v>
      </c>
      <c r="Q696" s="341">
        <f>SUMIF(GL!$D$6408:$D$6452,B696,GL!$I$6408:$I$6452)</f>
        <v>0</v>
      </c>
      <c r="R696" s="341">
        <f t="shared" ref="R696:S696" si="737">P696+N696</f>
        <v>0</v>
      </c>
      <c r="S696" s="341">
        <f t="shared" si="737"/>
        <v>0</v>
      </c>
      <c r="T696" s="340"/>
      <c r="U696" s="340"/>
      <c r="V696" s="340"/>
      <c r="W696" s="340"/>
      <c r="X696" s="341">
        <f t="shared" si="589"/>
        <v>0</v>
      </c>
      <c r="Y696" s="341">
        <f t="shared" si="590"/>
        <v>0</v>
      </c>
      <c r="Z696" s="331"/>
      <c r="AA696" s="110"/>
      <c r="AB696" s="332"/>
      <c r="AC696" s="332"/>
      <c r="AD696" s="110"/>
      <c r="AE696" s="110"/>
      <c r="AF696" s="110"/>
      <c r="AG696" s="110"/>
      <c r="AH696" s="110"/>
      <c r="AI696" s="110"/>
    </row>
    <row r="697" spans="1:35" ht="13.5" customHeight="1">
      <c r="A697" s="4"/>
      <c r="B697" s="15" t="s">
        <v>4987</v>
      </c>
      <c r="C697" s="376" t="s">
        <v>4988</v>
      </c>
      <c r="D697" s="254">
        <f>SUMIF(GL!$D$5:$D$6505,B697,GL!$G$5:$G$6505)</f>
        <v>0</v>
      </c>
      <c r="E697" s="341">
        <f>SUMIF(GL!$D$6:$D$6487,B697,GL!$H$6:$H$6487)</f>
        <v>0</v>
      </c>
      <c r="F697" s="341">
        <f>SUMIF(GL!$D$6:$D$6487,B697,GL!$I$6:$I$6487)</f>
        <v>0</v>
      </c>
      <c r="G697" s="341"/>
      <c r="H697" s="341"/>
      <c r="I697" s="341">
        <f t="shared" si="713"/>
        <v>0</v>
      </c>
      <c r="J697" s="341">
        <f t="shared" si="714"/>
        <v>0</v>
      </c>
      <c r="K697" s="341"/>
      <c r="L697" s="342"/>
      <c r="M697" s="342"/>
      <c r="N697" s="341">
        <f t="shared" si="586"/>
        <v>0</v>
      </c>
      <c r="O697" s="341">
        <f t="shared" si="587"/>
        <v>0</v>
      </c>
      <c r="P697" s="341">
        <f>SUMIF(GL!$D$6488:$D$6532,B697,GL!$H$6488:$H$6532)</f>
        <v>0</v>
      </c>
      <c r="Q697" s="341">
        <f>SUMIF(GL!$D$6408:$D$6452,B697,GL!$I$6408:$I$6452)</f>
        <v>0</v>
      </c>
      <c r="R697" s="341">
        <f t="shared" ref="R697:S697" si="738">P697+N697</f>
        <v>0</v>
      </c>
      <c r="S697" s="341">
        <f t="shared" si="738"/>
        <v>0</v>
      </c>
      <c r="T697" s="340"/>
      <c r="U697" s="340"/>
      <c r="V697" s="340"/>
      <c r="W697" s="340"/>
      <c r="X697" s="341">
        <f t="shared" si="589"/>
        <v>0</v>
      </c>
      <c r="Y697" s="341">
        <f t="shared" si="590"/>
        <v>0</v>
      </c>
      <c r="Z697" s="331"/>
      <c r="AA697" s="110"/>
      <c r="AB697" s="332"/>
      <c r="AC697" s="332"/>
      <c r="AD697" s="110"/>
      <c r="AE697" s="110"/>
      <c r="AF697" s="110"/>
      <c r="AG697" s="110"/>
      <c r="AH697" s="110"/>
      <c r="AI697" s="110"/>
    </row>
    <row r="698" spans="1:35" ht="13.5" customHeight="1">
      <c r="A698" s="4"/>
      <c r="B698" s="15" t="s">
        <v>4989</v>
      </c>
      <c r="C698" s="375" t="s">
        <v>4990</v>
      </c>
      <c r="D698" s="254">
        <f>SUMIF(GL!$D$5:$D$6505,B698,GL!$G$5:$G$6505)</f>
        <v>0</v>
      </c>
      <c r="E698" s="341">
        <f>SUMIF(GL!$D$6:$D$6487,B698,GL!$H$6:$H$6487)</f>
        <v>0</v>
      </c>
      <c r="F698" s="341">
        <f>SUMIF(GL!$D$6:$D$6487,B698,GL!$I$6:$I$6487)</f>
        <v>0</v>
      </c>
      <c r="G698" s="341"/>
      <c r="H698" s="341"/>
      <c r="I698" s="341">
        <f t="shared" si="713"/>
        <v>0</v>
      </c>
      <c r="J698" s="341">
        <f t="shared" si="714"/>
        <v>0</v>
      </c>
      <c r="K698" s="341"/>
      <c r="L698" s="342"/>
      <c r="M698" s="342"/>
      <c r="N698" s="341">
        <f t="shared" si="586"/>
        <v>0</v>
      </c>
      <c r="O698" s="341">
        <f t="shared" si="587"/>
        <v>0</v>
      </c>
      <c r="P698" s="341">
        <f>SUMIF(GL!$D$6488:$D$6532,B698,GL!$H$6488:$H$6532)</f>
        <v>0</v>
      </c>
      <c r="Q698" s="341">
        <f>SUMIF(GL!$D$6408:$D$6452,B698,GL!$I$6408:$I$6452)</f>
        <v>0</v>
      </c>
      <c r="R698" s="341">
        <f t="shared" ref="R698:S698" si="739">P698+N698</f>
        <v>0</v>
      </c>
      <c r="S698" s="341">
        <f t="shared" si="739"/>
        <v>0</v>
      </c>
      <c r="T698" s="340"/>
      <c r="U698" s="340"/>
      <c r="V698" s="340"/>
      <c r="W698" s="340"/>
      <c r="X698" s="341">
        <f t="shared" si="589"/>
        <v>0</v>
      </c>
      <c r="Y698" s="341">
        <f t="shared" si="590"/>
        <v>0</v>
      </c>
      <c r="Z698" s="331"/>
      <c r="AA698" s="110"/>
      <c r="AB698" s="332"/>
      <c r="AC698" s="332"/>
      <c r="AD698" s="110"/>
      <c r="AE698" s="110"/>
      <c r="AF698" s="110"/>
      <c r="AG698" s="110"/>
      <c r="AH698" s="110"/>
      <c r="AI698" s="110"/>
    </row>
    <row r="699" spans="1:35" ht="13.5" customHeight="1">
      <c r="A699" s="4"/>
      <c r="B699" s="15" t="s">
        <v>4991</v>
      </c>
      <c r="C699" s="133" t="s">
        <v>4992</v>
      </c>
      <c r="D699" s="254">
        <f>SUMIF(GL!$D$5:$D$6505,B699,GL!$G$5:$G$6505)</f>
        <v>0</v>
      </c>
      <c r="E699" s="341">
        <f>SUMIF(GL!$D$6:$D$6487,B699,GL!$H$6:$H$6487)</f>
        <v>0</v>
      </c>
      <c r="F699" s="341">
        <f>SUMIF(GL!$D$6:$D$6487,B699,GL!$I$6:$I$6487)</f>
        <v>0</v>
      </c>
      <c r="G699" s="341"/>
      <c r="H699" s="341"/>
      <c r="I699" s="341">
        <f t="shared" si="713"/>
        <v>0</v>
      </c>
      <c r="J699" s="341">
        <f t="shared" si="714"/>
        <v>0</v>
      </c>
      <c r="K699" s="341"/>
      <c r="L699" s="342"/>
      <c r="M699" s="342"/>
      <c r="N699" s="341">
        <f t="shared" si="586"/>
        <v>0</v>
      </c>
      <c r="O699" s="341">
        <f t="shared" si="587"/>
        <v>0</v>
      </c>
      <c r="P699" s="341">
        <f>SUMIF(GL!$D$6488:$D$6532,B699,GL!$H$6488:$H$6532)</f>
        <v>0</v>
      </c>
      <c r="Q699" s="341">
        <f>SUMIF(GL!$D$6408:$D$6452,B699,GL!$I$6408:$I$6452)</f>
        <v>0</v>
      </c>
      <c r="R699" s="341">
        <f t="shared" ref="R699:S699" si="740">P699+N699</f>
        <v>0</v>
      </c>
      <c r="S699" s="341">
        <f t="shared" si="740"/>
        <v>0</v>
      </c>
      <c r="T699" s="340"/>
      <c r="U699" s="340"/>
      <c r="V699" s="340"/>
      <c r="W699" s="340"/>
      <c r="X699" s="341">
        <f t="shared" si="589"/>
        <v>0</v>
      </c>
      <c r="Y699" s="341">
        <f t="shared" si="590"/>
        <v>0</v>
      </c>
      <c r="Z699" s="331"/>
      <c r="AA699" s="110"/>
      <c r="AB699" s="332"/>
      <c r="AC699" s="332"/>
      <c r="AD699" s="110"/>
      <c r="AE699" s="110"/>
      <c r="AF699" s="110"/>
      <c r="AG699" s="110"/>
      <c r="AH699" s="110"/>
      <c r="AI699" s="110"/>
    </row>
    <row r="700" spans="1:35" ht="13.5" customHeight="1">
      <c r="A700" s="4"/>
      <c r="B700" s="15" t="s">
        <v>4993</v>
      </c>
      <c r="C700" s="260" t="s">
        <v>4994</v>
      </c>
      <c r="D700" s="254">
        <f>SUMIF(GL!$D$5:$D$6505,B700,GL!$G$5:$G$6505)</f>
        <v>0</v>
      </c>
      <c r="E700" s="341">
        <f>SUMIF(GL!$D$6:$D$6487,B700,GL!$H$6:$H$6487)</f>
        <v>0</v>
      </c>
      <c r="F700" s="341">
        <f>SUMIF(GL!$D$6:$D$6487,B700,GL!$I$6:$I$6487)</f>
        <v>0</v>
      </c>
      <c r="G700" s="341"/>
      <c r="H700" s="341"/>
      <c r="I700" s="341">
        <f t="shared" si="713"/>
        <v>0</v>
      </c>
      <c r="J700" s="341">
        <f t="shared" si="714"/>
        <v>0</v>
      </c>
      <c r="K700" s="341"/>
      <c r="L700" s="342"/>
      <c r="M700" s="342"/>
      <c r="N700" s="341">
        <f t="shared" si="586"/>
        <v>0</v>
      </c>
      <c r="O700" s="341">
        <f t="shared" si="587"/>
        <v>0</v>
      </c>
      <c r="P700" s="341">
        <f>SUMIF(GL!$D$6488:$D$6532,B700,GL!$H$6488:$H$6532)</f>
        <v>0</v>
      </c>
      <c r="Q700" s="341">
        <f>SUMIF(GL!$D$6408:$D$6452,B700,GL!$I$6408:$I$6452)</f>
        <v>0</v>
      </c>
      <c r="R700" s="341">
        <f t="shared" ref="R700:S700" si="741">P700+N700</f>
        <v>0</v>
      </c>
      <c r="S700" s="341">
        <f t="shared" si="741"/>
        <v>0</v>
      </c>
      <c r="T700" s="340"/>
      <c r="U700" s="340"/>
      <c r="V700" s="340"/>
      <c r="W700" s="340"/>
      <c r="X700" s="341">
        <f t="shared" si="589"/>
        <v>0</v>
      </c>
      <c r="Y700" s="341">
        <f t="shared" si="590"/>
        <v>0</v>
      </c>
      <c r="Z700" s="331"/>
      <c r="AA700" s="110"/>
      <c r="AB700" s="332"/>
      <c r="AC700" s="332"/>
      <c r="AD700" s="110"/>
      <c r="AE700" s="110"/>
      <c r="AF700" s="110"/>
      <c r="AG700" s="110"/>
      <c r="AH700" s="110"/>
      <c r="AI700" s="110"/>
    </row>
    <row r="701" spans="1:35" ht="13.5" customHeight="1">
      <c r="A701" s="4"/>
      <c r="B701" s="15" t="s">
        <v>4995</v>
      </c>
      <c r="C701" s="260" t="s">
        <v>4996</v>
      </c>
      <c r="D701" s="254">
        <f>SUMIF(GL!$D$5:$D$6505,B701,GL!$G$5:$G$6505)</f>
        <v>0</v>
      </c>
      <c r="E701" s="341">
        <f>SUMIF(GL!$D$6:$D$6487,B701,GL!$H$6:$H$6487)</f>
        <v>0</v>
      </c>
      <c r="F701" s="341">
        <f>SUMIF(GL!$D$6:$D$6487,B701,GL!$I$6:$I$6487)</f>
        <v>0</v>
      </c>
      <c r="G701" s="341"/>
      <c r="H701" s="341"/>
      <c r="I701" s="341">
        <f t="shared" si="713"/>
        <v>0</v>
      </c>
      <c r="J701" s="341">
        <f t="shared" si="714"/>
        <v>0</v>
      </c>
      <c r="K701" s="341"/>
      <c r="L701" s="342"/>
      <c r="M701" s="342"/>
      <c r="N701" s="341">
        <f t="shared" si="586"/>
        <v>0</v>
      </c>
      <c r="O701" s="341">
        <f t="shared" si="587"/>
        <v>0</v>
      </c>
      <c r="P701" s="341">
        <f>SUMIF(GL!$D$6488:$D$6532,B701,GL!$H$6488:$H$6532)</f>
        <v>0</v>
      </c>
      <c r="Q701" s="341">
        <f>SUMIF(GL!$D$6408:$D$6452,B701,GL!$I$6408:$I$6452)</f>
        <v>0</v>
      </c>
      <c r="R701" s="341">
        <f t="shared" ref="R701:S701" si="742">P701+N701</f>
        <v>0</v>
      </c>
      <c r="S701" s="341">
        <f t="shared" si="742"/>
        <v>0</v>
      </c>
      <c r="T701" s="340"/>
      <c r="U701" s="340"/>
      <c r="V701" s="340"/>
      <c r="W701" s="340"/>
      <c r="X701" s="341">
        <f t="shared" si="589"/>
        <v>0</v>
      </c>
      <c r="Y701" s="341">
        <f t="shared" si="590"/>
        <v>0</v>
      </c>
      <c r="Z701" s="331"/>
      <c r="AA701" s="110"/>
      <c r="AB701" s="332"/>
      <c r="AC701" s="332"/>
      <c r="AD701" s="110"/>
      <c r="AE701" s="110"/>
      <c r="AF701" s="110"/>
      <c r="AG701" s="110"/>
      <c r="AH701" s="110"/>
      <c r="AI701" s="110"/>
    </row>
    <row r="702" spans="1:35" ht="13.5" customHeight="1">
      <c r="A702" s="4"/>
      <c r="B702" s="15" t="s">
        <v>4997</v>
      </c>
      <c r="C702" s="260" t="s">
        <v>4998</v>
      </c>
      <c r="D702" s="254">
        <f>SUMIF(GL!$D$5:$D$6505,B702,GL!$G$5:$G$6505)</f>
        <v>0</v>
      </c>
      <c r="E702" s="341">
        <f>SUMIF(GL!$D$6:$D$6487,B702,GL!$H$6:$H$6487)</f>
        <v>0</v>
      </c>
      <c r="F702" s="341">
        <f>SUMIF(GL!$D$6:$D$6487,B702,GL!$I$6:$I$6487)</f>
        <v>0</v>
      </c>
      <c r="G702" s="341"/>
      <c r="H702" s="341"/>
      <c r="I702" s="341">
        <f t="shared" si="713"/>
        <v>0</v>
      </c>
      <c r="J702" s="341">
        <f t="shared" si="714"/>
        <v>0</v>
      </c>
      <c r="K702" s="341"/>
      <c r="L702" s="342"/>
      <c r="M702" s="342"/>
      <c r="N702" s="341">
        <f t="shared" si="586"/>
        <v>0</v>
      </c>
      <c r="O702" s="341">
        <f t="shared" si="587"/>
        <v>0</v>
      </c>
      <c r="P702" s="341">
        <f>SUMIF(GL!$D$6488:$D$6532,B702,GL!$H$6488:$H$6532)</f>
        <v>0</v>
      </c>
      <c r="Q702" s="341">
        <f>SUMIF(GL!$D$6408:$D$6452,B702,GL!$I$6408:$I$6452)</f>
        <v>0</v>
      </c>
      <c r="R702" s="341">
        <f t="shared" ref="R702:S702" si="743">P702+N702</f>
        <v>0</v>
      </c>
      <c r="S702" s="341">
        <f t="shared" si="743"/>
        <v>0</v>
      </c>
      <c r="T702" s="340"/>
      <c r="U702" s="340"/>
      <c r="V702" s="340"/>
      <c r="W702" s="340"/>
      <c r="X702" s="341">
        <f t="shared" si="589"/>
        <v>0</v>
      </c>
      <c r="Y702" s="341">
        <f t="shared" si="590"/>
        <v>0</v>
      </c>
      <c r="Z702" s="331"/>
      <c r="AA702" s="110"/>
      <c r="AB702" s="332"/>
      <c r="AC702" s="332"/>
      <c r="AD702" s="110"/>
      <c r="AE702" s="110"/>
      <c r="AF702" s="110"/>
      <c r="AG702" s="110"/>
      <c r="AH702" s="110"/>
      <c r="AI702" s="110"/>
    </row>
    <row r="703" spans="1:35" ht="13.5" customHeight="1">
      <c r="A703" s="4"/>
      <c r="B703" s="15" t="s">
        <v>4999</v>
      </c>
      <c r="C703" s="260" t="s">
        <v>5000</v>
      </c>
      <c r="D703" s="254">
        <f>SUMIF(GL!$D$5:$D$6505,B703,GL!$G$5:$G$6505)</f>
        <v>0</v>
      </c>
      <c r="E703" s="341">
        <f>SUMIF(GL!$D$6:$D$6487,B703,GL!$H$6:$H$6487)</f>
        <v>0</v>
      </c>
      <c r="F703" s="341">
        <f>SUMIF(GL!$D$6:$D$6487,B703,GL!$I$6:$I$6487)</f>
        <v>0</v>
      </c>
      <c r="G703" s="341"/>
      <c r="H703" s="341"/>
      <c r="I703" s="341">
        <f t="shared" si="713"/>
        <v>0</v>
      </c>
      <c r="J703" s="341">
        <f t="shared" si="714"/>
        <v>0</v>
      </c>
      <c r="K703" s="341"/>
      <c r="L703" s="342"/>
      <c r="M703" s="342"/>
      <c r="N703" s="341">
        <f t="shared" si="586"/>
        <v>0</v>
      </c>
      <c r="O703" s="341">
        <f t="shared" si="587"/>
        <v>0</v>
      </c>
      <c r="P703" s="341">
        <f>SUMIF(GL!$D$6488:$D$6532,B703,GL!$H$6488:$H$6532)</f>
        <v>0</v>
      </c>
      <c r="Q703" s="341">
        <f>SUMIF(GL!$D$6408:$D$6452,B703,GL!$I$6408:$I$6452)</f>
        <v>0</v>
      </c>
      <c r="R703" s="341">
        <f t="shared" ref="R703:S703" si="744">P703+N703</f>
        <v>0</v>
      </c>
      <c r="S703" s="341">
        <f t="shared" si="744"/>
        <v>0</v>
      </c>
      <c r="T703" s="340"/>
      <c r="U703" s="340"/>
      <c r="V703" s="340"/>
      <c r="W703" s="340"/>
      <c r="X703" s="341">
        <f t="shared" si="589"/>
        <v>0</v>
      </c>
      <c r="Y703" s="341">
        <f t="shared" si="590"/>
        <v>0</v>
      </c>
      <c r="Z703" s="331"/>
      <c r="AA703" s="110"/>
      <c r="AB703" s="332"/>
      <c r="AC703" s="332"/>
      <c r="AD703" s="110"/>
      <c r="AE703" s="110"/>
      <c r="AF703" s="110"/>
      <c r="AG703" s="110"/>
      <c r="AH703" s="110"/>
      <c r="AI703" s="110"/>
    </row>
    <row r="704" spans="1:35" ht="13.5" customHeight="1">
      <c r="A704" s="4"/>
      <c r="B704" s="15" t="s">
        <v>5001</v>
      </c>
      <c r="C704" s="260" t="s">
        <v>5002</v>
      </c>
      <c r="D704" s="254">
        <f>SUMIF(GL!$D$5:$D$6505,B704,GL!$G$5:$G$6505)</f>
        <v>0</v>
      </c>
      <c r="E704" s="341">
        <f>SUMIF(GL!$D$6:$D$6487,B704,GL!$H$6:$H$6487)</f>
        <v>0</v>
      </c>
      <c r="F704" s="341">
        <f>SUMIF(GL!$D$6:$D$6487,B704,GL!$I$6:$I$6487)</f>
        <v>0</v>
      </c>
      <c r="G704" s="341"/>
      <c r="H704" s="341"/>
      <c r="I704" s="341">
        <f t="shared" si="713"/>
        <v>0</v>
      </c>
      <c r="J704" s="341">
        <f t="shared" si="714"/>
        <v>0</v>
      </c>
      <c r="K704" s="341"/>
      <c r="L704" s="342"/>
      <c r="M704" s="342"/>
      <c r="N704" s="341">
        <f t="shared" si="586"/>
        <v>0</v>
      </c>
      <c r="O704" s="341">
        <f t="shared" si="587"/>
        <v>0</v>
      </c>
      <c r="P704" s="341">
        <f>SUMIF(GL!$D$6488:$D$6532,B704,GL!$H$6488:$H$6532)</f>
        <v>0</v>
      </c>
      <c r="Q704" s="341">
        <f>SUMIF(GL!$D$6408:$D$6452,B704,GL!$I$6408:$I$6452)</f>
        <v>0</v>
      </c>
      <c r="R704" s="341">
        <f t="shared" ref="R704:S704" si="745">P704+N704</f>
        <v>0</v>
      </c>
      <c r="S704" s="341">
        <f t="shared" si="745"/>
        <v>0</v>
      </c>
      <c r="T704" s="340"/>
      <c r="U704" s="340"/>
      <c r="V704" s="340"/>
      <c r="W704" s="340"/>
      <c r="X704" s="341">
        <f t="shared" si="589"/>
        <v>0</v>
      </c>
      <c r="Y704" s="341">
        <f t="shared" si="590"/>
        <v>0</v>
      </c>
      <c r="Z704" s="331"/>
      <c r="AA704" s="110"/>
      <c r="AB704" s="332"/>
      <c r="AC704" s="332"/>
      <c r="AD704" s="110"/>
      <c r="AE704" s="110"/>
      <c r="AF704" s="110"/>
      <c r="AG704" s="110"/>
      <c r="AH704" s="110"/>
      <c r="AI704" s="110"/>
    </row>
    <row r="705" spans="1:35" ht="13.5" customHeight="1">
      <c r="A705" s="4"/>
      <c r="B705" s="15" t="s">
        <v>5003</v>
      </c>
      <c r="C705" s="260" t="s">
        <v>5004</v>
      </c>
      <c r="D705" s="254">
        <f>SUMIF(GL!$D$5:$D$6505,B705,GL!$G$5:$G$6505)</f>
        <v>0</v>
      </c>
      <c r="E705" s="341">
        <f>SUMIF(GL!$D$6:$D$6487,B705,GL!$H$6:$H$6487)</f>
        <v>0</v>
      </c>
      <c r="F705" s="341">
        <f>SUMIF(GL!$D$6:$D$6487,B705,GL!$I$6:$I$6487)</f>
        <v>0</v>
      </c>
      <c r="G705" s="341"/>
      <c r="H705" s="341"/>
      <c r="I705" s="341">
        <f t="shared" si="713"/>
        <v>0</v>
      </c>
      <c r="J705" s="341">
        <f t="shared" si="714"/>
        <v>0</v>
      </c>
      <c r="K705" s="341"/>
      <c r="L705" s="342"/>
      <c r="M705" s="342"/>
      <c r="N705" s="341">
        <f t="shared" si="586"/>
        <v>0</v>
      </c>
      <c r="O705" s="341">
        <f t="shared" si="587"/>
        <v>0</v>
      </c>
      <c r="P705" s="341">
        <f>SUMIF(GL!$D$6488:$D$6532,B705,GL!$H$6488:$H$6532)</f>
        <v>0</v>
      </c>
      <c r="Q705" s="341">
        <f>SUMIF(GL!$D$6408:$D$6452,B705,GL!$I$6408:$I$6452)</f>
        <v>0</v>
      </c>
      <c r="R705" s="341">
        <f t="shared" ref="R705:S705" si="746">P705+N705</f>
        <v>0</v>
      </c>
      <c r="S705" s="341">
        <f t="shared" si="746"/>
        <v>0</v>
      </c>
      <c r="T705" s="340"/>
      <c r="U705" s="340"/>
      <c r="V705" s="340"/>
      <c r="W705" s="340"/>
      <c r="X705" s="341">
        <f t="shared" si="589"/>
        <v>0</v>
      </c>
      <c r="Y705" s="341">
        <f t="shared" si="590"/>
        <v>0</v>
      </c>
      <c r="Z705" s="331"/>
      <c r="AA705" s="110"/>
      <c r="AB705" s="332"/>
      <c r="AC705" s="332"/>
      <c r="AD705" s="110"/>
      <c r="AE705" s="110"/>
      <c r="AF705" s="110"/>
      <c r="AG705" s="110"/>
      <c r="AH705" s="110"/>
      <c r="AI705" s="110"/>
    </row>
    <row r="706" spans="1:35" ht="13.5" customHeight="1">
      <c r="A706" s="4"/>
      <c r="B706" s="15" t="s">
        <v>5005</v>
      </c>
      <c r="C706" s="260" t="s">
        <v>5006</v>
      </c>
      <c r="D706" s="254">
        <f>SUMIF(GL!$D$5:$D$6505,B706,GL!$G$5:$G$6505)</f>
        <v>0</v>
      </c>
      <c r="E706" s="341">
        <f>SUMIF(GL!$D$6:$D$6487,B706,GL!$H$6:$H$6487)</f>
        <v>0</v>
      </c>
      <c r="F706" s="341">
        <f>SUMIF(GL!$D$6:$D$6487,B706,GL!$I$6:$I$6487)</f>
        <v>0</v>
      </c>
      <c r="G706" s="341"/>
      <c r="H706" s="341"/>
      <c r="I706" s="341">
        <f t="shared" si="713"/>
        <v>0</v>
      </c>
      <c r="J706" s="341">
        <f t="shared" si="714"/>
        <v>0</v>
      </c>
      <c r="K706" s="341"/>
      <c r="L706" s="342"/>
      <c r="M706" s="342"/>
      <c r="N706" s="341">
        <f t="shared" si="586"/>
        <v>0</v>
      </c>
      <c r="O706" s="341">
        <f t="shared" si="587"/>
        <v>0</v>
      </c>
      <c r="P706" s="341">
        <f>SUMIF(GL!$D$6488:$D$6532,B706,GL!$H$6488:$H$6532)</f>
        <v>0</v>
      </c>
      <c r="Q706" s="341">
        <f>SUMIF(GL!$D$6408:$D$6452,B706,GL!$I$6408:$I$6452)</f>
        <v>0</v>
      </c>
      <c r="R706" s="341">
        <f t="shared" ref="R706:S706" si="747">P706+N706</f>
        <v>0</v>
      </c>
      <c r="S706" s="341">
        <f t="shared" si="747"/>
        <v>0</v>
      </c>
      <c r="T706" s="340"/>
      <c r="U706" s="340"/>
      <c r="V706" s="340"/>
      <c r="W706" s="340"/>
      <c r="X706" s="341">
        <f t="shared" si="589"/>
        <v>0</v>
      </c>
      <c r="Y706" s="341">
        <f t="shared" si="590"/>
        <v>0</v>
      </c>
      <c r="Z706" s="331"/>
      <c r="AA706" s="110"/>
      <c r="AB706" s="332"/>
      <c r="AC706" s="332"/>
      <c r="AD706" s="110"/>
      <c r="AE706" s="110"/>
      <c r="AF706" s="110"/>
      <c r="AG706" s="110"/>
      <c r="AH706" s="110"/>
      <c r="AI706" s="110"/>
    </row>
    <row r="707" spans="1:35" ht="13.5" customHeight="1">
      <c r="A707" s="4"/>
      <c r="B707" s="15" t="s">
        <v>5007</v>
      </c>
      <c r="C707" s="260" t="s">
        <v>5008</v>
      </c>
      <c r="D707" s="254">
        <f>SUMIF(GL!$D$5:$D$6505,B707,GL!$G$5:$G$6505)</f>
        <v>0</v>
      </c>
      <c r="E707" s="341">
        <f>SUMIF(GL!$D$6:$D$6487,B707,GL!$H$6:$H$6487)</f>
        <v>0</v>
      </c>
      <c r="F707" s="341">
        <f>SUMIF(GL!$D$6:$D$6487,B707,GL!$I$6:$I$6487)</f>
        <v>0</v>
      </c>
      <c r="G707" s="341"/>
      <c r="H707" s="341"/>
      <c r="I707" s="341">
        <f t="shared" si="713"/>
        <v>0</v>
      </c>
      <c r="J707" s="341">
        <f t="shared" si="714"/>
        <v>0</v>
      </c>
      <c r="K707" s="341"/>
      <c r="L707" s="342"/>
      <c r="M707" s="342"/>
      <c r="N707" s="341">
        <f t="shared" si="586"/>
        <v>0</v>
      </c>
      <c r="O707" s="341">
        <f t="shared" si="587"/>
        <v>0</v>
      </c>
      <c r="P707" s="341">
        <f>SUMIF(GL!$D$6488:$D$6532,B707,GL!$H$6488:$H$6532)</f>
        <v>0</v>
      </c>
      <c r="Q707" s="341">
        <f>SUMIF(GL!$D$6408:$D$6452,B707,GL!$I$6408:$I$6452)</f>
        <v>0</v>
      </c>
      <c r="R707" s="341">
        <f t="shared" ref="R707:S707" si="748">P707+N707</f>
        <v>0</v>
      </c>
      <c r="S707" s="341">
        <f t="shared" si="748"/>
        <v>0</v>
      </c>
      <c r="T707" s="340"/>
      <c r="U707" s="340"/>
      <c r="V707" s="340"/>
      <c r="W707" s="340"/>
      <c r="X707" s="341">
        <f t="shared" si="589"/>
        <v>0</v>
      </c>
      <c r="Y707" s="341">
        <f t="shared" si="590"/>
        <v>0</v>
      </c>
      <c r="Z707" s="331"/>
      <c r="AA707" s="110"/>
      <c r="AB707" s="332"/>
      <c r="AC707" s="332"/>
      <c r="AD707" s="110"/>
      <c r="AE707" s="110"/>
      <c r="AF707" s="110"/>
      <c r="AG707" s="110"/>
      <c r="AH707" s="110"/>
      <c r="AI707" s="110"/>
    </row>
    <row r="708" spans="1:35" ht="13.5" customHeight="1">
      <c r="A708" s="4"/>
      <c r="B708" s="15" t="s">
        <v>5009</v>
      </c>
      <c r="C708" s="260" t="s">
        <v>5010</v>
      </c>
      <c r="D708" s="254">
        <f>SUMIF(GL!$D$5:$D$6505,B708,GL!$G$5:$G$6505)</f>
        <v>0</v>
      </c>
      <c r="E708" s="341">
        <f>SUMIF(GL!$D$6:$D$6487,B708,GL!$H$6:$H$6487)</f>
        <v>0</v>
      </c>
      <c r="F708" s="341">
        <f>SUMIF(GL!$D$6:$D$6487,B708,GL!$I$6:$I$6487)</f>
        <v>0</v>
      </c>
      <c r="G708" s="341"/>
      <c r="H708" s="341"/>
      <c r="I708" s="341">
        <f t="shared" si="713"/>
        <v>0</v>
      </c>
      <c r="J708" s="341">
        <f t="shared" si="714"/>
        <v>0</v>
      </c>
      <c r="K708" s="341"/>
      <c r="L708" s="342"/>
      <c r="M708" s="342"/>
      <c r="N708" s="341">
        <f t="shared" si="586"/>
        <v>0</v>
      </c>
      <c r="O708" s="341">
        <f t="shared" si="587"/>
        <v>0</v>
      </c>
      <c r="P708" s="341">
        <f>SUMIF(GL!$D$6488:$D$6532,B708,GL!$H$6488:$H$6532)</f>
        <v>0</v>
      </c>
      <c r="Q708" s="341">
        <f>SUMIF(GL!$D$6408:$D$6452,B708,GL!$I$6408:$I$6452)</f>
        <v>0</v>
      </c>
      <c r="R708" s="341">
        <f t="shared" ref="R708:S708" si="749">P708+N708</f>
        <v>0</v>
      </c>
      <c r="S708" s="341">
        <f t="shared" si="749"/>
        <v>0</v>
      </c>
      <c r="T708" s="340"/>
      <c r="U708" s="340"/>
      <c r="V708" s="340"/>
      <c r="W708" s="340"/>
      <c r="X708" s="341">
        <f t="shared" si="589"/>
        <v>0</v>
      </c>
      <c r="Y708" s="341">
        <f t="shared" si="590"/>
        <v>0</v>
      </c>
      <c r="Z708" s="331"/>
      <c r="AA708" s="110"/>
      <c r="AB708" s="332"/>
      <c r="AC708" s="332"/>
      <c r="AD708" s="110"/>
      <c r="AE708" s="110"/>
      <c r="AF708" s="110"/>
      <c r="AG708" s="110"/>
      <c r="AH708" s="110"/>
      <c r="AI708" s="110"/>
    </row>
    <row r="709" spans="1:35" ht="13.5" customHeight="1">
      <c r="A709" s="4"/>
      <c r="B709" s="15" t="s">
        <v>5011</v>
      </c>
      <c r="C709" s="260" t="s">
        <v>5012</v>
      </c>
      <c r="D709" s="254">
        <f>SUMIF(GL!$D$5:$D$6505,B709,GL!$G$5:$G$6505)</f>
        <v>0</v>
      </c>
      <c r="E709" s="341">
        <f>SUMIF(GL!$D$6:$D$6487,B709,GL!$H$6:$H$6487)</f>
        <v>0</v>
      </c>
      <c r="F709" s="341">
        <f>SUMIF(GL!$D$6:$D$6487,B709,GL!$I$6:$I$6487)</f>
        <v>0</v>
      </c>
      <c r="G709" s="341"/>
      <c r="H709" s="341"/>
      <c r="I709" s="341">
        <f t="shared" si="713"/>
        <v>0</v>
      </c>
      <c r="J709" s="341">
        <f t="shared" si="714"/>
        <v>0</v>
      </c>
      <c r="K709" s="341"/>
      <c r="L709" s="342"/>
      <c r="M709" s="342"/>
      <c r="N709" s="341">
        <f t="shared" si="586"/>
        <v>0</v>
      </c>
      <c r="O709" s="341">
        <f t="shared" si="587"/>
        <v>0</v>
      </c>
      <c r="P709" s="341">
        <f>SUMIF(GL!$D$6488:$D$6532,B709,GL!$H$6488:$H$6532)</f>
        <v>0</v>
      </c>
      <c r="Q709" s="341">
        <f>SUMIF(GL!$D$6408:$D$6452,B709,GL!$I$6408:$I$6452)</f>
        <v>0</v>
      </c>
      <c r="R709" s="341">
        <f t="shared" ref="R709:S709" si="750">P709+N709</f>
        <v>0</v>
      </c>
      <c r="S709" s="341">
        <f t="shared" si="750"/>
        <v>0</v>
      </c>
      <c r="T709" s="340"/>
      <c r="U709" s="340"/>
      <c r="V709" s="340"/>
      <c r="W709" s="340"/>
      <c r="X709" s="341">
        <f t="shared" si="589"/>
        <v>0</v>
      </c>
      <c r="Y709" s="341">
        <f t="shared" si="590"/>
        <v>0</v>
      </c>
      <c r="Z709" s="331"/>
      <c r="AA709" s="110"/>
      <c r="AB709" s="332"/>
      <c r="AC709" s="332"/>
      <c r="AD709" s="110"/>
      <c r="AE709" s="110"/>
      <c r="AF709" s="110"/>
      <c r="AG709" s="110"/>
      <c r="AH709" s="110"/>
      <c r="AI709" s="110"/>
    </row>
    <row r="710" spans="1:35" ht="13.5" customHeight="1">
      <c r="A710" s="4"/>
      <c r="B710" s="15" t="s">
        <v>5013</v>
      </c>
      <c r="C710" s="260" t="s">
        <v>5014</v>
      </c>
      <c r="D710" s="254">
        <f>SUMIF(GL!$D$5:$D$6505,B710,GL!$G$5:$G$6505)</f>
        <v>0</v>
      </c>
      <c r="E710" s="341">
        <f>SUMIF(GL!$D$6:$D$6487,B710,GL!$H$6:$H$6487)</f>
        <v>0</v>
      </c>
      <c r="F710" s="341">
        <f>SUMIF(GL!$D$6:$D$6487,B710,GL!$I$6:$I$6487)</f>
        <v>0</v>
      </c>
      <c r="G710" s="341"/>
      <c r="H710" s="341"/>
      <c r="I710" s="341">
        <f t="shared" si="713"/>
        <v>0</v>
      </c>
      <c r="J710" s="341">
        <f t="shared" si="714"/>
        <v>0</v>
      </c>
      <c r="K710" s="341"/>
      <c r="L710" s="342"/>
      <c r="M710" s="342"/>
      <c r="N710" s="341">
        <f t="shared" si="586"/>
        <v>0</v>
      </c>
      <c r="O710" s="341">
        <f t="shared" si="587"/>
        <v>0</v>
      </c>
      <c r="P710" s="341">
        <f>SUMIF(GL!$D$6488:$D$6532,B710,GL!$H$6488:$H$6532)</f>
        <v>0</v>
      </c>
      <c r="Q710" s="341">
        <f>SUMIF(GL!$D$6408:$D$6452,B710,GL!$I$6408:$I$6452)</f>
        <v>0</v>
      </c>
      <c r="R710" s="341">
        <f t="shared" ref="R710:S710" si="751">P710+N710</f>
        <v>0</v>
      </c>
      <c r="S710" s="341">
        <f t="shared" si="751"/>
        <v>0</v>
      </c>
      <c r="T710" s="340"/>
      <c r="U710" s="340"/>
      <c r="V710" s="340"/>
      <c r="W710" s="340"/>
      <c r="X710" s="341">
        <f t="shared" si="589"/>
        <v>0</v>
      </c>
      <c r="Y710" s="341">
        <f t="shared" si="590"/>
        <v>0</v>
      </c>
      <c r="Z710" s="331"/>
      <c r="AA710" s="110"/>
      <c r="AB710" s="332"/>
      <c r="AC710" s="332"/>
      <c r="AD710" s="110"/>
      <c r="AE710" s="110"/>
      <c r="AF710" s="110"/>
      <c r="AG710" s="110"/>
      <c r="AH710" s="110"/>
      <c r="AI710" s="110"/>
    </row>
    <row r="711" spans="1:35" ht="13.5" customHeight="1">
      <c r="A711" s="4"/>
      <c r="B711" s="15"/>
      <c r="C711" s="260"/>
      <c r="D711" s="254"/>
      <c r="E711" s="341"/>
      <c r="F711" s="341"/>
      <c r="G711" s="341"/>
      <c r="H711" s="341"/>
      <c r="I711" s="341"/>
      <c r="J711" s="341"/>
      <c r="K711" s="341"/>
      <c r="L711" s="342"/>
      <c r="M711" s="342"/>
      <c r="N711" s="341"/>
      <c r="O711" s="341"/>
      <c r="P711" s="341"/>
      <c r="Q711" s="341"/>
      <c r="R711" s="341"/>
      <c r="S711" s="341"/>
      <c r="T711" s="340"/>
      <c r="U711" s="340"/>
      <c r="V711" s="340"/>
      <c r="W711" s="340"/>
      <c r="X711" s="341"/>
      <c r="Y711" s="341"/>
      <c r="Z711" s="331"/>
      <c r="AA711" s="110"/>
      <c r="AB711" s="332"/>
      <c r="AC711" s="332"/>
      <c r="AD711" s="110"/>
      <c r="AE711" s="110"/>
      <c r="AF711" s="110"/>
      <c r="AG711" s="110"/>
      <c r="AH711" s="110"/>
      <c r="AI711" s="110"/>
    </row>
    <row r="712" spans="1:35" ht="13.5" customHeight="1">
      <c r="A712" s="4"/>
      <c r="B712" s="15"/>
      <c r="C712" s="260"/>
      <c r="D712" s="254"/>
      <c r="E712" s="341"/>
      <c r="F712" s="341"/>
      <c r="G712" s="341"/>
      <c r="H712" s="341"/>
      <c r="I712" s="341"/>
      <c r="J712" s="341"/>
      <c r="K712" s="341"/>
      <c r="L712" s="342"/>
      <c r="M712" s="342"/>
      <c r="N712" s="341"/>
      <c r="O712" s="341"/>
      <c r="P712" s="341"/>
      <c r="Q712" s="341"/>
      <c r="R712" s="341"/>
      <c r="S712" s="341"/>
      <c r="T712" s="340"/>
      <c r="U712" s="340"/>
      <c r="V712" s="340"/>
      <c r="W712" s="340"/>
      <c r="X712" s="341"/>
      <c r="Y712" s="341"/>
      <c r="Z712" s="331"/>
      <c r="AA712" s="110"/>
      <c r="AB712" s="332"/>
      <c r="AC712" s="332"/>
      <c r="AD712" s="110"/>
      <c r="AE712" s="110"/>
      <c r="AF712" s="110"/>
      <c r="AG712" s="110"/>
      <c r="AH712" s="110"/>
      <c r="AI712" s="110"/>
    </row>
    <row r="713" spans="1:35" ht="13.5" customHeight="1">
      <c r="A713" s="4"/>
      <c r="B713" s="15"/>
      <c r="C713" s="260"/>
      <c r="D713" s="254"/>
      <c r="E713" s="341"/>
      <c r="F713" s="341"/>
      <c r="G713" s="341"/>
      <c r="H713" s="341"/>
      <c r="I713" s="341"/>
      <c r="J713" s="341"/>
      <c r="K713" s="341"/>
      <c r="L713" s="342"/>
      <c r="M713" s="342"/>
      <c r="N713" s="341"/>
      <c r="O713" s="341"/>
      <c r="P713" s="341"/>
      <c r="Q713" s="341"/>
      <c r="R713" s="341"/>
      <c r="S713" s="341"/>
      <c r="T713" s="340"/>
      <c r="U713" s="340"/>
      <c r="V713" s="340"/>
      <c r="W713" s="340"/>
      <c r="X713" s="341"/>
      <c r="Y713" s="341"/>
      <c r="Z713" s="331"/>
      <c r="AA713" s="110"/>
      <c r="AB713" s="332"/>
      <c r="AC713" s="332"/>
      <c r="AD713" s="110"/>
      <c r="AE713" s="110"/>
      <c r="AF713" s="110"/>
      <c r="AG713" s="110"/>
      <c r="AH713" s="110"/>
      <c r="AI713" s="110"/>
    </row>
    <row r="714" spans="1:35" ht="13.5" customHeight="1">
      <c r="A714" s="246"/>
      <c r="B714" s="317" t="s">
        <v>3627</v>
      </c>
      <c r="C714" s="318" t="s">
        <v>3845</v>
      </c>
      <c r="D714" s="377">
        <f>SUM(D715:D755)</f>
        <v>363</v>
      </c>
      <c r="E714" s="377">
        <f>SUM(E715:E756)</f>
        <v>16949360</v>
      </c>
      <c r="F714" s="377">
        <f t="shared" ref="F714:K714" si="752">SUM(F715:F755)</f>
        <v>0</v>
      </c>
      <c r="G714" s="377">
        <f t="shared" si="752"/>
        <v>0</v>
      </c>
      <c r="H714" s="377">
        <f t="shared" si="752"/>
        <v>0</v>
      </c>
      <c r="I714" s="377">
        <f t="shared" si="752"/>
        <v>16949360</v>
      </c>
      <c r="J714" s="377">
        <f t="shared" si="752"/>
        <v>0</v>
      </c>
      <c r="K714" s="377">
        <f t="shared" si="752"/>
        <v>0</v>
      </c>
      <c r="L714" s="377">
        <v>1727335</v>
      </c>
      <c r="M714" s="377">
        <f>SUM(M715:M751)</f>
        <v>0</v>
      </c>
      <c r="N714" s="354">
        <f t="shared" ref="N714:N755" si="753">IF(I714+L714&gt;J714+M714,(I714+L714)-(J714+M714),0)</f>
        <v>18676695</v>
      </c>
      <c r="O714" s="354">
        <f t="shared" ref="O714:O755" si="754">IF(J714+M714&gt;I714+L714,(J714+M714)-(I714+L714),0)</f>
        <v>0</v>
      </c>
      <c r="P714" s="354">
        <f>SUMIF(GL!$D$6488:$D$6532,B714,GL!$H$6488:$H$6532)</f>
        <v>0</v>
      </c>
      <c r="Q714" s="354">
        <f>GL!H5873</f>
        <v>17082366.576508671</v>
      </c>
      <c r="R714" s="354">
        <f t="shared" ref="R714:S714" si="755">P714+N714</f>
        <v>18676695</v>
      </c>
      <c r="S714" s="354">
        <f t="shared" si="755"/>
        <v>17082366.576508671</v>
      </c>
      <c r="T714" s="354"/>
      <c r="U714" s="354"/>
      <c r="V714" s="354"/>
      <c r="W714" s="354"/>
      <c r="X714" s="354">
        <f t="shared" ref="X714:X755" si="756">IF(R714&gt;S714,R714-S714,0)</f>
        <v>1594328.423491329</v>
      </c>
      <c r="Y714" s="354">
        <f t="shared" ref="Y714:Y755" si="757">IF(S714&gt;R714,S714-R714,0)</f>
        <v>0</v>
      </c>
      <c r="Z714" s="364"/>
      <c r="AA714" s="364"/>
      <c r="AB714" s="364"/>
      <c r="AC714" s="364"/>
      <c r="AD714" s="364"/>
      <c r="AE714" s="364"/>
      <c r="AF714" s="364"/>
      <c r="AG714" s="364"/>
      <c r="AH714" s="364"/>
      <c r="AI714" s="364"/>
    </row>
    <row r="715" spans="1:35" ht="13.5" customHeight="1">
      <c r="A715" s="4"/>
      <c r="B715" s="15" t="s">
        <v>1776</v>
      </c>
      <c r="C715" s="378" t="s">
        <v>5015</v>
      </c>
      <c r="D715" s="254">
        <f>SUMIF(GL!$D$5:$D$6505,B715,GL!$G$5:$G$6505)</f>
        <v>120</v>
      </c>
      <c r="E715" s="341">
        <f>SUMIF(GL!$D$6:$D$6487,B715,GL!$H$6:$H$6487)</f>
        <v>5698000</v>
      </c>
      <c r="F715" s="341">
        <f>SUMIF(GL!$D$6:$D$6487,B715,GL!$I$6:$I$6487)</f>
        <v>0</v>
      </c>
      <c r="G715" s="341"/>
      <c r="H715" s="341"/>
      <c r="I715" s="341">
        <f t="shared" ref="I715:I755" si="758">IF(E715&gt;F715,E715-F715,0)</f>
        <v>5698000</v>
      </c>
      <c r="J715" s="341">
        <f t="shared" ref="J715:J755" si="759">IF(F715&gt;E715,F715-E715,0)</f>
        <v>0</v>
      </c>
      <c r="K715" s="341"/>
      <c r="L715" s="342"/>
      <c r="M715" s="342"/>
      <c r="N715" s="341">
        <f t="shared" si="753"/>
        <v>5698000</v>
      </c>
      <c r="O715" s="341">
        <f t="shared" si="754"/>
        <v>0</v>
      </c>
      <c r="P715" s="341">
        <f>SUMIF(GL!$D$6488:$D$6532,B715,GL!$H$6488:$H$6532)</f>
        <v>0</v>
      </c>
      <c r="Q715" s="341">
        <f>SUMIF(GL!$D$6408:$D$6452,B715,GL!$I$6408:$I$6452)</f>
        <v>0</v>
      </c>
      <c r="R715" s="341">
        <f t="shared" ref="R715:S715" si="760">P715+N715</f>
        <v>5698000</v>
      </c>
      <c r="S715" s="341">
        <f t="shared" si="760"/>
        <v>0</v>
      </c>
      <c r="T715" s="340"/>
      <c r="U715" s="340"/>
      <c r="V715" s="340"/>
      <c r="W715" s="340"/>
      <c r="X715" s="341">
        <f t="shared" si="756"/>
        <v>5698000</v>
      </c>
      <c r="Y715" s="341">
        <f t="shared" si="757"/>
        <v>0</v>
      </c>
      <c r="Z715" s="331"/>
      <c r="AA715" s="110"/>
      <c r="AB715" s="332"/>
      <c r="AC715" s="332"/>
      <c r="AD715" s="110"/>
      <c r="AE715" s="110"/>
      <c r="AF715" s="110"/>
      <c r="AG715" s="110"/>
      <c r="AH715" s="110"/>
      <c r="AI715" s="110"/>
    </row>
    <row r="716" spans="1:35" ht="13.5" customHeight="1">
      <c r="A716" s="4"/>
      <c r="B716" s="15" t="s">
        <v>1778</v>
      </c>
      <c r="C716" s="378" t="s">
        <v>5016</v>
      </c>
      <c r="D716" s="254">
        <f>SUMIF(GL!$D$5:$D$6505,B716,GL!$G$5:$G$6505)</f>
        <v>130</v>
      </c>
      <c r="E716" s="341">
        <f>SUMIF(GL!$D$6:$D$6487,B716,GL!$H$6:$H$6487)</f>
        <v>6216000</v>
      </c>
      <c r="F716" s="341">
        <f>SUMIF(GL!$D$6:$D$6487,B716,GL!$I$6:$I$6487)</f>
        <v>0</v>
      </c>
      <c r="G716" s="341"/>
      <c r="H716" s="341"/>
      <c r="I716" s="341">
        <f t="shared" si="758"/>
        <v>6216000</v>
      </c>
      <c r="J716" s="341">
        <f t="shared" si="759"/>
        <v>0</v>
      </c>
      <c r="K716" s="341"/>
      <c r="L716" s="342"/>
      <c r="M716" s="342"/>
      <c r="N716" s="341">
        <f t="shared" si="753"/>
        <v>6216000</v>
      </c>
      <c r="O716" s="341">
        <f t="shared" si="754"/>
        <v>0</v>
      </c>
      <c r="P716" s="341">
        <f>SUMIF(GL!$D$6488:$D$6532,B716,GL!$H$6488:$H$6532)</f>
        <v>0</v>
      </c>
      <c r="Q716" s="341">
        <f>SUMIF(GL!$D$6408:$D$6452,B716,GL!$I$6408:$I$6452)</f>
        <v>0</v>
      </c>
      <c r="R716" s="341">
        <f t="shared" ref="R716:S716" si="761">P716+N716</f>
        <v>6216000</v>
      </c>
      <c r="S716" s="341">
        <f t="shared" si="761"/>
        <v>0</v>
      </c>
      <c r="T716" s="340"/>
      <c r="U716" s="340"/>
      <c r="V716" s="340"/>
      <c r="W716" s="340"/>
      <c r="X716" s="341">
        <f t="shared" si="756"/>
        <v>6216000</v>
      </c>
      <c r="Y716" s="341">
        <f t="shared" si="757"/>
        <v>0</v>
      </c>
      <c r="Z716" s="331"/>
      <c r="AA716" s="110"/>
      <c r="AB716" s="332"/>
      <c r="AC716" s="332"/>
      <c r="AD716" s="110"/>
      <c r="AE716" s="110"/>
      <c r="AF716" s="110"/>
      <c r="AG716" s="110"/>
      <c r="AH716" s="110"/>
      <c r="AI716" s="110"/>
    </row>
    <row r="717" spans="1:35" ht="13.5" customHeight="1">
      <c r="A717" s="4"/>
      <c r="B717" s="15" t="s">
        <v>1863</v>
      </c>
      <c r="C717" s="378" t="s">
        <v>5017</v>
      </c>
      <c r="D717" s="254">
        <f>SUMIF(GL!$D$5:$D$6505,B717,GL!$G$5:$G$6505)</f>
        <v>50</v>
      </c>
      <c r="E717" s="341">
        <f>SUMIF(GL!$D$6:$D$6487,B717,GL!$H$6:$H$6487)</f>
        <v>2487000</v>
      </c>
      <c r="F717" s="341">
        <f>SUMIF(GL!$D$6:$D$6487,B717,GL!$I$6:$I$6487)</f>
        <v>0</v>
      </c>
      <c r="G717" s="341"/>
      <c r="H717" s="341"/>
      <c r="I717" s="341">
        <f t="shared" si="758"/>
        <v>2487000</v>
      </c>
      <c r="J717" s="341">
        <f t="shared" si="759"/>
        <v>0</v>
      </c>
      <c r="K717" s="341"/>
      <c r="L717" s="342"/>
      <c r="M717" s="342"/>
      <c r="N717" s="341">
        <f t="shared" si="753"/>
        <v>2487000</v>
      </c>
      <c r="O717" s="341">
        <f t="shared" si="754"/>
        <v>0</v>
      </c>
      <c r="P717" s="341">
        <f>SUMIF(GL!$D$6488:$D$6532,B717,GL!$H$6488:$H$6532)</f>
        <v>0</v>
      </c>
      <c r="Q717" s="341">
        <f>SUMIF(GL!$D$6408:$D$6452,B717,GL!$I$6408:$I$6452)</f>
        <v>0</v>
      </c>
      <c r="R717" s="341">
        <f t="shared" ref="R717:S717" si="762">P717+N717</f>
        <v>2487000</v>
      </c>
      <c r="S717" s="341">
        <f t="shared" si="762"/>
        <v>0</v>
      </c>
      <c r="T717" s="340"/>
      <c r="U717" s="340"/>
      <c r="V717" s="340"/>
      <c r="W717" s="340"/>
      <c r="X717" s="341">
        <f t="shared" si="756"/>
        <v>2487000</v>
      </c>
      <c r="Y717" s="341">
        <f t="shared" si="757"/>
        <v>0</v>
      </c>
      <c r="Z717" s="331"/>
      <c r="AA717" s="110"/>
      <c r="AB717" s="332"/>
      <c r="AC717" s="332"/>
      <c r="AD717" s="110"/>
      <c r="AE717" s="110"/>
      <c r="AF717" s="110"/>
      <c r="AG717" s="110"/>
      <c r="AH717" s="110"/>
      <c r="AI717" s="110"/>
    </row>
    <row r="718" spans="1:35" ht="13.5" customHeight="1">
      <c r="A718" s="4"/>
      <c r="B718" s="15" t="s">
        <v>1823</v>
      </c>
      <c r="C718" s="260" t="s">
        <v>5018</v>
      </c>
      <c r="D718" s="254">
        <f>SUMIF(GL!$D$5:$D$6505,B718,GL!$G$5:$G$6505)</f>
        <v>50</v>
      </c>
      <c r="E718" s="341">
        <f>SUMIF(GL!$D$6:$D$6487,B718,GL!$H$6:$H$6487)</f>
        <v>1759000</v>
      </c>
      <c r="F718" s="341">
        <f>SUMIF(GL!$D$6:$D$6487,B718,GL!$I$6:$I$6487)</f>
        <v>0</v>
      </c>
      <c r="G718" s="341"/>
      <c r="H718" s="341"/>
      <c r="I718" s="341">
        <f t="shared" si="758"/>
        <v>1759000</v>
      </c>
      <c r="J718" s="341">
        <f t="shared" si="759"/>
        <v>0</v>
      </c>
      <c r="K718" s="341"/>
      <c r="L718" s="342"/>
      <c r="M718" s="342"/>
      <c r="N718" s="341">
        <f t="shared" si="753"/>
        <v>1759000</v>
      </c>
      <c r="O718" s="341">
        <f t="shared" si="754"/>
        <v>0</v>
      </c>
      <c r="P718" s="341">
        <f>SUMIF(GL!$D$6488:$D$6532,B718,GL!$H$6488:$H$6532)</f>
        <v>0</v>
      </c>
      <c r="Q718" s="341">
        <f>SUMIF(GL!$D$6408:$D$6452,B718,GL!$I$6408:$I$6452)</f>
        <v>0</v>
      </c>
      <c r="R718" s="341">
        <f t="shared" ref="R718:S718" si="763">P718+N718</f>
        <v>1759000</v>
      </c>
      <c r="S718" s="341">
        <f t="shared" si="763"/>
        <v>0</v>
      </c>
      <c r="T718" s="340"/>
      <c r="U718" s="340"/>
      <c r="V718" s="340"/>
      <c r="W718" s="340"/>
      <c r="X718" s="341">
        <f t="shared" si="756"/>
        <v>1759000</v>
      </c>
      <c r="Y718" s="341">
        <f t="shared" si="757"/>
        <v>0</v>
      </c>
      <c r="Z718" s="331"/>
      <c r="AA718" s="110"/>
      <c r="AB718" s="332"/>
      <c r="AC718" s="332"/>
      <c r="AD718" s="110"/>
      <c r="AE718" s="110"/>
      <c r="AF718" s="110"/>
      <c r="AG718" s="110"/>
      <c r="AH718" s="110"/>
      <c r="AI718" s="110"/>
    </row>
    <row r="719" spans="1:35" ht="13.5" customHeight="1">
      <c r="A719" s="4"/>
      <c r="B719" s="15" t="s">
        <v>5019</v>
      </c>
      <c r="C719" s="260" t="s">
        <v>5020</v>
      </c>
      <c r="D719" s="254">
        <f>SUMIF(GL!$D$5:$D$6505,B719,GL!$G$5:$G$6505)</f>
        <v>0</v>
      </c>
      <c r="E719" s="341">
        <f>SUMIF(GL!$D$6:$D$6487,B719,GL!$H$6:$H$6487)</f>
        <v>0</v>
      </c>
      <c r="F719" s="341">
        <f>SUMIF(GL!$D$6:$D$6487,B719,GL!$I$6:$I$6487)</f>
        <v>0</v>
      </c>
      <c r="G719" s="341"/>
      <c r="H719" s="341"/>
      <c r="I719" s="341">
        <f t="shared" si="758"/>
        <v>0</v>
      </c>
      <c r="J719" s="341">
        <f t="shared" si="759"/>
        <v>0</v>
      </c>
      <c r="K719" s="341"/>
      <c r="L719" s="342"/>
      <c r="M719" s="342"/>
      <c r="N719" s="341">
        <f t="shared" si="753"/>
        <v>0</v>
      </c>
      <c r="O719" s="341">
        <f t="shared" si="754"/>
        <v>0</v>
      </c>
      <c r="P719" s="341">
        <f>SUMIF(GL!$D$6488:$D$6532,B719,GL!$H$6488:$H$6532)</f>
        <v>0</v>
      </c>
      <c r="Q719" s="341">
        <f>SUMIF(GL!$D$6408:$D$6452,B719,GL!$I$6408:$I$6452)</f>
        <v>0</v>
      </c>
      <c r="R719" s="341">
        <f t="shared" ref="R719:S719" si="764">P719+N719</f>
        <v>0</v>
      </c>
      <c r="S719" s="341">
        <f t="shared" si="764"/>
        <v>0</v>
      </c>
      <c r="T719" s="340"/>
      <c r="U719" s="340"/>
      <c r="V719" s="340"/>
      <c r="W719" s="340"/>
      <c r="X719" s="341">
        <f t="shared" si="756"/>
        <v>0</v>
      </c>
      <c r="Y719" s="341">
        <f t="shared" si="757"/>
        <v>0</v>
      </c>
      <c r="Z719" s="331"/>
      <c r="AA719" s="110"/>
      <c r="AB719" s="332"/>
      <c r="AC719" s="332"/>
      <c r="AD719" s="110"/>
      <c r="AE719" s="110"/>
      <c r="AF719" s="110"/>
      <c r="AG719" s="110"/>
      <c r="AH719" s="110"/>
      <c r="AI719" s="110"/>
    </row>
    <row r="720" spans="1:35" ht="13.5" customHeight="1">
      <c r="A720" s="4"/>
      <c r="B720" s="15" t="s">
        <v>5021</v>
      </c>
      <c r="C720" s="260" t="s">
        <v>5022</v>
      </c>
      <c r="D720" s="254">
        <f>SUMIF(GL!$D$5:$D$6505,B720,GL!$G$5:$G$6505)</f>
        <v>0</v>
      </c>
      <c r="E720" s="341">
        <f>SUMIF(GL!$D$6:$D$6487,B720,GL!$H$6:$H$6487)</f>
        <v>0</v>
      </c>
      <c r="F720" s="341">
        <f>SUMIF(GL!$D$6:$D$6487,B720,GL!$I$6:$I$6487)</f>
        <v>0</v>
      </c>
      <c r="G720" s="341"/>
      <c r="H720" s="341"/>
      <c r="I720" s="341">
        <f t="shared" si="758"/>
        <v>0</v>
      </c>
      <c r="J720" s="341">
        <f t="shared" si="759"/>
        <v>0</v>
      </c>
      <c r="K720" s="341"/>
      <c r="L720" s="342"/>
      <c r="M720" s="342"/>
      <c r="N720" s="341">
        <f t="shared" si="753"/>
        <v>0</v>
      </c>
      <c r="O720" s="341">
        <f t="shared" si="754"/>
        <v>0</v>
      </c>
      <c r="P720" s="341">
        <f>SUMIF(GL!$D$6488:$D$6532,B720,GL!$H$6488:$H$6532)</f>
        <v>0</v>
      </c>
      <c r="Q720" s="341">
        <f>SUMIF(GL!$D$6408:$D$6452,B720,GL!$I$6408:$I$6452)</f>
        <v>0</v>
      </c>
      <c r="R720" s="341">
        <f t="shared" ref="R720:S720" si="765">P720+N720</f>
        <v>0</v>
      </c>
      <c r="S720" s="341">
        <f t="shared" si="765"/>
        <v>0</v>
      </c>
      <c r="T720" s="340"/>
      <c r="U720" s="340"/>
      <c r="V720" s="340"/>
      <c r="W720" s="340"/>
      <c r="X720" s="341">
        <f t="shared" si="756"/>
        <v>0</v>
      </c>
      <c r="Y720" s="341">
        <f t="shared" si="757"/>
        <v>0</v>
      </c>
      <c r="Z720" s="331"/>
      <c r="AA720" s="110"/>
      <c r="AB720" s="332"/>
      <c r="AC720" s="332"/>
      <c r="AD720" s="110"/>
      <c r="AE720" s="110"/>
      <c r="AF720" s="110"/>
      <c r="AG720" s="110"/>
      <c r="AH720" s="110"/>
      <c r="AI720" s="110"/>
    </row>
    <row r="721" spans="1:35" ht="13.5" customHeight="1">
      <c r="A721" s="4"/>
      <c r="B721" s="15" t="s">
        <v>5023</v>
      </c>
      <c r="C721" s="260" t="s">
        <v>5024</v>
      </c>
      <c r="D721" s="254">
        <f>SUMIF(GL!$D$5:$D$6505,B721,GL!$G$5:$G$6505)</f>
        <v>0</v>
      </c>
      <c r="E721" s="341">
        <f>SUMIF(GL!$D$6:$D$6487,B721,GL!$H$6:$H$6487)</f>
        <v>0</v>
      </c>
      <c r="F721" s="341">
        <f>SUMIF(GL!$D$6:$D$6487,B721,GL!$I$6:$I$6487)</f>
        <v>0</v>
      </c>
      <c r="G721" s="341"/>
      <c r="H721" s="341"/>
      <c r="I721" s="341">
        <f t="shared" si="758"/>
        <v>0</v>
      </c>
      <c r="J721" s="341">
        <f t="shared" si="759"/>
        <v>0</v>
      </c>
      <c r="K721" s="341"/>
      <c r="L721" s="342"/>
      <c r="M721" s="342"/>
      <c r="N721" s="341">
        <f t="shared" si="753"/>
        <v>0</v>
      </c>
      <c r="O721" s="341">
        <f t="shared" si="754"/>
        <v>0</v>
      </c>
      <c r="P721" s="341">
        <f>SUMIF(GL!$D$6488:$D$6532,B721,GL!$H$6488:$H$6532)</f>
        <v>0</v>
      </c>
      <c r="Q721" s="341">
        <f>SUMIF(GL!$D$6408:$D$6452,B721,GL!$I$6408:$I$6452)</f>
        <v>0</v>
      </c>
      <c r="R721" s="341">
        <f t="shared" ref="R721:S721" si="766">P721+N721</f>
        <v>0</v>
      </c>
      <c r="S721" s="341">
        <f t="shared" si="766"/>
        <v>0</v>
      </c>
      <c r="T721" s="340"/>
      <c r="U721" s="340"/>
      <c r="V721" s="340"/>
      <c r="W721" s="340"/>
      <c r="X721" s="341">
        <f t="shared" si="756"/>
        <v>0</v>
      </c>
      <c r="Y721" s="341">
        <f t="shared" si="757"/>
        <v>0</v>
      </c>
      <c r="Z721" s="331"/>
      <c r="AA721" s="110"/>
      <c r="AB721" s="332"/>
      <c r="AC721" s="332"/>
      <c r="AD721" s="110"/>
      <c r="AE721" s="110"/>
      <c r="AF721" s="110"/>
      <c r="AG721" s="110"/>
      <c r="AH721" s="110"/>
      <c r="AI721" s="110"/>
    </row>
    <row r="722" spans="1:35" ht="13.5" customHeight="1">
      <c r="A722" s="4"/>
      <c r="B722" s="15" t="s">
        <v>5025</v>
      </c>
      <c r="C722" s="260" t="s">
        <v>5026</v>
      </c>
      <c r="D722" s="254">
        <f>SUMIF(GL!$D$5:$D$6505,B722,GL!$G$5:$G$6505)</f>
        <v>0</v>
      </c>
      <c r="E722" s="341">
        <f>SUMIF(GL!$D$6:$D$6487,B722,GL!$H$6:$H$6487)</f>
        <v>0</v>
      </c>
      <c r="F722" s="341">
        <f>SUMIF(GL!$D$6:$D$6487,B722,GL!$I$6:$I$6487)</f>
        <v>0</v>
      </c>
      <c r="G722" s="341"/>
      <c r="H722" s="341"/>
      <c r="I722" s="341">
        <f t="shared" si="758"/>
        <v>0</v>
      </c>
      <c r="J722" s="341">
        <f t="shared" si="759"/>
        <v>0</v>
      </c>
      <c r="K722" s="341"/>
      <c r="L722" s="342"/>
      <c r="M722" s="342"/>
      <c r="N722" s="341">
        <f t="shared" si="753"/>
        <v>0</v>
      </c>
      <c r="O722" s="341">
        <f t="shared" si="754"/>
        <v>0</v>
      </c>
      <c r="P722" s="341">
        <f>SUMIF(GL!$D$6488:$D$6532,B722,GL!$H$6488:$H$6532)</f>
        <v>0</v>
      </c>
      <c r="Q722" s="341">
        <f>SUMIF(GL!$D$6408:$D$6452,B722,GL!$I$6408:$I$6452)</f>
        <v>0</v>
      </c>
      <c r="R722" s="341">
        <f t="shared" ref="R722:S722" si="767">P722+N722</f>
        <v>0</v>
      </c>
      <c r="S722" s="341">
        <f t="shared" si="767"/>
        <v>0</v>
      </c>
      <c r="T722" s="340"/>
      <c r="U722" s="340"/>
      <c r="V722" s="340"/>
      <c r="W722" s="340"/>
      <c r="X722" s="341">
        <f t="shared" si="756"/>
        <v>0</v>
      </c>
      <c r="Y722" s="341">
        <f t="shared" si="757"/>
        <v>0</v>
      </c>
      <c r="Z722" s="331"/>
      <c r="AA722" s="110"/>
      <c r="AB722" s="332"/>
      <c r="AC722" s="332"/>
      <c r="AD722" s="110"/>
      <c r="AE722" s="110"/>
      <c r="AF722" s="110"/>
      <c r="AG722" s="110"/>
      <c r="AH722" s="110"/>
      <c r="AI722" s="110"/>
    </row>
    <row r="723" spans="1:35" ht="13.5" customHeight="1">
      <c r="A723" s="4"/>
      <c r="B723" s="15" t="s">
        <v>929</v>
      </c>
      <c r="C723" s="378" t="s">
        <v>5027</v>
      </c>
      <c r="D723" s="254">
        <f>SUMIF(GL!$D$5:$D$6505,B723,GL!$G$5:$G$6505)</f>
        <v>3</v>
      </c>
      <c r="E723" s="341">
        <f>SUMIF(GL!$D$6:$D$6487,B723,GL!$H$6:$H$6487)</f>
        <v>182160</v>
      </c>
      <c r="F723" s="341">
        <f>SUMIF(GL!$D$6:$D$6487,B723,GL!$I$6:$I$6487)</f>
        <v>0</v>
      </c>
      <c r="G723" s="341"/>
      <c r="H723" s="341"/>
      <c r="I723" s="341">
        <f t="shared" si="758"/>
        <v>182160</v>
      </c>
      <c r="J723" s="341">
        <f t="shared" si="759"/>
        <v>0</v>
      </c>
      <c r="K723" s="341"/>
      <c r="L723" s="342"/>
      <c r="M723" s="342"/>
      <c r="N723" s="341">
        <f t="shared" si="753"/>
        <v>182160</v>
      </c>
      <c r="O723" s="341">
        <f t="shared" si="754"/>
        <v>0</v>
      </c>
      <c r="P723" s="341">
        <f>SUMIF(GL!$D$6488:$D$6532,B723,GL!$H$6488:$H$6532)</f>
        <v>0</v>
      </c>
      <c r="Q723" s="341">
        <f>SUMIF(GL!$D$6408:$D$6452,B723,GL!$I$6408:$I$6452)</f>
        <v>0</v>
      </c>
      <c r="R723" s="341">
        <f t="shared" ref="R723:S723" si="768">P723+N723</f>
        <v>182160</v>
      </c>
      <c r="S723" s="341">
        <f t="shared" si="768"/>
        <v>0</v>
      </c>
      <c r="T723" s="340"/>
      <c r="U723" s="340"/>
      <c r="V723" s="340"/>
      <c r="W723" s="340"/>
      <c r="X723" s="341">
        <f t="shared" si="756"/>
        <v>182160</v>
      </c>
      <c r="Y723" s="341">
        <f t="shared" si="757"/>
        <v>0</v>
      </c>
      <c r="Z723" s="331"/>
      <c r="AA723" s="110"/>
      <c r="AB723" s="332"/>
      <c r="AC723" s="332"/>
      <c r="AD723" s="110"/>
      <c r="AE723" s="110"/>
      <c r="AF723" s="110"/>
      <c r="AG723" s="110"/>
      <c r="AH723" s="110"/>
      <c r="AI723" s="110"/>
    </row>
    <row r="724" spans="1:35" ht="13.5" customHeight="1">
      <c r="A724" s="4"/>
      <c r="B724" s="15" t="s">
        <v>927</v>
      </c>
      <c r="C724" s="212" t="s">
        <v>5028</v>
      </c>
      <c r="D724" s="254">
        <f>SUMIF(GL!$D$5:$D$6505,B724,GL!$G$5:$G$6505)</f>
        <v>2</v>
      </c>
      <c r="E724" s="341">
        <f>SUMIF(GL!$D$6:$D$6487,B724,GL!$H$6:$H$6487)</f>
        <v>121440</v>
      </c>
      <c r="F724" s="341">
        <f>SUMIF(GL!$D$6:$D$6487,B724,GL!$I$6:$I$6487)</f>
        <v>0</v>
      </c>
      <c r="G724" s="341"/>
      <c r="H724" s="341"/>
      <c r="I724" s="341">
        <f t="shared" si="758"/>
        <v>121440</v>
      </c>
      <c r="J724" s="341">
        <f t="shared" si="759"/>
        <v>0</v>
      </c>
      <c r="K724" s="341"/>
      <c r="L724" s="342"/>
      <c r="M724" s="342"/>
      <c r="N724" s="341">
        <f t="shared" si="753"/>
        <v>121440</v>
      </c>
      <c r="O724" s="341">
        <f t="shared" si="754"/>
        <v>0</v>
      </c>
      <c r="P724" s="341">
        <f>SUMIF(GL!$D$6488:$D$6532,B724,GL!$H$6488:$H$6532)</f>
        <v>0</v>
      </c>
      <c r="Q724" s="341">
        <f>SUMIF(GL!$D$6408:$D$6452,B724,GL!$I$6408:$I$6452)</f>
        <v>0</v>
      </c>
      <c r="R724" s="341">
        <f t="shared" ref="R724:S724" si="769">P724+N724</f>
        <v>121440</v>
      </c>
      <c r="S724" s="341">
        <f t="shared" si="769"/>
        <v>0</v>
      </c>
      <c r="T724" s="340"/>
      <c r="U724" s="340"/>
      <c r="V724" s="340"/>
      <c r="W724" s="340"/>
      <c r="X724" s="341">
        <f t="shared" si="756"/>
        <v>121440</v>
      </c>
      <c r="Y724" s="341">
        <f t="shared" si="757"/>
        <v>0</v>
      </c>
      <c r="Z724" s="331"/>
      <c r="AA724" s="110"/>
      <c r="AB724" s="332"/>
      <c r="AC724" s="332"/>
      <c r="AD724" s="110"/>
      <c r="AE724" s="110"/>
      <c r="AF724" s="110"/>
      <c r="AG724" s="110"/>
      <c r="AH724" s="110"/>
      <c r="AI724" s="110"/>
    </row>
    <row r="725" spans="1:35" ht="13.5" customHeight="1">
      <c r="A725" s="4"/>
      <c r="B725" s="15" t="s">
        <v>923</v>
      </c>
      <c r="C725" s="212" t="s">
        <v>5029</v>
      </c>
      <c r="D725" s="254">
        <f>SUMIF(GL!$D$5:$D$6505,B725,GL!$G$5:$G$6505)</f>
        <v>3</v>
      </c>
      <c r="E725" s="341">
        <f>SUMIF(GL!$D$6:$D$6487,B725,GL!$H$6:$H$6487)</f>
        <v>182160</v>
      </c>
      <c r="F725" s="341">
        <f>SUMIF(GL!$D$6:$D$6487,B725,GL!$I$6:$I$6487)</f>
        <v>0</v>
      </c>
      <c r="G725" s="341"/>
      <c r="H725" s="341"/>
      <c r="I725" s="341">
        <f t="shared" si="758"/>
        <v>182160</v>
      </c>
      <c r="J725" s="341">
        <f t="shared" si="759"/>
        <v>0</v>
      </c>
      <c r="K725" s="341"/>
      <c r="L725" s="342"/>
      <c r="M725" s="342"/>
      <c r="N725" s="341">
        <f t="shared" si="753"/>
        <v>182160</v>
      </c>
      <c r="O725" s="341">
        <f t="shared" si="754"/>
        <v>0</v>
      </c>
      <c r="P725" s="341">
        <f>SUMIF(GL!$D$6488:$D$6532,B725,GL!$H$6488:$H$6532)</f>
        <v>0</v>
      </c>
      <c r="Q725" s="341">
        <f>SUMIF(GL!$D$6408:$D$6452,B725,GL!$I$6408:$I$6452)</f>
        <v>0</v>
      </c>
      <c r="R725" s="341">
        <f t="shared" ref="R725:S725" si="770">P725+N725</f>
        <v>182160</v>
      </c>
      <c r="S725" s="341">
        <f t="shared" si="770"/>
        <v>0</v>
      </c>
      <c r="T725" s="340"/>
      <c r="U725" s="340"/>
      <c r="V725" s="340"/>
      <c r="W725" s="340"/>
      <c r="X725" s="341">
        <f t="shared" si="756"/>
        <v>182160</v>
      </c>
      <c r="Y725" s="341">
        <f t="shared" si="757"/>
        <v>0</v>
      </c>
      <c r="Z725" s="331"/>
      <c r="AA725" s="110"/>
      <c r="AB725" s="332"/>
      <c r="AC725" s="332"/>
      <c r="AD725" s="110"/>
      <c r="AE725" s="110"/>
      <c r="AF725" s="110"/>
      <c r="AG725" s="110"/>
      <c r="AH725" s="110"/>
      <c r="AI725" s="110"/>
    </row>
    <row r="726" spans="1:35" ht="13.5" customHeight="1">
      <c r="A726" s="4"/>
      <c r="B726" s="15" t="s">
        <v>925</v>
      </c>
      <c r="C726" s="212" t="s">
        <v>5030</v>
      </c>
      <c r="D726" s="254">
        <f>SUMIF(GL!$D$5:$D$6505,B726,GL!$G$5:$G$6505)</f>
        <v>3</v>
      </c>
      <c r="E726" s="341">
        <f>SUMIF(GL!$D$6:$D$6487,B726,GL!$H$6:$H$6487)</f>
        <v>182160</v>
      </c>
      <c r="F726" s="341">
        <f>SUMIF(GL!$D$6:$D$6487,B726,GL!$I$6:$I$6487)</f>
        <v>0</v>
      </c>
      <c r="G726" s="341"/>
      <c r="H726" s="341"/>
      <c r="I726" s="341">
        <f t="shared" si="758"/>
        <v>182160</v>
      </c>
      <c r="J726" s="341">
        <f t="shared" si="759"/>
        <v>0</v>
      </c>
      <c r="K726" s="341"/>
      <c r="L726" s="342"/>
      <c r="M726" s="342"/>
      <c r="N726" s="341">
        <f t="shared" si="753"/>
        <v>182160</v>
      </c>
      <c r="O726" s="341">
        <f t="shared" si="754"/>
        <v>0</v>
      </c>
      <c r="P726" s="341">
        <f>SUMIF(GL!$D$6488:$D$6532,B726,GL!$H$6488:$H$6532)</f>
        <v>0</v>
      </c>
      <c r="Q726" s="341">
        <f>SUMIF(GL!$D$6408:$D$6452,B726,GL!$I$6408:$I$6452)</f>
        <v>0</v>
      </c>
      <c r="R726" s="341">
        <f t="shared" ref="R726:S726" si="771">P726+N726</f>
        <v>182160</v>
      </c>
      <c r="S726" s="341">
        <f t="shared" si="771"/>
        <v>0</v>
      </c>
      <c r="T726" s="340"/>
      <c r="U726" s="340"/>
      <c r="V726" s="340"/>
      <c r="W726" s="340"/>
      <c r="X726" s="341">
        <f t="shared" si="756"/>
        <v>182160</v>
      </c>
      <c r="Y726" s="341">
        <f t="shared" si="757"/>
        <v>0</v>
      </c>
      <c r="Z726" s="331"/>
      <c r="AA726" s="110"/>
      <c r="AB726" s="332"/>
      <c r="AC726" s="332"/>
      <c r="AD726" s="110"/>
      <c r="AE726" s="110"/>
      <c r="AF726" s="110"/>
      <c r="AG726" s="110"/>
      <c r="AH726" s="110"/>
      <c r="AI726" s="110"/>
    </row>
    <row r="727" spans="1:35" ht="13.5" customHeight="1">
      <c r="A727" s="4"/>
      <c r="B727" s="15" t="s">
        <v>5031</v>
      </c>
      <c r="C727" s="212" t="s">
        <v>5032</v>
      </c>
      <c r="D727" s="254">
        <f>SUMIF(GL!$D$5:$D$6505,B727,GL!$G$5:$G$6505)</f>
        <v>0</v>
      </c>
      <c r="E727" s="341">
        <f>SUMIF(GL!$D$6:$D$6487,B727,GL!$H$6:$H$6487)</f>
        <v>0</v>
      </c>
      <c r="F727" s="341">
        <f>SUMIF(GL!$D$6:$D$6487,B727,GL!$I$6:$I$6487)</f>
        <v>0</v>
      </c>
      <c r="G727" s="341"/>
      <c r="H727" s="341"/>
      <c r="I727" s="341">
        <f t="shared" si="758"/>
        <v>0</v>
      </c>
      <c r="J727" s="341">
        <f t="shared" si="759"/>
        <v>0</v>
      </c>
      <c r="K727" s="341"/>
      <c r="L727" s="342"/>
      <c r="M727" s="342"/>
      <c r="N727" s="341">
        <f t="shared" si="753"/>
        <v>0</v>
      </c>
      <c r="O727" s="341">
        <f t="shared" si="754"/>
        <v>0</v>
      </c>
      <c r="P727" s="341">
        <f>SUMIF(GL!$D$6488:$D$6532,B727,GL!$H$6488:$H$6532)</f>
        <v>0</v>
      </c>
      <c r="Q727" s="341">
        <f>SUMIF(GL!$D$6408:$D$6452,B727,GL!$I$6408:$I$6452)</f>
        <v>0</v>
      </c>
      <c r="R727" s="341">
        <f t="shared" ref="R727:S727" si="772">P727+N727</f>
        <v>0</v>
      </c>
      <c r="S727" s="341">
        <f t="shared" si="772"/>
        <v>0</v>
      </c>
      <c r="T727" s="340"/>
      <c r="U727" s="340"/>
      <c r="V727" s="340"/>
      <c r="W727" s="340"/>
      <c r="X727" s="341">
        <f t="shared" si="756"/>
        <v>0</v>
      </c>
      <c r="Y727" s="341">
        <f t="shared" si="757"/>
        <v>0</v>
      </c>
      <c r="Z727" s="331"/>
      <c r="AA727" s="110"/>
      <c r="AB727" s="332"/>
      <c r="AC727" s="332"/>
      <c r="AD727" s="110"/>
      <c r="AE727" s="110"/>
      <c r="AF727" s="110"/>
      <c r="AG727" s="110"/>
      <c r="AH727" s="110"/>
      <c r="AI727" s="110"/>
    </row>
    <row r="728" spans="1:35" ht="13.5" customHeight="1">
      <c r="A728" s="4"/>
      <c r="B728" s="15" t="s">
        <v>921</v>
      </c>
      <c r="C728" s="212" t="s">
        <v>5033</v>
      </c>
      <c r="D728" s="254">
        <f>SUMIF(GL!$D$5:$D$6505,B728,GL!$G$5:$G$6505)</f>
        <v>1</v>
      </c>
      <c r="E728" s="341">
        <f>SUMIF(GL!$D$6:$D$6487,B728,GL!$H$6:$H$6487)</f>
        <v>60720</v>
      </c>
      <c r="F728" s="341">
        <f>SUMIF(GL!$D$6:$D$6487,B728,GL!$I$6:$I$6487)</f>
        <v>0</v>
      </c>
      <c r="G728" s="341"/>
      <c r="H728" s="341"/>
      <c r="I728" s="341">
        <f t="shared" si="758"/>
        <v>60720</v>
      </c>
      <c r="J728" s="341">
        <f t="shared" si="759"/>
        <v>0</v>
      </c>
      <c r="K728" s="341"/>
      <c r="L728" s="342"/>
      <c r="M728" s="342"/>
      <c r="N728" s="341">
        <f t="shared" si="753"/>
        <v>60720</v>
      </c>
      <c r="O728" s="341">
        <f t="shared" si="754"/>
        <v>0</v>
      </c>
      <c r="P728" s="341">
        <f>SUMIF(GL!$D$6488:$D$6532,B728,GL!$H$6488:$H$6532)</f>
        <v>0</v>
      </c>
      <c r="Q728" s="341">
        <f>SUMIF(GL!$D$6408:$D$6452,B728,GL!$I$6408:$I$6452)</f>
        <v>0</v>
      </c>
      <c r="R728" s="341">
        <f t="shared" ref="R728:S728" si="773">P728+N728</f>
        <v>60720</v>
      </c>
      <c r="S728" s="341">
        <f t="shared" si="773"/>
        <v>0</v>
      </c>
      <c r="T728" s="340"/>
      <c r="U728" s="340"/>
      <c r="V728" s="340"/>
      <c r="W728" s="340"/>
      <c r="X728" s="341">
        <f t="shared" si="756"/>
        <v>60720</v>
      </c>
      <c r="Y728" s="341">
        <f t="shared" si="757"/>
        <v>0</v>
      </c>
      <c r="Z728" s="331"/>
      <c r="AA728" s="110"/>
      <c r="AB728" s="332"/>
      <c r="AC728" s="332"/>
      <c r="AD728" s="110"/>
      <c r="AE728" s="110"/>
      <c r="AF728" s="110"/>
      <c r="AG728" s="110"/>
      <c r="AH728" s="110"/>
      <c r="AI728" s="110"/>
    </row>
    <row r="729" spans="1:35" ht="13.5" customHeight="1">
      <c r="A729" s="4"/>
      <c r="B729" s="15" t="s">
        <v>5034</v>
      </c>
      <c r="C729" s="212" t="s">
        <v>5035</v>
      </c>
      <c r="D729" s="254">
        <f>SUMIF(GL!$D$5:$D$6505,B729,GL!$G$5:$G$6505)</f>
        <v>0</v>
      </c>
      <c r="E729" s="341">
        <f>SUMIF(GL!$D$6:$D$6487,B729,GL!$H$6:$H$6487)</f>
        <v>0</v>
      </c>
      <c r="F729" s="341">
        <f>SUMIF(GL!$D$6:$D$6487,B729,GL!$I$6:$I$6487)</f>
        <v>0</v>
      </c>
      <c r="G729" s="341"/>
      <c r="H729" s="341"/>
      <c r="I729" s="341">
        <f t="shared" si="758"/>
        <v>0</v>
      </c>
      <c r="J729" s="341">
        <f t="shared" si="759"/>
        <v>0</v>
      </c>
      <c r="K729" s="341"/>
      <c r="L729" s="342"/>
      <c r="M729" s="342"/>
      <c r="N729" s="341">
        <f t="shared" si="753"/>
        <v>0</v>
      </c>
      <c r="O729" s="341">
        <f t="shared" si="754"/>
        <v>0</v>
      </c>
      <c r="P729" s="341">
        <f>SUMIF(GL!$D$6488:$D$6532,B729,GL!$H$6488:$H$6532)</f>
        <v>0</v>
      </c>
      <c r="Q729" s="341">
        <f>SUMIF(GL!$D$6408:$D$6452,B729,GL!$I$6408:$I$6452)</f>
        <v>0</v>
      </c>
      <c r="R729" s="341">
        <f t="shared" ref="R729:S729" si="774">P729+N729</f>
        <v>0</v>
      </c>
      <c r="S729" s="341">
        <f t="shared" si="774"/>
        <v>0</v>
      </c>
      <c r="T729" s="340"/>
      <c r="U729" s="340"/>
      <c r="V729" s="340"/>
      <c r="W729" s="340"/>
      <c r="X729" s="341">
        <f t="shared" si="756"/>
        <v>0</v>
      </c>
      <c r="Y729" s="341">
        <f t="shared" si="757"/>
        <v>0</v>
      </c>
      <c r="Z729" s="331"/>
      <c r="AA729" s="110"/>
      <c r="AB729" s="332"/>
      <c r="AC729" s="332"/>
      <c r="AD729" s="110"/>
      <c r="AE729" s="110"/>
      <c r="AF729" s="110"/>
      <c r="AG729" s="110"/>
      <c r="AH729" s="110"/>
      <c r="AI729" s="110"/>
    </row>
    <row r="730" spans="1:35" ht="13.5" customHeight="1">
      <c r="A730" s="4"/>
      <c r="B730" s="15" t="s">
        <v>931</v>
      </c>
      <c r="C730" s="212" t="s">
        <v>5036</v>
      </c>
      <c r="D730" s="254">
        <f>SUMIF(GL!$D$5:$D$6505,B730,GL!$G$5:$G$6505)</f>
        <v>1</v>
      </c>
      <c r="E730" s="341">
        <f>SUMIF(GL!$D$6:$D$6487,B730,GL!$H$6:$H$6487)</f>
        <v>60720</v>
      </c>
      <c r="F730" s="341">
        <f>SUMIF(GL!$D$6:$D$6487,B730,GL!$I$6:$I$6487)</f>
        <v>0</v>
      </c>
      <c r="G730" s="341"/>
      <c r="H730" s="341"/>
      <c r="I730" s="341">
        <f t="shared" si="758"/>
        <v>60720</v>
      </c>
      <c r="J730" s="341">
        <f t="shared" si="759"/>
        <v>0</v>
      </c>
      <c r="K730" s="341"/>
      <c r="L730" s="342"/>
      <c r="M730" s="342"/>
      <c r="N730" s="341">
        <f t="shared" si="753"/>
        <v>60720</v>
      </c>
      <c r="O730" s="341">
        <f t="shared" si="754"/>
        <v>0</v>
      </c>
      <c r="P730" s="341">
        <f>SUMIF(GL!$D$6488:$D$6532,B730,GL!$H$6488:$H$6532)</f>
        <v>0</v>
      </c>
      <c r="Q730" s="341">
        <f>SUMIF(GL!$D$6408:$D$6452,B730,GL!$I$6408:$I$6452)</f>
        <v>0</v>
      </c>
      <c r="R730" s="341">
        <f t="shared" ref="R730:S730" si="775">P730+N730</f>
        <v>60720</v>
      </c>
      <c r="S730" s="341">
        <f t="shared" si="775"/>
        <v>0</v>
      </c>
      <c r="T730" s="340"/>
      <c r="U730" s="340"/>
      <c r="V730" s="340"/>
      <c r="W730" s="340"/>
      <c r="X730" s="341">
        <f t="shared" si="756"/>
        <v>60720</v>
      </c>
      <c r="Y730" s="341">
        <f t="shared" si="757"/>
        <v>0</v>
      </c>
      <c r="Z730" s="331"/>
      <c r="AA730" s="110"/>
      <c r="AB730" s="332"/>
      <c r="AC730" s="332"/>
      <c r="AD730" s="110"/>
      <c r="AE730" s="110"/>
      <c r="AF730" s="110"/>
      <c r="AG730" s="110"/>
      <c r="AH730" s="110"/>
      <c r="AI730" s="110"/>
    </row>
    <row r="731" spans="1:35" ht="13.5" customHeight="1">
      <c r="A731" s="4"/>
      <c r="B731" s="15" t="s">
        <v>5037</v>
      </c>
      <c r="C731" s="212" t="s">
        <v>5038</v>
      </c>
      <c r="D731" s="254">
        <f>SUMIF(GL!$D$5:$D$6505,B731,GL!$G$5:$G$6505)</f>
        <v>0</v>
      </c>
      <c r="E731" s="341">
        <f>SUMIF(GL!$D$6:$D$6487,B731,GL!$H$6:$H$6487)</f>
        <v>0</v>
      </c>
      <c r="F731" s="341">
        <f>SUMIF(GL!$D$6:$D$6487,B731,GL!$I$6:$I$6487)</f>
        <v>0</v>
      </c>
      <c r="G731" s="341"/>
      <c r="H731" s="341"/>
      <c r="I731" s="341">
        <f t="shared" si="758"/>
        <v>0</v>
      </c>
      <c r="J731" s="341">
        <f t="shared" si="759"/>
        <v>0</v>
      </c>
      <c r="K731" s="341"/>
      <c r="L731" s="342"/>
      <c r="M731" s="342"/>
      <c r="N731" s="341">
        <f t="shared" si="753"/>
        <v>0</v>
      </c>
      <c r="O731" s="341">
        <f t="shared" si="754"/>
        <v>0</v>
      </c>
      <c r="P731" s="341">
        <f>SUMIF(GL!$D$6488:$D$6532,B731,GL!$H$6488:$H$6532)</f>
        <v>0</v>
      </c>
      <c r="Q731" s="341">
        <f>SUMIF(GL!$D$6408:$D$6452,B731,GL!$I$6408:$I$6452)</f>
        <v>0</v>
      </c>
      <c r="R731" s="341">
        <f t="shared" ref="R731:S731" si="776">P731+N731</f>
        <v>0</v>
      </c>
      <c r="S731" s="341">
        <f t="shared" si="776"/>
        <v>0</v>
      </c>
      <c r="T731" s="340"/>
      <c r="U731" s="340"/>
      <c r="V731" s="340"/>
      <c r="W731" s="340"/>
      <c r="X731" s="341">
        <f t="shared" si="756"/>
        <v>0</v>
      </c>
      <c r="Y731" s="341">
        <f t="shared" si="757"/>
        <v>0</v>
      </c>
      <c r="Z731" s="331"/>
      <c r="AA731" s="110"/>
      <c r="AB731" s="332"/>
      <c r="AC731" s="332"/>
      <c r="AD731" s="110"/>
      <c r="AE731" s="110"/>
      <c r="AF731" s="110"/>
      <c r="AG731" s="110"/>
      <c r="AH731" s="110"/>
      <c r="AI731" s="110"/>
    </row>
    <row r="732" spans="1:35" ht="13.5" customHeight="1">
      <c r="A732" s="4"/>
      <c r="B732" s="15" t="s">
        <v>5039</v>
      </c>
      <c r="C732" s="212" t="s">
        <v>5040</v>
      </c>
      <c r="D732" s="254">
        <f>SUMIF(GL!$D$5:$D$6505,B732,GL!$G$5:$G$6505)</f>
        <v>0</v>
      </c>
      <c r="E732" s="341">
        <f>SUMIF(GL!$D$6:$D$6487,B732,GL!$H$6:$H$6487)</f>
        <v>0</v>
      </c>
      <c r="F732" s="341">
        <f>SUMIF(GL!$D$6:$D$6487,B732,GL!$I$6:$I$6487)</f>
        <v>0</v>
      </c>
      <c r="G732" s="341"/>
      <c r="H732" s="341"/>
      <c r="I732" s="341">
        <f t="shared" si="758"/>
        <v>0</v>
      </c>
      <c r="J732" s="341">
        <f t="shared" si="759"/>
        <v>0</v>
      </c>
      <c r="K732" s="341"/>
      <c r="L732" s="342"/>
      <c r="M732" s="342"/>
      <c r="N732" s="341">
        <f t="shared" si="753"/>
        <v>0</v>
      </c>
      <c r="O732" s="341">
        <f t="shared" si="754"/>
        <v>0</v>
      </c>
      <c r="P732" s="341">
        <f>SUMIF(GL!$D$6488:$D$6532,B732,GL!$H$6488:$H$6532)</f>
        <v>0</v>
      </c>
      <c r="Q732" s="341">
        <f>SUMIF(GL!$D$6408:$D$6452,B732,GL!$I$6408:$I$6452)</f>
        <v>0</v>
      </c>
      <c r="R732" s="341">
        <f t="shared" ref="R732:S732" si="777">P732+N732</f>
        <v>0</v>
      </c>
      <c r="S732" s="341">
        <f t="shared" si="777"/>
        <v>0</v>
      </c>
      <c r="T732" s="340"/>
      <c r="U732" s="340"/>
      <c r="V732" s="340"/>
      <c r="W732" s="340"/>
      <c r="X732" s="341">
        <f t="shared" si="756"/>
        <v>0</v>
      </c>
      <c r="Y732" s="341">
        <f t="shared" si="757"/>
        <v>0</v>
      </c>
      <c r="Z732" s="331"/>
      <c r="AA732" s="110"/>
      <c r="AB732" s="332"/>
      <c r="AC732" s="332"/>
      <c r="AD732" s="110"/>
      <c r="AE732" s="110"/>
      <c r="AF732" s="110"/>
      <c r="AG732" s="110"/>
      <c r="AH732" s="110"/>
      <c r="AI732" s="110"/>
    </row>
    <row r="733" spans="1:35" ht="13.5" customHeight="1">
      <c r="A733" s="4"/>
      <c r="B733" s="15" t="s">
        <v>5041</v>
      </c>
      <c r="C733" s="212" t="s">
        <v>5042</v>
      </c>
      <c r="D733" s="254">
        <f>SUMIF(GL!$D$5:$D$6505,B733,GL!$G$5:$G$6505)</f>
        <v>0</v>
      </c>
      <c r="E733" s="341">
        <f>SUMIF(GL!$D$6:$D$6487,B733,GL!$H$6:$H$6487)</f>
        <v>0</v>
      </c>
      <c r="F733" s="341">
        <f>SUMIF(GL!$D$6:$D$6487,B733,GL!$I$6:$I$6487)</f>
        <v>0</v>
      </c>
      <c r="G733" s="341"/>
      <c r="H733" s="341"/>
      <c r="I733" s="341">
        <f t="shared" si="758"/>
        <v>0</v>
      </c>
      <c r="J733" s="341">
        <f t="shared" si="759"/>
        <v>0</v>
      </c>
      <c r="K733" s="341"/>
      <c r="L733" s="342"/>
      <c r="M733" s="342"/>
      <c r="N733" s="341">
        <f t="shared" si="753"/>
        <v>0</v>
      </c>
      <c r="O733" s="341">
        <f t="shared" si="754"/>
        <v>0</v>
      </c>
      <c r="P733" s="341">
        <f>SUMIF(GL!$D$6488:$D$6532,B733,GL!$H$6488:$H$6532)</f>
        <v>0</v>
      </c>
      <c r="Q733" s="341">
        <f>SUMIF(GL!$D$6408:$D$6452,B733,GL!$I$6408:$I$6452)</f>
        <v>0</v>
      </c>
      <c r="R733" s="341">
        <f t="shared" ref="R733:S733" si="778">P733+N733</f>
        <v>0</v>
      </c>
      <c r="S733" s="341">
        <f t="shared" si="778"/>
        <v>0</v>
      </c>
      <c r="T733" s="340"/>
      <c r="U733" s="340"/>
      <c r="V733" s="340"/>
      <c r="W733" s="340"/>
      <c r="X733" s="341">
        <f t="shared" si="756"/>
        <v>0</v>
      </c>
      <c r="Y733" s="341">
        <f t="shared" si="757"/>
        <v>0</v>
      </c>
      <c r="Z733" s="331"/>
      <c r="AA733" s="110"/>
      <c r="AB733" s="332"/>
      <c r="AC733" s="332"/>
      <c r="AD733" s="110"/>
      <c r="AE733" s="110"/>
      <c r="AF733" s="110"/>
      <c r="AG733" s="110"/>
      <c r="AH733" s="110"/>
      <c r="AI733" s="110"/>
    </row>
    <row r="734" spans="1:35" ht="13.5" customHeight="1">
      <c r="A734" s="4"/>
      <c r="B734" s="15" t="s">
        <v>5043</v>
      </c>
      <c r="C734" s="212" t="s">
        <v>5044</v>
      </c>
      <c r="D734" s="254">
        <f>SUMIF(GL!$D$5:$D$6505,B734,GL!$G$5:$G$6505)</f>
        <v>0</v>
      </c>
      <c r="E734" s="341">
        <f>SUMIF(GL!$D$6:$D$6487,B734,GL!$H$6:$H$6487)</f>
        <v>0</v>
      </c>
      <c r="F734" s="341">
        <f>SUMIF(GL!$D$6:$D$6487,B734,GL!$I$6:$I$6487)</f>
        <v>0</v>
      </c>
      <c r="G734" s="341"/>
      <c r="H734" s="341"/>
      <c r="I734" s="341">
        <f t="shared" si="758"/>
        <v>0</v>
      </c>
      <c r="J734" s="341">
        <f t="shared" si="759"/>
        <v>0</v>
      </c>
      <c r="K734" s="341"/>
      <c r="L734" s="342"/>
      <c r="M734" s="342"/>
      <c r="N734" s="341">
        <f t="shared" si="753"/>
        <v>0</v>
      </c>
      <c r="O734" s="341">
        <f t="shared" si="754"/>
        <v>0</v>
      </c>
      <c r="P734" s="341">
        <f>SUMIF(GL!$D$6488:$D$6532,B734,GL!$H$6488:$H$6532)</f>
        <v>0</v>
      </c>
      <c r="Q734" s="341">
        <f>SUMIF(GL!$D$6408:$D$6452,B734,GL!$I$6408:$I$6452)</f>
        <v>0</v>
      </c>
      <c r="R734" s="341">
        <f t="shared" ref="R734:S734" si="779">P734+N734</f>
        <v>0</v>
      </c>
      <c r="S734" s="341">
        <f t="shared" si="779"/>
        <v>0</v>
      </c>
      <c r="T734" s="340"/>
      <c r="U734" s="340"/>
      <c r="V734" s="340"/>
      <c r="W734" s="340"/>
      <c r="X734" s="341">
        <f t="shared" si="756"/>
        <v>0</v>
      </c>
      <c r="Y734" s="341">
        <f t="shared" si="757"/>
        <v>0</v>
      </c>
      <c r="Z734" s="331"/>
      <c r="AA734" s="110"/>
      <c r="AB734" s="332"/>
      <c r="AC734" s="332"/>
      <c r="AD734" s="110"/>
      <c r="AE734" s="110"/>
      <c r="AF734" s="110"/>
      <c r="AG734" s="110"/>
      <c r="AH734" s="110"/>
      <c r="AI734" s="110"/>
    </row>
    <row r="735" spans="1:35" ht="13.5" customHeight="1">
      <c r="A735" s="4"/>
      <c r="B735" s="15" t="s">
        <v>5045</v>
      </c>
      <c r="C735" s="212" t="s">
        <v>5046</v>
      </c>
      <c r="D735" s="254">
        <f>SUMIF(GL!$D$5:$D$6505,B735,GL!$G$5:$G$6505)</f>
        <v>0</v>
      </c>
      <c r="E735" s="341">
        <f>SUMIF(GL!$D$6:$D$6487,B735,GL!$H$6:$H$6487)</f>
        <v>0</v>
      </c>
      <c r="F735" s="341">
        <f>SUMIF(GL!$D$6:$D$6487,B735,GL!$I$6:$I$6487)</f>
        <v>0</v>
      </c>
      <c r="G735" s="341"/>
      <c r="H735" s="341"/>
      <c r="I735" s="341">
        <f t="shared" si="758"/>
        <v>0</v>
      </c>
      <c r="J735" s="341">
        <f t="shared" si="759"/>
        <v>0</v>
      </c>
      <c r="K735" s="341"/>
      <c r="L735" s="342"/>
      <c r="M735" s="342"/>
      <c r="N735" s="341">
        <f t="shared" si="753"/>
        <v>0</v>
      </c>
      <c r="O735" s="341">
        <f t="shared" si="754"/>
        <v>0</v>
      </c>
      <c r="P735" s="341">
        <f>SUMIF(GL!$D$6488:$D$6532,B735,GL!$H$6488:$H$6532)</f>
        <v>0</v>
      </c>
      <c r="Q735" s="341">
        <f>SUMIF(GL!$D$6408:$D$6452,B735,GL!$I$6408:$I$6452)</f>
        <v>0</v>
      </c>
      <c r="R735" s="341">
        <f t="shared" ref="R735:S735" si="780">P735+N735</f>
        <v>0</v>
      </c>
      <c r="S735" s="341">
        <f t="shared" si="780"/>
        <v>0</v>
      </c>
      <c r="T735" s="340"/>
      <c r="U735" s="340"/>
      <c r="V735" s="340"/>
      <c r="W735" s="340"/>
      <c r="X735" s="341">
        <f t="shared" si="756"/>
        <v>0</v>
      </c>
      <c r="Y735" s="341">
        <f t="shared" si="757"/>
        <v>0</v>
      </c>
      <c r="Z735" s="331"/>
      <c r="AA735" s="110"/>
      <c r="AB735" s="332"/>
      <c r="AC735" s="332"/>
      <c r="AD735" s="110"/>
      <c r="AE735" s="110"/>
      <c r="AF735" s="110"/>
      <c r="AG735" s="110"/>
      <c r="AH735" s="110"/>
      <c r="AI735" s="110"/>
    </row>
    <row r="736" spans="1:35" ht="13.5" customHeight="1">
      <c r="A736" s="4"/>
      <c r="B736" s="15" t="s">
        <v>5047</v>
      </c>
      <c r="C736" s="212" t="s">
        <v>5048</v>
      </c>
      <c r="D736" s="254">
        <f>SUMIF(GL!$D$5:$D$6505,B736,GL!$G$5:$G$6505)</f>
        <v>0</v>
      </c>
      <c r="E736" s="341">
        <f>SUMIF(GL!$D$6:$D$6487,B736,GL!$H$6:$H$6487)</f>
        <v>0</v>
      </c>
      <c r="F736" s="341">
        <f>SUMIF(GL!$D$6:$D$6487,B736,GL!$I$6:$I$6487)</f>
        <v>0</v>
      </c>
      <c r="G736" s="341"/>
      <c r="H736" s="341"/>
      <c r="I736" s="341">
        <f t="shared" si="758"/>
        <v>0</v>
      </c>
      <c r="J736" s="341">
        <f t="shared" si="759"/>
        <v>0</v>
      </c>
      <c r="K736" s="341"/>
      <c r="L736" s="342"/>
      <c r="M736" s="342"/>
      <c r="N736" s="341">
        <f t="shared" si="753"/>
        <v>0</v>
      </c>
      <c r="O736" s="341">
        <f t="shared" si="754"/>
        <v>0</v>
      </c>
      <c r="P736" s="341">
        <f>SUMIF(GL!$D$6488:$D$6532,B736,GL!$H$6488:$H$6532)</f>
        <v>0</v>
      </c>
      <c r="Q736" s="341">
        <f>SUMIF(GL!$D$6408:$D$6452,B736,GL!$I$6408:$I$6452)</f>
        <v>0</v>
      </c>
      <c r="R736" s="341">
        <f t="shared" ref="R736:S736" si="781">P736+N736</f>
        <v>0</v>
      </c>
      <c r="S736" s="341">
        <f t="shared" si="781"/>
        <v>0</v>
      </c>
      <c r="T736" s="340"/>
      <c r="U736" s="340"/>
      <c r="V736" s="340"/>
      <c r="W736" s="340"/>
      <c r="X736" s="341">
        <f t="shared" si="756"/>
        <v>0</v>
      </c>
      <c r="Y736" s="341">
        <f t="shared" si="757"/>
        <v>0</v>
      </c>
      <c r="Z736" s="331"/>
      <c r="AA736" s="110"/>
      <c r="AB736" s="332"/>
      <c r="AC736" s="332"/>
      <c r="AD736" s="110"/>
      <c r="AE736" s="110"/>
      <c r="AF736" s="110"/>
      <c r="AG736" s="110"/>
      <c r="AH736" s="110"/>
      <c r="AI736" s="110"/>
    </row>
    <row r="737" spans="1:35" ht="13.5" customHeight="1">
      <c r="A737" s="4"/>
      <c r="B737" s="15" t="s">
        <v>5049</v>
      </c>
      <c r="C737" s="212" t="s">
        <v>5050</v>
      </c>
      <c r="D737" s="254">
        <f>SUMIF(GL!$D$5:$D$6505,B737,GL!$G$5:$G$6505)</f>
        <v>0</v>
      </c>
      <c r="E737" s="341">
        <f>SUMIF(GL!$D$6:$D$6487,B737,GL!$H$6:$H$6487)</f>
        <v>0</v>
      </c>
      <c r="F737" s="341">
        <f>SUMIF(GL!$D$6:$D$6487,B737,GL!$I$6:$I$6487)</f>
        <v>0</v>
      </c>
      <c r="G737" s="341"/>
      <c r="H737" s="341"/>
      <c r="I737" s="341">
        <f t="shared" si="758"/>
        <v>0</v>
      </c>
      <c r="J737" s="341">
        <f t="shared" si="759"/>
        <v>0</v>
      </c>
      <c r="K737" s="341"/>
      <c r="L737" s="342"/>
      <c r="M737" s="342"/>
      <c r="N737" s="341">
        <f t="shared" si="753"/>
        <v>0</v>
      </c>
      <c r="O737" s="341">
        <f t="shared" si="754"/>
        <v>0</v>
      </c>
      <c r="P737" s="341">
        <f>SUMIF(GL!$D$6488:$D$6532,B737,GL!$H$6488:$H$6532)</f>
        <v>0</v>
      </c>
      <c r="Q737" s="341">
        <f>SUMIF(GL!$D$6408:$D$6452,B737,GL!$I$6408:$I$6452)</f>
        <v>0</v>
      </c>
      <c r="R737" s="341">
        <f t="shared" ref="R737:S737" si="782">P737+N737</f>
        <v>0</v>
      </c>
      <c r="S737" s="341">
        <f t="shared" si="782"/>
        <v>0</v>
      </c>
      <c r="T737" s="340"/>
      <c r="U737" s="340"/>
      <c r="V737" s="340"/>
      <c r="W737" s="340"/>
      <c r="X737" s="341">
        <f t="shared" si="756"/>
        <v>0</v>
      </c>
      <c r="Y737" s="341">
        <f t="shared" si="757"/>
        <v>0</v>
      </c>
      <c r="Z737" s="331"/>
      <c r="AA737" s="110"/>
      <c r="AB737" s="332"/>
      <c r="AC737" s="332"/>
      <c r="AD737" s="110"/>
      <c r="AE737" s="110"/>
      <c r="AF737" s="110"/>
      <c r="AG737" s="110"/>
      <c r="AH737" s="110"/>
      <c r="AI737" s="110"/>
    </row>
    <row r="738" spans="1:35" ht="13.5" customHeight="1">
      <c r="A738" s="4"/>
      <c r="B738" s="15" t="s">
        <v>5051</v>
      </c>
      <c r="C738" s="328" t="s">
        <v>5052</v>
      </c>
      <c r="D738" s="254">
        <f>SUMIF(GL!$D$5:$D$6505,B738,GL!$G$5:$G$6505)</f>
        <v>0</v>
      </c>
      <c r="E738" s="341">
        <f>SUMIF(GL!$D$6:$D$6487,B738,GL!$H$6:$H$6487)</f>
        <v>0</v>
      </c>
      <c r="F738" s="341">
        <f>SUMIF(GL!$D$6:$D$6487,B738,GL!$I$6:$I$6487)</f>
        <v>0</v>
      </c>
      <c r="G738" s="341"/>
      <c r="H738" s="341"/>
      <c r="I738" s="341">
        <f t="shared" si="758"/>
        <v>0</v>
      </c>
      <c r="J738" s="341">
        <f t="shared" si="759"/>
        <v>0</v>
      </c>
      <c r="K738" s="341"/>
      <c r="L738" s="342"/>
      <c r="M738" s="342"/>
      <c r="N738" s="341">
        <f t="shared" si="753"/>
        <v>0</v>
      </c>
      <c r="O738" s="341">
        <f t="shared" si="754"/>
        <v>0</v>
      </c>
      <c r="P738" s="341">
        <f>SUMIF(GL!$D$6488:$D$6532,B738,GL!$H$6488:$H$6532)</f>
        <v>0</v>
      </c>
      <c r="Q738" s="341">
        <f>SUMIF(GL!$D$6408:$D$6452,B738,GL!$I$6408:$I$6452)</f>
        <v>0</v>
      </c>
      <c r="R738" s="341">
        <f t="shared" ref="R738:S738" si="783">P738+N738</f>
        <v>0</v>
      </c>
      <c r="S738" s="341">
        <f t="shared" si="783"/>
        <v>0</v>
      </c>
      <c r="T738" s="340"/>
      <c r="U738" s="340"/>
      <c r="V738" s="340"/>
      <c r="W738" s="340"/>
      <c r="X738" s="341">
        <f t="shared" si="756"/>
        <v>0</v>
      </c>
      <c r="Y738" s="341">
        <f t="shared" si="757"/>
        <v>0</v>
      </c>
      <c r="Z738" s="331"/>
      <c r="AA738" s="110"/>
      <c r="AB738" s="332"/>
      <c r="AC738" s="332"/>
      <c r="AD738" s="110"/>
      <c r="AE738" s="110"/>
      <c r="AF738" s="110"/>
      <c r="AG738" s="110"/>
      <c r="AH738" s="110"/>
      <c r="AI738" s="110"/>
    </row>
    <row r="739" spans="1:35" ht="13.5" customHeight="1">
      <c r="A739" s="4"/>
      <c r="B739" s="15" t="s">
        <v>5053</v>
      </c>
      <c r="C739" s="378" t="s">
        <v>5054</v>
      </c>
      <c r="D739" s="254">
        <f>SUMIF(GL!$D$5:$D$6505,B739,GL!$G$5:$G$6505)</f>
        <v>0</v>
      </c>
      <c r="E739" s="341">
        <f>SUMIF(GL!$D$6:$D$6487,B739,GL!$H$6:$H$6487)</f>
        <v>0</v>
      </c>
      <c r="F739" s="341">
        <f>SUMIF(GL!$D$6:$D$6487,B739,GL!$I$6:$I$6487)</f>
        <v>0</v>
      </c>
      <c r="G739" s="341"/>
      <c r="H739" s="341"/>
      <c r="I739" s="341">
        <f t="shared" si="758"/>
        <v>0</v>
      </c>
      <c r="J739" s="341">
        <f t="shared" si="759"/>
        <v>0</v>
      </c>
      <c r="K739" s="341"/>
      <c r="L739" s="342"/>
      <c r="M739" s="342"/>
      <c r="N739" s="341">
        <f t="shared" si="753"/>
        <v>0</v>
      </c>
      <c r="O739" s="341">
        <f t="shared" si="754"/>
        <v>0</v>
      </c>
      <c r="P739" s="341">
        <f>SUMIF(GL!$D$6488:$D$6532,B739,GL!$H$6488:$H$6532)</f>
        <v>0</v>
      </c>
      <c r="Q739" s="341">
        <f>SUMIF(GL!$D$6408:$D$6452,B739,GL!$I$6408:$I$6452)</f>
        <v>0</v>
      </c>
      <c r="R739" s="341">
        <f t="shared" ref="R739:S739" si="784">P739+N739</f>
        <v>0</v>
      </c>
      <c r="S739" s="341">
        <f t="shared" si="784"/>
        <v>0</v>
      </c>
      <c r="T739" s="340"/>
      <c r="U739" s="340"/>
      <c r="V739" s="340"/>
      <c r="W739" s="340"/>
      <c r="X739" s="341">
        <f t="shared" si="756"/>
        <v>0</v>
      </c>
      <c r="Y739" s="341">
        <f t="shared" si="757"/>
        <v>0</v>
      </c>
      <c r="Z739" s="331"/>
      <c r="AA739" s="110"/>
      <c r="AB739" s="332"/>
      <c r="AC739" s="332"/>
      <c r="AD739" s="110"/>
      <c r="AE739" s="110"/>
      <c r="AF739" s="110"/>
      <c r="AG739" s="110"/>
      <c r="AH739" s="110"/>
      <c r="AI739" s="110"/>
    </row>
    <row r="740" spans="1:35" ht="13.5" customHeight="1">
      <c r="A740" s="2"/>
      <c r="B740" s="15" t="s">
        <v>5055</v>
      </c>
      <c r="C740" s="376" t="s">
        <v>5056</v>
      </c>
      <c r="D740" s="254">
        <f>SUMIF(GL!$D$5:$D$6505,B740,GL!$G$5:$G$6505)</f>
        <v>0</v>
      </c>
      <c r="E740" s="341">
        <f>SUMIF(GL!$D$6:$D$6487,B740,GL!$H$6:$H$6487)</f>
        <v>0</v>
      </c>
      <c r="F740" s="341">
        <f>SUMIF(GL!$D$6:$D$6487,B740,GL!$I$6:$I$6487)</f>
        <v>0</v>
      </c>
      <c r="G740" s="341"/>
      <c r="H740" s="341"/>
      <c r="I740" s="341">
        <f t="shared" si="758"/>
        <v>0</v>
      </c>
      <c r="J740" s="341">
        <f t="shared" si="759"/>
        <v>0</v>
      </c>
      <c r="K740" s="341"/>
      <c r="L740" s="342"/>
      <c r="M740" s="342"/>
      <c r="N740" s="341">
        <f t="shared" si="753"/>
        <v>0</v>
      </c>
      <c r="O740" s="341">
        <f t="shared" si="754"/>
        <v>0</v>
      </c>
      <c r="P740" s="341">
        <f>SUMIF(GL!$D$6488:$D$6532,B740,GL!$H$6488:$H$6532)</f>
        <v>0</v>
      </c>
      <c r="Q740" s="341">
        <f>SUMIF(GL!$D$6408:$D$6452,B740,GL!$I$6408:$I$6452)</f>
        <v>0</v>
      </c>
      <c r="R740" s="341">
        <f t="shared" ref="R740:S740" si="785">P740+N740</f>
        <v>0</v>
      </c>
      <c r="S740" s="341">
        <f t="shared" si="785"/>
        <v>0</v>
      </c>
      <c r="T740" s="340"/>
      <c r="U740" s="340"/>
      <c r="V740" s="340"/>
      <c r="W740" s="340"/>
      <c r="X740" s="341">
        <f t="shared" si="756"/>
        <v>0</v>
      </c>
      <c r="Y740" s="341">
        <f t="shared" si="757"/>
        <v>0</v>
      </c>
      <c r="Z740" s="331"/>
      <c r="AA740" s="110"/>
      <c r="AB740" s="352"/>
      <c r="AC740" s="352"/>
      <c r="AD740" s="351"/>
      <c r="AE740" s="351"/>
      <c r="AF740" s="351"/>
      <c r="AG740" s="351"/>
      <c r="AH740" s="351"/>
      <c r="AI740" s="351"/>
    </row>
    <row r="741" spans="1:35" ht="13.5" customHeight="1">
      <c r="A741" s="2"/>
      <c r="B741" s="15" t="s">
        <v>5057</v>
      </c>
      <c r="C741" s="376" t="s">
        <v>5058</v>
      </c>
      <c r="D741" s="254">
        <f>SUMIF(GL!$D$5:$D$6505,B741,GL!$G$5:$G$6505)</f>
        <v>0</v>
      </c>
      <c r="E741" s="341">
        <f>SUMIF(GL!$D$6:$D$6487,B741,GL!$H$6:$H$6487)</f>
        <v>0</v>
      </c>
      <c r="F741" s="341">
        <f>SUMIF(GL!$D$6:$D$6487,B741,GL!$I$6:$I$6487)</f>
        <v>0</v>
      </c>
      <c r="G741" s="341"/>
      <c r="H741" s="341"/>
      <c r="I741" s="341">
        <f t="shared" si="758"/>
        <v>0</v>
      </c>
      <c r="J741" s="341">
        <f t="shared" si="759"/>
        <v>0</v>
      </c>
      <c r="K741" s="341"/>
      <c r="L741" s="342"/>
      <c r="M741" s="342"/>
      <c r="N741" s="341">
        <f t="shared" si="753"/>
        <v>0</v>
      </c>
      <c r="O741" s="341">
        <f t="shared" si="754"/>
        <v>0</v>
      </c>
      <c r="P741" s="341">
        <f>SUMIF(GL!$D$6488:$D$6532,B741,GL!$H$6488:$H$6532)</f>
        <v>0</v>
      </c>
      <c r="Q741" s="341">
        <f>SUMIF(GL!$D$6408:$D$6452,B741,GL!$I$6408:$I$6452)</f>
        <v>0</v>
      </c>
      <c r="R741" s="341">
        <f t="shared" ref="R741:S741" si="786">P741+N741</f>
        <v>0</v>
      </c>
      <c r="S741" s="341">
        <f t="shared" si="786"/>
        <v>0</v>
      </c>
      <c r="T741" s="340"/>
      <c r="U741" s="340"/>
      <c r="V741" s="340"/>
      <c r="W741" s="340"/>
      <c r="X741" s="341">
        <f t="shared" si="756"/>
        <v>0</v>
      </c>
      <c r="Y741" s="341">
        <f t="shared" si="757"/>
        <v>0</v>
      </c>
      <c r="Z741" s="331"/>
      <c r="AA741" s="110"/>
      <c r="AB741" s="352"/>
      <c r="AC741" s="352"/>
      <c r="AD741" s="351"/>
      <c r="AE741" s="351"/>
      <c r="AF741" s="351"/>
      <c r="AG741" s="351"/>
      <c r="AH741" s="351"/>
      <c r="AI741" s="351"/>
    </row>
    <row r="742" spans="1:35" ht="13.5" customHeight="1">
      <c r="A742" s="2"/>
      <c r="B742" s="15" t="s">
        <v>5059</v>
      </c>
      <c r="C742" s="376" t="s">
        <v>5060</v>
      </c>
      <c r="D742" s="254">
        <f>SUMIF(GL!$D$5:$D$6505,B742,GL!$G$5:$G$6505)</f>
        <v>0</v>
      </c>
      <c r="E742" s="341">
        <f>SUMIF(GL!$D$6:$D$6487,B742,GL!$H$6:$H$6487)</f>
        <v>0</v>
      </c>
      <c r="F742" s="341">
        <f>SUMIF(GL!$D$6:$D$6487,B742,GL!$I$6:$I$6487)</f>
        <v>0</v>
      </c>
      <c r="G742" s="341"/>
      <c r="H742" s="341"/>
      <c r="I742" s="341">
        <f t="shared" si="758"/>
        <v>0</v>
      </c>
      <c r="J742" s="341">
        <f t="shared" si="759"/>
        <v>0</v>
      </c>
      <c r="K742" s="341"/>
      <c r="L742" s="342"/>
      <c r="M742" s="342"/>
      <c r="N742" s="341">
        <f t="shared" si="753"/>
        <v>0</v>
      </c>
      <c r="O742" s="341">
        <f t="shared" si="754"/>
        <v>0</v>
      </c>
      <c r="P742" s="341">
        <f>SUMIF(GL!$D$6488:$D$6532,B742,GL!$H$6488:$H$6532)</f>
        <v>0</v>
      </c>
      <c r="Q742" s="341">
        <f>SUMIF(GL!$D$6408:$D$6452,B742,GL!$I$6408:$I$6452)</f>
        <v>0</v>
      </c>
      <c r="R742" s="341">
        <f t="shared" ref="R742:S742" si="787">P742+N742</f>
        <v>0</v>
      </c>
      <c r="S742" s="341">
        <f t="shared" si="787"/>
        <v>0</v>
      </c>
      <c r="T742" s="340"/>
      <c r="U742" s="340"/>
      <c r="V742" s="340"/>
      <c r="W742" s="340"/>
      <c r="X742" s="341">
        <f t="shared" si="756"/>
        <v>0</v>
      </c>
      <c r="Y742" s="341">
        <f t="shared" si="757"/>
        <v>0</v>
      </c>
      <c r="Z742" s="331"/>
      <c r="AA742" s="110"/>
      <c r="AB742" s="352"/>
      <c r="AC742" s="352"/>
      <c r="AD742" s="351"/>
      <c r="AE742" s="351"/>
      <c r="AF742" s="351"/>
      <c r="AG742" s="351"/>
      <c r="AH742" s="351"/>
      <c r="AI742" s="351"/>
    </row>
    <row r="743" spans="1:35" ht="13.5" customHeight="1">
      <c r="A743" s="2"/>
      <c r="B743" s="15" t="s">
        <v>5061</v>
      </c>
      <c r="C743" s="376" t="s">
        <v>5062</v>
      </c>
      <c r="D743" s="254">
        <f>SUMIF(GL!$D$5:$D$6505,B743,GL!$G$5:$G$6505)</f>
        <v>0</v>
      </c>
      <c r="E743" s="341">
        <f>SUMIF(GL!$D$6:$D$6487,B743,GL!$H$6:$H$6487)</f>
        <v>0</v>
      </c>
      <c r="F743" s="341">
        <f>SUMIF(GL!$D$6:$D$6487,B743,GL!$I$6:$I$6487)</f>
        <v>0</v>
      </c>
      <c r="G743" s="341"/>
      <c r="H743" s="341"/>
      <c r="I743" s="341">
        <f t="shared" si="758"/>
        <v>0</v>
      </c>
      <c r="J743" s="341">
        <f t="shared" si="759"/>
        <v>0</v>
      </c>
      <c r="K743" s="341"/>
      <c r="L743" s="342"/>
      <c r="M743" s="342"/>
      <c r="N743" s="341">
        <f t="shared" si="753"/>
        <v>0</v>
      </c>
      <c r="O743" s="341">
        <f t="shared" si="754"/>
        <v>0</v>
      </c>
      <c r="P743" s="341">
        <f>SUMIF(GL!$D$6488:$D$6532,B743,GL!$H$6488:$H$6532)</f>
        <v>0</v>
      </c>
      <c r="Q743" s="341">
        <f>SUMIF(GL!$D$6408:$D$6452,B743,GL!$I$6408:$I$6452)</f>
        <v>0</v>
      </c>
      <c r="R743" s="341">
        <f t="shared" ref="R743:S743" si="788">P743+N743</f>
        <v>0</v>
      </c>
      <c r="S743" s="341">
        <f t="shared" si="788"/>
        <v>0</v>
      </c>
      <c r="T743" s="340"/>
      <c r="U743" s="340"/>
      <c r="V743" s="340"/>
      <c r="W743" s="340"/>
      <c r="X743" s="341">
        <f t="shared" si="756"/>
        <v>0</v>
      </c>
      <c r="Y743" s="341">
        <f t="shared" si="757"/>
        <v>0</v>
      </c>
      <c r="Z743" s="331"/>
      <c r="AA743" s="110"/>
      <c r="AB743" s="352"/>
      <c r="AC743" s="352"/>
      <c r="AD743" s="351"/>
      <c r="AE743" s="351"/>
      <c r="AF743" s="351"/>
      <c r="AG743" s="351"/>
      <c r="AH743" s="351"/>
      <c r="AI743" s="351"/>
    </row>
    <row r="744" spans="1:35" ht="13.5" customHeight="1">
      <c r="A744" s="2"/>
      <c r="B744" s="15" t="s">
        <v>5063</v>
      </c>
      <c r="C744" s="376" t="s">
        <v>5064</v>
      </c>
      <c r="D744" s="254">
        <f>SUMIF(GL!$D$5:$D$6505,B744,GL!$G$5:$G$6505)</f>
        <v>0</v>
      </c>
      <c r="E744" s="341">
        <f>SUMIF(GL!$D$6:$D$6487,B744,GL!$H$6:$H$6487)</f>
        <v>0</v>
      </c>
      <c r="F744" s="341">
        <f>SUMIF(GL!$D$6:$D$6487,B744,GL!$I$6:$I$6487)</f>
        <v>0</v>
      </c>
      <c r="G744" s="341"/>
      <c r="H744" s="341"/>
      <c r="I744" s="341">
        <f t="shared" si="758"/>
        <v>0</v>
      </c>
      <c r="J744" s="341">
        <f t="shared" si="759"/>
        <v>0</v>
      </c>
      <c r="K744" s="341"/>
      <c r="L744" s="342"/>
      <c r="M744" s="342"/>
      <c r="N744" s="341">
        <f t="shared" si="753"/>
        <v>0</v>
      </c>
      <c r="O744" s="341">
        <f t="shared" si="754"/>
        <v>0</v>
      </c>
      <c r="P744" s="341">
        <f>SUMIF(GL!$D$6488:$D$6532,B744,GL!$H$6488:$H$6532)</f>
        <v>0</v>
      </c>
      <c r="Q744" s="341">
        <f>SUMIF(GL!$D$6408:$D$6452,B744,GL!$I$6408:$I$6452)</f>
        <v>0</v>
      </c>
      <c r="R744" s="341">
        <f t="shared" ref="R744:S744" si="789">P744+N744</f>
        <v>0</v>
      </c>
      <c r="S744" s="341">
        <f t="shared" si="789"/>
        <v>0</v>
      </c>
      <c r="T744" s="340"/>
      <c r="U744" s="340"/>
      <c r="V744" s="340"/>
      <c r="W744" s="340"/>
      <c r="X744" s="341">
        <f t="shared" si="756"/>
        <v>0</v>
      </c>
      <c r="Y744" s="341">
        <f t="shared" si="757"/>
        <v>0</v>
      </c>
      <c r="Z744" s="331"/>
      <c r="AA744" s="110"/>
      <c r="AB744" s="352"/>
      <c r="AC744" s="352"/>
      <c r="AD744" s="351"/>
      <c r="AE744" s="351"/>
      <c r="AF744" s="351"/>
      <c r="AG744" s="351"/>
      <c r="AH744" s="351"/>
      <c r="AI744" s="351"/>
    </row>
    <row r="745" spans="1:35" ht="13.5" customHeight="1">
      <c r="A745" s="2"/>
      <c r="B745" s="15" t="s">
        <v>5065</v>
      </c>
      <c r="C745" s="376" t="s">
        <v>5066</v>
      </c>
      <c r="D745" s="254">
        <f>SUMIF(GL!$D$5:$D$6505,B745,GL!$G$5:$G$6505)</f>
        <v>0</v>
      </c>
      <c r="E745" s="341">
        <f>SUMIF(GL!$D$6:$D$6487,B745,GL!$H$6:$H$6487)</f>
        <v>0</v>
      </c>
      <c r="F745" s="341">
        <f>SUMIF(GL!$D$6:$D$6487,B745,GL!$I$6:$I$6487)</f>
        <v>0</v>
      </c>
      <c r="G745" s="341"/>
      <c r="H745" s="341"/>
      <c r="I745" s="341">
        <f t="shared" si="758"/>
        <v>0</v>
      </c>
      <c r="J745" s="341">
        <f t="shared" si="759"/>
        <v>0</v>
      </c>
      <c r="K745" s="341"/>
      <c r="L745" s="342"/>
      <c r="M745" s="342"/>
      <c r="N745" s="341">
        <f t="shared" si="753"/>
        <v>0</v>
      </c>
      <c r="O745" s="341">
        <f t="shared" si="754"/>
        <v>0</v>
      </c>
      <c r="P745" s="341">
        <f>SUMIF(GL!$D$6488:$D$6532,B745,GL!$H$6488:$H$6532)</f>
        <v>0</v>
      </c>
      <c r="Q745" s="341">
        <f>SUMIF(GL!$D$6408:$D$6452,B745,GL!$I$6408:$I$6452)</f>
        <v>0</v>
      </c>
      <c r="R745" s="341">
        <f t="shared" ref="R745:S745" si="790">P745+N745</f>
        <v>0</v>
      </c>
      <c r="S745" s="341">
        <f t="shared" si="790"/>
        <v>0</v>
      </c>
      <c r="T745" s="340"/>
      <c r="U745" s="340"/>
      <c r="V745" s="340"/>
      <c r="W745" s="340"/>
      <c r="X745" s="341">
        <f t="shared" si="756"/>
        <v>0</v>
      </c>
      <c r="Y745" s="341">
        <f t="shared" si="757"/>
        <v>0</v>
      </c>
      <c r="Z745" s="331"/>
      <c r="AA745" s="110"/>
      <c r="AB745" s="352"/>
      <c r="AC745" s="352"/>
      <c r="AD745" s="351"/>
      <c r="AE745" s="351"/>
      <c r="AF745" s="351"/>
      <c r="AG745" s="351"/>
      <c r="AH745" s="351"/>
      <c r="AI745" s="351"/>
    </row>
    <row r="746" spans="1:35" ht="13.5" customHeight="1">
      <c r="A746" s="2"/>
      <c r="B746" s="15" t="s">
        <v>5067</v>
      </c>
      <c r="C746" s="376" t="s">
        <v>5068</v>
      </c>
      <c r="D746" s="254">
        <f>SUMIF(GL!$D$5:$D$6505,B746,GL!$G$5:$G$6505)</f>
        <v>0</v>
      </c>
      <c r="E746" s="341">
        <f>SUMIF(GL!$D$6:$D$6487,B746,GL!$H$6:$H$6487)</f>
        <v>0</v>
      </c>
      <c r="F746" s="341">
        <f>SUMIF(GL!$D$6:$D$6487,B746,GL!$I$6:$I$6487)</f>
        <v>0</v>
      </c>
      <c r="G746" s="341"/>
      <c r="H746" s="341"/>
      <c r="I746" s="341">
        <f t="shared" si="758"/>
        <v>0</v>
      </c>
      <c r="J746" s="341">
        <f t="shared" si="759"/>
        <v>0</v>
      </c>
      <c r="K746" s="341"/>
      <c r="L746" s="342"/>
      <c r="M746" s="342"/>
      <c r="N746" s="341">
        <f t="shared" si="753"/>
        <v>0</v>
      </c>
      <c r="O746" s="341">
        <f t="shared" si="754"/>
        <v>0</v>
      </c>
      <c r="P746" s="341">
        <f>SUMIF(GL!$D$6488:$D$6532,B746,GL!$H$6488:$H$6532)</f>
        <v>0</v>
      </c>
      <c r="Q746" s="341">
        <f>SUMIF(GL!$D$6408:$D$6452,B746,GL!$I$6408:$I$6452)</f>
        <v>0</v>
      </c>
      <c r="R746" s="341">
        <f t="shared" ref="R746:S746" si="791">P746+N746</f>
        <v>0</v>
      </c>
      <c r="S746" s="341">
        <f t="shared" si="791"/>
        <v>0</v>
      </c>
      <c r="T746" s="340"/>
      <c r="U746" s="340"/>
      <c r="V746" s="340"/>
      <c r="W746" s="340"/>
      <c r="X746" s="341">
        <f t="shared" si="756"/>
        <v>0</v>
      </c>
      <c r="Y746" s="341">
        <f t="shared" si="757"/>
        <v>0</v>
      </c>
      <c r="Z746" s="331"/>
      <c r="AA746" s="110"/>
      <c r="AB746" s="352"/>
      <c r="AC746" s="352"/>
      <c r="AD746" s="351"/>
      <c r="AE746" s="351"/>
      <c r="AF746" s="351"/>
      <c r="AG746" s="351"/>
      <c r="AH746" s="351"/>
      <c r="AI746" s="351"/>
    </row>
    <row r="747" spans="1:35" ht="13.5" customHeight="1">
      <c r="A747" s="2"/>
      <c r="B747" s="15" t="s">
        <v>5069</v>
      </c>
      <c r="C747" s="376" t="s">
        <v>5070</v>
      </c>
      <c r="D747" s="254">
        <f>SUMIF(GL!$D$5:$D$6505,B747,GL!$G$5:$G$6505)</f>
        <v>0</v>
      </c>
      <c r="E747" s="341">
        <f>SUMIF(GL!$D$6:$D$6487,B747,GL!$H$6:$H$6487)</f>
        <v>0</v>
      </c>
      <c r="F747" s="341">
        <f>SUMIF(GL!$D$6:$D$6487,B747,GL!$I$6:$I$6487)</f>
        <v>0</v>
      </c>
      <c r="G747" s="341"/>
      <c r="H747" s="341"/>
      <c r="I747" s="341">
        <f t="shared" si="758"/>
        <v>0</v>
      </c>
      <c r="J747" s="341">
        <f t="shared" si="759"/>
        <v>0</v>
      </c>
      <c r="K747" s="341"/>
      <c r="L747" s="342"/>
      <c r="M747" s="342"/>
      <c r="N747" s="341">
        <f t="shared" si="753"/>
        <v>0</v>
      </c>
      <c r="O747" s="341">
        <f t="shared" si="754"/>
        <v>0</v>
      </c>
      <c r="P747" s="341">
        <f>SUMIF(GL!$D$6488:$D$6532,B747,GL!$H$6488:$H$6532)</f>
        <v>0</v>
      </c>
      <c r="Q747" s="341">
        <f>SUMIF(GL!$D$6408:$D$6452,B747,GL!$I$6408:$I$6452)</f>
        <v>0</v>
      </c>
      <c r="R747" s="341">
        <f t="shared" ref="R747:S747" si="792">P747+N747</f>
        <v>0</v>
      </c>
      <c r="S747" s="341">
        <f t="shared" si="792"/>
        <v>0</v>
      </c>
      <c r="T747" s="340"/>
      <c r="U747" s="340"/>
      <c r="V747" s="340"/>
      <c r="W747" s="340"/>
      <c r="X747" s="341">
        <f t="shared" si="756"/>
        <v>0</v>
      </c>
      <c r="Y747" s="341">
        <f t="shared" si="757"/>
        <v>0</v>
      </c>
      <c r="Z747" s="331"/>
      <c r="AA747" s="110"/>
      <c r="AB747" s="352"/>
      <c r="AC747" s="352"/>
      <c r="AD747" s="351"/>
      <c r="AE747" s="351"/>
      <c r="AF747" s="351"/>
      <c r="AG747" s="351"/>
      <c r="AH747" s="351"/>
      <c r="AI747" s="351"/>
    </row>
    <row r="748" spans="1:35" ht="13.5" customHeight="1">
      <c r="A748" s="2"/>
      <c r="B748" s="15" t="s">
        <v>5071</v>
      </c>
      <c r="C748" s="376" t="s">
        <v>5072</v>
      </c>
      <c r="D748" s="254">
        <f>SUMIF(GL!$D$5:$D$6505,B748,GL!$G$5:$G$6505)</f>
        <v>0</v>
      </c>
      <c r="E748" s="341">
        <f>SUMIF(GL!$D$6:$D$6487,B748,GL!$H$6:$H$6487)</f>
        <v>0</v>
      </c>
      <c r="F748" s="341">
        <f>SUMIF(GL!$D$6:$D$6487,B748,GL!$I$6:$I$6487)</f>
        <v>0</v>
      </c>
      <c r="G748" s="341"/>
      <c r="H748" s="341"/>
      <c r="I748" s="341">
        <f t="shared" si="758"/>
        <v>0</v>
      </c>
      <c r="J748" s="341">
        <f t="shared" si="759"/>
        <v>0</v>
      </c>
      <c r="K748" s="341"/>
      <c r="L748" s="342"/>
      <c r="M748" s="342"/>
      <c r="N748" s="341">
        <f t="shared" si="753"/>
        <v>0</v>
      </c>
      <c r="O748" s="341">
        <f t="shared" si="754"/>
        <v>0</v>
      </c>
      <c r="P748" s="341">
        <f>SUMIF(GL!$D$6488:$D$6532,B748,GL!$H$6488:$H$6532)</f>
        <v>0</v>
      </c>
      <c r="Q748" s="341">
        <f>SUMIF(GL!$D$6408:$D$6452,B748,GL!$I$6408:$I$6452)</f>
        <v>0</v>
      </c>
      <c r="R748" s="341">
        <f t="shared" ref="R748:S748" si="793">P748+N748</f>
        <v>0</v>
      </c>
      <c r="S748" s="341">
        <f t="shared" si="793"/>
        <v>0</v>
      </c>
      <c r="T748" s="340"/>
      <c r="U748" s="340"/>
      <c r="V748" s="340"/>
      <c r="W748" s="340"/>
      <c r="X748" s="341">
        <f t="shared" si="756"/>
        <v>0</v>
      </c>
      <c r="Y748" s="341">
        <f t="shared" si="757"/>
        <v>0</v>
      </c>
      <c r="Z748" s="331"/>
      <c r="AA748" s="110"/>
      <c r="AB748" s="352"/>
      <c r="AC748" s="352"/>
      <c r="AD748" s="351"/>
      <c r="AE748" s="351"/>
      <c r="AF748" s="351"/>
      <c r="AG748" s="351"/>
      <c r="AH748" s="351"/>
      <c r="AI748" s="351"/>
    </row>
    <row r="749" spans="1:35" ht="13.5" customHeight="1">
      <c r="A749" s="2"/>
      <c r="B749" s="15" t="s">
        <v>5073</v>
      </c>
      <c r="C749" s="376" t="s">
        <v>5074</v>
      </c>
      <c r="D749" s="254">
        <f>SUMIF(GL!$D$5:$D$6505,B749,GL!$G$5:$G$6505)</f>
        <v>0</v>
      </c>
      <c r="E749" s="341">
        <f>SUMIF(GL!$D$6:$D$6487,B749,GL!$H$6:$H$6487)</f>
        <v>0</v>
      </c>
      <c r="F749" s="341">
        <f>SUMIF(GL!$D$6:$D$6487,B749,GL!$I$6:$I$6487)</f>
        <v>0</v>
      </c>
      <c r="G749" s="341"/>
      <c r="H749" s="341"/>
      <c r="I749" s="341">
        <f t="shared" si="758"/>
        <v>0</v>
      </c>
      <c r="J749" s="341">
        <f t="shared" si="759"/>
        <v>0</v>
      </c>
      <c r="K749" s="341"/>
      <c r="L749" s="342"/>
      <c r="M749" s="342"/>
      <c r="N749" s="341">
        <f t="shared" si="753"/>
        <v>0</v>
      </c>
      <c r="O749" s="341">
        <f t="shared" si="754"/>
        <v>0</v>
      </c>
      <c r="P749" s="341">
        <f>SUMIF(GL!$D$6488:$D$6532,B749,GL!$H$6488:$H$6532)</f>
        <v>0</v>
      </c>
      <c r="Q749" s="341">
        <f>SUMIF(GL!$D$6408:$D$6452,B749,GL!$I$6408:$I$6452)</f>
        <v>0</v>
      </c>
      <c r="R749" s="341">
        <f t="shared" ref="R749:S749" si="794">P749+N749</f>
        <v>0</v>
      </c>
      <c r="S749" s="341">
        <f t="shared" si="794"/>
        <v>0</v>
      </c>
      <c r="T749" s="340"/>
      <c r="U749" s="340"/>
      <c r="V749" s="340"/>
      <c r="W749" s="340"/>
      <c r="X749" s="341">
        <f t="shared" si="756"/>
        <v>0</v>
      </c>
      <c r="Y749" s="341">
        <f t="shared" si="757"/>
        <v>0</v>
      </c>
      <c r="Z749" s="331"/>
      <c r="AA749" s="110"/>
      <c r="AB749" s="352"/>
      <c r="AC749" s="352"/>
      <c r="AD749" s="351"/>
      <c r="AE749" s="351"/>
      <c r="AF749" s="351"/>
      <c r="AG749" s="351"/>
      <c r="AH749" s="351"/>
      <c r="AI749" s="351"/>
    </row>
    <row r="750" spans="1:35" ht="13.5" customHeight="1">
      <c r="A750" s="2"/>
      <c r="B750" s="15" t="s">
        <v>5075</v>
      </c>
      <c r="C750" s="376" t="s">
        <v>5076</v>
      </c>
      <c r="D750" s="254">
        <f>SUMIF(GL!$D$5:$D$6505,B750,GL!$G$5:$G$6505)</f>
        <v>0</v>
      </c>
      <c r="E750" s="341">
        <f>SUMIF(GL!$D$6:$D$6487,B750,GL!$H$6:$H$6487)</f>
        <v>0</v>
      </c>
      <c r="F750" s="341">
        <f>SUMIF(GL!$D$6:$D$6487,B750,GL!$I$6:$I$6487)</f>
        <v>0</v>
      </c>
      <c r="G750" s="341"/>
      <c r="H750" s="341"/>
      <c r="I750" s="341">
        <f t="shared" si="758"/>
        <v>0</v>
      </c>
      <c r="J750" s="341">
        <f t="shared" si="759"/>
        <v>0</v>
      </c>
      <c r="K750" s="341"/>
      <c r="L750" s="342"/>
      <c r="M750" s="342"/>
      <c r="N750" s="341">
        <f t="shared" si="753"/>
        <v>0</v>
      </c>
      <c r="O750" s="341">
        <f t="shared" si="754"/>
        <v>0</v>
      </c>
      <c r="P750" s="341">
        <f>SUMIF(GL!$D$6488:$D$6532,B750,GL!$H$6488:$H$6532)</f>
        <v>0</v>
      </c>
      <c r="Q750" s="341">
        <f>SUMIF(GL!$D$6408:$D$6452,B750,GL!$I$6408:$I$6452)</f>
        <v>0</v>
      </c>
      <c r="R750" s="341">
        <f t="shared" ref="R750:S750" si="795">P750+N750</f>
        <v>0</v>
      </c>
      <c r="S750" s="341">
        <f t="shared" si="795"/>
        <v>0</v>
      </c>
      <c r="T750" s="340"/>
      <c r="U750" s="340"/>
      <c r="V750" s="340"/>
      <c r="W750" s="340"/>
      <c r="X750" s="341">
        <f t="shared" si="756"/>
        <v>0</v>
      </c>
      <c r="Y750" s="341">
        <f t="shared" si="757"/>
        <v>0</v>
      </c>
      <c r="Z750" s="331"/>
      <c r="AA750" s="110"/>
      <c r="AB750" s="352"/>
      <c r="AC750" s="352"/>
      <c r="AD750" s="351"/>
      <c r="AE750" s="351"/>
      <c r="AF750" s="351"/>
      <c r="AG750" s="351"/>
      <c r="AH750" s="351"/>
      <c r="AI750" s="351"/>
    </row>
    <row r="751" spans="1:35" ht="13.5" customHeight="1">
      <c r="A751" s="2"/>
      <c r="B751" s="15" t="s">
        <v>5077</v>
      </c>
      <c r="C751" s="376" t="s">
        <v>5078</v>
      </c>
      <c r="D751" s="254">
        <f>SUMIF(GL!$D$5:$D$6505,B751,GL!$G$5:$G$6505)</f>
        <v>0</v>
      </c>
      <c r="E751" s="341">
        <f>SUMIF(GL!$D$6:$D$6487,B751,GL!$H$6:$H$6487)</f>
        <v>0</v>
      </c>
      <c r="F751" s="341">
        <f>SUMIF(GL!$D$6:$D$6487,B751,GL!$I$6:$I$6487)</f>
        <v>0</v>
      </c>
      <c r="G751" s="341"/>
      <c r="H751" s="341"/>
      <c r="I751" s="341">
        <f t="shared" si="758"/>
        <v>0</v>
      </c>
      <c r="J751" s="341">
        <f t="shared" si="759"/>
        <v>0</v>
      </c>
      <c r="K751" s="341"/>
      <c r="L751" s="342"/>
      <c r="M751" s="342"/>
      <c r="N751" s="341">
        <f t="shared" si="753"/>
        <v>0</v>
      </c>
      <c r="O751" s="341">
        <f t="shared" si="754"/>
        <v>0</v>
      </c>
      <c r="P751" s="341">
        <f>SUMIF(GL!$D$6488:$D$6532,B751,GL!$H$6488:$H$6532)</f>
        <v>0</v>
      </c>
      <c r="Q751" s="341">
        <f>SUMIF(GL!$D$6408:$D$6452,B751,GL!$I$6408:$I$6452)</f>
        <v>0</v>
      </c>
      <c r="R751" s="341">
        <f t="shared" ref="R751:S751" si="796">P751+N751</f>
        <v>0</v>
      </c>
      <c r="S751" s="341">
        <f t="shared" si="796"/>
        <v>0</v>
      </c>
      <c r="T751" s="340"/>
      <c r="U751" s="340"/>
      <c r="V751" s="340"/>
      <c r="W751" s="340"/>
      <c r="X751" s="341">
        <f t="shared" si="756"/>
        <v>0</v>
      </c>
      <c r="Y751" s="341">
        <f t="shared" si="757"/>
        <v>0</v>
      </c>
      <c r="Z751" s="331"/>
      <c r="AA751" s="110"/>
      <c r="AB751" s="352"/>
      <c r="AC751" s="352"/>
      <c r="AD751" s="351"/>
      <c r="AE751" s="351"/>
      <c r="AF751" s="351"/>
      <c r="AG751" s="351"/>
      <c r="AH751" s="351"/>
      <c r="AI751" s="351"/>
    </row>
    <row r="752" spans="1:35" ht="13.5" customHeight="1">
      <c r="A752" s="2"/>
      <c r="B752" s="15" t="s">
        <v>5079</v>
      </c>
      <c r="C752" s="376" t="s">
        <v>5080</v>
      </c>
      <c r="D752" s="254">
        <f>SUMIF(GL!$D$5:$D$6505,B752,GL!$G$5:$G$6505)</f>
        <v>0</v>
      </c>
      <c r="E752" s="341">
        <f>SUMIF(GL!$D$6:$D$6487,B752,GL!$H$6:$H$6487)</f>
        <v>0</v>
      </c>
      <c r="F752" s="341">
        <f>SUMIF(GL!$D$6:$D$6487,B752,GL!$I$6:$I$6487)</f>
        <v>0</v>
      </c>
      <c r="G752" s="338"/>
      <c r="H752" s="338"/>
      <c r="I752" s="341">
        <f t="shared" si="758"/>
        <v>0</v>
      </c>
      <c r="J752" s="341">
        <f t="shared" si="759"/>
        <v>0</v>
      </c>
      <c r="K752" s="338"/>
      <c r="L752" s="338"/>
      <c r="M752" s="338"/>
      <c r="N752" s="341">
        <f t="shared" si="753"/>
        <v>0</v>
      </c>
      <c r="O752" s="341">
        <f t="shared" si="754"/>
        <v>0</v>
      </c>
      <c r="P752" s="341">
        <f>SUMIF(GL!$D$6488:$D$6532,B752,GL!$H$6488:$H$6532)</f>
        <v>0</v>
      </c>
      <c r="Q752" s="341">
        <f>SUMIF(GL!$D$6408:$D$6452,B752,GL!$I$6408:$I$6452)</f>
        <v>0</v>
      </c>
      <c r="R752" s="341">
        <f t="shared" ref="R752:S752" si="797">P752+N752</f>
        <v>0</v>
      </c>
      <c r="S752" s="341">
        <f t="shared" si="797"/>
        <v>0</v>
      </c>
      <c r="T752" s="22"/>
      <c r="U752" s="22"/>
      <c r="V752" s="22"/>
      <c r="W752" s="22"/>
      <c r="X752" s="341">
        <f t="shared" si="756"/>
        <v>0</v>
      </c>
      <c r="Y752" s="341">
        <f t="shared" si="757"/>
        <v>0</v>
      </c>
      <c r="Z752" s="331"/>
      <c r="AA752" s="110"/>
      <c r="AB752" s="352"/>
      <c r="AC752" s="352"/>
      <c r="AD752" s="351"/>
      <c r="AE752" s="351"/>
      <c r="AF752" s="351"/>
      <c r="AG752" s="351"/>
      <c r="AH752" s="351"/>
      <c r="AI752" s="351"/>
    </row>
    <row r="753" spans="1:35" ht="13.5" customHeight="1">
      <c r="A753" s="2"/>
      <c r="B753" s="15" t="s">
        <v>5081</v>
      </c>
      <c r="C753" s="376" t="s">
        <v>5082</v>
      </c>
      <c r="D753" s="254">
        <f>SUMIF(GL!$D$5:$D$6505,B753,GL!$G$5:$G$6505)</f>
        <v>0</v>
      </c>
      <c r="E753" s="341">
        <f>SUMIF(GL!$D$6:$D$6487,B753,GL!$H$6:$H$6487)</f>
        <v>0</v>
      </c>
      <c r="F753" s="341">
        <f>SUMIF(GL!$D$6:$D$6487,B753,GL!$I$6:$I$6487)</f>
        <v>0</v>
      </c>
      <c r="G753" s="338"/>
      <c r="H753" s="338"/>
      <c r="I753" s="341">
        <f t="shared" si="758"/>
        <v>0</v>
      </c>
      <c r="J753" s="341">
        <f t="shared" si="759"/>
        <v>0</v>
      </c>
      <c r="K753" s="338"/>
      <c r="L753" s="338"/>
      <c r="M753" s="338"/>
      <c r="N753" s="341">
        <f t="shared" si="753"/>
        <v>0</v>
      </c>
      <c r="O753" s="341">
        <f t="shared" si="754"/>
        <v>0</v>
      </c>
      <c r="P753" s="341">
        <f>SUMIF(GL!$D$6488:$D$6532,B753,GL!$H$6488:$H$6532)</f>
        <v>0</v>
      </c>
      <c r="Q753" s="341">
        <f>SUMIF(GL!$D$6408:$D$6452,B753,GL!$I$6408:$I$6452)</f>
        <v>0</v>
      </c>
      <c r="R753" s="341">
        <f t="shared" ref="R753:S753" si="798">P753+N753</f>
        <v>0</v>
      </c>
      <c r="S753" s="341">
        <f t="shared" si="798"/>
        <v>0</v>
      </c>
      <c r="T753" s="22"/>
      <c r="U753" s="22"/>
      <c r="V753" s="22"/>
      <c r="W753" s="22"/>
      <c r="X753" s="341">
        <f t="shared" si="756"/>
        <v>0</v>
      </c>
      <c r="Y753" s="341">
        <f t="shared" si="757"/>
        <v>0</v>
      </c>
      <c r="Z753" s="331"/>
      <c r="AA753" s="110"/>
      <c r="AB753" s="352"/>
      <c r="AC753" s="352"/>
      <c r="AD753" s="351"/>
      <c r="AE753" s="351"/>
      <c r="AF753" s="351"/>
      <c r="AG753" s="351"/>
      <c r="AH753" s="351"/>
      <c r="AI753" s="351"/>
    </row>
    <row r="754" spans="1:35" ht="13.5" customHeight="1">
      <c r="A754" s="2"/>
      <c r="B754" s="15" t="s">
        <v>5083</v>
      </c>
      <c r="C754" s="379" t="s">
        <v>3846</v>
      </c>
      <c r="D754" s="254">
        <f>SUMIF(GL!$D$5:$D$6505,B754,GL!$G$5:$G$6505)</f>
        <v>0</v>
      </c>
      <c r="E754" s="341">
        <f>SUMIF(GL!$D$6:$D$6487,B754,GL!$H$6:$H$6487)</f>
        <v>0</v>
      </c>
      <c r="F754" s="341">
        <f>SUMIF(GL!$D$6:$D$6487,B754,GL!$I$6:$I$6487)</f>
        <v>0</v>
      </c>
      <c r="G754" s="338"/>
      <c r="H754" s="338"/>
      <c r="I754" s="341">
        <f t="shared" si="758"/>
        <v>0</v>
      </c>
      <c r="J754" s="341">
        <f t="shared" si="759"/>
        <v>0</v>
      </c>
      <c r="K754" s="338"/>
      <c r="L754" s="338"/>
      <c r="M754" s="338"/>
      <c r="N754" s="341">
        <f t="shared" si="753"/>
        <v>0</v>
      </c>
      <c r="O754" s="341">
        <f t="shared" si="754"/>
        <v>0</v>
      </c>
      <c r="P754" s="341">
        <f>SUMIF(GL!$D$6488:$D$6532,B754,GL!$H$6488:$H$6532)</f>
        <v>0</v>
      </c>
      <c r="Q754" s="341">
        <f>SUMIF(GL!$D$6408:$D$6452,B754,GL!$I$6408:$I$6452)</f>
        <v>0</v>
      </c>
      <c r="R754" s="341">
        <f t="shared" ref="R754:S754" si="799">P754+N754</f>
        <v>0</v>
      </c>
      <c r="S754" s="341">
        <f t="shared" si="799"/>
        <v>0</v>
      </c>
      <c r="T754" s="22"/>
      <c r="U754" s="22"/>
      <c r="V754" s="22"/>
      <c r="W754" s="22"/>
      <c r="X754" s="341">
        <f t="shared" si="756"/>
        <v>0</v>
      </c>
      <c r="Y754" s="341">
        <f t="shared" si="757"/>
        <v>0</v>
      </c>
      <c r="Z754" s="331"/>
      <c r="AA754" s="110"/>
      <c r="AB754" s="352"/>
      <c r="AC754" s="352"/>
      <c r="AD754" s="351"/>
      <c r="AE754" s="351"/>
      <c r="AF754" s="351"/>
      <c r="AG754" s="351"/>
      <c r="AH754" s="351"/>
      <c r="AI754" s="351"/>
    </row>
    <row r="755" spans="1:35" ht="13.5" customHeight="1">
      <c r="A755" s="2"/>
      <c r="B755" s="15" t="s">
        <v>5084</v>
      </c>
      <c r="C755" s="379" t="s">
        <v>3847</v>
      </c>
      <c r="D755" s="254">
        <f>SUMIF(GL!$D$5:$D$6505,B755,GL!$G$5:$G$6505)</f>
        <v>0</v>
      </c>
      <c r="E755" s="341">
        <f>SUMIF(GL!$D$6:$D$6487,B755,GL!$H$6:$H$6487)</f>
        <v>0</v>
      </c>
      <c r="F755" s="341">
        <f>SUMIF(GL!$D$6:$D$6487,B755,GL!$I$6:$I$6487)</f>
        <v>0</v>
      </c>
      <c r="G755" s="338"/>
      <c r="H755" s="338"/>
      <c r="I755" s="341">
        <f t="shared" si="758"/>
        <v>0</v>
      </c>
      <c r="J755" s="341">
        <f t="shared" si="759"/>
        <v>0</v>
      </c>
      <c r="K755" s="338"/>
      <c r="L755" s="338"/>
      <c r="M755" s="338"/>
      <c r="N755" s="341">
        <f t="shared" si="753"/>
        <v>0</v>
      </c>
      <c r="O755" s="341">
        <f t="shared" si="754"/>
        <v>0</v>
      </c>
      <c r="P755" s="341">
        <f>SUMIF(GL!$D$6488:$D$6532,B755,GL!$H$6488:$H$6532)</f>
        <v>0</v>
      </c>
      <c r="Q755" s="341">
        <f>SUMIF(GL!$D$6408:$D$6452,B755,GL!$I$6408:$I$6452)</f>
        <v>0</v>
      </c>
      <c r="R755" s="341">
        <f t="shared" ref="R755:S755" si="800">P755+N755</f>
        <v>0</v>
      </c>
      <c r="S755" s="341">
        <f t="shared" si="800"/>
        <v>0</v>
      </c>
      <c r="T755" s="22"/>
      <c r="U755" s="22"/>
      <c r="V755" s="22"/>
      <c r="W755" s="22"/>
      <c r="X755" s="341">
        <f t="shared" si="756"/>
        <v>0</v>
      </c>
      <c r="Y755" s="341">
        <f t="shared" si="757"/>
        <v>0</v>
      </c>
      <c r="Z755" s="331"/>
      <c r="AA755" s="351"/>
      <c r="AB755" s="352"/>
      <c r="AC755" s="352"/>
      <c r="AD755" s="351"/>
      <c r="AE755" s="351"/>
      <c r="AF755" s="351"/>
      <c r="AG755" s="351"/>
      <c r="AH755" s="351"/>
      <c r="AI755" s="351"/>
    </row>
    <row r="756" spans="1:35" ht="13.5" customHeight="1">
      <c r="A756" s="2"/>
      <c r="B756" s="127"/>
      <c r="C756" s="380"/>
      <c r="D756" s="322"/>
      <c r="E756" s="338"/>
      <c r="F756" s="338"/>
      <c r="G756" s="338"/>
      <c r="H756" s="338"/>
      <c r="I756" s="338"/>
      <c r="J756" s="338"/>
      <c r="K756" s="338"/>
      <c r="L756" s="338"/>
      <c r="M756" s="338"/>
      <c r="N756" s="338"/>
      <c r="O756" s="338"/>
      <c r="P756" s="338"/>
      <c r="Q756" s="338"/>
      <c r="R756" s="338"/>
      <c r="S756" s="338"/>
      <c r="T756" s="22"/>
      <c r="U756" s="22"/>
      <c r="V756" s="22"/>
      <c r="W756" s="22"/>
      <c r="X756" s="338"/>
      <c r="Y756" s="338"/>
      <c r="Z756" s="331"/>
      <c r="AA756" s="351"/>
      <c r="AB756" s="352"/>
      <c r="AC756" s="352"/>
      <c r="AD756" s="351"/>
      <c r="AE756" s="351"/>
      <c r="AF756" s="351"/>
      <c r="AG756" s="351"/>
      <c r="AH756" s="351"/>
      <c r="AI756" s="351"/>
    </row>
    <row r="757" spans="1:35" ht="13.5" customHeight="1">
      <c r="A757" s="2"/>
      <c r="B757" s="127" t="s">
        <v>3629</v>
      </c>
      <c r="C757" s="327" t="s">
        <v>3630</v>
      </c>
      <c r="D757" s="381">
        <f>SUM(D758:D803)</f>
        <v>0</v>
      </c>
      <c r="E757" s="377">
        <f>SUM(E758:E804)</f>
        <v>0</v>
      </c>
      <c r="F757" s="377">
        <f t="shared" ref="F757:K757" si="801">SUM(F758:F803)</f>
        <v>0</v>
      </c>
      <c r="G757" s="377">
        <f t="shared" si="801"/>
        <v>0</v>
      </c>
      <c r="H757" s="377">
        <f t="shared" si="801"/>
        <v>0</v>
      </c>
      <c r="I757" s="377">
        <f t="shared" si="801"/>
        <v>0</v>
      </c>
      <c r="J757" s="377">
        <f t="shared" si="801"/>
        <v>0</v>
      </c>
      <c r="K757" s="377">
        <f t="shared" si="801"/>
        <v>0</v>
      </c>
      <c r="L757" s="377"/>
      <c r="M757" s="377">
        <f>SUM(M758:M803)</f>
        <v>0</v>
      </c>
      <c r="N757" s="354">
        <f t="shared" ref="N757:N803" si="802">IF(I757+L757&gt;J757+M757,(I757+L757)-(J757+M757),0)</f>
        <v>0</v>
      </c>
      <c r="O757" s="354">
        <f t="shared" ref="O757:O803" si="803">IF(J757+M757&gt;I757+L757,(J757+M757)-(I757+L757),0)</f>
        <v>0</v>
      </c>
      <c r="P757" s="354">
        <f>SUMIF(GL!$D$6488:$D$6532,B757,GL!$H$6488:$H$6532)</f>
        <v>0</v>
      </c>
      <c r="Q757" s="354"/>
      <c r="R757" s="354">
        <f t="shared" ref="R757:S757" si="804">P757+N757</f>
        <v>0</v>
      </c>
      <c r="S757" s="354">
        <f t="shared" si="804"/>
        <v>0</v>
      </c>
      <c r="T757" s="307"/>
      <c r="U757" s="307"/>
      <c r="V757" s="307"/>
      <c r="W757" s="307"/>
      <c r="X757" s="354">
        <f t="shared" ref="X757:X803" si="805">IF(R757&gt;S757,R757-S757,0)</f>
        <v>0</v>
      </c>
      <c r="Y757" s="354">
        <f t="shared" ref="Y757:Y803" si="806">IF(S757&gt;R757,S757-R757,0)</f>
        <v>0</v>
      </c>
      <c r="Z757" s="331"/>
      <c r="AA757" s="351"/>
      <c r="AB757" s="352"/>
      <c r="AC757" s="352"/>
      <c r="AD757" s="351"/>
      <c r="AE757" s="351"/>
      <c r="AF757" s="351"/>
      <c r="AG757" s="351"/>
      <c r="AH757" s="351"/>
      <c r="AI757" s="351"/>
    </row>
    <row r="758" spans="1:35" ht="13.5" customHeight="1">
      <c r="A758" s="4"/>
      <c r="B758" s="15" t="s">
        <v>3848</v>
      </c>
      <c r="C758" s="328" t="s">
        <v>3849</v>
      </c>
      <c r="D758" s="254">
        <f>SUMIF(GL!$D$5:$D$6505,B758,GL!$G$5:$G$6505)</f>
        <v>0</v>
      </c>
      <c r="E758" s="341">
        <f>SUMIF(GL!$D$6:$D$6487,B758,GL!$H$6:$H$6487)</f>
        <v>0</v>
      </c>
      <c r="F758" s="341">
        <f>SUMIF(GL!$D$6:$D$6487,B758,GL!$I$6:$I$6487)</f>
        <v>0</v>
      </c>
      <c r="G758" s="341"/>
      <c r="H758" s="341"/>
      <c r="I758" s="341">
        <f t="shared" ref="I758:I803" si="807">IF(E758&gt;F758,E758-F758,0)</f>
        <v>0</v>
      </c>
      <c r="J758" s="341">
        <f t="shared" ref="J758:J803" si="808">IF(F758&gt;E758,F758-E758,0)</f>
        <v>0</v>
      </c>
      <c r="K758" s="341"/>
      <c r="L758" s="342"/>
      <c r="M758" s="342"/>
      <c r="N758" s="341">
        <f t="shared" si="802"/>
        <v>0</v>
      </c>
      <c r="O758" s="341">
        <f t="shared" si="803"/>
        <v>0</v>
      </c>
      <c r="P758" s="341">
        <f>SUMIF(GL!$D$6488:$D$6532,B758,GL!$H$6488:$H$6532)</f>
        <v>0</v>
      </c>
      <c r="Q758" s="341">
        <f>SUMIF(GL!$D$6408:$D$6452,B758,GL!$I$6408:$I$6452)</f>
        <v>0</v>
      </c>
      <c r="R758" s="341">
        <f t="shared" ref="R758:S758" si="809">P758+N758</f>
        <v>0</v>
      </c>
      <c r="S758" s="341">
        <f t="shared" si="809"/>
        <v>0</v>
      </c>
      <c r="T758" s="340"/>
      <c r="U758" s="340"/>
      <c r="V758" s="340"/>
      <c r="W758" s="340"/>
      <c r="X758" s="341">
        <f t="shared" si="805"/>
        <v>0</v>
      </c>
      <c r="Y758" s="341">
        <f t="shared" si="806"/>
        <v>0</v>
      </c>
      <c r="Z758" s="331"/>
      <c r="AA758" s="110"/>
      <c r="AB758" s="332"/>
      <c r="AC758" s="332"/>
      <c r="AD758" s="110"/>
      <c r="AE758" s="110"/>
      <c r="AF758" s="110"/>
      <c r="AG758" s="110"/>
      <c r="AH758" s="110"/>
      <c r="AI758" s="110"/>
    </row>
    <row r="759" spans="1:35" ht="13.5" customHeight="1">
      <c r="A759" s="4"/>
      <c r="B759" s="15" t="s">
        <v>3850</v>
      </c>
      <c r="C759" s="328" t="s">
        <v>3851</v>
      </c>
      <c r="D759" s="254">
        <f>SUMIF(GL!$D$5:$D$6505,B759,GL!$G$5:$G$6505)</f>
        <v>0</v>
      </c>
      <c r="E759" s="341">
        <f>SUMIF(GL!$D$6:$D$6487,B759,GL!$H$6:$H$6487)</f>
        <v>0</v>
      </c>
      <c r="F759" s="341">
        <f>SUMIF(GL!$D$6:$D$6487,B759,GL!$I$6:$I$6487)</f>
        <v>0</v>
      </c>
      <c r="G759" s="341"/>
      <c r="H759" s="341"/>
      <c r="I759" s="341">
        <f t="shared" si="807"/>
        <v>0</v>
      </c>
      <c r="J759" s="341">
        <f t="shared" si="808"/>
        <v>0</v>
      </c>
      <c r="K759" s="341"/>
      <c r="L759" s="342"/>
      <c r="M759" s="342"/>
      <c r="N759" s="341">
        <f t="shared" si="802"/>
        <v>0</v>
      </c>
      <c r="O759" s="341">
        <f t="shared" si="803"/>
        <v>0</v>
      </c>
      <c r="P759" s="341">
        <f>SUMIF(GL!$D$6488:$D$6532,B759,GL!$H$6488:$H$6532)</f>
        <v>0</v>
      </c>
      <c r="Q759" s="341">
        <f>SUMIF(GL!$D$6408:$D$6452,B759,GL!$I$6408:$I$6452)</f>
        <v>0</v>
      </c>
      <c r="R759" s="341">
        <f t="shared" ref="R759:S759" si="810">P759+N759</f>
        <v>0</v>
      </c>
      <c r="S759" s="341">
        <f t="shared" si="810"/>
        <v>0</v>
      </c>
      <c r="T759" s="340"/>
      <c r="U759" s="340"/>
      <c r="V759" s="340"/>
      <c r="W759" s="340"/>
      <c r="X759" s="341">
        <f t="shared" si="805"/>
        <v>0</v>
      </c>
      <c r="Y759" s="341">
        <f t="shared" si="806"/>
        <v>0</v>
      </c>
      <c r="Z759" s="331"/>
      <c r="AA759" s="110"/>
      <c r="AB759" s="332"/>
      <c r="AC759" s="332"/>
      <c r="AD759" s="110"/>
      <c r="AE759" s="110"/>
      <c r="AF759" s="110"/>
      <c r="AG759" s="110"/>
      <c r="AH759" s="110"/>
      <c r="AI759" s="110"/>
    </row>
    <row r="760" spans="1:35" ht="13.5" customHeight="1">
      <c r="A760" s="4"/>
      <c r="B760" s="15" t="s">
        <v>3852</v>
      </c>
      <c r="C760" s="328" t="s">
        <v>3853</v>
      </c>
      <c r="D760" s="254">
        <f>SUMIF(GL!$D$5:$D$6505,B760,GL!$G$5:$G$6505)</f>
        <v>0</v>
      </c>
      <c r="E760" s="341">
        <f>SUMIF(GL!$D$6:$D$6487,B760,GL!$H$6:$H$6487)</f>
        <v>0</v>
      </c>
      <c r="F760" s="341">
        <f>SUMIF(GL!$D$6:$D$6487,B760,GL!$I$6:$I$6487)</f>
        <v>0</v>
      </c>
      <c r="G760" s="341"/>
      <c r="H760" s="341"/>
      <c r="I760" s="341">
        <f t="shared" si="807"/>
        <v>0</v>
      </c>
      <c r="J760" s="341">
        <f t="shared" si="808"/>
        <v>0</v>
      </c>
      <c r="K760" s="341"/>
      <c r="L760" s="342"/>
      <c r="M760" s="342"/>
      <c r="N760" s="341">
        <f t="shared" si="802"/>
        <v>0</v>
      </c>
      <c r="O760" s="341">
        <f t="shared" si="803"/>
        <v>0</v>
      </c>
      <c r="P760" s="341">
        <f>SUMIF(GL!$D$6488:$D$6532,B760,GL!$H$6488:$H$6532)</f>
        <v>0</v>
      </c>
      <c r="Q760" s="341">
        <f>SUMIF(GL!$D$6408:$D$6452,B760,GL!$I$6408:$I$6452)</f>
        <v>0</v>
      </c>
      <c r="R760" s="341">
        <f t="shared" ref="R760:S760" si="811">P760+N760</f>
        <v>0</v>
      </c>
      <c r="S760" s="341">
        <f t="shared" si="811"/>
        <v>0</v>
      </c>
      <c r="T760" s="340"/>
      <c r="U760" s="340"/>
      <c r="V760" s="340"/>
      <c r="W760" s="340"/>
      <c r="X760" s="341">
        <f t="shared" si="805"/>
        <v>0</v>
      </c>
      <c r="Y760" s="341">
        <f t="shared" si="806"/>
        <v>0</v>
      </c>
      <c r="Z760" s="331"/>
      <c r="AA760" s="110"/>
      <c r="AB760" s="332"/>
      <c r="AC760" s="332"/>
      <c r="AD760" s="110"/>
      <c r="AE760" s="110"/>
      <c r="AF760" s="110"/>
      <c r="AG760" s="110"/>
      <c r="AH760" s="110"/>
      <c r="AI760" s="110"/>
    </row>
    <row r="761" spans="1:35" ht="13.5" customHeight="1">
      <c r="A761" s="4"/>
      <c r="B761" s="15" t="s">
        <v>3854</v>
      </c>
      <c r="C761" s="328" t="s">
        <v>3855</v>
      </c>
      <c r="D761" s="254">
        <f>SUMIF(GL!$D$5:$D$6505,B761,GL!$G$5:$G$6505)</f>
        <v>0</v>
      </c>
      <c r="E761" s="341">
        <f>SUMIF(GL!$D$6:$D$6487,B761,GL!$H$6:$H$6487)</f>
        <v>0</v>
      </c>
      <c r="F761" s="341">
        <f>SUMIF(GL!$D$6:$D$6487,B761,GL!$I$6:$I$6487)</f>
        <v>0</v>
      </c>
      <c r="G761" s="341"/>
      <c r="H761" s="341"/>
      <c r="I761" s="341">
        <f t="shared" si="807"/>
        <v>0</v>
      </c>
      <c r="J761" s="341">
        <f t="shared" si="808"/>
        <v>0</v>
      </c>
      <c r="K761" s="341"/>
      <c r="L761" s="342"/>
      <c r="M761" s="342"/>
      <c r="N761" s="341">
        <f t="shared" si="802"/>
        <v>0</v>
      </c>
      <c r="O761" s="341">
        <f t="shared" si="803"/>
        <v>0</v>
      </c>
      <c r="P761" s="341">
        <f>SUMIF(GL!$D$6488:$D$6532,B761,GL!$H$6488:$H$6532)</f>
        <v>0</v>
      </c>
      <c r="Q761" s="341">
        <f>SUMIF(GL!$D$6408:$D$6452,B761,GL!$I$6408:$I$6452)</f>
        <v>0</v>
      </c>
      <c r="R761" s="341">
        <f t="shared" ref="R761:S761" si="812">P761+N761</f>
        <v>0</v>
      </c>
      <c r="S761" s="341">
        <f t="shared" si="812"/>
        <v>0</v>
      </c>
      <c r="T761" s="340"/>
      <c r="U761" s="340"/>
      <c r="V761" s="340"/>
      <c r="W761" s="340"/>
      <c r="X761" s="341">
        <f t="shared" si="805"/>
        <v>0</v>
      </c>
      <c r="Y761" s="341">
        <f t="shared" si="806"/>
        <v>0</v>
      </c>
      <c r="Z761" s="331"/>
      <c r="AA761" s="110"/>
      <c r="AB761" s="332"/>
      <c r="AC761" s="332"/>
      <c r="AD761" s="110"/>
      <c r="AE761" s="110"/>
      <c r="AF761" s="110"/>
      <c r="AG761" s="110"/>
      <c r="AH761" s="110"/>
      <c r="AI761" s="110"/>
    </row>
    <row r="762" spans="1:35" ht="13.5" customHeight="1">
      <c r="A762" s="4"/>
      <c r="B762" s="15" t="s">
        <v>3857</v>
      </c>
      <c r="C762" s="328" t="s">
        <v>3858</v>
      </c>
      <c r="D762" s="254">
        <f>SUMIF(GL!$D$5:$D$6505,B762,GL!$G$5:$G$6505)</f>
        <v>0</v>
      </c>
      <c r="E762" s="341">
        <f>SUMIF(GL!$D$6:$D$6487,B762,GL!$H$6:$H$6487)</f>
        <v>0</v>
      </c>
      <c r="F762" s="341">
        <f>SUMIF(GL!$D$6:$D$6487,B762,GL!$I$6:$I$6487)</f>
        <v>0</v>
      </c>
      <c r="G762" s="341"/>
      <c r="H762" s="341"/>
      <c r="I762" s="341">
        <f t="shared" si="807"/>
        <v>0</v>
      </c>
      <c r="J762" s="341">
        <f t="shared" si="808"/>
        <v>0</v>
      </c>
      <c r="K762" s="341"/>
      <c r="L762" s="342"/>
      <c r="M762" s="342"/>
      <c r="N762" s="341">
        <f t="shared" si="802"/>
        <v>0</v>
      </c>
      <c r="O762" s="341">
        <f t="shared" si="803"/>
        <v>0</v>
      </c>
      <c r="P762" s="341">
        <f>SUMIF(GL!$D$6488:$D$6532,B762,GL!$H$6488:$H$6532)</f>
        <v>0</v>
      </c>
      <c r="Q762" s="341">
        <f>SUMIF(GL!$D$6408:$D$6452,B762,GL!$I$6408:$I$6452)</f>
        <v>0</v>
      </c>
      <c r="R762" s="341">
        <f t="shared" ref="R762:S762" si="813">P762+N762</f>
        <v>0</v>
      </c>
      <c r="S762" s="341">
        <f t="shared" si="813"/>
        <v>0</v>
      </c>
      <c r="T762" s="340"/>
      <c r="U762" s="340"/>
      <c r="V762" s="340"/>
      <c r="W762" s="340"/>
      <c r="X762" s="341">
        <f t="shared" si="805"/>
        <v>0</v>
      </c>
      <c r="Y762" s="341">
        <f t="shared" si="806"/>
        <v>0</v>
      </c>
      <c r="Z762" s="331"/>
      <c r="AA762" s="110"/>
      <c r="AB762" s="332"/>
      <c r="AC762" s="332"/>
      <c r="AD762" s="110"/>
      <c r="AE762" s="110"/>
      <c r="AF762" s="110"/>
      <c r="AG762" s="110"/>
      <c r="AH762" s="110"/>
      <c r="AI762" s="110"/>
    </row>
    <row r="763" spans="1:35" ht="13.5" customHeight="1">
      <c r="A763" s="4"/>
      <c r="B763" s="15" t="s">
        <v>3859</v>
      </c>
      <c r="C763" s="328" t="s">
        <v>3860</v>
      </c>
      <c r="D763" s="254">
        <f>SUMIF(GL!$D$5:$D$6505,B763,GL!$G$5:$G$6505)</f>
        <v>0</v>
      </c>
      <c r="E763" s="341">
        <f>SUMIF(GL!$D$6:$D$6487,B763,GL!$H$6:$H$6487)</f>
        <v>0</v>
      </c>
      <c r="F763" s="341">
        <f>SUMIF(GL!$D$6:$D$6487,B763,GL!$I$6:$I$6487)</f>
        <v>0</v>
      </c>
      <c r="G763" s="341"/>
      <c r="H763" s="341"/>
      <c r="I763" s="341">
        <f t="shared" si="807"/>
        <v>0</v>
      </c>
      <c r="J763" s="341">
        <f t="shared" si="808"/>
        <v>0</v>
      </c>
      <c r="K763" s="341"/>
      <c r="L763" s="342"/>
      <c r="M763" s="342"/>
      <c r="N763" s="341">
        <f t="shared" si="802"/>
        <v>0</v>
      </c>
      <c r="O763" s="341">
        <f t="shared" si="803"/>
        <v>0</v>
      </c>
      <c r="P763" s="341">
        <f>SUMIF(GL!$D$6488:$D$6532,B763,GL!$H$6488:$H$6532)</f>
        <v>0</v>
      </c>
      <c r="Q763" s="341">
        <f>SUMIF(GL!$D$6408:$D$6452,B763,GL!$I$6408:$I$6452)</f>
        <v>0</v>
      </c>
      <c r="R763" s="341">
        <f t="shared" ref="R763:S763" si="814">P763+N763</f>
        <v>0</v>
      </c>
      <c r="S763" s="341">
        <f t="shared" si="814"/>
        <v>0</v>
      </c>
      <c r="T763" s="340"/>
      <c r="U763" s="340"/>
      <c r="V763" s="340"/>
      <c r="W763" s="340"/>
      <c r="X763" s="341">
        <f t="shared" si="805"/>
        <v>0</v>
      </c>
      <c r="Y763" s="341">
        <f t="shared" si="806"/>
        <v>0</v>
      </c>
      <c r="Z763" s="331"/>
      <c r="AA763" s="110"/>
      <c r="AB763" s="332"/>
      <c r="AC763" s="332"/>
      <c r="AD763" s="110"/>
      <c r="AE763" s="110"/>
      <c r="AF763" s="110"/>
      <c r="AG763" s="110"/>
      <c r="AH763" s="110"/>
      <c r="AI763" s="110"/>
    </row>
    <row r="764" spans="1:35" ht="13.5" customHeight="1">
      <c r="A764" s="4"/>
      <c r="B764" s="15" t="s">
        <v>3861</v>
      </c>
      <c r="C764" s="328" t="s">
        <v>5085</v>
      </c>
      <c r="D764" s="254">
        <f>SUMIF(GL!$D$5:$D$6505,B764,GL!$G$5:$G$6505)</f>
        <v>0</v>
      </c>
      <c r="E764" s="341">
        <f>SUMIF(GL!$D$6:$D$6487,B764,GL!$H$6:$H$6487)</f>
        <v>0</v>
      </c>
      <c r="F764" s="341">
        <f>SUMIF(GL!$D$6:$D$6487,B764,GL!$I$6:$I$6487)</f>
        <v>0</v>
      </c>
      <c r="G764" s="341"/>
      <c r="H764" s="341"/>
      <c r="I764" s="341">
        <f t="shared" si="807"/>
        <v>0</v>
      </c>
      <c r="J764" s="341">
        <f t="shared" si="808"/>
        <v>0</v>
      </c>
      <c r="K764" s="341"/>
      <c r="L764" s="342"/>
      <c r="M764" s="342"/>
      <c r="N764" s="341">
        <f t="shared" si="802"/>
        <v>0</v>
      </c>
      <c r="O764" s="341">
        <f t="shared" si="803"/>
        <v>0</v>
      </c>
      <c r="P764" s="341">
        <f>SUMIF(GL!$D$6488:$D$6532,B764,GL!$H$6488:$H$6532)</f>
        <v>0</v>
      </c>
      <c r="Q764" s="341">
        <f>SUMIF(GL!$D$6408:$D$6452,B764,GL!$I$6408:$I$6452)</f>
        <v>0</v>
      </c>
      <c r="R764" s="341">
        <f t="shared" ref="R764:S764" si="815">P764+N764</f>
        <v>0</v>
      </c>
      <c r="S764" s="341">
        <f t="shared" si="815"/>
        <v>0</v>
      </c>
      <c r="T764" s="340"/>
      <c r="U764" s="340"/>
      <c r="V764" s="340"/>
      <c r="W764" s="340"/>
      <c r="X764" s="341">
        <f t="shared" si="805"/>
        <v>0</v>
      </c>
      <c r="Y764" s="341">
        <f t="shared" si="806"/>
        <v>0</v>
      </c>
      <c r="Z764" s="331"/>
      <c r="AA764" s="110"/>
      <c r="AB764" s="332"/>
      <c r="AC764" s="332"/>
      <c r="AD764" s="110"/>
      <c r="AE764" s="110"/>
      <c r="AF764" s="110"/>
      <c r="AG764" s="110"/>
      <c r="AH764" s="110"/>
      <c r="AI764" s="110"/>
    </row>
    <row r="765" spans="1:35" ht="13.5" customHeight="1">
      <c r="A765" s="4"/>
      <c r="B765" s="15" t="s">
        <v>3863</v>
      </c>
      <c r="C765" s="328" t="s">
        <v>5086</v>
      </c>
      <c r="D765" s="254">
        <f>SUMIF(GL!$D$5:$D$6505,B765,GL!$G$5:$G$6505)</f>
        <v>0</v>
      </c>
      <c r="E765" s="341">
        <f>SUMIF(GL!$D$6:$D$6487,B765,GL!$H$6:$H$6487)</f>
        <v>0</v>
      </c>
      <c r="F765" s="341">
        <f>SUMIF(GL!$D$6:$D$6487,B765,GL!$I$6:$I$6487)</f>
        <v>0</v>
      </c>
      <c r="G765" s="341"/>
      <c r="H765" s="341"/>
      <c r="I765" s="341">
        <f t="shared" si="807"/>
        <v>0</v>
      </c>
      <c r="J765" s="341">
        <f t="shared" si="808"/>
        <v>0</v>
      </c>
      <c r="K765" s="341"/>
      <c r="L765" s="342"/>
      <c r="M765" s="342"/>
      <c r="N765" s="341">
        <f t="shared" si="802"/>
        <v>0</v>
      </c>
      <c r="O765" s="341">
        <f t="shared" si="803"/>
        <v>0</v>
      </c>
      <c r="P765" s="341">
        <f>SUMIF(GL!$D$6488:$D$6532,B765,GL!$H$6488:$H$6532)</f>
        <v>0</v>
      </c>
      <c r="Q765" s="341">
        <f>SUMIF(GL!$D$6408:$D$6452,B765,GL!$I$6408:$I$6452)</f>
        <v>0</v>
      </c>
      <c r="R765" s="341">
        <f t="shared" ref="R765:S765" si="816">P765+N765</f>
        <v>0</v>
      </c>
      <c r="S765" s="341">
        <f t="shared" si="816"/>
        <v>0</v>
      </c>
      <c r="T765" s="340"/>
      <c r="U765" s="340"/>
      <c r="V765" s="340"/>
      <c r="W765" s="340"/>
      <c r="X765" s="341">
        <f t="shared" si="805"/>
        <v>0</v>
      </c>
      <c r="Y765" s="341">
        <f t="shared" si="806"/>
        <v>0</v>
      </c>
      <c r="Z765" s="331"/>
      <c r="AA765" s="110"/>
      <c r="AB765" s="332"/>
      <c r="AC765" s="332"/>
      <c r="AD765" s="110"/>
      <c r="AE765" s="110"/>
      <c r="AF765" s="110"/>
      <c r="AG765" s="110"/>
      <c r="AH765" s="110"/>
      <c r="AI765" s="110"/>
    </row>
    <row r="766" spans="1:35" ht="13.5" customHeight="1">
      <c r="A766" s="4"/>
      <c r="B766" s="15" t="s">
        <v>3865</v>
      </c>
      <c r="C766" s="328" t="s">
        <v>5087</v>
      </c>
      <c r="D766" s="254">
        <f>SUMIF(GL!$D$5:$D$6505,B766,GL!$G$5:$G$6505)</f>
        <v>0</v>
      </c>
      <c r="E766" s="341">
        <f>SUMIF(GL!$D$6:$D$6487,B766,GL!$H$6:$H$6487)</f>
        <v>0</v>
      </c>
      <c r="F766" s="341">
        <f>SUMIF(GL!$D$6:$D$6487,B766,GL!$I$6:$I$6487)</f>
        <v>0</v>
      </c>
      <c r="G766" s="341"/>
      <c r="H766" s="341"/>
      <c r="I766" s="341">
        <f t="shared" si="807"/>
        <v>0</v>
      </c>
      <c r="J766" s="341">
        <f t="shared" si="808"/>
        <v>0</v>
      </c>
      <c r="K766" s="341"/>
      <c r="L766" s="342"/>
      <c r="M766" s="342"/>
      <c r="N766" s="341">
        <f t="shared" si="802"/>
        <v>0</v>
      </c>
      <c r="O766" s="341">
        <f t="shared" si="803"/>
        <v>0</v>
      </c>
      <c r="P766" s="341">
        <f>SUMIF(GL!$D$6488:$D$6532,B766,GL!$H$6488:$H$6532)</f>
        <v>0</v>
      </c>
      <c r="Q766" s="341">
        <f>SUMIF(GL!$D$6408:$D$6452,B766,GL!$I$6408:$I$6452)</f>
        <v>0</v>
      </c>
      <c r="R766" s="341">
        <f t="shared" ref="R766:S766" si="817">P766+N766</f>
        <v>0</v>
      </c>
      <c r="S766" s="341">
        <f t="shared" si="817"/>
        <v>0</v>
      </c>
      <c r="T766" s="340"/>
      <c r="U766" s="340"/>
      <c r="V766" s="340"/>
      <c r="W766" s="340"/>
      <c r="X766" s="341">
        <f t="shared" si="805"/>
        <v>0</v>
      </c>
      <c r="Y766" s="341">
        <f t="shared" si="806"/>
        <v>0</v>
      </c>
      <c r="Z766" s="331"/>
      <c r="AA766" s="110"/>
      <c r="AB766" s="332"/>
      <c r="AC766" s="332"/>
      <c r="AD766" s="110"/>
      <c r="AE766" s="110"/>
      <c r="AF766" s="110"/>
      <c r="AG766" s="110"/>
      <c r="AH766" s="110"/>
      <c r="AI766" s="110"/>
    </row>
    <row r="767" spans="1:35" ht="13.5" customHeight="1">
      <c r="A767" s="4"/>
      <c r="B767" s="15" t="s">
        <v>3867</v>
      </c>
      <c r="C767" s="328" t="s">
        <v>5088</v>
      </c>
      <c r="D767" s="254">
        <f>SUMIF(GL!$D$5:$D$6505,B767,GL!$G$5:$G$6505)</f>
        <v>0</v>
      </c>
      <c r="E767" s="341">
        <f>SUMIF(GL!$D$6:$D$6487,B767,GL!$H$6:$H$6487)</f>
        <v>0</v>
      </c>
      <c r="F767" s="341">
        <f>SUMIF(GL!$D$6:$D$6487,B767,GL!$I$6:$I$6487)</f>
        <v>0</v>
      </c>
      <c r="G767" s="341"/>
      <c r="H767" s="341"/>
      <c r="I767" s="341">
        <f t="shared" si="807"/>
        <v>0</v>
      </c>
      <c r="J767" s="341">
        <f t="shared" si="808"/>
        <v>0</v>
      </c>
      <c r="K767" s="341"/>
      <c r="L767" s="342"/>
      <c r="M767" s="342"/>
      <c r="N767" s="341">
        <f t="shared" si="802"/>
        <v>0</v>
      </c>
      <c r="O767" s="341">
        <f t="shared" si="803"/>
        <v>0</v>
      </c>
      <c r="P767" s="341">
        <f>SUMIF(GL!$D$6488:$D$6532,B767,GL!$H$6488:$H$6532)</f>
        <v>0</v>
      </c>
      <c r="Q767" s="341">
        <f>SUMIF(GL!$D$6408:$D$6452,B767,GL!$I$6408:$I$6452)</f>
        <v>0</v>
      </c>
      <c r="R767" s="341">
        <f t="shared" ref="R767:S767" si="818">P767+N767</f>
        <v>0</v>
      </c>
      <c r="S767" s="341">
        <f t="shared" si="818"/>
        <v>0</v>
      </c>
      <c r="T767" s="340"/>
      <c r="U767" s="340"/>
      <c r="V767" s="340"/>
      <c r="W767" s="340"/>
      <c r="X767" s="341">
        <f t="shared" si="805"/>
        <v>0</v>
      </c>
      <c r="Y767" s="341">
        <f t="shared" si="806"/>
        <v>0</v>
      </c>
      <c r="Z767" s="331"/>
      <c r="AA767" s="110"/>
      <c r="AB767" s="332"/>
      <c r="AC767" s="332"/>
      <c r="AD767" s="110"/>
      <c r="AE767" s="110"/>
      <c r="AF767" s="110"/>
      <c r="AG767" s="110"/>
      <c r="AH767" s="110"/>
      <c r="AI767" s="110"/>
    </row>
    <row r="768" spans="1:35" ht="13.5" customHeight="1">
      <c r="A768" s="4"/>
      <c r="B768" s="15" t="s">
        <v>3869</v>
      </c>
      <c r="C768" s="328" t="s">
        <v>3870</v>
      </c>
      <c r="D768" s="254">
        <f>SUMIF(GL!$D$5:$D$6505,B768,GL!$G$5:$G$6505)</f>
        <v>0</v>
      </c>
      <c r="E768" s="341">
        <f>SUMIF(GL!$D$6:$D$6487,B768,GL!$H$6:$H$6487)</f>
        <v>0</v>
      </c>
      <c r="F768" s="341">
        <f>SUMIF(GL!$D$6:$D$6487,B768,GL!$I$6:$I$6487)</f>
        <v>0</v>
      </c>
      <c r="G768" s="341"/>
      <c r="H768" s="341"/>
      <c r="I768" s="341">
        <f t="shared" si="807"/>
        <v>0</v>
      </c>
      <c r="J768" s="341">
        <f t="shared" si="808"/>
        <v>0</v>
      </c>
      <c r="K768" s="341"/>
      <c r="L768" s="342"/>
      <c r="M768" s="342"/>
      <c r="N768" s="341">
        <f t="shared" si="802"/>
        <v>0</v>
      </c>
      <c r="O768" s="341">
        <f t="shared" si="803"/>
        <v>0</v>
      </c>
      <c r="P768" s="341">
        <f>SUMIF(GL!$D$6488:$D$6532,B768,GL!$H$6488:$H$6532)</f>
        <v>0</v>
      </c>
      <c r="Q768" s="341">
        <f>SUMIF(GL!$D$6408:$D$6452,B768,GL!$I$6408:$I$6452)</f>
        <v>0</v>
      </c>
      <c r="R768" s="341">
        <f t="shared" ref="R768:S768" si="819">P768+N768</f>
        <v>0</v>
      </c>
      <c r="S768" s="341">
        <f t="shared" si="819"/>
        <v>0</v>
      </c>
      <c r="T768" s="340"/>
      <c r="U768" s="340"/>
      <c r="V768" s="340"/>
      <c r="W768" s="340"/>
      <c r="X768" s="341">
        <f t="shared" si="805"/>
        <v>0</v>
      </c>
      <c r="Y768" s="341">
        <f t="shared" si="806"/>
        <v>0</v>
      </c>
      <c r="Z768" s="331"/>
      <c r="AA768" s="110"/>
      <c r="AB768" s="332"/>
      <c r="AC768" s="332"/>
      <c r="AD768" s="110"/>
      <c r="AE768" s="110"/>
      <c r="AF768" s="110"/>
      <c r="AG768" s="110"/>
      <c r="AH768" s="110"/>
      <c r="AI768" s="110"/>
    </row>
    <row r="769" spans="1:35" ht="13.5" customHeight="1">
      <c r="A769" s="4"/>
      <c r="B769" s="15" t="s">
        <v>3871</v>
      </c>
      <c r="C769" s="328" t="s">
        <v>3872</v>
      </c>
      <c r="D769" s="254">
        <f>SUMIF(GL!$D$5:$D$6505,B769,GL!$G$5:$G$6505)</f>
        <v>0</v>
      </c>
      <c r="E769" s="341">
        <f>SUMIF(GL!$D$6:$D$6487,B769,GL!$H$6:$H$6487)</f>
        <v>0</v>
      </c>
      <c r="F769" s="341">
        <f>SUMIF(GL!$D$6:$D$6487,B769,GL!$I$6:$I$6487)</f>
        <v>0</v>
      </c>
      <c r="G769" s="341"/>
      <c r="H769" s="341"/>
      <c r="I769" s="341">
        <f t="shared" si="807"/>
        <v>0</v>
      </c>
      <c r="J769" s="341">
        <f t="shared" si="808"/>
        <v>0</v>
      </c>
      <c r="K769" s="341"/>
      <c r="L769" s="342"/>
      <c r="M769" s="342"/>
      <c r="N769" s="341">
        <f t="shared" si="802"/>
        <v>0</v>
      </c>
      <c r="O769" s="341">
        <f t="shared" si="803"/>
        <v>0</v>
      </c>
      <c r="P769" s="341">
        <f>SUMIF(GL!$D$6488:$D$6532,B769,GL!$H$6488:$H$6532)</f>
        <v>0</v>
      </c>
      <c r="Q769" s="341">
        <f>SUMIF(GL!$D$6408:$D$6452,B769,GL!$I$6408:$I$6452)</f>
        <v>0</v>
      </c>
      <c r="R769" s="341">
        <f t="shared" ref="R769:S769" si="820">P769+N769</f>
        <v>0</v>
      </c>
      <c r="S769" s="341">
        <f t="shared" si="820"/>
        <v>0</v>
      </c>
      <c r="T769" s="340"/>
      <c r="U769" s="340"/>
      <c r="V769" s="340"/>
      <c r="W769" s="340"/>
      <c r="X769" s="341">
        <f t="shared" si="805"/>
        <v>0</v>
      </c>
      <c r="Y769" s="341">
        <f t="shared" si="806"/>
        <v>0</v>
      </c>
      <c r="Z769" s="331"/>
      <c r="AA769" s="110"/>
      <c r="AB769" s="332"/>
      <c r="AC769" s="332"/>
      <c r="AD769" s="110"/>
      <c r="AE769" s="110"/>
      <c r="AF769" s="110"/>
      <c r="AG769" s="110"/>
      <c r="AH769" s="110"/>
      <c r="AI769" s="110"/>
    </row>
    <row r="770" spans="1:35" ht="13.5" customHeight="1">
      <c r="A770" s="4"/>
      <c r="B770" s="15" t="s">
        <v>3873</v>
      </c>
      <c r="C770" s="328" t="s">
        <v>3874</v>
      </c>
      <c r="D770" s="254">
        <f>SUMIF(GL!$D$5:$D$6505,B770,GL!$G$5:$G$6505)</f>
        <v>0</v>
      </c>
      <c r="E770" s="341">
        <f>SUMIF(GL!$D$6:$D$6487,B770,GL!$H$6:$H$6487)</f>
        <v>0</v>
      </c>
      <c r="F770" s="341">
        <f>SUMIF(GL!$D$6:$D$6487,B770,GL!$I$6:$I$6487)</f>
        <v>0</v>
      </c>
      <c r="G770" s="341"/>
      <c r="H770" s="341"/>
      <c r="I770" s="341">
        <f t="shared" si="807"/>
        <v>0</v>
      </c>
      <c r="J770" s="341">
        <f t="shared" si="808"/>
        <v>0</v>
      </c>
      <c r="K770" s="341"/>
      <c r="L770" s="342"/>
      <c r="M770" s="342"/>
      <c r="N770" s="341">
        <f t="shared" si="802"/>
        <v>0</v>
      </c>
      <c r="O770" s="341">
        <f t="shared" si="803"/>
        <v>0</v>
      </c>
      <c r="P770" s="341">
        <f>SUMIF(GL!$D$6488:$D$6532,B770,GL!$H$6488:$H$6532)</f>
        <v>0</v>
      </c>
      <c r="Q770" s="341">
        <f>SUMIF(GL!$D$6408:$D$6452,B770,GL!$I$6408:$I$6452)</f>
        <v>0</v>
      </c>
      <c r="R770" s="341">
        <f t="shared" ref="R770:S770" si="821">P770+N770</f>
        <v>0</v>
      </c>
      <c r="S770" s="341">
        <f t="shared" si="821"/>
        <v>0</v>
      </c>
      <c r="T770" s="340"/>
      <c r="U770" s="340"/>
      <c r="V770" s="340"/>
      <c r="W770" s="340"/>
      <c r="X770" s="341">
        <f t="shared" si="805"/>
        <v>0</v>
      </c>
      <c r="Y770" s="341">
        <f t="shared" si="806"/>
        <v>0</v>
      </c>
      <c r="Z770" s="331"/>
      <c r="AA770" s="110"/>
      <c r="AB770" s="332"/>
      <c r="AC770" s="332"/>
      <c r="AD770" s="110"/>
      <c r="AE770" s="110"/>
      <c r="AF770" s="110"/>
      <c r="AG770" s="110"/>
      <c r="AH770" s="110"/>
      <c r="AI770" s="110"/>
    </row>
    <row r="771" spans="1:35" ht="13.5" customHeight="1">
      <c r="A771" s="4"/>
      <c r="B771" s="15" t="s">
        <v>3875</v>
      </c>
      <c r="C771" s="328" t="s">
        <v>3876</v>
      </c>
      <c r="D771" s="254">
        <f>SUMIF(GL!$D$5:$D$6505,B771,GL!$G$5:$G$6505)</f>
        <v>0</v>
      </c>
      <c r="E771" s="341">
        <f>SUMIF(GL!$D$6:$D$6487,B771,GL!$H$6:$H$6487)</f>
        <v>0</v>
      </c>
      <c r="F771" s="341">
        <f>SUMIF(GL!$D$6:$D$6487,B771,GL!$I$6:$I$6487)</f>
        <v>0</v>
      </c>
      <c r="G771" s="341"/>
      <c r="H771" s="341"/>
      <c r="I771" s="341">
        <f t="shared" si="807"/>
        <v>0</v>
      </c>
      <c r="J771" s="341">
        <f t="shared" si="808"/>
        <v>0</v>
      </c>
      <c r="K771" s="341"/>
      <c r="L771" s="342"/>
      <c r="M771" s="342"/>
      <c r="N771" s="341">
        <f t="shared" si="802"/>
        <v>0</v>
      </c>
      <c r="O771" s="341">
        <f t="shared" si="803"/>
        <v>0</v>
      </c>
      <c r="P771" s="341">
        <f>SUMIF(GL!$D$6488:$D$6532,B771,GL!$H$6488:$H$6532)</f>
        <v>0</v>
      </c>
      <c r="Q771" s="341">
        <f>SUMIF(GL!$D$6408:$D$6452,B771,GL!$I$6408:$I$6452)</f>
        <v>0</v>
      </c>
      <c r="R771" s="341">
        <f t="shared" ref="R771:S771" si="822">P771+N771</f>
        <v>0</v>
      </c>
      <c r="S771" s="341">
        <f t="shared" si="822"/>
        <v>0</v>
      </c>
      <c r="T771" s="340"/>
      <c r="U771" s="340"/>
      <c r="V771" s="340"/>
      <c r="W771" s="340"/>
      <c r="X771" s="341">
        <f t="shared" si="805"/>
        <v>0</v>
      </c>
      <c r="Y771" s="341">
        <f t="shared" si="806"/>
        <v>0</v>
      </c>
      <c r="Z771" s="331"/>
      <c r="AA771" s="110"/>
      <c r="AB771" s="332"/>
      <c r="AC771" s="332"/>
      <c r="AD771" s="110"/>
      <c r="AE771" s="110"/>
      <c r="AF771" s="110"/>
      <c r="AG771" s="110"/>
      <c r="AH771" s="110"/>
      <c r="AI771" s="110"/>
    </row>
    <row r="772" spans="1:35" ht="13.5" customHeight="1">
      <c r="A772" s="4"/>
      <c r="B772" s="15" t="s">
        <v>3877</v>
      </c>
      <c r="C772" s="328" t="s">
        <v>3878</v>
      </c>
      <c r="D772" s="254">
        <f>SUMIF(GL!$D$5:$D$6505,B772,GL!$G$5:$G$6505)</f>
        <v>0</v>
      </c>
      <c r="E772" s="341">
        <f>SUMIF(GL!$D$6:$D$6487,B772,GL!$H$6:$H$6487)</f>
        <v>0</v>
      </c>
      <c r="F772" s="341">
        <f>SUMIF(GL!$D$6:$D$6487,B772,GL!$I$6:$I$6487)</f>
        <v>0</v>
      </c>
      <c r="G772" s="341"/>
      <c r="H772" s="341"/>
      <c r="I772" s="341">
        <f t="shared" si="807"/>
        <v>0</v>
      </c>
      <c r="J772" s="341">
        <f t="shared" si="808"/>
        <v>0</v>
      </c>
      <c r="K772" s="341"/>
      <c r="L772" s="342"/>
      <c r="M772" s="342"/>
      <c r="N772" s="341">
        <f t="shared" si="802"/>
        <v>0</v>
      </c>
      <c r="O772" s="341">
        <f t="shared" si="803"/>
        <v>0</v>
      </c>
      <c r="P772" s="341">
        <f>SUMIF(GL!$D$6488:$D$6532,B772,GL!$H$6488:$H$6532)</f>
        <v>0</v>
      </c>
      <c r="Q772" s="341">
        <f>SUMIF(GL!$D$6408:$D$6452,B772,GL!$I$6408:$I$6452)</f>
        <v>0</v>
      </c>
      <c r="R772" s="341">
        <f t="shared" ref="R772:S772" si="823">P772+N772</f>
        <v>0</v>
      </c>
      <c r="S772" s="341">
        <f t="shared" si="823"/>
        <v>0</v>
      </c>
      <c r="T772" s="340"/>
      <c r="U772" s="340"/>
      <c r="V772" s="340"/>
      <c r="W772" s="340"/>
      <c r="X772" s="341">
        <f t="shared" si="805"/>
        <v>0</v>
      </c>
      <c r="Y772" s="341">
        <f t="shared" si="806"/>
        <v>0</v>
      </c>
      <c r="Z772" s="331"/>
      <c r="AA772" s="110"/>
      <c r="AB772" s="332"/>
      <c r="AC772" s="332"/>
      <c r="AD772" s="110"/>
      <c r="AE772" s="110"/>
      <c r="AF772" s="110"/>
      <c r="AG772" s="110"/>
      <c r="AH772" s="110"/>
      <c r="AI772" s="110"/>
    </row>
    <row r="773" spans="1:35" ht="13.5" customHeight="1">
      <c r="A773" s="4"/>
      <c r="B773" s="15" t="s">
        <v>3879</v>
      </c>
      <c r="C773" s="328" t="s">
        <v>3880</v>
      </c>
      <c r="D773" s="254">
        <f>SUMIF(GL!$D$5:$D$6505,B773,GL!$G$5:$G$6505)</f>
        <v>0</v>
      </c>
      <c r="E773" s="341">
        <f>SUMIF(GL!$D$6:$D$6487,B773,GL!$H$6:$H$6487)</f>
        <v>0</v>
      </c>
      <c r="F773" s="341">
        <f>SUMIF(GL!$D$6:$D$6487,B773,GL!$I$6:$I$6487)</f>
        <v>0</v>
      </c>
      <c r="G773" s="341"/>
      <c r="H773" s="341"/>
      <c r="I773" s="341">
        <f t="shared" si="807"/>
        <v>0</v>
      </c>
      <c r="J773" s="341">
        <f t="shared" si="808"/>
        <v>0</v>
      </c>
      <c r="K773" s="341"/>
      <c r="L773" s="342"/>
      <c r="M773" s="342"/>
      <c r="N773" s="341">
        <f t="shared" si="802"/>
        <v>0</v>
      </c>
      <c r="O773" s="341">
        <f t="shared" si="803"/>
        <v>0</v>
      </c>
      <c r="P773" s="341">
        <f>SUMIF(GL!$D$6488:$D$6532,B773,GL!$H$6488:$H$6532)</f>
        <v>0</v>
      </c>
      <c r="Q773" s="341">
        <f>SUMIF(GL!$D$6408:$D$6452,B773,GL!$I$6408:$I$6452)</f>
        <v>0</v>
      </c>
      <c r="R773" s="341">
        <f t="shared" ref="R773:S773" si="824">P773+N773</f>
        <v>0</v>
      </c>
      <c r="S773" s="341">
        <f t="shared" si="824"/>
        <v>0</v>
      </c>
      <c r="T773" s="340"/>
      <c r="U773" s="340"/>
      <c r="V773" s="340"/>
      <c r="W773" s="340"/>
      <c r="X773" s="341">
        <f t="shared" si="805"/>
        <v>0</v>
      </c>
      <c r="Y773" s="341">
        <f t="shared" si="806"/>
        <v>0</v>
      </c>
      <c r="Z773" s="331"/>
      <c r="AA773" s="110"/>
      <c r="AB773" s="332"/>
      <c r="AC773" s="332"/>
      <c r="AD773" s="110"/>
      <c r="AE773" s="110"/>
      <c r="AF773" s="110"/>
      <c r="AG773" s="110"/>
      <c r="AH773" s="110"/>
      <c r="AI773" s="110"/>
    </row>
    <row r="774" spans="1:35" ht="13.5" customHeight="1">
      <c r="A774" s="4"/>
      <c r="B774" s="15" t="s">
        <v>3881</v>
      </c>
      <c r="C774" s="328" t="s">
        <v>3882</v>
      </c>
      <c r="D774" s="254">
        <f>SUMIF(GL!$D$5:$D$6505,B774,GL!$G$5:$G$6505)</f>
        <v>0</v>
      </c>
      <c r="E774" s="341">
        <f>SUMIF(GL!$D$6:$D$6487,B774,GL!$H$6:$H$6487)</f>
        <v>0</v>
      </c>
      <c r="F774" s="341">
        <f>SUMIF(GL!$D$6:$D$6487,B774,GL!$I$6:$I$6487)</f>
        <v>0</v>
      </c>
      <c r="G774" s="341"/>
      <c r="H774" s="341"/>
      <c r="I774" s="341">
        <f t="shared" si="807"/>
        <v>0</v>
      </c>
      <c r="J774" s="341">
        <f t="shared" si="808"/>
        <v>0</v>
      </c>
      <c r="K774" s="341"/>
      <c r="L774" s="342"/>
      <c r="M774" s="342"/>
      <c r="N774" s="341">
        <f t="shared" si="802"/>
        <v>0</v>
      </c>
      <c r="O774" s="341">
        <f t="shared" si="803"/>
        <v>0</v>
      </c>
      <c r="P774" s="341">
        <f>SUMIF(GL!$D$6488:$D$6532,B774,GL!$H$6488:$H$6532)</f>
        <v>0</v>
      </c>
      <c r="Q774" s="341">
        <f>SUMIF(GL!$D$6408:$D$6452,B774,GL!$I$6408:$I$6452)</f>
        <v>0</v>
      </c>
      <c r="R774" s="341">
        <f t="shared" ref="R774:S774" si="825">P774+N774</f>
        <v>0</v>
      </c>
      <c r="S774" s="341">
        <f t="shared" si="825"/>
        <v>0</v>
      </c>
      <c r="T774" s="340"/>
      <c r="U774" s="340"/>
      <c r="V774" s="340"/>
      <c r="W774" s="340"/>
      <c r="X774" s="341">
        <f t="shared" si="805"/>
        <v>0</v>
      </c>
      <c r="Y774" s="341">
        <f t="shared" si="806"/>
        <v>0</v>
      </c>
      <c r="Z774" s="331"/>
      <c r="AA774" s="110"/>
      <c r="AB774" s="332"/>
      <c r="AC774" s="332"/>
      <c r="AD774" s="110"/>
      <c r="AE774" s="110"/>
      <c r="AF774" s="110"/>
      <c r="AG774" s="110"/>
      <c r="AH774" s="110"/>
      <c r="AI774" s="110"/>
    </row>
    <row r="775" spans="1:35" ht="13.5" customHeight="1">
      <c r="A775" s="4"/>
      <c r="B775" s="15" t="s">
        <v>3883</v>
      </c>
      <c r="C775" s="328" t="s">
        <v>3884</v>
      </c>
      <c r="D775" s="254">
        <f>SUMIF(GL!$D$5:$D$6505,B775,GL!$G$5:$G$6505)</f>
        <v>0</v>
      </c>
      <c r="E775" s="341">
        <f>SUMIF(GL!$D$6:$D$6487,B775,GL!$H$6:$H$6487)</f>
        <v>0</v>
      </c>
      <c r="F775" s="341">
        <f>SUMIF(GL!$D$6:$D$6487,B775,GL!$I$6:$I$6487)</f>
        <v>0</v>
      </c>
      <c r="G775" s="341"/>
      <c r="H775" s="341"/>
      <c r="I775" s="341">
        <f t="shared" si="807"/>
        <v>0</v>
      </c>
      <c r="J775" s="341">
        <f t="shared" si="808"/>
        <v>0</v>
      </c>
      <c r="K775" s="341"/>
      <c r="L775" s="342"/>
      <c r="M775" s="342"/>
      <c r="N775" s="341">
        <f t="shared" si="802"/>
        <v>0</v>
      </c>
      <c r="O775" s="341">
        <f t="shared" si="803"/>
        <v>0</v>
      </c>
      <c r="P775" s="341">
        <f>SUMIF(GL!$D$6488:$D$6532,B775,GL!$H$6488:$H$6532)</f>
        <v>0</v>
      </c>
      <c r="Q775" s="341">
        <f>SUMIF(GL!$D$6408:$D$6452,B775,GL!$I$6408:$I$6452)</f>
        <v>0</v>
      </c>
      <c r="R775" s="341">
        <f t="shared" ref="R775:S775" si="826">P775+N775</f>
        <v>0</v>
      </c>
      <c r="S775" s="341">
        <f t="shared" si="826"/>
        <v>0</v>
      </c>
      <c r="T775" s="340"/>
      <c r="U775" s="340"/>
      <c r="V775" s="340"/>
      <c r="W775" s="340"/>
      <c r="X775" s="341">
        <f t="shared" si="805"/>
        <v>0</v>
      </c>
      <c r="Y775" s="341">
        <f t="shared" si="806"/>
        <v>0</v>
      </c>
      <c r="Z775" s="331"/>
      <c r="AA775" s="110"/>
      <c r="AB775" s="332"/>
      <c r="AC775" s="332"/>
      <c r="AD775" s="110"/>
      <c r="AE775" s="110"/>
      <c r="AF775" s="110"/>
      <c r="AG775" s="110"/>
      <c r="AH775" s="110"/>
      <c r="AI775" s="110"/>
    </row>
    <row r="776" spans="1:35" ht="13.5" customHeight="1">
      <c r="A776" s="4"/>
      <c r="B776" s="15" t="s">
        <v>3885</v>
      </c>
      <c r="C776" s="328" t="s">
        <v>3886</v>
      </c>
      <c r="D776" s="254">
        <f>SUMIF(GL!$D$5:$D$6505,B776,GL!$G$5:$G$6505)</f>
        <v>0</v>
      </c>
      <c r="E776" s="341">
        <f>SUMIF(GL!$D$6:$D$6487,B776,GL!$H$6:$H$6487)</f>
        <v>0</v>
      </c>
      <c r="F776" s="341">
        <f>SUMIF(GL!$D$6:$D$6487,B776,GL!$I$6:$I$6487)</f>
        <v>0</v>
      </c>
      <c r="G776" s="341"/>
      <c r="H776" s="341"/>
      <c r="I776" s="341">
        <f t="shared" si="807"/>
        <v>0</v>
      </c>
      <c r="J776" s="341">
        <f t="shared" si="808"/>
        <v>0</v>
      </c>
      <c r="K776" s="341"/>
      <c r="L776" s="342"/>
      <c r="M776" s="342"/>
      <c r="N776" s="341">
        <f t="shared" si="802"/>
        <v>0</v>
      </c>
      <c r="O776" s="341">
        <f t="shared" si="803"/>
        <v>0</v>
      </c>
      <c r="P776" s="341">
        <f>SUMIF(GL!$D$6488:$D$6532,B776,GL!$H$6488:$H$6532)</f>
        <v>0</v>
      </c>
      <c r="Q776" s="341">
        <f>SUMIF(GL!$D$6408:$D$6452,B776,GL!$I$6408:$I$6452)</f>
        <v>0</v>
      </c>
      <c r="R776" s="341">
        <f t="shared" ref="R776:S776" si="827">P776+N776</f>
        <v>0</v>
      </c>
      <c r="S776" s="341">
        <f t="shared" si="827"/>
        <v>0</v>
      </c>
      <c r="T776" s="340"/>
      <c r="U776" s="340"/>
      <c r="V776" s="340"/>
      <c r="W776" s="340"/>
      <c r="X776" s="341">
        <f t="shared" si="805"/>
        <v>0</v>
      </c>
      <c r="Y776" s="341">
        <f t="shared" si="806"/>
        <v>0</v>
      </c>
      <c r="Z776" s="331"/>
      <c r="AA776" s="110"/>
      <c r="AB776" s="332"/>
      <c r="AC776" s="332"/>
      <c r="AD776" s="110"/>
      <c r="AE776" s="110"/>
      <c r="AF776" s="110"/>
      <c r="AG776" s="110"/>
      <c r="AH776" s="110"/>
      <c r="AI776" s="110"/>
    </row>
    <row r="777" spans="1:35" ht="13.5" customHeight="1">
      <c r="A777" s="4"/>
      <c r="B777" s="15" t="s">
        <v>3887</v>
      </c>
      <c r="C777" s="328" t="s">
        <v>3888</v>
      </c>
      <c r="D777" s="254">
        <f>SUMIF(GL!$D$5:$D$6505,B777,GL!$G$5:$G$6505)</f>
        <v>0</v>
      </c>
      <c r="E777" s="341">
        <f>SUMIF(GL!$D$6:$D$6487,B777,GL!$H$6:$H$6487)</f>
        <v>0</v>
      </c>
      <c r="F777" s="341">
        <f>SUMIF(GL!$D$6:$D$6487,B777,GL!$I$6:$I$6487)</f>
        <v>0</v>
      </c>
      <c r="G777" s="341"/>
      <c r="H777" s="341"/>
      <c r="I777" s="341">
        <f t="shared" si="807"/>
        <v>0</v>
      </c>
      <c r="J777" s="341">
        <f t="shared" si="808"/>
        <v>0</v>
      </c>
      <c r="K777" s="341"/>
      <c r="L777" s="342"/>
      <c r="M777" s="342"/>
      <c r="N777" s="341">
        <f t="shared" si="802"/>
        <v>0</v>
      </c>
      <c r="O777" s="341">
        <f t="shared" si="803"/>
        <v>0</v>
      </c>
      <c r="P777" s="341">
        <f>SUMIF(GL!$D$6488:$D$6532,B777,GL!$H$6488:$H$6532)</f>
        <v>0</v>
      </c>
      <c r="Q777" s="341">
        <f>SUMIF(GL!$D$6408:$D$6452,B777,GL!$I$6408:$I$6452)</f>
        <v>0</v>
      </c>
      <c r="R777" s="341">
        <f t="shared" ref="R777:S777" si="828">P777+N777</f>
        <v>0</v>
      </c>
      <c r="S777" s="341">
        <f t="shared" si="828"/>
        <v>0</v>
      </c>
      <c r="T777" s="340"/>
      <c r="U777" s="340"/>
      <c r="V777" s="340"/>
      <c r="W777" s="340"/>
      <c r="X777" s="341">
        <f t="shared" si="805"/>
        <v>0</v>
      </c>
      <c r="Y777" s="341">
        <f t="shared" si="806"/>
        <v>0</v>
      </c>
      <c r="Z777" s="331"/>
      <c r="AA777" s="110"/>
      <c r="AB777" s="332"/>
      <c r="AC777" s="332"/>
      <c r="AD777" s="110"/>
      <c r="AE777" s="110"/>
      <c r="AF777" s="110"/>
      <c r="AG777" s="110"/>
      <c r="AH777" s="110"/>
      <c r="AI777" s="110"/>
    </row>
    <row r="778" spans="1:35" ht="13.5" customHeight="1">
      <c r="A778" s="4"/>
      <c r="B778" s="15" t="s">
        <v>3889</v>
      </c>
      <c r="C778" s="328" t="s">
        <v>3890</v>
      </c>
      <c r="D778" s="254">
        <f>SUMIF(GL!$D$5:$D$6505,B778,GL!$G$5:$G$6505)</f>
        <v>0</v>
      </c>
      <c r="E778" s="341">
        <f>SUMIF(GL!$D$6:$D$6487,B778,GL!$H$6:$H$6487)</f>
        <v>0</v>
      </c>
      <c r="F778" s="341">
        <f>SUMIF(GL!$D$6:$D$6487,B778,GL!$I$6:$I$6487)</f>
        <v>0</v>
      </c>
      <c r="G778" s="341"/>
      <c r="H778" s="341"/>
      <c r="I778" s="341">
        <f t="shared" si="807"/>
        <v>0</v>
      </c>
      <c r="J778" s="341">
        <f t="shared" si="808"/>
        <v>0</v>
      </c>
      <c r="K778" s="341"/>
      <c r="L778" s="342"/>
      <c r="M778" s="342"/>
      <c r="N778" s="341">
        <f t="shared" si="802"/>
        <v>0</v>
      </c>
      <c r="O778" s="341">
        <f t="shared" si="803"/>
        <v>0</v>
      </c>
      <c r="P778" s="341">
        <f>SUMIF(GL!$D$6488:$D$6532,B778,GL!$H$6488:$H$6532)</f>
        <v>0</v>
      </c>
      <c r="Q778" s="341">
        <f>SUMIF(GL!$D$6408:$D$6452,B778,GL!$I$6408:$I$6452)</f>
        <v>0</v>
      </c>
      <c r="R778" s="341">
        <f t="shared" ref="R778:S778" si="829">P778+N778</f>
        <v>0</v>
      </c>
      <c r="S778" s="341">
        <f t="shared" si="829"/>
        <v>0</v>
      </c>
      <c r="T778" s="340"/>
      <c r="U778" s="340"/>
      <c r="V778" s="340"/>
      <c r="W778" s="340"/>
      <c r="X778" s="341">
        <f t="shared" si="805"/>
        <v>0</v>
      </c>
      <c r="Y778" s="341">
        <f t="shared" si="806"/>
        <v>0</v>
      </c>
      <c r="Z778" s="331"/>
      <c r="AA778" s="110"/>
      <c r="AB778" s="332"/>
      <c r="AC778" s="332"/>
      <c r="AD778" s="110"/>
      <c r="AE778" s="110"/>
      <c r="AF778" s="110"/>
      <c r="AG778" s="110"/>
      <c r="AH778" s="110"/>
      <c r="AI778" s="110"/>
    </row>
    <row r="779" spans="1:35" ht="13.5" customHeight="1">
      <c r="A779" s="4"/>
      <c r="B779" s="15" t="s">
        <v>3891</v>
      </c>
      <c r="C779" s="328" t="s">
        <v>5089</v>
      </c>
      <c r="D779" s="254">
        <f>SUMIF(GL!$D$5:$D$6505,B779,GL!$G$5:$G$6505)</f>
        <v>0</v>
      </c>
      <c r="E779" s="341">
        <f>SUMIF(GL!$D$6:$D$6487,B779,GL!$H$6:$H$6487)</f>
        <v>0</v>
      </c>
      <c r="F779" s="341">
        <f>SUMIF(GL!$D$6:$D$6487,B779,GL!$I$6:$I$6487)</f>
        <v>0</v>
      </c>
      <c r="G779" s="341"/>
      <c r="H779" s="341"/>
      <c r="I779" s="341">
        <f t="shared" si="807"/>
        <v>0</v>
      </c>
      <c r="J779" s="341">
        <f t="shared" si="808"/>
        <v>0</v>
      </c>
      <c r="K779" s="341"/>
      <c r="L779" s="342"/>
      <c r="M779" s="342"/>
      <c r="N779" s="341">
        <f t="shared" si="802"/>
        <v>0</v>
      </c>
      <c r="O779" s="341">
        <f t="shared" si="803"/>
        <v>0</v>
      </c>
      <c r="P779" s="341">
        <f>SUMIF(GL!$D$6488:$D$6532,B779,GL!$H$6488:$H$6532)</f>
        <v>0</v>
      </c>
      <c r="Q779" s="341">
        <f>SUMIF(GL!$D$6408:$D$6452,B779,GL!$I$6408:$I$6452)</f>
        <v>0</v>
      </c>
      <c r="R779" s="341">
        <f t="shared" ref="R779:S779" si="830">P779+N779</f>
        <v>0</v>
      </c>
      <c r="S779" s="341">
        <f t="shared" si="830"/>
        <v>0</v>
      </c>
      <c r="T779" s="340"/>
      <c r="U779" s="340"/>
      <c r="V779" s="340"/>
      <c r="W779" s="340"/>
      <c r="X779" s="341">
        <f t="shared" si="805"/>
        <v>0</v>
      </c>
      <c r="Y779" s="341">
        <f t="shared" si="806"/>
        <v>0</v>
      </c>
      <c r="Z779" s="331"/>
      <c r="AA779" s="110"/>
      <c r="AB779" s="332"/>
      <c r="AC779" s="332"/>
      <c r="AD779" s="110"/>
      <c r="AE779" s="110"/>
      <c r="AF779" s="110"/>
      <c r="AG779" s="110"/>
      <c r="AH779" s="110"/>
      <c r="AI779" s="110"/>
    </row>
    <row r="780" spans="1:35" ht="13.5" customHeight="1">
      <c r="A780" s="4"/>
      <c r="B780" s="15" t="s">
        <v>3893</v>
      </c>
      <c r="C780" s="328" t="s">
        <v>5090</v>
      </c>
      <c r="D780" s="254">
        <f>SUMIF(GL!$D$5:$D$6505,B780,GL!$G$5:$G$6505)</f>
        <v>0</v>
      </c>
      <c r="E780" s="341">
        <f>SUMIF(GL!$D$6:$D$6487,B780,GL!$H$6:$H$6487)</f>
        <v>0</v>
      </c>
      <c r="F780" s="341">
        <f>SUMIF(GL!$D$6:$D$6487,B780,GL!$I$6:$I$6487)</f>
        <v>0</v>
      </c>
      <c r="G780" s="341"/>
      <c r="H780" s="341"/>
      <c r="I780" s="341">
        <f t="shared" si="807"/>
        <v>0</v>
      </c>
      <c r="J780" s="341">
        <f t="shared" si="808"/>
        <v>0</v>
      </c>
      <c r="K780" s="341"/>
      <c r="L780" s="342"/>
      <c r="M780" s="342"/>
      <c r="N780" s="341">
        <f t="shared" si="802"/>
        <v>0</v>
      </c>
      <c r="O780" s="341">
        <f t="shared" si="803"/>
        <v>0</v>
      </c>
      <c r="P780" s="341">
        <f>SUMIF(GL!$D$6488:$D$6532,B780,GL!$H$6488:$H$6532)</f>
        <v>0</v>
      </c>
      <c r="Q780" s="341">
        <f>SUMIF(GL!$D$6408:$D$6452,B780,GL!$I$6408:$I$6452)</f>
        <v>0</v>
      </c>
      <c r="R780" s="341">
        <f t="shared" ref="R780:S780" si="831">P780+N780</f>
        <v>0</v>
      </c>
      <c r="S780" s="341">
        <f t="shared" si="831"/>
        <v>0</v>
      </c>
      <c r="T780" s="340"/>
      <c r="U780" s="340"/>
      <c r="V780" s="340"/>
      <c r="W780" s="340"/>
      <c r="X780" s="341">
        <f t="shared" si="805"/>
        <v>0</v>
      </c>
      <c r="Y780" s="341">
        <f t="shared" si="806"/>
        <v>0</v>
      </c>
      <c r="Z780" s="331"/>
      <c r="AA780" s="110"/>
      <c r="AB780" s="332"/>
      <c r="AC780" s="332"/>
      <c r="AD780" s="110"/>
      <c r="AE780" s="110"/>
      <c r="AF780" s="110"/>
      <c r="AG780" s="110"/>
      <c r="AH780" s="110"/>
      <c r="AI780" s="110"/>
    </row>
    <row r="781" spans="1:35" ht="13.5" customHeight="1">
      <c r="A781" s="4"/>
      <c r="B781" s="15" t="s">
        <v>3895</v>
      </c>
      <c r="C781" s="328" t="s">
        <v>5091</v>
      </c>
      <c r="D781" s="254">
        <f>SUMIF(GL!$D$5:$D$6505,B781,GL!$G$5:$G$6505)</f>
        <v>0</v>
      </c>
      <c r="E781" s="341">
        <f>SUMIF(GL!$D$6:$D$6487,B781,GL!$H$6:$H$6487)</f>
        <v>0</v>
      </c>
      <c r="F781" s="341">
        <f>SUMIF(GL!$D$6:$D$6487,B781,GL!$I$6:$I$6487)</f>
        <v>0</v>
      </c>
      <c r="G781" s="341"/>
      <c r="H781" s="341"/>
      <c r="I781" s="341">
        <f t="shared" si="807"/>
        <v>0</v>
      </c>
      <c r="J781" s="341">
        <f t="shared" si="808"/>
        <v>0</v>
      </c>
      <c r="K781" s="341"/>
      <c r="L781" s="342"/>
      <c r="M781" s="342"/>
      <c r="N781" s="341">
        <f t="shared" si="802"/>
        <v>0</v>
      </c>
      <c r="O781" s="341">
        <f t="shared" si="803"/>
        <v>0</v>
      </c>
      <c r="P781" s="341">
        <f>SUMIF(GL!$D$6488:$D$6532,B781,GL!$H$6488:$H$6532)</f>
        <v>0</v>
      </c>
      <c r="Q781" s="341">
        <f>SUMIF(GL!$D$6408:$D$6452,B781,GL!$I$6408:$I$6452)</f>
        <v>0</v>
      </c>
      <c r="R781" s="341">
        <f t="shared" ref="R781:S781" si="832">P781+N781</f>
        <v>0</v>
      </c>
      <c r="S781" s="341">
        <f t="shared" si="832"/>
        <v>0</v>
      </c>
      <c r="T781" s="340"/>
      <c r="U781" s="340"/>
      <c r="V781" s="340"/>
      <c r="W781" s="340"/>
      <c r="X781" s="341">
        <f t="shared" si="805"/>
        <v>0</v>
      </c>
      <c r="Y781" s="341">
        <f t="shared" si="806"/>
        <v>0</v>
      </c>
      <c r="Z781" s="331"/>
      <c r="AA781" s="110"/>
      <c r="AB781" s="332"/>
      <c r="AC781" s="332"/>
      <c r="AD781" s="110"/>
      <c r="AE781" s="110"/>
      <c r="AF781" s="110"/>
      <c r="AG781" s="110"/>
      <c r="AH781" s="110"/>
      <c r="AI781" s="110"/>
    </row>
    <row r="782" spans="1:35" ht="13.5" customHeight="1">
      <c r="A782" s="4"/>
      <c r="B782" s="15" t="s">
        <v>3897</v>
      </c>
      <c r="C782" s="328" t="s">
        <v>5092</v>
      </c>
      <c r="D782" s="254">
        <f>SUMIF(GL!$D$5:$D$6505,B782,GL!$G$5:$G$6505)</f>
        <v>0</v>
      </c>
      <c r="E782" s="341">
        <f>SUMIF(GL!$D$6:$D$6487,B782,GL!$H$6:$H$6487)</f>
        <v>0</v>
      </c>
      <c r="F782" s="341">
        <f>SUMIF(GL!$D$6:$D$6487,B782,GL!$I$6:$I$6487)</f>
        <v>0</v>
      </c>
      <c r="G782" s="341"/>
      <c r="H782" s="341"/>
      <c r="I782" s="341">
        <f t="shared" si="807"/>
        <v>0</v>
      </c>
      <c r="J782" s="341">
        <f t="shared" si="808"/>
        <v>0</v>
      </c>
      <c r="K782" s="341"/>
      <c r="L782" s="342"/>
      <c r="M782" s="342"/>
      <c r="N782" s="341">
        <f t="shared" si="802"/>
        <v>0</v>
      </c>
      <c r="O782" s="341">
        <f t="shared" si="803"/>
        <v>0</v>
      </c>
      <c r="P782" s="341">
        <f>SUMIF(GL!$D$6488:$D$6532,B782,GL!$H$6488:$H$6532)</f>
        <v>0</v>
      </c>
      <c r="Q782" s="341">
        <f>SUMIF(GL!$D$6408:$D$6452,B782,GL!$I$6408:$I$6452)</f>
        <v>0</v>
      </c>
      <c r="R782" s="341">
        <f t="shared" ref="R782:S782" si="833">P782+N782</f>
        <v>0</v>
      </c>
      <c r="S782" s="341">
        <f t="shared" si="833"/>
        <v>0</v>
      </c>
      <c r="T782" s="340"/>
      <c r="U782" s="340"/>
      <c r="V782" s="340"/>
      <c r="W782" s="340"/>
      <c r="X782" s="341">
        <f t="shared" si="805"/>
        <v>0</v>
      </c>
      <c r="Y782" s="341">
        <f t="shared" si="806"/>
        <v>0</v>
      </c>
      <c r="Z782" s="331"/>
      <c r="AA782" s="110"/>
      <c r="AB782" s="332"/>
      <c r="AC782" s="332"/>
      <c r="AD782" s="110"/>
      <c r="AE782" s="110"/>
      <c r="AF782" s="110"/>
      <c r="AG782" s="110"/>
      <c r="AH782" s="110"/>
      <c r="AI782" s="110"/>
    </row>
    <row r="783" spans="1:35" ht="13.5" customHeight="1">
      <c r="A783" s="4"/>
      <c r="B783" s="15" t="s">
        <v>3899</v>
      </c>
      <c r="C783" s="260" t="s">
        <v>3900</v>
      </c>
      <c r="D783" s="254">
        <f>SUMIF(GL!$D$5:$D$6505,B783,GL!$G$5:$G$6505)</f>
        <v>0</v>
      </c>
      <c r="E783" s="341">
        <f>SUMIF(GL!$D$6:$D$6487,B783,GL!$H$6:$H$6487)</f>
        <v>0</v>
      </c>
      <c r="F783" s="341">
        <f>SUMIF(GL!$D$6:$D$6487,B783,GL!$I$6:$I$6487)</f>
        <v>0</v>
      </c>
      <c r="G783" s="341"/>
      <c r="H783" s="341"/>
      <c r="I783" s="341">
        <f t="shared" si="807"/>
        <v>0</v>
      </c>
      <c r="J783" s="341">
        <f t="shared" si="808"/>
        <v>0</v>
      </c>
      <c r="K783" s="341"/>
      <c r="L783" s="342"/>
      <c r="M783" s="342"/>
      <c r="N783" s="341">
        <f t="shared" si="802"/>
        <v>0</v>
      </c>
      <c r="O783" s="341">
        <f t="shared" si="803"/>
        <v>0</v>
      </c>
      <c r="P783" s="341">
        <f>SUMIF(GL!$D$6488:$D$6532,B783,GL!$H$6488:$H$6532)</f>
        <v>0</v>
      </c>
      <c r="Q783" s="341">
        <f>SUMIF(GL!$D$6408:$D$6452,B783,GL!$I$6408:$I$6452)</f>
        <v>0</v>
      </c>
      <c r="R783" s="341">
        <f t="shared" ref="R783:S783" si="834">P783+N783</f>
        <v>0</v>
      </c>
      <c r="S783" s="341">
        <f t="shared" si="834"/>
        <v>0</v>
      </c>
      <c r="T783" s="340"/>
      <c r="U783" s="340"/>
      <c r="V783" s="340"/>
      <c r="W783" s="340"/>
      <c r="X783" s="341">
        <f t="shared" si="805"/>
        <v>0</v>
      </c>
      <c r="Y783" s="341">
        <f t="shared" si="806"/>
        <v>0</v>
      </c>
      <c r="Z783" s="331"/>
      <c r="AA783" s="110"/>
      <c r="AB783" s="332"/>
      <c r="AC783" s="332"/>
      <c r="AD783" s="110"/>
      <c r="AE783" s="110"/>
      <c r="AF783" s="110"/>
      <c r="AG783" s="110"/>
      <c r="AH783" s="110"/>
      <c r="AI783" s="110"/>
    </row>
    <row r="784" spans="1:35" ht="13.5" customHeight="1">
      <c r="A784" s="4"/>
      <c r="B784" s="15" t="s">
        <v>3901</v>
      </c>
      <c r="C784" s="260" t="s">
        <v>3902</v>
      </c>
      <c r="D784" s="254">
        <f>SUMIF(GL!$D$5:$D$6505,B784,GL!$G$5:$G$6505)</f>
        <v>0</v>
      </c>
      <c r="E784" s="341">
        <f>SUMIF(GL!$D$6:$D$6487,B784,GL!$H$6:$H$6487)</f>
        <v>0</v>
      </c>
      <c r="F784" s="341">
        <f>SUMIF(GL!$D$6:$D$6487,B784,GL!$I$6:$I$6487)</f>
        <v>0</v>
      </c>
      <c r="G784" s="341"/>
      <c r="H784" s="341"/>
      <c r="I784" s="341">
        <f t="shared" si="807"/>
        <v>0</v>
      </c>
      <c r="J784" s="341">
        <f t="shared" si="808"/>
        <v>0</v>
      </c>
      <c r="K784" s="341"/>
      <c r="L784" s="342"/>
      <c r="M784" s="342"/>
      <c r="N784" s="341">
        <f t="shared" si="802"/>
        <v>0</v>
      </c>
      <c r="O784" s="341">
        <f t="shared" si="803"/>
        <v>0</v>
      </c>
      <c r="P784" s="341">
        <f>SUMIF(GL!$D$6488:$D$6532,B784,GL!$H$6488:$H$6532)</f>
        <v>0</v>
      </c>
      <c r="Q784" s="341">
        <f>SUMIF(GL!$D$6408:$D$6452,B784,GL!$I$6408:$I$6452)</f>
        <v>0</v>
      </c>
      <c r="R784" s="341">
        <f t="shared" ref="R784:S784" si="835">P784+N784</f>
        <v>0</v>
      </c>
      <c r="S784" s="341">
        <f t="shared" si="835"/>
        <v>0</v>
      </c>
      <c r="T784" s="340"/>
      <c r="U784" s="340"/>
      <c r="V784" s="340"/>
      <c r="W784" s="340"/>
      <c r="X784" s="341">
        <f t="shared" si="805"/>
        <v>0</v>
      </c>
      <c r="Y784" s="341">
        <f t="shared" si="806"/>
        <v>0</v>
      </c>
      <c r="Z784" s="331"/>
      <c r="AA784" s="110"/>
      <c r="AB784" s="332"/>
      <c r="AC784" s="332"/>
      <c r="AD784" s="110"/>
      <c r="AE784" s="110"/>
      <c r="AF784" s="110"/>
      <c r="AG784" s="110"/>
      <c r="AH784" s="110"/>
      <c r="AI784" s="110"/>
    </row>
    <row r="785" spans="1:35" ht="13.5" customHeight="1">
      <c r="A785" s="4"/>
      <c r="B785" s="15" t="s">
        <v>3903</v>
      </c>
      <c r="C785" s="260" t="s">
        <v>3904</v>
      </c>
      <c r="D785" s="254">
        <f>SUMIF(GL!$D$5:$D$6505,B785,GL!$G$5:$G$6505)</f>
        <v>0</v>
      </c>
      <c r="E785" s="341">
        <f>SUMIF(GL!$D$6:$D$6487,B785,GL!$H$6:$H$6487)</f>
        <v>0</v>
      </c>
      <c r="F785" s="341">
        <f>SUMIF(GL!$D$6:$D$6487,B785,GL!$I$6:$I$6487)</f>
        <v>0</v>
      </c>
      <c r="G785" s="341"/>
      <c r="H785" s="341"/>
      <c r="I785" s="341">
        <f t="shared" si="807"/>
        <v>0</v>
      </c>
      <c r="J785" s="341">
        <f t="shared" si="808"/>
        <v>0</v>
      </c>
      <c r="K785" s="341"/>
      <c r="L785" s="342"/>
      <c r="M785" s="342"/>
      <c r="N785" s="341">
        <f t="shared" si="802"/>
        <v>0</v>
      </c>
      <c r="O785" s="341">
        <f t="shared" si="803"/>
        <v>0</v>
      </c>
      <c r="P785" s="341">
        <f>SUMIF(GL!$D$6488:$D$6532,B785,GL!$H$6488:$H$6532)</f>
        <v>0</v>
      </c>
      <c r="Q785" s="341">
        <f>SUMIF(GL!$D$6408:$D$6452,B785,GL!$I$6408:$I$6452)</f>
        <v>0</v>
      </c>
      <c r="R785" s="341">
        <f t="shared" ref="R785:S785" si="836">P785+N785</f>
        <v>0</v>
      </c>
      <c r="S785" s="341">
        <f t="shared" si="836"/>
        <v>0</v>
      </c>
      <c r="T785" s="340"/>
      <c r="U785" s="340"/>
      <c r="V785" s="340"/>
      <c r="W785" s="340"/>
      <c r="X785" s="341">
        <f t="shared" si="805"/>
        <v>0</v>
      </c>
      <c r="Y785" s="341">
        <f t="shared" si="806"/>
        <v>0</v>
      </c>
      <c r="Z785" s="331"/>
      <c r="AA785" s="110"/>
      <c r="AB785" s="332"/>
      <c r="AC785" s="332"/>
      <c r="AD785" s="110"/>
      <c r="AE785" s="110"/>
      <c r="AF785" s="110"/>
      <c r="AG785" s="110"/>
      <c r="AH785" s="110"/>
      <c r="AI785" s="110"/>
    </row>
    <row r="786" spans="1:35" ht="13.5" customHeight="1">
      <c r="A786" s="4"/>
      <c r="B786" s="15" t="s">
        <v>3905</v>
      </c>
      <c r="C786" s="260" t="s">
        <v>3906</v>
      </c>
      <c r="D786" s="254">
        <f>SUMIF(GL!$D$5:$D$6505,B786,GL!$G$5:$G$6505)</f>
        <v>0</v>
      </c>
      <c r="E786" s="341">
        <f>SUMIF(GL!$D$6:$D$6487,B786,GL!$H$6:$H$6487)</f>
        <v>0</v>
      </c>
      <c r="F786" s="341">
        <f>SUMIF(GL!$D$6:$D$6487,B786,GL!$I$6:$I$6487)</f>
        <v>0</v>
      </c>
      <c r="G786" s="341"/>
      <c r="H786" s="341"/>
      <c r="I786" s="341">
        <f t="shared" si="807"/>
        <v>0</v>
      </c>
      <c r="J786" s="341">
        <f t="shared" si="808"/>
        <v>0</v>
      </c>
      <c r="K786" s="341"/>
      <c r="L786" s="342"/>
      <c r="M786" s="342"/>
      <c r="N786" s="341">
        <f t="shared" si="802"/>
        <v>0</v>
      </c>
      <c r="O786" s="341">
        <f t="shared" si="803"/>
        <v>0</v>
      </c>
      <c r="P786" s="341">
        <f>SUMIF(GL!$D$6488:$D$6532,B786,GL!$H$6488:$H$6532)</f>
        <v>0</v>
      </c>
      <c r="Q786" s="341">
        <f>SUMIF(GL!$D$6408:$D$6452,B786,GL!$I$6408:$I$6452)</f>
        <v>0</v>
      </c>
      <c r="R786" s="341">
        <f t="shared" ref="R786:S786" si="837">P786+N786</f>
        <v>0</v>
      </c>
      <c r="S786" s="341">
        <f t="shared" si="837"/>
        <v>0</v>
      </c>
      <c r="T786" s="340"/>
      <c r="U786" s="340"/>
      <c r="V786" s="340"/>
      <c r="W786" s="340"/>
      <c r="X786" s="341">
        <f t="shared" si="805"/>
        <v>0</v>
      </c>
      <c r="Y786" s="341">
        <f t="shared" si="806"/>
        <v>0</v>
      </c>
      <c r="Z786" s="331"/>
      <c r="AA786" s="110"/>
      <c r="AB786" s="332"/>
      <c r="AC786" s="332"/>
      <c r="AD786" s="110"/>
      <c r="AE786" s="110"/>
      <c r="AF786" s="110"/>
      <c r="AG786" s="110"/>
      <c r="AH786" s="110"/>
      <c r="AI786" s="110"/>
    </row>
    <row r="787" spans="1:35" ht="13.5" customHeight="1">
      <c r="A787" s="4"/>
      <c r="B787" s="15" t="s">
        <v>3907</v>
      </c>
      <c r="C787" s="260" t="s">
        <v>3908</v>
      </c>
      <c r="D787" s="254">
        <f>SUMIF(GL!$D$5:$D$6505,B787,GL!$G$5:$G$6505)</f>
        <v>0</v>
      </c>
      <c r="E787" s="341">
        <f>SUMIF(GL!$D$6:$D$6487,B787,GL!$H$6:$H$6487)</f>
        <v>0</v>
      </c>
      <c r="F787" s="341">
        <f>SUMIF(GL!$D$6:$D$6487,B787,GL!$I$6:$I$6487)</f>
        <v>0</v>
      </c>
      <c r="G787" s="341"/>
      <c r="H787" s="341"/>
      <c r="I787" s="341">
        <f t="shared" si="807"/>
        <v>0</v>
      </c>
      <c r="J787" s="341">
        <f t="shared" si="808"/>
        <v>0</v>
      </c>
      <c r="K787" s="341"/>
      <c r="L787" s="342"/>
      <c r="M787" s="342"/>
      <c r="N787" s="341">
        <f t="shared" si="802"/>
        <v>0</v>
      </c>
      <c r="O787" s="341">
        <f t="shared" si="803"/>
        <v>0</v>
      </c>
      <c r="P787" s="341">
        <f>SUMIF(GL!$D$6488:$D$6532,B787,GL!$H$6488:$H$6532)</f>
        <v>0</v>
      </c>
      <c r="Q787" s="341">
        <f>SUMIF(GL!$D$6408:$D$6452,B787,GL!$I$6408:$I$6452)</f>
        <v>0</v>
      </c>
      <c r="R787" s="341">
        <f t="shared" ref="R787:S787" si="838">P787+N787</f>
        <v>0</v>
      </c>
      <c r="S787" s="341">
        <f t="shared" si="838"/>
        <v>0</v>
      </c>
      <c r="T787" s="340"/>
      <c r="U787" s="340"/>
      <c r="V787" s="340"/>
      <c r="W787" s="340"/>
      <c r="X787" s="341">
        <f t="shared" si="805"/>
        <v>0</v>
      </c>
      <c r="Y787" s="341">
        <f t="shared" si="806"/>
        <v>0</v>
      </c>
      <c r="Z787" s="331"/>
      <c r="AA787" s="110"/>
      <c r="AB787" s="332"/>
      <c r="AC787" s="332"/>
      <c r="AD787" s="110"/>
      <c r="AE787" s="110"/>
      <c r="AF787" s="110"/>
      <c r="AG787" s="110"/>
      <c r="AH787" s="110"/>
      <c r="AI787" s="110"/>
    </row>
    <row r="788" spans="1:35" ht="13.5" customHeight="1">
      <c r="A788" s="4"/>
      <c r="B788" s="15" t="s">
        <v>3909</v>
      </c>
      <c r="C788" s="260" t="s">
        <v>3910</v>
      </c>
      <c r="D788" s="254">
        <f>SUMIF(GL!$D$5:$D$6505,B788,GL!$G$5:$G$6505)</f>
        <v>0</v>
      </c>
      <c r="E788" s="341">
        <f>SUMIF(GL!$D$6:$D$6487,B788,GL!$H$6:$H$6487)</f>
        <v>0</v>
      </c>
      <c r="F788" s="341">
        <f>SUMIF(GL!$D$6:$D$6487,B788,GL!$I$6:$I$6487)</f>
        <v>0</v>
      </c>
      <c r="G788" s="341"/>
      <c r="H788" s="341"/>
      <c r="I788" s="341">
        <f t="shared" si="807"/>
        <v>0</v>
      </c>
      <c r="J788" s="341">
        <f t="shared" si="808"/>
        <v>0</v>
      </c>
      <c r="K788" s="341"/>
      <c r="L788" s="342"/>
      <c r="M788" s="342"/>
      <c r="N788" s="341">
        <f t="shared" si="802"/>
        <v>0</v>
      </c>
      <c r="O788" s="341">
        <f t="shared" si="803"/>
        <v>0</v>
      </c>
      <c r="P788" s="341">
        <f>SUMIF(GL!$D$6488:$D$6532,B788,GL!$H$6488:$H$6532)</f>
        <v>0</v>
      </c>
      <c r="Q788" s="341">
        <f>SUMIF(GL!$D$6408:$D$6452,B788,GL!$I$6408:$I$6452)</f>
        <v>0</v>
      </c>
      <c r="R788" s="341">
        <f t="shared" ref="R788:S788" si="839">P788+N788</f>
        <v>0</v>
      </c>
      <c r="S788" s="341">
        <f t="shared" si="839"/>
        <v>0</v>
      </c>
      <c r="T788" s="340"/>
      <c r="U788" s="340"/>
      <c r="V788" s="340"/>
      <c r="W788" s="340"/>
      <c r="X788" s="341">
        <f t="shared" si="805"/>
        <v>0</v>
      </c>
      <c r="Y788" s="341">
        <f t="shared" si="806"/>
        <v>0</v>
      </c>
      <c r="Z788" s="331"/>
      <c r="AA788" s="110"/>
      <c r="AB788" s="332"/>
      <c r="AC788" s="332"/>
      <c r="AD788" s="110"/>
      <c r="AE788" s="110"/>
      <c r="AF788" s="110"/>
      <c r="AG788" s="110"/>
      <c r="AH788" s="110"/>
      <c r="AI788" s="110"/>
    </row>
    <row r="789" spans="1:35" ht="13.5" customHeight="1">
      <c r="A789" s="4"/>
      <c r="B789" s="15" t="s">
        <v>3911</v>
      </c>
      <c r="C789" s="260" t="s">
        <v>3912</v>
      </c>
      <c r="D789" s="254">
        <f>SUMIF(GL!$D$5:$D$6505,B789,GL!$G$5:$G$6505)</f>
        <v>0</v>
      </c>
      <c r="E789" s="341">
        <f>SUMIF(GL!$D$6:$D$6487,B789,GL!$H$6:$H$6487)</f>
        <v>0</v>
      </c>
      <c r="F789" s="341">
        <f>SUMIF(GL!$D$6:$D$6487,B789,GL!$I$6:$I$6487)</f>
        <v>0</v>
      </c>
      <c r="G789" s="341"/>
      <c r="H789" s="341"/>
      <c r="I789" s="341">
        <f t="shared" si="807"/>
        <v>0</v>
      </c>
      <c r="J789" s="341">
        <f t="shared" si="808"/>
        <v>0</v>
      </c>
      <c r="K789" s="341"/>
      <c r="L789" s="342"/>
      <c r="M789" s="342"/>
      <c r="N789" s="341">
        <f t="shared" si="802"/>
        <v>0</v>
      </c>
      <c r="O789" s="341">
        <f t="shared" si="803"/>
        <v>0</v>
      </c>
      <c r="P789" s="341">
        <f>SUMIF(GL!$D$6488:$D$6532,B789,GL!$H$6488:$H$6532)</f>
        <v>0</v>
      </c>
      <c r="Q789" s="341">
        <f>SUMIF(GL!$D$6408:$D$6452,B789,GL!$I$6408:$I$6452)</f>
        <v>0</v>
      </c>
      <c r="R789" s="341">
        <f t="shared" ref="R789:S789" si="840">P789+N789</f>
        <v>0</v>
      </c>
      <c r="S789" s="341">
        <f t="shared" si="840"/>
        <v>0</v>
      </c>
      <c r="T789" s="340"/>
      <c r="U789" s="340"/>
      <c r="V789" s="340"/>
      <c r="W789" s="340"/>
      <c r="X789" s="341">
        <f t="shared" si="805"/>
        <v>0</v>
      </c>
      <c r="Y789" s="341">
        <f t="shared" si="806"/>
        <v>0</v>
      </c>
      <c r="Z789" s="331"/>
      <c r="AA789" s="110"/>
      <c r="AB789" s="332"/>
      <c r="AC789" s="332"/>
      <c r="AD789" s="110"/>
      <c r="AE789" s="110"/>
      <c r="AF789" s="110"/>
      <c r="AG789" s="110"/>
      <c r="AH789" s="110"/>
      <c r="AI789" s="110"/>
    </row>
    <row r="790" spans="1:35" ht="13.5" customHeight="1">
      <c r="A790" s="4"/>
      <c r="B790" s="15" t="s">
        <v>3913</v>
      </c>
      <c r="C790" s="260" t="s">
        <v>3914</v>
      </c>
      <c r="D790" s="254">
        <f>SUMIF(GL!$D$5:$D$6505,B790,GL!$G$5:$G$6505)</f>
        <v>0</v>
      </c>
      <c r="E790" s="341">
        <f>SUMIF(GL!$D$6:$D$6487,B790,GL!$H$6:$H$6487)</f>
        <v>0</v>
      </c>
      <c r="F790" s="341">
        <f>SUMIF(GL!$D$6:$D$6487,B790,GL!$I$6:$I$6487)</f>
        <v>0</v>
      </c>
      <c r="G790" s="341"/>
      <c r="H790" s="341"/>
      <c r="I790" s="341">
        <f t="shared" si="807"/>
        <v>0</v>
      </c>
      <c r="J790" s="341">
        <f t="shared" si="808"/>
        <v>0</v>
      </c>
      <c r="K790" s="341"/>
      <c r="L790" s="342"/>
      <c r="M790" s="342"/>
      <c r="N790" s="341">
        <f t="shared" si="802"/>
        <v>0</v>
      </c>
      <c r="O790" s="341">
        <f t="shared" si="803"/>
        <v>0</v>
      </c>
      <c r="P790" s="341">
        <f>SUMIF(GL!$D$6488:$D$6532,B790,GL!$H$6488:$H$6532)</f>
        <v>0</v>
      </c>
      <c r="Q790" s="341">
        <f>SUMIF(GL!$D$6408:$D$6452,B790,GL!$I$6408:$I$6452)</f>
        <v>0</v>
      </c>
      <c r="R790" s="341">
        <f t="shared" ref="R790:S790" si="841">P790+N790</f>
        <v>0</v>
      </c>
      <c r="S790" s="341">
        <f t="shared" si="841"/>
        <v>0</v>
      </c>
      <c r="T790" s="340"/>
      <c r="U790" s="340"/>
      <c r="V790" s="340"/>
      <c r="W790" s="340"/>
      <c r="X790" s="341">
        <f t="shared" si="805"/>
        <v>0</v>
      </c>
      <c r="Y790" s="341">
        <f t="shared" si="806"/>
        <v>0</v>
      </c>
      <c r="Z790" s="331"/>
      <c r="AA790" s="110"/>
      <c r="AB790" s="332"/>
      <c r="AC790" s="332"/>
      <c r="AD790" s="110"/>
      <c r="AE790" s="110"/>
      <c r="AF790" s="110"/>
      <c r="AG790" s="110"/>
      <c r="AH790" s="110"/>
      <c r="AI790" s="110"/>
    </row>
    <row r="791" spans="1:35" ht="13.5" customHeight="1">
      <c r="A791" s="4"/>
      <c r="B791" s="15" t="s">
        <v>3915</v>
      </c>
      <c r="C791" s="328" t="s">
        <v>3916</v>
      </c>
      <c r="D791" s="254">
        <f>SUMIF(GL!$D$5:$D$6505,B791,GL!$G$5:$G$6505)</f>
        <v>0</v>
      </c>
      <c r="E791" s="341">
        <f>SUMIF(GL!$D$6:$D$6487,B791,GL!$H$6:$H$6487)</f>
        <v>0</v>
      </c>
      <c r="F791" s="341">
        <f>SUMIF(GL!$D$6:$D$6487,B791,GL!$I$6:$I$6487)</f>
        <v>0</v>
      </c>
      <c r="G791" s="341"/>
      <c r="H791" s="341"/>
      <c r="I791" s="341">
        <f t="shared" si="807"/>
        <v>0</v>
      </c>
      <c r="J791" s="341">
        <f t="shared" si="808"/>
        <v>0</v>
      </c>
      <c r="K791" s="341"/>
      <c r="L791" s="342"/>
      <c r="M791" s="342"/>
      <c r="N791" s="341">
        <f t="shared" si="802"/>
        <v>0</v>
      </c>
      <c r="O791" s="341">
        <f t="shared" si="803"/>
        <v>0</v>
      </c>
      <c r="P791" s="341">
        <f>SUMIF(GL!$D$6488:$D$6532,B791,GL!$H$6488:$H$6532)</f>
        <v>0</v>
      </c>
      <c r="Q791" s="341">
        <f>SUMIF(GL!$D$6408:$D$6452,B791,GL!$I$6408:$I$6452)</f>
        <v>0</v>
      </c>
      <c r="R791" s="341">
        <f t="shared" ref="R791:S791" si="842">P791+N791</f>
        <v>0</v>
      </c>
      <c r="S791" s="341">
        <f t="shared" si="842"/>
        <v>0</v>
      </c>
      <c r="T791" s="340"/>
      <c r="U791" s="340"/>
      <c r="V791" s="340"/>
      <c r="W791" s="340"/>
      <c r="X791" s="341">
        <f t="shared" si="805"/>
        <v>0</v>
      </c>
      <c r="Y791" s="341">
        <f t="shared" si="806"/>
        <v>0</v>
      </c>
      <c r="Z791" s="331"/>
      <c r="AA791" s="110"/>
      <c r="AB791" s="332"/>
      <c r="AC791" s="332"/>
      <c r="AD791" s="110"/>
      <c r="AE791" s="110"/>
      <c r="AF791" s="110"/>
      <c r="AG791" s="110"/>
      <c r="AH791" s="110"/>
      <c r="AI791" s="110"/>
    </row>
    <row r="792" spans="1:35" ht="13.5" customHeight="1">
      <c r="A792" s="4"/>
      <c r="B792" s="15" t="s">
        <v>3917</v>
      </c>
      <c r="C792" s="328" t="s">
        <v>3918</v>
      </c>
      <c r="D792" s="254">
        <f>SUMIF(GL!$D$5:$D$6505,B792,GL!$G$5:$G$6505)</f>
        <v>0</v>
      </c>
      <c r="E792" s="341">
        <f>SUMIF(GL!$D$6:$D$6487,B792,GL!$H$6:$H$6487)</f>
        <v>0</v>
      </c>
      <c r="F792" s="341">
        <f>SUMIF(GL!$D$6:$D$6487,B792,GL!$I$6:$I$6487)</f>
        <v>0</v>
      </c>
      <c r="G792" s="341"/>
      <c r="H792" s="341"/>
      <c r="I792" s="341">
        <f t="shared" si="807"/>
        <v>0</v>
      </c>
      <c r="J792" s="341">
        <f t="shared" si="808"/>
        <v>0</v>
      </c>
      <c r="K792" s="341"/>
      <c r="L792" s="342"/>
      <c r="M792" s="342"/>
      <c r="N792" s="341">
        <f t="shared" si="802"/>
        <v>0</v>
      </c>
      <c r="O792" s="341">
        <f t="shared" si="803"/>
        <v>0</v>
      </c>
      <c r="P792" s="341">
        <f>SUMIF(GL!$D$6488:$D$6532,B792,GL!$H$6488:$H$6532)</f>
        <v>0</v>
      </c>
      <c r="Q792" s="341">
        <f>SUMIF(GL!$D$6408:$D$6452,B792,GL!$I$6408:$I$6452)</f>
        <v>0</v>
      </c>
      <c r="R792" s="341">
        <f t="shared" ref="R792:S792" si="843">P792+N792</f>
        <v>0</v>
      </c>
      <c r="S792" s="341">
        <f t="shared" si="843"/>
        <v>0</v>
      </c>
      <c r="T792" s="340"/>
      <c r="U792" s="340"/>
      <c r="V792" s="340"/>
      <c r="W792" s="340"/>
      <c r="X792" s="341">
        <f t="shared" si="805"/>
        <v>0</v>
      </c>
      <c r="Y792" s="341">
        <f t="shared" si="806"/>
        <v>0</v>
      </c>
      <c r="Z792" s="331"/>
      <c r="AA792" s="110"/>
      <c r="AB792" s="332"/>
      <c r="AC792" s="332"/>
      <c r="AD792" s="110"/>
      <c r="AE792" s="110"/>
      <c r="AF792" s="110"/>
      <c r="AG792" s="110"/>
      <c r="AH792" s="110"/>
      <c r="AI792" s="110"/>
    </row>
    <row r="793" spans="1:35" ht="13.5" customHeight="1">
      <c r="A793" s="4"/>
      <c r="B793" s="15" t="s">
        <v>3919</v>
      </c>
      <c r="C793" s="328" t="s">
        <v>3920</v>
      </c>
      <c r="D793" s="254">
        <f>SUMIF(GL!$D$5:$D$6505,B793,GL!$G$5:$G$6505)</f>
        <v>0</v>
      </c>
      <c r="E793" s="341">
        <f>SUMIF(GL!$D$6:$D$6487,B793,GL!$H$6:$H$6487)</f>
        <v>0</v>
      </c>
      <c r="F793" s="341">
        <f>SUMIF(GL!$D$6:$D$6487,B793,GL!$I$6:$I$6487)</f>
        <v>0</v>
      </c>
      <c r="G793" s="341"/>
      <c r="H793" s="341"/>
      <c r="I793" s="341">
        <f t="shared" si="807"/>
        <v>0</v>
      </c>
      <c r="J793" s="341">
        <f t="shared" si="808"/>
        <v>0</v>
      </c>
      <c r="K793" s="341"/>
      <c r="L793" s="342"/>
      <c r="M793" s="342"/>
      <c r="N793" s="341">
        <f t="shared" si="802"/>
        <v>0</v>
      </c>
      <c r="O793" s="341">
        <f t="shared" si="803"/>
        <v>0</v>
      </c>
      <c r="P793" s="341">
        <f>SUMIF(GL!$D$6488:$D$6532,B793,GL!$H$6488:$H$6532)</f>
        <v>0</v>
      </c>
      <c r="Q793" s="341">
        <f>SUMIF(GL!$D$6408:$D$6452,B793,GL!$I$6408:$I$6452)</f>
        <v>0</v>
      </c>
      <c r="R793" s="341">
        <f t="shared" ref="R793:S793" si="844">P793+N793</f>
        <v>0</v>
      </c>
      <c r="S793" s="341">
        <f t="shared" si="844"/>
        <v>0</v>
      </c>
      <c r="T793" s="340"/>
      <c r="U793" s="340"/>
      <c r="V793" s="340"/>
      <c r="W793" s="340"/>
      <c r="X793" s="341">
        <f t="shared" si="805"/>
        <v>0</v>
      </c>
      <c r="Y793" s="341">
        <f t="shared" si="806"/>
        <v>0</v>
      </c>
      <c r="Z793" s="331"/>
      <c r="AA793" s="110"/>
      <c r="AB793" s="332"/>
      <c r="AC793" s="332"/>
      <c r="AD793" s="110"/>
      <c r="AE793" s="110"/>
      <c r="AF793" s="110"/>
      <c r="AG793" s="110"/>
      <c r="AH793" s="110"/>
      <c r="AI793" s="110"/>
    </row>
    <row r="794" spans="1:35" ht="13.5" customHeight="1">
      <c r="A794" s="4"/>
      <c r="B794" s="15" t="s">
        <v>3921</v>
      </c>
      <c r="C794" s="328" t="s">
        <v>3922</v>
      </c>
      <c r="D794" s="254">
        <f>SUMIF(GL!$D$5:$D$6505,B794,GL!$G$5:$G$6505)</f>
        <v>0</v>
      </c>
      <c r="E794" s="341">
        <f>SUMIF(GL!$D$6:$D$6487,B794,GL!$H$6:$H$6487)</f>
        <v>0</v>
      </c>
      <c r="F794" s="341">
        <f>SUMIF(GL!$D$6:$D$6487,B794,GL!$I$6:$I$6487)</f>
        <v>0</v>
      </c>
      <c r="G794" s="341"/>
      <c r="H794" s="341"/>
      <c r="I794" s="341">
        <f t="shared" si="807"/>
        <v>0</v>
      </c>
      <c r="J794" s="341">
        <f t="shared" si="808"/>
        <v>0</v>
      </c>
      <c r="K794" s="341"/>
      <c r="L794" s="342"/>
      <c r="M794" s="342"/>
      <c r="N794" s="341">
        <f t="shared" si="802"/>
        <v>0</v>
      </c>
      <c r="O794" s="341">
        <f t="shared" si="803"/>
        <v>0</v>
      </c>
      <c r="P794" s="341">
        <f>SUMIF(GL!$D$6488:$D$6532,B794,GL!$H$6488:$H$6532)</f>
        <v>0</v>
      </c>
      <c r="Q794" s="341">
        <f>SUMIF(GL!$D$6408:$D$6452,B794,GL!$I$6408:$I$6452)</f>
        <v>0</v>
      </c>
      <c r="R794" s="341">
        <f t="shared" ref="R794:S794" si="845">P794+N794</f>
        <v>0</v>
      </c>
      <c r="S794" s="341">
        <f t="shared" si="845"/>
        <v>0</v>
      </c>
      <c r="T794" s="340"/>
      <c r="U794" s="340"/>
      <c r="V794" s="340"/>
      <c r="W794" s="340"/>
      <c r="X794" s="341">
        <f t="shared" si="805"/>
        <v>0</v>
      </c>
      <c r="Y794" s="341">
        <f t="shared" si="806"/>
        <v>0</v>
      </c>
      <c r="Z794" s="331"/>
      <c r="AA794" s="110"/>
      <c r="AB794" s="332"/>
      <c r="AC794" s="332"/>
      <c r="AD794" s="110"/>
      <c r="AE794" s="110"/>
      <c r="AF794" s="110"/>
      <c r="AG794" s="110"/>
      <c r="AH794" s="110"/>
      <c r="AI794" s="110"/>
    </row>
    <row r="795" spans="1:35" ht="13.5" customHeight="1">
      <c r="A795" s="4"/>
      <c r="B795" s="15" t="s">
        <v>3923</v>
      </c>
      <c r="C795" s="328" t="s">
        <v>3924</v>
      </c>
      <c r="D795" s="254">
        <f>SUMIF(GL!$D$5:$D$6505,B795,GL!$G$5:$G$6505)</f>
        <v>0</v>
      </c>
      <c r="E795" s="341">
        <f>SUMIF(GL!$D$6:$D$6487,B795,GL!$H$6:$H$6487)</f>
        <v>0</v>
      </c>
      <c r="F795" s="341">
        <f>SUMIF(GL!$D$6:$D$6487,B795,GL!$I$6:$I$6487)</f>
        <v>0</v>
      </c>
      <c r="G795" s="341"/>
      <c r="H795" s="341"/>
      <c r="I795" s="341">
        <f t="shared" si="807"/>
        <v>0</v>
      </c>
      <c r="J795" s="341">
        <f t="shared" si="808"/>
        <v>0</v>
      </c>
      <c r="K795" s="341"/>
      <c r="L795" s="342"/>
      <c r="M795" s="342"/>
      <c r="N795" s="341">
        <f t="shared" si="802"/>
        <v>0</v>
      </c>
      <c r="O795" s="341">
        <f t="shared" si="803"/>
        <v>0</v>
      </c>
      <c r="P795" s="341">
        <f>SUMIF(GL!$D$6488:$D$6532,B795,GL!$H$6488:$H$6532)</f>
        <v>0</v>
      </c>
      <c r="Q795" s="341">
        <f>SUMIF(GL!$D$6408:$D$6452,B795,GL!$I$6408:$I$6452)</f>
        <v>0</v>
      </c>
      <c r="R795" s="341">
        <f t="shared" ref="R795:S795" si="846">P795+N795</f>
        <v>0</v>
      </c>
      <c r="S795" s="341">
        <f t="shared" si="846"/>
        <v>0</v>
      </c>
      <c r="T795" s="340"/>
      <c r="U795" s="340"/>
      <c r="V795" s="340"/>
      <c r="W795" s="340"/>
      <c r="X795" s="341">
        <f t="shared" si="805"/>
        <v>0</v>
      </c>
      <c r="Y795" s="341">
        <f t="shared" si="806"/>
        <v>0</v>
      </c>
      <c r="Z795" s="331"/>
      <c r="AA795" s="110"/>
      <c r="AB795" s="332"/>
      <c r="AC795" s="332"/>
      <c r="AD795" s="110"/>
      <c r="AE795" s="110"/>
      <c r="AF795" s="110"/>
      <c r="AG795" s="110"/>
      <c r="AH795" s="110"/>
      <c r="AI795" s="110"/>
    </row>
    <row r="796" spans="1:35" ht="13.5" customHeight="1">
      <c r="A796" s="4"/>
      <c r="B796" s="15" t="s">
        <v>3925</v>
      </c>
      <c r="C796" s="328" t="s">
        <v>3926</v>
      </c>
      <c r="D796" s="254">
        <f>SUMIF(GL!$D$5:$D$6505,B796,GL!$G$5:$G$6505)</f>
        <v>0</v>
      </c>
      <c r="E796" s="341">
        <f>SUMIF(GL!$D$6:$D$6487,B796,GL!$H$6:$H$6487)</f>
        <v>0</v>
      </c>
      <c r="F796" s="341">
        <f>SUMIF(GL!$D$6:$D$6487,B796,GL!$I$6:$I$6487)</f>
        <v>0</v>
      </c>
      <c r="G796" s="341"/>
      <c r="H796" s="341"/>
      <c r="I796" s="341">
        <f t="shared" si="807"/>
        <v>0</v>
      </c>
      <c r="J796" s="341">
        <f t="shared" si="808"/>
        <v>0</v>
      </c>
      <c r="K796" s="341"/>
      <c r="L796" s="342"/>
      <c r="M796" s="342"/>
      <c r="N796" s="341">
        <f t="shared" si="802"/>
        <v>0</v>
      </c>
      <c r="O796" s="341">
        <f t="shared" si="803"/>
        <v>0</v>
      </c>
      <c r="P796" s="341">
        <f>SUMIF(GL!$D$6488:$D$6532,B796,GL!$H$6488:$H$6532)</f>
        <v>0</v>
      </c>
      <c r="Q796" s="341">
        <f>SUMIF(GL!$D$6408:$D$6452,B796,GL!$I$6408:$I$6452)</f>
        <v>0</v>
      </c>
      <c r="R796" s="341">
        <f t="shared" ref="R796:S796" si="847">P796+N796</f>
        <v>0</v>
      </c>
      <c r="S796" s="341">
        <f t="shared" si="847"/>
        <v>0</v>
      </c>
      <c r="T796" s="340"/>
      <c r="U796" s="340"/>
      <c r="V796" s="340"/>
      <c r="W796" s="340"/>
      <c r="X796" s="341">
        <f t="shared" si="805"/>
        <v>0</v>
      </c>
      <c r="Y796" s="341">
        <f t="shared" si="806"/>
        <v>0</v>
      </c>
      <c r="Z796" s="331"/>
      <c r="AA796" s="110"/>
      <c r="AB796" s="332"/>
      <c r="AC796" s="332"/>
      <c r="AD796" s="110"/>
      <c r="AE796" s="110"/>
      <c r="AF796" s="110"/>
      <c r="AG796" s="110"/>
      <c r="AH796" s="110"/>
      <c r="AI796" s="110"/>
    </row>
    <row r="797" spans="1:35" ht="13.5" customHeight="1">
      <c r="A797" s="4"/>
      <c r="B797" s="15" t="s">
        <v>3927</v>
      </c>
      <c r="C797" s="328" t="s">
        <v>3928</v>
      </c>
      <c r="D797" s="254">
        <f>SUMIF(GL!$D$5:$D$6505,B797,GL!$G$5:$G$6505)</f>
        <v>0</v>
      </c>
      <c r="E797" s="341">
        <f>SUMIF(GL!$D$6:$D$6487,B797,GL!$H$6:$H$6487)</f>
        <v>0</v>
      </c>
      <c r="F797" s="341">
        <f>SUMIF(GL!$D$6:$D$6487,B797,GL!$I$6:$I$6487)</f>
        <v>0</v>
      </c>
      <c r="G797" s="341"/>
      <c r="H797" s="341"/>
      <c r="I797" s="341">
        <f t="shared" si="807"/>
        <v>0</v>
      </c>
      <c r="J797" s="341">
        <f t="shared" si="808"/>
        <v>0</v>
      </c>
      <c r="K797" s="341"/>
      <c r="L797" s="342"/>
      <c r="M797" s="342"/>
      <c r="N797" s="341">
        <f t="shared" si="802"/>
        <v>0</v>
      </c>
      <c r="O797" s="341">
        <f t="shared" si="803"/>
        <v>0</v>
      </c>
      <c r="P797" s="341">
        <f>SUMIF(GL!$D$6488:$D$6532,B797,GL!$H$6488:$H$6532)</f>
        <v>0</v>
      </c>
      <c r="Q797" s="341">
        <f>SUMIF(GL!$D$6408:$D$6452,B797,GL!$I$6408:$I$6452)</f>
        <v>0</v>
      </c>
      <c r="R797" s="341">
        <f t="shared" ref="R797:S797" si="848">P797+N797</f>
        <v>0</v>
      </c>
      <c r="S797" s="341">
        <f t="shared" si="848"/>
        <v>0</v>
      </c>
      <c r="T797" s="340"/>
      <c r="U797" s="340"/>
      <c r="V797" s="340"/>
      <c r="W797" s="340"/>
      <c r="X797" s="341">
        <f t="shared" si="805"/>
        <v>0</v>
      </c>
      <c r="Y797" s="341">
        <f t="shared" si="806"/>
        <v>0</v>
      </c>
      <c r="Z797" s="331"/>
      <c r="AA797" s="110"/>
      <c r="AB797" s="332"/>
      <c r="AC797" s="332"/>
      <c r="AD797" s="110"/>
      <c r="AE797" s="110"/>
      <c r="AF797" s="110"/>
      <c r="AG797" s="110"/>
      <c r="AH797" s="110"/>
      <c r="AI797" s="110"/>
    </row>
    <row r="798" spans="1:35" ht="13.5" customHeight="1">
      <c r="A798" s="4"/>
      <c r="B798" s="15" t="s">
        <v>3929</v>
      </c>
      <c r="C798" s="328" t="s">
        <v>3930</v>
      </c>
      <c r="D798" s="254">
        <f>SUMIF(GL!$D$5:$D$6505,B798,GL!$G$5:$G$6505)</f>
        <v>0</v>
      </c>
      <c r="E798" s="341">
        <f>SUMIF(GL!$D$6:$D$6487,B798,GL!$H$6:$H$6487)</f>
        <v>0</v>
      </c>
      <c r="F798" s="341">
        <f>SUMIF(GL!$D$6:$D$6487,B798,GL!$I$6:$I$6487)</f>
        <v>0</v>
      </c>
      <c r="G798" s="341"/>
      <c r="H798" s="341"/>
      <c r="I798" s="341">
        <f t="shared" si="807"/>
        <v>0</v>
      </c>
      <c r="J798" s="341">
        <f t="shared" si="808"/>
        <v>0</v>
      </c>
      <c r="K798" s="341"/>
      <c r="L798" s="342"/>
      <c r="M798" s="342"/>
      <c r="N798" s="341">
        <f t="shared" si="802"/>
        <v>0</v>
      </c>
      <c r="O798" s="341">
        <f t="shared" si="803"/>
        <v>0</v>
      </c>
      <c r="P798" s="341">
        <f>SUMIF(GL!$D$6488:$D$6532,B798,GL!$H$6488:$H$6532)</f>
        <v>0</v>
      </c>
      <c r="Q798" s="341">
        <f>SUMIF(GL!$D$6408:$D$6452,B798,GL!$I$6408:$I$6452)</f>
        <v>0</v>
      </c>
      <c r="R798" s="341">
        <f t="shared" ref="R798:S798" si="849">P798+N798</f>
        <v>0</v>
      </c>
      <c r="S798" s="341">
        <f t="shared" si="849"/>
        <v>0</v>
      </c>
      <c r="T798" s="340"/>
      <c r="U798" s="340"/>
      <c r="V798" s="340"/>
      <c r="W798" s="340"/>
      <c r="X798" s="341">
        <f t="shared" si="805"/>
        <v>0</v>
      </c>
      <c r="Y798" s="341">
        <f t="shared" si="806"/>
        <v>0</v>
      </c>
      <c r="Z798" s="331"/>
      <c r="AA798" s="110"/>
      <c r="AB798" s="332"/>
      <c r="AC798" s="332"/>
      <c r="AD798" s="110"/>
      <c r="AE798" s="110"/>
      <c r="AF798" s="110"/>
      <c r="AG798" s="110"/>
      <c r="AH798" s="110"/>
      <c r="AI798" s="110"/>
    </row>
    <row r="799" spans="1:35" ht="13.5" customHeight="1">
      <c r="A799" s="4"/>
      <c r="B799" s="15" t="s">
        <v>3931</v>
      </c>
      <c r="C799" s="328" t="s">
        <v>3932</v>
      </c>
      <c r="D799" s="254">
        <f>SUMIF(GL!$D$5:$D$6505,B799,GL!$G$5:$G$6505)</f>
        <v>0</v>
      </c>
      <c r="E799" s="341">
        <f>SUMIF(GL!$D$6:$D$6487,B799,GL!$H$6:$H$6487)</f>
        <v>0</v>
      </c>
      <c r="F799" s="341">
        <f>SUMIF(GL!$D$6:$D$6487,B799,GL!$I$6:$I$6487)</f>
        <v>0</v>
      </c>
      <c r="G799" s="341"/>
      <c r="H799" s="341"/>
      <c r="I799" s="341">
        <f t="shared" si="807"/>
        <v>0</v>
      </c>
      <c r="J799" s="341">
        <f t="shared" si="808"/>
        <v>0</v>
      </c>
      <c r="K799" s="341"/>
      <c r="L799" s="342"/>
      <c r="M799" s="342"/>
      <c r="N799" s="341">
        <f t="shared" si="802"/>
        <v>0</v>
      </c>
      <c r="O799" s="341">
        <f t="shared" si="803"/>
        <v>0</v>
      </c>
      <c r="P799" s="341">
        <f>SUMIF(GL!$D$6488:$D$6532,B799,GL!$H$6488:$H$6532)</f>
        <v>0</v>
      </c>
      <c r="Q799" s="341">
        <f>SUMIF(GL!$D$6408:$D$6452,B799,GL!$I$6408:$I$6452)</f>
        <v>0</v>
      </c>
      <c r="R799" s="341">
        <f t="shared" ref="R799:S799" si="850">P799+N799</f>
        <v>0</v>
      </c>
      <c r="S799" s="341">
        <f t="shared" si="850"/>
        <v>0</v>
      </c>
      <c r="T799" s="340"/>
      <c r="U799" s="340"/>
      <c r="V799" s="340"/>
      <c r="W799" s="340"/>
      <c r="X799" s="341">
        <f t="shared" si="805"/>
        <v>0</v>
      </c>
      <c r="Y799" s="341">
        <f t="shared" si="806"/>
        <v>0</v>
      </c>
      <c r="Z799" s="331"/>
      <c r="AA799" s="110"/>
      <c r="AB799" s="332"/>
      <c r="AC799" s="332"/>
      <c r="AD799" s="110"/>
      <c r="AE799" s="110"/>
      <c r="AF799" s="110"/>
      <c r="AG799" s="110"/>
      <c r="AH799" s="110"/>
      <c r="AI799" s="110"/>
    </row>
    <row r="800" spans="1:35" ht="13.5" customHeight="1">
      <c r="A800" s="4"/>
      <c r="B800" s="15" t="s">
        <v>3933</v>
      </c>
      <c r="C800" s="328" t="s">
        <v>3934</v>
      </c>
      <c r="D800" s="254">
        <f>SUMIF(GL!$D$5:$D$6505,B800,GL!$G$5:$G$6505)</f>
        <v>0</v>
      </c>
      <c r="E800" s="341">
        <f>SUMIF(GL!$D$6:$D$6487,B800,GL!$H$6:$H$6487)</f>
        <v>0</v>
      </c>
      <c r="F800" s="341">
        <f>SUMIF(GL!$D$6:$D$6487,B800,GL!$I$6:$I$6487)</f>
        <v>0</v>
      </c>
      <c r="G800" s="341"/>
      <c r="H800" s="341"/>
      <c r="I800" s="341">
        <f t="shared" si="807"/>
        <v>0</v>
      </c>
      <c r="J800" s="341">
        <f t="shared" si="808"/>
        <v>0</v>
      </c>
      <c r="K800" s="341"/>
      <c r="L800" s="342"/>
      <c r="M800" s="342"/>
      <c r="N800" s="341">
        <f t="shared" si="802"/>
        <v>0</v>
      </c>
      <c r="O800" s="341">
        <f t="shared" si="803"/>
        <v>0</v>
      </c>
      <c r="P800" s="341">
        <f>SUMIF(GL!$D$6488:$D$6532,B800,GL!$H$6488:$H$6532)</f>
        <v>0</v>
      </c>
      <c r="Q800" s="341">
        <f>SUMIF(GL!$D$6408:$D$6452,B800,GL!$I$6408:$I$6452)</f>
        <v>0</v>
      </c>
      <c r="R800" s="341">
        <f t="shared" ref="R800:S800" si="851">P800+N800</f>
        <v>0</v>
      </c>
      <c r="S800" s="341">
        <f t="shared" si="851"/>
        <v>0</v>
      </c>
      <c r="T800" s="340"/>
      <c r="U800" s="340"/>
      <c r="V800" s="340"/>
      <c r="W800" s="340"/>
      <c r="X800" s="341">
        <f t="shared" si="805"/>
        <v>0</v>
      </c>
      <c r="Y800" s="341">
        <f t="shared" si="806"/>
        <v>0</v>
      </c>
      <c r="Z800" s="331"/>
      <c r="AA800" s="110"/>
      <c r="AB800" s="332"/>
      <c r="AC800" s="332"/>
      <c r="AD800" s="110"/>
      <c r="AE800" s="110"/>
      <c r="AF800" s="110"/>
      <c r="AG800" s="110"/>
      <c r="AH800" s="110"/>
      <c r="AI800" s="110"/>
    </row>
    <row r="801" spans="1:35" ht="13.5" customHeight="1">
      <c r="A801" s="4"/>
      <c r="B801" s="15" t="s">
        <v>3935</v>
      </c>
      <c r="C801" s="328" t="s">
        <v>3936</v>
      </c>
      <c r="D801" s="254">
        <f>SUMIF(GL!$D$5:$D$6505,B801,GL!$G$5:$G$6505)</f>
        <v>0</v>
      </c>
      <c r="E801" s="341">
        <f>SUMIF(GL!$D$6:$D$6487,B801,GL!$H$6:$H$6487)</f>
        <v>0</v>
      </c>
      <c r="F801" s="341">
        <f>SUMIF(GL!$D$6:$D$6487,B801,GL!$I$6:$I$6487)</f>
        <v>0</v>
      </c>
      <c r="G801" s="341"/>
      <c r="H801" s="341"/>
      <c r="I801" s="341">
        <f t="shared" si="807"/>
        <v>0</v>
      </c>
      <c r="J801" s="341">
        <f t="shared" si="808"/>
        <v>0</v>
      </c>
      <c r="K801" s="341"/>
      <c r="L801" s="342"/>
      <c r="M801" s="342"/>
      <c r="N801" s="341">
        <f t="shared" si="802"/>
        <v>0</v>
      </c>
      <c r="O801" s="341">
        <f t="shared" si="803"/>
        <v>0</v>
      </c>
      <c r="P801" s="341">
        <f>SUMIF(GL!$D$6488:$D$6532,B801,GL!$H$6488:$H$6532)</f>
        <v>0</v>
      </c>
      <c r="Q801" s="341">
        <f>SUMIF(GL!$D$6408:$D$6452,B801,GL!$I$6408:$I$6452)</f>
        <v>0</v>
      </c>
      <c r="R801" s="341">
        <f t="shared" ref="R801:S801" si="852">P801+N801</f>
        <v>0</v>
      </c>
      <c r="S801" s="341">
        <f t="shared" si="852"/>
        <v>0</v>
      </c>
      <c r="T801" s="340"/>
      <c r="U801" s="340"/>
      <c r="V801" s="340"/>
      <c r="W801" s="340"/>
      <c r="X801" s="341">
        <f t="shared" si="805"/>
        <v>0</v>
      </c>
      <c r="Y801" s="341">
        <f t="shared" si="806"/>
        <v>0</v>
      </c>
      <c r="Z801" s="331"/>
      <c r="AA801" s="110"/>
      <c r="AB801" s="332"/>
      <c r="AC801" s="332"/>
      <c r="AD801" s="110"/>
      <c r="AE801" s="110"/>
      <c r="AF801" s="110"/>
      <c r="AG801" s="110"/>
      <c r="AH801" s="110"/>
      <c r="AI801" s="110"/>
    </row>
    <row r="802" spans="1:35" ht="13.5" customHeight="1">
      <c r="A802" s="4"/>
      <c r="B802" s="15" t="s">
        <v>3937</v>
      </c>
      <c r="C802" s="328" t="s">
        <v>3938</v>
      </c>
      <c r="D802" s="254">
        <f>SUMIF(GL!$D$5:$D$6505,B802,GL!$G$5:$G$6505)</f>
        <v>0</v>
      </c>
      <c r="E802" s="341">
        <f>SUMIF(GL!$D$6:$D$6487,B802,GL!$H$6:$H$6487)</f>
        <v>0</v>
      </c>
      <c r="F802" s="341">
        <f>SUMIF(GL!$D$6:$D$6487,B802,GL!$I$6:$I$6487)</f>
        <v>0</v>
      </c>
      <c r="G802" s="341"/>
      <c r="H802" s="341"/>
      <c r="I802" s="341">
        <f t="shared" si="807"/>
        <v>0</v>
      </c>
      <c r="J802" s="341">
        <f t="shared" si="808"/>
        <v>0</v>
      </c>
      <c r="K802" s="341"/>
      <c r="L802" s="342"/>
      <c r="M802" s="342"/>
      <c r="N802" s="341">
        <f t="shared" si="802"/>
        <v>0</v>
      </c>
      <c r="O802" s="341">
        <f t="shared" si="803"/>
        <v>0</v>
      </c>
      <c r="P802" s="341">
        <f>SUMIF(GL!$D$6488:$D$6532,B802,GL!$H$6488:$H$6532)</f>
        <v>0</v>
      </c>
      <c r="Q802" s="341">
        <f>SUMIF(GL!$D$6408:$D$6452,B802,GL!$I$6408:$I$6452)</f>
        <v>0</v>
      </c>
      <c r="R802" s="341">
        <f t="shared" ref="R802:S802" si="853">P802+N802</f>
        <v>0</v>
      </c>
      <c r="S802" s="341">
        <f t="shared" si="853"/>
        <v>0</v>
      </c>
      <c r="T802" s="340"/>
      <c r="U802" s="340"/>
      <c r="V802" s="340"/>
      <c r="W802" s="340"/>
      <c r="X802" s="341">
        <f t="shared" si="805"/>
        <v>0</v>
      </c>
      <c r="Y802" s="341">
        <f t="shared" si="806"/>
        <v>0</v>
      </c>
      <c r="Z802" s="331"/>
      <c r="AA802" s="110"/>
      <c r="AB802" s="332"/>
      <c r="AC802" s="332"/>
      <c r="AD802" s="110"/>
      <c r="AE802" s="110"/>
      <c r="AF802" s="110"/>
      <c r="AG802" s="110"/>
      <c r="AH802" s="110"/>
      <c r="AI802" s="110"/>
    </row>
    <row r="803" spans="1:35" ht="13.5" customHeight="1">
      <c r="A803" s="4"/>
      <c r="B803" s="15"/>
      <c r="C803" s="260" t="s">
        <v>2630</v>
      </c>
      <c r="D803" s="254">
        <f>SUMIF(GL!$D$5:$D$6505,B803,GL!$G$5:$G$6505)</f>
        <v>0</v>
      </c>
      <c r="E803" s="341">
        <f>SUMIF(GL!$D$6:$D$6487,B803,GL!$H$6:$H$6487)</f>
        <v>0</v>
      </c>
      <c r="F803" s="341">
        <f>SUMIF(GL!$D$6:$D$6487,B803,GL!$I$6:$I$6487)</f>
        <v>0</v>
      </c>
      <c r="G803" s="341"/>
      <c r="H803" s="341"/>
      <c r="I803" s="341">
        <f t="shared" si="807"/>
        <v>0</v>
      </c>
      <c r="J803" s="341">
        <f t="shared" si="808"/>
        <v>0</v>
      </c>
      <c r="K803" s="341"/>
      <c r="L803" s="342"/>
      <c r="M803" s="342"/>
      <c r="N803" s="341">
        <f t="shared" si="802"/>
        <v>0</v>
      </c>
      <c r="O803" s="341">
        <f t="shared" si="803"/>
        <v>0</v>
      </c>
      <c r="P803" s="341">
        <f>SUMIF(GL!$D$6488:$D$6532,B803,GL!$H$6488:$H$6532)</f>
        <v>0</v>
      </c>
      <c r="Q803" s="341">
        <f>SUMIF(GL!$D$6408:$D$6452,B803,GL!$I$6408:$I$6452)</f>
        <v>0</v>
      </c>
      <c r="R803" s="341">
        <f t="shared" ref="R803:S803" si="854">P803+N803</f>
        <v>0</v>
      </c>
      <c r="S803" s="341">
        <f t="shared" si="854"/>
        <v>0</v>
      </c>
      <c r="T803" s="340"/>
      <c r="U803" s="340"/>
      <c r="V803" s="340"/>
      <c r="W803" s="340"/>
      <c r="X803" s="341">
        <f t="shared" si="805"/>
        <v>0</v>
      </c>
      <c r="Y803" s="341">
        <f t="shared" si="806"/>
        <v>0</v>
      </c>
      <c r="Z803" s="331"/>
      <c r="AA803" s="110"/>
      <c r="AB803" s="332"/>
      <c r="AC803" s="332"/>
      <c r="AD803" s="110"/>
      <c r="AE803" s="110"/>
      <c r="AF803" s="110"/>
      <c r="AG803" s="110"/>
      <c r="AH803" s="110"/>
      <c r="AI803" s="110"/>
    </row>
    <row r="804" spans="1:35" ht="13.5" customHeight="1">
      <c r="A804" s="4"/>
      <c r="B804" s="15"/>
      <c r="C804" s="260" t="s">
        <v>2630</v>
      </c>
      <c r="D804" s="254"/>
      <c r="E804" s="341"/>
      <c r="F804" s="341"/>
      <c r="G804" s="341"/>
      <c r="H804" s="341"/>
      <c r="I804" s="341"/>
      <c r="J804" s="341"/>
      <c r="K804" s="341"/>
      <c r="L804" s="342"/>
      <c r="M804" s="342"/>
      <c r="N804" s="341"/>
      <c r="O804" s="341"/>
      <c r="P804" s="341"/>
      <c r="Q804" s="341"/>
      <c r="R804" s="341"/>
      <c r="S804" s="341"/>
      <c r="T804" s="340"/>
      <c r="U804" s="340"/>
      <c r="V804" s="340"/>
      <c r="W804" s="340"/>
      <c r="X804" s="341"/>
      <c r="Y804" s="341"/>
      <c r="Z804" s="331"/>
      <c r="AA804" s="110" t="str">
        <f>PROPER(C804)</f>
        <v/>
      </c>
      <c r="AB804" s="332"/>
      <c r="AC804" s="332"/>
      <c r="AD804" s="110"/>
      <c r="AE804" s="110"/>
      <c r="AF804" s="110"/>
      <c r="AG804" s="110"/>
      <c r="AH804" s="110"/>
      <c r="AI804" s="110"/>
    </row>
    <row r="805" spans="1:35" ht="13.5" customHeight="1">
      <c r="A805" s="4"/>
      <c r="B805" s="382" t="s">
        <v>5093</v>
      </c>
      <c r="C805" s="307" t="s">
        <v>5094</v>
      </c>
      <c r="D805" s="383">
        <f>SUMIF(GL!$D$5:$D$6505,B805,GL!$G$5:$G$6505)</f>
        <v>0</v>
      </c>
      <c r="E805" s="384">
        <f>SUMIF(GL!$D$6:$D$6487,B805,GL!$H$6:$H$6487)</f>
        <v>0</v>
      </c>
      <c r="F805" s="384">
        <f>SUMIF(GL!$D$6:$D$6487,B805,GL!$I$6:$I$6487)</f>
        <v>0</v>
      </c>
      <c r="G805" s="384"/>
      <c r="H805" s="384"/>
      <c r="I805" s="384">
        <f>IF(E805&gt;F805,E805-F805,0)</f>
        <v>0</v>
      </c>
      <c r="J805" s="384">
        <f>IF(F805&gt;E805,F805-E805,0)</f>
        <v>0</v>
      </c>
      <c r="K805" s="384"/>
      <c r="L805" s="354">
        <v>60000000</v>
      </c>
      <c r="M805" s="384"/>
      <c r="N805" s="354">
        <f>IF(I805+L805&gt;J805+M805,(I805+L805)-(J805+M805),0)</f>
        <v>60000000</v>
      </c>
      <c r="O805" s="354">
        <f>IF(J805+M805&gt;I805+L805,(J805+M805)-(I805+L805),0)</f>
        <v>0</v>
      </c>
      <c r="P805" s="354">
        <f>SUMIF(GL!$D$6488:$D$6532,B805,GL!$H$6488:$H$6532)</f>
        <v>0</v>
      </c>
      <c r="Q805" s="355"/>
      <c r="R805" s="354">
        <f t="shared" ref="R805:S805" si="855">P805+N805</f>
        <v>60000000</v>
      </c>
      <c r="S805" s="354">
        <f t="shared" si="855"/>
        <v>0</v>
      </c>
      <c r="T805" s="307"/>
      <c r="U805" s="307"/>
      <c r="V805" s="307"/>
      <c r="W805" s="307"/>
      <c r="X805" s="354">
        <f>IF(R805&gt;S805,R805-S805,0)</f>
        <v>60000000</v>
      </c>
      <c r="Y805" s="354">
        <f>IF(S805&gt;R805,S805-R805,0)</f>
        <v>0</v>
      </c>
      <c r="Z805" s="331"/>
      <c r="AA805" s="110"/>
      <c r="AB805" s="332"/>
      <c r="AC805" s="332"/>
      <c r="AD805" s="110"/>
      <c r="AE805" s="110"/>
      <c r="AF805" s="110"/>
      <c r="AG805" s="110"/>
      <c r="AH805" s="110"/>
      <c r="AI805" s="110"/>
    </row>
    <row r="806" spans="1:35" ht="13.5" customHeight="1">
      <c r="A806" s="4"/>
      <c r="B806" s="385"/>
      <c r="C806" s="22"/>
      <c r="D806" s="254"/>
      <c r="E806" s="341"/>
      <c r="F806" s="341"/>
      <c r="G806" s="341"/>
      <c r="H806" s="341"/>
      <c r="I806" s="341"/>
      <c r="J806" s="341"/>
      <c r="K806" s="341"/>
      <c r="L806" s="338"/>
      <c r="M806" s="341"/>
      <c r="N806" s="341"/>
      <c r="O806" s="341"/>
      <c r="P806" s="341"/>
      <c r="Q806" s="341"/>
      <c r="R806" s="341"/>
      <c r="S806" s="341"/>
      <c r="T806" s="340"/>
      <c r="U806" s="340"/>
      <c r="V806" s="340"/>
      <c r="W806" s="340"/>
      <c r="X806" s="346"/>
      <c r="Y806" s="346"/>
      <c r="Z806" s="331"/>
      <c r="AA806" s="110"/>
      <c r="AB806" s="332"/>
      <c r="AC806" s="332"/>
      <c r="AD806" s="110"/>
      <c r="AE806" s="110"/>
      <c r="AF806" s="110"/>
      <c r="AG806" s="110"/>
      <c r="AH806" s="110"/>
      <c r="AI806" s="110"/>
    </row>
    <row r="807" spans="1:35" ht="13.5" customHeight="1">
      <c r="A807" s="2"/>
      <c r="B807" s="127" t="s">
        <v>5095</v>
      </c>
      <c r="C807" s="22" t="s">
        <v>5096</v>
      </c>
      <c r="D807" s="322">
        <f t="shared" ref="D807:K807" si="856">D805+D673+D334+D44+D714</f>
        <v>15651.879450980396</v>
      </c>
      <c r="E807" s="338">
        <f t="shared" si="856"/>
        <v>606373125.40750003</v>
      </c>
      <c r="F807" s="338">
        <f t="shared" si="856"/>
        <v>0</v>
      </c>
      <c r="G807" s="338">
        <f t="shared" si="856"/>
        <v>0</v>
      </c>
      <c r="H807" s="338">
        <f t="shared" si="856"/>
        <v>0</v>
      </c>
      <c r="I807" s="338">
        <f t="shared" si="856"/>
        <v>606373125.40750003</v>
      </c>
      <c r="J807" s="338">
        <f t="shared" si="856"/>
        <v>0</v>
      </c>
      <c r="K807" s="338">
        <f t="shared" si="856"/>
        <v>0</v>
      </c>
      <c r="L807" s="338">
        <f>L805+L673+L334+L44+L714+L757</f>
        <v>637956078</v>
      </c>
      <c r="M807" s="338">
        <f>M805+M673+M334+M44+M714</f>
        <v>0</v>
      </c>
      <c r="N807" s="338">
        <f t="shared" ref="N807:Y807" si="857">N805+N673+N334+N44+N714+N757</f>
        <v>1244329203.4075</v>
      </c>
      <c r="O807" s="338">
        <f t="shared" si="857"/>
        <v>0</v>
      </c>
      <c r="P807" s="338">
        <f t="shared" si="857"/>
        <v>0</v>
      </c>
      <c r="Q807" s="338">
        <f t="shared" si="857"/>
        <v>474226736.18115044</v>
      </c>
      <c r="R807" s="338">
        <f t="shared" si="857"/>
        <v>1244329203.4075</v>
      </c>
      <c r="S807" s="338">
        <f t="shared" si="857"/>
        <v>474226736.18115044</v>
      </c>
      <c r="T807" s="338">
        <f t="shared" si="857"/>
        <v>0</v>
      </c>
      <c r="U807" s="338">
        <f t="shared" si="857"/>
        <v>0</v>
      </c>
      <c r="V807" s="338">
        <f t="shared" si="857"/>
        <v>0</v>
      </c>
      <c r="W807" s="338">
        <f t="shared" si="857"/>
        <v>0</v>
      </c>
      <c r="X807" s="338">
        <f t="shared" si="857"/>
        <v>770102467.22634959</v>
      </c>
      <c r="Y807" s="338">
        <f t="shared" si="857"/>
        <v>0</v>
      </c>
      <c r="Z807" s="331"/>
      <c r="AA807" s="351"/>
      <c r="AB807" s="352"/>
      <c r="AC807" s="352"/>
      <c r="AD807" s="351"/>
      <c r="AE807" s="351"/>
      <c r="AF807" s="110"/>
      <c r="AG807" s="110"/>
      <c r="AH807" s="110"/>
      <c r="AI807" s="110"/>
    </row>
    <row r="808" spans="1:35" ht="13.5" customHeight="1">
      <c r="A808" s="4"/>
      <c r="B808" s="15"/>
      <c r="C808" s="340"/>
      <c r="D808" s="254"/>
      <c r="E808" s="341"/>
      <c r="F808" s="341"/>
      <c r="G808" s="341"/>
      <c r="H808" s="341"/>
      <c r="I808" s="341"/>
      <c r="J808" s="341"/>
      <c r="K808" s="341"/>
      <c r="L808" s="341"/>
      <c r="M808" s="341"/>
      <c r="N808" s="341"/>
      <c r="O808" s="341"/>
      <c r="P808" s="340"/>
      <c r="Q808" s="340"/>
      <c r="R808" s="341"/>
      <c r="S808" s="341"/>
      <c r="T808" s="340"/>
      <c r="U808" s="340"/>
      <c r="V808" s="340"/>
      <c r="W808" s="340"/>
      <c r="X808" s="346"/>
      <c r="Y808" s="346"/>
      <c r="Z808" s="331"/>
      <c r="AA808" s="110"/>
      <c r="AB808" s="332"/>
      <c r="AC808" s="332"/>
      <c r="AD808" s="110"/>
      <c r="AE808" s="110"/>
      <c r="AF808" s="110"/>
      <c r="AG808" s="110"/>
      <c r="AH808" s="110"/>
      <c r="AI808" s="110"/>
    </row>
    <row r="809" spans="1:35" ht="13.5" customHeight="1">
      <c r="A809" s="2"/>
      <c r="B809" s="127" t="s">
        <v>5097</v>
      </c>
      <c r="C809" s="22" t="s">
        <v>5098</v>
      </c>
      <c r="D809" s="322"/>
      <c r="E809" s="341"/>
      <c r="F809" s="341"/>
      <c r="G809" s="341"/>
      <c r="H809" s="341"/>
      <c r="I809" s="341"/>
      <c r="J809" s="341"/>
      <c r="K809" s="341"/>
      <c r="L809" s="342"/>
      <c r="M809" s="342"/>
      <c r="N809" s="341"/>
      <c r="O809" s="341"/>
      <c r="P809" s="341"/>
      <c r="Q809" s="341"/>
      <c r="R809" s="341"/>
      <c r="S809" s="341"/>
      <c r="T809" s="340"/>
      <c r="U809" s="340"/>
      <c r="V809" s="340"/>
      <c r="W809" s="340"/>
      <c r="X809" s="341"/>
      <c r="Y809" s="341"/>
      <c r="Z809" s="331"/>
      <c r="AA809" s="110"/>
      <c r="AB809" s="332"/>
      <c r="AC809" s="332"/>
      <c r="AD809" s="110"/>
      <c r="AE809" s="110"/>
      <c r="AF809" s="110"/>
      <c r="AG809" s="110"/>
      <c r="AH809" s="110"/>
      <c r="AI809" s="110"/>
    </row>
    <row r="810" spans="1:35" ht="13.5" customHeight="1">
      <c r="A810" s="4"/>
      <c r="B810" s="15" t="s">
        <v>5099</v>
      </c>
      <c r="C810" s="340" t="s">
        <v>5100</v>
      </c>
      <c r="D810" s="254"/>
      <c r="E810" s="341">
        <f>SUMIF(GL!$D$6:$D$6487,B810,GL!$H$6:$H$6487)</f>
        <v>0</v>
      </c>
      <c r="F810" s="341">
        <f>SUMIF(GL!$D$6:$D$6487,B810,GL!$I$6:$I$6487)</f>
        <v>0</v>
      </c>
      <c r="G810" s="341"/>
      <c r="H810" s="341"/>
      <c r="I810" s="341">
        <f t="shared" ref="I810:I819" si="858">IF(E810&gt;F810,E810-F810,0)</f>
        <v>0</v>
      </c>
      <c r="J810" s="341">
        <f t="shared" ref="J810:J819" si="859">IF(F810&gt;E810,F810-E810,0)</f>
        <v>0</v>
      </c>
      <c r="K810" s="341"/>
      <c r="L810" s="342"/>
      <c r="M810" s="342"/>
      <c r="N810" s="341">
        <f t="shared" ref="N810:N819" si="860">IF(I810+L810&gt;J810+M810,(I810+L810)-(J810+M810),0)</f>
        <v>0</v>
      </c>
      <c r="O810" s="341">
        <f t="shared" ref="O810:O819" si="861">IF(J810+M810&gt;I810+L810,(J810+M810)-(I810+L810),0)</f>
        <v>0</v>
      </c>
      <c r="P810" s="341">
        <f>SUMIF(GL!$D$6488:$D$6532,B810,GL!$H$6488:$H$6532)</f>
        <v>0</v>
      </c>
      <c r="Q810" s="341">
        <f>SUMIF(GL!$D$6408:$D$6452,B810,GL!$I$6408:$I$6452)</f>
        <v>0</v>
      </c>
      <c r="R810" s="341">
        <f t="shared" ref="R810:S810" si="862">P810+N810</f>
        <v>0</v>
      </c>
      <c r="S810" s="341">
        <f t="shared" si="862"/>
        <v>0</v>
      </c>
      <c r="T810" s="340"/>
      <c r="U810" s="340"/>
      <c r="V810" s="340"/>
      <c r="W810" s="340"/>
      <c r="X810" s="341">
        <f t="shared" ref="X810:X820" si="863">IF(R810&gt;S810,R810-S810,0)</f>
        <v>0</v>
      </c>
      <c r="Y810" s="341">
        <f t="shared" ref="Y810:Y820" si="864">IF(S810&gt;R810,S810-R810,0)</f>
        <v>0</v>
      </c>
      <c r="Z810" s="331"/>
      <c r="AA810" s="110"/>
      <c r="AB810" s="332"/>
      <c r="AC810" s="332"/>
      <c r="AD810" s="110"/>
      <c r="AE810" s="110"/>
      <c r="AF810" s="110"/>
      <c r="AG810" s="110"/>
      <c r="AH810" s="110"/>
      <c r="AI810" s="110"/>
    </row>
    <row r="811" spans="1:35" ht="13.5" customHeight="1">
      <c r="A811" s="4"/>
      <c r="B811" s="15" t="s">
        <v>5101</v>
      </c>
      <c r="C811" s="340" t="s">
        <v>5102</v>
      </c>
      <c r="D811" s="254"/>
      <c r="E811" s="341">
        <f>SUMIF(GL!$D$6:$D$6487,B811,GL!$H$6:$H$6487)</f>
        <v>0</v>
      </c>
      <c r="F811" s="341">
        <f>SUMIF(GL!$D$6:$D$6487,B811,GL!$I$6:$I$6487)</f>
        <v>0</v>
      </c>
      <c r="G811" s="341"/>
      <c r="H811" s="341"/>
      <c r="I811" s="341">
        <f t="shared" si="858"/>
        <v>0</v>
      </c>
      <c r="J811" s="341">
        <f t="shared" si="859"/>
        <v>0</v>
      </c>
      <c r="K811" s="341"/>
      <c r="L811" s="342">
        <v>29082000</v>
      </c>
      <c r="M811" s="342"/>
      <c r="N811" s="341">
        <f t="shared" si="860"/>
        <v>29082000</v>
      </c>
      <c r="O811" s="341">
        <f t="shared" si="861"/>
        <v>0</v>
      </c>
      <c r="P811" s="341">
        <f>SUMIF(GL!$D$6488:$D$6532,B811,GL!$H$6488:$H$6532)</f>
        <v>0</v>
      </c>
      <c r="Q811" s="341">
        <f>SUMIF(GL!$D$6408:$D$6452,B811,GL!$I$6408:$I$6452)</f>
        <v>0</v>
      </c>
      <c r="R811" s="341">
        <f t="shared" ref="R811:S811" si="865">P811+N811</f>
        <v>29082000</v>
      </c>
      <c r="S811" s="341">
        <f t="shared" si="865"/>
        <v>0</v>
      </c>
      <c r="T811" s="340"/>
      <c r="U811" s="340"/>
      <c r="V811" s="340"/>
      <c r="W811" s="340"/>
      <c r="X811" s="341">
        <f t="shared" si="863"/>
        <v>29082000</v>
      </c>
      <c r="Y811" s="341">
        <f t="shared" si="864"/>
        <v>0</v>
      </c>
      <c r="Z811" s="331"/>
      <c r="AA811" s="110"/>
      <c r="AB811" s="332"/>
      <c r="AC811" s="332"/>
      <c r="AD811" s="110"/>
      <c r="AE811" s="110"/>
      <c r="AF811" s="110"/>
      <c r="AG811" s="110"/>
      <c r="AH811" s="110"/>
      <c r="AI811" s="110"/>
    </row>
    <row r="812" spans="1:35" ht="13.5" customHeight="1">
      <c r="A812" s="4"/>
      <c r="B812" s="15" t="s">
        <v>1219</v>
      </c>
      <c r="C812" s="340" t="s">
        <v>5103</v>
      </c>
      <c r="D812" s="254"/>
      <c r="E812" s="341">
        <f>SUMIF(GL!$D$6:$D$6487,B812,GL!$H$6:$H$6487)</f>
        <v>135000000</v>
      </c>
      <c r="F812" s="341">
        <f>SUMIF(GL!$D$6:$D$6487,B812,GL!$I$6:$I$6487)</f>
        <v>0</v>
      </c>
      <c r="G812" s="341"/>
      <c r="H812" s="341"/>
      <c r="I812" s="341">
        <f t="shared" si="858"/>
        <v>135000000</v>
      </c>
      <c r="J812" s="341">
        <f t="shared" si="859"/>
        <v>0</v>
      </c>
      <c r="K812" s="341"/>
      <c r="L812" s="342">
        <v>1365000000</v>
      </c>
      <c r="M812" s="342"/>
      <c r="N812" s="341">
        <f t="shared" si="860"/>
        <v>1500000000</v>
      </c>
      <c r="O812" s="341">
        <f t="shared" si="861"/>
        <v>0</v>
      </c>
      <c r="P812" s="341">
        <f>SUMIF(GL!$D$6488:$D$6532,B812,GL!$H$6488:$H$6532)</f>
        <v>0</v>
      </c>
      <c r="Q812" s="341">
        <f>SUMIF(GL!$D$6408:$D$6452,B812,GL!$I$6408:$I$6452)</f>
        <v>0</v>
      </c>
      <c r="R812" s="341">
        <f t="shared" ref="R812:S812" si="866">P812+N812</f>
        <v>1500000000</v>
      </c>
      <c r="S812" s="341">
        <f t="shared" si="866"/>
        <v>0</v>
      </c>
      <c r="T812" s="340"/>
      <c r="U812" s="340"/>
      <c r="V812" s="340"/>
      <c r="W812" s="340"/>
      <c r="X812" s="341">
        <f t="shared" si="863"/>
        <v>1500000000</v>
      </c>
      <c r="Y812" s="341">
        <f t="shared" si="864"/>
        <v>0</v>
      </c>
      <c r="Z812" s="331"/>
      <c r="AA812" s="110"/>
      <c r="AB812" s="332"/>
      <c r="AC812" s="332"/>
      <c r="AD812" s="110"/>
      <c r="AE812" s="110"/>
      <c r="AF812" s="110"/>
      <c r="AG812" s="110"/>
      <c r="AH812" s="110"/>
      <c r="AI812" s="110"/>
    </row>
    <row r="813" spans="1:35" ht="13.5" customHeight="1">
      <c r="A813" s="4"/>
      <c r="B813" s="15" t="s">
        <v>5104</v>
      </c>
      <c r="C813" s="340" t="s">
        <v>5105</v>
      </c>
      <c r="D813" s="254"/>
      <c r="E813" s="341">
        <f>SUMIF(GL!$D$6:$D$6487,B813,GL!$H$6:$H$6487)</f>
        <v>0</v>
      </c>
      <c r="F813" s="341">
        <f>SUMIF(GL!$D$6:$D$6487,B813,GL!$I$6:$I$6487)</f>
        <v>0</v>
      </c>
      <c r="G813" s="341"/>
      <c r="H813" s="341"/>
      <c r="I813" s="341">
        <f t="shared" si="858"/>
        <v>0</v>
      </c>
      <c r="J813" s="341">
        <f t="shared" si="859"/>
        <v>0</v>
      </c>
      <c r="K813" s="341"/>
      <c r="L813" s="342"/>
      <c r="M813" s="342"/>
      <c r="N813" s="341">
        <f t="shared" si="860"/>
        <v>0</v>
      </c>
      <c r="O813" s="341">
        <f t="shared" si="861"/>
        <v>0</v>
      </c>
      <c r="P813" s="341">
        <f>SUMIF(GL!$D$6488:$D$6532,B813,GL!$H$6488:$H$6532)</f>
        <v>0</v>
      </c>
      <c r="Q813" s="341">
        <f>SUMIF(GL!$D$6408:$D$6452,B813,GL!$I$6408:$I$6452)</f>
        <v>0</v>
      </c>
      <c r="R813" s="341">
        <f t="shared" ref="R813:S813" si="867">P813+N813</f>
        <v>0</v>
      </c>
      <c r="S813" s="341">
        <f t="shared" si="867"/>
        <v>0</v>
      </c>
      <c r="T813" s="340"/>
      <c r="U813" s="340"/>
      <c r="V813" s="340"/>
      <c r="W813" s="340"/>
      <c r="X813" s="341">
        <f t="shared" si="863"/>
        <v>0</v>
      </c>
      <c r="Y813" s="341">
        <f t="shared" si="864"/>
        <v>0</v>
      </c>
      <c r="Z813" s="331"/>
      <c r="AA813" s="110"/>
      <c r="AB813" s="332"/>
      <c r="AC813" s="332"/>
      <c r="AD813" s="110"/>
      <c r="AE813" s="110"/>
      <c r="AF813" s="110"/>
      <c r="AG813" s="110"/>
      <c r="AH813" s="110"/>
      <c r="AI813" s="110"/>
    </row>
    <row r="814" spans="1:35" ht="13.5" customHeight="1">
      <c r="A814" s="4"/>
      <c r="B814" s="15" t="s">
        <v>5106</v>
      </c>
      <c r="C814" s="340" t="s">
        <v>5107</v>
      </c>
      <c r="D814" s="254"/>
      <c r="E814" s="341">
        <f>SUMIF(GL!$D$6:$D$6487,B814,GL!$H$6:$H$6487)</f>
        <v>0</v>
      </c>
      <c r="F814" s="341">
        <f>SUMIF(GL!$D$6:$D$6487,B814,GL!$I$6:$I$6487)</f>
        <v>0</v>
      </c>
      <c r="G814" s="341"/>
      <c r="H814" s="341"/>
      <c r="I814" s="341">
        <f t="shared" si="858"/>
        <v>0</v>
      </c>
      <c r="J814" s="341">
        <f t="shared" si="859"/>
        <v>0</v>
      </c>
      <c r="K814" s="341"/>
      <c r="L814" s="342"/>
      <c r="M814" s="342"/>
      <c r="N814" s="341">
        <f t="shared" si="860"/>
        <v>0</v>
      </c>
      <c r="O814" s="341">
        <f t="shared" si="861"/>
        <v>0</v>
      </c>
      <c r="P814" s="341">
        <f>SUMIF(GL!$D$6488:$D$6532,B814,GL!$H$6488:$H$6532)</f>
        <v>0</v>
      </c>
      <c r="Q814" s="341">
        <f>SUMIF(GL!$D$6408:$D$6452,B814,GL!$I$6408:$I$6452)</f>
        <v>0</v>
      </c>
      <c r="R814" s="341">
        <f t="shared" ref="R814:S814" si="868">P814+N814</f>
        <v>0</v>
      </c>
      <c r="S814" s="341">
        <f t="shared" si="868"/>
        <v>0</v>
      </c>
      <c r="T814" s="340"/>
      <c r="U814" s="340"/>
      <c r="V814" s="340"/>
      <c r="W814" s="340"/>
      <c r="X814" s="341">
        <f t="shared" si="863"/>
        <v>0</v>
      </c>
      <c r="Y814" s="341">
        <f t="shared" si="864"/>
        <v>0</v>
      </c>
      <c r="Z814" s="331"/>
      <c r="AA814" s="110"/>
      <c r="AB814" s="332"/>
      <c r="AC814" s="332"/>
      <c r="AD814" s="110"/>
      <c r="AE814" s="110"/>
      <c r="AF814" s="110"/>
      <c r="AG814" s="110"/>
      <c r="AH814" s="110"/>
      <c r="AI814" s="110"/>
    </row>
    <row r="815" spans="1:35" ht="13.5" customHeight="1">
      <c r="A815" s="4"/>
      <c r="B815" s="15" t="s">
        <v>5108</v>
      </c>
      <c r="C815" s="340" t="s">
        <v>5109</v>
      </c>
      <c r="D815" s="254"/>
      <c r="E815" s="341">
        <f>SUMIF(GL!$D$6:$D$6487,B815,GL!$H$6:$H$6487)</f>
        <v>0</v>
      </c>
      <c r="F815" s="341">
        <f>SUMIF(GL!$D$6:$D$6487,B815,GL!$I$6:$I$6487)</f>
        <v>0</v>
      </c>
      <c r="G815" s="341"/>
      <c r="H815" s="341"/>
      <c r="I815" s="341">
        <f t="shared" si="858"/>
        <v>0</v>
      </c>
      <c r="J815" s="341">
        <f t="shared" si="859"/>
        <v>0</v>
      </c>
      <c r="K815" s="341"/>
      <c r="L815" s="342"/>
      <c r="M815" s="342"/>
      <c r="N815" s="341">
        <f t="shared" si="860"/>
        <v>0</v>
      </c>
      <c r="O815" s="341">
        <f t="shared" si="861"/>
        <v>0</v>
      </c>
      <c r="P815" s="341">
        <f>SUMIF(GL!$D$6488:$D$6532,B815,GL!$H$6488:$H$6532)</f>
        <v>0</v>
      </c>
      <c r="Q815" s="341">
        <f>SUMIF(GL!$D$6408:$D$6452,B815,GL!$I$6408:$I$6452)</f>
        <v>0</v>
      </c>
      <c r="R815" s="341">
        <f t="shared" ref="R815:S815" si="869">P815+N815</f>
        <v>0</v>
      </c>
      <c r="S815" s="341">
        <f t="shared" si="869"/>
        <v>0</v>
      </c>
      <c r="T815" s="340"/>
      <c r="U815" s="340"/>
      <c r="V815" s="340"/>
      <c r="W815" s="340"/>
      <c r="X815" s="341">
        <f t="shared" si="863"/>
        <v>0</v>
      </c>
      <c r="Y815" s="341">
        <f t="shared" si="864"/>
        <v>0</v>
      </c>
      <c r="Z815" s="331"/>
      <c r="AA815" s="110"/>
      <c r="AB815" s="332"/>
      <c r="AC815" s="332"/>
      <c r="AD815" s="110"/>
      <c r="AE815" s="110"/>
      <c r="AF815" s="110"/>
      <c r="AG815" s="110"/>
      <c r="AH815" s="110"/>
      <c r="AI815" s="110"/>
    </row>
    <row r="816" spans="1:35" ht="13.5" customHeight="1">
      <c r="A816" s="4"/>
      <c r="B816" s="15" t="s">
        <v>1712</v>
      </c>
      <c r="C816" s="340" t="s">
        <v>5110</v>
      </c>
      <c r="D816" s="254"/>
      <c r="E816" s="341">
        <f>SUMIF(GL!$D$6:$D$6487,B816,GL!$H$6:$H$6487)</f>
        <v>4440000</v>
      </c>
      <c r="F816" s="341">
        <f>SUMIF(GL!$D$6:$D$6487,B816,GL!$I$6:$I$6487)</f>
        <v>0</v>
      </c>
      <c r="G816" s="341"/>
      <c r="H816" s="341"/>
      <c r="I816" s="341">
        <f t="shared" si="858"/>
        <v>4440000</v>
      </c>
      <c r="J816" s="341">
        <f t="shared" si="859"/>
        <v>0</v>
      </c>
      <c r="K816" s="341"/>
      <c r="L816" s="342"/>
      <c r="M816" s="342"/>
      <c r="N816" s="341">
        <f t="shared" si="860"/>
        <v>4440000</v>
      </c>
      <c r="O816" s="341">
        <f t="shared" si="861"/>
        <v>0</v>
      </c>
      <c r="P816" s="341">
        <f>SUMIF(GL!$D$6488:$D$6532,B816,GL!$H$6488:$H$6532)</f>
        <v>0</v>
      </c>
      <c r="Q816" s="341">
        <f>SUMIF(GL!$D$6408:$D$6452,B816,GL!$I$6408:$I$6452)</f>
        <v>0</v>
      </c>
      <c r="R816" s="341">
        <f t="shared" ref="R816:S816" si="870">P816+N816</f>
        <v>4440000</v>
      </c>
      <c r="S816" s="341">
        <f t="shared" si="870"/>
        <v>0</v>
      </c>
      <c r="T816" s="340"/>
      <c r="U816" s="340"/>
      <c r="V816" s="340"/>
      <c r="W816" s="340"/>
      <c r="X816" s="341">
        <f t="shared" si="863"/>
        <v>4440000</v>
      </c>
      <c r="Y816" s="341">
        <f t="shared" si="864"/>
        <v>0</v>
      </c>
      <c r="Z816" s="331"/>
      <c r="AA816" s="110"/>
      <c r="AB816" s="332"/>
      <c r="AC816" s="332"/>
      <c r="AD816" s="110"/>
      <c r="AE816" s="110"/>
      <c r="AF816" s="110"/>
      <c r="AG816" s="110"/>
      <c r="AH816" s="110"/>
      <c r="AI816" s="110"/>
    </row>
    <row r="817" spans="1:35" ht="13.5" customHeight="1">
      <c r="A817" s="4"/>
      <c r="B817" s="15" t="s">
        <v>5111</v>
      </c>
      <c r="C817" s="340" t="s">
        <v>5112</v>
      </c>
      <c r="D817" s="254"/>
      <c r="E817" s="341">
        <f>SUMIF(GL!$D$6:$D$6487,B817,GL!$H$6:$H$6487)</f>
        <v>0</v>
      </c>
      <c r="F817" s="341">
        <f>SUMIF(GL!$D$6:$D$6487,B817,GL!$I$6:$I$6487)</f>
        <v>0</v>
      </c>
      <c r="G817" s="341"/>
      <c r="H817" s="341"/>
      <c r="I817" s="341">
        <f t="shared" si="858"/>
        <v>0</v>
      </c>
      <c r="J817" s="341">
        <f t="shared" si="859"/>
        <v>0</v>
      </c>
      <c r="K817" s="341"/>
      <c r="L817" s="342"/>
      <c r="M817" s="342"/>
      <c r="N817" s="341">
        <f t="shared" si="860"/>
        <v>0</v>
      </c>
      <c r="O817" s="341">
        <f t="shared" si="861"/>
        <v>0</v>
      </c>
      <c r="P817" s="341">
        <f>SUMIF(GL!$D$6488:$D$6532,B817,GL!$H$6488:$H$6532)</f>
        <v>0</v>
      </c>
      <c r="Q817" s="341">
        <f>SUMIF(GL!$D$6408:$D$6452,B817,GL!$I$6408:$I$6452)</f>
        <v>0</v>
      </c>
      <c r="R817" s="341">
        <f t="shared" ref="R817:S817" si="871">P817+N817</f>
        <v>0</v>
      </c>
      <c r="S817" s="341">
        <f t="shared" si="871"/>
        <v>0</v>
      </c>
      <c r="T817" s="340"/>
      <c r="U817" s="340"/>
      <c r="V817" s="340"/>
      <c r="W817" s="340"/>
      <c r="X817" s="341">
        <f t="shared" si="863"/>
        <v>0</v>
      </c>
      <c r="Y817" s="341">
        <f t="shared" si="864"/>
        <v>0</v>
      </c>
      <c r="Z817" s="331"/>
      <c r="AA817" s="110"/>
      <c r="AB817" s="332"/>
      <c r="AC817" s="332"/>
      <c r="AD817" s="110"/>
      <c r="AE817" s="110"/>
      <c r="AF817" s="110"/>
      <c r="AG817" s="110"/>
      <c r="AH817" s="110"/>
      <c r="AI817" s="110"/>
    </row>
    <row r="818" spans="1:35" ht="13.5" customHeight="1">
      <c r="A818" s="4"/>
      <c r="B818" s="15" t="s">
        <v>3687</v>
      </c>
      <c r="C818" s="340" t="s">
        <v>3688</v>
      </c>
      <c r="D818" s="254"/>
      <c r="E818" s="341">
        <f>SUMIF(GL!$D$6:$D$6487,B818,GL!$H$6:$H$6487)</f>
        <v>0</v>
      </c>
      <c r="F818" s="341">
        <f>SUMIF(GL!$D$6:$D$6487,B818,GL!$I$6:$I$6487)</f>
        <v>26021663</v>
      </c>
      <c r="G818" s="341"/>
      <c r="H818" s="341"/>
      <c r="I818" s="341">
        <f t="shared" si="858"/>
        <v>0</v>
      </c>
      <c r="J818" s="341">
        <f t="shared" si="859"/>
        <v>26021663</v>
      </c>
      <c r="K818" s="341"/>
      <c r="L818" s="342">
        <v>182151646</v>
      </c>
      <c r="M818" s="342"/>
      <c r="N818" s="341">
        <f t="shared" si="860"/>
        <v>156129983</v>
      </c>
      <c r="O818" s="341">
        <f t="shared" si="861"/>
        <v>0</v>
      </c>
      <c r="P818" s="341">
        <f>SUMIF(GL!$D$6488:$D$6532,B818,GL!$H$6488:$H$6532)</f>
        <v>0</v>
      </c>
      <c r="Q818" s="341">
        <f>SUMIF(GL!$D$6408:$D$6452,B818,GL!$I$6408:$I$6452)</f>
        <v>0</v>
      </c>
      <c r="R818" s="341">
        <f t="shared" ref="R818:S818" si="872">P818+N818</f>
        <v>156129983</v>
      </c>
      <c r="S818" s="341">
        <f t="shared" si="872"/>
        <v>0</v>
      </c>
      <c r="T818" s="340"/>
      <c r="U818" s="340"/>
      <c r="V818" s="340"/>
      <c r="W818" s="340"/>
      <c r="X818" s="341">
        <f t="shared" si="863"/>
        <v>156129983</v>
      </c>
      <c r="Y818" s="341">
        <f t="shared" si="864"/>
        <v>0</v>
      </c>
      <c r="Z818" s="331"/>
      <c r="AA818" s="110"/>
      <c r="AB818" s="332"/>
      <c r="AC818" s="332"/>
      <c r="AD818" s="110"/>
      <c r="AE818" s="110"/>
      <c r="AF818" s="110"/>
      <c r="AG818" s="110"/>
      <c r="AH818" s="110"/>
      <c r="AI818" s="110"/>
    </row>
    <row r="819" spans="1:35" ht="13.5" customHeight="1">
      <c r="A819" s="4"/>
      <c r="B819" s="15" t="s">
        <v>140</v>
      </c>
      <c r="C819" s="340" t="s">
        <v>3659</v>
      </c>
      <c r="D819" s="254"/>
      <c r="E819" s="341">
        <f>SUMIF(GL!$D$6:$D$6487,B819,GL!$H$6:$H$6487)</f>
        <v>1999344</v>
      </c>
      <c r="F819" s="341">
        <f>SUMIF(GL!$D$6:$D$6487,B819,GL!$I$6:$I$6487)</f>
        <v>10559916</v>
      </c>
      <c r="G819" s="341"/>
      <c r="H819" s="341"/>
      <c r="I819" s="341">
        <f t="shared" si="858"/>
        <v>0</v>
      </c>
      <c r="J819" s="341">
        <f t="shared" si="859"/>
        <v>8560572</v>
      </c>
      <c r="K819" s="341"/>
      <c r="L819" s="342">
        <v>66128687</v>
      </c>
      <c r="M819" s="342"/>
      <c r="N819" s="341">
        <f t="shared" si="860"/>
        <v>57568115</v>
      </c>
      <c r="O819" s="341">
        <f t="shared" si="861"/>
        <v>0</v>
      </c>
      <c r="P819" s="341">
        <f>SUMIF(GL!$D$6488:$D$6532,B819,GL!$H$6488:$H$6532)</f>
        <v>0</v>
      </c>
      <c r="Q819" s="341">
        <f>SUMIF(GL!$D$6408:$D$6452,B819,GL!$I$6408:$I$6452)</f>
        <v>0</v>
      </c>
      <c r="R819" s="341">
        <f t="shared" ref="R819:S819" si="873">P819+N819</f>
        <v>57568115</v>
      </c>
      <c r="S819" s="341">
        <f t="shared" si="873"/>
        <v>0</v>
      </c>
      <c r="T819" s="340"/>
      <c r="U819" s="340"/>
      <c r="V819" s="340"/>
      <c r="W819" s="340"/>
      <c r="X819" s="341">
        <f t="shared" si="863"/>
        <v>57568115</v>
      </c>
      <c r="Y819" s="341">
        <f t="shared" si="864"/>
        <v>0</v>
      </c>
      <c r="Z819" s="331"/>
      <c r="AA819" s="110"/>
      <c r="AB819" s="332"/>
      <c r="AC819" s="332"/>
      <c r="AD819" s="110"/>
      <c r="AE819" s="110"/>
      <c r="AF819" s="110"/>
      <c r="AG819" s="110"/>
      <c r="AH819" s="110"/>
      <c r="AI819" s="110"/>
    </row>
    <row r="820" spans="1:35" ht="13.5" customHeight="1">
      <c r="A820" s="4"/>
      <c r="B820" s="127" t="s">
        <v>5113</v>
      </c>
      <c r="C820" s="22" t="s">
        <v>5114</v>
      </c>
      <c r="D820" s="322"/>
      <c r="E820" s="338">
        <f t="shared" ref="E820:F820" si="874">SUM(E810:E819)</f>
        <v>141439344</v>
      </c>
      <c r="F820" s="338">
        <f t="shared" si="874"/>
        <v>36581579</v>
      </c>
      <c r="G820" s="338"/>
      <c r="H820" s="338"/>
      <c r="I820" s="338">
        <f t="shared" ref="I820:J820" si="875">SUM(I810:I819)</f>
        <v>139440000</v>
      </c>
      <c r="J820" s="338">
        <f t="shared" si="875"/>
        <v>34582235</v>
      </c>
      <c r="K820" s="338"/>
      <c r="L820" s="345">
        <f t="shared" ref="L820:W820" si="876">SUM(L810:L819)</f>
        <v>1642362333</v>
      </c>
      <c r="M820" s="345">
        <f t="shared" si="876"/>
        <v>0</v>
      </c>
      <c r="N820" s="338">
        <f t="shared" si="876"/>
        <v>1747220098</v>
      </c>
      <c r="O820" s="338">
        <f t="shared" si="876"/>
        <v>0</v>
      </c>
      <c r="P820" s="338">
        <f t="shared" si="876"/>
        <v>0</v>
      </c>
      <c r="Q820" s="338">
        <f t="shared" si="876"/>
        <v>0</v>
      </c>
      <c r="R820" s="338">
        <f t="shared" si="876"/>
        <v>1747220098</v>
      </c>
      <c r="S820" s="338">
        <f t="shared" si="876"/>
        <v>0</v>
      </c>
      <c r="T820" s="338">
        <f t="shared" si="876"/>
        <v>0</v>
      </c>
      <c r="U820" s="338">
        <f t="shared" si="876"/>
        <v>0</v>
      </c>
      <c r="V820" s="338">
        <f t="shared" si="876"/>
        <v>0</v>
      </c>
      <c r="W820" s="338">
        <f t="shared" si="876"/>
        <v>0</v>
      </c>
      <c r="X820" s="386">
        <f t="shared" si="863"/>
        <v>1747220098</v>
      </c>
      <c r="Y820" s="387">
        <f t="shared" si="864"/>
        <v>0</v>
      </c>
      <c r="Z820" s="331"/>
      <c r="AA820" s="110"/>
      <c r="AB820" s="332"/>
      <c r="AC820" s="332"/>
      <c r="AD820" s="110"/>
      <c r="AE820" s="110"/>
      <c r="AF820" s="110"/>
      <c r="AG820" s="110"/>
      <c r="AH820" s="110"/>
      <c r="AI820" s="110"/>
    </row>
    <row r="821" spans="1:35" ht="13.5" customHeight="1">
      <c r="A821" s="4"/>
      <c r="B821" s="15"/>
      <c r="C821" s="340"/>
      <c r="D821" s="254"/>
      <c r="E821" s="341"/>
      <c r="F821" s="341"/>
      <c r="G821" s="341"/>
      <c r="H821" s="341"/>
      <c r="I821" s="341"/>
      <c r="J821" s="341"/>
      <c r="K821" s="341"/>
      <c r="L821" s="341"/>
      <c r="M821" s="341"/>
      <c r="N821" s="341"/>
      <c r="O821" s="341"/>
      <c r="P821" s="340"/>
      <c r="Q821" s="340"/>
      <c r="R821" s="341"/>
      <c r="S821" s="341"/>
      <c r="T821" s="340"/>
      <c r="U821" s="340"/>
      <c r="V821" s="340"/>
      <c r="W821" s="340"/>
      <c r="X821" s="346"/>
      <c r="Y821" s="346"/>
      <c r="Z821" s="331"/>
      <c r="AA821" s="110"/>
      <c r="AB821" s="332"/>
      <c r="AC821" s="332"/>
      <c r="AD821" s="110"/>
      <c r="AE821" s="110"/>
      <c r="AF821" s="110"/>
      <c r="AG821" s="110"/>
      <c r="AH821" s="110"/>
      <c r="AI821" s="110"/>
    </row>
    <row r="822" spans="1:35" ht="13.5" customHeight="1">
      <c r="A822" s="2"/>
      <c r="B822" s="127" t="s">
        <v>5115</v>
      </c>
      <c r="C822" s="22" t="s">
        <v>5116</v>
      </c>
      <c r="D822" s="322"/>
      <c r="E822" s="338"/>
      <c r="F822" s="338"/>
      <c r="G822" s="338"/>
      <c r="H822" s="338"/>
      <c r="I822" s="338"/>
      <c r="J822" s="338"/>
      <c r="K822" s="338"/>
      <c r="L822" s="338"/>
      <c r="M822" s="338"/>
      <c r="N822" s="338"/>
      <c r="O822" s="338"/>
      <c r="P822" s="22"/>
      <c r="Q822" s="22"/>
      <c r="R822" s="338"/>
      <c r="S822" s="338"/>
      <c r="T822" s="22"/>
      <c r="U822" s="22"/>
      <c r="V822" s="22"/>
      <c r="W822" s="22"/>
      <c r="X822" s="339"/>
      <c r="Y822" s="339"/>
      <c r="Z822" s="331"/>
      <c r="AA822" s="110"/>
      <c r="AB822" s="332"/>
      <c r="AC822" s="332"/>
      <c r="AD822" s="110"/>
      <c r="AE822" s="110"/>
      <c r="AF822" s="110"/>
      <c r="AG822" s="110"/>
      <c r="AH822" s="110"/>
      <c r="AI822" s="110"/>
    </row>
    <row r="823" spans="1:35" ht="13.5" customHeight="1">
      <c r="A823" s="4"/>
      <c r="B823" s="15" t="s">
        <v>5117</v>
      </c>
      <c r="C823" s="340" t="s">
        <v>5118</v>
      </c>
      <c r="D823" s="254"/>
      <c r="E823" s="341">
        <f>SUMIF(GL!$D$6:$D$6487,B823,GL!$H$6:$H$6487)</f>
        <v>0</v>
      </c>
      <c r="F823" s="341">
        <f>SUMIF(GL!$D$6:$D$6487,B823,GL!$I$6:$I$6487)</f>
        <v>0</v>
      </c>
      <c r="G823" s="341"/>
      <c r="H823" s="341"/>
      <c r="I823" s="341">
        <f t="shared" ref="I823:I826" si="877">IF(E823&gt;F823,E823-F823,0)</f>
        <v>0</v>
      </c>
      <c r="J823" s="341">
        <f t="shared" ref="J823:J826" si="878">IF(F823&gt;E823,F823-E823,0)</f>
        <v>0</v>
      </c>
      <c r="K823" s="341"/>
      <c r="L823" s="342"/>
      <c r="M823" s="342"/>
      <c r="N823" s="341">
        <f t="shared" ref="N823:N826" si="879">IF(I823+L823&gt;J823+M823,(I823+L823)-(J823+M823),0)</f>
        <v>0</v>
      </c>
      <c r="O823" s="341">
        <f t="shared" ref="O823:O826" si="880">IF(J823+M823&gt;I823+L823,(J823+M823)-(I823+L823),0)</f>
        <v>0</v>
      </c>
      <c r="P823" s="341">
        <f>SUMIF(GL!$D$6488:$D$6532,B823,GL!$H$6488:$H$6532)</f>
        <v>0</v>
      </c>
      <c r="Q823" s="341">
        <f>SUMIF(GL!$D$6408:$D$6452,B823,GL!$I$6408:$I$6452)</f>
        <v>0</v>
      </c>
      <c r="R823" s="341">
        <f t="shared" ref="R823:S823" si="881">P823+N823</f>
        <v>0</v>
      </c>
      <c r="S823" s="341">
        <f t="shared" si="881"/>
        <v>0</v>
      </c>
      <c r="T823" s="340"/>
      <c r="U823" s="340"/>
      <c r="V823" s="340"/>
      <c r="W823" s="340"/>
      <c r="X823" s="341">
        <f t="shared" ref="X823:X827" si="882">IF(R823&gt;S823,R823-S823,0)</f>
        <v>0</v>
      </c>
      <c r="Y823" s="341">
        <f t="shared" ref="Y823:Y827" si="883">IF(S823&gt;R823,S823-R823,0)</f>
        <v>0</v>
      </c>
      <c r="Z823" s="331"/>
      <c r="AA823" s="110"/>
      <c r="AB823" s="332"/>
      <c r="AC823" s="332"/>
      <c r="AD823" s="110"/>
      <c r="AE823" s="110"/>
      <c r="AF823" s="110"/>
      <c r="AG823" s="110"/>
      <c r="AH823" s="110"/>
      <c r="AI823" s="110"/>
    </row>
    <row r="824" spans="1:35" ht="13.5" customHeight="1">
      <c r="A824" s="4"/>
      <c r="B824" s="15" t="s">
        <v>5119</v>
      </c>
      <c r="C824" s="340" t="s">
        <v>5120</v>
      </c>
      <c r="D824" s="254"/>
      <c r="E824" s="341">
        <f>SUMIF(GL!$D$6:$D$6487,B824,GL!$H$6:$H$6487)</f>
        <v>0</v>
      </c>
      <c r="F824" s="341">
        <f>SUMIF(GL!$D$6:$D$6487,B824,GL!$I$6:$I$6487)</f>
        <v>0</v>
      </c>
      <c r="G824" s="341"/>
      <c r="H824" s="341"/>
      <c r="I824" s="341">
        <f t="shared" si="877"/>
        <v>0</v>
      </c>
      <c r="J824" s="341">
        <f t="shared" si="878"/>
        <v>0</v>
      </c>
      <c r="K824" s="341"/>
      <c r="L824" s="342"/>
      <c r="M824" s="342"/>
      <c r="N824" s="341">
        <f t="shared" si="879"/>
        <v>0</v>
      </c>
      <c r="O824" s="341">
        <f t="shared" si="880"/>
        <v>0</v>
      </c>
      <c r="P824" s="341">
        <f>SUMIF(GL!$D$6488:$D$6532,B824,GL!$H$6488:$H$6532)</f>
        <v>0</v>
      </c>
      <c r="Q824" s="341">
        <f>SUMIF(GL!$D$6408:$D$6452,B824,GL!$I$6408:$I$6452)</f>
        <v>0</v>
      </c>
      <c r="R824" s="341">
        <f t="shared" ref="R824:S824" si="884">P824+N824</f>
        <v>0</v>
      </c>
      <c r="S824" s="341">
        <f t="shared" si="884"/>
        <v>0</v>
      </c>
      <c r="T824" s="340"/>
      <c r="U824" s="340"/>
      <c r="V824" s="340"/>
      <c r="W824" s="340"/>
      <c r="X824" s="341">
        <f t="shared" si="882"/>
        <v>0</v>
      </c>
      <c r="Y824" s="341">
        <f t="shared" si="883"/>
        <v>0</v>
      </c>
      <c r="Z824" s="331"/>
      <c r="AA824" s="110"/>
      <c r="AB824" s="332"/>
      <c r="AC824" s="332"/>
      <c r="AD824" s="110"/>
      <c r="AE824" s="110"/>
      <c r="AF824" s="110"/>
      <c r="AG824" s="110"/>
      <c r="AH824" s="110"/>
      <c r="AI824" s="110"/>
    </row>
    <row r="825" spans="1:35" ht="13.5" customHeight="1">
      <c r="A825" s="4"/>
      <c r="B825" s="15" t="s">
        <v>5121</v>
      </c>
      <c r="C825" s="340" t="s">
        <v>5122</v>
      </c>
      <c r="D825" s="254"/>
      <c r="E825" s="341">
        <f>SUMIF(GL!$D$6:$D$6487,B825,GL!$H$6:$H$6487)</f>
        <v>0</v>
      </c>
      <c r="F825" s="341">
        <f>SUMIF(GL!$D$6:$D$6487,B825,GL!$I$6:$I$6487)</f>
        <v>0</v>
      </c>
      <c r="G825" s="341"/>
      <c r="H825" s="341"/>
      <c r="I825" s="341">
        <f t="shared" si="877"/>
        <v>0</v>
      </c>
      <c r="J825" s="341">
        <f t="shared" si="878"/>
        <v>0</v>
      </c>
      <c r="K825" s="341"/>
      <c r="L825" s="342"/>
      <c r="M825" s="342"/>
      <c r="N825" s="341">
        <f t="shared" si="879"/>
        <v>0</v>
      </c>
      <c r="O825" s="341">
        <f t="shared" si="880"/>
        <v>0</v>
      </c>
      <c r="P825" s="341">
        <f>SUMIF(GL!$D$6488:$D$6532,B825,GL!$H$6488:$H$6532)</f>
        <v>0</v>
      </c>
      <c r="Q825" s="341">
        <f>SUMIF(GL!$D$6408:$D$6452,B825,GL!$I$6408:$I$6452)</f>
        <v>0</v>
      </c>
      <c r="R825" s="341">
        <f t="shared" ref="R825:S825" si="885">P825+N825</f>
        <v>0</v>
      </c>
      <c r="S825" s="341">
        <f t="shared" si="885"/>
        <v>0</v>
      </c>
      <c r="T825" s="340"/>
      <c r="U825" s="340"/>
      <c r="V825" s="340"/>
      <c r="W825" s="340"/>
      <c r="X825" s="341">
        <f t="shared" si="882"/>
        <v>0</v>
      </c>
      <c r="Y825" s="341">
        <f t="shared" si="883"/>
        <v>0</v>
      </c>
      <c r="Z825" s="331"/>
      <c r="AA825" s="110"/>
      <c r="AB825" s="332"/>
      <c r="AC825" s="332"/>
      <c r="AD825" s="110"/>
      <c r="AE825" s="110"/>
      <c r="AF825" s="110"/>
      <c r="AG825" s="110"/>
      <c r="AH825" s="110"/>
      <c r="AI825" s="110"/>
    </row>
    <row r="826" spans="1:35" ht="13.5" customHeight="1">
      <c r="A826" s="4"/>
      <c r="B826" s="15" t="s">
        <v>5123</v>
      </c>
      <c r="C826" s="340" t="s">
        <v>5124</v>
      </c>
      <c r="D826" s="254"/>
      <c r="E826" s="341">
        <f>SUMIF(GL!$D$6:$D$6487,B826,GL!$H$6:$H$6487)</f>
        <v>0</v>
      </c>
      <c r="F826" s="341">
        <f>SUMIF(GL!$D$6:$D$6487,B826,GL!$I$6:$I$6487)</f>
        <v>0</v>
      </c>
      <c r="G826" s="341"/>
      <c r="H826" s="341"/>
      <c r="I826" s="341">
        <f t="shared" si="877"/>
        <v>0</v>
      </c>
      <c r="J826" s="341">
        <f t="shared" si="878"/>
        <v>0</v>
      </c>
      <c r="K826" s="341"/>
      <c r="L826" s="342"/>
      <c r="M826" s="342"/>
      <c r="N826" s="341">
        <f t="shared" si="879"/>
        <v>0</v>
      </c>
      <c r="O826" s="341">
        <f t="shared" si="880"/>
        <v>0</v>
      </c>
      <c r="P826" s="341">
        <f>SUMIF(GL!$D$6488:$D$6532,B826,GL!$H$6488:$H$6532)</f>
        <v>0</v>
      </c>
      <c r="Q826" s="341">
        <f>SUMIF(GL!$D$6408:$D$6452,B826,GL!$I$6408:$I$6452)</f>
        <v>0</v>
      </c>
      <c r="R826" s="341">
        <f t="shared" ref="R826:S826" si="886">P826+N826</f>
        <v>0</v>
      </c>
      <c r="S826" s="341">
        <f t="shared" si="886"/>
        <v>0</v>
      </c>
      <c r="T826" s="340"/>
      <c r="U826" s="340"/>
      <c r="V826" s="340"/>
      <c r="W826" s="340"/>
      <c r="X826" s="341">
        <f t="shared" si="882"/>
        <v>0</v>
      </c>
      <c r="Y826" s="341">
        <f t="shared" si="883"/>
        <v>0</v>
      </c>
      <c r="Z826" s="331"/>
      <c r="AA826" s="110"/>
      <c r="AB826" s="332"/>
      <c r="AC826" s="332"/>
      <c r="AD826" s="110"/>
      <c r="AE826" s="110"/>
      <c r="AF826" s="110"/>
      <c r="AG826" s="110"/>
      <c r="AH826" s="110"/>
      <c r="AI826" s="110"/>
    </row>
    <row r="827" spans="1:35" ht="13.5" customHeight="1">
      <c r="A827" s="4"/>
      <c r="B827" s="127" t="s">
        <v>5125</v>
      </c>
      <c r="C827" s="22" t="s">
        <v>5126</v>
      </c>
      <c r="D827" s="322"/>
      <c r="E827" s="341">
        <f t="shared" ref="E827:F827" si="887">SUM(E823:E826)</f>
        <v>0</v>
      </c>
      <c r="F827" s="341">
        <f t="shared" si="887"/>
        <v>0</v>
      </c>
      <c r="G827" s="341"/>
      <c r="H827" s="341"/>
      <c r="I827" s="341">
        <f t="shared" ref="I827:J827" si="888">SUM(I823:I826)</f>
        <v>0</v>
      </c>
      <c r="J827" s="341">
        <f t="shared" si="888"/>
        <v>0</v>
      </c>
      <c r="K827" s="341"/>
      <c r="L827" s="338">
        <f>SUM(L823:L826)</f>
        <v>0</v>
      </c>
      <c r="M827" s="341"/>
      <c r="N827" s="341">
        <f t="shared" ref="N827:W827" si="889">SUM(N823:N826)</f>
        <v>0</v>
      </c>
      <c r="O827" s="341">
        <f t="shared" si="889"/>
        <v>0</v>
      </c>
      <c r="P827" s="341">
        <f t="shared" si="889"/>
        <v>0</v>
      </c>
      <c r="Q827" s="341">
        <f t="shared" si="889"/>
        <v>0</v>
      </c>
      <c r="R827" s="341">
        <f t="shared" si="889"/>
        <v>0</v>
      </c>
      <c r="S827" s="341">
        <f t="shared" si="889"/>
        <v>0</v>
      </c>
      <c r="T827" s="341">
        <f t="shared" si="889"/>
        <v>0</v>
      </c>
      <c r="U827" s="341">
        <f t="shared" si="889"/>
        <v>0</v>
      </c>
      <c r="V827" s="341">
        <f t="shared" si="889"/>
        <v>0</v>
      </c>
      <c r="W827" s="341">
        <f t="shared" si="889"/>
        <v>0</v>
      </c>
      <c r="X827" s="341">
        <f t="shared" si="882"/>
        <v>0</v>
      </c>
      <c r="Y827" s="341">
        <f t="shared" si="883"/>
        <v>0</v>
      </c>
      <c r="Z827" s="331"/>
      <c r="AA827" s="110"/>
      <c r="AB827" s="332"/>
      <c r="AC827" s="332"/>
      <c r="AD827" s="110"/>
      <c r="AE827" s="110"/>
      <c r="AF827" s="110"/>
      <c r="AG827" s="110"/>
      <c r="AH827" s="110"/>
      <c r="AI827" s="110"/>
    </row>
    <row r="828" spans="1:35" ht="13.5" customHeight="1">
      <c r="A828" s="4"/>
      <c r="B828" s="15"/>
      <c r="C828" s="22"/>
      <c r="D828" s="322"/>
      <c r="E828" s="341"/>
      <c r="F828" s="341"/>
      <c r="G828" s="341"/>
      <c r="H828" s="341"/>
      <c r="I828" s="341"/>
      <c r="J828" s="341"/>
      <c r="K828" s="341"/>
      <c r="L828" s="341"/>
      <c r="M828" s="341"/>
      <c r="N828" s="341"/>
      <c r="O828" s="341"/>
      <c r="P828" s="341"/>
      <c r="Q828" s="341"/>
      <c r="R828" s="341"/>
      <c r="S828" s="341"/>
      <c r="T828" s="341"/>
      <c r="U828" s="341"/>
      <c r="V828" s="341"/>
      <c r="W828" s="341"/>
      <c r="X828" s="341"/>
      <c r="Y828" s="341"/>
      <c r="Z828" s="331"/>
      <c r="AA828" s="110"/>
      <c r="AB828" s="332"/>
      <c r="AC828" s="332"/>
      <c r="AD828" s="110"/>
      <c r="AE828" s="110"/>
      <c r="AF828" s="110"/>
      <c r="AG828" s="110"/>
      <c r="AH828" s="110"/>
      <c r="AI828" s="110"/>
    </row>
    <row r="829" spans="1:35" ht="13.5" customHeight="1">
      <c r="A829" s="4"/>
      <c r="B829" s="127" t="s">
        <v>5127</v>
      </c>
      <c r="C829" s="22" t="s">
        <v>5128</v>
      </c>
      <c r="D829" s="322"/>
      <c r="E829" s="338">
        <f t="shared" ref="E829:Y829" si="890">E827+E820+E807+E41+E23</f>
        <v>6862747660.0195017</v>
      </c>
      <c r="F829" s="338">
        <f t="shared" si="890"/>
        <v>6455810540.79</v>
      </c>
      <c r="G829" s="338">
        <f t="shared" si="890"/>
        <v>0</v>
      </c>
      <c r="H829" s="338">
        <f t="shared" si="890"/>
        <v>0</v>
      </c>
      <c r="I829" s="338">
        <f t="shared" si="890"/>
        <v>771643384.40750003</v>
      </c>
      <c r="J829" s="338">
        <f t="shared" si="890"/>
        <v>364706265.17799914</v>
      </c>
      <c r="K829" s="338">
        <f t="shared" si="890"/>
        <v>0</v>
      </c>
      <c r="L829" s="345">
        <f t="shared" si="890"/>
        <v>21852581983</v>
      </c>
      <c r="M829" s="345">
        <f t="shared" si="890"/>
        <v>0</v>
      </c>
      <c r="N829" s="338">
        <f t="shared" si="890"/>
        <v>22259519102.229504</v>
      </c>
      <c r="O829" s="338">
        <f t="shared" si="890"/>
        <v>0</v>
      </c>
      <c r="P829" s="338">
        <f t="shared" si="890"/>
        <v>0</v>
      </c>
      <c r="Q829" s="338">
        <f t="shared" si="890"/>
        <v>474226736.18115044</v>
      </c>
      <c r="R829" s="338">
        <f t="shared" si="890"/>
        <v>22259519102.229504</v>
      </c>
      <c r="S829" s="338">
        <f t="shared" si="890"/>
        <v>474226736.18115044</v>
      </c>
      <c r="T829" s="338">
        <f t="shared" si="890"/>
        <v>0</v>
      </c>
      <c r="U829" s="338">
        <f t="shared" si="890"/>
        <v>0</v>
      </c>
      <c r="V829" s="338">
        <f t="shared" si="890"/>
        <v>0</v>
      </c>
      <c r="W829" s="338">
        <f t="shared" si="890"/>
        <v>0</v>
      </c>
      <c r="X829" s="338">
        <f t="shared" si="890"/>
        <v>21785292366.048351</v>
      </c>
      <c r="Y829" s="338">
        <f t="shared" si="890"/>
        <v>0</v>
      </c>
      <c r="Z829" s="331"/>
      <c r="AA829" s="110"/>
      <c r="AB829" s="332"/>
      <c r="AC829" s="332"/>
      <c r="AD829" s="110"/>
      <c r="AE829" s="110"/>
      <c r="AF829" s="110"/>
      <c r="AG829" s="110"/>
      <c r="AH829" s="110"/>
      <c r="AI829" s="110"/>
    </row>
    <row r="830" spans="1:35" ht="13.5" customHeight="1">
      <c r="A830" s="4"/>
      <c r="B830" s="15"/>
      <c r="C830" s="340"/>
      <c r="D830" s="254"/>
      <c r="E830" s="341"/>
      <c r="F830" s="341"/>
      <c r="G830" s="341"/>
      <c r="H830" s="341"/>
      <c r="I830" s="341"/>
      <c r="J830" s="341"/>
      <c r="K830" s="341"/>
      <c r="L830" s="341"/>
      <c r="M830" s="341"/>
      <c r="N830" s="341"/>
      <c r="O830" s="341"/>
      <c r="P830" s="340"/>
      <c r="Q830" s="340"/>
      <c r="R830" s="341"/>
      <c r="S830" s="341"/>
      <c r="T830" s="340"/>
      <c r="U830" s="340"/>
      <c r="V830" s="340"/>
      <c r="W830" s="340"/>
      <c r="X830" s="346"/>
      <c r="Y830" s="346"/>
      <c r="Z830" s="331"/>
      <c r="AA830" s="110"/>
      <c r="AB830" s="332"/>
      <c r="AC830" s="332"/>
      <c r="AD830" s="110"/>
      <c r="AE830" s="110"/>
      <c r="AF830" s="110"/>
      <c r="AG830" s="110"/>
      <c r="AH830" s="110"/>
      <c r="AI830" s="110"/>
    </row>
    <row r="831" spans="1:35" ht="13.5" customHeight="1">
      <c r="A831" s="4"/>
      <c r="B831" s="127" t="s">
        <v>5129</v>
      </c>
      <c r="C831" s="22" t="s">
        <v>5130</v>
      </c>
      <c r="D831" s="322"/>
      <c r="E831" s="341"/>
      <c r="F831" s="341"/>
      <c r="G831" s="341"/>
      <c r="H831" s="341"/>
      <c r="I831" s="341"/>
      <c r="J831" s="341"/>
      <c r="K831" s="341"/>
      <c r="L831" s="341"/>
      <c r="M831" s="341"/>
      <c r="N831" s="341"/>
      <c r="O831" s="341"/>
      <c r="P831" s="340"/>
      <c r="Q831" s="340"/>
      <c r="R831" s="341"/>
      <c r="S831" s="341"/>
      <c r="T831" s="340"/>
      <c r="U831" s="340"/>
      <c r="V831" s="340"/>
      <c r="W831" s="340"/>
      <c r="X831" s="346"/>
      <c r="Y831" s="346"/>
      <c r="Z831" s="331"/>
      <c r="AA831" s="110"/>
      <c r="AB831" s="332"/>
      <c r="AC831" s="332"/>
      <c r="AD831" s="110"/>
      <c r="AE831" s="110"/>
      <c r="AF831" s="110"/>
      <c r="AG831" s="110"/>
      <c r="AH831" s="110"/>
      <c r="AI831" s="110"/>
    </row>
    <row r="832" spans="1:35" ht="13.5" customHeight="1">
      <c r="A832" s="2"/>
      <c r="B832" s="127" t="s">
        <v>5131</v>
      </c>
      <c r="C832" s="22" t="s">
        <v>5132</v>
      </c>
      <c r="D832" s="322"/>
      <c r="E832" s="338"/>
      <c r="F832" s="338"/>
      <c r="G832" s="338"/>
      <c r="H832" s="338"/>
      <c r="I832" s="338"/>
      <c r="J832" s="338"/>
      <c r="K832" s="338"/>
      <c r="L832" s="338"/>
      <c r="M832" s="338"/>
      <c r="N832" s="338"/>
      <c r="O832" s="338"/>
      <c r="P832" s="22"/>
      <c r="Q832" s="22"/>
      <c r="R832" s="338"/>
      <c r="S832" s="338"/>
      <c r="T832" s="22"/>
      <c r="U832" s="22"/>
      <c r="V832" s="22"/>
      <c r="W832" s="22"/>
      <c r="X832" s="339"/>
      <c r="Y832" s="339"/>
      <c r="Z832" s="331"/>
      <c r="AA832" s="110"/>
      <c r="AB832" s="332"/>
      <c r="AC832" s="332"/>
      <c r="AD832" s="110"/>
      <c r="AE832" s="110"/>
      <c r="AF832" s="110"/>
      <c r="AG832" s="110"/>
      <c r="AH832" s="110"/>
      <c r="AI832" s="110"/>
    </row>
    <row r="833" spans="1:35" ht="13.5" customHeight="1">
      <c r="A833" s="2"/>
      <c r="B833" s="127" t="s">
        <v>5133</v>
      </c>
      <c r="C833" s="22" t="s">
        <v>5134</v>
      </c>
      <c r="D833" s="322"/>
      <c r="E833" s="338"/>
      <c r="F833" s="338"/>
      <c r="G833" s="338"/>
      <c r="H833" s="338"/>
      <c r="I833" s="338"/>
      <c r="J833" s="338"/>
      <c r="K833" s="338"/>
      <c r="L833" s="338"/>
      <c r="M833" s="338"/>
      <c r="N833" s="338"/>
      <c r="O833" s="338"/>
      <c r="P833" s="22"/>
      <c r="Q833" s="22"/>
      <c r="R833" s="338"/>
      <c r="S833" s="338"/>
      <c r="T833" s="22"/>
      <c r="U833" s="22"/>
      <c r="V833" s="22"/>
      <c r="W833" s="22"/>
      <c r="X833" s="339"/>
      <c r="Y833" s="339"/>
      <c r="Z833" s="331"/>
      <c r="AA833" s="110"/>
      <c r="AB833" s="332"/>
      <c r="AC833" s="332"/>
      <c r="AD833" s="110"/>
      <c r="AE833" s="110"/>
      <c r="AF833" s="110"/>
      <c r="AG833" s="110"/>
      <c r="AH833" s="110"/>
      <c r="AI833" s="110"/>
    </row>
    <row r="834" spans="1:35" ht="13.5" customHeight="1">
      <c r="A834" s="4"/>
      <c r="B834" s="15" t="s">
        <v>5135</v>
      </c>
      <c r="C834" s="340" t="s">
        <v>5136</v>
      </c>
      <c r="D834" s="254"/>
      <c r="E834" s="341">
        <f>SUMIF(GL!$D$6:$D$6487,B834,GL!$H$6:$H$6487)</f>
        <v>0</v>
      </c>
      <c r="F834" s="341">
        <f>SUMIF(GL!$D$6:$D$6487,B834,GL!$I$6:$I$6487)</f>
        <v>0</v>
      </c>
      <c r="G834" s="341"/>
      <c r="H834" s="341"/>
      <c r="I834" s="341">
        <f t="shared" ref="I834:I841" si="891">IF(E834&gt;F834,E834-F834,0)</f>
        <v>0</v>
      </c>
      <c r="J834" s="341">
        <f t="shared" ref="J834:J841" si="892">IF(F834&gt;E834,F834-E834,0)</f>
        <v>0</v>
      </c>
      <c r="K834" s="341"/>
      <c r="L834" s="342">
        <v>10023791126</v>
      </c>
      <c r="M834" s="342"/>
      <c r="N834" s="341">
        <f t="shared" ref="N834:N842" si="893">IF(I834+L834&gt;J834+M834,(I834+L834)-(J834+M834),0)</f>
        <v>10023791126</v>
      </c>
      <c r="O834" s="341">
        <f t="shared" ref="O834:O841" si="894">IF(J834+M834&gt;I834+L834,(J834+M834)-(I834+L834),0)</f>
        <v>0</v>
      </c>
      <c r="P834" s="341">
        <f>SUMIF(GL!$D$6488:$D$6532,B834,GL!$H$6488:$H$6532)</f>
        <v>0</v>
      </c>
      <c r="Q834" s="341">
        <f>SUMIF(GL!$D$6408:$D$6452,B834,GL!$I$6408:$I$6452)</f>
        <v>0</v>
      </c>
      <c r="R834" s="341">
        <f t="shared" ref="R834:S834" si="895">P834+N834</f>
        <v>10023791126</v>
      </c>
      <c r="S834" s="341">
        <f t="shared" si="895"/>
        <v>0</v>
      </c>
      <c r="T834" s="340"/>
      <c r="U834" s="340"/>
      <c r="V834" s="340"/>
      <c r="W834" s="340"/>
      <c r="X834" s="341">
        <f t="shared" ref="X834:X841" si="896">IF(R834&gt;S834,R834-S834,0)</f>
        <v>10023791126</v>
      </c>
      <c r="Y834" s="341">
        <f t="shared" ref="Y834:Y841" si="897">IF(S834&gt;R834,S834-R834,0)</f>
        <v>0</v>
      </c>
      <c r="Z834" s="331"/>
      <c r="AA834" s="110"/>
      <c r="AB834" s="388"/>
      <c r="AC834" s="388">
        <v>10023791126</v>
      </c>
      <c r="AD834" s="110"/>
      <c r="AE834" s="330">
        <f t="shared" ref="AE834:AE841" si="898">X834-AC834</f>
        <v>0</v>
      </c>
      <c r="AF834" s="110"/>
      <c r="AG834" s="110"/>
      <c r="AH834" s="110"/>
      <c r="AI834" s="110"/>
    </row>
    <row r="835" spans="1:35" ht="13.5" customHeight="1">
      <c r="A835" s="4"/>
      <c r="B835" s="15" t="s">
        <v>5137</v>
      </c>
      <c r="C835" s="340" t="s">
        <v>5138</v>
      </c>
      <c r="D835" s="254"/>
      <c r="E835" s="341">
        <f>SUMIF(GL!$D$6:$D$6487,B835,GL!$H$6:$H$6487)</f>
        <v>0</v>
      </c>
      <c r="F835" s="341">
        <f>SUMIF(GL!$D$6:$D$6487,B835,GL!$I$6:$I$6487)</f>
        <v>0</v>
      </c>
      <c r="G835" s="341"/>
      <c r="H835" s="341"/>
      <c r="I835" s="341">
        <f t="shared" si="891"/>
        <v>0</v>
      </c>
      <c r="J835" s="341">
        <f t="shared" si="892"/>
        <v>0</v>
      </c>
      <c r="K835" s="341"/>
      <c r="L835" s="342">
        <v>3498061818</v>
      </c>
      <c r="M835" s="342"/>
      <c r="N835" s="341">
        <f t="shared" si="893"/>
        <v>3498061818</v>
      </c>
      <c r="O835" s="341">
        <f t="shared" si="894"/>
        <v>0</v>
      </c>
      <c r="P835" s="341">
        <f>SUMIF(GL!$D$6488:$D$6532,B835,GL!$H$6488:$H$6532)</f>
        <v>0</v>
      </c>
      <c r="Q835" s="341">
        <f>SUMIF(GL!$D$6408:$D$6452,B835,GL!$I$6408:$I$6452)</f>
        <v>0</v>
      </c>
      <c r="R835" s="341">
        <f t="shared" ref="R835:S835" si="899">P835+N835</f>
        <v>3498061818</v>
      </c>
      <c r="S835" s="341">
        <f t="shared" si="899"/>
        <v>0</v>
      </c>
      <c r="T835" s="340"/>
      <c r="U835" s="340"/>
      <c r="V835" s="340"/>
      <c r="W835" s="340"/>
      <c r="X835" s="341">
        <f t="shared" si="896"/>
        <v>3498061818</v>
      </c>
      <c r="Y835" s="341">
        <f t="shared" si="897"/>
        <v>0</v>
      </c>
      <c r="Z835" s="331"/>
      <c r="AA835" s="110"/>
      <c r="AB835" s="330"/>
      <c r="AC835" s="330">
        <v>3498061819.25</v>
      </c>
      <c r="AD835" s="110"/>
      <c r="AE835" s="330">
        <f t="shared" si="898"/>
        <v>-1.25</v>
      </c>
      <c r="AF835" s="110"/>
      <c r="AG835" s="110"/>
      <c r="AH835" s="110"/>
      <c r="AI835" s="110"/>
    </row>
    <row r="836" spans="1:35" ht="13.5" customHeight="1">
      <c r="A836" s="4"/>
      <c r="B836" s="15" t="s">
        <v>3156</v>
      </c>
      <c r="C836" s="340" t="s">
        <v>5139</v>
      </c>
      <c r="D836" s="254"/>
      <c r="E836" s="341">
        <f>SUMIF(GL!$D$6:$D$6487,B836,GL!$H$6:$H$6487)</f>
        <v>1049200</v>
      </c>
      <c r="F836" s="341">
        <f>SUMIF(GL!$D$6:$D$6487,B836,GL!$I$6:$I$6487)</f>
        <v>0</v>
      </c>
      <c r="G836" s="341"/>
      <c r="H836" s="341"/>
      <c r="I836" s="341">
        <f t="shared" si="891"/>
        <v>1049200</v>
      </c>
      <c r="J836" s="341">
        <f t="shared" si="892"/>
        <v>0</v>
      </c>
      <c r="K836" s="341"/>
      <c r="L836" s="342">
        <v>6201120249</v>
      </c>
      <c r="M836" s="342"/>
      <c r="N836" s="341">
        <f t="shared" si="893"/>
        <v>6202169449</v>
      </c>
      <c r="O836" s="341">
        <f t="shared" si="894"/>
        <v>0</v>
      </c>
      <c r="P836" s="341">
        <f>SUMIF(GL!$D$6488:$D$6532,B836,GL!$H$6488:$H$6532)</f>
        <v>0</v>
      </c>
      <c r="Q836" s="341">
        <f>SUMIF(GL!$D$6408:$D$6452,B836,GL!$I$6408:$I$6452)</f>
        <v>0</v>
      </c>
      <c r="R836" s="341">
        <f t="shared" ref="R836:S836" si="900">P836+N836</f>
        <v>6202169449</v>
      </c>
      <c r="S836" s="341">
        <f t="shared" si="900"/>
        <v>0</v>
      </c>
      <c r="T836" s="340"/>
      <c r="U836" s="340"/>
      <c r="V836" s="340"/>
      <c r="W836" s="340"/>
      <c r="X836" s="341">
        <f t="shared" si="896"/>
        <v>6202169449</v>
      </c>
      <c r="Y836" s="341">
        <f t="shared" si="897"/>
        <v>0</v>
      </c>
      <c r="Z836" s="331"/>
      <c r="AA836" s="110"/>
      <c r="AB836" s="330"/>
      <c r="AC836" s="330">
        <v>6202169449</v>
      </c>
      <c r="AD836" s="110"/>
      <c r="AE836" s="330">
        <f t="shared" si="898"/>
        <v>0</v>
      </c>
      <c r="AF836" s="110"/>
      <c r="AG836" s="110"/>
      <c r="AH836" s="110"/>
      <c r="AI836" s="110"/>
    </row>
    <row r="837" spans="1:35" ht="13.5" customHeight="1">
      <c r="A837" s="4"/>
      <c r="B837" s="15" t="s">
        <v>5140</v>
      </c>
      <c r="C837" s="340" t="s">
        <v>5141</v>
      </c>
      <c r="D837" s="254"/>
      <c r="E837" s="341">
        <f>SUMIF(GL!$D$6:$D$6487,B837,GL!$H$6:$H$6487)</f>
        <v>0</v>
      </c>
      <c r="F837" s="341">
        <f>SUMIF(GL!$D$6:$D$6487,B837,GL!$I$6:$I$6487)</f>
        <v>0</v>
      </c>
      <c r="G837" s="341"/>
      <c r="H837" s="341"/>
      <c r="I837" s="341">
        <f t="shared" si="891"/>
        <v>0</v>
      </c>
      <c r="J837" s="341">
        <f t="shared" si="892"/>
        <v>0</v>
      </c>
      <c r="K837" s="341"/>
      <c r="L837" s="342">
        <v>1128029840</v>
      </c>
      <c r="M837" s="342"/>
      <c r="N837" s="341">
        <f t="shared" si="893"/>
        <v>1128029840</v>
      </c>
      <c r="O837" s="341">
        <f t="shared" si="894"/>
        <v>0</v>
      </c>
      <c r="P837" s="341">
        <f>SUMIF(GL!$D$6488:$D$6532,B837,GL!$H$6488:$H$6532)</f>
        <v>0</v>
      </c>
      <c r="Q837" s="341">
        <f>SUMIF(GL!$D$6408:$D$6452,B837,GL!$I$6408:$I$6452)</f>
        <v>0</v>
      </c>
      <c r="R837" s="341">
        <f t="shared" ref="R837:S837" si="901">P837+N837</f>
        <v>1128029840</v>
      </c>
      <c r="S837" s="341">
        <f t="shared" si="901"/>
        <v>0</v>
      </c>
      <c r="T837" s="340"/>
      <c r="U837" s="340"/>
      <c r="V837" s="340"/>
      <c r="W837" s="340"/>
      <c r="X837" s="341">
        <f t="shared" si="896"/>
        <v>1128029840</v>
      </c>
      <c r="Y837" s="341">
        <f t="shared" si="897"/>
        <v>0</v>
      </c>
      <c r="Z837" s="331"/>
      <c r="AA837" s="110"/>
      <c r="AB837" s="344"/>
      <c r="AC837" s="344">
        <v>1128029840</v>
      </c>
      <c r="AD837" s="110"/>
      <c r="AE837" s="330">
        <f t="shared" si="898"/>
        <v>0</v>
      </c>
      <c r="AF837" s="110"/>
      <c r="AG837" s="110"/>
      <c r="AH837" s="110"/>
      <c r="AI837" s="110"/>
    </row>
    <row r="838" spans="1:35" ht="13.5" customHeight="1">
      <c r="A838" s="4"/>
      <c r="B838" s="15" t="s">
        <v>5142</v>
      </c>
      <c r="C838" s="340" t="s">
        <v>5143</v>
      </c>
      <c r="D838" s="254"/>
      <c r="E838" s="341">
        <f>SUMIF(GL!$D$6:$D$6487,B838,GL!$H$6:$H$6487)</f>
        <v>0</v>
      </c>
      <c r="F838" s="341">
        <f>SUMIF(GL!$D$6:$D$6487,B838,GL!$I$6:$I$6487)</f>
        <v>0</v>
      </c>
      <c r="G838" s="341"/>
      <c r="H838" s="341"/>
      <c r="I838" s="341">
        <f t="shared" si="891"/>
        <v>0</v>
      </c>
      <c r="J838" s="341">
        <f t="shared" si="892"/>
        <v>0</v>
      </c>
      <c r="K838" s="341"/>
      <c r="L838" s="342">
        <v>70000000</v>
      </c>
      <c r="M838" s="342"/>
      <c r="N838" s="341">
        <f t="shared" si="893"/>
        <v>70000000</v>
      </c>
      <c r="O838" s="341">
        <f t="shared" si="894"/>
        <v>0</v>
      </c>
      <c r="P838" s="341">
        <f>SUMIF(GL!$D$6488:$D$6532,B838,GL!$H$6488:$H$6532)</f>
        <v>0</v>
      </c>
      <c r="Q838" s="341">
        <f>SUMIF(GL!$D$6408:$D$6452,B838,GL!$I$6408:$I$6452)</f>
        <v>0</v>
      </c>
      <c r="R838" s="341">
        <f t="shared" ref="R838:S838" si="902">P838+N838</f>
        <v>70000000</v>
      </c>
      <c r="S838" s="341">
        <f t="shared" si="902"/>
        <v>0</v>
      </c>
      <c r="T838" s="340"/>
      <c r="U838" s="340"/>
      <c r="V838" s="340"/>
      <c r="W838" s="340"/>
      <c r="X838" s="341">
        <f t="shared" si="896"/>
        <v>70000000</v>
      </c>
      <c r="Y838" s="341">
        <f t="shared" si="897"/>
        <v>0</v>
      </c>
      <c r="Z838" s="331"/>
      <c r="AA838" s="110"/>
      <c r="AB838" s="330"/>
      <c r="AC838" s="330">
        <f>X838-AB838</f>
        <v>70000000</v>
      </c>
      <c r="AD838" s="110"/>
      <c r="AE838" s="330">
        <f t="shared" si="898"/>
        <v>0</v>
      </c>
      <c r="AF838" s="110"/>
      <c r="AG838" s="110"/>
      <c r="AH838" s="110"/>
      <c r="AI838" s="110"/>
    </row>
    <row r="839" spans="1:35" ht="13.5" customHeight="1">
      <c r="A839" s="4"/>
      <c r="B839" s="15" t="s">
        <v>5144</v>
      </c>
      <c r="C839" s="340" t="s">
        <v>5145</v>
      </c>
      <c r="D839" s="254"/>
      <c r="E839" s="341">
        <f>SUMIF(GL!$D$6:$D$6487,B839,GL!$H$6:$H$6487)</f>
        <v>0</v>
      </c>
      <c r="F839" s="341">
        <f>SUMIF(GL!$D$6:$D$6487,B839,GL!$I$6:$I$6487)</f>
        <v>0</v>
      </c>
      <c r="G839" s="341"/>
      <c r="H839" s="341"/>
      <c r="I839" s="341">
        <f t="shared" si="891"/>
        <v>0</v>
      </c>
      <c r="J839" s="341">
        <f t="shared" si="892"/>
        <v>0</v>
      </c>
      <c r="K839" s="341"/>
      <c r="L839" s="342">
        <v>228000000</v>
      </c>
      <c r="M839" s="342"/>
      <c r="N839" s="341">
        <f t="shared" si="893"/>
        <v>228000000</v>
      </c>
      <c r="O839" s="341">
        <f t="shared" si="894"/>
        <v>0</v>
      </c>
      <c r="P839" s="341">
        <f>SUMIF(GL!$D$6488:$D$6532,B839,GL!$H$6488:$H$6532)</f>
        <v>0</v>
      </c>
      <c r="Q839" s="341">
        <f>SUMIF(GL!$D$6408:$D$6452,B839,GL!$I$6408:$I$6452)</f>
        <v>0</v>
      </c>
      <c r="R839" s="341">
        <f t="shared" ref="R839:S839" si="903">P839+N839</f>
        <v>228000000</v>
      </c>
      <c r="S839" s="341">
        <f t="shared" si="903"/>
        <v>0</v>
      </c>
      <c r="T839" s="340"/>
      <c r="U839" s="340"/>
      <c r="V839" s="340"/>
      <c r="W839" s="340"/>
      <c r="X839" s="341">
        <f t="shared" si="896"/>
        <v>228000000</v>
      </c>
      <c r="Y839" s="341">
        <f t="shared" si="897"/>
        <v>0</v>
      </c>
      <c r="Z839" s="331"/>
      <c r="AA839" s="110"/>
      <c r="AB839" s="330"/>
      <c r="AC839" s="330">
        <v>228000000</v>
      </c>
      <c r="AD839" s="110"/>
      <c r="AE839" s="330">
        <f t="shared" si="898"/>
        <v>0</v>
      </c>
      <c r="AF839" s="110"/>
      <c r="AG839" s="110"/>
      <c r="AH839" s="110"/>
      <c r="AI839" s="110"/>
    </row>
    <row r="840" spans="1:35" ht="13.5" customHeight="1">
      <c r="A840" s="4"/>
      <c r="B840" s="15" t="s">
        <v>5146</v>
      </c>
      <c r="C840" s="340" t="s">
        <v>5147</v>
      </c>
      <c r="D840" s="254"/>
      <c r="E840" s="341">
        <f>SUMIF(GL!$D$6:$D$6487,B840,GL!$H$6:$H$6487)</f>
        <v>0</v>
      </c>
      <c r="F840" s="341">
        <f>SUMIF(GL!$D$6:$D$6487,B840,GL!$I$6:$I$6487)</f>
        <v>0</v>
      </c>
      <c r="G840" s="341"/>
      <c r="H840" s="341"/>
      <c r="I840" s="341">
        <f t="shared" si="891"/>
        <v>0</v>
      </c>
      <c r="J840" s="341">
        <f t="shared" si="892"/>
        <v>0</v>
      </c>
      <c r="K840" s="341"/>
      <c r="L840" s="342">
        <v>287209750</v>
      </c>
      <c r="M840" s="342"/>
      <c r="N840" s="341">
        <f t="shared" si="893"/>
        <v>287209750</v>
      </c>
      <c r="O840" s="341">
        <f t="shared" si="894"/>
        <v>0</v>
      </c>
      <c r="P840" s="341">
        <f>SUMIF(GL!$D$6488:$D$6532,B840,GL!$H$6488:$H$6532)</f>
        <v>0</v>
      </c>
      <c r="Q840" s="341">
        <f>SUMIF(GL!$D$6408:$D$6452,B840,GL!$I$6408:$I$6452)</f>
        <v>0</v>
      </c>
      <c r="R840" s="341">
        <f t="shared" ref="R840:S840" si="904">P840+N840</f>
        <v>287209750</v>
      </c>
      <c r="S840" s="341">
        <f t="shared" si="904"/>
        <v>0</v>
      </c>
      <c r="T840" s="340"/>
      <c r="U840" s="340"/>
      <c r="V840" s="340"/>
      <c r="W840" s="340"/>
      <c r="X840" s="341">
        <f t="shared" si="896"/>
        <v>287209750</v>
      </c>
      <c r="Y840" s="341">
        <f t="shared" si="897"/>
        <v>0</v>
      </c>
      <c r="Z840" s="331"/>
      <c r="AA840" s="110"/>
      <c r="AB840" s="344"/>
      <c r="AC840" s="344">
        <v>287209750</v>
      </c>
      <c r="AD840" s="110"/>
      <c r="AE840" s="330">
        <f t="shared" si="898"/>
        <v>0</v>
      </c>
      <c r="AF840" s="110"/>
      <c r="AG840" s="110"/>
      <c r="AH840" s="110"/>
      <c r="AI840" s="110"/>
    </row>
    <row r="841" spans="1:35" ht="13.5" customHeight="1">
      <c r="A841" s="4"/>
      <c r="B841" s="15" t="s">
        <v>5148</v>
      </c>
      <c r="C841" s="340" t="s">
        <v>5149</v>
      </c>
      <c r="D841" s="254"/>
      <c r="E841" s="341">
        <f>SUMIF(GL!$D$6:$D$6487,B841,GL!$H$6:$H$6487)</f>
        <v>0</v>
      </c>
      <c r="F841" s="341">
        <f>SUMIF(GL!$D$6:$D$6487,B841,GL!$I$6:$I$6487)</f>
        <v>0</v>
      </c>
      <c r="G841" s="341"/>
      <c r="H841" s="341"/>
      <c r="I841" s="341">
        <f t="shared" si="891"/>
        <v>0</v>
      </c>
      <c r="J841" s="341">
        <f t="shared" si="892"/>
        <v>0</v>
      </c>
      <c r="K841" s="341"/>
      <c r="L841" s="342">
        <v>557145000</v>
      </c>
      <c r="M841" s="342"/>
      <c r="N841" s="341">
        <f t="shared" si="893"/>
        <v>557145000</v>
      </c>
      <c r="O841" s="341">
        <f t="shared" si="894"/>
        <v>0</v>
      </c>
      <c r="P841" s="341">
        <f>SUMIF(GL!$D$6488:$D$6532,B841,GL!$H$6488:$H$6532)</f>
        <v>0</v>
      </c>
      <c r="Q841" s="341">
        <f>SUMIF(GL!$D$6408:$D$6452,B841,GL!$I$6408:$I$6452)</f>
        <v>0</v>
      </c>
      <c r="R841" s="341">
        <f t="shared" ref="R841:S841" si="905">P841+N841</f>
        <v>557145000</v>
      </c>
      <c r="S841" s="341">
        <f t="shared" si="905"/>
        <v>0</v>
      </c>
      <c r="T841" s="340"/>
      <c r="U841" s="340"/>
      <c r="V841" s="340"/>
      <c r="W841" s="340"/>
      <c r="X841" s="341">
        <f t="shared" si="896"/>
        <v>557145000</v>
      </c>
      <c r="Y841" s="341">
        <f t="shared" si="897"/>
        <v>0</v>
      </c>
      <c r="Z841" s="331"/>
      <c r="AA841" s="110"/>
      <c r="AB841" s="330"/>
      <c r="AC841" s="330">
        <v>557145000</v>
      </c>
      <c r="AD841" s="110"/>
      <c r="AE841" s="330">
        <f t="shared" si="898"/>
        <v>0</v>
      </c>
      <c r="AF841" s="110"/>
      <c r="AG841" s="110"/>
      <c r="AH841" s="110"/>
      <c r="AI841" s="110"/>
    </row>
    <row r="842" spans="1:35" ht="13.5" customHeight="1">
      <c r="A842" s="2"/>
      <c r="B842" s="127" t="s">
        <v>5150</v>
      </c>
      <c r="C842" s="22" t="s">
        <v>5151</v>
      </c>
      <c r="D842" s="322"/>
      <c r="E842" s="338">
        <f t="shared" ref="E842:M842" si="906">SUM(E833:E841)</f>
        <v>1049200</v>
      </c>
      <c r="F842" s="338">
        <f t="shared" si="906"/>
        <v>0</v>
      </c>
      <c r="G842" s="338">
        <f t="shared" si="906"/>
        <v>0</v>
      </c>
      <c r="H842" s="338">
        <f t="shared" si="906"/>
        <v>0</v>
      </c>
      <c r="I842" s="338">
        <f t="shared" si="906"/>
        <v>1049200</v>
      </c>
      <c r="J842" s="338">
        <f t="shared" si="906"/>
        <v>0</v>
      </c>
      <c r="K842" s="338">
        <f t="shared" si="906"/>
        <v>0</v>
      </c>
      <c r="L842" s="338">
        <f t="shared" si="906"/>
        <v>21993357783</v>
      </c>
      <c r="M842" s="338">
        <f t="shared" si="906"/>
        <v>0</v>
      </c>
      <c r="N842" s="338">
        <f t="shared" si="893"/>
        <v>21994406983</v>
      </c>
      <c r="O842" s="338">
        <f t="shared" ref="O842:Y842" si="907">SUM(O833:O841)</f>
        <v>0</v>
      </c>
      <c r="P842" s="338">
        <f t="shared" si="907"/>
        <v>0</v>
      </c>
      <c r="Q842" s="338">
        <f t="shared" si="907"/>
        <v>0</v>
      </c>
      <c r="R842" s="338">
        <f t="shared" si="907"/>
        <v>21994406983</v>
      </c>
      <c r="S842" s="338">
        <f t="shared" si="907"/>
        <v>0</v>
      </c>
      <c r="T842" s="338">
        <f t="shared" si="907"/>
        <v>0</v>
      </c>
      <c r="U842" s="338">
        <f t="shared" si="907"/>
        <v>0</v>
      </c>
      <c r="V842" s="338">
        <f t="shared" si="907"/>
        <v>0</v>
      </c>
      <c r="W842" s="338">
        <f t="shared" si="907"/>
        <v>0</v>
      </c>
      <c r="X842" s="338">
        <f t="shared" si="907"/>
        <v>21994406983</v>
      </c>
      <c r="Y842" s="338">
        <f t="shared" si="907"/>
        <v>0</v>
      </c>
      <c r="Z842" s="331"/>
      <c r="AA842" s="110"/>
      <c r="AB842" s="330"/>
      <c r="AC842" s="330"/>
      <c r="AD842" s="110"/>
      <c r="AE842" s="110"/>
      <c r="AF842" s="110"/>
      <c r="AG842" s="110"/>
      <c r="AH842" s="110"/>
      <c r="AI842" s="110"/>
    </row>
    <row r="843" spans="1:35" ht="13.5" customHeight="1">
      <c r="A843" s="2"/>
      <c r="B843" s="127" t="s">
        <v>5152</v>
      </c>
      <c r="C843" s="22" t="s">
        <v>5153</v>
      </c>
      <c r="D843" s="322"/>
      <c r="E843" s="338"/>
      <c r="F843" s="338"/>
      <c r="G843" s="338"/>
      <c r="H843" s="338"/>
      <c r="I843" s="338"/>
      <c r="J843" s="338"/>
      <c r="K843" s="338"/>
      <c r="L843" s="338"/>
      <c r="M843" s="338"/>
      <c r="N843" s="338"/>
      <c r="O843" s="338"/>
      <c r="P843" s="22"/>
      <c r="Q843" s="22"/>
      <c r="R843" s="338"/>
      <c r="S843" s="338"/>
      <c r="T843" s="22"/>
      <c r="U843" s="22"/>
      <c r="V843" s="22"/>
      <c r="W843" s="22"/>
      <c r="X843" s="339"/>
      <c r="Y843" s="339"/>
      <c r="Z843" s="331"/>
      <c r="AA843" s="110"/>
      <c r="AB843" s="330"/>
      <c r="AC843" s="330"/>
      <c r="AD843" s="110"/>
      <c r="AE843" s="110"/>
      <c r="AF843" s="110"/>
      <c r="AG843" s="110"/>
      <c r="AH843" s="110"/>
      <c r="AI843" s="110"/>
    </row>
    <row r="844" spans="1:35" ht="13.5" customHeight="1">
      <c r="A844" s="4"/>
      <c r="B844" s="15" t="s">
        <v>3596</v>
      </c>
      <c r="C844" s="340" t="s">
        <v>5154</v>
      </c>
      <c r="D844" s="254"/>
      <c r="E844" s="341">
        <f>SUMIF(GL!$D$6:$D$6487,B844,GL!$H$6:$H$6487)</f>
        <v>0</v>
      </c>
      <c r="F844" s="341">
        <f>SUMIF(GL!$D$6:$D$6487,B844,GL!$I$6:$I$6487)</f>
        <v>140250000</v>
      </c>
      <c r="G844" s="341"/>
      <c r="H844" s="341"/>
      <c r="I844" s="341">
        <f t="shared" ref="I844:I851" si="908">IF(E844&gt;F844,E844-F844,0)</f>
        <v>0</v>
      </c>
      <c r="J844" s="341">
        <f t="shared" ref="J844:J851" si="909">IF(F844&gt;E844,F844-E844,0)</f>
        <v>140250000</v>
      </c>
      <c r="K844" s="341"/>
      <c r="L844" s="342"/>
      <c r="M844" s="342">
        <v>4858291126</v>
      </c>
      <c r="N844" s="341">
        <f t="shared" ref="N844:N852" si="910">IF(I844+L844&gt;J844+M844,(I844+L844)-(J844+M844),0)</f>
        <v>0</v>
      </c>
      <c r="O844" s="341">
        <f t="shared" ref="O844:O852" si="911">IF(J844+M844&gt;I844+L844,(J844+M844)-(I844+L844),0)</f>
        <v>4998541126</v>
      </c>
      <c r="P844" s="341">
        <f>SUMIF(GL!$D$6488:$D$6532,B844,GL!$H$6488:$H$6532)</f>
        <v>0</v>
      </c>
      <c r="Q844" s="341">
        <f>SUMIF(GL!$D$6408:$D$6452,B844,GL!$I$6408:$I$6452)</f>
        <v>0</v>
      </c>
      <c r="R844" s="341">
        <f t="shared" ref="R844:S844" si="912">P844+N844</f>
        <v>0</v>
      </c>
      <c r="S844" s="341">
        <f t="shared" si="912"/>
        <v>4998541126</v>
      </c>
      <c r="T844" s="340"/>
      <c r="U844" s="340"/>
      <c r="V844" s="340"/>
      <c r="W844" s="340"/>
      <c r="X844" s="341">
        <f t="shared" ref="X844:X852" si="913">IF(R844&gt;S844,R844-S844,0)</f>
        <v>0</v>
      </c>
      <c r="Y844" s="341">
        <f t="shared" ref="Y844:Y852" si="914">IF(S844&gt;R844,S844-R844,0)</f>
        <v>4998541126</v>
      </c>
      <c r="Z844" s="331"/>
      <c r="AA844" s="388"/>
      <c r="AB844" s="388"/>
      <c r="AC844" s="388">
        <v>4998541126.2380972</v>
      </c>
      <c r="AD844" s="110"/>
      <c r="AE844" s="330">
        <f t="shared" ref="AE844:AE851" si="915">Y844-AC844</f>
        <v>-0.23809719085693359</v>
      </c>
      <c r="AF844" s="388"/>
      <c r="AG844" s="388"/>
      <c r="AH844" s="388"/>
      <c r="AI844" s="388"/>
    </row>
    <row r="845" spans="1:35" ht="13.5" customHeight="1">
      <c r="A845" s="4"/>
      <c r="B845" s="15" t="s">
        <v>3598</v>
      </c>
      <c r="C845" s="340" t="s">
        <v>3599</v>
      </c>
      <c r="D845" s="254"/>
      <c r="E845" s="341">
        <f>SUMIF(GL!$D$6:$D$6487,B845,GL!$H$6:$H$6487)</f>
        <v>0</v>
      </c>
      <c r="F845" s="341">
        <f>SUMIF(GL!$D$6:$D$6487,B845,GL!$I$6:$I$6487)</f>
        <v>12104623.216666667</v>
      </c>
      <c r="G845" s="341"/>
      <c r="H845" s="341"/>
      <c r="I845" s="341">
        <f t="shared" si="908"/>
        <v>0</v>
      </c>
      <c r="J845" s="341">
        <f t="shared" si="909"/>
        <v>12104623.216666667</v>
      </c>
      <c r="K845" s="341"/>
      <c r="L845" s="342"/>
      <c r="M845" s="342">
        <v>3309346350</v>
      </c>
      <c r="N845" s="341">
        <f t="shared" si="910"/>
        <v>0</v>
      </c>
      <c r="O845" s="341">
        <f t="shared" si="911"/>
        <v>3321450973.2166667</v>
      </c>
      <c r="P845" s="341">
        <f>SUMIF(GL!$D$6488:$D$6532,B845,GL!$H$6488:$H$6532)</f>
        <v>0</v>
      </c>
      <c r="Q845" s="341">
        <f>SUMIF(GL!$D$6408:$D$6452,B845,GL!$I$6408:$I$6452)</f>
        <v>0</v>
      </c>
      <c r="R845" s="341">
        <f t="shared" ref="R845:S845" si="916">P845+N845</f>
        <v>0</v>
      </c>
      <c r="S845" s="341">
        <f t="shared" si="916"/>
        <v>3321450973.2166667</v>
      </c>
      <c r="T845" s="340"/>
      <c r="U845" s="340"/>
      <c r="V845" s="340"/>
      <c r="W845" s="340"/>
      <c r="X845" s="341">
        <f t="shared" si="913"/>
        <v>0</v>
      </c>
      <c r="Y845" s="341">
        <f t="shared" si="914"/>
        <v>3321450973.2166667</v>
      </c>
      <c r="Z845" s="331"/>
      <c r="AA845" s="330"/>
      <c r="AB845" s="330"/>
      <c r="AC845" s="330">
        <v>3321450976.3999996</v>
      </c>
      <c r="AD845" s="110"/>
      <c r="AE845" s="330">
        <f t="shared" si="915"/>
        <v>-3.1833329200744629</v>
      </c>
      <c r="AF845" s="388"/>
      <c r="AG845" s="388"/>
      <c r="AH845" s="388"/>
      <c r="AI845" s="388"/>
    </row>
    <row r="846" spans="1:35" ht="13.5" customHeight="1">
      <c r="A846" s="4"/>
      <c r="B846" s="15" t="s">
        <v>3600</v>
      </c>
      <c r="C846" s="340" t="s">
        <v>3601</v>
      </c>
      <c r="D846" s="254"/>
      <c r="E846" s="341">
        <f>SUMIF(GL!$D$6:$D$6487,B846,GL!$H$6:$H$6487)</f>
        <v>0</v>
      </c>
      <c r="F846" s="341">
        <f>SUMIF(GL!$D$6:$D$6487,B846,GL!$I$6:$I$6487)</f>
        <v>31561415.395833321</v>
      </c>
      <c r="G846" s="341"/>
      <c r="H846" s="341"/>
      <c r="I846" s="341">
        <f t="shared" si="908"/>
        <v>0</v>
      </c>
      <c r="J846" s="341">
        <f t="shared" si="909"/>
        <v>31561415.395833321</v>
      </c>
      <c r="K846" s="341"/>
      <c r="L846" s="342"/>
      <c r="M846" s="342">
        <v>4162669952</v>
      </c>
      <c r="N846" s="341">
        <f t="shared" si="910"/>
        <v>0</v>
      </c>
      <c r="O846" s="341">
        <f t="shared" si="911"/>
        <v>4194231367.3958335</v>
      </c>
      <c r="P846" s="341">
        <f>SUMIF(GL!$D$6488:$D$6532,B846,GL!$H$6488:$H$6532)</f>
        <v>0</v>
      </c>
      <c r="Q846" s="341">
        <f>SUMIF(GL!$D$6408:$D$6452,B846,GL!$I$6408:$I$6452)</f>
        <v>0</v>
      </c>
      <c r="R846" s="341">
        <f t="shared" ref="R846:S846" si="917">P846+N846</f>
        <v>0</v>
      </c>
      <c r="S846" s="341">
        <f t="shared" si="917"/>
        <v>4194231367.3958335</v>
      </c>
      <c r="T846" s="340"/>
      <c r="U846" s="340"/>
      <c r="V846" s="340"/>
      <c r="W846" s="340"/>
      <c r="X846" s="341">
        <f t="shared" si="913"/>
        <v>0</v>
      </c>
      <c r="Y846" s="341">
        <f t="shared" si="914"/>
        <v>4194231367.3958335</v>
      </c>
      <c r="Z846" s="331"/>
      <c r="AA846" s="330"/>
      <c r="AB846" s="330"/>
      <c r="AC846" s="330">
        <v>4194231366.0108342</v>
      </c>
      <c r="AD846" s="110"/>
      <c r="AE846" s="330">
        <f t="shared" si="915"/>
        <v>1.3849992752075195</v>
      </c>
      <c r="AF846" s="110"/>
      <c r="AG846" s="110"/>
      <c r="AH846" s="110"/>
      <c r="AI846" s="110"/>
    </row>
    <row r="847" spans="1:35" ht="13.5" customHeight="1">
      <c r="A847" s="4"/>
      <c r="B847" s="15" t="s">
        <v>3602</v>
      </c>
      <c r="C847" s="340" t="s">
        <v>3603</v>
      </c>
      <c r="D847" s="254"/>
      <c r="E847" s="341">
        <f>SUMIF(GL!$D$6:$D$6487,B847,GL!$H$6:$H$6487)</f>
        <v>0</v>
      </c>
      <c r="F847" s="341">
        <f>SUMIF(GL!$D$6:$D$6487,B847,GL!$I$6:$I$6487)</f>
        <v>7885536.666666666</v>
      </c>
      <c r="G847" s="341"/>
      <c r="H847" s="341"/>
      <c r="I847" s="341">
        <f t="shared" si="908"/>
        <v>0</v>
      </c>
      <c r="J847" s="341">
        <f t="shared" si="909"/>
        <v>7885536.666666666</v>
      </c>
      <c r="K847" s="341"/>
      <c r="L847" s="342"/>
      <c r="M847" s="342">
        <v>1032085463</v>
      </c>
      <c r="N847" s="341">
        <f t="shared" si="910"/>
        <v>0</v>
      </c>
      <c r="O847" s="341">
        <f t="shared" si="911"/>
        <v>1039970999.6666666</v>
      </c>
      <c r="P847" s="341">
        <f>SUMIF(GL!$D$6488:$D$6532,B847,GL!$H$6488:$H$6532)</f>
        <v>0</v>
      </c>
      <c r="Q847" s="341">
        <f>SUMIF(GL!$D$6408:$D$6452,B847,GL!$I$6408:$I$6452)</f>
        <v>0</v>
      </c>
      <c r="R847" s="341">
        <f t="shared" ref="R847:S847" si="918">P847+N847</f>
        <v>0</v>
      </c>
      <c r="S847" s="341">
        <f t="shared" si="918"/>
        <v>1039970999.6666666</v>
      </c>
      <c r="T847" s="340"/>
      <c r="U847" s="340"/>
      <c r="V847" s="340"/>
      <c r="W847" s="340"/>
      <c r="X847" s="341">
        <f t="shared" si="913"/>
        <v>0</v>
      </c>
      <c r="Y847" s="341">
        <f t="shared" si="914"/>
        <v>1039970999.6666666</v>
      </c>
      <c r="Z847" s="331"/>
      <c r="AA847" s="344"/>
      <c r="AB847" s="344"/>
      <c r="AC847" s="344">
        <v>1039970992.8333335</v>
      </c>
      <c r="AD847" s="110"/>
      <c r="AE847" s="330">
        <f t="shared" si="915"/>
        <v>6.8333331346511841</v>
      </c>
      <c r="AF847" s="388"/>
      <c r="AG847" s="388"/>
      <c r="AH847" s="388"/>
      <c r="AI847" s="388"/>
    </row>
    <row r="848" spans="1:35" ht="13.5" customHeight="1">
      <c r="A848" s="4"/>
      <c r="B848" s="15" t="s">
        <v>5155</v>
      </c>
      <c r="C848" s="340" t="s">
        <v>5156</v>
      </c>
      <c r="D848" s="254"/>
      <c r="E848" s="341">
        <f>SUMIF(GL!$D$6:$D$6487,B848,GL!$H$6:$H$6487)</f>
        <v>0</v>
      </c>
      <c r="F848" s="341">
        <f>SUMIF(GL!$D$6:$D$6487,B848,GL!$I$6:$I$6487)</f>
        <v>0</v>
      </c>
      <c r="G848" s="341"/>
      <c r="H848" s="341"/>
      <c r="I848" s="341">
        <f t="shared" si="908"/>
        <v>0</v>
      </c>
      <c r="J848" s="341">
        <f t="shared" si="909"/>
        <v>0</v>
      </c>
      <c r="K848" s="341"/>
      <c r="L848" s="342"/>
      <c r="M848" s="342">
        <v>70000002</v>
      </c>
      <c r="N848" s="341">
        <f t="shared" si="910"/>
        <v>0</v>
      </c>
      <c r="O848" s="341">
        <f t="shared" si="911"/>
        <v>70000002</v>
      </c>
      <c r="P848" s="341">
        <f>SUMIF(GL!$D$6488:$D$6532,B848,GL!$H$6488:$H$6532)</f>
        <v>0</v>
      </c>
      <c r="Q848" s="341">
        <f>SUMIF(GL!$D$6408:$D$6452,B848,GL!$I$6408:$I$6452)</f>
        <v>0</v>
      </c>
      <c r="R848" s="341">
        <f t="shared" ref="R848:S848" si="919">P848+N848</f>
        <v>0</v>
      </c>
      <c r="S848" s="341">
        <f t="shared" si="919"/>
        <v>70000002</v>
      </c>
      <c r="T848" s="340"/>
      <c r="U848" s="340"/>
      <c r="V848" s="340"/>
      <c r="W848" s="340"/>
      <c r="X848" s="341">
        <f t="shared" si="913"/>
        <v>0</v>
      </c>
      <c r="Y848" s="341">
        <f t="shared" si="914"/>
        <v>70000002</v>
      </c>
      <c r="Z848" s="331"/>
      <c r="AA848" s="330"/>
      <c r="AB848" s="330"/>
      <c r="AC848" s="330">
        <f>Y848-AB848</f>
        <v>70000002</v>
      </c>
      <c r="AD848" s="110"/>
      <c r="AE848" s="330">
        <f t="shared" si="915"/>
        <v>0</v>
      </c>
      <c r="AF848" s="389"/>
      <c r="AG848" s="389"/>
      <c r="AH848" s="389"/>
      <c r="AI848" s="389"/>
    </row>
    <row r="849" spans="1:35" ht="13.5" customHeight="1">
      <c r="A849" s="4"/>
      <c r="B849" s="15" t="s">
        <v>3604</v>
      </c>
      <c r="C849" s="340" t="s">
        <v>3605</v>
      </c>
      <c r="D849" s="254"/>
      <c r="E849" s="341">
        <f>SUMIF(GL!$D$6:$D$6487,B849,GL!$H$6:$H$6487)</f>
        <v>0</v>
      </c>
      <c r="F849" s="341">
        <f>SUMIF(GL!$D$6:$D$6487,B849,GL!$I$6:$I$6487)</f>
        <v>1900000</v>
      </c>
      <c r="G849" s="341"/>
      <c r="H849" s="341"/>
      <c r="I849" s="341">
        <f t="shared" si="908"/>
        <v>0</v>
      </c>
      <c r="J849" s="341">
        <f t="shared" si="909"/>
        <v>1900000</v>
      </c>
      <c r="K849" s="341"/>
      <c r="L849" s="342"/>
      <c r="M849" s="342">
        <v>152050000</v>
      </c>
      <c r="N849" s="341">
        <f t="shared" si="910"/>
        <v>0</v>
      </c>
      <c r="O849" s="341">
        <f t="shared" si="911"/>
        <v>153950000</v>
      </c>
      <c r="P849" s="341">
        <f>SUMIF(GL!$D$6488:$D$6532,B849,GL!$H$6488:$H$6532)</f>
        <v>0</v>
      </c>
      <c r="Q849" s="341">
        <f>SUMIF(GL!$D$6408:$D$6452,B849,GL!$I$6408:$I$6452)</f>
        <v>0</v>
      </c>
      <c r="R849" s="341">
        <f t="shared" ref="R849:S849" si="920">P849+N849</f>
        <v>0</v>
      </c>
      <c r="S849" s="341">
        <f t="shared" si="920"/>
        <v>153950000</v>
      </c>
      <c r="T849" s="340"/>
      <c r="U849" s="340"/>
      <c r="V849" s="340"/>
      <c r="W849" s="340"/>
      <c r="X849" s="341">
        <f t="shared" si="913"/>
        <v>0</v>
      </c>
      <c r="Y849" s="341">
        <f t="shared" si="914"/>
        <v>153950000</v>
      </c>
      <c r="Z849" s="331"/>
      <c r="AA849" s="330"/>
      <c r="AB849" s="330"/>
      <c r="AC849" s="330">
        <v>153950000</v>
      </c>
      <c r="AD849" s="110"/>
      <c r="AE849" s="330">
        <f t="shared" si="915"/>
        <v>0</v>
      </c>
      <c r="AF849" s="110"/>
      <c r="AG849" s="110"/>
      <c r="AH849" s="110"/>
      <c r="AI849" s="110"/>
    </row>
    <row r="850" spans="1:35" ht="13.5" customHeight="1">
      <c r="A850" s="4"/>
      <c r="B850" s="15" t="s">
        <v>3606</v>
      </c>
      <c r="C850" s="340" t="s">
        <v>3607</v>
      </c>
      <c r="D850" s="254"/>
      <c r="E850" s="341">
        <f>SUMIF(GL!$D$6:$D$6487,B850,GL!$H$6:$H$6487)</f>
        <v>0</v>
      </c>
      <c r="F850" s="341">
        <f>SUMIF(GL!$D$6:$D$6487,B850,GL!$I$6:$I$6487)</f>
        <v>643414.58333333326</v>
      </c>
      <c r="G850" s="341"/>
      <c r="H850" s="341"/>
      <c r="I850" s="341">
        <f t="shared" si="908"/>
        <v>0</v>
      </c>
      <c r="J850" s="341">
        <f t="shared" si="909"/>
        <v>643414.58333333326</v>
      </c>
      <c r="K850" s="341"/>
      <c r="L850" s="342"/>
      <c r="M850" s="342">
        <v>278295093</v>
      </c>
      <c r="N850" s="341">
        <f t="shared" si="910"/>
        <v>0</v>
      </c>
      <c r="O850" s="341">
        <f t="shared" si="911"/>
        <v>278938507.58333331</v>
      </c>
      <c r="P850" s="341">
        <f>SUMIF(GL!$D$6488:$D$6532,B850,GL!$H$6488:$H$6532)</f>
        <v>0</v>
      </c>
      <c r="Q850" s="341">
        <f>SUMIF(GL!$D$6408:$D$6452,B850,GL!$I$6408:$I$6452)</f>
        <v>0</v>
      </c>
      <c r="R850" s="341">
        <f t="shared" ref="R850:S850" si="921">P850+N850</f>
        <v>0</v>
      </c>
      <c r="S850" s="341">
        <f t="shared" si="921"/>
        <v>278938507.58333331</v>
      </c>
      <c r="T850" s="340"/>
      <c r="U850" s="340"/>
      <c r="V850" s="340"/>
      <c r="W850" s="340"/>
      <c r="X850" s="341">
        <f t="shared" si="913"/>
        <v>0</v>
      </c>
      <c r="Y850" s="341">
        <f t="shared" si="914"/>
        <v>278938507.58333331</v>
      </c>
      <c r="Z850" s="331"/>
      <c r="AA850" s="344"/>
      <c r="AB850" s="344"/>
      <c r="AC850" s="344">
        <v>278938513.83333331</v>
      </c>
      <c r="AD850" s="110"/>
      <c r="AE850" s="330">
        <f t="shared" si="915"/>
        <v>-6.25</v>
      </c>
      <c r="AF850" s="110"/>
      <c r="AG850" s="110"/>
      <c r="AH850" s="110"/>
      <c r="AI850" s="110"/>
    </row>
    <row r="851" spans="1:35" ht="13.5" customHeight="1">
      <c r="A851" s="4"/>
      <c r="B851" s="15" t="s">
        <v>3608</v>
      </c>
      <c r="C851" s="390" t="s">
        <v>3609</v>
      </c>
      <c r="D851" s="254"/>
      <c r="E851" s="341">
        <f>SUMIF(GL!$D$6:$D$6487,B851,GL!$H$6:$H$6487)</f>
        <v>0</v>
      </c>
      <c r="F851" s="341">
        <f>SUMIF(GL!$D$6:$D$6487,B851,GL!$I$6:$I$6487)</f>
        <v>4642875</v>
      </c>
      <c r="G851" s="341"/>
      <c r="H851" s="341"/>
      <c r="I851" s="341">
        <f t="shared" si="908"/>
        <v>0</v>
      </c>
      <c r="J851" s="341">
        <f t="shared" si="909"/>
        <v>4642875</v>
      </c>
      <c r="K851" s="341"/>
      <c r="L851" s="342"/>
      <c r="M851" s="342">
        <v>255216458</v>
      </c>
      <c r="N851" s="341">
        <f t="shared" si="910"/>
        <v>0</v>
      </c>
      <c r="O851" s="341">
        <f t="shared" si="911"/>
        <v>259859333</v>
      </c>
      <c r="P851" s="341">
        <f>SUMIF(GL!$D$6488:$D$6532,B851,GL!$H$6488:$H$6532)</f>
        <v>0</v>
      </c>
      <c r="Q851" s="341">
        <f>SUMIF(GL!$D$6408:$D$6452,B851,GL!$I$6408:$I$6452)</f>
        <v>0</v>
      </c>
      <c r="R851" s="341">
        <f t="shared" ref="R851:S851" si="922">P851+N851</f>
        <v>0</v>
      </c>
      <c r="S851" s="341">
        <f t="shared" si="922"/>
        <v>259859333</v>
      </c>
      <c r="T851" s="340"/>
      <c r="U851" s="340"/>
      <c r="V851" s="340"/>
      <c r="W851" s="340"/>
      <c r="X851" s="341">
        <f t="shared" si="913"/>
        <v>0</v>
      </c>
      <c r="Y851" s="341">
        <f t="shared" si="914"/>
        <v>259859333</v>
      </c>
      <c r="Z851" s="331"/>
      <c r="AA851" s="330"/>
      <c r="AB851" s="330"/>
      <c r="AC851" s="330">
        <v>259859333.33333325</v>
      </c>
      <c r="AD851" s="110"/>
      <c r="AE851" s="330">
        <f t="shared" si="915"/>
        <v>-0.33333325386047363</v>
      </c>
      <c r="AF851" s="110"/>
      <c r="AG851" s="110"/>
      <c r="AH851" s="110"/>
      <c r="AI851" s="110"/>
    </row>
    <row r="852" spans="1:35" ht="13.5" customHeight="1">
      <c r="A852" s="2"/>
      <c r="B852" s="127" t="s">
        <v>5157</v>
      </c>
      <c r="C852" s="22" t="s">
        <v>5158</v>
      </c>
      <c r="D852" s="322"/>
      <c r="E852" s="338">
        <f t="shared" ref="E852:M852" si="923">SUM(E844:E851)</f>
        <v>0</v>
      </c>
      <c r="F852" s="338">
        <f t="shared" si="923"/>
        <v>198987864.86249998</v>
      </c>
      <c r="G852" s="338">
        <f t="shared" si="923"/>
        <v>0</v>
      </c>
      <c r="H852" s="338">
        <f t="shared" si="923"/>
        <v>0</v>
      </c>
      <c r="I852" s="338">
        <f t="shared" si="923"/>
        <v>0</v>
      </c>
      <c r="J852" s="338">
        <f t="shared" si="923"/>
        <v>198987864.86249998</v>
      </c>
      <c r="K852" s="338">
        <f t="shared" si="923"/>
        <v>0</v>
      </c>
      <c r="L852" s="338">
        <f t="shared" si="923"/>
        <v>0</v>
      </c>
      <c r="M852" s="338">
        <f t="shared" si="923"/>
        <v>14117954444</v>
      </c>
      <c r="N852" s="338">
        <f t="shared" si="910"/>
        <v>0</v>
      </c>
      <c r="O852" s="338">
        <f t="shared" si="911"/>
        <v>14316942308.862499</v>
      </c>
      <c r="P852" s="338">
        <f>SUMIF(GL!$D$6488:$D$6532,B852,GL!$H$6488:$H$6532)</f>
        <v>0</v>
      </c>
      <c r="Q852" s="66">
        <f>GL!I6527</f>
        <v>0</v>
      </c>
      <c r="R852" s="338">
        <f t="shared" ref="R852:S852" si="924">P852+N852</f>
        <v>0</v>
      </c>
      <c r="S852" s="338">
        <f t="shared" si="924"/>
        <v>14316942308.862499</v>
      </c>
      <c r="T852" s="22"/>
      <c r="U852" s="22"/>
      <c r="V852" s="22"/>
      <c r="W852" s="22"/>
      <c r="X852" s="338">
        <f t="shared" si="913"/>
        <v>0</v>
      </c>
      <c r="Y852" s="338">
        <f t="shared" si="914"/>
        <v>14316942308.862499</v>
      </c>
      <c r="Z852" s="331"/>
      <c r="AA852" s="110"/>
      <c r="AB852" s="332"/>
      <c r="AC852" s="332"/>
      <c r="AD852" s="110"/>
      <c r="AE852" s="110"/>
      <c r="AF852" s="110"/>
      <c r="AG852" s="110"/>
      <c r="AH852" s="110"/>
      <c r="AI852" s="110"/>
    </row>
    <row r="853" spans="1:35" ht="13.5" customHeight="1">
      <c r="A853" s="4"/>
      <c r="B853" s="15"/>
      <c r="C853" s="340"/>
      <c r="D853" s="254"/>
      <c r="E853" s="341"/>
      <c r="F853" s="341"/>
      <c r="G853" s="341"/>
      <c r="H853" s="341"/>
      <c r="I853" s="341"/>
      <c r="J853" s="341"/>
      <c r="K853" s="341"/>
      <c r="L853" s="341"/>
      <c r="M853" s="341"/>
      <c r="N853" s="341"/>
      <c r="O853" s="341"/>
      <c r="P853" s="340"/>
      <c r="Q853" s="340"/>
      <c r="R853" s="341"/>
      <c r="S853" s="341"/>
      <c r="T853" s="340"/>
      <c r="U853" s="340"/>
      <c r="V853" s="340"/>
      <c r="W853" s="340"/>
      <c r="X853" s="346"/>
      <c r="Y853" s="346"/>
      <c r="Z853" s="331"/>
      <c r="AA853" s="110"/>
      <c r="AB853" s="332"/>
      <c r="AC853" s="332"/>
      <c r="AD853" s="110"/>
      <c r="AE853" s="110"/>
      <c r="AF853" s="110"/>
      <c r="AG853" s="110"/>
      <c r="AH853" s="110"/>
      <c r="AI853" s="110"/>
    </row>
    <row r="854" spans="1:35" ht="13.5" customHeight="1">
      <c r="A854" s="2"/>
      <c r="B854" s="127" t="s">
        <v>5159</v>
      </c>
      <c r="C854" s="22" t="s">
        <v>5160</v>
      </c>
      <c r="D854" s="322"/>
      <c r="E854" s="338"/>
      <c r="F854" s="338"/>
      <c r="G854" s="338"/>
      <c r="H854" s="338"/>
      <c r="I854" s="338"/>
      <c r="J854" s="338"/>
      <c r="K854" s="338"/>
      <c r="L854" s="338"/>
      <c r="M854" s="338"/>
      <c r="N854" s="338"/>
      <c r="O854" s="338"/>
      <c r="P854" s="22"/>
      <c r="Q854" s="22"/>
      <c r="R854" s="338"/>
      <c r="S854" s="338"/>
      <c r="T854" s="22"/>
      <c r="U854" s="22"/>
      <c r="V854" s="22"/>
      <c r="W854" s="22"/>
      <c r="X854" s="339"/>
      <c r="Y854" s="339"/>
      <c r="Z854" s="331"/>
      <c r="AA854" s="110"/>
      <c r="AB854" s="332"/>
      <c r="AC854" s="332"/>
      <c r="AD854" s="110"/>
      <c r="AE854" s="110"/>
      <c r="AF854" s="110"/>
      <c r="AG854" s="110"/>
      <c r="AH854" s="110"/>
      <c r="AI854" s="110"/>
    </row>
    <row r="855" spans="1:35" ht="13.5" customHeight="1">
      <c r="A855" s="4"/>
      <c r="B855" s="15" t="s">
        <v>5161</v>
      </c>
      <c r="C855" s="340" t="s">
        <v>5160</v>
      </c>
      <c r="D855" s="254"/>
      <c r="E855" s="341">
        <f>SUMIF(GL!$D$6:$D$6487,B855,GL!$H$6:$H$6487)</f>
        <v>0</v>
      </c>
      <c r="F855" s="341">
        <f>SUMIF(GL!$D$6:$D$6487,B855,GL!$I$6:$I$6487)</f>
        <v>0</v>
      </c>
      <c r="G855" s="341"/>
      <c r="H855" s="341"/>
      <c r="I855" s="341">
        <f t="shared" ref="I855:I856" si="925">IF(E855&gt;F855,E855-F855,0)</f>
        <v>0</v>
      </c>
      <c r="J855" s="341">
        <f t="shared" ref="J855:J856" si="926">IF(F855&gt;E855,F855-E855,0)</f>
        <v>0</v>
      </c>
      <c r="K855" s="341"/>
      <c r="L855" s="342">
        <v>275389400</v>
      </c>
      <c r="M855" s="342"/>
      <c r="N855" s="341">
        <f t="shared" ref="N855:N856" si="927">IF(I855+L855&gt;J855+M855,(I855+L855)-(J855+M855),0)</f>
        <v>275389400</v>
      </c>
      <c r="O855" s="341">
        <f t="shared" ref="O855:O856" si="928">IF(J855+M855&gt;I855+L855,(J855+M855)-(I855+L855),0)</f>
        <v>0</v>
      </c>
      <c r="P855" s="341">
        <f>SUMIF(GL!$D$6488:$D$6532,B855,GL!$H$6488:$H$6532)</f>
        <v>0</v>
      </c>
      <c r="Q855" s="341">
        <f>SUMIF(GL!$D$6408:$D$6452,B855,GL!$I$6408:$I$6452)</f>
        <v>0</v>
      </c>
      <c r="R855" s="341">
        <f t="shared" ref="R855:S855" si="929">P855+N855</f>
        <v>275389400</v>
      </c>
      <c r="S855" s="341">
        <f t="shared" si="929"/>
        <v>0</v>
      </c>
      <c r="T855" s="340"/>
      <c r="U855" s="340"/>
      <c r="V855" s="340"/>
      <c r="W855" s="340"/>
      <c r="X855" s="341">
        <f t="shared" ref="X855:X857" si="930">IF(R855&gt;S855,R855-S855,0)</f>
        <v>275389400</v>
      </c>
      <c r="Y855" s="341">
        <f t="shared" ref="Y855:Y857" si="931">IF(S855&gt;R855,S855-R855,0)</f>
        <v>0</v>
      </c>
      <c r="Z855" s="331"/>
      <c r="AA855" s="110"/>
      <c r="AB855" s="332"/>
      <c r="AC855" s="332"/>
      <c r="AD855" s="110"/>
      <c r="AE855" s="110"/>
      <c r="AF855" s="110"/>
      <c r="AG855" s="110"/>
      <c r="AH855" s="110"/>
      <c r="AI855" s="110"/>
    </row>
    <row r="856" spans="1:35" ht="13.5" customHeight="1">
      <c r="A856" s="4"/>
      <c r="B856" s="15" t="s">
        <v>5162</v>
      </c>
      <c r="C856" s="340" t="s">
        <v>5163</v>
      </c>
      <c r="D856" s="254"/>
      <c r="E856" s="341">
        <f>SUMIF(GL!$D$6:$D$6487,B856,GL!$H$6:$H$6487)</f>
        <v>0</v>
      </c>
      <c r="F856" s="341">
        <f>SUMIF(GL!$D$6:$D$6487,B856,GL!$I$6:$I$6487)</f>
        <v>0</v>
      </c>
      <c r="G856" s="341"/>
      <c r="H856" s="341"/>
      <c r="I856" s="341">
        <f t="shared" si="925"/>
        <v>0</v>
      </c>
      <c r="J856" s="341">
        <f t="shared" si="926"/>
        <v>0</v>
      </c>
      <c r="K856" s="341"/>
      <c r="L856" s="391"/>
      <c r="M856" s="342"/>
      <c r="N856" s="341">
        <f t="shared" si="927"/>
        <v>0</v>
      </c>
      <c r="O856" s="341">
        <f t="shared" si="928"/>
        <v>0</v>
      </c>
      <c r="P856" s="341">
        <f>SUMIF(GL!$D$6488:$D$6532,B856,GL!$H$6488:$H$6532)</f>
        <v>0</v>
      </c>
      <c r="Q856" s="341">
        <f>SUMIF(GL!$D$6408:$D$6452,B856,GL!$I$6408:$I$6452)</f>
        <v>0</v>
      </c>
      <c r="R856" s="341">
        <f t="shared" ref="R856:S856" si="932">P856+N856</f>
        <v>0</v>
      </c>
      <c r="S856" s="341">
        <f t="shared" si="932"/>
        <v>0</v>
      </c>
      <c r="T856" s="340"/>
      <c r="U856" s="340"/>
      <c r="V856" s="340"/>
      <c r="W856" s="340"/>
      <c r="X856" s="341">
        <f t="shared" si="930"/>
        <v>0</v>
      </c>
      <c r="Y856" s="341">
        <f t="shared" si="931"/>
        <v>0</v>
      </c>
      <c r="Z856" s="331"/>
      <c r="AA856" s="110"/>
      <c r="AB856" s="332"/>
      <c r="AC856" s="332"/>
      <c r="AD856" s="110"/>
      <c r="AE856" s="110"/>
      <c r="AF856" s="110"/>
      <c r="AG856" s="110"/>
      <c r="AH856" s="110"/>
      <c r="AI856" s="110"/>
    </row>
    <row r="857" spans="1:35" ht="13.5" customHeight="1">
      <c r="A857" s="2"/>
      <c r="B857" s="127" t="s">
        <v>5164</v>
      </c>
      <c r="C857" s="22" t="s">
        <v>5165</v>
      </c>
      <c r="D857" s="322"/>
      <c r="E857" s="338">
        <f t="shared" ref="E857:F857" si="933">SUM(E855:E856)</f>
        <v>0</v>
      </c>
      <c r="F857" s="338">
        <f t="shared" si="933"/>
        <v>0</v>
      </c>
      <c r="G857" s="338"/>
      <c r="H857" s="338"/>
      <c r="I857" s="338">
        <f t="shared" ref="I857:J857" si="934">SUM(I855:I856)</f>
        <v>0</v>
      </c>
      <c r="J857" s="338">
        <f t="shared" si="934"/>
        <v>0</v>
      </c>
      <c r="K857" s="338"/>
      <c r="L857" s="392">
        <f t="shared" ref="L857:W857" si="935">SUM(L855:L856)</f>
        <v>275389400</v>
      </c>
      <c r="M857" s="392">
        <f t="shared" si="935"/>
        <v>0</v>
      </c>
      <c r="N857" s="338">
        <f t="shared" si="935"/>
        <v>275389400</v>
      </c>
      <c r="O857" s="338">
        <f t="shared" si="935"/>
        <v>0</v>
      </c>
      <c r="P857" s="338">
        <f t="shared" si="935"/>
        <v>0</v>
      </c>
      <c r="Q857" s="338">
        <f t="shared" si="935"/>
        <v>0</v>
      </c>
      <c r="R857" s="338">
        <f t="shared" si="935"/>
        <v>275389400</v>
      </c>
      <c r="S857" s="338">
        <f t="shared" si="935"/>
        <v>0</v>
      </c>
      <c r="T857" s="338">
        <f t="shared" si="935"/>
        <v>0</v>
      </c>
      <c r="U857" s="338">
        <f t="shared" si="935"/>
        <v>0</v>
      </c>
      <c r="V857" s="338">
        <f t="shared" si="935"/>
        <v>0</v>
      </c>
      <c r="W857" s="338">
        <f t="shared" si="935"/>
        <v>0</v>
      </c>
      <c r="X857" s="338">
        <f t="shared" si="930"/>
        <v>275389400</v>
      </c>
      <c r="Y857" s="338">
        <f t="shared" si="931"/>
        <v>0</v>
      </c>
      <c r="Z857" s="331"/>
      <c r="AA857" s="351"/>
      <c r="AB857" s="332"/>
      <c r="AC857" s="332"/>
      <c r="AD857" s="351"/>
      <c r="AE857" s="351"/>
      <c r="AF857" s="110"/>
      <c r="AG857" s="110"/>
      <c r="AH857" s="110"/>
      <c r="AI857" s="110"/>
    </row>
    <row r="858" spans="1:35" ht="13.5" customHeight="1">
      <c r="A858" s="4"/>
      <c r="B858" s="15"/>
      <c r="C858" s="22"/>
      <c r="D858" s="322"/>
      <c r="E858" s="341"/>
      <c r="F858" s="341"/>
      <c r="G858" s="341"/>
      <c r="H858" s="341"/>
      <c r="I858" s="341"/>
      <c r="J858" s="341"/>
      <c r="K858" s="341"/>
      <c r="L858" s="341"/>
      <c r="M858" s="341"/>
      <c r="N858" s="341"/>
      <c r="O858" s="341"/>
      <c r="P858" s="341"/>
      <c r="Q858" s="341"/>
      <c r="R858" s="341"/>
      <c r="S858" s="341"/>
      <c r="T858" s="341"/>
      <c r="U858" s="341"/>
      <c r="V858" s="341"/>
      <c r="W858" s="341"/>
      <c r="X858" s="341"/>
      <c r="Y858" s="341"/>
      <c r="Z858" s="331"/>
      <c r="AA858" s="110"/>
      <c r="AB858" s="332"/>
      <c r="AC858" s="332"/>
      <c r="AD858" s="110"/>
      <c r="AE858" s="110"/>
      <c r="AF858" s="110"/>
      <c r="AG858" s="110"/>
      <c r="AH858" s="110"/>
      <c r="AI858" s="110"/>
    </row>
    <row r="859" spans="1:35" ht="13.5" customHeight="1">
      <c r="A859" s="4"/>
      <c r="B859" s="15" t="s">
        <v>5166</v>
      </c>
      <c r="C859" s="22" t="s">
        <v>5167</v>
      </c>
      <c r="D859" s="322"/>
      <c r="E859" s="338">
        <f t="shared" ref="E859:F859" si="936">E857+E852+E842</f>
        <v>1049200</v>
      </c>
      <c r="F859" s="338">
        <f t="shared" si="936"/>
        <v>198987864.86249998</v>
      </c>
      <c r="G859" s="338"/>
      <c r="H859" s="338"/>
      <c r="I859" s="338">
        <f t="shared" ref="I859:J859" si="937">I857+I852+I842</f>
        <v>1049200</v>
      </c>
      <c r="J859" s="338">
        <f t="shared" si="937"/>
        <v>198987864.86249998</v>
      </c>
      <c r="K859" s="338"/>
      <c r="L859" s="345">
        <f>(L842-M852)+L857</f>
        <v>8150792739</v>
      </c>
      <c r="M859" s="345"/>
      <c r="N859" s="338">
        <f>IF(I859+L859&gt;J859+M859,(I859+L859)-(J859+M859),0)</f>
        <v>7952854074.1374998</v>
      </c>
      <c r="O859" s="338">
        <f>IF(J859+M859&gt;I859+L859,(J859+M859)-(I859+L859),0)</f>
        <v>0</v>
      </c>
      <c r="P859" s="338">
        <f>SUMIF(GL!$D$6488:$D$6532,B859,GL!$H$6488:$H$6532)</f>
        <v>0</v>
      </c>
      <c r="Q859" s="66">
        <f>GL!I6534</f>
        <v>0</v>
      </c>
      <c r="R859" s="338">
        <f t="shared" ref="R859:S859" si="938">P859+N859</f>
        <v>7952854074.1374998</v>
      </c>
      <c r="S859" s="338">
        <f t="shared" si="938"/>
        <v>0</v>
      </c>
      <c r="T859" s="22"/>
      <c r="U859" s="22"/>
      <c r="V859" s="22"/>
      <c r="W859" s="22"/>
      <c r="X859" s="338">
        <f>IF(R859&gt;S859,R859-S859,0)</f>
        <v>7952854074.1374998</v>
      </c>
      <c r="Y859" s="338">
        <f>IF(S859&gt;R859,S859-R859,0)</f>
        <v>0</v>
      </c>
      <c r="Z859" s="331"/>
      <c r="AA859" s="110"/>
      <c r="AB859" s="332"/>
      <c r="AC859" s="332"/>
      <c r="AD859" s="110"/>
      <c r="AE859" s="110"/>
      <c r="AF859" s="110"/>
      <c r="AG859" s="110"/>
      <c r="AH859" s="110"/>
      <c r="AI859" s="110"/>
    </row>
    <row r="860" spans="1:35" ht="13.5" customHeight="1">
      <c r="A860" s="4"/>
      <c r="B860" s="15"/>
      <c r="C860" s="22"/>
      <c r="D860" s="322"/>
      <c r="E860" s="341"/>
      <c r="F860" s="341"/>
      <c r="G860" s="341"/>
      <c r="H860" s="341"/>
      <c r="I860" s="341"/>
      <c r="J860" s="341"/>
      <c r="K860" s="341"/>
      <c r="L860" s="342"/>
      <c r="M860" s="342"/>
      <c r="N860" s="341"/>
      <c r="O860" s="341"/>
      <c r="P860" s="341"/>
      <c r="Q860" s="341"/>
      <c r="R860" s="341"/>
      <c r="S860" s="341"/>
      <c r="T860" s="341"/>
      <c r="U860" s="341"/>
      <c r="V860" s="341"/>
      <c r="W860" s="341"/>
      <c r="X860" s="341"/>
      <c r="Y860" s="341"/>
      <c r="Z860" s="331"/>
      <c r="AA860" s="344"/>
      <c r="AB860" s="332"/>
      <c r="AC860" s="332"/>
      <c r="AD860" s="110"/>
      <c r="AE860" s="110"/>
      <c r="AF860" s="110"/>
      <c r="AG860" s="110"/>
      <c r="AH860" s="110"/>
      <c r="AI860" s="110"/>
    </row>
    <row r="861" spans="1:35" ht="13.5" customHeight="1">
      <c r="A861" s="4"/>
      <c r="B861" s="15" t="s">
        <v>5168</v>
      </c>
      <c r="C861" s="22" t="s">
        <v>5169</v>
      </c>
      <c r="D861" s="322"/>
      <c r="E861" s="338">
        <f t="shared" ref="E861:J861" si="939">E859+E829</f>
        <v>6863796860.0195017</v>
      </c>
      <c r="F861" s="338">
        <f t="shared" si="939"/>
        <v>6654798405.6525002</v>
      </c>
      <c r="G861" s="338">
        <f t="shared" si="939"/>
        <v>0</v>
      </c>
      <c r="H861" s="338">
        <f t="shared" si="939"/>
        <v>0</v>
      </c>
      <c r="I861" s="338">
        <f t="shared" si="939"/>
        <v>772692584.40750003</v>
      </c>
      <c r="J861" s="338">
        <f t="shared" si="939"/>
        <v>563694130.04049909</v>
      </c>
      <c r="K861" s="338"/>
      <c r="L861" s="345">
        <f t="shared" ref="L861:M861" si="940">L829+L859</f>
        <v>30003374722</v>
      </c>
      <c r="M861" s="345">
        <f t="shared" si="940"/>
        <v>0</v>
      </c>
      <c r="N861" s="338">
        <f>IF(I861+L861&gt;J861+M861,(I861+L861)-(J861+M861),0)</f>
        <v>30212373176.367001</v>
      </c>
      <c r="O861" s="338">
        <f>IF(J861+M861&gt;I861+L861,(J861+M861)-(I861+L861),0)</f>
        <v>0</v>
      </c>
      <c r="P861" s="338">
        <f>SUMIF(GL!$D$6488:$D$6532,B861,GL!$H$6488:$H$6532)</f>
        <v>0</v>
      </c>
      <c r="Q861" s="66">
        <f>GL!I6536</f>
        <v>0</v>
      </c>
      <c r="R861" s="338">
        <f t="shared" ref="R861:S861" si="941">P861+N861</f>
        <v>30212373176.367001</v>
      </c>
      <c r="S861" s="338">
        <f t="shared" si="941"/>
        <v>0</v>
      </c>
      <c r="T861" s="22"/>
      <c r="U861" s="22"/>
      <c r="V861" s="22"/>
      <c r="W861" s="22"/>
      <c r="X861" s="338">
        <f>IF(R861&gt;S861,R861-S861,0)</f>
        <v>30212373176.367001</v>
      </c>
      <c r="Y861" s="338">
        <f>IF(S861&gt;R861,S861-R861,0)</f>
        <v>0</v>
      </c>
      <c r="Z861" s="331"/>
      <c r="AA861" s="344"/>
      <c r="AB861" s="332"/>
      <c r="AC861" s="332"/>
      <c r="AD861" s="110"/>
      <c r="AE861" s="110"/>
      <c r="AF861" s="110"/>
      <c r="AG861" s="110"/>
      <c r="AH861" s="110"/>
      <c r="AI861" s="110"/>
    </row>
    <row r="862" spans="1:35" ht="13.5" customHeight="1">
      <c r="A862" s="4"/>
      <c r="B862" s="15"/>
      <c r="C862" s="340"/>
      <c r="D862" s="254"/>
      <c r="E862" s="341"/>
      <c r="F862" s="341"/>
      <c r="G862" s="341"/>
      <c r="H862" s="341"/>
      <c r="I862" s="341"/>
      <c r="J862" s="341"/>
      <c r="K862" s="341"/>
      <c r="L862" s="341"/>
      <c r="M862" s="341"/>
      <c r="N862" s="341"/>
      <c r="O862" s="341"/>
      <c r="P862" s="340"/>
      <c r="Q862" s="340"/>
      <c r="R862" s="341"/>
      <c r="S862" s="341"/>
      <c r="T862" s="340"/>
      <c r="U862" s="340"/>
      <c r="V862" s="340"/>
      <c r="W862" s="340"/>
      <c r="X862" s="393"/>
      <c r="Y862" s="393"/>
      <c r="Z862" s="331"/>
      <c r="AA862" s="110"/>
      <c r="AB862" s="332"/>
      <c r="AC862" s="332"/>
      <c r="AD862" s="110"/>
      <c r="AE862" s="110"/>
      <c r="AF862" s="110"/>
      <c r="AG862" s="110"/>
      <c r="AH862" s="110"/>
      <c r="AI862" s="110"/>
    </row>
    <row r="863" spans="1:35" ht="13.5" customHeight="1">
      <c r="A863" s="2"/>
      <c r="B863" s="127" t="s">
        <v>5170</v>
      </c>
      <c r="C863" s="22" t="s">
        <v>5171</v>
      </c>
      <c r="D863" s="322"/>
      <c r="E863" s="338"/>
      <c r="F863" s="338"/>
      <c r="G863" s="338"/>
      <c r="H863" s="338"/>
      <c r="I863" s="338"/>
      <c r="J863" s="338"/>
      <c r="K863" s="338"/>
      <c r="L863" s="338"/>
      <c r="M863" s="338"/>
      <c r="N863" s="338"/>
      <c r="O863" s="338"/>
      <c r="P863" s="22"/>
      <c r="Q863" s="22"/>
      <c r="R863" s="338"/>
      <c r="S863" s="338"/>
      <c r="T863" s="22"/>
      <c r="U863" s="22"/>
      <c r="V863" s="22"/>
      <c r="W863" s="22"/>
      <c r="X863" s="394"/>
      <c r="Y863" s="394"/>
      <c r="Z863" s="331"/>
      <c r="AA863" s="110"/>
      <c r="AB863" s="332"/>
      <c r="AC863" s="332"/>
      <c r="AD863" s="110"/>
      <c r="AE863" s="110"/>
      <c r="AF863" s="110"/>
      <c r="AG863" s="110"/>
      <c r="AH863" s="110"/>
      <c r="AI863" s="110"/>
    </row>
    <row r="864" spans="1:35" ht="13.5" customHeight="1">
      <c r="A864" s="2"/>
      <c r="B864" s="127" t="s">
        <v>5172</v>
      </c>
      <c r="C864" s="22" t="s">
        <v>5173</v>
      </c>
      <c r="D864" s="322"/>
      <c r="E864" s="338"/>
      <c r="F864" s="338"/>
      <c r="G864" s="338"/>
      <c r="H864" s="338"/>
      <c r="I864" s="338"/>
      <c r="J864" s="338"/>
      <c r="K864" s="338"/>
      <c r="L864" s="338"/>
      <c r="M864" s="338"/>
      <c r="N864" s="338"/>
      <c r="O864" s="338"/>
      <c r="P864" s="22"/>
      <c r="Q864" s="22"/>
      <c r="R864" s="338"/>
      <c r="S864" s="338"/>
      <c r="T864" s="22"/>
      <c r="U864" s="22"/>
      <c r="V864" s="22"/>
      <c r="W864" s="22"/>
      <c r="X864" s="394"/>
      <c r="Y864" s="339"/>
      <c r="Z864" s="331"/>
      <c r="AA864" s="110"/>
      <c r="AB864" s="332"/>
      <c r="AC864" s="332"/>
      <c r="AD864" s="110"/>
      <c r="AE864" s="110"/>
      <c r="AF864" s="110"/>
      <c r="AG864" s="110"/>
      <c r="AH864" s="110"/>
      <c r="AI864" s="110"/>
    </row>
    <row r="865" spans="1:35" ht="13.5" customHeight="1">
      <c r="A865" s="4"/>
      <c r="B865" s="15" t="s">
        <v>5174</v>
      </c>
      <c r="C865" s="340" t="s">
        <v>5175</v>
      </c>
      <c r="D865" s="254"/>
      <c r="E865" s="341">
        <f>SUMIF(GL!$D$6:$D$6487,B865,GL!$H$6:$H$6487)</f>
        <v>0</v>
      </c>
      <c r="F865" s="341">
        <f>SUMIF(GL!$D$6:$D$6487,B865,GL!$I$6:$I$6487)</f>
        <v>0</v>
      </c>
      <c r="G865" s="341"/>
      <c r="H865" s="341"/>
      <c r="I865" s="341">
        <f t="shared" ref="I865:I866" si="942">IF(E865&gt;F865,E865-F865,0)</f>
        <v>0</v>
      </c>
      <c r="J865" s="341">
        <f t="shared" ref="J865:J866" si="943">IF(F865&gt;E865,F865-E865,0)</f>
        <v>0</v>
      </c>
      <c r="K865" s="341"/>
      <c r="L865" s="342"/>
      <c r="M865" s="342">
        <v>107250000</v>
      </c>
      <c r="N865" s="341">
        <f t="shared" ref="N865:N866" si="944">IF(I865+L865&gt;J865+M865,(I865+L865)-(J865+M865),0)</f>
        <v>0</v>
      </c>
      <c r="O865" s="341">
        <f t="shared" ref="O865:O866" si="945">IF(J865+M865&gt;I865+L865,(J865+M865)-(I865+L865),0)</f>
        <v>107250000</v>
      </c>
      <c r="P865" s="341">
        <f>SUMIF(GL!$D$6488:$D$6532,B865,GL!$H$6488:$H$6532)</f>
        <v>0</v>
      </c>
      <c r="Q865" s="341">
        <f>SUMIF(GL!$D$6408:$D$6452,B865,GL!$I$6408:$I$6452)</f>
        <v>0</v>
      </c>
      <c r="R865" s="341">
        <f t="shared" ref="R865:S865" si="946">P865+N865</f>
        <v>0</v>
      </c>
      <c r="S865" s="341">
        <f t="shared" si="946"/>
        <v>107250000</v>
      </c>
      <c r="T865" s="340"/>
      <c r="U865" s="340"/>
      <c r="V865" s="340"/>
      <c r="W865" s="340"/>
      <c r="X865" s="341">
        <f t="shared" ref="X865:X866" si="947">IF(R865&gt;S865,R865-S865,0)</f>
        <v>0</v>
      </c>
      <c r="Y865" s="341">
        <f t="shared" ref="Y865:Y866" si="948">IF(S865&gt;R865,S865-R865,0)</f>
        <v>107250000</v>
      </c>
      <c r="Z865" s="331"/>
      <c r="AA865" s="110"/>
      <c r="AB865" s="332"/>
      <c r="AC865" s="332"/>
      <c r="AD865" s="110"/>
      <c r="AE865" s="110"/>
      <c r="AF865" s="110"/>
      <c r="AG865" s="110"/>
      <c r="AH865" s="110"/>
      <c r="AI865" s="110"/>
    </row>
    <row r="866" spans="1:35" ht="13.5" customHeight="1">
      <c r="A866" s="4"/>
      <c r="B866" s="15" t="s">
        <v>285</v>
      </c>
      <c r="C866" s="340" t="s">
        <v>5176</v>
      </c>
      <c r="D866" s="254"/>
      <c r="E866" s="341">
        <f>SUMIF(GL!$D$6:$D$6487,B866,GL!$H$6:$H$6487)</f>
        <v>1170290005</v>
      </c>
      <c r="F866" s="341">
        <f>SUMIF(GL!$D$6:$D$6487,B866,GL!$I$6:$I$6487)</f>
        <v>1128165345.1600001</v>
      </c>
      <c r="G866" s="341"/>
      <c r="H866" s="341"/>
      <c r="I866" s="341">
        <f t="shared" si="942"/>
        <v>42124659.839999914</v>
      </c>
      <c r="J866" s="341">
        <f t="shared" si="943"/>
        <v>0</v>
      </c>
      <c r="K866" s="341"/>
      <c r="L866" s="342"/>
      <c r="M866" s="342">
        <v>1811633648</v>
      </c>
      <c r="N866" s="341">
        <f t="shared" si="944"/>
        <v>0</v>
      </c>
      <c r="O866" s="341">
        <f t="shared" si="945"/>
        <v>1769508988.1600001</v>
      </c>
      <c r="P866" s="341">
        <f>SUMIF(GL!$D$6488:$D$6532,B866,GL!$H$6488:$H$6532)</f>
        <v>0</v>
      </c>
      <c r="Q866" s="341">
        <f>SUMIF(GL!$D$6408:$D$6452,B866,GL!$I$6408:$I$6452)</f>
        <v>0</v>
      </c>
      <c r="R866" s="341">
        <f t="shared" ref="R866:S866" si="949">P866+N866</f>
        <v>0</v>
      </c>
      <c r="S866" s="341">
        <f t="shared" si="949"/>
        <v>1769508988.1600001</v>
      </c>
      <c r="T866" s="340"/>
      <c r="U866" s="340"/>
      <c r="V866" s="340"/>
      <c r="W866" s="340"/>
      <c r="X866" s="341">
        <f t="shared" si="947"/>
        <v>0</v>
      </c>
      <c r="Y866" s="341">
        <f t="shared" si="948"/>
        <v>1769508988.1600001</v>
      </c>
      <c r="Z866" s="331"/>
      <c r="AA866" s="110"/>
      <c r="AB866" s="332"/>
      <c r="AC866" s="332"/>
      <c r="AD866" s="110"/>
      <c r="AE866" s="110"/>
      <c r="AF866" s="110"/>
      <c r="AG866" s="110"/>
      <c r="AH866" s="110"/>
      <c r="AI866" s="110"/>
    </row>
    <row r="867" spans="1:35" ht="13.5" customHeight="1">
      <c r="A867" s="4"/>
      <c r="B867" s="15"/>
      <c r="C867" s="340"/>
      <c r="D867" s="254"/>
      <c r="E867" s="341"/>
      <c r="F867" s="341"/>
      <c r="G867" s="341"/>
      <c r="H867" s="341"/>
      <c r="I867" s="341"/>
      <c r="J867" s="341"/>
      <c r="K867" s="341"/>
      <c r="L867" s="341"/>
      <c r="M867" s="341"/>
      <c r="N867" s="341"/>
      <c r="O867" s="341"/>
      <c r="P867" s="341"/>
      <c r="Q867" s="341"/>
      <c r="R867" s="341"/>
      <c r="S867" s="341"/>
      <c r="T867" s="340"/>
      <c r="U867" s="340"/>
      <c r="V867" s="340"/>
      <c r="W867" s="340"/>
      <c r="X867" s="341"/>
      <c r="Y867" s="341"/>
      <c r="Z867" s="331"/>
      <c r="AA867" s="110"/>
      <c r="AB867" s="332"/>
      <c r="AC867" s="332"/>
      <c r="AD867" s="110"/>
      <c r="AE867" s="110"/>
      <c r="AF867" s="110"/>
      <c r="AG867" s="110"/>
      <c r="AH867" s="110"/>
      <c r="AI867" s="110"/>
    </row>
    <row r="868" spans="1:35" ht="13.5" customHeight="1">
      <c r="A868" s="2"/>
      <c r="B868" s="127" t="s">
        <v>5177</v>
      </c>
      <c r="C868" s="22" t="s">
        <v>5178</v>
      </c>
      <c r="D868" s="322"/>
      <c r="E868" s="338">
        <f t="shared" ref="E868:Y868" si="950">SUM(E865:E867)</f>
        <v>1170290005</v>
      </c>
      <c r="F868" s="338">
        <f t="shared" si="950"/>
        <v>1128165345.1600001</v>
      </c>
      <c r="G868" s="338">
        <f t="shared" si="950"/>
        <v>0</v>
      </c>
      <c r="H868" s="338">
        <f t="shared" si="950"/>
        <v>0</v>
      </c>
      <c r="I868" s="338">
        <f t="shared" si="950"/>
        <v>42124659.839999914</v>
      </c>
      <c r="J868" s="338">
        <f t="shared" si="950"/>
        <v>0</v>
      </c>
      <c r="K868" s="338">
        <f t="shared" si="950"/>
        <v>0</v>
      </c>
      <c r="L868" s="338">
        <f t="shared" si="950"/>
        <v>0</v>
      </c>
      <c r="M868" s="338">
        <f t="shared" si="950"/>
        <v>1918883648</v>
      </c>
      <c r="N868" s="338">
        <f t="shared" si="950"/>
        <v>0</v>
      </c>
      <c r="O868" s="338">
        <f t="shared" si="950"/>
        <v>1876758988.1600001</v>
      </c>
      <c r="P868" s="338">
        <f t="shared" si="950"/>
        <v>0</v>
      </c>
      <c r="Q868" s="338">
        <f t="shared" si="950"/>
        <v>0</v>
      </c>
      <c r="R868" s="338">
        <f t="shared" si="950"/>
        <v>0</v>
      </c>
      <c r="S868" s="338">
        <f t="shared" si="950"/>
        <v>1876758988.1600001</v>
      </c>
      <c r="T868" s="338">
        <f t="shared" si="950"/>
        <v>0</v>
      </c>
      <c r="U868" s="338">
        <f t="shared" si="950"/>
        <v>0</v>
      </c>
      <c r="V868" s="338">
        <f t="shared" si="950"/>
        <v>0</v>
      </c>
      <c r="W868" s="338">
        <f t="shared" si="950"/>
        <v>0</v>
      </c>
      <c r="X868" s="338">
        <f t="shared" si="950"/>
        <v>0</v>
      </c>
      <c r="Y868" s="338">
        <f t="shared" si="950"/>
        <v>1876758988.1600001</v>
      </c>
      <c r="Z868" s="331"/>
      <c r="AA868" s="110"/>
      <c r="AB868" s="332"/>
      <c r="AC868" s="332"/>
      <c r="AD868" s="110"/>
      <c r="AE868" s="110"/>
      <c r="AF868" s="110"/>
      <c r="AG868" s="110"/>
      <c r="AH868" s="110"/>
      <c r="AI868" s="110"/>
    </row>
    <row r="869" spans="1:35" ht="13.5" customHeight="1">
      <c r="A869" s="4"/>
      <c r="B869" s="15"/>
      <c r="C869" s="340"/>
      <c r="D869" s="254"/>
      <c r="E869" s="341"/>
      <c r="F869" s="341"/>
      <c r="G869" s="341"/>
      <c r="H869" s="341"/>
      <c r="I869" s="341"/>
      <c r="J869" s="341"/>
      <c r="K869" s="341"/>
      <c r="L869" s="341"/>
      <c r="M869" s="341"/>
      <c r="N869" s="341"/>
      <c r="O869" s="341"/>
      <c r="P869" s="341"/>
      <c r="Q869" s="341"/>
      <c r="R869" s="341"/>
      <c r="S869" s="341"/>
      <c r="T869" s="340"/>
      <c r="U869" s="340"/>
      <c r="V869" s="340"/>
      <c r="W869" s="340"/>
      <c r="X869" s="346"/>
      <c r="Y869" s="346"/>
      <c r="Z869" s="331"/>
      <c r="AA869" s="110"/>
      <c r="AB869" s="332"/>
      <c r="AC869" s="332"/>
      <c r="AD869" s="110"/>
      <c r="AE869" s="110"/>
      <c r="AF869" s="110"/>
      <c r="AG869" s="110"/>
      <c r="AH869" s="110"/>
      <c r="AI869" s="110"/>
    </row>
    <row r="870" spans="1:35" ht="13.5" customHeight="1">
      <c r="A870" s="4"/>
      <c r="B870" s="127" t="s">
        <v>5179</v>
      </c>
      <c r="C870" s="22" t="s">
        <v>5180</v>
      </c>
      <c r="D870" s="254"/>
      <c r="E870" s="341"/>
      <c r="F870" s="341"/>
      <c r="G870" s="341"/>
      <c r="H870" s="341"/>
      <c r="I870" s="341"/>
      <c r="J870" s="341"/>
      <c r="K870" s="341"/>
      <c r="L870" s="341"/>
      <c r="M870" s="341"/>
      <c r="N870" s="341"/>
      <c r="O870" s="341"/>
      <c r="P870" s="341"/>
      <c r="Q870" s="341"/>
      <c r="R870" s="341"/>
      <c r="S870" s="341"/>
      <c r="T870" s="340"/>
      <c r="U870" s="340"/>
      <c r="V870" s="340"/>
      <c r="W870" s="340"/>
      <c r="X870" s="346"/>
      <c r="Y870" s="346"/>
      <c r="Z870" s="331"/>
      <c r="AA870" s="110"/>
      <c r="AB870" s="332"/>
      <c r="AC870" s="332"/>
      <c r="AD870" s="110"/>
      <c r="AE870" s="110"/>
      <c r="AF870" s="110"/>
      <c r="AG870" s="110"/>
      <c r="AH870" s="110"/>
      <c r="AI870" s="110"/>
    </row>
    <row r="871" spans="1:35" ht="13.5" customHeight="1">
      <c r="A871" s="4"/>
      <c r="B871" s="15" t="s">
        <v>1595</v>
      </c>
      <c r="C871" s="340" t="s">
        <v>1596</v>
      </c>
      <c r="D871" s="254"/>
      <c r="E871" s="341">
        <f>SUMIF(GL!$D$6:$D$6487,B871,GL!$H$6:$H$6487)</f>
        <v>1917479</v>
      </c>
      <c r="F871" s="341">
        <f>SUMIF(GL!$D$6:$D$6487,B871,GL!$I$6:$I$6487)</f>
        <v>1623228</v>
      </c>
      <c r="G871" s="341"/>
      <c r="H871" s="341"/>
      <c r="I871" s="341">
        <f t="shared" ref="I871:I882" si="951">IF(E871&gt;F871,E871-F871,0)</f>
        <v>294251</v>
      </c>
      <c r="J871" s="341">
        <f t="shared" ref="J871:J882" si="952">IF(F871&gt;E871,F871-E871,0)</f>
        <v>0</v>
      </c>
      <c r="K871" s="341"/>
      <c r="L871" s="342"/>
      <c r="M871" s="342">
        <v>294255</v>
      </c>
      <c r="N871" s="341">
        <f t="shared" ref="N871:N882" si="953">IF(I871+L871&gt;J871+M871,(I871+L871)-(J871+M871),0)</f>
        <v>0</v>
      </c>
      <c r="O871" s="341">
        <f t="shared" ref="O871:O882" si="954">IF(J871+M871&gt;I871+L871,(J871+M871)-(I871+L871),0)</f>
        <v>4</v>
      </c>
      <c r="P871" s="341">
        <f>SUMIF(GL!$D$6488:$D$6532,B871,GL!$H$6488:$H$6532)</f>
        <v>0</v>
      </c>
      <c r="Q871" s="341">
        <f>SUMIF(GL!$D$6408:$D$6452,B871,GL!$I$6408:$I$6452)</f>
        <v>0</v>
      </c>
      <c r="R871" s="341">
        <f t="shared" ref="R871:S871" si="955">P871+N871</f>
        <v>0</v>
      </c>
      <c r="S871" s="341">
        <f t="shared" si="955"/>
        <v>4</v>
      </c>
      <c r="T871" s="340"/>
      <c r="U871" s="340"/>
      <c r="V871" s="340"/>
      <c r="W871" s="340"/>
      <c r="X871" s="341">
        <f t="shared" ref="X871:X882" si="956">IF(R871&gt;S871,R871-S871,0)</f>
        <v>0</v>
      </c>
      <c r="Y871" s="341">
        <f t="shared" ref="Y871:Y882" si="957">IF(S871&gt;R871,S871-R871,0)</f>
        <v>4</v>
      </c>
      <c r="Z871" s="331"/>
      <c r="AA871" s="110"/>
      <c r="AB871" s="332"/>
      <c r="AC871" s="332"/>
      <c r="AD871" s="110"/>
      <c r="AE871" s="110"/>
      <c r="AF871" s="110"/>
      <c r="AG871" s="110"/>
      <c r="AH871" s="110"/>
      <c r="AI871" s="110"/>
    </row>
    <row r="872" spans="1:35" ht="13.5" customHeight="1">
      <c r="A872" s="4"/>
      <c r="B872" s="15" t="s">
        <v>5181</v>
      </c>
      <c r="C872" s="340" t="s">
        <v>5182</v>
      </c>
      <c r="D872" s="254"/>
      <c r="E872" s="341">
        <f>SUMIF(GL!$D$6:$D$6487,B872,GL!$H$6:$H$6487)</f>
        <v>0</v>
      </c>
      <c r="F872" s="341">
        <f>SUMIF(GL!$D$6:$D$6487,B872,GL!$I$6:$I$6487)</f>
        <v>0</v>
      </c>
      <c r="G872" s="341"/>
      <c r="H872" s="341"/>
      <c r="I872" s="341">
        <f t="shared" si="951"/>
        <v>0</v>
      </c>
      <c r="J872" s="341">
        <f t="shared" si="952"/>
        <v>0</v>
      </c>
      <c r="K872" s="341"/>
      <c r="L872" s="342"/>
      <c r="M872" s="342">
        <v>37802011</v>
      </c>
      <c r="N872" s="341">
        <f t="shared" si="953"/>
        <v>0</v>
      </c>
      <c r="O872" s="341">
        <f t="shared" si="954"/>
        <v>37802011</v>
      </c>
      <c r="P872" s="341">
        <f>SUMIF(GL!$D$6488:$D$6532,B872,GL!$H$6488:$H$6532)</f>
        <v>0</v>
      </c>
      <c r="Q872" s="341">
        <f>SUMIF(GL!$D$6408:$D$6452,B872,GL!$I$6408:$I$6452)</f>
        <v>0</v>
      </c>
      <c r="R872" s="341">
        <f t="shared" ref="R872:S872" si="958">P872+N872</f>
        <v>0</v>
      </c>
      <c r="S872" s="341">
        <f t="shared" si="958"/>
        <v>37802011</v>
      </c>
      <c r="T872" s="340"/>
      <c r="U872" s="340"/>
      <c r="V872" s="340"/>
      <c r="W872" s="340"/>
      <c r="X872" s="341">
        <f t="shared" si="956"/>
        <v>0</v>
      </c>
      <c r="Y872" s="341">
        <f t="shared" si="957"/>
        <v>37802011</v>
      </c>
      <c r="Z872" s="331"/>
      <c r="AA872" s="110"/>
      <c r="AB872" s="332"/>
      <c r="AC872" s="332"/>
      <c r="AD872" s="110"/>
      <c r="AE872" s="110"/>
      <c r="AF872" s="110"/>
      <c r="AG872" s="110"/>
      <c r="AH872" s="110"/>
      <c r="AI872" s="110"/>
    </row>
    <row r="873" spans="1:35" ht="13.5" customHeight="1">
      <c r="A873" s="4"/>
      <c r="B873" s="15" t="s">
        <v>5183</v>
      </c>
      <c r="C873" s="340" t="s">
        <v>5184</v>
      </c>
      <c r="D873" s="254"/>
      <c r="E873" s="341">
        <f>SUMIF(GL!$D$6:$D$6487,B873,GL!$H$6:$H$6487)</f>
        <v>0</v>
      </c>
      <c r="F873" s="341">
        <f>SUMIF(GL!$D$6:$D$6487,B873,GL!$I$6:$I$6487)</f>
        <v>0</v>
      </c>
      <c r="G873" s="341"/>
      <c r="H873" s="341"/>
      <c r="I873" s="341">
        <f t="shared" si="951"/>
        <v>0</v>
      </c>
      <c r="J873" s="341">
        <f t="shared" si="952"/>
        <v>0</v>
      </c>
      <c r="K873" s="341"/>
      <c r="L873" s="342"/>
      <c r="M873" s="342"/>
      <c r="N873" s="341">
        <f t="shared" si="953"/>
        <v>0</v>
      </c>
      <c r="O873" s="341">
        <f t="shared" si="954"/>
        <v>0</v>
      </c>
      <c r="P873" s="341">
        <f>SUMIF(GL!$D$6488:$D$6532,B873,GL!$H$6488:$H$6532)</f>
        <v>0</v>
      </c>
      <c r="Q873" s="341">
        <f>SUMIF(GL!$D$6408:$D$6452,B873,GL!$I$6408:$I$6452)</f>
        <v>0</v>
      </c>
      <c r="R873" s="341">
        <f t="shared" ref="R873:S873" si="959">P873+N873</f>
        <v>0</v>
      </c>
      <c r="S873" s="341">
        <f t="shared" si="959"/>
        <v>0</v>
      </c>
      <c r="T873" s="340"/>
      <c r="U873" s="340"/>
      <c r="V873" s="340"/>
      <c r="W873" s="340"/>
      <c r="X873" s="341">
        <f t="shared" si="956"/>
        <v>0</v>
      </c>
      <c r="Y873" s="341">
        <f t="shared" si="957"/>
        <v>0</v>
      </c>
      <c r="Z873" s="331"/>
      <c r="AA873" s="110"/>
      <c r="AB873" s="332"/>
      <c r="AC873" s="332"/>
      <c r="AD873" s="110"/>
      <c r="AE873" s="110"/>
      <c r="AF873" s="110"/>
      <c r="AG873" s="110"/>
      <c r="AH873" s="110"/>
      <c r="AI873" s="110"/>
    </row>
    <row r="874" spans="1:35" ht="13.5" customHeight="1">
      <c r="A874" s="4"/>
      <c r="B874" s="15" t="s">
        <v>1213</v>
      </c>
      <c r="C874" s="340" t="s">
        <v>1544</v>
      </c>
      <c r="D874" s="254"/>
      <c r="E874" s="341">
        <f>SUMIF(GL!$D$6:$D$6487,B874,GL!$H$6:$H$6487)</f>
        <v>85193970</v>
      </c>
      <c r="F874" s="341">
        <f>SUMIF(GL!$D$6:$D$6487,B874,GL!$I$6:$I$6487)</f>
        <v>50690242</v>
      </c>
      <c r="G874" s="341"/>
      <c r="H874" s="341"/>
      <c r="I874" s="341">
        <f t="shared" si="951"/>
        <v>34503728</v>
      </c>
      <c r="J874" s="341">
        <f t="shared" si="952"/>
        <v>0</v>
      </c>
      <c r="K874" s="341"/>
      <c r="L874" s="342"/>
      <c r="M874" s="342">
        <v>110535174</v>
      </c>
      <c r="N874" s="341">
        <f t="shared" si="953"/>
        <v>0</v>
      </c>
      <c r="O874" s="341">
        <f t="shared" si="954"/>
        <v>76031446</v>
      </c>
      <c r="P874" s="341">
        <f>SUMIF(GL!$D$6488:$D$6532,B874,GL!$H$6488:$H$6532)</f>
        <v>0</v>
      </c>
      <c r="Q874" s="341">
        <f>SUMIF(GL!$D$6408:$D$6452,B874,GL!$I$6408:$I$6452)</f>
        <v>0</v>
      </c>
      <c r="R874" s="341">
        <f t="shared" ref="R874:S874" si="960">P874+N874</f>
        <v>0</v>
      </c>
      <c r="S874" s="341">
        <f t="shared" si="960"/>
        <v>76031446</v>
      </c>
      <c r="T874" s="340"/>
      <c r="U874" s="340"/>
      <c r="V874" s="340"/>
      <c r="W874" s="340"/>
      <c r="X874" s="341">
        <f t="shared" si="956"/>
        <v>0</v>
      </c>
      <c r="Y874" s="341">
        <f t="shared" si="957"/>
        <v>76031446</v>
      </c>
      <c r="Z874" s="331"/>
      <c r="AA874" s="110"/>
      <c r="AB874" s="332"/>
      <c r="AC874" s="332"/>
      <c r="AD874" s="110"/>
      <c r="AE874" s="110"/>
      <c r="AF874" s="110"/>
      <c r="AG874" s="110"/>
      <c r="AH874" s="110"/>
      <c r="AI874" s="110"/>
    </row>
    <row r="875" spans="1:35" ht="13.5" customHeight="1">
      <c r="A875" s="4"/>
      <c r="B875" s="15" t="s">
        <v>5185</v>
      </c>
      <c r="C875" s="340" t="s">
        <v>5186</v>
      </c>
      <c r="D875" s="254"/>
      <c r="E875" s="341">
        <f>SUMIF(GL!$D$6:$D$6487,B875,GL!$H$6:$H$6487)</f>
        <v>0</v>
      </c>
      <c r="F875" s="341">
        <f>SUMIF(GL!$D$6:$D$6487,B875,GL!$I$6:$I$6487)</f>
        <v>0</v>
      </c>
      <c r="G875" s="341"/>
      <c r="H875" s="341"/>
      <c r="I875" s="341">
        <f t="shared" si="951"/>
        <v>0</v>
      </c>
      <c r="J875" s="341">
        <f t="shared" si="952"/>
        <v>0</v>
      </c>
      <c r="K875" s="341"/>
      <c r="L875" s="342"/>
      <c r="M875" s="342">
        <v>55731833</v>
      </c>
      <c r="N875" s="341">
        <f t="shared" si="953"/>
        <v>0</v>
      </c>
      <c r="O875" s="341">
        <f t="shared" si="954"/>
        <v>55731833</v>
      </c>
      <c r="P875" s="341">
        <f>SUMIF(GL!$D$6488:$D$6532,B875,GL!$H$6488:$H$6532)</f>
        <v>0</v>
      </c>
      <c r="Q875" s="341">
        <f>SUMIF(GL!$D$6408:$D$6452,B875,GL!$I$6408:$I$6452)</f>
        <v>0</v>
      </c>
      <c r="R875" s="341">
        <f t="shared" ref="R875:S875" si="961">P875+N875</f>
        <v>0</v>
      </c>
      <c r="S875" s="341">
        <f t="shared" si="961"/>
        <v>55731833</v>
      </c>
      <c r="T875" s="340"/>
      <c r="U875" s="340"/>
      <c r="V875" s="340"/>
      <c r="W875" s="340"/>
      <c r="X875" s="341">
        <f t="shared" si="956"/>
        <v>0</v>
      </c>
      <c r="Y875" s="341">
        <f t="shared" si="957"/>
        <v>55731833</v>
      </c>
      <c r="Z875" s="331"/>
      <c r="AA875" s="110"/>
      <c r="AB875" s="332"/>
      <c r="AC875" s="332"/>
      <c r="AD875" s="110"/>
      <c r="AE875" s="110"/>
      <c r="AF875" s="110"/>
      <c r="AG875" s="110"/>
      <c r="AH875" s="110"/>
      <c r="AI875" s="110"/>
    </row>
    <row r="876" spans="1:35" ht="13.5" customHeight="1">
      <c r="A876" s="4"/>
      <c r="B876" s="15" t="s">
        <v>34</v>
      </c>
      <c r="C876" s="340" t="s">
        <v>5187</v>
      </c>
      <c r="D876" s="254"/>
      <c r="E876" s="341">
        <f>SUMIF(GL!$D$6:$D$6487,B876,GL!$H$6:$H$6487)</f>
        <v>153507162</v>
      </c>
      <c r="F876" s="341">
        <f>SUMIF(GL!$D$6:$D$6487,B876,GL!$I$6:$I$6487)</f>
        <v>134522723.97000003</v>
      </c>
      <c r="G876" s="341"/>
      <c r="H876" s="341"/>
      <c r="I876" s="341">
        <f t="shared" si="951"/>
        <v>18984438.029999971</v>
      </c>
      <c r="J876" s="341">
        <f t="shared" si="952"/>
        <v>0</v>
      </c>
      <c r="K876" s="341"/>
      <c r="L876" s="342"/>
      <c r="M876" s="342">
        <v>153507162</v>
      </c>
      <c r="N876" s="341">
        <f t="shared" si="953"/>
        <v>0</v>
      </c>
      <c r="O876" s="341">
        <f t="shared" si="954"/>
        <v>134522723.97000003</v>
      </c>
      <c r="P876" s="341">
        <f>SUMIF(GL!$D$6488:$D$6532,B876,GL!$H$6488:$H$6532)</f>
        <v>0</v>
      </c>
      <c r="Q876" s="341">
        <f>SUMIF(GL!$D$6408:$D$6452,B876,GL!$I$6408:$I$6452)</f>
        <v>0</v>
      </c>
      <c r="R876" s="341">
        <f t="shared" ref="R876:S876" si="962">P876+N876</f>
        <v>0</v>
      </c>
      <c r="S876" s="341">
        <f t="shared" si="962"/>
        <v>134522723.97000003</v>
      </c>
      <c r="T876" s="340"/>
      <c r="U876" s="340"/>
      <c r="V876" s="340"/>
      <c r="W876" s="340"/>
      <c r="X876" s="341">
        <f t="shared" si="956"/>
        <v>0</v>
      </c>
      <c r="Y876" s="341">
        <f t="shared" si="957"/>
        <v>134522723.97000003</v>
      </c>
      <c r="Z876" s="331"/>
      <c r="AA876" s="395"/>
      <c r="AB876" s="120">
        <f>'Daily Sales'!AG28</f>
        <v>134522723.97000003</v>
      </c>
      <c r="AC876" s="120">
        <f>Y876-AB876</f>
        <v>0</v>
      </c>
      <c r="AD876" s="110"/>
      <c r="AE876" s="110"/>
      <c r="AF876" s="110"/>
      <c r="AG876" s="110"/>
      <c r="AH876" s="110"/>
      <c r="AI876" s="110"/>
    </row>
    <row r="877" spans="1:35" ht="13.5" customHeight="1">
      <c r="A877" s="4"/>
      <c r="B877" s="15" t="s">
        <v>1130</v>
      </c>
      <c r="C877" s="340" t="s">
        <v>5188</v>
      </c>
      <c r="D877" s="254"/>
      <c r="E877" s="341">
        <f>SUMIF(GL!$D$6:$D$6487,B877,GL!$H$6:$H$6487)</f>
        <v>2240500</v>
      </c>
      <c r="F877" s="341">
        <f>SUMIF(GL!$D$6:$D$6487,B877,GL!$I$6:$I$6487)</f>
        <v>30535422</v>
      </c>
      <c r="G877" s="341"/>
      <c r="H877" s="341"/>
      <c r="I877" s="341">
        <f t="shared" si="951"/>
        <v>0</v>
      </c>
      <c r="J877" s="341">
        <f t="shared" si="952"/>
        <v>28294922</v>
      </c>
      <c r="K877" s="341"/>
      <c r="L877" s="342"/>
      <c r="M877" s="342">
        <v>1825648166</v>
      </c>
      <c r="N877" s="341">
        <f t="shared" si="953"/>
        <v>0</v>
      </c>
      <c r="O877" s="341">
        <f t="shared" si="954"/>
        <v>1853943088</v>
      </c>
      <c r="P877" s="341">
        <f>SUMIF(GL!$D$6488:$D$6532,B877,GL!$H$6488:$H$6532)</f>
        <v>0</v>
      </c>
      <c r="Q877" s="341">
        <f>SUMIF(GL!$D$6408:$D$6452,B877,GL!$I$6408:$I$6452)</f>
        <v>0</v>
      </c>
      <c r="R877" s="341">
        <f t="shared" ref="R877:S877" si="963">P877+N877</f>
        <v>0</v>
      </c>
      <c r="S877" s="341">
        <f t="shared" si="963"/>
        <v>1853943088</v>
      </c>
      <c r="T877" s="340"/>
      <c r="U877" s="340"/>
      <c r="V877" s="340"/>
      <c r="W877" s="340"/>
      <c r="X877" s="341">
        <f t="shared" si="956"/>
        <v>0</v>
      </c>
      <c r="Y877" s="341">
        <f t="shared" si="957"/>
        <v>1853943088</v>
      </c>
      <c r="Z877" s="331"/>
      <c r="AA877" s="110"/>
      <c r="AB877" s="332"/>
      <c r="AC877" s="120" t="s">
        <v>5189</v>
      </c>
      <c r="AD877" s="110"/>
      <c r="AE877" s="110"/>
      <c r="AF877" s="110"/>
      <c r="AG877" s="110"/>
      <c r="AH877" s="110"/>
      <c r="AI877" s="110"/>
    </row>
    <row r="878" spans="1:35" ht="13.5" customHeight="1">
      <c r="A878" s="4"/>
      <c r="B878" s="15" t="s">
        <v>5190</v>
      </c>
      <c r="C878" s="340" t="s">
        <v>5191</v>
      </c>
      <c r="D878" s="254"/>
      <c r="E878" s="341">
        <f>SUMIF(GL!$D$6:$D$6487,B878,GL!$H$6:$H$6487)</f>
        <v>0</v>
      </c>
      <c r="F878" s="341">
        <f>SUMIF(GL!$D$6:$D$6487,B878,GL!$I$6:$I$6487)</f>
        <v>0</v>
      </c>
      <c r="G878" s="341"/>
      <c r="H878" s="341"/>
      <c r="I878" s="341">
        <f t="shared" si="951"/>
        <v>0</v>
      </c>
      <c r="J878" s="341">
        <f t="shared" si="952"/>
        <v>0</v>
      </c>
      <c r="K878" s="341"/>
      <c r="L878" s="342"/>
      <c r="M878" s="342"/>
      <c r="N878" s="341">
        <f t="shared" si="953"/>
        <v>0</v>
      </c>
      <c r="O878" s="341">
        <f t="shared" si="954"/>
        <v>0</v>
      </c>
      <c r="P878" s="341">
        <f>SUMIF(GL!$D$6488:$D$6532,B878,GL!$H$6488:$H$6532)</f>
        <v>0</v>
      </c>
      <c r="Q878" s="341">
        <f>SUMIF(GL!$D$6408:$D$6452,B878,GL!$I$6408:$I$6452)</f>
        <v>0</v>
      </c>
      <c r="R878" s="341">
        <f t="shared" ref="R878:S878" si="964">P878+N878</f>
        <v>0</v>
      </c>
      <c r="S878" s="341">
        <f t="shared" si="964"/>
        <v>0</v>
      </c>
      <c r="T878" s="340"/>
      <c r="U878" s="340"/>
      <c r="V878" s="340"/>
      <c r="W878" s="340"/>
      <c r="X878" s="341">
        <f t="shared" si="956"/>
        <v>0</v>
      </c>
      <c r="Y878" s="341">
        <f t="shared" si="957"/>
        <v>0</v>
      </c>
      <c r="Z878" s="331"/>
      <c r="AA878" s="110"/>
      <c r="AB878" s="332"/>
      <c r="AC878" s="332"/>
      <c r="AD878" s="110"/>
      <c r="AE878" s="110"/>
      <c r="AF878" s="110"/>
      <c r="AG878" s="110"/>
      <c r="AH878" s="110"/>
      <c r="AI878" s="110"/>
    </row>
    <row r="879" spans="1:35" ht="13.5" customHeight="1">
      <c r="A879" s="4"/>
      <c r="B879" s="216" t="s">
        <v>5192</v>
      </c>
      <c r="C879" s="390" t="s">
        <v>5193</v>
      </c>
      <c r="D879" s="254"/>
      <c r="E879" s="341">
        <f>SUMIF(GL!$D$6:$D$6487,B879,GL!$H$6:$H$6487)</f>
        <v>0</v>
      </c>
      <c r="F879" s="341">
        <f>SUMIF(GL!$D$6:$D$6487,B879,GL!$I$6:$I$6487)</f>
        <v>0</v>
      </c>
      <c r="G879" s="341"/>
      <c r="H879" s="341"/>
      <c r="I879" s="341">
        <f t="shared" si="951"/>
        <v>0</v>
      </c>
      <c r="J879" s="341">
        <f t="shared" si="952"/>
        <v>0</v>
      </c>
      <c r="K879" s="341"/>
      <c r="L879" s="342"/>
      <c r="M879" s="342"/>
      <c r="N879" s="341">
        <f t="shared" si="953"/>
        <v>0</v>
      </c>
      <c r="O879" s="341">
        <f t="shared" si="954"/>
        <v>0</v>
      </c>
      <c r="P879" s="341">
        <f>SUMIF(GL!$D$6488:$D$6532,B879,GL!$H$6488:$H$6532)</f>
        <v>0</v>
      </c>
      <c r="Q879" s="341">
        <f>SUMIF(GL!$D$6408:$D$6452,B879,GL!$I$6408:$I$6452)</f>
        <v>0</v>
      </c>
      <c r="R879" s="341">
        <f t="shared" ref="R879:S879" si="965">P879+N879</f>
        <v>0</v>
      </c>
      <c r="S879" s="341">
        <f t="shared" si="965"/>
        <v>0</v>
      </c>
      <c r="T879" s="340"/>
      <c r="U879" s="340"/>
      <c r="V879" s="340"/>
      <c r="W879" s="340"/>
      <c r="X879" s="341">
        <f t="shared" si="956"/>
        <v>0</v>
      </c>
      <c r="Y879" s="341">
        <f t="shared" si="957"/>
        <v>0</v>
      </c>
      <c r="Z879" s="331"/>
      <c r="AA879" s="110"/>
      <c r="AB879" s="332"/>
      <c r="AC879" s="332"/>
      <c r="AD879" s="110"/>
      <c r="AE879" s="110"/>
      <c r="AF879" s="110"/>
      <c r="AG879" s="110"/>
      <c r="AH879" s="110"/>
      <c r="AI879" s="110"/>
    </row>
    <row r="880" spans="1:35" ht="13.5" customHeight="1">
      <c r="A880" s="4"/>
      <c r="B880" s="15" t="s">
        <v>71</v>
      </c>
      <c r="C880" s="340" t="s">
        <v>5194</v>
      </c>
      <c r="D880" s="254"/>
      <c r="E880" s="341">
        <f>SUMIF(GL!$D$6:$D$6487,B880,GL!$H$6:$H$6487)</f>
        <v>-1006354.458000008</v>
      </c>
      <c r="F880" s="341">
        <f>SUMIF(GL!$D$6:$D$6487,B880,GL!$I$6:$I$6487)</f>
        <v>32610</v>
      </c>
      <c r="G880" s="341"/>
      <c r="H880" s="341"/>
      <c r="I880" s="341">
        <f t="shared" si="951"/>
        <v>0</v>
      </c>
      <c r="J880" s="341">
        <f t="shared" si="952"/>
        <v>1038964.458000008</v>
      </c>
      <c r="K880" s="341"/>
      <c r="L880" s="342"/>
      <c r="M880" s="342">
        <v>62736537</v>
      </c>
      <c r="N880" s="341">
        <f t="shared" si="953"/>
        <v>0</v>
      </c>
      <c r="O880" s="341">
        <f t="shared" si="954"/>
        <v>63775501.458000004</v>
      </c>
      <c r="P880" s="341">
        <f>SUMIF(GL!$D$6488:$D$6532,B880,GL!$H$6488:$H$6532)</f>
        <v>0</v>
      </c>
      <c r="Q880" s="341">
        <f>SUMIF(GL!$D$6408:$D$6452,B880,GL!$I$6408:$I$6452)</f>
        <v>0</v>
      </c>
      <c r="R880" s="341">
        <f t="shared" ref="R880:S880" si="966">P880+N880</f>
        <v>0</v>
      </c>
      <c r="S880" s="341">
        <f t="shared" si="966"/>
        <v>63775501.458000004</v>
      </c>
      <c r="T880" s="340"/>
      <c r="U880" s="340"/>
      <c r="V880" s="340"/>
      <c r="W880" s="340"/>
      <c r="X880" s="341">
        <f t="shared" si="956"/>
        <v>0</v>
      </c>
      <c r="Y880" s="341">
        <f t="shared" si="957"/>
        <v>63775501.458000004</v>
      </c>
      <c r="Z880" s="331"/>
      <c r="AA880" s="110"/>
      <c r="AB880" s="332"/>
      <c r="AC880" s="332"/>
      <c r="AD880" s="110"/>
      <c r="AE880" s="110"/>
      <c r="AF880" s="110"/>
      <c r="AG880" s="110"/>
      <c r="AH880" s="110"/>
      <c r="AI880" s="110"/>
    </row>
    <row r="881" spans="1:35" ht="13.5" customHeight="1">
      <c r="A881" s="4"/>
      <c r="B881" s="15" t="s">
        <v>590</v>
      </c>
      <c r="C881" s="340" t="s">
        <v>1545</v>
      </c>
      <c r="D881" s="254"/>
      <c r="E881" s="341">
        <f>SUMIF(GL!$D$6:$D$6487,B881,GL!$H$6:$H$6487)</f>
        <v>3653985</v>
      </c>
      <c r="F881" s="341">
        <f>SUMIF(GL!$D$6:$D$6487,B881,GL!$I$6:$I$6487)</f>
        <v>3653985</v>
      </c>
      <c r="G881" s="341"/>
      <c r="H881" s="341"/>
      <c r="I881" s="341">
        <f t="shared" si="951"/>
        <v>0</v>
      </c>
      <c r="J881" s="341">
        <f t="shared" si="952"/>
        <v>0</v>
      </c>
      <c r="K881" s="341"/>
      <c r="L881" s="342"/>
      <c r="M881" s="342"/>
      <c r="N881" s="341">
        <f t="shared" si="953"/>
        <v>0</v>
      </c>
      <c r="O881" s="341">
        <f t="shared" si="954"/>
        <v>0</v>
      </c>
      <c r="P881" s="341">
        <f>SUMIF(GL!$D$6488:$D$6532,B881,GL!$H$6488:$H$6532)</f>
        <v>0</v>
      </c>
      <c r="Q881" s="341">
        <f>SUMIF(GL!$D$6408:$D$6452,B881,GL!$I$6408:$I$6452)</f>
        <v>0</v>
      </c>
      <c r="R881" s="341">
        <f t="shared" ref="R881:S881" si="967">P881+N881</f>
        <v>0</v>
      </c>
      <c r="S881" s="341">
        <f t="shared" si="967"/>
        <v>0</v>
      </c>
      <c r="T881" s="340"/>
      <c r="U881" s="340"/>
      <c r="V881" s="340"/>
      <c r="W881" s="340"/>
      <c r="X881" s="341">
        <f t="shared" si="956"/>
        <v>0</v>
      </c>
      <c r="Y881" s="341">
        <f t="shared" si="957"/>
        <v>0</v>
      </c>
      <c r="Z881" s="331"/>
      <c r="AA881" s="110"/>
      <c r="AB881" s="332"/>
      <c r="AC881" s="332"/>
      <c r="AD881" s="110"/>
      <c r="AE881" s="110"/>
      <c r="AF881" s="110"/>
      <c r="AG881" s="110"/>
      <c r="AH881" s="110"/>
      <c r="AI881" s="110"/>
    </row>
    <row r="882" spans="1:35" ht="13.5" customHeight="1">
      <c r="A882" s="4"/>
      <c r="B882" s="15" t="s">
        <v>5195</v>
      </c>
      <c r="C882" s="260" t="s">
        <v>5196</v>
      </c>
      <c r="D882" s="254"/>
      <c r="E882" s="341">
        <f>SUMIF(GL!$D$6:$D$6487,B882,GL!$H$6:$H$6487)</f>
        <v>0</v>
      </c>
      <c r="F882" s="341">
        <f>SUMIF(GL!$D$6:$D$6487,B882,GL!$I$6:$I$6487)</f>
        <v>0</v>
      </c>
      <c r="G882" s="341"/>
      <c r="H882" s="341"/>
      <c r="I882" s="341">
        <f t="shared" si="951"/>
        <v>0</v>
      </c>
      <c r="J882" s="341">
        <f t="shared" si="952"/>
        <v>0</v>
      </c>
      <c r="K882" s="341"/>
      <c r="L882" s="342"/>
      <c r="M882" s="342"/>
      <c r="N882" s="341">
        <f t="shared" si="953"/>
        <v>0</v>
      </c>
      <c r="O882" s="341">
        <f t="shared" si="954"/>
        <v>0</v>
      </c>
      <c r="P882" s="341">
        <f>SUMIF(GL!$D$6488:$D$6532,B882,GL!$H$6488:$H$6532)</f>
        <v>0</v>
      </c>
      <c r="Q882" s="341">
        <f>SUMIF(GL!$D$6408:$D$6452,B882,GL!$I$6408:$I$6452)</f>
        <v>0</v>
      </c>
      <c r="R882" s="341">
        <f t="shared" ref="R882:S882" si="968">P882+N882</f>
        <v>0</v>
      </c>
      <c r="S882" s="341">
        <f t="shared" si="968"/>
        <v>0</v>
      </c>
      <c r="T882" s="340"/>
      <c r="U882" s="340"/>
      <c r="V882" s="340"/>
      <c r="W882" s="340"/>
      <c r="X882" s="341">
        <f t="shared" si="956"/>
        <v>0</v>
      </c>
      <c r="Y882" s="341">
        <f t="shared" si="957"/>
        <v>0</v>
      </c>
      <c r="Z882" s="331"/>
      <c r="AA882" s="110"/>
      <c r="AB882" s="332"/>
      <c r="AC882" s="332"/>
      <c r="AD882" s="110"/>
      <c r="AE882" s="110"/>
      <c r="AF882" s="110"/>
      <c r="AG882" s="110"/>
      <c r="AH882" s="110"/>
      <c r="AI882" s="110"/>
    </row>
    <row r="883" spans="1:35" ht="13.5" customHeight="1">
      <c r="A883" s="4"/>
      <c r="B883" s="127" t="s">
        <v>5197</v>
      </c>
      <c r="C883" s="22" t="s">
        <v>5198</v>
      </c>
      <c r="D883" s="254"/>
      <c r="E883" s="338">
        <f t="shared" ref="E883:H883" si="969">SUM(E871:E881)</f>
        <v>245506741.542</v>
      </c>
      <c r="F883" s="338">
        <f t="shared" si="969"/>
        <v>221058210.97000003</v>
      </c>
      <c r="G883" s="338">
        <f t="shared" si="969"/>
        <v>0</v>
      </c>
      <c r="H883" s="338">
        <f t="shared" si="969"/>
        <v>0</v>
      </c>
      <c r="I883" s="338">
        <f t="shared" ref="I883:Y883" si="970">SUM(I871:I882)</f>
        <v>53782417.029999971</v>
      </c>
      <c r="J883" s="338">
        <f t="shared" si="970"/>
        <v>29333886.458000008</v>
      </c>
      <c r="K883" s="338">
        <f t="shared" si="970"/>
        <v>0</v>
      </c>
      <c r="L883" s="338">
        <f t="shared" si="970"/>
        <v>0</v>
      </c>
      <c r="M883" s="338">
        <f t="shared" si="970"/>
        <v>2246255138</v>
      </c>
      <c r="N883" s="338">
        <f t="shared" si="970"/>
        <v>0</v>
      </c>
      <c r="O883" s="338">
        <f t="shared" si="970"/>
        <v>2221806607.4280005</v>
      </c>
      <c r="P883" s="338">
        <f t="shared" si="970"/>
        <v>0</v>
      </c>
      <c r="Q883" s="338">
        <f t="shared" si="970"/>
        <v>0</v>
      </c>
      <c r="R883" s="338">
        <f t="shared" si="970"/>
        <v>0</v>
      </c>
      <c r="S883" s="338">
        <f t="shared" si="970"/>
        <v>2221806607.4280005</v>
      </c>
      <c r="T883" s="338">
        <f t="shared" si="970"/>
        <v>0</v>
      </c>
      <c r="U883" s="338">
        <f t="shared" si="970"/>
        <v>0</v>
      </c>
      <c r="V883" s="338">
        <f t="shared" si="970"/>
        <v>0</v>
      </c>
      <c r="W883" s="338">
        <f t="shared" si="970"/>
        <v>0</v>
      </c>
      <c r="X883" s="338">
        <f t="shared" si="970"/>
        <v>0</v>
      </c>
      <c r="Y883" s="338">
        <f t="shared" si="970"/>
        <v>2221806607.4280005</v>
      </c>
      <c r="Z883" s="331"/>
      <c r="AA883" s="110"/>
      <c r="AB883" s="332"/>
      <c r="AC883" s="332"/>
      <c r="AD883" s="110"/>
      <c r="AE883" s="110"/>
      <c r="AF883" s="110"/>
      <c r="AG883" s="110"/>
      <c r="AH883" s="110"/>
      <c r="AI883" s="110"/>
    </row>
    <row r="884" spans="1:35" ht="13.5" customHeight="1">
      <c r="A884" s="4"/>
      <c r="B884" s="15"/>
      <c r="C884" s="340"/>
      <c r="D884" s="254"/>
      <c r="E884" s="341"/>
      <c r="F884" s="341"/>
      <c r="G884" s="341"/>
      <c r="H884" s="341"/>
      <c r="I884" s="341"/>
      <c r="J884" s="341"/>
      <c r="K884" s="341"/>
      <c r="L884" s="341"/>
      <c r="M884" s="341"/>
      <c r="N884" s="341"/>
      <c r="O884" s="341"/>
      <c r="P884" s="341"/>
      <c r="Q884" s="341"/>
      <c r="R884" s="341"/>
      <c r="S884" s="341"/>
      <c r="T884" s="340"/>
      <c r="U884" s="340"/>
      <c r="V884" s="340"/>
      <c r="W884" s="340"/>
      <c r="X884" s="346"/>
      <c r="Y884" s="346"/>
      <c r="Z884" s="331"/>
      <c r="AA884" s="110"/>
      <c r="AB884" s="332"/>
      <c r="AC884" s="332"/>
      <c r="AD884" s="110"/>
      <c r="AE884" s="110"/>
      <c r="AF884" s="110"/>
      <c r="AG884" s="110"/>
      <c r="AH884" s="110"/>
      <c r="AI884" s="110"/>
    </row>
    <row r="885" spans="1:35" ht="13.5" customHeight="1">
      <c r="A885" s="2"/>
      <c r="B885" s="127" t="s">
        <v>5199</v>
      </c>
      <c r="C885" s="22" t="s">
        <v>5200</v>
      </c>
      <c r="D885" s="322"/>
      <c r="E885" s="338"/>
      <c r="F885" s="338"/>
      <c r="G885" s="338"/>
      <c r="H885" s="338"/>
      <c r="I885" s="338"/>
      <c r="J885" s="338"/>
      <c r="K885" s="338"/>
      <c r="L885" s="338"/>
      <c r="M885" s="338"/>
      <c r="N885" s="338"/>
      <c r="O885" s="338"/>
      <c r="P885" s="341"/>
      <c r="Q885" s="341"/>
      <c r="R885" s="338"/>
      <c r="S885" s="338"/>
      <c r="T885" s="22"/>
      <c r="U885" s="22"/>
      <c r="V885" s="22"/>
      <c r="W885" s="22"/>
      <c r="X885" s="339"/>
      <c r="Y885" s="339"/>
      <c r="Z885" s="331"/>
      <c r="AA885" s="110"/>
      <c r="AB885" s="332"/>
      <c r="AC885" s="332"/>
      <c r="AD885" s="110"/>
      <c r="AE885" s="110"/>
      <c r="AF885" s="110"/>
      <c r="AG885" s="110"/>
      <c r="AH885" s="110"/>
      <c r="AI885" s="110"/>
    </row>
    <row r="886" spans="1:35" ht="13.5" customHeight="1">
      <c r="A886" s="4"/>
      <c r="B886" s="15" t="s">
        <v>36</v>
      </c>
      <c r="C886" s="340" t="s">
        <v>5201</v>
      </c>
      <c r="D886" s="254"/>
      <c r="E886" s="341">
        <f>SUMIF(GL!$D$6:$D$6487,B886,GL!$H$6:$H$6487)</f>
        <v>37036063</v>
      </c>
      <c r="F886" s="341">
        <f>SUMIF(GL!$D$6:$D$6487,B886,GL!$I$6:$I$6487)</f>
        <v>205627592.597</v>
      </c>
      <c r="G886" s="341"/>
      <c r="H886" s="341"/>
      <c r="I886" s="341">
        <f t="shared" ref="I886:I891" si="971">IF(E886&gt;F886,E886-F886,0)</f>
        <v>0</v>
      </c>
      <c r="J886" s="341">
        <f t="shared" ref="J886:J891" si="972">IF(F886&gt;E886,F886-E886,0)</f>
        <v>168591529.597</v>
      </c>
      <c r="K886" s="341"/>
      <c r="L886" s="342"/>
      <c r="M886" s="342">
        <v>690072960</v>
      </c>
      <c r="N886" s="341">
        <f t="shared" ref="N886:N891" si="973">IF(I886+L886&gt;J886+M886,(I886+L886)-(J886+M886),0)</f>
        <v>0</v>
      </c>
      <c r="O886" s="341">
        <f t="shared" ref="O886:O891" si="974">IF(J886+M886&gt;I886+L886,(J886+M886)-(I886+L886),0)</f>
        <v>858664489.597</v>
      </c>
      <c r="P886" s="341">
        <f>SUMIF(GL!$D$6488:$D$6532,B886,GL!$H$6488:$H$6532)</f>
        <v>0</v>
      </c>
      <c r="Q886" s="341">
        <f>SUMIF(GL!$D$6408:$D$6452,B886,GL!$I$6408:$I$6452)</f>
        <v>0</v>
      </c>
      <c r="R886" s="341">
        <f t="shared" ref="R886:S886" si="975">P886+N886</f>
        <v>0</v>
      </c>
      <c r="S886" s="341">
        <f t="shared" si="975"/>
        <v>858664489.597</v>
      </c>
      <c r="T886" s="340"/>
      <c r="U886" s="340"/>
      <c r="V886" s="340"/>
      <c r="W886" s="340"/>
      <c r="X886" s="341">
        <f t="shared" ref="X886:X891" si="976">IF(R886&gt;S886,R886-S886,0)</f>
        <v>0</v>
      </c>
      <c r="Y886" s="341">
        <f t="shared" ref="Y886:Y891" si="977">IF(S886&gt;R886,S886-R886,0)</f>
        <v>858664489.597</v>
      </c>
      <c r="Z886" s="331"/>
      <c r="AA886" s="120"/>
      <c r="AB886" s="120"/>
      <c r="AC886" s="120"/>
      <c r="AD886" s="110"/>
      <c r="AE886" s="110"/>
      <c r="AF886" s="110"/>
      <c r="AG886" s="110"/>
      <c r="AH886" s="110"/>
      <c r="AI886" s="110"/>
    </row>
    <row r="887" spans="1:35" ht="13.5" customHeight="1">
      <c r="A887" s="4"/>
      <c r="B887" s="15" t="s">
        <v>812</v>
      </c>
      <c r="C887" s="340" t="s">
        <v>1577</v>
      </c>
      <c r="D887" s="254"/>
      <c r="E887" s="341">
        <f>SUMIF(GL!$D$6:$D$6487,B887,GL!$H$6:$H$6487)</f>
        <v>3565421</v>
      </c>
      <c r="F887" s="341">
        <f>SUMIF(GL!$D$6:$D$6487,B887,GL!$I$6:$I$6487)</f>
        <v>2246914.44</v>
      </c>
      <c r="G887" s="341"/>
      <c r="H887" s="341"/>
      <c r="I887" s="341">
        <f t="shared" si="971"/>
        <v>1318506.56</v>
      </c>
      <c r="J887" s="341">
        <f t="shared" si="972"/>
        <v>0</v>
      </c>
      <c r="K887" s="341"/>
      <c r="L887" s="342"/>
      <c r="M887" s="342">
        <v>5143359</v>
      </c>
      <c r="N887" s="341">
        <f t="shared" si="973"/>
        <v>0</v>
      </c>
      <c r="O887" s="341">
        <f t="shared" si="974"/>
        <v>3824852.44</v>
      </c>
      <c r="P887" s="341">
        <f>SUMIF(GL!$D$6488:$D$6532,B887,GL!$H$6488:$H$6532)</f>
        <v>0</v>
      </c>
      <c r="Q887" s="341">
        <f>SUMIF(GL!$D$6408:$D$6452,B887,GL!$I$6408:$I$6452)</f>
        <v>0</v>
      </c>
      <c r="R887" s="341">
        <f t="shared" ref="R887:S887" si="978">P887+N887</f>
        <v>0</v>
      </c>
      <c r="S887" s="341">
        <f t="shared" si="978"/>
        <v>3824852.44</v>
      </c>
      <c r="T887" s="340"/>
      <c r="U887" s="340"/>
      <c r="V887" s="340"/>
      <c r="W887" s="340"/>
      <c r="X887" s="341">
        <f t="shared" si="976"/>
        <v>0</v>
      </c>
      <c r="Y887" s="341">
        <f t="shared" si="977"/>
        <v>3824852.44</v>
      </c>
      <c r="Z887" s="331"/>
      <c r="AA887" s="110"/>
      <c r="AB887" s="120">
        <v>3824852.44</v>
      </c>
      <c r="AC887" s="332">
        <f>Y887-AB887</f>
        <v>0</v>
      </c>
      <c r="AD887" s="110"/>
      <c r="AE887" s="110"/>
      <c r="AF887" s="110"/>
      <c r="AG887" s="110"/>
      <c r="AH887" s="110"/>
      <c r="AI887" s="110"/>
    </row>
    <row r="888" spans="1:35" ht="13.5" customHeight="1">
      <c r="A888" s="4"/>
      <c r="B888" s="15" t="s">
        <v>5202</v>
      </c>
      <c r="C888" s="340" t="s">
        <v>5203</v>
      </c>
      <c r="D888" s="254"/>
      <c r="E888" s="341">
        <f>SUMIF(GL!$D$6:$D$6487,B888,GL!$H$6:$H$6487)</f>
        <v>0</v>
      </c>
      <c r="F888" s="341">
        <f>SUMIF(GL!$D$6:$D$6487,B888,GL!$I$6:$I$6487)</f>
        <v>0</v>
      </c>
      <c r="G888" s="341"/>
      <c r="H888" s="341"/>
      <c r="I888" s="341">
        <f t="shared" si="971"/>
        <v>0</v>
      </c>
      <c r="J888" s="341">
        <f t="shared" si="972"/>
        <v>0</v>
      </c>
      <c r="K888" s="341"/>
      <c r="L888" s="342"/>
      <c r="M888" s="342"/>
      <c r="N888" s="341">
        <f t="shared" si="973"/>
        <v>0</v>
      </c>
      <c r="O888" s="341">
        <f t="shared" si="974"/>
        <v>0</v>
      </c>
      <c r="P888" s="341">
        <f>SUMIF(GL!$D$6488:$D$6532,B888,GL!$H$6488:$H$6532)</f>
        <v>0</v>
      </c>
      <c r="Q888" s="341">
        <f>SUMIF(GL!$D$6408:$D$6452,B888,GL!$I$6408:$I$6452)</f>
        <v>0</v>
      </c>
      <c r="R888" s="341">
        <f t="shared" ref="R888:S888" si="979">P888+N888</f>
        <v>0</v>
      </c>
      <c r="S888" s="341">
        <f t="shared" si="979"/>
        <v>0</v>
      </c>
      <c r="T888" s="340"/>
      <c r="U888" s="340"/>
      <c r="V888" s="340"/>
      <c r="W888" s="340"/>
      <c r="X888" s="341">
        <f t="shared" si="976"/>
        <v>0</v>
      </c>
      <c r="Y888" s="341">
        <f t="shared" si="977"/>
        <v>0</v>
      </c>
      <c r="Z888" s="331"/>
      <c r="AA888" s="110"/>
      <c r="AB888" s="332"/>
      <c r="AC888" s="332"/>
      <c r="AD888" s="110"/>
      <c r="AE888" s="110"/>
      <c r="AF888" s="110"/>
      <c r="AG888" s="110"/>
      <c r="AH888" s="110"/>
      <c r="AI888" s="110"/>
    </row>
    <row r="889" spans="1:35" ht="13.5" customHeight="1">
      <c r="A889" s="4"/>
      <c r="B889" s="15" t="s">
        <v>5204</v>
      </c>
      <c r="C889" s="340" t="s">
        <v>5205</v>
      </c>
      <c r="D889" s="254"/>
      <c r="E889" s="341">
        <f>SUMIF(GL!$D$6:$D$6487,B889,GL!$H$6:$H$6487)</f>
        <v>0</v>
      </c>
      <c r="F889" s="341">
        <f>SUMIF(GL!$D$6:$D$6487,B889,GL!$I$6:$I$6487)</f>
        <v>0</v>
      </c>
      <c r="G889" s="341"/>
      <c r="H889" s="341"/>
      <c r="I889" s="341">
        <f t="shared" si="971"/>
        <v>0</v>
      </c>
      <c r="J889" s="341">
        <f t="shared" si="972"/>
        <v>0</v>
      </c>
      <c r="K889" s="341"/>
      <c r="L889" s="342"/>
      <c r="M889" s="342"/>
      <c r="N889" s="341">
        <f t="shared" si="973"/>
        <v>0</v>
      </c>
      <c r="O889" s="341">
        <f t="shared" si="974"/>
        <v>0</v>
      </c>
      <c r="P889" s="341">
        <f>SUMIF(GL!$D$6488:$D$6532,B889,GL!$H$6488:$H$6532)</f>
        <v>0</v>
      </c>
      <c r="Q889" s="341">
        <f>SUMIF(GL!$D$6408:$D$6452,B889,GL!$I$6408:$I$6452)</f>
        <v>0</v>
      </c>
      <c r="R889" s="341">
        <f t="shared" ref="R889:S889" si="980">P889+N889</f>
        <v>0</v>
      </c>
      <c r="S889" s="341">
        <f t="shared" si="980"/>
        <v>0</v>
      </c>
      <c r="T889" s="340"/>
      <c r="U889" s="340"/>
      <c r="V889" s="340"/>
      <c r="W889" s="340"/>
      <c r="X889" s="341">
        <f t="shared" si="976"/>
        <v>0</v>
      </c>
      <c r="Y889" s="341">
        <f t="shared" si="977"/>
        <v>0</v>
      </c>
      <c r="Z889" s="331"/>
      <c r="AA889" s="110"/>
      <c r="AB889" s="332"/>
      <c r="AC889" s="332"/>
      <c r="AD889" s="110"/>
      <c r="AE889" s="110"/>
      <c r="AF889" s="110"/>
      <c r="AG889" s="110"/>
      <c r="AH889" s="110"/>
      <c r="AI889" s="110"/>
    </row>
    <row r="890" spans="1:35" ht="13.5" customHeight="1">
      <c r="A890" s="4"/>
      <c r="B890" s="15" t="s">
        <v>5206</v>
      </c>
      <c r="C890" s="340" t="s">
        <v>5207</v>
      </c>
      <c r="D890" s="254"/>
      <c r="E890" s="341">
        <f>SUMIF(GL!$D$6:$D$6487,B890,GL!$H$6:$H$6487)</f>
        <v>0</v>
      </c>
      <c r="F890" s="341">
        <f>SUMIF(GL!$D$6:$D$6487,B890,GL!$I$6:$I$6487)</f>
        <v>0</v>
      </c>
      <c r="G890" s="341"/>
      <c r="H890" s="341"/>
      <c r="I890" s="341">
        <f t="shared" si="971"/>
        <v>0</v>
      </c>
      <c r="J890" s="341">
        <f t="shared" si="972"/>
        <v>0</v>
      </c>
      <c r="K890" s="341"/>
      <c r="L890" s="342"/>
      <c r="M890" s="342"/>
      <c r="N890" s="341">
        <f t="shared" si="973"/>
        <v>0</v>
      </c>
      <c r="O890" s="341">
        <f t="shared" si="974"/>
        <v>0</v>
      </c>
      <c r="P890" s="341">
        <f>SUMIF(GL!$D$6488:$D$6532,B890,GL!$H$6488:$H$6532)</f>
        <v>0</v>
      </c>
      <c r="Q890" s="341">
        <f>SUMIF(GL!$D$6408:$D$6452,B890,GL!$I$6408:$I$6452)</f>
        <v>0</v>
      </c>
      <c r="R890" s="341">
        <f t="shared" ref="R890:S890" si="981">P890+N890</f>
        <v>0</v>
      </c>
      <c r="S890" s="341">
        <f t="shared" si="981"/>
        <v>0</v>
      </c>
      <c r="T890" s="340"/>
      <c r="U890" s="340"/>
      <c r="V890" s="340"/>
      <c r="W890" s="340"/>
      <c r="X890" s="341">
        <f t="shared" si="976"/>
        <v>0</v>
      </c>
      <c r="Y890" s="341">
        <f t="shared" si="977"/>
        <v>0</v>
      </c>
      <c r="Z890" s="331"/>
      <c r="AA890" s="110"/>
      <c r="AB890" s="332"/>
      <c r="AC890" s="332"/>
      <c r="AD890" s="110"/>
      <c r="AE890" s="110"/>
      <c r="AF890" s="110"/>
      <c r="AG890" s="110"/>
      <c r="AH890" s="110"/>
      <c r="AI890" s="110"/>
    </row>
    <row r="891" spans="1:35" ht="13.5" customHeight="1">
      <c r="A891" s="4"/>
      <c r="B891" s="15" t="s">
        <v>5208</v>
      </c>
      <c r="C891" s="340" t="s">
        <v>5209</v>
      </c>
      <c r="D891" s="254"/>
      <c r="E891" s="341">
        <f>SUMIF(GL!$D$6:$D$6487,B891,GL!$H$6:$H$6487)</f>
        <v>0</v>
      </c>
      <c r="F891" s="341">
        <f>SUMIF(GL!$D$6:$D$6487,B891,GL!$I$6:$I$6487)</f>
        <v>0</v>
      </c>
      <c r="G891" s="341"/>
      <c r="H891" s="341"/>
      <c r="I891" s="341">
        <f t="shared" si="971"/>
        <v>0</v>
      </c>
      <c r="J891" s="341">
        <f t="shared" si="972"/>
        <v>0</v>
      </c>
      <c r="K891" s="341"/>
      <c r="L891" s="342"/>
      <c r="M891" s="342"/>
      <c r="N891" s="341">
        <f t="shared" si="973"/>
        <v>0</v>
      </c>
      <c r="O891" s="341">
        <f t="shared" si="974"/>
        <v>0</v>
      </c>
      <c r="P891" s="341">
        <f>SUMIF(GL!$D$6488:$D$6532,B891,GL!$H$6488:$H$6532)</f>
        <v>0</v>
      </c>
      <c r="Q891" s="341">
        <f>SUMIF(GL!$D$6408:$D$6452,B891,GL!$I$6408:$I$6452)</f>
        <v>0</v>
      </c>
      <c r="R891" s="341">
        <f t="shared" ref="R891:S891" si="982">P891+N891</f>
        <v>0</v>
      </c>
      <c r="S891" s="341">
        <f t="shared" si="982"/>
        <v>0</v>
      </c>
      <c r="T891" s="340"/>
      <c r="U891" s="340"/>
      <c r="V891" s="340"/>
      <c r="W891" s="340"/>
      <c r="X891" s="341">
        <f t="shared" si="976"/>
        <v>0</v>
      </c>
      <c r="Y891" s="341">
        <f t="shared" si="977"/>
        <v>0</v>
      </c>
      <c r="Z891" s="331"/>
      <c r="AA891" s="110"/>
      <c r="AB891" s="332"/>
      <c r="AC891" s="332"/>
      <c r="AD891" s="110"/>
      <c r="AE891" s="110"/>
      <c r="AF891" s="110"/>
      <c r="AG891" s="110"/>
      <c r="AH891" s="110"/>
      <c r="AI891" s="110"/>
    </row>
    <row r="892" spans="1:35" ht="13.5" customHeight="1">
      <c r="A892" s="2"/>
      <c r="B892" s="127" t="s">
        <v>5210</v>
      </c>
      <c r="C892" s="22" t="s">
        <v>5211</v>
      </c>
      <c r="D892" s="322"/>
      <c r="E892" s="338">
        <f t="shared" ref="E892:F892" si="983">SUM(E886:E891)</f>
        <v>40601484</v>
      </c>
      <c r="F892" s="338">
        <f t="shared" si="983"/>
        <v>207874507.037</v>
      </c>
      <c r="G892" s="338"/>
      <c r="H892" s="338"/>
      <c r="I892" s="338">
        <f t="shared" ref="I892:M892" si="984">SUM(I886:I891)</f>
        <v>1318506.56</v>
      </c>
      <c r="J892" s="338">
        <f t="shared" si="984"/>
        <v>168591529.597</v>
      </c>
      <c r="K892" s="338">
        <f t="shared" si="984"/>
        <v>0</v>
      </c>
      <c r="L892" s="338">
        <f t="shared" si="984"/>
        <v>0</v>
      </c>
      <c r="M892" s="338">
        <f t="shared" si="984"/>
        <v>695216319</v>
      </c>
      <c r="N892" s="338">
        <f t="shared" ref="N892:W892" si="985">SUM(N886:N890)</f>
        <v>0</v>
      </c>
      <c r="O892" s="338">
        <f t="shared" si="985"/>
        <v>862489342.03700006</v>
      </c>
      <c r="P892" s="338">
        <f t="shared" si="985"/>
        <v>0</v>
      </c>
      <c r="Q892" s="338">
        <f t="shared" si="985"/>
        <v>0</v>
      </c>
      <c r="R892" s="338">
        <f t="shared" si="985"/>
        <v>0</v>
      </c>
      <c r="S892" s="338">
        <f t="shared" si="985"/>
        <v>862489342.03700006</v>
      </c>
      <c r="T892" s="338">
        <f t="shared" si="985"/>
        <v>0</v>
      </c>
      <c r="U892" s="338">
        <f t="shared" si="985"/>
        <v>0</v>
      </c>
      <c r="V892" s="338">
        <f t="shared" si="985"/>
        <v>0</v>
      </c>
      <c r="W892" s="338">
        <f t="shared" si="985"/>
        <v>0</v>
      </c>
      <c r="X892" s="338">
        <f t="shared" ref="X892:Y892" si="986">SUM(X886:X891)</f>
        <v>0</v>
      </c>
      <c r="Y892" s="338">
        <f t="shared" si="986"/>
        <v>862489342.03700006</v>
      </c>
      <c r="Z892" s="331"/>
      <c r="AA892" s="110"/>
      <c r="AB892" s="332"/>
      <c r="AC892" s="332"/>
      <c r="AD892" s="110"/>
      <c r="AE892" s="110"/>
      <c r="AF892" s="110"/>
      <c r="AG892" s="110"/>
      <c r="AH892" s="110"/>
      <c r="AI892" s="110"/>
    </row>
    <row r="893" spans="1:35" ht="13.5" customHeight="1">
      <c r="A893" s="4"/>
      <c r="B893" s="15"/>
      <c r="C893" s="340"/>
      <c r="D893" s="254"/>
      <c r="E893" s="341"/>
      <c r="F893" s="341"/>
      <c r="G893" s="341"/>
      <c r="H893" s="341"/>
      <c r="I893" s="341"/>
      <c r="J893" s="341"/>
      <c r="K893" s="341"/>
      <c r="L893" s="341"/>
      <c r="M893" s="341"/>
      <c r="N893" s="341"/>
      <c r="O893" s="341"/>
      <c r="P893" s="341"/>
      <c r="Q893" s="341"/>
      <c r="R893" s="341"/>
      <c r="S893" s="341"/>
      <c r="T893" s="340"/>
      <c r="U893" s="340"/>
      <c r="V893" s="340"/>
      <c r="W893" s="340"/>
      <c r="X893" s="346"/>
      <c r="Y893" s="346"/>
      <c r="Z893" s="331"/>
      <c r="AA893" s="110"/>
      <c r="AB893" s="332"/>
      <c r="AC893" s="332"/>
      <c r="AD893" s="110"/>
      <c r="AE893" s="110"/>
      <c r="AF893" s="110"/>
      <c r="AG893" s="110"/>
      <c r="AH893" s="110"/>
      <c r="AI893" s="110"/>
    </row>
    <row r="894" spans="1:35" ht="13.5" customHeight="1">
      <c r="A894" s="2"/>
      <c r="B894" s="127" t="s">
        <v>5212</v>
      </c>
      <c r="C894" s="22" t="s">
        <v>5213</v>
      </c>
      <c r="D894" s="322"/>
      <c r="E894" s="338"/>
      <c r="F894" s="338"/>
      <c r="G894" s="338"/>
      <c r="H894" s="338"/>
      <c r="I894" s="338"/>
      <c r="J894" s="338"/>
      <c r="K894" s="338"/>
      <c r="L894" s="338"/>
      <c r="M894" s="338"/>
      <c r="N894" s="338"/>
      <c r="O894" s="338"/>
      <c r="P894" s="341"/>
      <c r="Q894" s="341"/>
      <c r="R894" s="338"/>
      <c r="S894" s="338"/>
      <c r="T894" s="22"/>
      <c r="U894" s="22"/>
      <c r="V894" s="22"/>
      <c r="W894" s="22"/>
      <c r="X894" s="339"/>
      <c r="Y894" s="339"/>
      <c r="Z894" s="331"/>
      <c r="AA894" s="110"/>
      <c r="AB894" s="332"/>
      <c r="AC894" s="332"/>
      <c r="AD894" s="110"/>
      <c r="AE894" s="110"/>
      <c r="AF894" s="110"/>
      <c r="AG894" s="110"/>
      <c r="AH894" s="110"/>
      <c r="AI894" s="110"/>
    </row>
    <row r="895" spans="1:35" ht="13.5" customHeight="1">
      <c r="A895" s="4"/>
      <c r="B895" s="15" t="s">
        <v>5214</v>
      </c>
      <c r="C895" s="340" t="s">
        <v>5215</v>
      </c>
      <c r="D895" s="254"/>
      <c r="E895" s="341">
        <f>SUMIF(GL!$D$6:$D$6487,B895,GL!$H$6:$H$6487)</f>
        <v>0</v>
      </c>
      <c r="F895" s="341">
        <f>SUMIF(GL!$D$6:$D$6487,B895,GL!$I$6:$I$6487)</f>
        <v>0</v>
      </c>
      <c r="G895" s="341"/>
      <c r="H895" s="341"/>
      <c r="I895" s="341">
        <f t="shared" ref="I895:I900" si="987">IF(E895&gt;F895,E895-F895,0)</f>
        <v>0</v>
      </c>
      <c r="J895" s="341">
        <f t="shared" ref="J895:J900" si="988">IF(F895&gt;E895,F895-E895,0)</f>
        <v>0</v>
      </c>
      <c r="K895" s="341"/>
      <c r="L895" s="342"/>
      <c r="M895" s="342">
        <v>3290258713</v>
      </c>
      <c r="N895" s="341">
        <f t="shared" ref="N895:N900" si="989">IF(I895+L895&gt;J895+M895,(I895+L895)-(J895+M895),0)</f>
        <v>0</v>
      </c>
      <c r="O895" s="341">
        <f t="shared" ref="O895:O900" si="990">IF(J895+M895&gt;I895+L895,(J895+M895)-(I895+L895),0)</f>
        <v>3290258713</v>
      </c>
      <c r="P895" s="341">
        <f>SUMIF(GL!$D$6488:$D$6532,B895,GL!$H$6488:$H$6532)</f>
        <v>0</v>
      </c>
      <c r="Q895" s="341">
        <f>SUMIF(GL!$D$6408:$D$6452,B895,GL!$I$6408:$I$6452)</f>
        <v>0</v>
      </c>
      <c r="R895" s="341">
        <f t="shared" ref="R895:S895" si="991">P895+N895</f>
        <v>0</v>
      </c>
      <c r="S895" s="341">
        <f t="shared" si="991"/>
        <v>3290258713</v>
      </c>
      <c r="T895" s="340"/>
      <c r="U895" s="340"/>
      <c r="V895" s="340"/>
      <c r="W895" s="340"/>
      <c r="X895" s="341">
        <f t="shared" ref="X895:X900" si="992">IF(R895&gt;S895,R895-S895,0)</f>
        <v>0</v>
      </c>
      <c r="Y895" s="341">
        <f t="shared" ref="Y895:Y900" si="993">IF(S895&gt;R895,S895-R895,0)</f>
        <v>3290258713</v>
      </c>
      <c r="Z895" s="331"/>
      <c r="AA895" s="110"/>
      <c r="AB895" s="332"/>
      <c r="AC895" s="332"/>
      <c r="AD895" s="110"/>
      <c r="AE895" s="110"/>
      <c r="AF895" s="110"/>
      <c r="AG895" s="110"/>
      <c r="AH895" s="110"/>
      <c r="AI895" s="110"/>
    </row>
    <row r="896" spans="1:35" ht="13.5" customHeight="1">
      <c r="A896" s="4"/>
      <c r="B896" s="24" t="s">
        <v>1729</v>
      </c>
      <c r="C896" s="340" t="s">
        <v>3667</v>
      </c>
      <c r="D896" s="254"/>
      <c r="E896" s="341">
        <f>SUMIF(GL!$D$6:$D$6487,B896,GL!$H$6:$H$6487)</f>
        <v>219590325</v>
      </c>
      <c r="F896" s="341">
        <f>SUMIF(GL!$D$6:$D$6487,B896,GL!$I$6:$I$6487)</f>
        <v>88090000</v>
      </c>
      <c r="G896" s="341"/>
      <c r="H896" s="341"/>
      <c r="I896" s="341">
        <f t="shared" si="987"/>
        <v>131500325</v>
      </c>
      <c r="J896" s="341">
        <f t="shared" si="988"/>
        <v>0</v>
      </c>
      <c r="K896" s="341"/>
      <c r="L896" s="342"/>
      <c r="M896" s="342">
        <v>2786893992</v>
      </c>
      <c r="N896" s="341">
        <f t="shared" si="989"/>
        <v>0</v>
      </c>
      <c r="O896" s="341">
        <f t="shared" si="990"/>
        <v>2655393667</v>
      </c>
      <c r="P896" s="341">
        <f>SUMIF(GL!$D$6488:$D$6532,B896,GL!$H$6488:$H$6532)</f>
        <v>0</v>
      </c>
      <c r="Q896" s="341">
        <f>SUMIF(GL!$D$6408:$D$6452,B896,GL!$I$6408:$I$6452)</f>
        <v>0</v>
      </c>
      <c r="R896" s="341">
        <f t="shared" ref="R896:S896" si="994">P896+N896</f>
        <v>0</v>
      </c>
      <c r="S896" s="341">
        <f t="shared" si="994"/>
        <v>2655393667</v>
      </c>
      <c r="T896" s="340"/>
      <c r="U896" s="340"/>
      <c r="V896" s="340"/>
      <c r="W896" s="340"/>
      <c r="X896" s="341">
        <f t="shared" si="992"/>
        <v>0</v>
      </c>
      <c r="Y896" s="341">
        <f t="shared" si="993"/>
        <v>2655393667</v>
      </c>
      <c r="Z896" s="331"/>
      <c r="AA896" s="110"/>
      <c r="AB896" s="332"/>
      <c r="AC896" s="332"/>
      <c r="AD896" s="110"/>
      <c r="AE896" s="110"/>
      <c r="AF896" s="110"/>
      <c r="AG896" s="110"/>
      <c r="AH896" s="110"/>
      <c r="AI896" s="110"/>
    </row>
    <row r="897" spans="1:35" ht="13.5" customHeight="1">
      <c r="A897" s="4"/>
      <c r="B897" s="15" t="s">
        <v>5216</v>
      </c>
      <c r="C897" s="340" t="s">
        <v>5217</v>
      </c>
      <c r="D897" s="254"/>
      <c r="E897" s="341">
        <f>SUMIF(GL!$D$6:$D$6487,B897,GL!$H$6:$H$6487)</f>
        <v>0</v>
      </c>
      <c r="F897" s="341">
        <f>SUMIF(GL!$D$6:$D$6487,B897,GL!$I$6:$I$6487)</f>
        <v>0</v>
      </c>
      <c r="G897" s="341"/>
      <c r="H897" s="341"/>
      <c r="I897" s="341">
        <f t="shared" si="987"/>
        <v>0</v>
      </c>
      <c r="J897" s="341">
        <f t="shared" si="988"/>
        <v>0</v>
      </c>
      <c r="K897" s="341"/>
      <c r="L897" s="342"/>
      <c r="M897" s="342"/>
      <c r="N897" s="341">
        <f t="shared" si="989"/>
        <v>0</v>
      </c>
      <c r="O897" s="341">
        <f t="shared" si="990"/>
        <v>0</v>
      </c>
      <c r="P897" s="341">
        <f>SUMIF(GL!$D$6488:$D$6532,B897,GL!$H$6488:$H$6532)</f>
        <v>0</v>
      </c>
      <c r="Q897" s="341">
        <f>SUMIF(GL!$D$6408:$D$6452,B897,GL!$I$6408:$I$6452)</f>
        <v>0</v>
      </c>
      <c r="R897" s="341">
        <f t="shared" ref="R897:S897" si="995">P897+N897</f>
        <v>0</v>
      </c>
      <c r="S897" s="341">
        <f t="shared" si="995"/>
        <v>0</v>
      </c>
      <c r="T897" s="340"/>
      <c r="U897" s="340"/>
      <c r="V897" s="340"/>
      <c r="W897" s="340"/>
      <c r="X897" s="341">
        <f t="shared" si="992"/>
        <v>0</v>
      </c>
      <c r="Y897" s="341">
        <f t="shared" si="993"/>
        <v>0</v>
      </c>
      <c r="Z897" s="331"/>
      <c r="AA897" s="110"/>
      <c r="AB897" s="332"/>
      <c r="AC897" s="332"/>
      <c r="AD897" s="110"/>
      <c r="AE897" s="110"/>
      <c r="AF897" s="110"/>
      <c r="AG897" s="110"/>
      <c r="AH897" s="110"/>
      <c r="AI897" s="110"/>
    </row>
    <row r="898" spans="1:35" ht="13.5" customHeight="1">
      <c r="A898" s="2"/>
      <c r="B898" s="15" t="s">
        <v>5218</v>
      </c>
      <c r="C898" s="340" t="s">
        <v>5219</v>
      </c>
      <c r="D898" s="322"/>
      <c r="E898" s="341">
        <f>SUMIF(GL!$D$6:$D$6487,B898,GL!$H$6:$H$6487)</f>
        <v>0</v>
      </c>
      <c r="F898" s="341">
        <f>SUMIF(GL!$D$6:$D$6487,B898,GL!$I$6:$I$6487)</f>
        <v>0</v>
      </c>
      <c r="G898" s="341"/>
      <c r="H898" s="341"/>
      <c r="I898" s="341">
        <f t="shared" si="987"/>
        <v>0</v>
      </c>
      <c r="J898" s="341">
        <f t="shared" si="988"/>
        <v>0</v>
      </c>
      <c r="K898" s="341"/>
      <c r="L898" s="345"/>
      <c r="M898" s="342">
        <v>771046887</v>
      </c>
      <c r="N898" s="341">
        <f t="shared" si="989"/>
        <v>0</v>
      </c>
      <c r="O898" s="341">
        <f t="shared" si="990"/>
        <v>771046887</v>
      </c>
      <c r="P898" s="341">
        <f>SUMIF(GL!$D$6488:$D$6532,B898,GL!$H$6488:$H$6532)</f>
        <v>0</v>
      </c>
      <c r="Q898" s="341">
        <f>SUMIF(GL!$D$6408:$D$6452,B898,GL!$I$6408:$I$6452)</f>
        <v>0</v>
      </c>
      <c r="R898" s="341">
        <f t="shared" ref="R898:S898" si="996">P898+N898</f>
        <v>0</v>
      </c>
      <c r="S898" s="341">
        <f t="shared" si="996"/>
        <v>771046887</v>
      </c>
      <c r="T898" s="340"/>
      <c r="U898" s="340"/>
      <c r="V898" s="340"/>
      <c r="W898" s="340"/>
      <c r="X898" s="341">
        <f t="shared" si="992"/>
        <v>0</v>
      </c>
      <c r="Y898" s="341">
        <f t="shared" si="993"/>
        <v>771046887</v>
      </c>
      <c r="Z898" s="331"/>
      <c r="AA898" s="110"/>
      <c r="AB898" s="332"/>
      <c r="AC898" s="332"/>
      <c r="AD898" s="110"/>
      <c r="AE898" s="110"/>
      <c r="AF898" s="110"/>
      <c r="AG898" s="110"/>
      <c r="AH898" s="110"/>
      <c r="AI898" s="110"/>
    </row>
    <row r="899" spans="1:35" ht="13.5" customHeight="1">
      <c r="A899" s="2"/>
      <c r="B899" s="68" t="s">
        <v>5220</v>
      </c>
      <c r="C899" s="340" t="s">
        <v>5221</v>
      </c>
      <c r="D899" s="322"/>
      <c r="E899" s="341">
        <f>SUMIF(GL!$D$6:$D$6487,B899,GL!$H$6:$H$6487)</f>
        <v>0</v>
      </c>
      <c r="F899" s="341">
        <f>SUMIF(GL!$D$6:$D$6487,B899,GL!$I$6:$I$6487)</f>
        <v>0</v>
      </c>
      <c r="G899" s="341"/>
      <c r="H899" s="341"/>
      <c r="I899" s="341">
        <f t="shared" si="987"/>
        <v>0</v>
      </c>
      <c r="J899" s="341">
        <f t="shared" si="988"/>
        <v>0</v>
      </c>
      <c r="K899" s="338"/>
      <c r="L899" s="342"/>
      <c r="M899" s="345"/>
      <c r="N899" s="341">
        <f t="shared" si="989"/>
        <v>0</v>
      </c>
      <c r="O899" s="341">
        <f t="shared" si="990"/>
        <v>0</v>
      </c>
      <c r="P899" s="341">
        <f>SUMIF(GL!$D$6488:$D$6532,B899,GL!$H$6488:$H$6532)</f>
        <v>0</v>
      </c>
      <c r="Q899" s="341">
        <f>SUMIF(GL!$D$6408:$D$6452,B899,GL!$I$6408:$I$6452)</f>
        <v>0</v>
      </c>
      <c r="R899" s="341">
        <f t="shared" ref="R899:S899" si="997">P899+N899</f>
        <v>0</v>
      </c>
      <c r="S899" s="341">
        <f t="shared" si="997"/>
        <v>0</v>
      </c>
      <c r="T899" s="340"/>
      <c r="U899" s="340"/>
      <c r="V899" s="340"/>
      <c r="W899" s="340"/>
      <c r="X899" s="341">
        <f t="shared" si="992"/>
        <v>0</v>
      </c>
      <c r="Y899" s="341">
        <f t="shared" si="993"/>
        <v>0</v>
      </c>
      <c r="Z899" s="331"/>
      <c r="AA899" s="110"/>
      <c r="AB899" s="332"/>
      <c r="AC899" s="332"/>
      <c r="AD899" s="110"/>
      <c r="AE899" s="110"/>
      <c r="AF899" s="110"/>
      <c r="AG899" s="110"/>
      <c r="AH899" s="110"/>
      <c r="AI899" s="110"/>
    </row>
    <row r="900" spans="1:35" ht="13.5" customHeight="1">
      <c r="A900" s="2"/>
      <c r="B900" s="68" t="s">
        <v>478</v>
      </c>
      <c r="C900" s="340" t="s">
        <v>5222</v>
      </c>
      <c r="D900" s="322"/>
      <c r="E900" s="341">
        <f>SUMIF(GL!$D$6:$D$6487,B900,GL!$H$6:$H$6487)</f>
        <v>130245475.28571428</v>
      </c>
      <c r="F900" s="341">
        <f>SUMIF(GL!$D$6:$D$6487,B900,GL!$I$6:$I$6487)</f>
        <v>0</v>
      </c>
      <c r="G900" s="341"/>
      <c r="H900" s="341"/>
      <c r="I900" s="341">
        <f t="shared" si="987"/>
        <v>130245475.28571428</v>
      </c>
      <c r="J900" s="341">
        <f t="shared" si="988"/>
        <v>0</v>
      </c>
      <c r="K900" s="338"/>
      <c r="L900" s="345"/>
      <c r="M900" s="342">
        <v>4544873403</v>
      </c>
      <c r="N900" s="341">
        <f t="shared" si="989"/>
        <v>0</v>
      </c>
      <c r="O900" s="341">
        <f t="shared" si="990"/>
        <v>4414627927.7142859</v>
      </c>
      <c r="P900" s="341">
        <f>SUMIF(GL!$D$6488:$D$6532,B900,GL!$H$6488:$H$6532)</f>
        <v>0</v>
      </c>
      <c r="Q900" s="341">
        <f>SUMIF(GL!$D$6408:$D$6452,B900,GL!$I$6408:$I$6452)</f>
        <v>0</v>
      </c>
      <c r="R900" s="341">
        <f t="shared" ref="R900:S900" si="998">P900+N900</f>
        <v>0</v>
      </c>
      <c r="S900" s="341">
        <f t="shared" si="998"/>
        <v>4414627927.7142859</v>
      </c>
      <c r="T900" s="340"/>
      <c r="U900" s="340"/>
      <c r="V900" s="340"/>
      <c r="W900" s="340"/>
      <c r="X900" s="341">
        <f t="shared" si="992"/>
        <v>0</v>
      </c>
      <c r="Y900" s="341">
        <f t="shared" si="993"/>
        <v>4414627927.7142859</v>
      </c>
      <c r="Z900" s="331"/>
      <c r="AA900" s="110"/>
      <c r="AB900" s="332"/>
      <c r="AC900" s="332"/>
      <c r="AD900" s="110"/>
      <c r="AE900" s="110"/>
      <c r="AF900" s="110"/>
      <c r="AG900" s="110"/>
      <c r="AH900" s="110"/>
      <c r="AI900" s="110"/>
    </row>
    <row r="901" spans="1:35" ht="13.5" customHeight="1">
      <c r="A901" s="2"/>
      <c r="B901" s="127" t="s">
        <v>5223</v>
      </c>
      <c r="C901" s="22" t="s">
        <v>5224</v>
      </c>
      <c r="D901" s="322"/>
      <c r="E901" s="338">
        <f t="shared" ref="E901:Y901" si="999">SUM(E895:E900)</f>
        <v>349835800.28571427</v>
      </c>
      <c r="F901" s="338">
        <f t="shared" si="999"/>
        <v>88090000</v>
      </c>
      <c r="G901" s="338">
        <f t="shared" si="999"/>
        <v>0</v>
      </c>
      <c r="H901" s="338">
        <f t="shared" si="999"/>
        <v>0</v>
      </c>
      <c r="I901" s="338">
        <f t="shared" si="999"/>
        <v>261745800.28571427</v>
      </c>
      <c r="J901" s="338">
        <f t="shared" si="999"/>
        <v>0</v>
      </c>
      <c r="K901" s="338">
        <f t="shared" si="999"/>
        <v>0</v>
      </c>
      <c r="L901" s="338">
        <f t="shared" si="999"/>
        <v>0</v>
      </c>
      <c r="M901" s="338">
        <f t="shared" si="999"/>
        <v>11393072995</v>
      </c>
      <c r="N901" s="338">
        <f t="shared" si="999"/>
        <v>0</v>
      </c>
      <c r="O901" s="338">
        <f t="shared" si="999"/>
        <v>11131327194.714287</v>
      </c>
      <c r="P901" s="338">
        <f t="shared" si="999"/>
        <v>0</v>
      </c>
      <c r="Q901" s="338">
        <f t="shared" si="999"/>
        <v>0</v>
      </c>
      <c r="R901" s="338">
        <f t="shared" si="999"/>
        <v>0</v>
      </c>
      <c r="S901" s="338">
        <f t="shared" si="999"/>
        <v>11131327194.714287</v>
      </c>
      <c r="T901" s="338">
        <f t="shared" si="999"/>
        <v>0</v>
      </c>
      <c r="U901" s="338">
        <f t="shared" si="999"/>
        <v>0</v>
      </c>
      <c r="V901" s="338">
        <f t="shared" si="999"/>
        <v>0</v>
      </c>
      <c r="W901" s="338">
        <f t="shared" si="999"/>
        <v>0</v>
      </c>
      <c r="X901" s="338">
        <f t="shared" si="999"/>
        <v>0</v>
      </c>
      <c r="Y901" s="338">
        <f t="shared" si="999"/>
        <v>11131327194.714287</v>
      </c>
      <c r="Z901" s="331"/>
      <c r="AA901" s="110"/>
      <c r="AB901" s="332"/>
      <c r="AC901" s="332"/>
      <c r="AD901" s="110"/>
      <c r="AE901" s="110"/>
      <c r="AF901" s="110"/>
      <c r="AG901" s="110"/>
      <c r="AH901" s="110"/>
      <c r="AI901" s="110"/>
    </row>
    <row r="902" spans="1:35" ht="13.5" customHeight="1">
      <c r="A902" s="4"/>
      <c r="B902" s="15"/>
      <c r="C902" s="340"/>
      <c r="D902" s="254"/>
      <c r="E902" s="341"/>
      <c r="F902" s="341"/>
      <c r="G902" s="341"/>
      <c r="H902" s="341"/>
      <c r="I902" s="341"/>
      <c r="J902" s="341"/>
      <c r="K902" s="341"/>
      <c r="L902" s="341"/>
      <c r="M902" s="341"/>
      <c r="N902" s="341"/>
      <c r="O902" s="341"/>
      <c r="P902" s="341"/>
      <c r="Q902" s="341"/>
      <c r="R902" s="341"/>
      <c r="S902" s="341"/>
      <c r="T902" s="340"/>
      <c r="U902" s="340"/>
      <c r="V902" s="340"/>
      <c r="W902" s="340"/>
      <c r="X902" s="346"/>
      <c r="Y902" s="346"/>
      <c r="Z902" s="331"/>
      <c r="AA902" s="110"/>
      <c r="AB902" s="332"/>
      <c r="AC902" s="332"/>
      <c r="AD902" s="110"/>
      <c r="AE902" s="110"/>
      <c r="AF902" s="110"/>
      <c r="AG902" s="110"/>
      <c r="AH902" s="110"/>
      <c r="AI902" s="110"/>
    </row>
    <row r="903" spans="1:35" ht="13.5" customHeight="1">
      <c r="A903" s="4"/>
      <c r="B903" s="127" t="s">
        <v>5225</v>
      </c>
      <c r="C903" s="348" t="s">
        <v>5226</v>
      </c>
      <c r="D903" s="349"/>
      <c r="E903" s="350">
        <f t="shared" ref="E903:J903" si="1000">E901+E892+E883+E868</f>
        <v>1806234030.8277142</v>
      </c>
      <c r="F903" s="350">
        <f t="shared" si="1000"/>
        <v>1645188063.1670001</v>
      </c>
      <c r="G903" s="350">
        <f t="shared" si="1000"/>
        <v>0</v>
      </c>
      <c r="H903" s="350">
        <f t="shared" si="1000"/>
        <v>0</v>
      </c>
      <c r="I903" s="350">
        <f t="shared" si="1000"/>
        <v>358971383.71571416</v>
      </c>
      <c r="J903" s="350">
        <f t="shared" si="1000"/>
        <v>197925416.05500001</v>
      </c>
      <c r="K903" s="350"/>
      <c r="L903" s="350">
        <f>L901</f>
        <v>0</v>
      </c>
      <c r="M903" s="338">
        <f>M868+M892+M901+M883</f>
        <v>16253428100</v>
      </c>
      <c r="N903" s="350">
        <f t="shared" ref="N903:Y903" si="1001">N901+N892+N883+N868</f>
        <v>0</v>
      </c>
      <c r="O903" s="350">
        <f t="shared" si="1001"/>
        <v>16092382132.339287</v>
      </c>
      <c r="P903" s="350">
        <f t="shared" si="1001"/>
        <v>0</v>
      </c>
      <c r="Q903" s="350">
        <f t="shared" si="1001"/>
        <v>0</v>
      </c>
      <c r="R903" s="350">
        <f t="shared" si="1001"/>
        <v>0</v>
      </c>
      <c r="S903" s="350">
        <f t="shared" si="1001"/>
        <v>16092382132.339287</v>
      </c>
      <c r="T903" s="350">
        <f t="shared" si="1001"/>
        <v>0</v>
      </c>
      <c r="U903" s="350">
        <f t="shared" si="1001"/>
        <v>0</v>
      </c>
      <c r="V903" s="350">
        <f t="shared" si="1001"/>
        <v>0</v>
      </c>
      <c r="W903" s="350">
        <f t="shared" si="1001"/>
        <v>0</v>
      </c>
      <c r="X903" s="338">
        <f t="shared" si="1001"/>
        <v>0</v>
      </c>
      <c r="Y903" s="338">
        <f t="shared" si="1001"/>
        <v>16092382132.339287</v>
      </c>
      <c r="Z903" s="331"/>
      <c r="AA903" s="110"/>
      <c r="AB903" s="332"/>
      <c r="AC903" s="332"/>
      <c r="AD903" s="110"/>
      <c r="AE903" s="110"/>
      <c r="AF903" s="110"/>
      <c r="AG903" s="110"/>
      <c r="AH903" s="110"/>
      <c r="AI903" s="110"/>
    </row>
    <row r="904" spans="1:35" ht="13.5" customHeight="1">
      <c r="A904" s="4"/>
      <c r="B904" s="15"/>
      <c r="C904" s="340"/>
      <c r="D904" s="254"/>
      <c r="E904" s="341"/>
      <c r="F904" s="341"/>
      <c r="G904" s="341"/>
      <c r="H904" s="341"/>
      <c r="I904" s="341"/>
      <c r="J904" s="341"/>
      <c r="K904" s="341"/>
      <c r="L904" s="341"/>
      <c r="M904" s="341"/>
      <c r="N904" s="341"/>
      <c r="O904" s="341"/>
      <c r="P904" s="341"/>
      <c r="Q904" s="341"/>
      <c r="R904" s="341"/>
      <c r="S904" s="341"/>
      <c r="T904" s="340"/>
      <c r="U904" s="340"/>
      <c r="V904" s="340"/>
      <c r="W904" s="340"/>
      <c r="X904" s="346"/>
      <c r="Y904" s="346"/>
      <c r="Z904" s="331"/>
      <c r="AA904" s="344"/>
      <c r="AB904" s="332"/>
      <c r="AC904" s="332"/>
      <c r="AD904" s="110"/>
      <c r="AE904" s="110"/>
      <c r="AF904" s="110"/>
      <c r="AG904" s="110"/>
      <c r="AH904" s="110"/>
      <c r="AI904" s="110"/>
    </row>
    <row r="905" spans="1:35" ht="13.5" customHeight="1">
      <c r="A905" s="2"/>
      <c r="B905" s="127" t="s">
        <v>5227</v>
      </c>
      <c r="C905" s="22" t="s">
        <v>5228</v>
      </c>
      <c r="D905" s="322"/>
      <c r="E905" s="338"/>
      <c r="F905" s="338"/>
      <c r="G905" s="338"/>
      <c r="H905" s="338"/>
      <c r="I905" s="338"/>
      <c r="J905" s="338"/>
      <c r="K905" s="338"/>
      <c r="L905" s="338">
        <f t="shared" ref="L905:Y905" si="1002">SUM(L906:L912)</f>
        <v>0</v>
      </c>
      <c r="M905" s="338">
        <f t="shared" si="1002"/>
        <v>12749946622</v>
      </c>
      <c r="N905" s="66">
        <f t="shared" si="1002"/>
        <v>0</v>
      </c>
      <c r="O905" s="66">
        <f t="shared" si="1002"/>
        <v>12749946622</v>
      </c>
      <c r="P905" s="66">
        <f t="shared" si="1002"/>
        <v>0</v>
      </c>
      <c r="Q905" s="66">
        <f t="shared" si="1002"/>
        <v>0</v>
      </c>
      <c r="R905" s="66">
        <f t="shared" si="1002"/>
        <v>0</v>
      </c>
      <c r="S905" s="66">
        <f t="shared" si="1002"/>
        <v>12749946622</v>
      </c>
      <c r="T905" s="66">
        <f t="shared" si="1002"/>
        <v>0</v>
      </c>
      <c r="U905" s="66">
        <f t="shared" si="1002"/>
        <v>0</v>
      </c>
      <c r="V905" s="66">
        <f t="shared" si="1002"/>
        <v>0</v>
      </c>
      <c r="W905" s="66">
        <f t="shared" si="1002"/>
        <v>0</v>
      </c>
      <c r="X905" s="66">
        <f t="shared" si="1002"/>
        <v>0</v>
      </c>
      <c r="Y905" s="66">
        <f t="shared" si="1002"/>
        <v>12749946622</v>
      </c>
      <c r="Z905" s="331"/>
      <c r="AA905" s="110"/>
      <c r="AB905" s="332"/>
      <c r="AC905" s="332"/>
      <c r="AD905" s="110"/>
      <c r="AE905" s="110"/>
      <c r="AF905" s="110"/>
      <c r="AG905" s="110"/>
      <c r="AH905" s="110"/>
      <c r="AI905" s="110"/>
    </row>
    <row r="906" spans="1:35" ht="13.5" customHeight="1">
      <c r="A906" s="4"/>
      <c r="B906" s="15" t="s">
        <v>5229</v>
      </c>
      <c r="C906" s="340" t="s">
        <v>5230</v>
      </c>
      <c r="D906" s="254"/>
      <c r="E906" s="341">
        <f>SUMIF(GL!$D$6:$D$6487,B906,GL!$H$6:$H$6487)</f>
        <v>0</v>
      </c>
      <c r="F906" s="341">
        <f>SUMIF(GL!$D$6:$D$6487,B906,GL!$I$6:$I$6487)</f>
        <v>0</v>
      </c>
      <c r="G906" s="341"/>
      <c r="H906" s="341"/>
      <c r="I906" s="341">
        <f t="shared" ref="I906:I912" si="1003">IF(E906&gt;F906,E906-F906,0)</f>
        <v>0</v>
      </c>
      <c r="J906" s="341">
        <f t="shared" ref="J906:J912" si="1004">IF(F906&gt;E906,F906-E906,0)</f>
        <v>0</v>
      </c>
      <c r="K906" s="341"/>
      <c r="L906" s="341"/>
      <c r="M906" s="341"/>
      <c r="N906" s="341">
        <f t="shared" ref="N906:N912" si="1005">IF(I906+L906&gt;J906+M906,(I906+L906)-(J906+M906),0)</f>
        <v>0</v>
      </c>
      <c r="O906" s="341">
        <f t="shared" ref="O906:O912" si="1006">IF(J906+M906&gt;I906+L906,(J906+M906)-(I906+L906),0)</f>
        <v>0</v>
      </c>
      <c r="P906" s="341">
        <f>SUMIF(GL!$D$6488:$D$6532,B906,GL!$H$6488:$H$6532)</f>
        <v>0</v>
      </c>
      <c r="Q906" s="341">
        <f>SUMIF(GL!$D$6408:$D$6452,B906,GL!$I$6408:$I$6452)</f>
        <v>0</v>
      </c>
      <c r="R906" s="341">
        <f t="shared" ref="R906:S906" si="1007">P906+N906</f>
        <v>0</v>
      </c>
      <c r="S906" s="341">
        <f t="shared" si="1007"/>
        <v>0</v>
      </c>
      <c r="T906" s="340"/>
      <c r="U906" s="340"/>
      <c r="V906" s="340"/>
      <c r="W906" s="340"/>
      <c r="X906" s="341">
        <f t="shared" ref="X906:X912" si="1008">IF(R906&gt;S906,R906-S906,0)</f>
        <v>0</v>
      </c>
      <c r="Y906" s="341">
        <f t="shared" ref="Y906:Y912" si="1009">IF(S906&gt;R906,S906-R906,0)</f>
        <v>0</v>
      </c>
      <c r="Z906" s="331"/>
      <c r="AA906" s="110"/>
      <c r="AB906" s="332"/>
      <c r="AC906" s="332"/>
      <c r="AD906" s="110"/>
      <c r="AE906" s="110"/>
      <c r="AF906" s="110"/>
      <c r="AG906" s="110"/>
      <c r="AH906" s="110"/>
      <c r="AI906" s="110"/>
    </row>
    <row r="907" spans="1:35" ht="13.5" customHeight="1">
      <c r="A907" s="4"/>
      <c r="B907" s="15" t="s">
        <v>5231</v>
      </c>
      <c r="C907" s="340" t="s">
        <v>5232</v>
      </c>
      <c r="D907" s="254"/>
      <c r="E907" s="341">
        <f>SUMIF(GL!$D$6:$D$6487,B907,GL!$H$6:$H$6487)</f>
        <v>0</v>
      </c>
      <c r="F907" s="341">
        <f>SUMIF(GL!$D$6:$D$6487,B907,GL!$I$6:$I$6487)</f>
        <v>0</v>
      </c>
      <c r="G907" s="341"/>
      <c r="H907" s="341"/>
      <c r="I907" s="341">
        <f t="shared" si="1003"/>
        <v>0</v>
      </c>
      <c r="J907" s="341">
        <f t="shared" si="1004"/>
        <v>0</v>
      </c>
      <c r="K907" s="341"/>
      <c r="L907" s="341"/>
      <c r="M907" s="341"/>
      <c r="N907" s="341">
        <f t="shared" si="1005"/>
        <v>0</v>
      </c>
      <c r="O907" s="341">
        <f t="shared" si="1006"/>
        <v>0</v>
      </c>
      <c r="P907" s="341">
        <f>SUMIF(GL!$D$6488:$D$6532,B907,GL!$H$6488:$H$6532)</f>
        <v>0</v>
      </c>
      <c r="Q907" s="341">
        <f>SUMIF(GL!$D$6408:$D$6452,B907,GL!$I$6408:$I$6452)</f>
        <v>0</v>
      </c>
      <c r="R907" s="341">
        <f t="shared" ref="R907:S907" si="1010">P907+N907</f>
        <v>0</v>
      </c>
      <c r="S907" s="341">
        <f t="shared" si="1010"/>
        <v>0</v>
      </c>
      <c r="T907" s="340"/>
      <c r="U907" s="340"/>
      <c r="V907" s="340"/>
      <c r="W907" s="340"/>
      <c r="X907" s="341">
        <f t="shared" si="1008"/>
        <v>0</v>
      </c>
      <c r="Y907" s="341">
        <f t="shared" si="1009"/>
        <v>0</v>
      </c>
      <c r="Z907" s="331"/>
      <c r="AA907" s="110"/>
      <c r="AB907" s="332"/>
      <c r="AC907" s="332"/>
      <c r="AD907" s="110"/>
      <c r="AE907" s="110"/>
      <c r="AF907" s="110"/>
      <c r="AG907" s="110"/>
      <c r="AH907" s="110"/>
      <c r="AI907" s="110"/>
    </row>
    <row r="908" spans="1:35" ht="13.5" customHeight="1">
      <c r="A908" s="4"/>
      <c r="B908" s="15" t="s">
        <v>5233</v>
      </c>
      <c r="C908" s="340" t="s">
        <v>5234</v>
      </c>
      <c r="D908" s="254"/>
      <c r="E908" s="341">
        <f>SUMIF(GL!$D$6:$D$6487,B908,GL!$H$6:$H$6487)</f>
        <v>0</v>
      </c>
      <c r="F908" s="341">
        <f>SUMIF(GL!$D$6:$D$6487,B908,GL!$I$6:$I$6487)</f>
        <v>0</v>
      </c>
      <c r="G908" s="341"/>
      <c r="H908" s="341"/>
      <c r="I908" s="341">
        <f t="shared" si="1003"/>
        <v>0</v>
      </c>
      <c r="J908" s="341">
        <f t="shared" si="1004"/>
        <v>0</v>
      </c>
      <c r="K908" s="341"/>
      <c r="L908" s="341"/>
      <c r="M908" s="341"/>
      <c r="N908" s="341">
        <f t="shared" si="1005"/>
        <v>0</v>
      </c>
      <c r="O908" s="341">
        <f t="shared" si="1006"/>
        <v>0</v>
      </c>
      <c r="P908" s="341">
        <f>SUMIF(GL!$D$6488:$D$6532,B908,GL!$H$6488:$H$6532)</f>
        <v>0</v>
      </c>
      <c r="Q908" s="341">
        <f>SUMIF(GL!$D$6408:$D$6452,B908,GL!$I$6408:$I$6452)</f>
        <v>0</v>
      </c>
      <c r="R908" s="341">
        <f t="shared" ref="R908:S908" si="1011">P908+N908</f>
        <v>0</v>
      </c>
      <c r="S908" s="341">
        <f t="shared" si="1011"/>
        <v>0</v>
      </c>
      <c r="T908" s="340"/>
      <c r="U908" s="340"/>
      <c r="V908" s="340"/>
      <c r="W908" s="340"/>
      <c r="X908" s="341">
        <f t="shared" si="1008"/>
        <v>0</v>
      </c>
      <c r="Y908" s="341">
        <f t="shared" si="1009"/>
        <v>0</v>
      </c>
      <c r="Z908" s="331"/>
      <c r="AA908" s="110"/>
      <c r="AB908" s="332"/>
      <c r="AC908" s="332"/>
      <c r="AD908" s="110"/>
      <c r="AE908" s="110"/>
      <c r="AF908" s="110"/>
      <c r="AG908" s="110"/>
      <c r="AH908" s="110"/>
      <c r="AI908" s="110"/>
    </row>
    <row r="909" spans="1:35" ht="13.5" customHeight="1">
      <c r="A909" s="4"/>
      <c r="B909" s="15" t="s">
        <v>5235</v>
      </c>
      <c r="C909" s="340" t="s">
        <v>5236</v>
      </c>
      <c r="D909" s="254"/>
      <c r="E909" s="341">
        <f>SUMIF(GL!$D$6:$D$6487,B909,GL!$H$6:$H$6487)</f>
        <v>0</v>
      </c>
      <c r="F909" s="341">
        <f>SUMIF(GL!$D$6:$D$6487,B909,GL!$I$6:$I$6487)</f>
        <v>0</v>
      </c>
      <c r="G909" s="341"/>
      <c r="H909" s="341"/>
      <c r="I909" s="341">
        <f t="shared" si="1003"/>
        <v>0</v>
      </c>
      <c r="J909" s="341">
        <f t="shared" si="1004"/>
        <v>0</v>
      </c>
      <c r="K909" s="341"/>
      <c r="L909" s="341"/>
      <c r="M909" s="341">
        <f>12698288660+51657962</f>
        <v>12749946622</v>
      </c>
      <c r="N909" s="341">
        <f t="shared" si="1005"/>
        <v>0</v>
      </c>
      <c r="O909" s="341">
        <f t="shared" si="1006"/>
        <v>12749946622</v>
      </c>
      <c r="P909" s="341">
        <f>SUMIF(GL!$D$6488:$D$6532,B909,GL!$H$6488:$H$6532)</f>
        <v>0</v>
      </c>
      <c r="Q909" s="341">
        <f>SUMIF(GL!$D$6408:$D$6452,B909,GL!$I$6408:$I$6452)</f>
        <v>0</v>
      </c>
      <c r="R909" s="341">
        <f t="shared" ref="R909:S909" si="1012">P909+N909</f>
        <v>0</v>
      </c>
      <c r="S909" s="341">
        <f t="shared" si="1012"/>
        <v>12749946622</v>
      </c>
      <c r="T909" s="340"/>
      <c r="U909" s="340"/>
      <c r="V909" s="340"/>
      <c r="W909" s="340"/>
      <c r="X909" s="341">
        <f t="shared" si="1008"/>
        <v>0</v>
      </c>
      <c r="Y909" s="341">
        <f t="shared" si="1009"/>
        <v>12749946622</v>
      </c>
      <c r="Z909" s="331"/>
      <c r="AA909" s="110"/>
      <c r="AB909" s="332"/>
      <c r="AC909" s="332"/>
      <c r="AD909" s="110"/>
      <c r="AE909" s="110"/>
      <c r="AF909" s="110"/>
      <c r="AG909" s="110"/>
      <c r="AH909" s="110"/>
      <c r="AI909" s="110"/>
    </row>
    <row r="910" spans="1:35" ht="13.5" customHeight="1">
      <c r="A910" s="4"/>
      <c r="B910" s="15" t="s">
        <v>5237</v>
      </c>
      <c r="C910" s="340" t="s">
        <v>5238</v>
      </c>
      <c r="D910" s="254"/>
      <c r="E910" s="341">
        <f>SUMIF(GL!$D$6:$D$6487,B910,GL!$H$6:$H$6487)</f>
        <v>0</v>
      </c>
      <c r="F910" s="341">
        <f>SUMIF(GL!$D$6:$D$6487,B910,GL!$I$6:$I$6487)</f>
        <v>0</v>
      </c>
      <c r="G910" s="341"/>
      <c r="H910" s="341"/>
      <c r="I910" s="341">
        <f t="shared" si="1003"/>
        <v>0</v>
      </c>
      <c r="J910" s="341">
        <f t="shared" si="1004"/>
        <v>0</v>
      </c>
      <c r="K910" s="341"/>
      <c r="L910" s="341"/>
      <c r="M910" s="341"/>
      <c r="N910" s="341">
        <f t="shared" si="1005"/>
        <v>0</v>
      </c>
      <c r="O910" s="341">
        <f t="shared" si="1006"/>
        <v>0</v>
      </c>
      <c r="P910" s="341">
        <f>SUMIF(GL!$D$6488:$D$6532,B910,GL!$H$6488:$H$6532)</f>
        <v>0</v>
      </c>
      <c r="Q910" s="341">
        <f>SUMIF(GL!$D$6408:$D$6452,B910,GL!$I$6408:$I$6452)</f>
        <v>0</v>
      </c>
      <c r="R910" s="341">
        <f t="shared" ref="R910:S910" si="1013">P910+N910</f>
        <v>0</v>
      </c>
      <c r="S910" s="341">
        <f t="shared" si="1013"/>
        <v>0</v>
      </c>
      <c r="T910" s="340"/>
      <c r="U910" s="340"/>
      <c r="V910" s="340"/>
      <c r="W910" s="340"/>
      <c r="X910" s="341">
        <f t="shared" si="1008"/>
        <v>0</v>
      </c>
      <c r="Y910" s="341">
        <f t="shared" si="1009"/>
        <v>0</v>
      </c>
      <c r="Z910" s="331"/>
      <c r="AA910" s="110"/>
      <c r="AB910" s="332"/>
      <c r="AC910" s="332"/>
      <c r="AD910" s="110"/>
      <c r="AE910" s="110"/>
      <c r="AF910" s="110"/>
      <c r="AG910" s="110"/>
      <c r="AH910" s="110"/>
      <c r="AI910" s="110"/>
    </row>
    <row r="911" spans="1:35" ht="13.5" customHeight="1">
      <c r="A911" s="4"/>
      <c r="B911" s="15" t="s">
        <v>5239</v>
      </c>
      <c r="C911" s="340" t="s">
        <v>5240</v>
      </c>
      <c r="D911" s="254"/>
      <c r="E911" s="341">
        <f>SUMIF(GL!$D$6:$D$6487,B911,GL!$H$6:$H$6487)</f>
        <v>0</v>
      </c>
      <c r="F911" s="341">
        <f>SUMIF(GL!$D$6:$D$6487,B911,GL!$I$6:$I$6487)</f>
        <v>0</v>
      </c>
      <c r="G911" s="341"/>
      <c r="H911" s="341"/>
      <c r="I911" s="341">
        <f t="shared" si="1003"/>
        <v>0</v>
      </c>
      <c r="J911" s="341">
        <f t="shared" si="1004"/>
        <v>0</v>
      </c>
      <c r="K911" s="341"/>
      <c r="L911" s="341"/>
      <c r="M911" s="341"/>
      <c r="N911" s="341">
        <f t="shared" si="1005"/>
        <v>0</v>
      </c>
      <c r="O911" s="341">
        <f t="shared" si="1006"/>
        <v>0</v>
      </c>
      <c r="P911" s="341">
        <f>SUMIF(GL!$D$6488:$D$6532,B911,GL!$H$6488:$H$6532)</f>
        <v>0</v>
      </c>
      <c r="Q911" s="341">
        <f>SUMIF(GL!$D$6408:$D$6452,B911,GL!$I$6408:$I$6452)</f>
        <v>0</v>
      </c>
      <c r="R911" s="341">
        <f t="shared" ref="R911:S911" si="1014">P911+N911</f>
        <v>0</v>
      </c>
      <c r="S911" s="341">
        <f t="shared" si="1014"/>
        <v>0</v>
      </c>
      <c r="T911" s="340"/>
      <c r="U911" s="340"/>
      <c r="V911" s="340"/>
      <c r="W911" s="340"/>
      <c r="X911" s="341">
        <f t="shared" si="1008"/>
        <v>0</v>
      </c>
      <c r="Y911" s="341">
        <f t="shared" si="1009"/>
        <v>0</v>
      </c>
      <c r="Z911" s="331"/>
      <c r="AA911" s="110"/>
      <c r="AB911" s="332"/>
      <c r="AC911" s="332"/>
      <c r="AD911" s="110"/>
      <c r="AE911" s="110"/>
      <c r="AF911" s="110"/>
      <c r="AG911" s="110"/>
      <c r="AH911" s="110"/>
      <c r="AI911" s="110"/>
    </row>
    <row r="912" spans="1:35" ht="13.5" customHeight="1">
      <c r="A912" s="4"/>
      <c r="B912" s="15" t="s">
        <v>5241</v>
      </c>
      <c r="C912" s="340" t="s">
        <v>5242</v>
      </c>
      <c r="D912" s="254"/>
      <c r="E912" s="341">
        <f>SUMIF(GL!$D$6:$D$6487,B912,GL!$H$6:$H$6487)</f>
        <v>0</v>
      </c>
      <c r="F912" s="341">
        <f>SUMIF(GL!$D$6:$D$6487,B912,GL!$I$6:$I$6487)</f>
        <v>0</v>
      </c>
      <c r="G912" s="341"/>
      <c r="H912" s="341"/>
      <c r="I912" s="341">
        <f t="shared" si="1003"/>
        <v>0</v>
      </c>
      <c r="J912" s="341">
        <f t="shared" si="1004"/>
        <v>0</v>
      </c>
      <c r="K912" s="341"/>
      <c r="L912" s="341"/>
      <c r="M912" s="341"/>
      <c r="N912" s="341">
        <f t="shared" si="1005"/>
        <v>0</v>
      </c>
      <c r="O912" s="341">
        <f t="shared" si="1006"/>
        <v>0</v>
      </c>
      <c r="P912" s="341">
        <f>SUMIF(GL!$D$6488:$D$6532,B912,GL!$H$6488:$H$6532)</f>
        <v>0</v>
      </c>
      <c r="Q912" s="341">
        <f>SUMIF(GL!$D$6408:$D$6452,B912,GL!$I$6408:$I$6452)</f>
        <v>0</v>
      </c>
      <c r="R912" s="341">
        <f t="shared" ref="R912:S912" si="1015">P912+N912</f>
        <v>0</v>
      </c>
      <c r="S912" s="341">
        <f t="shared" si="1015"/>
        <v>0</v>
      </c>
      <c r="T912" s="340"/>
      <c r="U912" s="340"/>
      <c r="V912" s="340"/>
      <c r="W912" s="340"/>
      <c r="X912" s="341">
        <f t="shared" si="1008"/>
        <v>0</v>
      </c>
      <c r="Y912" s="341">
        <f t="shared" si="1009"/>
        <v>0</v>
      </c>
      <c r="Z912" s="331"/>
      <c r="AA912" s="110"/>
      <c r="AB912" s="332"/>
      <c r="AC912" s="332"/>
      <c r="AD912" s="110"/>
      <c r="AE912" s="110"/>
      <c r="AF912" s="110"/>
      <c r="AG912" s="110"/>
      <c r="AH912" s="110"/>
      <c r="AI912" s="110"/>
    </row>
    <row r="913" spans="1:35" ht="13.5" customHeight="1">
      <c r="A913" s="2"/>
      <c r="B913" s="127" t="s">
        <v>5243</v>
      </c>
      <c r="C913" s="22" t="s">
        <v>5244</v>
      </c>
      <c r="D913" s="322"/>
      <c r="E913" s="338">
        <f t="shared" ref="E913:Y913" si="1016">SUM(E914:E916)</f>
        <v>0</v>
      </c>
      <c r="F913" s="338">
        <f t="shared" si="1016"/>
        <v>0</v>
      </c>
      <c r="G913" s="338">
        <f t="shared" si="1016"/>
        <v>0</v>
      </c>
      <c r="H913" s="338">
        <f t="shared" si="1016"/>
        <v>0</v>
      </c>
      <c r="I913" s="338">
        <f t="shared" si="1016"/>
        <v>0</v>
      </c>
      <c r="J913" s="338">
        <f t="shared" si="1016"/>
        <v>0</v>
      </c>
      <c r="K913" s="338">
        <f t="shared" si="1016"/>
        <v>0</v>
      </c>
      <c r="L913" s="338">
        <f t="shared" si="1016"/>
        <v>0</v>
      </c>
      <c r="M913" s="338">
        <f t="shared" si="1016"/>
        <v>1000000000</v>
      </c>
      <c r="N913" s="338">
        <f t="shared" si="1016"/>
        <v>0</v>
      </c>
      <c r="O913" s="338">
        <f t="shared" si="1016"/>
        <v>1000000000</v>
      </c>
      <c r="P913" s="338">
        <f t="shared" si="1016"/>
        <v>0</v>
      </c>
      <c r="Q913" s="338">
        <f t="shared" si="1016"/>
        <v>0</v>
      </c>
      <c r="R913" s="338">
        <f t="shared" si="1016"/>
        <v>0</v>
      </c>
      <c r="S913" s="338">
        <f t="shared" si="1016"/>
        <v>1000000000</v>
      </c>
      <c r="T913" s="338">
        <f t="shared" si="1016"/>
        <v>0</v>
      </c>
      <c r="U913" s="338">
        <f t="shared" si="1016"/>
        <v>0</v>
      </c>
      <c r="V913" s="338">
        <f t="shared" si="1016"/>
        <v>0</v>
      </c>
      <c r="W913" s="338">
        <f t="shared" si="1016"/>
        <v>0</v>
      </c>
      <c r="X913" s="338">
        <f t="shared" si="1016"/>
        <v>0</v>
      </c>
      <c r="Y913" s="338">
        <f t="shared" si="1016"/>
        <v>1000000000</v>
      </c>
      <c r="Z913" s="331"/>
      <c r="AA913" s="110"/>
      <c r="AB913" s="332"/>
      <c r="AC913" s="332"/>
      <c r="AD913" s="110"/>
      <c r="AE913" s="110"/>
      <c r="AF913" s="110"/>
      <c r="AG913" s="110"/>
      <c r="AH913" s="110"/>
      <c r="AI913" s="110"/>
    </row>
    <row r="914" spans="1:35" ht="13.5" customHeight="1">
      <c r="A914" s="4"/>
      <c r="B914" s="15" t="s">
        <v>5245</v>
      </c>
      <c r="C914" s="340" t="s">
        <v>5246</v>
      </c>
      <c r="D914" s="254"/>
      <c r="E914" s="341">
        <f>SUMIF(GL!$D$6:$D$6487,B914,GL!$H$6:$H$6487)</f>
        <v>0</v>
      </c>
      <c r="F914" s="341">
        <f>SUMIF(GL!$D$6:$D$6487,B914,GL!$I$6:$I$6487)</f>
        <v>0</v>
      </c>
      <c r="G914" s="341"/>
      <c r="H914" s="341"/>
      <c r="I914" s="341">
        <f t="shared" ref="I914:I916" si="1017">IF(E914&gt;F914,E914-F914,0)</f>
        <v>0</v>
      </c>
      <c r="J914" s="341">
        <f t="shared" ref="J914:J916" si="1018">IF(F914&gt;E914,F914-E914,0)</f>
        <v>0</v>
      </c>
      <c r="K914" s="341"/>
      <c r="L914" s="342"/>
      <c r="M914" s="342">
        <v>500000000</v>
      </c>
      <c r="N914" s="341">
        <f t="shared" ref="N914:N916" si="1019">IF(I914+L914&gt;J914+M914,(I914+L914)-(J914+M914),0)</f>
        <v>0</v>
      </c>
      <c r="O914" s="341">
        <f t="shared" ref="O914:O916" si="1020">IF(J914+M914&gt;I914+L914,(J914+M914)-(I914+L914),0)</f>
        <v>500000000</v>
      </c>
      <c r="P914" s="341">
        <f>SUMIF(GL!$D$6488:$D$6532,B914,GL!$H$6488:$H$6532)</f>
        <v>0</v>
      </c>
      <c r="Q914" s="341">
        <f>SUMIF(GL!$D$6408:$D$6452,B914,GL!$I$6408:$I$6452)</f>
        <v>0</v>
      </c>
      <c r="R914" s="341">
        <f t="shared" ref="R914:S914" si="1021">P914+N914</f>
        <v>0</v>
      </c>
      <c r="S914" s="341">
        <f t="shared" si="1021"/>
        <v>500000000</v>
      </c>
      <c r="T914" s="340"/>
      <c r="U914" s="340"/>
      <c r="V914" s="340"/>
      <c r="W914" s="340"/>
      <c r="X914" s="341">
        <f t="shared" ref="X914:X916" si="1022">IF(R914&gt;S914,R914-S914,0)</f>
        <v>0</v>
      </c>
      <c r="Y914" s="341">
        <f t="shared" ref="Y914:Y916" si="1023">IF(S914&gt;R914,S914-R914,0)</f>
        <v>500000000</v>
      </c>
      <c r="Z914" s="331"/>
      <c r="AA914" s="110"/>
      <c r="AB914" s="332"/>
      <c r="AC914" s="332"/>
      <c r="AD914" s="110"/>
      <c r="AE914" s="110"/>
      <c r="AF914" s="110"/>
      <c r="AG914" s="110"/>
      <c r="AH914" s="110"/>
      <c r="AI914" s="110"/>
    </row>
    <row r="915" spans="1:35" ht="13.5" customHeight="1">
      <c r="A915" s="4"/>
      <c r="B915" s="15" t="s">
        <v>5247</v>
      </c>
      <c r="C915" s="340" t="s">
        <v>5248</v>
      </c>
      <c r="D915" s="254"/>
      <c r="E915" s="341">
        <f>SUMIF(GL!$D$6:$D$6487,B915,GL!$H$6:$H$6487)</f>
        <v>0</v>
      </c>
      <c r="F915" s="341">
        <f>SUMIF(GL!$D$6:$D$6487,B915,GL!$I$6:$I$6487)</f>
        <v>0</v>
      </c>
      <c r="G915" s="341"/>
      <c r="H915" s="341"/>
      <c r="I915" s="341">
        <f t="shared" si="1017"/>
        <v>0</v>
      </c>
      <c r="J915" s="341">
        <f t="shared" si="1018"/>
        <v>0</v>
      </c>
      <c r="K915" s="341"/>
      <c r="L915" s="342"/>
      <c r="M915" s="342">
        <v>500000000</v>
      </c>
      <c r="N915" s="341">
        <f t="shared" si="1019"/>
        <v>0</v>
      </c>
      <c r="O915" s="341">
        <f t="shared" si="1020"/>
        <v>500000000</v>
      </c>
      <c r="P915" s="341">
        <f>SUMIF(GL!$D$6488:$D$6532,B915,GL!$H$6488:$H$6532)</f>
        <v>0</v>
      </c>
      <c r="Q915" s="341">
        <f>SUMIF(GL!$D$6408:$D$6452,B915,GL!$I$6408:$I$6452)</f>
        <v>0</v>
      </c>
      <c r="R915" s="341">
        <f t="shared" ref="R915:S915" si="1024">P915+N915</f>
        <v>0</v>
      </c>
      <c r="S915" s="341">
        <f t="shared" si="1024"/>
        <v>500000000</v>
      </c>
      <c r="T915" s="340"/>
      <c r="U915" s="340"/>
      <c r="V915" s="340"/>
      <c r="W915" s="340"/>
      <c r="X915" s="341">
        <f t="shared" si="1022"/>
        <v>0</v>
      </c>
      <c r="Y915" s="341">
        <f t="shared" si="1023"/>
        <v>500000000</v>
      </c>
      <c r="Z915" s="331"/>
      <c r="AA915" s="110"/>
      <c r="AB915" s="332"/>
      <c r="AC915" s="332"/>
      <c r="AD915" s="110"/>
      <c r="AE915" s="110"/>
      <c r="AF915" s="110"/>
      <c r="AG915" s="110"/>
      <c r="AH915" s="110"/>
      <c r="AI915" s="110"/>
    </row>
    <row r="916" spans="1:35" ht="13.5" customHeight="1">
      <c r="A916" s="4"/>
      <c r="B916" s="15" t="s">
        <v>5249</v>
      </c>
      <c r="C916" s="340"/>
      <c r="D916" s="254"/>
      <c r="E916" s="341">
        <f>SUMIF(GL!$D$6:$D$6487,B916,GL!$H$6:$H$6487)</f>
        <v>0</v>
      </c>
      <c r="F916" s="341">
        <f>SUMIF(GL!$D$6:$D$6487,B916,GL!$I$6:$I$6487)</f>
        <v>0</v>
      </c>
      <c r="G916" s="341"/>
      <c r="H916" s="341"/>
      <c r="I916" s="341">
        <f t="shared" si="1017"/>
        <v>0</v>
      </c>
      <c r="J916" s="341">
        <f t="shared" si="1018"/>
        <v>0</v>
      </c>
      <c r="K916" s="341"/>
      <c r="L916" s="341"/>
      <c r="M916" s="341"/>
      <c r="N916" s="341">
        <f t="shared" si="1019"/>
        <v>0</v>
      </c>
      <c r="O916" s="341">
        <f t="shared" si="1020"/>
        <v>0</v>
      </c>
      <c r="P916" s="341">
        <f>SUMIF(GL!$D$6488:$D$6532,B916,GL!$H$6488:$H$6532)</f>
        <v>0</v>
      </c>
      <c r="Q916" s="341">
        <f>SUMIF(GL!$D$6408:$D$6452,B916,GL!$I$6408:$I$6452)</f>
        <v>0</v>
      </c>
      <c r="R916" s="341">
        <f t="shared" ref="R916:S916" si="1025">P916+N916</f>
        <v>0</v>
      </c>
      <c r="S916" s="341">
        <f t="shared" si="1025"/>
        <v>0</v>
      </c>
      <c r="T916" s="340"/>
      <c r="U916" s="340"/>
      <c r="V916" s="340"/>
      <c r="W916" s="340"/>
      <c r="X916" s="341">
        <f t="shared" si="1022"/>
        <v>0</v>
      </c>
      <c r="Y916" s="341">
        <f t="shared" si="1023"/>
        <v>0</v>
      </c>
      <c r="Z916" s="331"/>
      <c r="AA916" s="110"/>
      <c r="AB916" s="332"/>
      <c r="AC916" s="332"/>
      <c r="AD916" s="110"/>
      <c r="AE916" s="110"/>
      <c r="AF916" s="110"/>
      <c r="AG916" s="110"/>
      <c r="AH916" s="110"/>
      <c r="AI916" s="110"/>
    </row>
    <row r="917" spans="1:35" ht="13.5" customHeight="1">
      <c r="A917" s="4"/>
      <c r="B917" s="127" t="s">
        <v>5250</v>
      </c>
      <c r="C917" s="22" t="s">
        <v>5251</v>
      </c>
      <c r="D917" s="322"/>
      <c r="E917" s="341">
        <f t="shared" ref="E917:F917" si="1026">SUM(E906:E912)+E913</f>
        <v>0</v>
      </c>
      <c r="F917" s="341">
        <f t="shared" si="1026"/>
        <v>0</v>
      </c>
      <c r="G917" s="341"/>
      <c r="H917" s="341"/>
      <c r="I917" s="341">
        <f t="shared" ref="I917:J917" si="1027">SUM(I906:I912)+I913</f>
        <v>0</v>
      </c>
      <c r="J917" s="341">
        <f t="shared" si="1027"/>
        <v>0</v>
      </c>
      <c r="K917" s="341"/>
      <c r="L917" s="338">
        <f>SUM(L906:L912)+L913</f>
        <v>0</v>
      </c>
      <c r="M917" s="338">
        <v>0</v>
      </c>
      <c r="N917" s="338">
        <f t="shared" ref="N917:Y917" si="1028">SUM(N906:N912)+N913</f>
        <v>0</v>
      </c>
      <c r="O917" s="338">
        <f t="shared" si="1028"/>
        <v>13749946622</v>
      </c>
      <c r="P917" s="338">
        <f t="shared" si="1028"/>
        <v>0</v>
      </c>
      <c r="Q917" s="338">
        <f t="shared" si="1028"/>
        <v>0</v>
      </c>
      <c r="R917" s="338">
        <f t="shared" si="1028"/>
        <v>0</v>
      </c>
      <c r="S917" s="338">
        <f t="shared" si="1028"/>
        <v>13749946622</v>
      </c>
      <c r="T917" s="338">
        <f t="shared" si="1028"/>
        <v>0</v>
      </c>
      <c r="U917" s="338">
        <f t="shared" si="1028"/>
        <v>0</v>
      </c>
      <c r="V917" s="338">
        <f t="shared" si="1028"/>
        <v>0</v>
      </c>
      <c r="W917" s="338">
        <f t="shared" si="1028"/>
        <v>0</v>
      </c>
      <c r="X917" s="338">
        <f t="shared" si="1028"/>
        <v>0</v>
      </c>
      <c r="Y917" s="338">
        <f t="shared" si="1028"/>
        <v>13749946622</v>
      </c>
      <c r="Z917" s="331"/>
      <c r="AA917" s="110"/>
      <c r="AB917" s="330"/>
      <c r="AC917" s="332"/>
      <c r="AD917" s="110"/>
      <c r="AE917" s="110"/>
      <c r="AF917" s="110"/>
      <c r="AG917" s="110"/>
      <c r="AH917" s="110"/>
      <c r="AI917" s="110"/>
    </row>
    <row r="918" spans="1:35" ht="13.5" customHeight="1">
      <c r="A918" s="4"/>
      <c r="B918" s="15"/>
      <c r="C918" s="340"/>
      <c r="D918" s="254"/>
      <c r="E918" s="341"/>
      <c r="F918" s="341"/>
      <c r="G918" s="341"/>
      <c r="H918" s="341"/>
      <c r="I918" s="341"/>
      <c r="J918" s="341"/>
      <c r="K918" s="341"/>
      <c r="L918" s="341"/>
      <c r="M918" s="341"/>
      <c r="N918" s="341"/>
      <c r="O918" s="341"/>
      <c r="P918" s="341"/>
      <c r="Q918" s="341"/>
      <c r="R918" s="341"/>
      <c r="S918" s="341"/>
      <c r="T918" s="340"/>
      <c r="U918" s="340"/>
      <c r="V918" s="340"/>
      <c r="W918" s="340"/>
      <c r="X918" s="346"/>
      <c r="Y918" s="346"/>
      <c r="Z918" s="331"/>
      <c r="AA918" s="110"/>
      <c r="AB918" s="330"/>
      <c r="AC918" s="332"/>
      <c r="AD918" s="110"/>
      <c r="AE918" s="110"/>
      <c r="AF918" s="110"/>
      <c r="AG918" s="110"/>
      <c r="AH918" s="110"/>
      <c r="AI918" s="110"/>
    </row>
    <row r="919" spans="1:35" ht="13.5" customHeight="1">
      <c r="A919" s="4"/>
      <c r="B919" s="15"/>
      <c r="C919" s="340"/>
      <c r="D919" s="254"/>
      <c r="E919" s="341"/>
      <c r="F919" s="341"/>
      <c r="G919" s="341"/>
      <c r="H919" s="341"/>
      <c r="I919" s="341"/>
      <c r="J919" s="341"/>
      <c r="K919" s="341"/>
      <c r="L919" s="341"/>
      <c r="M919" s="341"/>
      <c r="N919" s="341"/>
      <c r="O919" s="341"/>
      <c r="P919" s="341"/>
      <c r="Q919" s="341"/>
      <c r="R919" s="341"/>
      <c r="S919" s="341"/>
      <c r="T919" s="340"/>
      <c r="U919" s="340"/>
      <c r="V919" s="340"/>
      <c r="W919" s="340"/>
      <c r="X919" s="346"/>
      <c r="Y919" s="346"/>
      <c r="Z919" s="331"/>
      <c r="AA919" s="110"/>
      <c r="AB919" s="330"/>
      <c r="AC919" s="332"/>
      <c r="AD919" s="110"/>
      <c r="AE919" s="110"/>
      <c r="AF919" s="110"/>
      <c r="AG919" s="110"/>
      <c r="AH919" s="110"/>
      <c r="AI919" s="110"/>
    </row>
    <row r="920" spans="1:35" ht="13.5" customHeight="1">
      <c r="A920" s="2"/>
      <c r="B920" s="127" t="s">
        <v>5252</v>
      </c>
      <c r="C920" s="22" t="s">
        <v>5253</v>
      </c>
      <c r="D920" s="322"/>
      <c r="E920" s="338"/>
      <c r="F920" s="338"/>
      <c r="G920" s="338"/>
      <c r="H920" s="338"/>
      <c r="I920" s="338"/>
      <c r="J920" s="338"/>
      <c r="K920" s="338"/>
      <c r="L920" s="341"/>
      <c r="M920" s="341"/>
      <c r="N920" s="338"/>
      <c r="O920" s="338"/>
      <c r="P920" s="341"/>
      <c r="Q920" s="341"/>
      <c r="R920" s="338"/>
      <c r="S920" s="338"/>
      <c r="T920" s="22"/>
      <c r="U920" s="22"/>
      <c r="V920" s="22"/>
      <c r="W920" s="22"/>
      <c r="X920" s="339"/>
      <c r="Y920" s="339"/>
      <c r="Z920" s="331"/>
      <c r="AA920" s="110"/>
      <c r="AB920" s="330"/>
      <c r="AC920" s="332"/>
      <c r="AD920" s="110"/>
      <c r="AE920" s="110"/>
      <c r="AF920" s="110"/>
      <c r="AG920" s="110"/>
      <c r="AH920" s="110"/>
      <c r="AI920" s="110"/>
    </row>
    <row r="921" spans="1:35" ht="13.5" customHeight="1">
      <c r="A921" s="4"/>
      <c r="B921" s="15" t="s">
        <v>4</v>
      </c>
      <c r="C921" s="340" t="s">
        <v>5254</v>
      </c>
      <c r="D921" s="254"/>
      <c r="E921" s="341">
        <f>SUMIF(GL!$D$6:$D$6487,B921,GL!$H$6:$H$6487)</f>
        <v>0</v>
      </c>
      <c r="F921" s="341">
        <f>SUMIF(GL!$D$6:$D$6487,B921,GL!$I$6:$I$6487)</f>
        <v>177970625</v>
      </c>
      <c r="G921" s="341"/>
      <c r="H921" s="341"/>
      <c r="I921" s="341">
        <f t="shared" ref="I921:I930" si="1029">IF(E921&gt;F921,E921-F921,0)</f>
        <v>0</v>
      </c>
      <c r="J921" s="341">
        <f t="shared" ref="J921:J930" si="1030">IF(F921&gt;E921,F921-E921,0)</f>
        <v>177970625</v>
      </c>
      <c r="K921" s="341"/>
      <c r="L921" s="342"/>
      <c r="M921" s="342"/>
      <c r="N921" s="341">
        <f t="shared" ref="N921:N930" si="1031">IF(I921+L921&gt;J921+M921,(I921+L921)-(J921+M921),0)</f>
        <v>0</v>
      </c>
      <c r="O921" s="341">
        <f t="shared" ref="O921:O930" si="1032">IF(J921+M921&gt;I921+L921,(J921+M921)-(I921+L921),0)</f>
        <v>177970625</v>
      </c>
      <c r="P921" s="341">
        <f>SUMIF(GL!$D$6488:$D$6532,B921,GL!$H$6488:$H$6532)</f>
        <v>0</v>
      </c>
      <c r="Q921" s="341">
        <f>SUMIF(GL!$D$6408:$D$6452,B921,GL!$I$6408:$I$6452)</f>
        <v>0</v>
      </c>
      <c r="R921" s="341">
        <f t="shared" ref="R921:S921" si="1033">P921+N921</f>
        <v>0</v>
      </c>
      <c r="S921" s="341">
        <f t="shared" si="1033"/>
        <v>177970625</v>
      </c>
      <c r="T921" s="340"/>
      <c r="U921" s="340"/>
      <c r="V921" s="340"/>
      <c r="W921" s="340"/>
      <c r="X921" s="341">
        <f t="shared" ref="X921:X930" si="1034">IF(R921&gt;S921,R921-S921,0)</f>
        <v>0</v>
      </c>
      <c r="Y921" s="341">
        <f t="shared" ref="Y921:Y930" si="1035">IF(S921&gt;R921,S921-R921,0)</f>
        <v>177970625</v>
      </c>
      <c r="Z921" s="331"/>
      <c r="AA921" s="330"/>
      <c r="AB921" s="330">
        <f t="shared" ref="AB921:AB929" si="1036">Y921-AA921</f>
        <v>177970625</v>
      </c>
      <c r="AC921" s="332"/>
      <c r="AD921" s="110"/>
      <c r="AE921" s="110"/>
      <c r="AF921" s="4"/>
      <c r="AG921" s="4"/>
      <c r="AH921" s="4"/>
      <c r="AI921" s="4"/>
    </row>
    <row r="922" spans="1:35" ht="13.5" customHeight="1">
      <c r="A922" s="4"/>
      <c r="B922" s="15" t="s">
        <v>6</v>
      </c>
      <c r="C922" s="340" t="s">
        <v>5255</v>
      </c>
      <c r="D922" s="254"/>
      <c r="E922" s="341">
        <f>SUMIF(GL!$D$6:$D$6487,B922,GL!$H$6:$H$6487)</f>
        <v>0</v>
      </c>
      <c r="F922" s="341">
        <f>SUMIF(GL!$D$6:$D$6487,B922,GL!$I$6:$I$6487)</f>
        <v>1273200752</v>
      </c>
      <c r="G922" s="341"/>
      <c r="H922" s="341"/>
      <c r="I922" s="341">
        <f t="shared" si="1029"/>
        <v>0</v>
      </c>
      <c r="J922" s="341">
        <f t="shared" si="1030"/>
        <v>1273200752</v>
      </c>
      <c r="K922" s="341"/>
      <c r="L922" s="342"/>
      <c r="M922" s="342"/>
      <c r="N922" s="341">
        <f t="shared" si="1031"/>
        <v>0</v>
      </c>
      <c r="O922" s="341">
        <f t="shared" si="1032"/>
        <v>1273200752</v>
      </c>
      <c r="P922" s="341">
        <f>SUMIF(GL!$D$6488:$D$6532,B922,GL!$H$6488:$H$6532)</f>
        <v>0</v>
      </c>
      <c r="Q922" s="341">
        <f>SUMIF(GL!$D$6408:$D$6452,B922,GL!$I$6408:$I$6452)</f>
        <v>0</v>
      </c>
      <c r="R922" s="341">
        <f t="shared" ref="R922:S922" si="1037">P922+N922</f>
        <v>0</v>
      </c>
      <c r="S922" s="341">
        <f t="shared" si="1037"/>
        <v>1273200752</v>
      </c>
      <c r="T922" s="340"/>
      <c r="U922" s="340"/>
      <c r="V922" s="340"/>
      <c r="W922" s="340"/>
      <c r="X922" s="341">
        <f t="shared" si="1034"/>
        <v>0</v>
      </c>
      <c r="Y922" s="341">
        <f t="shared" si="1035"/>
        <v>1273200752</v>
      </c>
      <c r="Z922" s="331"/>
      <c r="AA922" s="330"/>
      <c r="AB922" s="330">
        <f t="shared" si="1036"/>
        <v>1273200752</v>
      </c>
      <c r="AC922" s="332"/>
      <c r="AD922" s="110"/>
      <c r="AE922" s="110"/>
      <c r="AF922" s="4"/>
      <c r="AG922" s="4"/>
      <c r="AH922" s="4"/>
      <c r="AI922" s="4"/>
    </row>
    <row r="923" spans="1:35" ht="13.5" customHeight="1">
      <c r="A923" s="4"/>
      <c r="B923" s="15" t="s">
        <v>10</v>
      </c>
      <c r="C923" s="340" t="s">
        <v>5256</v>
      </c>
      <c r="D923" s="254"/>
      <c r="E923" s="341">
        <f>SUMIF(GL!$D$6:$D$6487,B923,GL!$H$6:$H$6487)</f>
        <v>0</v>
      </c>
      <c r="F923" s="341">
        <f>SUMIF(GL!$D$6:$D$6487,B923,GL!$I$6:$I$6487)</f>
        <v>15070000</v>
      </c>
      <c r="G923" s="341"/>
      <c r="H923" s="341"/>
      <c r="I923" s="341">
        <f t="shared" si="1029"/>
        <v>0</v>
      </c>
      <c r="J923" s="341">
        <f t="shared" si="1030"/>
        <v>15070000</v>
      </c>
      <c r="K923" s="341"/>
      <c r="L923" s="342"/>
      <c r="M923" s="342"/>
      <c r="N923" s="341">
        <f t="shared" si="1031"/>
        <v>0</v>
      </c>
      <c r="O923" s="341">
        <f t="shared" si="1032"/>
        <v>15070000</v>
      </c>
      <c r="P923" s="341">
        <f>SUMIF(GL!$D$6488:$D$6532,B923,GL!$H$6488:$H$6532)</f>
        <v>0</v>
      </c>
      <c r="Q923" s="341">
        <f>SUMIF(GL!$D$6408:$D$6452,B923,GL!$I$6408:$I$6452)</f>
        <v>0</v>
      </c>
      <c r="R923" s="341">
        <f t="shared" ref="R923:S923" si="1038">P923+N923</f>
        <v>0</v>
      </c>
      <c r="S923" s="341">
        <f t="shared" si="1038"/>
        <v>15070000</v>
      </c>
      <c r="T923" s="340"/>
      <c r="U923" s="340"/>
      <c r="V923" s="340"/>
      <c r="W923" s="340"/>
      <c r="X923" s="341">
        <f t="shared" si="1034"/>
        <v>0</v>
      </c>
      <c r="Y923" s="341">
        <f t="shared" si="1035"/>
        <v>15070000</v>
      </c>
      <c r="Z923" s="331"/>
      <c r="AA923" s="330"/>
      <c r="AB923" s="330">
        <f t="shared" si="1036"/>
        <v>15070000</v>
      </c>
      <c r="AC923" s="332"/>
      <c r="AD923" s="110"/>
      <c r="AE923" s="110"/>
      <c r="AF923" s="4"/>
      <c r="AG923" s="4"/>
      <c r="AH923" s="4"/>
      <c r="AI923" s="4"/>
    </row>
    <row r="924" spans="1:35" ht="13.5" customHeight="1">
      <c r="A924" s="4"/>
      <c r="B924" s="15" t="s">
        <v>8</v>
      </c>
      <c r="C924" s="340" t="s">
        <v>5257</v>
      </c>
      <c r="D924" s="254"/>
      <c r="E924" s="341">
        <f>SUMIF(GL!$D$6:$D$6487,B924,GL!$H$6:$H$6487)</f>
        <v>0</v>
      </c>
      <c r="F924" s="341">
        <f>SUMIF(GL!$D$6:$D$6487,B924,GL!$I$6:$I$6487)</f>
        <v>25295000</v>
      </c>
      <c r="G924" s="341"/>
      <c r="H924" s="341"/>
      <c r="I924" s="341">
        <f t="shared" si="1029"/>
        <v>0</v>
      </c>
      <c r="J924" s="341">
        <f t="shared" si="1030"/>
        <v>25295000</v>
      </c>
      <c r="K924" s="341"/>
      <c r="L924" s="342"/>
      <c r="M924" s="342"/>
      <c r="N924" s="341">
        <f t="shared" si="1031"/>
        <v>0</v>
      </c>
      <c r="O924" s="341">
        <f t="shared" si="1032"/>
        <v>25295000</v>
      </c>
      <c r="P924" s="341">
        <f>SUMIF(GL!$D$6488:$D$6532,B924,GL!$H$6488:$H$6532)</f>
        <v>0</v>
      </c>
      <c r="Q924" s="341">
        <f>SUMIF(GL!$D$6408:$D$6452,B924,GL!$I$6408:$I$6452)</f>
        <v>0</v>
      </c>
      <c r="R924" s="341">
        <f t="shared" ref="R924:S924" si="1039">P924+N924</f>
        <v>0</v>
      </c>
      <c r="S924" s="341">
        <f t="shared" si="1039"/>
        <v>25295000</v>
      </c>
      <c r="T924" s="340"/>
      <c r="U924" s="340"/>
      <c r="V924" s="340"/>
      <c r="W924" s="340"/>
      <c r="X924" s="341">
        <f t="shared" si="1034"/>
        <v>0</v>
      </c>
      <c r="Y924" s="341">
        <f t="shared" si="1035"/>
        <v>25295000</v>
      </c>
      <c r="Z924" s="331"/>
      <c r="AA924" s="330"/>
      <c r="AB924" s="330">
        <f t="shared" si="1036"/>
        <v>25295000</v>
      </c>
      <c r="AC924" s="332"/>
      <c r="AD924" s="110"/>
      <c r="AE924" s="110"/>
      <c r="AF924" s="4"/>
      <c r="AG924" s="4"/>
      <c r="AH924" s="4"/>
      <c r="AI924" s="4"/>
    </row>
    <row r="925" spans="1:35" ht="13.5" customHeight="1">
      <c r="A925" s="4"/>
      <c r="B925" s="24" t="s">
        <v>25</v>
      </c>
      <c r="C925" s="340" t="s">
        <v>26</v>
      </c>
      <c r="D925" s="254"/>
      <c r="E925" s="341">
        <f>SUMIF(GL!$D$6:$D$6487,B925,GL!$H$6:$H$6487)</f>
        <v>0</v>
      </c>
      <c r="F925" s="341">
        <f>SUMIF(GL!$D$6:$D$6487,B925,GL!$I$6:$I$6487)</f>
        <v>466710191</v>
      </c>
      <c r="G925" s="341"/>
      <c r="H925" s="341"/>
      <c r="I925" s="341">
        <f t="shared" si="1029"/>
        <v>0</v>
      </c>
      <c r="J925" s="341">
        <f t="shared" si="1030"/>
        <v>466710191</v>
      </c>
      <c r="K925" s="341"/>
      <c r="L925" s="342"/>
      <c r="M925" s="342"/>
      <c r="N925" s="341">
        <f t="shared" si="1031"/>
        <v>0</v>
      </c>
      <c r="O925" s="341">
        <f t="shared" si="1032"/>
        <v>466710191</v>
      </c>
      <c r="P925" s="341">
        <f>SUMIF(GL!$D$6488:$D$6532,B925,GL!$H$6488:$H$6532)</f>
        <v>0</v>
      </c>
      <c r="Q925" s="341">
        <f>SUMIF(GL!$D$6408:$D$6452,B925,GL!$I$6408:$I$6452)</f>
        <v>0</v>
      </c>
      <c r="R925" s="341">
        <f t="shared" ref="R925:S925" si="1040">P925+N925</f>
        <v>0</v>
      </c>
      <c r="S925" s="341">
        <f t="shared" si="1040"/>
        <v>466710191</v>
      </c>
      <c r="T925" s="340"/>
      <c r="U925" s="340"/>
      <c r="V925" s="340"/>
      <c r="W925" s="340"/>
      <c r="X925" s="341">
        <f t="shared" si="1034"/>
        <v>0</v>
      </c>
      <c r="Y925" s="341">
        <f t="shared" si="1035"/>
        <v>466710191</v>
      </c>
      <c r="Z925" s="331"/>
      <c r="AA925" s="344"/>
      <c r="AB925" s="330">
        <f t="shared" si="1036"/>
        <v>466710191</v>
      </c>
      <c r="AC925" s="332"/>
      <c r="AD925" s="110"/>
      <c r="AE925" s="110"/>
      <c r="AF925" s="110"/>
      <c r="AG925" s="110"/>
      <c r="AH925" s="110"/>
      <c r="AI925" s="110"/>
    </row>
    <row r="926" spans="1:35" ht="13.5" customHeight="1">
      <c r="A926" s="4"/>
      <c r="B926" s="24" t="s">
        <v>5258</v>
      </c>
      <c r="C926" s="340" t="s">
        <v>5259</v>
      </c>
      <c r="D926" s="254"/>
      <c r="E926" s="341">
        <f>SUMIF(GL!$D$6:$D$6487,B926,GL!$H$6:$H$6487)</f>
        <v>0</v>
      </c>
      <c r="F926" s="341">
        <f>SUMIF(GL!$D$6:$D$6487,B926,GL!$I$6:$I$6487)</f>
        <v>0</v>
      </c>
      <c r="G926" s="341"/>
      <c r="H926" s="341"/>
      <c r="I926" s="341">
        <f t="shared" si="1029"/>
        <v>0</v>
      </c>
      <c r="J926" s="341">
        <f t="shared" si="1030"/>
        <v>0</v>
      </c>
      <c r="K926" s="341"/>
      <c r="L926" s="342"/>
      <c r="M926" s="342"/>
      <c r="N926" s="341">
        <f t="shared" si="1031"/>
        <v>0</v>
      </c>
      <c r="O926" s="341">
        <f t="shared" si="1032"/>
        <v>0</v>
      </c>
      <c r="P926" s="341">
        <f>SUMIF(GL!$D$6488:$D$6532,B926,GL!$H$6488:$H$6532)</f>
        <v>0</v>
      </c>
      <c r="Q926" s="341">
        <f>SUMIF(GL!$D$6408:$D$6452,B926,GL!$I$6408:$I$6452)</f>
        <v>0</v>
      </c>
      <c r="R926" s="341">
        <f t="shared" ref="R926:S926" si="1041">P926+N926</f>
        <v>0</v>
      </c>
      <c r="S926" s="341">
        <f t="shared" si="1041"/>
        <v>0</v>
      </c>
      <c r="T926" s="340"/>
      <c r="U926" s="340"/>
      <c r="V926" s="340"/>
      <c r="W926" s="340"/>
      <c r="X926" s="341">
        <f t="shared" si="1034"/>
        <v>0</v>
      </c>
      <c r="Y926" s="341">
        <f t="shared" si="1035"/>
        <v>0</v>
      </c>
      <c r="Z926" s="331"/>
      <c r="AA926" s="110"/>
      <c r="AB926" s="330">
        <f t="shared" si="1036"/>
        <v>0</v>
      </c>
      <c r="AC926" s="332"/>
      <c r="AD926" s="110"/>
      <c r="AE926" s="110"/>
      <c r="AF926" s="110"/>
      <c r="AG926" s="110"/>
      <c r="AH926" s="110"/>
      <c r="AI926" s="110"/>
    </row>
    <row r="927" spans="1:35" ht="13.5" customHeight="1">
      <c r="A927" s="4"/>
      <c r="B927" s="24" t="s">
        <v>21</v>
      </c>
      <c r="C927" s="340" t="s">
        <v>5260</v>
      </c>
      <c r="D927" s="254"/>
      <c r="E927" s="341">
        <f>SUMIF(GL!$D$6:$D$6487,B927,GL!$H$6:$H$6487)</f>
        <v>0</v>
      </c>
      <c r="F927" s="341">
        <f>SUMIF(GL!$D$6:$D$6487,B927,GL!$I$6:$I$6487)</f>
        <v>47820000</v>
      </c>
      <c r="G927" s="341"/>
      <c r="H927" s="341"/>
      <c r="I927" s="341">
        <f t="shared" si="1029"/>
        <v>0</v>
      </c>
      <c r="J927" s="341">
        <f t="shared" si="1030"/>
        <v>47820000</v>
      </c>
      <c r="K927" s="341"/>
      <c r="L927" s="342"/>
      <c r="M927" s="342"/>
      <c r="N927" s="341">
        <f t="shared" si="1031"/>
        <v>0</v>
      </c>
      <c r="O927" s="341">
        <f t="shared" si="1032"/>
        <v>47820000</v>
      </c>
      <c r="P927" s="341">
        <f>SUMIF(GL!$D$6488:$D$6532,B927,GL!$H$6488:$H$6532)</f>
        <v>0</v>
      </c>
      <c r="Q927" s="341">
        <f>SUMIF(GL!$D$6408:$D$6452,B927,GL!$I$6408:$I$6452)</f>
        <v>0</v>
      </c>
      <c r="R927" s="341">
        <f t="shared" ref="R927:S927" si="1042">P927+N927</f>
        <v>0</v>
      </c>
      <c r="S927" s="341">
        <f t="shared" si="1042"/>
        <v>47820000</v>
      </c>
      <c r="T927" s="340"/>
      <c r="U927" s="340"/>
      <c r="V927" s="340"/>
      <c r="W927" s="340"/>
      <c r="X927" s="341">
        <f t="shared" si="1034"/>
        <v>0</v>
      </c>
      <c r="Y927" s="341">
        <f t="shared" si="1035"/>
        <v>47820000</v>
      </c>
      <c r="Z927" s="331"/>
      <c r="AA927" s="344"/>
      <c r="AB927" s="330">
        <f t="shared" si="1036"/>
        <v>47820000</v>
      </c>
      <c r="AC927" s="332"/>
      <c r="AD927" s="110"/>
      <c r="AE927" s="110"/>
      <c r="AF927" s="110"/>
      <c r="AG927" s="110"/>
      <c r="AH927" s="110"/>
      <c r="AI927" s="110"/>
    </row>
    <row r="928" spans="1:35" ht="13.5" customHeight="1">
      <c r="A928" s="4"/>
      <c r="B928" s="24" t="s">
        <v>12</v>
      </c>
      <c r="C928" s="340" t="s">
        <v>5261</v>
      </c>
      <c r="D928" s="254"/>
      <c r="E928" s="341">
        <f>SUMIF(GL!$D$6:$D$6487,B928,GL!$H$6:$H$6487)</f>
        <v>0</v>
      </c>
      <c r="F928" s="341">
        <f>SUMIF(GL!$D$6:$D$6487,B928,GL!$I$6:$I$6487)</f>
        <v>0</v>
      </c>
      <c r="G928" s="341"/>
      <c r="H928" s="341"/>
      <c r="I928" s="341">
        <f t="shared" si="1029"/>
        <v>0</v>
      </c>
      <c r="J928" s="341">
        <f t="shared" si="1030"/>
        <v>0</v>
      </c>
      <c r="K928" s="341"/>
      <c r="L928" s="342"/>
      <c r="M928" s="342"/>
      <c r="N928" s="341">
        <f t="shared" si="1031"/>
        <v>0</v>
      </c>
      <c r="O928" s="341">
        <f t="shared" si="1032"/>
        <v>0</v>
      </c>
      <c r="P928" s="341">
        <f>SUMIF(GL!$D$6488:$D$6532,B928,GL!$H$6488:$H$6532)</f>
        <v>0</v>
      </c>
      <c r="Q928" s="341">
        <f>SUMIF(GL!$D$6408:$D$6452,B928,GL!$I$6408:$I$6452)</f>
        <v>0</v>
      </c>
      <c r="R928" s="341">
        <f t="shared" ref="R928:S928" si="1043">P928+N928</f>
        <v>0</v>
      </c>
      <c r="S928" s="341">
        <f t="shared" si="1043"/>
        <v>0</v>
      </c>
      <c r="T928" s="340"/>
      <c r="U928" s="340"/>
      <c r="V928" s="340"/>
      <c r="W928" s="340"/>
      <c r="X928" s="341">
        <f t="shared" si="1034"/>
        <v>0</v>
      </c>
      <c r="Y928" s="341">
        <f t="shared" si="1035"/>
        <v>0</v>
      </c>
      <c r="Z928" s="331"/>
      <c r="AA928" s="110"/>
      <c r="AB928" s="330">
        <f t="shared" si="1036"/>
        <v>0</v>
      </c>
      <c r="AC928" s="332"/>
      <c r="AD928" s="110"/>
      <c r="AE928" s="110"/>
      <c r="AF928" s="110"/>
      <c r="AG928" s="110"/>
      <c r="AH928" s="110"/>
      <c r="AI928" s="110"/>
    </row>
    <row r="929" spans="1:35" ht="13.5" customHeight="1">
      <c r="A929" s="4"/>
      <c r="B929" s="15" t="s">
        <v>5262</v>
      </c>
      <c r="C929" s="340" t="s">
        <v>5263</v>
      </c>
      <c r="D929" s="254"/>
      <c r="E929" s="341">
        <f>SUMIF(GL!$D$6:$D$6487,B929,GL!$H$6:$H$6487)</f>
        <v>0</v>
      </c>
      <c r="F929" s="341">
        <f>SUMIF(GL!$D$6:$D$6487,B929,GL!$I$6:$I$6487)</f>
        <v>0</v>
      </c>
      <c r="G929" s="341"/>
      <c r="H929" s="341"/>
      <c r="I929" s="341">
        <f t="shared" si="1029"/>
        <v>0</v>
      </c>
      <c r="J929" s="341">
        <f t="shared" si="1030"/>
        <v>0</v>
      </c>
      <c r="K929" s="341"/>
      <c r="L929" s="342"/>
      <c r="M929" s="342"/>
      <c r="N929" s="341">
        <f t="shared" si="1031"/>
        <v>0</v>
      </c>
      <c r="O929" s="341">
        <f t="shared" si="1032"/>
        <v>0</v>
      </c>
      <c r="P929" s="341">
        <f>SUMIF(GL!$D$6488:$D$6532,B929,GL!$H$6488:$H$6532)</f>
        <v>0</v>
      </c>
      <c r="Q929" s="341">
        <f>SUMIF(GL!$D$6408:$D$6452,B929,GL!$I$6408:$I$6452)</f>
        <v>0</v>
      </c>
      <c r="R929" s="341">
        <f t="shared" ref="R929:S929" si="1044">P929+N929</f>
        <v>0</v>
      </c>
      <c r="S929" s="341">
        <f t="shared" si="1044"/>
        <v>0</v>
      </c>
      <c r="T929" s="340"/>
      <c r="U929" s="340"/>
      <c r="V929" s="340"/>
      <c r="W929" s="340"/>
      <c r="X929" s="341">
        <f t="shared" si="1034"/>
        <v>0</v>
      </c>
      <c r="Y929" s="341">
        <f t="shared" si="1035"/>
        <v>0</v>
      </c>
      <c r="Z929" s="331"/>
      <c r="AA929" s="110"/>
      <c r="AB929" s="330">
        <f t="shared" si="1036"/>
        <v>0</v>
      </c>
      <c r="AC929" s="332"/>
      <c r="AD929" s="110"/>
      <c r="AE929" s="110"/>
      <c r="AF929" s="110"/>
      <c r="AG929" s="110"/>
      <c r="AH929" s="110"/>
      <c r="AI929" s="110"/>
    </row>
    <row r="930" spans="1:35" ht="13.5" customHeight="1">
      <c r="A930" s="4"/>
      <c r="B930" s="15" t="s">
        <v>29</v>
      </c>
      <c r="C930" s="340" t="s">
        <v>5264</v>
      </c>
      <c r="D930" s="254"/>
      <c r="E930" s="341">
        <f>SUMIF(GL!$D$6:$D$6487,B930,GL!$H$6:$H$6487)</f>
        <v>30762000</v>
      </c>
      <c r="F930" s="341">
        <f>SUMIF(GL!$D$6:$D$6487,B930,GL!$I$6:$I$6487)</f>
        <v>0</v>
      </c>
      <c r="G930" s="341"/>
      <c r="H930" s="341"/>
      <c r="I930" s="341">
        <f t="shared" si="1029"/>
        <v>30762000</v>
      </c>
      <c r="J930" s="341">
        <f t="shared" si="1030"/>
        <v>0</v>
      </c>
      <c r="K930" s="341"/>
      <c r="L930" s="342"/>
      <c r="M930" s="342"/>
      <c r="N930" s="341">
        <f t="shared" si="1031"/>
        <v>30762000</v>
      </c>
      <c r="O930" s="341">
        <f t="shared" si="1032"/>
        <v>0</v>
      </c>
      <c r="P930" s="341">
        <f>SUMIF(GL!$D$6488:$D$6532,B930,GL!$H$6488:$H$6532)</f>
        <v>0</v>
      </c>
      <c r="Q930" s="341">
        <f>SUMIF(GL!$D$6408:$D$6452,B930,GL!$I$6408:$I$6452)</f>
        <v>0</v>
      </c>
      <c r="R930" s="341">
        <f t="shared" ref="R930:S930" si="1045">P930+N930</f>
        <v>30762000</v>
      </c>
      <c r="S930" s="341">
        <f t="shared" si="1045"/>
        <v>0</v>
      </c>
      <c r="T930" s="340"/>
      <c r="U930" s="340"/>
      <c r="V930" s="340"/>
      <c r="W930" s="340"/>
      <c r="X930" s="341">
        <f t="shared" si="1034"/>
        <v>30762000</v>
      </c>
      <c r="Y930" s="341">
        <f t="shared" si="1035"/>
        <v>0</v>
      </c>
      <c r="Z930" s="331"/>
      <c r="AA930" s="344"/>
      <c r="AB930" s="330">
        <f>X930+AA930</f>
        <v>30762000</v>
      </c>
      <c r="AC930" s="332"/>
      <c r="AD930" s="110"/>
      <c r="AE930" s="110"/>
      <c r="AF930" s="110"/>
      <c r="AG930" s="110"/>
      <c r="AH930" s="110"/>
      <c r="AI930" s="110"/>
    </row>
    <row r="931" spans="1:35" ht="13.5" customHeight="1">
      <c r="A931" s="2"/>
      <c r="B931" s="127" t="s">
        <v>5265</v>
      </c>
      <c r="C931" s="22" t="s">
        <v>5266</v>
      </c>
      <c r="D931" s="322"/>
      <c r="E931" s="338">
        <f t="shared" ref="E931:F931" si="1046">SUM(E921:E930)</f>
        <v>30762000</v>
      </c>
      <c r="F931" s="338">
        <f t="shared" si="1046"/>
        <v>2006066568</v>
      </c>
      <c r="G931" s="338"/>
      <c r="H931" s="338"/>
      <c r="I931" s="338">
        <f t="shared" ref="I931:J931" si="1047">SUM(I921:I930)</f>
        <v>30762000</v>
      </c>
      <c r="J931" s="338">
        <f t="shared" si="1047"/>
        <v>2006066568</v>
      </c>
      <c r="K931" s="338"/>
      <c r="L931" s="338"/>
      <c r="M931" s="338"/>
      <c r="N931" s="338">
        <f t="shared" ref="N931:Y931" si="1048">SUM(N921:N930)</f>
        <v>30762000</v>
      </c>
      <c r="O931" s="338">
        <f t="shared" si="1048"/>
        <v>2006066568</v>
      </c>
      <c r="P931" s="338">
        <f t="shared" si="1048"/>
        <v>0</v>
      </c>
      <c r="Q931" s="338">
        <f t="shared" si="1048"/>
        <v>0</v>
      </c>
      <c r="R931" s="338">
        <f t="shared" si="1048"/>
        <v>30762000</v>
      </c>
      <c r="S931" s="338">
        <f t="shared" si="1048"/>
        <v>2006066568</v>
      </c>
      <c r="T931" s="338">
        <f t="shared" si="1048"/>
        <v>0</v>
      </c>
      <c r="U931" s="338">
        <f t="shared" si="1048"/>
        <v>0</v>
      </c>
      <c r="V931" s="338">
        <f t="shared" si="1048"/>
        <v>0</v>
      </c>
      <c r="W931" s="338">
        <f t="shared" si="1048"/>
        <v>0</v>
      </c>
      <c r="X931" s="338">
        <f t="shared" si="1048"/>
        <v>30762000</v>
      </c>
      <c r="Y931" s="338">
        <f t="shared" si="1048"/>
        <v>2006066568</v>
      </c>
      <c r="Z931" s="331"/>
      <c r="AA931" s="110"/>
      <c r="AB931" s="330"/>
      <c r="AC931" s="332">
        <f>PL!D17</f>
        <v>1975304568</v>
      </c>
      <c r="AD931" s="110"/>
      <c r="AE931" s="110"/>
      <c r="AF931" s="332">
        <f>AC931-AB931</f>
        <v>1975304568</v>
      </c>
      <c r="AG931" s="110"/>
      <c r="AH931" s="110"/>
      <c r="AI931" s="110"/>
    </row>
    <row r="932" spans="1:35" ht="13.5" customHeight="1">
      <c r="A932" s="4"/>
      <c r="B932" s="15"/>
      <c r="C932" s="340"/>
      <c r="D932" s="254"/>
      <c r="E932" s="341"/>
      <c r="F932" s="341"/>
      <c r="G932" s="341"/>
      <c r="H932" s="341"/>
      <c r="I932" s="341"/>
      <c r="J932" s="341"/>
      <c r="K932" s="341"/>
      <c r="L932" s="341"/>
      <c r="M932" s="341"/>
      <c r="N932" s="341"/>
      <c r="O932" s="341"/>
      <c r="P932" s="341"/>
      <c r="Q932" s="341"/>
      <c r="R932" s="341"/>
      <c r="S932" s="341"/>
      <c r="T932" s="340"/>
      <c r="U932" s="340"/>
      <c r="V932" s="340"/>
      <c r="W932" s="340"/>
      <c r="X932" s="346"/>
      <c r="Y932" s="346"/>
      <c r="Z932" s="331"/>
      <c r="AA932" s="110"/>
      <c r="AB932" s="330"/>
      <c r="AC932" s="332"/>
      <c r="AD932" s="110"/>
      <c r="AE932" s="110"/>
      <c r="AF932" s="110"/>
      <c r="AG932" s="110"/>
      <c r="AH932" s="110"/>
      <c r="AI932" s="110"/>
    </row>
    <row r="933" spans="1:35" ht="13.5" customHeight="1">
      <c r="A933" s="2"/>
      <c r="B933" s="127" t="s">
        <v>5267</v>
      </c>
      <c r="C933" s="22" t="s">
        <v>5268</v>
      </c>
      <c r="D933" s="322"/>
      <c r="E933" s="338"/>
      <c r="F933" s="338"/>
      <c r="G933" s="338"/>
      <c r="H933" s="338"/>
      <c r="I933" s="338"/>
      <c r="J933" s="338"/>
      <c r="K933" s="338"/>
      <c r="L933" s="338"/>
      <c r="M933" s="338"/>
      <c r="N933" s="338"/>
      <c r="O933" s="338"/>
      <c r="P933" s="341"/>
      <c r="Q933" s="341"/>
      <c r="R933" s="338"/>
      <c r="S933" s="338"/>
      <c r="T933" s="22"/>
      <c r="U933" s="22"/>
      <c r="V933" s="22"/>
      <c r="W933" s="22"/>
      <c r="X933" s="339"/>
      <c r="Y933" s="339"/>
      <c r="Z933" s="331"/>
      <c r="AA933" s="110"/>
      <c r="AB933" s="330"/>
      <c r="AC933" s="332"/>
      <c r="AD933" s="110"/>
      <c r="AE933" s="110"/>
      <c r="AF933" s="110"/>
      <c r="AG933" s="110"/>
      <c r="AH933" s="110"/>
      <c r="AI933" s="110"/>
    </row>
    <row r="934" spans="1:35" ht="13.5" customHeight="1">
      <c r="A934" s="4"/>
      <c r="B934" s="15" t="s">
        <v>3611</v>
      </c>
      <c r="C934" s="340" t="s">
        <v>5269</v>
      </c>
      <c r="D934" s="254"/>
      <c r="E934" s="341">
        <f>SUMIF(GL!$D$6:$D$6487,B934,GL!$H$6:$H$6487)</f>
        <v>71182006.001255453</v>
      </c>
      <c r="F934" s="341">
        <f>SUMIF(GL!$D$6:$D$6487,B934,GL!$I$6:$I$6487)</f>
        <v>5428700</v>
      </c>
      <c r="G934" s="341"/>
      <c r="H934" s="341"/>
      <c r="I934" s="341">
        <f t="shared" ref="I934:I942" si="1049">IF(E934&gt;F934,E934-F934,0)</f>
        <v>65753306.001255453</v>
      </c>
      <c r="J934" s="341">
        <f t="shared" ref="J934:J942" si="1050">IF(F934&gt;E934,F934-E934,0)</f>
        <v>0</v>
      </c>
      <c r="K934" s="341"/>
      <c r="L934" s="342"/>
      <c r="M934" s="342"/>
      <c r="N934" s="341">
        <f t="shared" ref="N934:N942" si="1051">IF(I934+L934&gt;J934+M934,(I934+L934)-(J934+M934),0)</f>
        <v>65753306.001255453</v>
      </c>
      <c r="O934" s="341">
        <f t="shared" ref="O934:O942" si="1052">IF(J934+M934&gt;I934+L934,(J934+M934)-(I934+L934),0)</f>
        <v>0</v>
      </c>
      <c r="P934" s="341">
        <f>SUMIF(GL!$D$6488:$D$6532,B934,GL!$H$6488:$H$6532)</f>
        <v>0</v>
      </c>
      <c r="Q934" s="341">
        <f>SUMIF(GL!$D$6408:$D$6452,B934,GL!$I$6408:$I$6452)</f>
        <v>0</v>
      </c>
      <c r="R934" s="341">
        <f t="shared" ref="R934:S934" si="1053">P934+N934</f>
        <v>65753306.001255453</v>
      </c>
      <c r="S934" s="341">
        <f t="shared" si="1053"/>
        <v>0</v>
      </c>
      <c r="T934" s="340"/>
      <c r="U934" s="340"/>
      <c r="V934" s="340"/>
      <c r="W934" s="340"/>
      <c r="X934" s="341">
        <f t="shared" ref="X934:X942" si="1054">IF(R934&gt;S934,R934-S934,0)</f>
        <v>65753306.001255453</v>
      </c>
      <c r="Y934" s="341">
        <f t="shared" ref="Y934:Y942" si="1055">IF(S934&gt;R934,S934-R934,0)</f>
        <v>0</v>
      </c>
      <c r="Z934" s="331"/>
      <c r="AA934" s="110"/>
      <c r="AB934" s="330"/>
      <c r="AC934" s="332"/>
      <c r="AD934" s="110"/>
      <c r="AE934" s="110"/>
      <c r="AF934" s="110"/>
      <c r="AG934" s="110"/>
      <c r="AH934" s="110"/>
      <c r="AI934" s="110"/>
    </row>
    <row r="935" spans="1:35" ht="13.5" customHeight="1">
      <c r="A935" s="4"/>
      <c r="B935" s="15" t="s">
        <v>3613</v>
      </c>
      <c r="C935" s="340" t="s">
        <v>5270</v>
      </c>
      <c r="D935" s="254"/>
      <c r="E935" s="341">
        <f>SUMIF(GL!$D$6:$D$6487,B935,GL!$H$6:$H$6487)</f>
        <v>385226661.72156817</v>
      </c>
      <c r="F935" s="341">
        <f>SUMIF(GL!$D$6:$D$6487,B935,GL!$I$6:$I$6487)</f>
        <v>36157667</v>
      </c>
      <c r="G935" s="341"/>
      <c r="H935" s="341"/>
      <c r="I935" s="341">
        <f t="shared" si="1049"/>
        <v>349068994.72156817</v>
      </c>
      <c r="J935" s="341">
        <f t="shared" si="1050"/>
        <v>0</v>
      </c>
      <c r="K935" s="341"/>
      <c r="L935" s="342"/>
      <c r="M935" s="342"/>
      <c r="N935" s="341">
        <f t="shared" si="1051"/>
        <v>349068994.72156817</v>
      </c>
      <c r="O935" s="341">
        <f t="shared" si="1052"/>
        <v>0</v>
      </c>
      <c r="P935" s="341">
        <f>SUMIF(GL!$D$6488:$D$6532,B935,GL!$H$6488:$H$6532)</f>
        <v>0</v>
      </c>
      <c r="Q935" s="341">
        <f>SUMIF(GL!$D$6408:$D$6452,B935,GL!$I$6408:$I$6452)</f>
        <v>0</v>
      </c>
      <c r="R935" s="341">
        <f t="shared" ref="R935:S935" si="1056">P935+N935</f>
        <v>349068994.72156817</v>
      </c>
      <c r="S935" s="341">
        <f t="shared" si="1056"/>
        <v>0</v>
      </c>
      <c r="T935" s="340"/>
      <c r="U935" s="340"/>
      <c r="V935" s="340"/>
      <c r="W935" s="340"/>
      <c r="X935" s="341">
        <f t="shared" si="1054"/>
        <v>349068994.72156817</v>
      </c>
      <c r="Y935" s="341">
        <f t="shared" si="1055"/>
        <v>0</v>
      </c>
      <c r="Z935" s="331"/>
      <c r="AA935" s="110"/>
      <c r="AB935" s="330"/>
      <c r="AC935" s="332"/>
      <c r="AD935" s="110"/>
      <c r="AE935" s="110"/>
      <c r="AF935" s="110"/>
      <c r="AG935" s="110"/>
      <c r="AH935" s="110"/>
      <c r="AI935" s="110"/>
    </row>
    <row r="936" spans="1:35" ht="13.5" customHeight="1">
      <c r="A936" s="4"/>
      <c r="B936" s="15" t="s">
        <v>3615</v>
      </c>
      <c r="C936" s="340" t="s">
        <v>5271</v>
      </c>
      <c r="D936" s="254"/>
      <c r="E936" s="341">
        <f>SUMIF(GL!$D$6:$D$6487,B936,GL!$H$6:$H$6487)</f>
        <v>735701.88181818172</v>
      </c>
      <c r="F936" s="341">
        <f>SUMIF(GL!$D$6:$D$6487,B936,GL!$I$6:$I$6487)</f>
        <v>0</v>
      </c>
      <c r="G936" s="341"/>
      <c r="H936" s="341"/>
      <c r="I936" s="341">
        <f t="shared" si="1049"/>
        <v>735701.88181818172</v>
      </c>
      <c r="J936" s="341">
        <f t="shared" si="1050"/>
        <v>0</v>
      </c>
      <c r="K936" s="341"/>
      <c r="L936" s="342"/>
      <c r="M936" s="342"/>
      <c r="N936" s="341">
        <f t="shared" si="1051"/>
        <v>735701.88181818172</v>
      </c>
      <c r="O936" s="341">
        <f t="shared" si="1052"/>
        <v>0</v>
      </c>
      <c r="P936" s="341">
        <f>SUMIF(GL!$D$6488:$D$6532,B936,GL!$H$6488:$H$6532)</f>
        <v>0</v>
      </c>
      <c r="Q936" s="341">
        <f>SUMIF(GL!$D$6408:$D$6452,B936,GL!$I$6408:$I$6452)</f>
        <v>0</v>
      </c>
      <c r="R936" s="341">
        <f t="shared" ref="R936:S936" si="1057">P936+N936</f>
        <v>735701.88181818172</v>
      </c>
      <c r="S936" s="341">
        <f t="shared" si="1057"/>
        <v>0</v>
      </c>
      <c r="T936" s="340"/>
      <c r="U936" s="340"/>
      <c r="V936" s="340"/>
      <c r="W936" s="340"/>
      <c r="X936" s="341">
        <f t="shared" si="1054"/>
        <v>735701.88181818172</v>
      </c>
      <c r="Y936" s="341">
        <f t="shared" si="1055"/>
        <v>0</v>
      </c>
      <c r="Z936" s="331"/>
      <c r="AA936" s="110"/>
      <c r="AB936" s="330"/>
      <c r="AC936" s="332"/>
      <c r="AD936" s="110"/>
      <c r="AE936" s="110"/>
      <c r="AF936" s="110"/>
      <c r="AG936" s="110"/>
      <c r="AH936" s="110"/>
      <c r="AI936" s="110"/>
    </row>
    <row r="937" spans="1:35" ht="13.5" customHeight="1">
      <c r="A937" s="4"/>
      <c r="B937" s="15" t="s">
        <v>3617</v>
      </c>
      <c r="C937" s="340" t="s">
        <v>5272</v>
      </c>
      <c r="D937" s="254"/>
      <c r="E937" s="341">
        <f>SUMIF(GL!$D$6:$D$6487,B937,GL!$H$6:$H$6487)</f>
        <v>17082366.576508671</v>
      </c>
      <c r="F937" s="341">
        <f>SUMIF(GL!$D$6:$D$6487,B937,GL!$I$6:$I$6487)</f>
        <v>0</v>
      </c>
      <c r="G937" s="341"/>
      <c r="H937" s="341"/>
      <c r="I937" s="341">
        <f t="shared" si="1049"/>
        <v>17082366.576508671</v>
      </c>
      <c r="J937" s="341">
        <f t="shared" si="1050"/>
        <v>0</v>
      </c>
      <c r="K937" s="341"/>
      <c r="L937" s="342"/>
      <c r="M937" s="342"/>
      <c r="N937" s="341">
        <f t="shared" si="1051"/>
        <v>17082366.576508671</v>
      </c>
      <c r="O937" s="341">
        <f t="shared" si="1052"/>
        <v>0</v>
      </c>
      <c r="P937" s="341">
        <f>SUMIF(GL!$D$6488:$D$6532,B937,GL!$H$6488:$H$6532)</f>
        <v>0</v>
      </c>
      <c r="Q937" s="341">
        <f>SUMIF(GL!$D$6408:$D$6452,B937,GL!$I$6408:$I$6452)</f>
        <v>0</v>
      </c>
      <c r="R937" s="341">
        <f t="shared" ref="R937:S937" si="1058">P937+N937</f>
        <v>17082366.576508671</v>
      </c>
      <c r="S937" s="341">
        <f t="shared" si="1058"/>
        <v>0</v>
      </c>
      <c r="T937" s="340"/>
      <c r="U937" s="340"/>
      <c r="V937" s="340"/>
      <c r="W937" s="340"/>
      <c r="X937" s="341">
        <f t="shared" si="1054"/>
        <v>17082366.576508671</v>
      </c>
      <c r="Y937" s="341">
        <f t="shared" si="1055"/>
        <v>0</v>
      </c>
      <c r="Z937" s="331"/>
      <c r="AA937" s="110"/>
      <c r="AB937" s="330">
        <f>SUM(AB933:AB936)</f>
        <v>0</v>
      </c>
      <c r="AC937" s="332"/>
      <c r="AD937" s="110"/>
      <c r="AE937" s="110"/>
      <c r="AF937" s="110"/>
      <c r="AG937" s="110"/>
      <c r="AH937" s="110"/>
      <c r="AI937" s="110"/>
    </row>
    <row r="938" spans="1:35" ht="13.5" customHeight="1">
      <c r="A938" s="4"/>
      <c r="B938" s="15" t="s">
        <v>659</v>
      </c>
      <c r="C938" s="340" t="s">
        <v>5273</v>
      </c>
      <c r="D938" s="254"/>
      <c r="E938" s="341">
        <f>SUMIF(GL!$D$6:$D$6487,B938,GL!$H$6:$H$6487)</f>
        <v>306036607</v>
      </c>
      <c r="F938" s="341">
        <f>SUMIF(GL!$D$6:$D$6487,B938,GL!$I$6:$I$6487)</f>
        <v>13000000</v>
      </c>
      <c r="G938" s="341"/>
      <c r="H938" s="341"/>
      <c r="I938" s="341">
        <f t="shared" si="1049"/>
        <v>293036607</v>
      </c>
      <c r="J938" s="341">
        <f t="shared" si="1050"/>
        <v>0</v>
      </c>
      <c r="K938" s="341"/>
      <c r="L938" s="342"/>
      <c r="M938" s="342"/>
      <c r="N938" s="341">
        <f t="shared" si="1051"/>
        <v>293036607</v>
      </c>
      <c r="O938" s="341">
        <f t="shared" si="1052"/>
        <v>0</v>
      </c>
      <c r="P938" s="341">
        <f>SUMIF(GL!$D$6488:$D$6532,B938,GL!$H$6488:$H$6532)</f>
        <v>0</v>
      </c>
      <c r="Q938" s="341">
        <f>SUMIF(GL!$D$6408:$D$6452,B938,GL!$I$6408:$I$6452)</f>
        <v>0</v>
      </c>
      <c r="R938" s="341">
        <f t="shared" ref="R938:S938" si="1059">P938+N938</f>
        <v>293036607</v>
      </c>
      <c r="S938" s="341">
        <f t="shared" si="1059"/>
        <v>0</v>
      </c>
      <c r="T938" s="340"/>
      <c r="U938" s="340"/>
      <c r="V938" s="340"/>
      <c r="W938" s="340"/>
      <c r="X938" s="341">
        <f t="shared" si="1054"/>
        <v>293036607</v>
      </c>
      <c r="Y938" s="341">
        <f t="shared" si="1055"/>
        <v>0</v>
      </c>
      <c r="Z938" s="331"/>
      <c r="AA938" s="110"/>
      <c r="AB938" s="330"/>
      <c r="AC938" s="332"/>
      <c r="AD938" s="110"/>
      <c r="AE938" s="110"/>
      <c r="AF938" s="110"/>
      <c r="AG938" s="110"/>
      <c r="AH938" s="110"/>
      <c r="AI938" s="110"/>
    </row>
    <row r="939" spans="1:35" ht="13.5" customHeight="1">
      <c r="A939" s="4"/>
      <c r="B939" s="15" t="s">
        <v>3619</v>
      </c>
      <c r="C939" s="340" t="s">
        <v>5274</v>
      </c>
      <c r="D939" s="254"/>
      <c r="E939" s="341">
        <f>SUMIF(GL!$D$6:$D$6487,B939,GL!$H$6:$H$6487)</f>
        <v>0</v>
      </c>
      <c r="F939" s="341">
        <f>SUMIF(GL!$D$6:$D$6487,B939,GL!$I$6:$I$6487)</f>
        <v>0</v>
      </c>
      <c r="G939" s="341"/>
      <c r="H939" s="341"/>
      <c r="I939" s="341">
        <f t="shared" si="1049"/>
        <v>0</v>
      </c>
      <c r="J939" s="341">
        <f t="shared" si="1050"/>
        <v>0</v>
      </c>
      <c r="K939" s="341"/>
      <c r="L939" s="342"/>
      <c r="M939" s="342"/>
      <c r="N939" s="341">
        <f t="shared" si="1051"/>
        <v>0</v>
      </c>
      <c r="O939" s="341">
        <f t="shared" si="1052"/>
        <v>0</v>
      </c>
      <c r="P939" s="341">
        <f>SUMIF(GL!$D$6488:$D$6532,B939,GL!$H$6488:$H$6532)</f>
        <v>0</v>
      </c>
      <c r="Q939" s="341">
        <f>SUMIF(GL!$D$6408:$D$6452,B939,GL!$I$6408:$I$6452)</f>
        <v>0</v>
      </c>
      <c r="R939" s="341">
        <f t="shared" ref="R939:S939" si="1060">P939+N939</f>
        <v>0</v>
      </c>
      <c r="S939" s="341">
        <f t="shared" si="1060"/>
        <v>0</v>
      </c>
      <c r="T939" s="340"/>
      <c r="U939" s="340"/>
      <c r="V939" s="340"/>
      <c r="W939" s="340"/>
      <c r="X939" s="341">
        <f t="shared" si="1054"/>
        <v>0</v>
      </c>
      <c r="Y939" s="341">
        <f t="shared" si="1055"/>
        <v>0</v>
      </c>
      <c r="Z939" s="331"/>
      <c r="AA939" s="110"/>
      <c r="AB939" s="330"/>
      <c r="AC939" s="332"/>
      <c r="AD939" s="110"/>
      <c r="AE939" s="110"/>
      <c r="AF939" s="110"/>
      <c r="AG939" s="110"/>
      <c r="AH939" s="110"/>
      <c r="AI939" s="110"/>
    </row>
    <row r="940" spans="1:35" ht="13.5" customHeight="1">
      <c r="A940" s="4"/>
      <c r="B940" s="15" t="s">
        <v>3149</v>
      </c>
      <c r="C940" s="340" t="s">
        <v>5275</v>
      </c>
      <c r="D940" s="254"/>
      <c r="E940" s="341">
        <f>SUMIF(GL!$D$6:$D$6487,B940,GL!$H$6:$H$6487)</f>
        <v>25856316.66</v>
      </c>
      <c r="F940" s="341">
        <f>SUMIF(GL!$D$6:$D$6487,B940,GL!$I$6:$I$6487)</f>
        <v>5500000</v>
      </c>
      <c r="G940" s="341"/>
      <c r="H940" s="341"/>
      <c r="I940" s="341">
        <f t="shared" si="1049"/>
        <v>20356316.66</v>
      </c>
      <c r="J940" s="341">
        <f t="shared" si="1050"/>
        <v>0</v>
      </c>
      <c r="K940" s="341"/>
      <c r="L940" s="342"/>
      <c r="M940" s="342"/>
      <c r="N940" s="341">
        <f t="shared" si="1051"/>
        <v>20356316.66</v>
      </c>
      <c r="O940" s="341">
        <f t="shared" si="1052"/>
        <v>0</v>
      </c>
      <c r="P940" s="341">
        <f>SUMIF(GL!$D$6488:$D$6532,B940,GL!$H$6488:$H$6532)</f>
        <v>0</v>
      </c>
      <c r="Q940" s="341">
        <f>SUMIF(GL!$D$6408:$D$6452,B940,GL!$I$6408:$I$6452)</f>
        <v>0</v>
      </c>
      <c r="R940" s="341">
        <f t="shared" ref="R940:S940" si="1061">P940+N940</f>
        <v>20356316.66</v>
      </c>
      <c r="S940" s="341">
        <f t="shared" si="1061"/>
        <v>0</v>
      </c>
      <c r="T940" s="340"/>
      <c r="U940" s="340"/>
      <c r="V940" s="340"/>
      <c r="W940" s="340"/>
      <c r="X940" s="341">
        <f t="shared" si="1054"/>
        <v>20356316.66</v>
      </c>
      <c r="Y940" s="341">
        <f t="shared" si="1055"/>
        <v>0</v>
      </c>
      <c r="Z940" s="331"/>
      <c r="AA940" s="110"/>
      <c r="AB940" s="330"/>
      <c r="AC940" s="332"/>
      <c r="AD940" s="110"/>
      <c r="AE940" s="110"/>
      <c r="AF940" s="110"/>
      <c r="AG940" s="110"/>
      <c r="AH940" s="110"/>
      <c r="AI940" s="110"/>
    </row>
    <row r="941" spans="1:35" ht="13.5" customHeight="1">
      <c r="A941" s="4"/>
      <c r="B941" s="15" t="s">
        <v>221</v>
      </c>
      <c r="C941" s="340" t="s">
        <v>5276</v>
      </c>
      <c r="D941" s="254"/>
      <c r="E941" s="341">
        <f>SUMIF(GL!$D$6:$D$6487,B941,GL!$H$6:$H$6487)</f>
        <v>16689864.5</v>
      </c>
      <c r="F941" s="341">
        <f>SUMIF(GL!$D$6:$D$6487,B941,GL!$I$6:$I$6487)</f>
        <v>5335479</v>
      </c>
      <c r="G941" s="341"/>
      <c r="H941" s="341"/>
      <c r="I941" s="341">
        <f t="shared" si="1049"/>
        <v>11354385.5</v>
      </c>
      <c r="J941" s="341">
        <f t="shared" si="1050"/>
        <v>0</v>
      </c>
      <c r="K941" s="341"/>
      <c r="L941" s="342"/>
      <c r="M941" s="342"/>
      <c r="N941" s="341">
        <f t="shared" si="1051"/>
        <v>11354385.5</v>
      </c>
      <c r="O941" s="341">
        <f t="shared" si="1052"/>
        <v>0</v>
      </c>
      <c r="P941" s="341">
        <f>SUMIF(GL!$D$6488:$D$6532,B941,GL!$H$6488:$H$6532)</f>
        <v>0</v>
      </c>
      <c r="Q941" s="341">
        <f>SUMIF(GL!$D$6408:$D$6452,B941,GL!$I$6408:$I$6452)</f>
        <v>0</v>
      </c>
      <c r="R941" s="341">
        <f t="shared" ref="R941:S941" si="1062">P941+N941</f>
        <v>11354385.5</v>
      </c>
      <c r="S941" s="341">
        <f t="shared" si="1062"/>
        <v>0</v>
      </c>
      <c r="T941" s="340"/>
      <c r="U941" s="340"/>
      <c r="V941" s="340"/>
      <c r="W941" s="340"/>
      <c r="X941" s="341">
        <f t="shared" si="1054"/>
        <v>11354385.5</v>
      </c>
      <c r="Y941" s="341">
        <f t="shared" si="1055"/>
        <v>0</v>
      </c>
      <c r="Z941" s="331"/>
      <c r="AA941" s="110"/>
      <c r="AB941" s="330"/>
      <c r="AC941" s="332"/>
      <c r="AD941" s="110"/>
      <c r="AE941" s="110"/>
      <c r="AF941" s="110"/>
      <c r="AG941" s="110"/>
      <c r="AH941" s="110"/>
      <c r="AI941" s="110"/>
    </row>
    <row r="942" spans="1:35" ht="13.5" customHeight="1">
      <c r="A942" s="2"/>
      <c r="B942" s="68" t="s">
        <v>3642</v>
      </c>
      <c r="C942" s="340" t="s">
        <v>5277</v>
      </c>
      <c r="D942" s="322"/>
      <c r="E942" s="341">
        <f>SUMIF(GL!$D$6:$D$6487,B942,GL!$H$6:$H$6487)</f>
        <v>105350.00000000001</v>
      </c>
      <c r="F942" s="341">
        <f>SUMIF(GL!$D$6:$D$6487,B942,GL!$I$6:$I$6487)</f>
        <v>0</v>
      </c>
      <c r="G942" s="341"/>
      <c r="H942" s="341"/>
      <c r="I942" s="341">
        <f t="shared" si="1049"/>
        <v>105350.00000000001</v>
      </c>
      <c r="J942" s="341">
        <f t="shared" si="1050"/>
        <v>0</v>
      </c>
      <c r="K942" s="341"/>
      <c r="L942" s="342"/>
      <c r="M942" s="342"/>
      <c r="N942" s="341">
        <f t="shared" si="1051"/>
        <v>105350.00000000001</v>
      </c>
      <c r="O942" s="341">
        <f t="shared" si="1052"/>
        <v>0</v>
      </c>
      <c r="P942" s="341">
        <f>SUMIF(GL!$D$6488:$D$6532,B942,GL!$H$6488:$H$6532)</f>
        <v>0</v>
      </c>
      <c r="Q942" s="341">
        <f>SUMIF(GL!$D$6408:$D$6452,B942,GL!$I$6408:$I$6452)</f>
        <v>0</v>
      </c>
      <c r="R942" s="341">
        <f t="shared" ref="R942:S942" si="1063">P942+N942</f>
        <v>105350.00000000001</v>
      </c>
      <c r="S942" s="341">
        <f t="shared" si="1063"/>
        <v>0</v>
      </c>
      <c r="T942" s="340"/>
      <c r="U942" s="340"/>
      <c r="V942" s="340"/>
      <c r="W942" s="340"/>
      <c r="X942" s="341">
        <f t="shared" si="1054"/>
        <v>105350.00000000001</v>
      </c>
      <c r="Y942" s="341">
        <f t="shared" si="1055"/>
        <v>0</v>
      </c>
      <c r="Z942" s="331"/>
      <c r="AA942" s="110"/>
      <c r="AB942" s="330"/>
      <c r="AC942" s="332"/>
      <c r="AD942" s="110"/>
      <c r="AE942" s="110"/>
      <c r="AF942" s="110"/>
      <c r="AG942" s="110"/>
      <c r="AH942" s="110"/>
      <c r="AI942" s="110"/>
    </row>
    <row r="943" spans="1:35" ht="13.5" customHeight="1">
      <c r="A943" s="2"/>
      <c r="B943" s="127" t="s">
        <v>5278</v>
      </c>
      <c r="C943" s="22" t="s">
        <v>5279</v>
      </c>
      <c r="D943" s="322"/>
      <c r="E943" s="338">
        <f t="shared" ref="E943:Y943" si="1064">SUM(E934:E942)</f>
        <v>822914874.3411504</v>
      </c>
      <c r="F943" s="338">
        <f t="shared" si="1064"/>
        <v>65421846</v>
      </c>
      <c r="G943" s="338">
        <f t="shared" si="1064"/>
        <v>0</v>
      </c>
      <c r="H943" s="338">
        <f t="shared" si="1064"/>
        <v>0</v>
      </c>
      <c r="I943" s="338">
        <f t="shared" si="1064"/>
        <v>757493028.3411504</v>
      </c>
      <c r="J943" s="338">
        <f t="shared" si="1064"/>
        <v>0</v>
      </c>
      <c r="K943" s="338">
        <f t="shared" si="1064"/>
        <v>0</v>
      </c>
      <c r="L943" s="338">
        <f t="shared" si="1064"/>
        <v>0</v>
      </c>
      <c r="M943" s="338">
        <f t="shared" si="1064"/>
        <v>0</v>
      </c>
      <c r="N943" s="338">
        <f t="shared" si="1064"/>
        <v>757493028.3411504</v>
      </c>
      <c r="O943" s="338">
        <f t="shared" si="1064"/>
        <v>0</v>
      </c>
      <c r="P943" s="338">
        <f t="shared" si="1064"/>
        <v>0</v>
      </c>
      <c r="Q943" s="338">
        <f t="shared" si="1064"/>
        <v>0</v>
      </c>
      <c r="R943" s="338">
        <f t="shared" si="1064"/>
        <v>757493028.3411504</v>
      </c>
      <c r="S943" s="338">
        <f t="shared" si="1064"/>
        <v>0</v>
      </c>
      <c r="T943" s="338">
        <f t="shared" si="1064"/>
        <v>0</v>
      </c>
      <c r="U943" s="338">
        <f t="shared" si="1064"/>
        <v>0</v>
      </c>
      <c r="V943" s="338">
        <f t="shared" si="1064"/>
        <v>0</v>
      </c>
      <c r="W943" s="338">
        <f t="shared" si="1064"/>
        <v>0</v>
      </c>
      <c r="X943" s="338">
        <f t="shared" si="1064"/>
        <v>757493028.3411504</v>
      </c>
      <c r="Y943" s="338">
        <f t="shared" si="1064"/>
        <v>0</v>
      </c>
      <c r="Z943" s="331"/>
      <c r="AA943" s="110"/>
      <c r="AB943" s="330"/>
      <c r="AC943" s="332"/>
      <c r="AD943" s="110"/>
      <c r="AE943" s="110"/>
      <c r="AF943" s="110"/>
      <c r="AG943" s="110"/>
      <c r="AH943" s="110"/>
      <c r="AI943" s="110"/>
    </row>
    <row r="944" spans="1:35" ht="13.5" customHeight="1">
      <c r="A944" s="4"/>
      <c r="B944" s="15"/>
      <c r="C944" s="340"/>
      <c r="D944" s="254"/>
      <c r="E944" s="341"/>
      <c r="F944" s="341"/>
      <c r="G944" s="341"/>
      <c r="H944" s="341"/>
      <c r="I944" s="341"/>
      <c r="J944" s="341"/>
      <c r="K944" s="341"/>
      <c r="L944" s="341"/>
      <c r="M944" s="341"/>
      <c r="N944" s="341"/>
      <c r="O944" s="341"/>
      <c r="P944" s="341"/>
      <c r="Q944" s="341"/>
      <c r="R944" s="341"/>
      <c r="S944" s="341"/>
      <c r="T944" s="340"/>
      <c r="U944" s="340"/>
      <c r="V944" s="340"/>
      <c r="W944" s="340"/>
      <c r="X944" s="346"/>
      <c r="Y944" s="346"/>
      <c r="Z944" s="331"/>
      <c r="AA944" s="110"/>
      <c r="AB944" s="330"/>
      <c r="AC944" s="332"/>
      <c r="AD944" s="110"/>
      <c r="AE944" s="110"/>
      <c r="AF944" s="110"/>
      <c r="AG944" s="110"/>
      <c r="AH944" s="110"/>
      <c r="AI944" s="110"/>
    </row>
    <row r="945" spans="1:35" ht="13.5" customHeight="1">
      <c r="A945" s="2"/>
      <c r="B945" s="127" t="s">
        <v>5280</v>
      </c>
      <c r="C945" s="22" t="s">
        <v>5281</v>
      </c>
      <c r="D945" s="322"/>
      <c r="E945" s="338"/>
      <c r="F945" s="338"/>
      <c r="G945" s="338"/>
      <c r="H945" s="338"/>
      <c r="I945" s="338"/>
      <c r="J945" s="338"/>
      <c r="K945" s="338"/>
      <c r="L945" s="338"/>
      <c r="M945" s="338"/>
      <c r="N945" s="338"/>
      <c r="O945" s="338"/>
      <c r="P945" s="341"/>
      <c r="Q945" s="341"/>
      <c r="R945" s="338"/>
      <c r="S945" s="338"/>
      <c r="T945" s="22"/>
      <c r="U945" s="22"/>
      <c r="V945" s="22"/>
      <c r="W945" s="22"/>
      <c r="X945" s="339"/>
      <c r="Y945" s="339"/>
      <c r="Z945" s="331"/>
      <c r="AA945" s="110"/>
      <c r="AB945" s="330"/>
      <c r="AC945" s="332"/>
      <c r="AD945" s="110"/>
      <c r="AE945" s="110"/>
      <c r="AF945" s="110"/>
      <c r="AG945" s="110"/>
      <c r="AH945" s="110"/>
      <c r="AI945" s="110"/>
    </row>
    <row r="946" spans="1:35" ht="13.5" customHeight="1">
      <c r="A946" s="4"/>
      <c r="B946" s="15"/>
      <c r="C946" s="340"/>
      <c r="D946" s="254"/>
      <c r="E946" s="341"/>
      <c r="F946" s="341"/>
      <c r="G946" s="341"/>
      <c r="H946" s="341"/>
      <c r="I946" s="341"/>
      <c r="J946" s="341"/>
      <c r="K946" s="341"/>
      <c r="L946" s="341"/>
      <c r="M946" s="341"/>
      <c r="N946" s="341"/>
      <c r="O946" s="341"/>
      <c r="P946" s="341"/>
      <c r="Q946" s="341"/>
      <c r="R946" s="341"/>
      <c r="S946" s="341"/>
      <c r="T946" s="340"/>
      <c r="U946" s="340"/>
      <c r="V946" s="340"/>
      <c r="W946" s="340"/>
      <c r="X946" s="346"/>
      <c r="Y946" s="346"/>
      <c r="Z946" s="331"/>
      <c r="AA946" s="110"/>
      <c r="AB946" s="330"/>
      <c r="AC946" s="332"/>
      <c r="AD946" s="110"/>
      <c r="AE946" s="110"/>
      <c r="AF946" s="110"/>
      <c r="AG946" s="110"/>
      <c r="AH946" s="110"/>
      <c r="AI946" s="110"/>
    </row>
    <row r="947" spans="1:35" ht="13.5" customHeight="1">
      <c r="A947" s="2"/>
      <c r="B947" s="127" t="s">
        <v>5282</v>
      </c>
      <c r="C947" s="22" t="s">
        <v>5283</v>
      </c>
      <c r="D947" s="322"/>
      <c r="E947" s="338"/>
      <c r="F947" s="338"/>
      <c r="G947" s="338"/>
      <c r="H947" s="338"/>
      <c r="I947" s="338"/>
      <c r="J947" s="338"/>
      <c r="K947" s="338"/>
      <c r="L947" s="338"/>
      <c r="M947" s="338"/>
      <c r="N947" s="338"/>
      <c r="O947" s="338"/>
      <c r="P947" s="341"/>
      <c r="Q947" s="341"/>
      <c r="R947" s="338"/>
      <c r="S947" s="338"/>
      <c r="T947" s="22"/>
      <c r="U947" s="22"/>
      <c r="V947" s="22"/>
      <c r="W947" s="22"/>
      <c r="X947" s="339"/>
      <c r="Y947" s="339"/>
      <c r="Z947" s="331"/>
      <c r="AA947" s="110"/>
      <c r="AB947" s="330"/>
      <c r="AC947" s="332"/>
      <c r="AD947" s="110"/>
      <c r="AE947" s="110"/>
      <c r="AF947" s="110"/>
      <c r="AG947" s="110"/>
      <c r="AH947" s="110"/>
      <c r="AI947" s="110"/>
    </row>
    <row r="948" spans="1:35" ht="13.5" customHeight="1">
      <c r="A948" s="4"/>
      <c r="B948" s="15" t="s">
        <v>1538</v>
      </c>
      <c r="C948" s="340" t="s">
        <v>5284</v>
      </c>
      <c r="D948" s="254"/>
      <c r="E948" s="341">
        <f>SUMIF(GL!$D$6:$D$6487,B948,GL!$H$6:$H$6487)</f>
        <v>508074631</v>
      </c>
      <c r="F948" s="341">
        <f>SUMIF(GL!$D$6:$D$6487,B948,GL!$I$6:$I$6487)</f>
        <v>1698883</v>
      </c>
      <c r="G948" s="341"/>
      <c r="H948" s="341"/>
      <c r="I948" s="341">
        <f t="shared" ref="I948:I957" si="1065">IF(E948&gt;F948,E948-F948,0)</f>
        <v>506375748</v>
      </c>
      <c r="J948" s="341">
        <f t="shared" ref="J948:J957" si="1066">IF(F948&gt;E948,F948-E948,0)</f>
        <v>0</v>
      </c>
      <c r="K948" s="341"/>
      <c r="L948" s="342"/>
      <c r="M948" s="342"/>
      <c r="N948" s="341">
        <f t="shared" ref="N948:N957" si="1067">IF(I948+L948&gt;J948+M948,(I948+L948)-(J948+M948),0)</f>
        <v>506375748</v>
      </c>
      <c r="O948" s="341">
        <f t="shared" ref="O948:O957" si="1068">IF(J948+M948&gt;I948+L948,(J948+M948)-(I948+L948),0)</f>
        <v>0</v>
      </c>
      <c r="P948" s="341">
        <f>SUMIF(GL!$D$6488:$D$6532,B948,GL!$H$6488:$H$6532)</f>
        <v>0</v>
      </c>
      <c r="Q948" s="341">
        <f>SUMIF(GL!$D$6408:$D$6452,B948,GL!$I$6408:$I$6452)</f>
        <v>0</v>
      </c>
      <c r="R948" s="341">
        <f t="shared" ref="R948:S948" si="1069">P948+N948</f>
        <v>506375748</v>
      </c>
      <c r="S948" s="341">
        <f t="shared" si="1069"/>
        <v>0</v>
      </c>
      <c r="T948" s="340"/>
      <c r="U948" s="340"/>
      <c r="V948" s="340"/>
      <c r="W948" s="340"/>
      <c r="X948" s="341">
        <f t="shared" ref="X948:X957" si="1070">IF(R948&gt;S948,R948-S948,0)</f>
        <v>506375748</v>
      </c>
      <c r="Y948" s="341">
        <f t="shared" ref="Y948:Y957" si="1071">IF(S948&gt;R948,S948-R948,0)</f>
        <v>0</v>
      </c>
      <c r="Z948" s="331"/>
      <c r="AA948" s="110"/>
      <c r="AB948" s="330"/>
      <c r="AC948" s="332"/>
      <c r="AD948" s="110"/>
      <c r="AE948" s="110"/>
      <c r="AF948" s="110"/>
      <c r="AG948" s="110"/>
      <c r="AH948" s="110"/>
      <c r="AI948" s="110"/>
    </row>
    <row r="949" spans="1:35" ht="13.5" customHeight="1">
      <c r="A949" s="4"/>
      <c r="B949" s="15" t="s">
        <v>1540</v>
      </c>
      <c r="C949" s="340" t="s">
        <v>5285</v>
      </c>
      <c r="D949" s="254"/>
      <c r="E949" s="341">
        <f>SUMIF(GL!$D$6:$D$6487,B949,GL!$H$6:$H$6487)</f>
        <v>36045000</v>
      </c>
      <c r="F949" s="341">
        <f>SUMIF(GL!$D$6:$D$6487,B949,GL!$I$6:$I$6487)</f>
        <v>0</v>
      </c>
      <c r="G949" s="341"/>
      <c r="H949" s="341"/>
      <c r="I949" s="341">
        <f t="shared" si="1065"/>
        <v>36045000</v>
      </c>
      <c r="J949" s="341">
        <f t="shared" si="1066"/>
        <v>0</v>
      </c>
      <c r="K949" s="341"/>
      <c r="L949" s="342"/>
      <c r="M949" s="342"/>
      <c r="N949" s="341">
        <f t="shared" si="1067"/>
        <v>36045000</v>
      </c>
      <c r="O949" s="341">
        <f t="shared" si="1068"/>
        <v>0</v>
      </c>
      <c r="P949" s="341">
        <f>SUMIF(GL!$D$6488:$D$6532,B949,GL!$H$6488:$H$6532)</f>
        <v>0</v>
      </c>
      <c r="Q949" s="341">
        <f>SUMIF(GL!$D$6408:$D$6452,B949,GL!$I$6408:$I$6452)</f>
        <v>0</v>
      </c>
      <c r="R949" s="341">
        <f t="shared" ref="R949:S949" si="1072">P949+N949</f>
        <v>36045000</v>
      </c>
      <c r="S949" s="341">
        <f t="shared" si="1072"/>
        <v>0</v>
      </c>
      <c r="T949" s="340"/>
      <c r="U949" s="340"/>
      <c r="V949" s="340"/>
      <c r="W949" s="340"/>
      <c r="X949" s="341">
        <f t="shared" si="1070"/>
        <v>36045000</v>
      </c>
      <c r="Y949" s="341">
        <f t="shared" si="1071"/>
        <v>0</v>
      </c>
      <c r="Z949" s="331"/>
      <c r="AA949" s="110"/>
      <c r="AB949" s="330"/>
      <c r="AC949" s="332"/>
      <c r="AD949" s="110"/>
      <c r="AE949" s="110"/>
      <c r="AF949" s="110"/>
      <c r="AG949" s="110"/>
      <c r="AH949" s="110"/>
      <c r="AI949" s="110"/>
    </row>
    <row r="950" spans="1:35" ht="13.5" customHeight="1">
      <c r="A950" s="4"/>
      <c r="B950" s="15" t="s">
        <v>5286</v>
      </c>
      <c r="C950" s="340" t="s">
        <v>5287</v>
      </c>
      <c r="D950" s="254"/>
      <c r="E950" s="341">
        <f>SUMIF(GL!$D$6:$D$6487,B950,GL!$H$6:$H$6487)</f>
        <v>0</v>
      </c>
      <c r="F950" s="341">
        <f>SUMIF(GL!$D$6:$D$6487,B950,GL!$I$6:$I$6487)</f>
        <v>0</v>
      </c>
      <c r="G950" s="341"/>
      <c r="H950" s="341"/>
      <c r="I950" s="341">
        <f t="shared" si="1065"/>
        <v>0</v>
      </c>
      <c r="J950" s="341">
        <f t="shared" si="1066"/>
        <v>0</v>
      </c>
      <c r="K950" s="341"/>
      <c r="L950" s="342"/>
      <c r="M950" s="342"/>
      <c r="N950" s="341">
        <f t="shared" si="1067"/>
        <v>0</v>
      </c>
      <c r="O950" s="341">
        <f t="shared" si="1068"/>
        <v>0</v>
      </c>
      <c r="P950" s="341">
        <f>SUMIF(GL!$D$6488:$D$6532,B950,GL!$H$6488:$H$6532)</f>
        <v>0</v>
      </c>
      <c r="Q950" s="341">
        <f>SUMIF(GL!$D$6408:$D$6452,B950,GL!$I$6408:$I$6452)</f>
        <v>0</v>
      </c>
      <c r="R950" s="341">
        <f t="shared" ref="R950:S950" si="1073">P950+N950</f>
        <v>0</v>
      </c>
      <c r="S950" s="341">
        <f t="shared" si="1073"/>
        <v>0</v>
      </c>
      <c r="T950" s="340"/>
      <c r="U950" s="340"/>
      <c r="V950" s="340"/>
      <c r="W950" s="340"/>
      <c r="X950" s="341">
        <f t="shared" si="1070"/>
        <v>0</v>
      </c>
      <c r="Y950" s="341">
        <f t="shared" si="1071"/>
        <v>0</v>
      </c>
      <c r="Z950" s="331"/>
      <c r="AA950" s="110"/>
      <c r="AB950" s="330"/>
      <c r="AC950" s="332"/>
      <c r="AD950" s="110"/>
      <c r="AE950" s="110"/>
      <c r="AF950" s="110"/>
      <c r="AG950" s="110"/>
      <c r="AH950" s="110"/>
      <c r="AI950" s="110"/>
    </row>
    <row r="951" spans="1:35" ht="13.5" customHeight="1">
      <c r="A951" s="4"/>
      <c r="B951" s="15" t="s">
        <v>3647</v>
      </c>
      <c r="C951" s="340" t="s">
        <v>3648</v>
      </c>
      <c r="D951" s="254"/>
      <c r="E951" s="341">
        <f>SUMIF(GL!$D$6:$D$6487,B951,GL!$H$6:$H$6487)</f>
        <v>25670334</v>
      </c>
      <c r="F951" s="341">
        <f>SUMIF(GL!$D$6:$D$6487,B951,GL!$I$6:$I$6487)</f>
        <v>0</v>
      </c>
      <c r="G951" s="341"/>
      <c r="H951" s="341"/>
      <c r="I951" s="341">
        <f t="shared" si="1065"/>
        <v>25670334</v>
      </c>
      <c r="J951" s="341">
        <f t="shared" si="1066"/>
        <v>0</v>
      </c>
      <c r="K951" s="341"/>
      <c r="L951" s="342"/>
      <c r="M951" s="342"/>
      <c r="N951" s="341">
        <f t="shared" si="1067"/>
        <v>25670334</v>
      </c>
      <c r="O951" s="341">
        <f t="shared" si="1068"/>
        <v>0</v>
      </c>
      <c r="P951" s="341">
        <f>SUMIF(GL!$D$6488:$D$6532,B951,GL!$H$6488:$H$6532)</f>
        <v>0</v>
      </c>
      <c r="Q951" s="341">
        <f>SUMIF(GL!$D$6408:$D$6452,B951,GL!$I$6408:$I$6452)</f>
        <v>0</v>
      </c>
      <c r="R951" s="341">
        <f t="shared" ref="R951:S951" si="1074">P951+N951</f>
        <v>25670334</v>
      </c>
      <c r="S951" s="341">
        <f t="shared" si="1074"/>
        <v>0</v>
      </c>
      <c r="T951" s="340"/>
      <c r="U951" s="340"/>
      <c r="V951" s="340"/>
      <c r="W951" s="340"/>
      <c r="X951" s="341">
        <f t="shared" si="1070"/>
        <v>25670334</v>
      </c>
      <c r="Y951" s="341">
        <f t="shared" si="1071"/>
        <v>0</v>
      </c>
      <c r="Z951" s="331"/>
      <c r="AA951" s="110"/>
      <c r="AB951" s="330"/>
      <c r="AC951" s="332"/>
      <c r="AD951" s="110"/>
      <c r="AE951" s="110"/>
      <c r="AF951" s="110"/>
      <c r="AG951" s="110"/>
      <c r="AH951" s="110"/>
      <c r="AI951" s="110"/>
    </row>
    <row r="952" spans="1:35" ht="13.5" customHeight="1">
      <c r="A952" s="4"/>
      <c r="B952" s="15" t="s">
        <v>5288</v>
      </c>
      <c r="C952" s="340" t="s">
        <v>5289</v>
      </c>
      <c r="D952" s="254"/>
      <c r="E952" s="341">
        <f>SUMIF(GL!$D$6:$D$6487,B952,GL!$H$6:$H$6487)</f>
        <v>0</v>
      </c>
      <c r="F952" s="341">
        <f>SUMIF(GL!$D$6:$D$6487,B952,GL!$I$6:$I$6487)</f>
        <v>0</v>
      </c>
      <c r="G952" s="341"/>
      <c r="H952" s="341"/>
      <c r="I952" s="341">
        <f t="shared" si="1065"/>
        <v>0</v>
      </c>
      <c r="J952" s="341">
        <f t="shared" si="1066"/>
        <v>0</v>
      </c>
      <c r="K952" s="341"/>
      <c r="L952" s="342"/>
      <c r="M952" s="342"/>
      <c r="N952" s="341">
        <f t="shared" si="1067"/>
        <v>0</v>
      </c>
      <c r="O952" s="341">
        <f t="shared" si="1068"/>
        <v>0</v>
      </c>
      <c r="P952" s="341">
        <f>SUMIF(GL!$D$6488:$D$6532,B952,GL!$H$6488:$H$6532)</f>
        <v>0</v>
      </c>
      <c r="Q952" s="341">
        <f>SUMIF(GL!$D$6408:$D$6452,B952,GL!$I$6408:$I$6452)</f>
        <v>0</v>
      </c>
      <c r="R952" s="341">
        <f t="shared" ref="R952:S952" si="1075">P952+N952</f>
        <v>0</v>
      </c>
      <c r="S952" s="341">
        <f t="shared" si="1075"/>
        <v>0</v>
      </c>
      <c r="T952" s="340"/>
      <c r="U952" s="340"/>
      <c r="V952" s="340"/>
      <c r="W952" s="340"/>
      <c r="X952" s="341">
        <f t="shared" si="1070"/>
        <v>0</v>
      </c>
      <c r="Y952" s="341">
        <f t="shared" si="1071"/>
        <v>0</v>
      </c>
      <c r="Z952" s="331"/>
      <c r="AA952" s="110"/>
      <c r="AB952" s="330"/>
      <c r="AC952" s="332"/>
      <c r="AD952" s="110"/>
      <c r="AE952" s="110"/>
      <c r="AF952" s="110"/>
      <c r="AG952" s="110"/>
      <c r="AH952" s="110"/>
      <c r="AI952" s="110"/>
    </row>
    <row r="953" spans="1:35" ht="13.5" customHeight="1">
      <c r="A953" s="4"/>
      <c r="B953" s="15" t="s">
        <v>3637</v>
      </c>
      <c r="C953" s="340" t="s">
        <v>3685</v>
      </c>
      <c r="D953" s="254"/>
      <c r="E953" s="341">
        <f>SUMIF(GL!$D$6:$D$6487,B953,GL!$H$6:$H$6487)</f>
        <v>26503742</v>
      </c>
      <c r="F953" s="341">
        <f>SUMIF(GL!$D$6:$D$6487,B953,GL!$I$6:$I$6487)</f>
        <v>1000000</v>
      </c>
      <c r="G953" s="341"/>
      <c r="H953" s="341"/>
      <c r="I953" s="341">
        <f t="shared" si="1065"/>
        <v>25503742</v>
      </c>
      <c r="J953" s="341">
        <f t="shared" si="1066"/>
        <v>0</v>
      </c>
      <c r="K953" s="341"/>
      <c r="L953" s="342"/>
      <c r="M953" s="342"/>
      <c r="N953" s="341">
        <f t="shared" si="1067"/>
        <v>25503742</v>
      </c>
      <c r="O953" s="341">
        <f t="shared" si="1068"/>
        <v>0</v>
      </c>
      <c r="P953" s="341">
        <f>SUMIF(GL!$D$6488:$D$6532,B953,GL!$H$6488:$H$6532)</f>
        <v>0</v>
      </c>
      <c r="Q953" s="341">
        <f>SUMIF(GL!$D$6408:$D$6452,B953,GL!$I$6408:$I$6452)</f>
        <v>0</v>
      </c>
      <c r="R953" s="341">
        <f t="shared" ref="R953:S953" si="1076">P953+N953</f>
        <v>25503742</v>
      </c>
      <c r="S953" s="341">
        <f t="shared" si="1076"/>
        <v>0</v>
      </c>
      <c r="T953" s="340"/>
      <c r="U953" s="340"/>
      <c r="V953" s="340"/>
      <c r="W953" s="340"/>
      <c r="X953" s="341">
        <f t="shared" si="1070"/>
        <v>25503742</v>
      </c>
      <c r="Y953" s="341">
        <f t="shared" si="1071"/>
        <v>0</v>
      </c>
      <c r="Z953" s="331"/>
      <c r="AA953" s="110"/>
      <c r="AB953" s="330"/>
      <c r="AC953" s="332"/>
      <c r="AD953" s="110"/>
      <c r="AE953" s="110"/>
      <c r="AF953" s="110"/>
      <c r="AG953" s="110"/>
      <c r="AH953" s="110"/>
      <c r="AI953" s="110"/>
    </row>
    <row r="954" spans="1:35" ht="13.5" customHeight="1">
      <c r="A954" s="4"/>
      <c r="B954" s="15" t="s">
        <v>1335</v>
      </c>
      <c r="C954" s="340" t="s">
        <v>5290</v>
      </c>
      <c r="D954" s="254"/>
      <c r="E954" s="341">
        <f>SUMIF(GL!$D$6:$D$6487,B954,GL!$H$6:$H$6487)</f>
        <v>1860000</v>
      </c>
      <c r="F954" s="341">
        <f>SUMIF(GL!$D$6:$D$6487,B954,GL!$I$6:$I$6487)</f>
        <v>0</v>
      </c>
      <c r="G954" s="341"/>
      <c r="H954" s="341"/>
      <c r="I954" s="341">
        <f t="shared" si="1065"/>
        <v>1860000</v>
      </c>
      <c r="J954" s="341">
        <f t="shared" si="1066"/>
        <v>0</v>
      </c>
      <c r="K954" s="341"/>
      <c r="L954" s="342"/>
      <c r="M954" s="342"/>
      <c r="N954" s="341">
        <f t="shared" si="1067"/>
        <v>1860000</v>
      </c>
      <c r="O954" s="341">
        <f t="shared" si="1068"/>
        <v>0</v>
      </c>
      <c r="P954" s="341">
        <f>SUMIF(GL!$D$6488:$D$6532,B954,GL!$H$6488:$H$6532)</f>
        <v>0</v>
      </c>
      <c r="Q954" s="341">
        <f>SUMIF(GL!$D$6408:$D$6452,B954,GL!$I$6408:$I$6452)</f>
        <v>0</v>
      </c>
      <c r="R954" s="341">
        <f t="shared" ref="R954:S954" si="1077">P954+N954</f>
        <v>1860000</v>
      </c>
      <c r="S954" s="341">
        <f t="shared" si="1077"/>
        <v>0</v>
      </c>
      <c r="T954" s="340"/>
      <c r="U954" s="340"/>
      <c r="V954" s="340"/>
      <c r="W954" s="340"/>
      <c r="X954" s="341">
        <f t="shared" si="1070"/>
        <v>1860000</v>
      </c>
      <c r="Y954" s="341">
        <f t="shared" si="1071"/>
        <v>0</v>
      </c>
      <c r="Z954" s="331"/>
      <c r="AA954" s="110"/>
      <c r="AB954" s="330"/>
      <c r="AC954" s="332"/>
      <c r="AD954" s="110"/>
      <c r="AE954" s="110"/>
      <c r="AF954" s="110"/>
      <c r="AG954" s="110"/>
      <c r="AH954" s="110"/>
      <c r="AI954" s="110"/>
    </row>
    <row r="955" spans="1:35" ht="13.5" customHeight="1">
      <c r="A955" s="4"/>
      <c r="B955" s="15" t="s">
        <v>815</v>
      </c>
      <c r="C955" s="340" t="s">
        <v>5291</v>
      </c>
      <c r="D955" s="254"/>
      <c r="E955" s="341">
        <f>SUMIF(GL!$D$6:$D$6487,B955,GL!$H$6:$H$6487)</f>
        <v>10802299.439999999</v>
      </c>
      <c r="F955" s="341">
        <f>SUMIF(GL!$D$6:$D$6487,B955,GL!$I$6:$I$6487)</f>
        <v>892920</v>
      </c>
      <c r="G955" s="341"/>
      <c r="H955" s="341"/>
      <c r="I955" s="341">
        <f t="shared" si="1065"/>
        <v>9909379.4399999995</v>
      </c>
      <c r="J955" s="341">
        <f t="shared" si="1066"/>
        <v>0</v>
      </c>
      <c r="K955" s="341"/>
      <c r="L955" s="342"/>
      <c r="M955" s="342"/>
      <c r="N955" s="341">
        <f t="shared" si="1067"/>
        <v>9909379.4399999995</v>
      </c>
      <c r="O955" s="341">
        <f t="shared" si="1068"/>
        <v>0</v>
      </c>
      <c r="P955" s="341">
        <f>SUMIF(GL!$D$6488:$D$6532,B955,GL!$H$6488:$H$6532)</f>
        <v>0</v>
      </c>
      <c r="Q955" s="341">
        <f>SUMIF(GL!$D$6408:$D$6452,B955,GL!$I$6408:$I$6452)</f>
        <v>0</v>
      </c>
      <c r="R955" s="341">
        <f t="shared" ref="R955:S955" si="1078">P955+N955</f>
        <v>9909379.4399999995</v>
      </c>
      <c r="S955" s="341">
        <f t="shared" si="1078"/>
        <v>0</v>
      </c>
      <c r="T955" s="340"/>
      <c r="U955" s="340"/>
      <c r="V955" s="340"/>
      <c r="W955" s="340"/>
      <c r="X955" s="341">
        <f t="shared" si="1070"/>
        <v>9909379.4399999995</v>
      </c>
      <c r="Y955" s="341">
        <f t="shared" si="1071"/>
        <v>0</v>
      </c>
      <c r="Z955" s="331"/>
      <c r="AA955" s="110"/>
      <c r="AB955" s="330"/>
      <c r="AC955" s="332"/>
      <c r="AD955" s="110"/>
      <c r="AE955" s="110"/>
      <c r="AF955" s="110"/>
      <c r="AG955" s="110"/>
      <c r="AH955" s="110"/>
      <c r="AI955" s="110"/>
    </row>
    <row r="956" spans="1:35" ht="13.5" customHeight="1">
      <c r="A956" s="4"/>
      <c r="B956" s="15" t="s">
        <v>5292</v>
      </c>
      <c r="C956" s="340" t="s">
        <v>5293</v>
      </c>
      <c r="D956" s="254"/>
      <c r="E956" s="341">
        <f>SUMIF(GL!$D$6:$D$6487,B956,GL!$H$6:$H$6487)</f>
        <v>0</v>
      </c>
      <c r="F956" s="341">
        <f>SUMIF(GL!$D$6:$D$6487,B956,GL!$I$6:$I$6487)</f>
        <v>0</v>
      </c>
      <c r="G956" s="341"/>
      <c r="H956" s="341"/>
      <c r="I956" s="341">
        <f t="shared" si="1065"/>
        <v>0</v>
      </c>
      <c r="J956" s="341">
        <f t="shared" si="1066"/>
        <v>0</v>
      </c>
      <c r="K956" s="341"/>
      <c r="L956" s="342"/>
      <c r="M956" s="342"/>
      <c r="N956" s="341">
        <f t="shared" si="1067"/>
        <v>0</v>
      </c>
      <c r="O956" s="341">
        <f t="shared" si="1068"/>
        <v>0</v>
      </c>
      <c r="P956" s="341">
        <f>SUMIF(GL!$D$6488:$D$6532,B956,GL!$H$6488:$H$6532)</f>
        <v>0</v>
      </c>
      <c r="Q956" s="341">
        <f>SUMIF(GL!$D$6408:$D$6452,B956,GL!$I$6408:$I$6452)</f>
        <v>0</v>
      </c>
      <c r="R956" s="341">
        <f t="shared" ref="R956:S956" si="1079">P956+N956</f>
        <v>0</v>
      </c>
      <c r="S956" s="341">
        <f t="shared" si="1079"/>
        <v>0</v>
      </c>
      <c r="T956" s="340"/>
      <c r="U956" s="340"/>
      <c r="V956" s="340"/>
      <c r="W956" s="340"/>
      <c r="X956" s="341">
        <f t="shared" si="1070"/>
        <v>0</v>
      </c>
      <c r="Y956" s="341">
        <f t="shared" si="1071"/>
        <v>0</v>
      </c>
      <c r="Z956" s="331"/>
      <c r="AA956" s="110"/>
      <c r="AB956" s="330"/>
      <c r="AC956" s="332"/>
      <c r="AD956" s="110"/>
      <c r="AE956" s="110"/>
      <c r="AF956" s="110"/>
      <c r="AG956" s="110"/>
      <c r="AH956" s="110"/>
      <c r="AI956" s="110"/>
    </row>
    <row r="957" spans="1:35" ht="13.5" customHeight="1">
      <c r="A957" s="4"/>
      <c r="B957" s="15" t="s">
        <v>588</v>
      </c>
      <c r="C957" s="340" t="s">
        <v>5294</v>
      </c>
      <c r="D957" s="254"/>
      <c r="E957" s="341">
        <f>SUMIF(GL!$D$6:$D$6487,B957,GL!$H$6:$H$6487)</f>
        <v>14758065</v>
      </c>
      <c r="F957" s="341">
        <f>SUMIF(GL!$D$6:$D$6487,B957,GL!$I$6:$I$6487)</f>
        <v>0</v>
      </c>
      <c r="G957" s="341"/>
      <c r="H957" s="341"/>
      <c r="I957" s="341">
        <f t="shared" si="1065"/>
        <v>14758065</v>
      </c>
      <c r="J957" s="341">
        <f t="shared" si="1066"/>
        <v>0</v>
      </c>
      <c r="K957" s="341"/>
      <c r="L957" s="342"/>
      <c r="M957" s="342"/>
      <c r="N957" s="341">
        <f t="shared" si="1067"/>
        <v>14758065</v>
      </c>
      <c r="O957" s="341">
        <f t="shared" si="1068"/>
        <v>0</v>
      </c>
      <c r="P957" s="341">
        <f>SUMIF(GL!$D$6488:$D$6532,B957,GL!$H$6488:$H$6532)</f>
        <v>0</v>
      </c>
      <c r="Q957" s="341">
        <f>SUMIF(GL!$D$6408:$D$6452,B957,GL!$I$6408:$I$6452)</f>
        <v>0</v>
      </c>
      <c r="R957" s="341">
        <f t="shared" ref="R957:S957" si="1080">P957+N957</f>
        <v>14758065</v>
      </c>
      <c r="S957" s="341">
        <f t="shared" si="1080"/>
        <v>0</v>
      </c>
      <c r="T957" s="340"/>
      <c r="U957" s="340"/>
      <c r="V957" s="340"/>
      <c r="W957" s="340"/>
      <c r="X957" s="341">
        <f t="shared" si="1070"/>
        <v>14758065</v>
      </c>
      <c r="Y957" s="341">
        <f t="shared" si="1071"/>
        <v>0</v>
      </c>
      <c r="Z957" s="331"/>
      <c r="AA957" s="110"/>
      <c r="AB957" s="330"/>
      <c r="AC957" s="332"/>
      <c r="AD957" s="110"/>
      <c r="AE957" s="110"/>
      <c r="AF957" s="110"/>
      <c r="AG957" s="110"/>
      <c r="AH957" s="110"/>
      <c r="AI957" s="110"/>
    </row>
    <row r="958" spans="1:35" ht="13.5" customHeight="1">
      <c r="A958" s="2"/>
      <c r="B958" s="127" t="s">
        <v>5295</v>
      </c>
      <c r="C958" s="22" t="s">
        <v>5296</v>
      </c>
      <c r="D958" s="322"/>
      <c r="E958" s="338">
        <f t="shared" ref="E958:K958" si="1081">SUM(E948:E957)</f>
        <v>623714071.44000006</v>
      </c>
      <c r="F958" s="338">
        <f t="shared" si="1081"/>
        <v>3591803</v>
      </c>
      <c r="G958" s="338">
        <f t="shared" si="1081"/>
        <v>0</v>
      </c>
      <c r="H958" s="338">
        <f t="shared" si="1081"/>
        <v>0</v>
      </c>
      <c r="I958" s="338">
        <f t="shared" si="1081"/>
        <v>620122268.44000006</v>
      </c>
      <c r="J958" s="338">
        <f t="shared" si="1081"/>
        <v>0</v>
      </c>
      <c r="K958" s="338">
        <f t="shared" si="1081"/>
        <v>0</v>
      </c>
      <c r="L958" s="338"/>
      <c r="M958" s="338"/>
      <c r="N958" s="338">
        <f t="shared" ref="N958:Y958" si="1082">SUM(N948:N957)</f>
        <v>620122268.44000006</v>
      </c>
      <c r="O958" s="338">
        <f t="shared" si="1082"/>
        <v>0</v>
      </c>
      <c r="P958" s="338">
        <f t="shared" si="1082"/>
        <v>0</v>
      </c>
      <c r="Q958" s="338">
        <f t="shared" si="1082"/>
        <v>0</v>
      </c>
      <c r="R958" s="338">
        <f t="shared" si="1082"/>
        <v>620122268.44000006</v>
      </c>
      <c r="S958" s="338">
        <f t="shared" si="1082"/>
        <v>0</v>
      </c>
      <c r="T958" s="338">
        <f t="shared" si="1082"/>
        <v>0</v>
      </c>
      <c r="U958" s="338">
        <f t="shared" si="1082"/>
        <v>0</v>
      </c>
      <c r="V958" s="338">
        <f t="shared" si="1082"/>
        <v>0</v>
      </c>
      <c r="W958" s="338">
        <f t="shared" si="1082"/>
        <v>0</v>
      </c>
      <c r="X958" s="338">
        <f t="shared" si="1082"/>
        <v>620122268.44000006</v>
      </c>
      <c r="Y958" s="338">
        <f t="shared" si="1082"/>
        <v>0</v>
      </c>
      <c r="Z958" s="331"/>
      <c r="AA958" s="110"/>
      <c r="AB958" s="330"/>
      <c r="AC958" s="332"/>
      <c r="AD958" s="110"/>
      <c r="AE958" s="110"/>
      <c r="AF958" s="110"/>
      <c r="AG958" s="110"/>
      <c r="AH958" s="110"/>
      <c r="AI958" s="110"/>
    </row>
    <row r="959" spans="1:35" ht="13.5" customHeight="1">
      <c r="A959" s="4"/>
      <c r="B959" s="15"/>
      <c r="C959" s="340"/>
      <c r="D959" s="254"/>
      <c r="E959" s="341"/>
      <c r="F959" s="341"/>
      <c r="G959" s="341"/>
      <c r="H959" s="341"/>
      <c r="I959" s="341"/>
      <c r="J959" s="341"/>
      <c r="K959" s="341"/>
      <c r="L959" s="341"/>
      <c r="M959" s="341"/>
      <c r="N959" s="341"/>
      <c r="O959" s="341"/>
      <c r="P959" s="341"/>
      <c r="Q959" s="341"/>
      <c r="R959" s="341"/>
      <c r="S959" s="341"/>
      <c r="T959" s="340"/>
      <c r="U959" s="340"/>
      <c r="V959" s="340"/>
      <c r="W959" s="340"/>
      <c r="X959" s="346"/>
      <c r="Y959" s="346"/>
      <c r="Z959" s="331"/>
      <c r="AA959" s="110"/>
      <c r="AB959" s="330"/>
      <c r="AC959" s="332"/>
      <c r="AD959" s="110"/>
      <c r="AE959" s="110"/>
      <c r="AF959" s="110"/>
      <c r="AG959" s="110"/>
      <c r="AH959" s="110"/>
      <c r="AI959" s="110"/>
    </row>
    <row r="960" spans="1:35" ht="13.5" customHeight="1">
      <c r="A960" s="2"/>
      <c r="B960" s="127" t="s">
        <v>5297</v>
      </c>
      <c r="C960" s="22" t="s">
        <v>5298</v>
      </c>
      <c r="D960" s="322"/>
      <c r="E960" s="338"/>
      <c r="F960" s="338"/>
      <c r="G960" s="338"/>
      <c r="H960" s="338"/>
      <c r="I960" s="338"/>
      <c r="J960" s="338"/>
      <c r="K960" s="338"/>
      <c r="L960" s="338"/>
      <c r="M960" s="338"/>
      <c r="N960" s="338"/>
      <c r="O960" s="338"/>
      <c r="P960" s="341"/>
      <c r="Q960" s="341"/>
      <c r="R960" s="338"/>
      <c r="S960" s="338"/>
      <c r="T960" s="22"/>
      <c r="U960" s="22"/>
      <c r="V960" s="22"/>
      <c r="W960" s="22"/>
      <c r="X960" s="339"/>
      <c r="Y960" s="339"/>
      <c r="Z960" s="331"/>
      <c r="AA960" s="110"/>
      <c r="AB960" s="330"/>
      <c r="AC960" s="332"/>
      <c r="AD960" s="110"/>
      <c r="AE960" s="110"/>
      <c r="AF960" s="110"/>
      <c r="AG960" s="110"/>
      <c r="AH960" s="110"/>
      <c r="AI960" s="110"/>
    </row>
    <row r="961" spans="1:35" ht="13.5" customHeight="1">
      <c r="A961" s="4"/>
      <c r="B961" s="15" t="s">
        <v>617</v>
      </c>
      <c r="C961" s="340" t="s">
        <v>5299</v>
      </c>
      <c r="D961" s="254"/>
      <c r="E961" s="341">
        <f>SUMIF(GL!$D$6:$D$6487,B961,GL!$H$6:$H$6487)</f>
        <v>24137819</v>
      </c>
      <c r="F961" s="341">
        <f>SUMIF(GL!$D$6:$D$6487,B961,GL!$I$6:$I$6487)</f>
        <v>0</v>
      </c>
      <c r="G961" s="341"/>
      <c r="H961" s="341"/>
      <c r="I961" s="341">
        <f t="shared" ref="I961:I965" si="1083">IF(E961&gt;F961,E961-F961,0)</f>
        <v>24137819</v>
      </c>
      <c r="J961" s="341">
        <f t="shared" ref="J961:J965" si="1084">IF(F961&gt;E961,F961-E961,0)</f>
        <v>0</v>
      </c>
      <c r="K961" s="341"/>
      <c r="L961" s="342"/>
      <c r="M961" s="342"/>
      <c r="N961" s="341">
        <f t="shared" ref="N961:N965" si="1085">IF(I961+L961&gt;J961+M961,(I961+L961)-(J961+M961),0)</f>
        <v>24137819</v>
      </c>
      <c r="O961" s="341">
        <f t="shared" ref="O961:O965" si="1086">IF(J961+M961&gt;I961+L961,(J961+M961)-(I961+L961),0)</f>
        <v>0</v>
      </c>
      <c r="P961" s="341">
        <f>SUMIF(GL!$D$6488:$D$6532,B961,GL!$H$6488:$H$6532)</f>
        <v>0</v>
      </c>
      <c r="Q961" s="341">
        <f>SUMIF(GL!$D$6408:$D$6452,B961,GL!$I$6408:$I$6452)</f>
        <v>0</v>
      </c>
      <c r="R961" s="341">
        <f t="shared" ref="R961:S961" si="1087">P961+N961</f>
        <v>24137819</v>
      </c>
      <c r="S961" s="341">
        <f t="shared" si="1087"/>
        <v>0</v>
      </c>
      <c r="T961" s="340"/>
      <c r="U961" s="340"/>
      <c r="V961" s="340"/>
      <c r="W961" s="340"/>
      <c r="X961" s="341">
        <f t="shared" ref="X961:X965" si="1088">IF(R961&gt;S961,R961-S961,0)</f>
        <v>24137819</v>
      </c>
      <c r="Y961" s="341">
        <f t="shared" ref="Y961:Y965" si="1089">IF(S961&gt;R961,S961-R961,0)</f>
        <v>0</v>
      </c>
      <c r="Z961" s="331"/>
      <c r="AA961" s="110"/>
      <c r="AB961" s="330"/>
      <c r="AC961" s="332"/>
      <c r="AD961" s="110"/>
      <c r="AE961" s="110"/>
      <c r="AF961" s="110"/>
      <c r="AG961" s="110"/>
      <c r="AH961" s="110"/>
      <c r="AI961" s="110"/>
    </row>
    <row r="962" spans="1:35" ht="13.5" customHeight="1">
      <c r="A962" s="4"/>
      <c r="B962" s="15" t="s">
        <v>5300</v>
      </c>
      <c r="C962" s="340" t="s">
        <v>5301</v>
      </c>
      <c r="D962" s="254"/>
      <c r="E962" s="341">
        <f>SUMIF(GL!$D$6:$D$6487,B962,GL!$H$6:$H$6487)</f>
        <v>0</v>
      </c>
      <c r="F962" s="341">
        <f>SUMIF(GL!$D$6:$D$6487,B962,GL!$I$6:$I$6487)</f>
        <v>0</v>
      </c>
      <c r="G962" s="341"/>
      <c r="H962" s="341"/>
      <c r="I962" s="341">
        <f t="shared" si="1083"/>
        <v>0</v>
      </c>
      <c r="J962" s="341">
        <f t="shared" si="1084"/>
        <v>0</v>
      </c>
      <c r="K962" s="341"/>
      <c r="L962" s="342"/>
      <c r="M962" s="342"/>
      <c r="N962" s="341">
        <f t="shared" si="1085"/>
        <v>0</v>
      </c>
      <c r="O962" s="341">
        <f t="shared" si="1086"/>
        <v>0</v>
      </c>
      <c r="P962" s="341">
        <f>SUMIF(GL!$D$6488:$D$6532,B962,GL!$H$6488:$H$6532)</f>
        <v>0</v>
      </c>
      <c r="Q962" s="341">
        <f>SUMIF(GL!$D$6408:$D$6452,B962,GL!$I$6408:$I$6452)</f>
        <v>0</v>
      </c>
      <c r="R962" s="341">
        <f t="shared" ref="R962:S962" si="1090">P962+N962</f>
        <v>0</v>
      </c>
      <c r="S962" s="341">
        <f t="shared" si="1090"/>
        <v>0</v>
      </c>
      <c r="T962" s="340"/>
      <c r="U962" s="340"/>
      <c r="V962" s="340"/>
      <c r="W962" s="340"/>
      <c r="X962" s="341">
        <f t="shared" si="1088"/>
        <v>0</v>
      </c>
      <c r="Y962" s="341">
        <f t="shared" si="1089"/>
        <v>0</v>
      </c>
      <c r="Z962" s="331"/>
      <c r="AA962" s="110"/>
      <c r="AB962" s="330"/>
      <c r="AC962" s="332"/>
      <c r="AD962" s="110"/>
      <c r="AE962" s="110"/>
      <c r="AF962" s="110"/>
      <c r="AG962" s="110"/>
      <c r="AH962" s="110"/>
      <c r="AI962" s="110"/>
    </row>
    <row r="963" spans="1:35" ht="13.5" customHeight="1">
      <c r="A963" s="4"/>
      <c r="B963" s="15" t="s">
        <v>1921</v>
      </c>
      <c r="C963" s="340" t="s">
        <v>5302</v>
      </c>
      <c r="D963" s="254"/>
      <c r="E963" s="341">
        <f>SUMIF(GL!$D$6:$D$6487,B963,GL!$H$6:$H$6487)</f>
        <v>2380600</v>
      </c>
      <c r="F963" s="341">
        <f>SUMIF(GL!$D$6:$D$6487,B963,GL!$I$6:$I$6487)</f>
        <v>216000</v>
      </c>
      <c r="G963" s="341"/>
      <c r="H963" s="341"/>
      <c r="I963" s="341">
        <f t="shared" si="1083"/>
        <v>2164600</v>
      </c>
      <c r="J963" s="341">
        <f t="shared" si="1084"/>
        <v>0</v>
      </c>
      <c r="K963" s="341"/>
      <c r="L963" s="342"/>
      <c r="M963" s="342"/>
      <c r="N963" s="341">
        <f t="shared" si="1085"/>
        <v>2164600</v>
      </c>
      <c r="O963" s="341">
        <f t="shared" si="1086"/>
        <v>0</v>
      </c>
      <c r="P963" s="341">
        <f>SUMIF(GL!$D$6488:$D$6532,B963,GL!$H$6488:$H$6532)</f>
        <v>0</v>
      </c>
      <c r="Q963" s="341">
        <f>SUMIF(GL!$D$6408:$D$6452,B963,GL!$I$6408:$I$6452)</f>
        <v>0</v>
      </c>
      <c r="R963" s="341">
        <f t="shared" ref="R963:S963" si="1091">P963+N963</f>
        <v>2164600</v>
      </c>
      <c r="S963" s="341">
        <f t="shared" si="1091"/>
        <v>0</v>
      </c>
      <c r="T963" s="340"/>
      <c r="U963" s="340"/>
      <c r="V963" s="340"/>
      <c r="W963" s="340"/>
      <c r="X963" s="341">
        <f t="shared" si="1088"/>
        <v>2164600</v>
      </c>
      <c r="Y963" s="341">
        <f t="shared" si="1089"/>
        <v>0</v>
      </c>
      <c r="Z963" s="331"/>
      <c r="AA963" s="110"/>
      <c r="AB963" s="330"/>
      <c r="AC963" s="332"/>
      <c r="AD963" s="110"/>
      <c r="AE963" s="110"/>
      <c r="AF963" s="110"/>
      <c r="AG963" s="110"/>
      <c r="AH963" s="110"/>
      <c r="AI963" s="110"/>
    </row>
    <row r="964" spans="1:35" ht="13.5" customHeight="1">
      <c r="A964" s="4"/>
      <c r="B964" s="15" t="s">
        <v>1155</v>
      </c>
      <c r="C964" s="340" t="s">
        <v>5303</v>
      </c>
      <c r="D964" s="254"/>
      <c r="E964" s="341">
        <f>SUMIF(GL!$D$6:$D$6487,B964,GL!$H$6:$H$6487)</f>
        <v>3451270</v>
      </c>
      <c r="F964" s="341">
        <f>SUMIF(GL!$D$6:$D$6487,B964,GL!$I$6:$I$6487)</f>
        <v>0</v>
      </c>
      <c r="G964" s="341"/>
      <c r="H964" s="341"/>
      <c r="I964" s="341">
        <f t="shared" si="1083"/>
        <v>3451270</v>
      </c>
      <c r="J964" s="341">
        <f t="shared" si="1084"/>
        <v>0</v>
      </c>
      <c r="K964" s="341"/>
      <c r="L964" s="342"/>
      <c r="M964" s="342"/>
      <c r="N964" s="341">
        <f t="shared" si="1085"/>
        <v>3451270</v>
      </c>
      <c r="O964" s="341">
        <f t="shared" si="1086"/>
        <v>0</v>
      </c>
      <c r="P964" s="341">
        <f>SUMIF(GL!$D$6488:$D$6532,B964,GL!$H$6488:$H$6532)</f>
        <v>0</v>
      </c>
      <c r="Q964" s="341">
        <f>SUMIF(GL!$D$6408:$D$6452,B964,GL!$I$6408:$I$6452)</f>
        <v>0</v>
      </c>
      <c r="R964" s="341">
        <f t="shared" ref="R964:S964" si="1092">P964+N964</f>
        <v>3451270</v>
      </c>
      <c r="S964" s="341">
        <f t="shared" si="1092"/>
        <v>0</v>
      </c>
      <c r="T964" s="340"/>
      <c r="U964" s="340"/>
      <c r="V964" s="340"/>
      <c r="W964" s="340"/>
      <c r="X964" s="341">
        <f t="shared" si="1088"/>
        <v>3451270</v>
      </c>
      <c r="Y964" s="341">
        <f t="shared" si="1089"/>
        <v>0</v>
      </c>
      <c r="Z964" s="331"/>
      <c r="AA964" s="110"/>
      <c r="AB964" s="330"/>
      <c r="AC964" s="332"/>
      <c r="AD964" s="110"/>
      <c r="AE964" s="110"/>
      <c r="AF964" s="110"/>
      <c r="AG964" s="110"/>
      <c r="AH964" s="110"/>
      <c r="AI964" s="110"/>
    </row>
    <row r="965" spans="1:35" ht="13.5" customHeight="1">
      <c r="A965" s="4"/>
      <c r="B965" s="15" t="s">
        <v>5304</v>
      </c>
      <c r="C965" s="340" t="s">
        <v>5305</v>
      </c>
      <c r="D965" s="254"/>
      <c r="E965" s="341">
        <f>SUMIF(GL!$D$6:$D$6487,B965,GL!$H$6:$H$6487)</f>
        <v>0</v>
      </c>
      <c r="F965" s="341">
        <f>SUMIF(GL!$D$6:$D$6487,B965,GL!$I$6:$I$6487)</f>
        <v>0</v>
      </c>
      <c r="G965" s="341"/>
      <c r="H965" s="341"/>
      <c r="I965" s="341">
        <f t="shared" si="1083"/>
        <v>0</v>
      </c>
      <c r="J965" s="341">
        <f t="shared" si="1084"/>
        <v>0</v>
      </c>
      <c r="K965" s="341"/>
      <c r="L965" s="342"/>
      <c r="M965" s="342"/>
      <c r="N965" s="341">
        <f t="shared" si="1085"/>
        <v>0</v>
      </c>
      <c r="O965" s="341">
        <f t="shared" si="1086"/>
        <v>0</v>
      </c>
      <c r="P965" s="341">
        <f>SUMIF(GL!$D$6488:$D$6532,B965,GL!$H$6488:$H$6532)</f>
        <v>0</v>
      </c>
      <c r="Q965" s="341">
        <f>SUMIF(GL!$D$6408:$D$6452,B965,GL!$I$6408:$I$6452)</f>
        <v>0</v>
      </c>
      <c r="R965" s="341">
        <f t="shared" ref="R965:S965" si="1093">P965+N965</f>
        <v>0</v>
      </c>
      <c r="S965" s="341">
        <f t="shared" si="1093"/>
        <v>0</v>
      </c>
      <c r="T965" s="340"/>
      <c r="U965" s="340"/>
      <c r="V965" s="340"/>
      <c r="W965" s="340"/>
      <c r="X965" s="341">
        <f t="shared" si="1088"/>
        <v>0</v>
      </c>
      <c r="Y965" s="341">
        <f t="shared" si="1089"/>
        <v>0</v>
      </c>
      <c r="Z965" s="331"/>
      <c r="AA965" s="110"/>
      <c r="AB965" s="330"/>
      <c r="AC965" s="332"/>
      <c r="AD965" s="110"/>
      <c r="AE965" s="110"/>
      <c r="AF965" s="110"/>
      <c r="AG965" s="110"/>
      <c r="AH965" s="110"/>
      <c r="AI965" s="110"/>
    </row>
    <row r="966" spans="1:35" ht="13.5" customHeight="1">
      <c r="A966" s="2"/>
      <c r="B966" s="127" t="s">
        <v>5306</v>
      </c>
      <c r="C966" s="22" t="s">
        <v>5307</v>
      </c>
      <c r="D966" s="322"/>
      <c r="E966" s="338">
        <f t="shared" ref="E966:J966" si="1094">SUM(E961:E965)</f>
        <v>29969689</v>
      </c>
      <c r="F966" s="338">
        <f t="shared" si="1094"/>
        <v>216000</v>
      </c>
      <c r="G966" s="338">
        <f t="shared" si="1094"/>
        <v>0</v>
      </c>
      <c r="H966" s="338">
        <f t="shared" si="1094"/>
        <v>0</v>
      </c>
      <c r="I966" s="338">
        <f t="shared" si="1094"/>
        <v>29753689</v>
      </c>
      <c r="J966" s="338">
        <f t="shared" si="1094"/>
        <v>0</v>
      </c>
      <c r="K966" s="338"/>
      <c r="L966" s="338"/>
      <c r="M966" s="338"/>
      <c r="N966" s="338">
        <f t="shared" ref="N966:V966" si="1095">SUM(N961:N965)</f>
        <v>29753689</v>
      </c>
      <c r="O966" s="338">
        <f t="shared" si="1095"/>
        <v>0</v>
      </c>
      <c r="P966" s="338">
        <f t="shared" si="1095"/>
        <v>0</v>
      </c>
      <c r="Q966" s="338">
        <f t="shared" si="1095"/>
        <v>0</v>
      </c>
      <c r="R966" s="338">
        <f t="shared" si="1095"/>
        <v>29753689</v>
      </c>
      <c r="S966" s="338">
        <f t="shared" si="1095"/>
        <v>0</v>
      </c>
      <c r="T966" s="338">
        <f t="shared" si="1095"/>
        <v>0</v>
      </c>
      <c r="U966" s="338">
        <f t="shared" si="1095"/>
        <v>0</v>
      </c>
      <c r="V966" s="338">
        <f t="shared" si="1095"/>
        <v>0</v>
      </c>
      <c r="W966" s="338">
        <f t="shared" ref="W966:Y966" si="1096">SUM(W961:W964)</f>
        <v>0</v>
      </c>
      <c r="X966" s="338">
        <f t="shared" si="1096"/>
        <v>29753689</v>
      </c>
      <c r="Y966" s="338">
        <f t="shared" si="1096"/>
        <v>0</v>
      </c>
      <c r="Z966" s="331"/>
      <c r="AA966" s="110"/>
      <c r="AB966" s="330"/>
      <c r="AC966" s="332"/>
      <c r="AD966" s="110"/>
      <c r="AE966" s="110"/>
      <c r="AF966" s="110"/>
      <c r="AG966" s="110"/>
      <c r="AH966" s="110"/>
      <c r="AI966" s="110"/>
    </row>
    <row r="967" spans="1:35" ht="13.5" customHeight="1">
      <c r="A967" s="2"/>
      <c r="B967" s="127"/>
      <c r="C967" s="22"/>
      <c r="D967" s="322"/>
      <c r="E967" s="338"/>
      <c r="F967" s="338"/>
      <c r="G967" s="338"/>
      <c r="H967" s="338"/>
      <c r="I967" s="338"/>
      <c r="J967" s="338"/>
      <c r="K967" s="338"/>
      <c r="L967" s="338"/>
      <c r="M967" s="338"/>
      <c r="N967" s="338"/>
      <c r="O967" s="338"/>
      <c r="P967" s="341"/>
      <c r="Q967" s="341"/>
      <c r="R967" s="338"/>
      <c r="S967" s="338"/>
      <c r="T967" s="22"/>
      <c r="U967" s="22"/>
      <c r="V967" s="22"/>
      <c r="W967" s="22"/>
      <c r="X967" s="339"/>
      <c r="Y967" s="339"/>
      <c r="Z967" s="331"/>
      <c r="AA967" s="110"/>
      <c r="AB967" s="330"/>
      <c r="AC967" s="332"/>
      <c r="AD967" s="110"/>
      <c r="AE967" s="110"/>
      <c r="AF967" s="110"/>
      <c r="AG967" s="110"/>
      <c r="AH967" s="110"/>
      <c r="AI967" s="110"/>
    </row>
    <row r="968" spans="1:35" ht="13.5" customHeight="1">
      <c r="A968" s="2"/>
      <c r="B968" s="127" t="s">
        <v>5308</v>
      </c>
      <c r="C968" s="22" t="s">
        <v>5309</v>
      </c>
      <c r="D968" s="322"/>
      <c r="E968" s="338"/>
      <c r="F968" s="338"/>
      <c r="G968" s="338"/>
      <c r="H968" s="338"/>
      <c r="I968" s="338"/>
      <c r="J968" s="338"/>
      <c r="K968" s="338"/>
      <c r="L968" s="338"/>
      <c r="M968" s="338"/>
      <c r="N968" s="338"/>
      <c r="O968" s="338"/>
      <c r="P968" s="341"/>
      <c r="Q968" s="341"/>
      <c r="R968" s="338"/>
      <c r="S968" s="338"/>
      <c r="T968" s="22"/>
      <c r="U968" s="22"/>
      <c r="V968" s="22"/>
      <c r="W968" s="22"/>
      <c r="X968" s="339"/>
      <c r="Y968" s="339"/>
      <c r="Z968" s="331"/>
      <c r="AA968" s="110"/>
      <c r="AB968" s="330"/>
      <c r="AC968" s="332"/>
      <c r="AD968" s="110"/>
      <c r="AE968" s="110"/>
      <c r="AF968" s="110"/>
      <c r="AG968" s="110"/>
      <c r="AH968" s="110"/>
      <c r="AI968" s="110"/>
    </row>
    <row r="969" spans="1:35" ht="13.5" customHeight="1">
      <c r="A969" s="4"/>
      <c r="B969" s="15"/>
      <c r="C969" s="340"/>
      <c r="D969" s="254"/>
      <c r="E969" s="341"/>
      <c r="F969" s="341"/>
      <c r="G969" s="341"/>
      <c r="H969" s="341"/>
      <c r="I969" s="341"/>
      <c r="J969" s="341"/>
      <c r="K969" s="341"/>
      <c r="L969" s="341"/>
      <c r="M969" s="341"/>
      <c r="N969" s="341"/>
      <c r="O969" s="341"/>
      <c r="P969" s="341"/>
      <c r="Q969" s="341"/>
      <c r="R969" s="341"/>
      <c r="S969" s="341"/>
      <c r="T969" s="340"/>
      <c r="U969" s="340"/>
      <c r="V969" s="340"/>
      <c r="W969" s="340"/>
      <c r="X969" s="346"/>
      <c r="Y969" s="346"/>
      <c r="Z969" s="331"/>
      <c r="AA969" s="110"/>
      <c r="AB969" s="330"/>
      <c r="AC969" s="332"/>
      <c r="AD969" s="110"/>
      <c r="AE969" s="110"/>
      <c r="AF969" s="110"/>
      <c r="AG969" s="110"/>
      <c r="AH969" s="110"/>
      <c r="AI969" s="110"/>
    </row>
    <row r="970" spans="1:35" ht="13.5" customHeight="1">
      <c r="A970" s="2"/>
      <c r="B970" s="127" t="s">
        <v>5310</v>
      </c>
      <c r="C970" s="22" t="s">
        <v>5311</v>
      </c>
      <c r="D970" s="322"/>
      <c r="E970" s="338"/>
      <c r="F970" s="338"/>
      <c r="G970" s="338"/>
      <c r="H970" s="338"/>
      <c r="I970" s="338"/>
      <c r="J970" s="338"/>
      <c r="K970" s="338"/>
      <c r="L970" s="338"/>
      <c r="M970" s="338"/>
      <c r="N970" s="338"/>
      <c r="O970" s="338"/>
      <c r="P970" s="341"/>
      <c r="Q970" s="341"/>
      <c r="R970" s="338"/>
      <c r="S970" s="338"/>
      <c r="T970" s="22"/>
      <c r="U970" s="22"/>
      <c r="V970" s="22"/>
      <c r="W970" s="22"/>
      <c r="X970" s="339"/>
      <c r="Y970" s="339"/>
      <c r="Z970" s="331"/>
      <c r="AA970" s="110"/>
      <c r="AB970" s="330"/>
      <c r="AC970" s="332"/>
      <c r="AD970" s="110"/>
      <c r="AE970" s="110"/>
      <c r="AF970" s="110"/>
      <c r="AG970" s="110"/>
      <c r="AH970" s="110"/>
      <c r="AI970" s="110"/>
    </row>
    <row r="971" spans="1:35" ht="13.5" customHeight="1">
      <c r="A971" s="4"/>
      <c r="B971" s="15" t="s">
        <v>3561</v>
      </c>
      <c r="C971" s="340" t="s">
        <v>5312</v>
      </c>
      <c r="D971" s="254"/>
      <c r="E971" s="341">
        <f>SUMIF(GL!$D$6:$D$6487,B971,GL!$H$6:$H$6487)</f>
        <v>31185</v>
      </c>
      <c r="F971" s="341">
        <f>SUMIF(GL!$D$6:$D$6487,B971,GL!$I$6:$I$6487)</f>
        <v>0</v>
      </c>
      <c r="G971" s="341"/>
      <c r="H971" s="341"/>
      <c r="I971" s="341">
        <f t="shared" ref="I971:I987" si="1097">IF(E971&gt;F971,E971-F971,0)</f>
        <v>31185</v>
      </c>
      <c r="J971" s="341">
        <f t="shared" ref="J971:J987" si="1098">IF(F971&gt;E971,F971-E971,0)</f>
        <v>0</v>
      </c>
      <c r="K971" s="341"/>
      <c r="L971" s="342"/>
      <c r="M971" s="342"/>
      <c r="N971" s="341">
        <f t="shared" ref="N971:N987" si="1099">IF(I971+L971&gt;J971+M971,(I971+L971)-(J971+M971),0)</f>
        <v>31185</v>
      </c>
      <c r="O971" s="341">
        <f t="shared" ref="O971:O987" si="1100">IF(J971+M971&gt;I971+L971,(J971+M971)-(I971+L971),0)</f>
        <v>0</v>
      </c>
      <c r="P971" s="341">
        <f>SUMIF(GL!$D$6488:$D$6532,B971,GL!$H$6488:$H$6532)</f>
        <v>0</v>
      </c>
      <c r="Q971" s="341">
        <f>SUMIF(GL!$D$6408:$D$6452,B971,GL!$I$6408:$I$6452)</f>
        <v>0</v>
      </c>
      <c r="R971" s="341">
        <f t="shared" ref="R971:S971" si="1101">P971+N971</f>
        <v>31185</v>
      </c>
      <c r="S971" s="341">
        <f t="shared" si="1101"/>
        <v>0</v>
      </c>
      <c r="T971" s="340"/>
      <c r="U971" s="340"/>
      <c r="V971" s="340"/>
      <c r="W971" s="340"/>
      <c r="X971" s="341">
        <f t="shared" ref="X971:X987" si="1102">IF(R971&gt;S971,R971-S971,0)</f>
        <v>31185</v>
      </c>
      <c r="Y971" s="341">
        <f t="shared" ref="Y971:Y987" si="1103">IF(S971&gt;R971,S971-R971,0)</f>
        <v>0</v>
      </c>
      <c r="Z971" s="331"/>
      <c r="AA971" s="110"/>
      <c r="AB971" s="330"/>
      <c r="AC971" s="332"/>
      <c r="AD971" s="110"/>
      <c r="AE971" s="110"/>
      <c r="AF971" s="110"/>
      <c r="AG971" s="110"/>
      <c r="AH971" s="110"/>
      <c r="AI971" s="110"/>
    </row>
    <row r="972" spans="1:35" ht="13.5" customHeight="1">
      <c r="A972" s="4"/>
      <c r="B972" s="15" t="s">
        <v>5313</v>
      </c>
      <c r="C972" s="340" t="s">
        <v>5314</v>
      </c>
      <c r="D972" s="254"/>
      <c r="E972" s="341">
        <f>SUMIF(GL!$D$6:$D$6487,B972,GL!$H$6:$H$6487)</f>
        <v>0</v>
      </c>
      <c r="F972" s="341">
        <f>SUMIF(GL!$D$6:$D$6487,B972,GL!$I$6:$I$6487)</f>
        <v>0</v>
      </c>
      <c r="G972" s="341"/>
      <c r="H972" s="341"/>
      <c r="I972" s="341">
        <f t="shared" si="1097"/>
        <v>0</v>
      </c>
      <c r="J972" s="341">
        <f t="shared" si="1098"/>
        <v>0</v>
      </c>
      <c r="K972" s="341"/>
      <c r="L972" s="342"/>
      <c r="M972" s="342"/>
      <c r="N972" s="341">
        <f t="shared" si="1099"/>
        <v>0</v>
      </c>
      <c r="O972" s="341">
        <f t="shared" si="1100"/>
        <v>0</v>
      </c>
      <c r="P972" s="341">
        <f>SUMIF(GL!$D$6488:$D$6532,B972,GL!$H$6488:$H$6532)</f>
        <v>0</v>
      </c>
      <c r="Q972" s="341">
        <f>SUMIF(GL!$D$6408:$D$6452,B972,GL!$I$6408:$I$6452)</f>
        <v>0</v>
      </c>
      <c r="R972" s="341">
        <f t="shared" ref="R972:S972" si="1104">P972+N972</f>
        <v>0</v>
      </c>
      <c r="S972" s="341">
        <f t="shared" si="1104"/>
        <v>0</v>
      </c>
      <c r="T972" s="340"/>
      <c r="U972" s="340"/>
      <c r="V972" s="340"/>
      <c r="W972" s="340"/>
      <c r="X972" s="341">
        <f t="shared" si="1102"/>
        <v>0</v>
      </c>
      <c r="Y972" s="341">
        <f t="shared" si="1103"/>
        <v>0</v>
      </c>
      <c r="Z972" s="331"/>
      <c r="AA972" s="110"/>
      <c r="AB972" s="330"/>
      <c r="AC972" s="332"/>
      <c r="AD972" s="110"/>
      <c r="AE972" s="110"/>
      <c r="AF972" s="110"/>
      <c r="AG972" s="110"/>
      <c r="AH972" s="110"/>
      <c r="AI972" s="110"/>
    </row>
    <row r="973" spans="1:35" ht="13.5" customHeight="1">
      <c r="A973" s="4"/>
      <c r="B973" s="15" t="s">
        <v>1208</v>
      </c>
      <c r="C973" s="340" t="s">
        <v>5315</v>
      </c>
      <c r="D973" s="254"/>
      <c r="E973" s="341">
        <f>SUMIF(GL!$D$6:$D$6487,B973,GL!$H$6:$H$6487)</f>
        <v>5658516</v>
      </c>
      <c r="F973" s="341">
        <f>SUMIF(GL!$D$6:$D$6487,B973,GL!$I$6:$I$6487)</f>
        <v>0</v>
      </c>
      <c r="G973" s="341"/>
      <c r="H973" s="341"/>
      <c r="I973" s="341">
        <f t="shared" si="1097"/>
        <v>5658516</v>
      </c>
      <c r="J973" s="341">
        <f t="shared" si="1098"/>
        <v>0</v>
      </c>
      <c r="K973" s="341"/>
      <c r="L973" s="342"/>
      <c r="M973" s="342"/>
      <c r="N973" s="341">
        <f t="shared" si="1099"/>
        <v>5658516</v>
      </c>
      <c r="O973" s="341">
        <f t="shared" si="1100"/>
        <v>0</v>
      </c>
      <c r="P973" s="341">
        <f>SUMIF(GL!$D$6488:$D$6532,B973,GL!$H$6488:$H$6532)</f>
        <v>0</v>
      </c>
      <c r="Q973" s="341">
        <f>SUMIF(GL!$D$6408:$D$6452,B973,GL!$I$6408:$I$6452)</f>
        <v>0</v>
      </c>
      <c r="R973" s="341">
        <f t="shared" ref="R973:S973" si="1105">P973+N973</f>
        <v>5658516</v>
      </c>
      <c r="S973" s="341">
        <f t="shared" si="1105"/>
        <v>0</v>
      </c>
      <c r="T973" s="340"/>
      <c r="U973" s="340"/>
      <c r="V973" s="340"/>
      <c r="W973" s="340"/>
      <c r="X973" s="341">
        <f t="shared" si="1102"/>
        <v>5658516</v>
      </c>
      <c r="Y973" s="341">
        <f t="shared" si="1103"/>
        <v>0</v>
      </c>
      <c r="Z973" s="331"/>
      <c r="AA973" s="110"/>
      <c r="AB973" s="330"/>
      <c r="AC973" s="332"/>
      <c r="AD973" s="110"/>
      <c r="AE973" s="110"/>
      <c r="AF973" s="110"/>
      <c r="AG973" s="110"/>
      <c r="AH973" s="110"/>
      <c r="AI973" s="110"/>
    </row>
    <row r="974" spans="1:35" ht="13.5" customHeight="1">
      <c r="A974" s="4"/>
      <c r="B974" s="15" t="s">
        <v>471</v>
      </c>
      <c r="C974" s="340" t="s">
        <v>5316</v>
      </c>
      <c r="D974" s="254"/>
      <c r="E974" s="341">
        <f>SUMIF(GL!$D$6:$D$6487,B974,GL!$H$6:$H$6487)</f>
        <v>3500000</v>
      </c>
      <c r="F974" s="341">
        <f>SUMIF(GL!$D$6:$D$6487,B974,GL!$I$6:$I$6487)</f>
        <v>0</v>
      </c>
      <c r="G974" s="341"/>
      <c r="H974" s="341"/>
      <c r="I974" s="341">
        <f t="shared" si="1097"/>
        <v>3500000</v>
      </c>
      <c r="J974" s="341">
        <f t="shared" si="1098"/>
        <v>0</v>
      </c>
      <c r="K974" s="341"/>
      <c r="L974" s="342"/>
      <c r="M974" s="342"/>
      <c r="N974" s="341">
        <f t="shared" si="1099"/>
        <v>3500000</v>
      </c>
      <c r="O974" s="341">
        <f t="shared" si="1100"/>
        <v>0</v>
      </c>
      <c r="P974" s="341">
        <f>SUMIF(GL!$D$6488:$D$6532,B974,GL!$H$6488:$H$6532)</f>
        <v>0</v>
      </c>
      <c r="Q974" s="341">
        <f>SUMIF(GL!$D$6408:$D$6452,B974,GL!$I$6408:$I$6452)</f>
        <v>0</v>
      </c>
      <c r="R974" s="341">
        <f t="shared" ref="R974:S974" si="1106">P974+N974</f>
        <v>3500000</v>
      </c>
      <c r="S974" s="341">
        <f t="shared" si="1106"/>
        <v>0</v>
      </c>
      <c r="T974" s="340"/>
      <c r="U974" s="340"/>
      <c r="V974" s="340"/>
      <c r="W974" s="340"/>
      <c r="X974" s="341">
        <f t="shared" si="1102"/>
        <v>3500000</v>
      </c>
      <c r="Y974" s="341">
        <f t="shared" si="1103"/>
        <v>0</v>
      </c>
      <c r="Z974" s="331"/>
      <c r="AA974" s="110"/>
      <c r="AB974" s="330"/>
      <c r="AC974" s="332"/>
      <c r="AD974" s="110"/>
      <c r="AE974" s="110"/>
      <c r="AF974" s="110"/>
      <c r="AG974" s="110"/>
      <c r="AH974" s="110"/>
      <c r="AI974" s="110"/>
    </row>
    <row r="975" spans="1:35" ht="13.5" customHeight="1">
      <c r="A975" s="4"/>
      <c r="B975" s="15" t="s">
        <v>1404</v>
      </c>
      <c r="C975" s="340" t="s">
        <v>3672</v>
      </c>
      <c r="D975" s="254"/>
      <c r="E975" s="341">
        <f>SUMIF(GL!$D$6:$D$6487,B975,GL!$H$6:$H$6487)</f>
        <v>4550070</v>
      </c>
      <c r="F975" s="341">
        <f>SUMIF(GL!$D$6:$D$6487,B975,GL!$I$6:$I$6487)</f>
        <v>0</v>
      </c>
      <c r="G975" s="341"/>
      <c r="H975" s="341"/>
      <c r="I975" s="341">
        <f t="shared" si="1097"/>
        <v>4550070</v>
      </c>
      <c r="J975" s="341">
        <f t="shared" si="1098"/>
        <v>0</v>
      </c>
      <c r="K975" s="341"/>
      <c r="L975" s="342"/>
      <c r="M975" s="342"/>
      <c r="N975" s="341">
        <f t="shared" si="1099"/>
        <v>4550070</v>
      </c>
      <c r="O975" s="341">
        <f t="shared" si="1100"/>
        <v>0</v>
      </c>
      <c r="P975" s="341">
        <f>SUMIF(GL!$D$6488:$D$6532,B975,GL!$H$6488:$H$6532)</f>
        <v>0</v>
      </c>
      <c r="Q975" s="341">
        <f>SUMIF(GL!$D$6408:$D$6452,B975,GL!$I$6408:$I$6452)</f>
        <v>0</v>
      </c>
      <c r="R975" s="341">
        <f t="shared" ref="R975:S975" si="1107">P975+N975</f>
        <v>4550070</v>
      </c>
      <c r="S975" s="341">
        <f t="shared" si="1107"/>
        <v>0</v>
      </c>
      <c r="T975" s="340"/>
      <c r="U975" s="340"/>
      <c r="V975" s="340"/>
      <c r="W975" s="340"/>
      <c r="X975" s="341">
        <f t="shared" si="1102"/>
        <v>4550070</v>
      </c>
      <c r="Y975" s="341">
        <f t="shared" si="1103"/>
        <v>0</v>
      </c>
      <c r="Z975" s="331"/>
      <c r="AA975" s="110"/>
      <c r="AB975" s="330"/>
      <c r="AC975" s="332"/>
      <c r="AD975" s="110"/>
      <c r="AE975" s="110"/>
      <c r="AF975" s="110"/>
      <c r="AG975" s="110"/>
      <c r="AH975" s="110"/>
      <c r="AI975" s="110"/>
    </row>
    <row r="976" spans="1:35" ht="13.5" customHeight="1">
      <c r="A976" s="4"/>
      <c r="B976" s="15" t="s">
        <v>3662</v>
      </c>
      <c r="C976" s="340" t="s">
        <v>3663</v>
      </c>
      <c r="D976" s="254"/>
      <c r="E976" s="341">
        <f>SUMIF(GL!$D$6:$D$6487,B976,GL!$H$6:$H$6487)</f>
        <v>18000000</v>
      </c>
      <c r="F976" s="341">
        <f>SUMIF(GL!$D$6:$D$6487,B976,GL!$I$6:$I$6487)</f>
        <v>0</v>
      </c>
      <c r="G976" s="341"/>
      <c r="H976" s="341"/>
      <c r="I976" s="341">
        <f t="shared" si="1097"/>
        <v>18000000</v>
      </c>
      <c r="J976" s="341">
        <f t="shared" si="1098"/>
        <v>0</v>
      </c>
      <c r="K976" s="341"/>
      <c r="L976" s="342"/>
      <c r="M976" s="342"/>
      <c r="N976" s="341">
        <f t="shared" si="1099"/>
        <v>18000000</v>
      </c>
      <c r="O976" s="341">
        <f t="shared" si="1100"/>
        <v>0</v>
      </c>
      <c r="P976" s="341">
        <f>SUMIF(GL!$D$6488:$D$6532,B976,GL!$H$6488:$H$6532)</f>
        <v>0</v>
      </c>
      <c r="Q976" s="341">
        <f>SUMIF(GL!$D$6408:$D$6452,B976,GL!$I$6408:$I$6452)</f>
        <v>0</v>
      </c>
      <c r="R976" s="341">
        <f t="shared" ref="R976:S976" si="1108">P976+N976</f>
        <v>18000000</v>
      </c>
      <c r="S976" s="341">
        <f t="shared" si="1108"/>
        <v>0</v>
      </c>
      <c r="T976" s="340"/>
      <c r="U976" s="340"/>
      <c r="V976" s="340"/>
      <c r="W976" s="340"/>
      <c r="X976" s="341">
        <f t="shared" si="1102"/>
        <v>18000000</v>
      </c>
      <c r="Y976" s="341">
        <f t="shared" si="1103"/>
        <v>0</v>
      </c>
      <c r="Z976" s="331"/>
      <c r="AA976" s="110"/>
      <c r="AB976" s="330"/>
      <c r="AC976" s="332"/>
      <c r="AD976" s="110"/>
      <c r="AE976" s="110"/>
      <c r="AF976" s="110"/>
      <c r="AG976" s="110"/>
      <c r="AH976" s="110"/>
      <c r="AI976" s="110"/>
    </row>
    <row r="977" spans="1:35" ht="13.5" customHeight="1">
      <c r="A977" s="4"/>
      <c r="B977" s="15" t="s">
        <v>3105</v>
      </c>
      <c r="C977" s="340" t="s">
        <v>5317</v>
      </c>
      <c r="D977" s="254"/>
      <c r="E977" s="341">
        <f>SUMIF(GL!$D$6:$D$6487,B977,GL!$H$6:$H$6487)</f>
        <v>2250000</v>
      </c>
      <c r="F977" s="341">
        <f>SUMIF(GL!$D$6:$D$6487,B977,GL!$I$6:$I$6487)</f>
        <v>0</v>
      </c>
      <c r="G977" s="341"/>
      <c r="H977" s="341"/>
      <c r="I977" s="341">
        <f t="shared" si="1097"/>
        <v>2250000</v>
      </c>
      <c r="J977" s="341">
        <f t="shared" si="1098"/>
        <v>0</v>
      </c>
      <c r="K977" s="341"/>
      <c r="L977" s="342"/>
      <c r="M977" s="342"/>
      <c r="N977" s="341">
        <f t="shared" si="1099"/>
        <v>2250000</v>
      </c>
      <c r="O977" s="341">
        <f t="shared" si="1100"/>
        <v>0</v>
      </c>
      <c r="P977" s="341">
        <f>SUMIF(GL!$D$6488:$D$6532,B977,GL!$H$6488:$H$6532)</f>
        <v>0</v>
      </c>
      <c r="Q977" s="341">
        <f>SUMIF(GL!$D$6408:$D$6452,B977,GL!$I$6408:$I$6452)</f>
        <v>0</v>
      </c>
      <c r="R977" s="341">
        <f t="shared" ref="R977:S977" si="1109">P977+N977</f>
        <v>2250000</v>
      </c>
      <c r="S977" s="341">
        <f t="shared" si="1109"/>
        <v>0</v>
      </c>
      <c r="T977" s="340"/>
      <c r="U977" s="340"/>
      <c r="V977" s="340"/>
      <c r="W977" s="340"/>
      <c r="X977" s="341">
        <f t="shared" si="1102"/>
        <v>2250000</v>
      </c>
      <c r="Y977" s="341">
        <f t="shared" si="1103"/>
        <v>0</v>
      </c>
      <c r="Z977" s="331"/>
      <c r="AA977" s="110"/>
      <c r="AB977" s="330"/>
      <c r="AC977" s="332"/>
      <c r="AD977" s="110"/>
      <c r="AE977" s="110"/>
      <c r="AF977" s="110"/>
      <c r="AG977" s="110"/>
      <c r="AH977" s="110"/>
      <c r="AI977" s="110"/>
    </row>
    <row r="978" spans="1:35" ht="13.5" customHeight="1">
      <c r="A978" s="4"/>
      <c r="B978" s="15" t="s">
        <v>5318</v>
      </c>
      <c r="C978" s="390" t="s">
        <v>5319</v>
      </c>
      <c r="D978" s="254"/>
      <c r="E978" s="341">
        <f>SUMIF(GL!$D$6:$D$6487,B978,GL!$H$6:$H$6487)</f>
        <v>0</v>
      </c>
      <c r="F978" s="341">
        <f>SUMIF(GL!$D$6:$D$6487,B978,GL!$I$6:$I$6487)</f>
        <v>0</v>
      </c>
      <c r="G978" s="341"/>
      <c r="H978" s="341"/>
      <c r="I978" s="341">
        <f t="shared" si="1097"/>
        <v>0</v>
      </c>
      <c r="J978" s="341">
        <f t="shared" si="1098"/>
        <v>0</v>
      </c>
      <c r="K978" s="341"/>
      <c r="L978" s="342"/>
      <c r="M978" s="342"/>
      <c r="N978" s="341">
        <f t="shared" si="1099"/>
        <v>0</v>
      </c>
      <c r="O978" s="341">
        <f t="shared" si="1100"/>
        <v>0</v>
      </c>
      <c r="P978" s="341">
        <f>SUMIF(GL!$D$6488:$D$6532,B978,GL!$H$6488:$H$6532)</f>
        <v>0</v>
      </c>
      <c r="Q978" s="341">
        <f>SUMIF(GL!$D$6408:$D$6452,B978,GL!$I$6408:$I$6452)</f>
        <v>0</v>
      </c>
      <c r="R978" s="341">
        <f t="shared" ref="R978:S978" si="1110">P978+N978</f>
        <v>0</v>
      </c>
      <c r="S978" s="341">
        <f t="shared" si="1110"/>
        <v>0</v>
      </c>
      <c r="T978" s="340"/>
      <c r="U978" s="340"/>
      <c r="V978" s="340"/>
      <c r="W978" s="340"/>
      <c r="X978" s="341">
        <f t="shared" si="1102"/>
        <v>0</v>
      </c>
      <c r="Y978" s="341">
        <f t="shared" si="1103"/>
        <v>0</v>
      </c>
      <c r="Z978" s="331"/>
      <c r="AA978" s="110"/>
      <c r="AB978" s="330"/>
      <c r="AC978" s="332"/>
      <c r="AD978" s="110"/>
      <c r="AE978" s="110"/>
      <c r="AF978" s="110"/>
      <c r="AG978" s="110"/>
      <c r="AH978" s="110"/>
      <c r="AI978" s="110"/>
    </row>
    <row r="979" spans="1:35" ht="13.5" customHeight="1">
      <c r="A979" s="4"/>
      <c r="B979" s="15" t="s">
        <v>403</v>
      </c>
      <c r="C979" s="340" t="s">
        <v>5320</v>
      </c>
      <c r="D979" s="254"/>
      <c r="E979" s="341">
        <f>SUMIF(GL!$D$6:$D$6487,B979,GL!$H$6:$H$6487)</f>
        <v>82000000</v>
      </c>
      <c r="F979" s="341">
        <f>SUMIF(GL!$D$6:$D$6487,B979,GL!$I$6:$I$6487)</f>
        <v>0</v>
      </c>
      <c r="G979" s="341"/>
      <c r="H979" s="341"/>
      <c r="I979" s="341">
        <f t="shared" si="1097"/>
        <v>82000000</v>
      </c>
      <c r="J979" s="341">
        <f t="shared" si="1098"/>
        <v>0</v>
      </c>
      <c r="K979" s="341"/>
      <c r="L979" s="342"/>
      <c r="M979" s="342"/>
      <c r="N979" s="341">
        <f t="shared" si="1099"/>
        <v>82000000</v>
      </c>
      <c r="O979" s="341">
        <f t="shared" si="1100"/>
        <v>0</v>
      </c>
      <c r="P979" s="341">
        <f>SUMIF(GL!$D$6488:$D$6532,B979,GL!$H$6488:$H$6532)</f>
        <v>0</v>
      </c>
      <c r="Q979" s="341">
        <f>SUMIF(GL!$D$6408:$D$6452,B979,GL!$I$6408:$I$6452)</f>
        <v>0</v>
      </c>
      <c r="R979" s="341">
        <f t="shared" ref="R979:S979" si="1111">P979+N979</f>
        <v>82000000</v>
      </c>
      <c r="S979" s="341">
        <f t="shared" si="1111"/>
        <v>0</v>
      </c>
      <c r="T979" s="340"/>
      <c r="U979" s="340"/>
      <c r="V979" s="340"/>
      <c r="W979" s="340"/>
      <c r="X979" s="341">
        <f t="shared" si="1102"/>
        <v>82000000</v>
      </c>
      <c r="Y979" s="341">
        <f t="shared" si="1103"/>
        <v>0</v>
      </c>
      <c r="Z979" s="331"/>
      <c r="AA979" s="110"/>
      <c r="AB979" s="330"/>
      <c r="AC979" s="332"/>
      <c r="AD979" s="110"/>
      <c r="AE979" s="110"/>
      <c r="AF979" s="110"/>
      <c r="AG979" s="110"/>
      <c r="AH979" s="110"/>
      <c r="AI979" s="110"/>
    </row>
    <row r="980" spans="1:35" ht="13.5" customHeight="1">
      <c r="A980" s="4"/>
      <c r="B980" s="15" t="s">
        <v>3653</v>
      </c>
      <c r="C980" s="340" t="s">
        <v>5321</v>
      </c>
      <c r="D980" s="254"/>
      <c r="E980" s="341">
        <f>SUMIF(GL!$D$6:$D$6487,B980,GL!$H$6:$H$6487)</f>
        <v>2000000</v>
      </c>
      <c r="F980" s="341">
        <f>SUMIF(GL!$D$6:$D$6487,B980,GL!$I$6:$I$6487)</f>
        <v>0</v>
      </c>
      <c r="G980" s="341"/>
      <c r="H980" s="341"/>
      <c r="I980" s="341">
        <f t="shared" si="1097"/>
        <v>2000000</v>
      </c>
      <c r="J980" s="341">
        <f t="shared" si="1098"/>
        <v>0</v>
      </c>
      <c r="K980" s="341"/>
      <c r="L980" s="342"/>
      <c r="M980" s="342"/>
      <c r="N980" s="341">
        <f t="shared" si="1099"/>
        <v>2000000</v>
      </c>
      <c r="O980" s="341">
        <f t="shared" si="1100"/>
        <v>0</v>
      </c>
      <c r="P980" s="341">
        <f>SUMIF(GL!$D$6488:$D$6532,B980,GL!$H$6488:$H$6532)</f>
        <v>0</v>
      </c>
      <c r="Q980" s="341">
        <f>SUMIF(GL!$D$6408:$D$6452,B980,GL!$I$6408:$I$6452)</f>
        <v>0</v>
      </c>
      <c r="R980" s="341">
        <f t="shared" ref="R980:S980" si="1112">P980+N980</f>
        <v>2000000</v>
      </c>
      <c r="S980" s="341">
        <f t="shared" si="1112"/>
        <v>0</v>
      </c>
      <c r="T980" s="340"/>
      <c r="U980" s="340"/>
      <c r="V980" s="340"/>
      <c r="W980" s="340"/>
      <c r="X980" s="341">
        <f t="shared" si="1102"/>
        <v>2000000</v>
      </c>
      <c r="Y980" s="341">
        <f t="shared" si="1103"/>
        <v>0</v>
      </c>
      <c r="Z980" s="331"/>
      <c r="AA980" s="110"/>
      <c r="AB980" s="330"/>
      <c r="AC980" s="332"/>
      <c r="AD980" s="110"/>
      <c r="AE980" s="110"/>
      <c r="AF980" s="110"/>
      <c r="AG980" s="110"/>
      <c r="AH980" s="110"/>
      <c r="AI980" s="110"/>
    </row>
    <row r="981" spans="1:35" ht="13.5" customHeight="1">
      <c r="A981" s="4"/>
      <c r="B981" s="15" t="s">
        <v>5322</v>
      </c>
      <c r="C981" s="340" t="s">
        <v>5323</v>
      </c>
      <c r="D981" s="254"/>
      <c r="E981" s="341">
        <f>SUMIF(GL!$D$6:$D$6487,B981,GL!$H$6:$H$6487)</f>
        <v>0</v>
      </c>
      <c r="F981" s="341">
        <f>SUMIF(GL!$D$6:$D$6487,B981,GL!$I$6:$I$6487)</f>
        <v>0</v>
      </c>
      <c r="G981" s="341"/>
      <c r="H981" s="341"/>
      <c r="I981" s="341">
        <f t="shared" si="1097"/>
        <v>0</v>
      </c>
      <c r="J981" s="341">
        <f t="shared" si="1098"/>
        <v>0</v>
      </c>
      <c r="K981" s="341"/>
      <c r="L981" s="342"/>
      <c r="M981" s="342"/>
      <c r="N981" s="341">
        <f t="shared" si="1099"/>
        <v>0</v>
      </c>
      <c r="O981" s="341">
        <f t="shared" si="1100"/>
        <v>0</v>
      </c>
      <c r="P981" s="341">
        <f>SUMIF(GL!$D$6488:$D$6532,B981,GL!$H$6488:$H$6532)</f>
        <v>0</v>
      </c>
      <c r="Q981" s="341">
        <f>SUMIF(GL!$D$6408:$D$6452,B981,GL!$I$6408:$I$6452)</f>
        <v>0</v>
      </c>
      <c r="R981" s="341">
        <f t="shared" ref="R981:S981" si="1113">P981+N981</f>
        <v>0</v>
      </c>
      <c r="S981" s="341">
        <f t="shared" si="1113"/>
        <v>0</v>
      </c>
      <c r="T981" s="340"/>
      <c r="U981" s="340"/>
      <c r="V981" s="340"/>
      <c r="W981" s="340"/>
      <c r="X981" s="341">
        <f t="shared" si="1102"/>
        <v>0</v>
      </c>
      <c r="Y981" s="341">
        <f t="shared" si="1103"/>
        <v>0</v>
      </c>
      <c r="Z981" s="331"/>
      <c r="AA981" s="110"/>
      <c r="AB981" s="330"/>
      <c r="AC981" s="332"/>
      <c r="AD981" s="110"/>
      <c r="AE981" s="110"/>
      <c r="AF981" s="110"/>
      <c r="AG981" s="110"/>
      <c r="AH981" s="110"/>
      <c r="AI981" s="110"/>
    </row>
    <row r="982" spans="1:35" ht="13.5" customHeight="1">
      <c r="A982" s="4"/>
      <c r="B982" s="15" t="s">
        <v>5324</v>
      </c>
      <c r="C982" s="340" t="s">
        <v>5325</v>
      </c>
      <c r="D982" s="254"/>
      <c r="E982" s="341">
        <f>SUMIF(GL!$D$6:$D$6487,B982,GL!$H$6:$H$6487)</f>
        <v>0</v>
      </c>
      <c r="F982" s="341">
        <f>SUMIF(GL!$D$6:$D$6487,B982,GL!$I$6:$I$6487)</f>
        <v>0</v>
      </c>
      <c r="G982" s="341"/>
      <c r="H982" s="341"/>
      <c r="I982" s="341">
        <f t="shared" si="1097"/>
        <v>0</v>
      </c>
      <c r="J982" s="341">
        <f t="shared" si="1098"/>
        <v>0</v>
      </c>
      <c r="K982" s="341"/>
      <c r="L982" s="342"/>
      <c r="M982" s="342"/>
      <c r="N982" s="341">
        <f t="shared" si="1099"/>
        <v>0</v>
      </c>
      <c r="O982" s="341">
        <f t="shared" si="1100"/>
        <v>0</v>
      </c>
      <c r="P982" s="341">
        <f>SUMIF(GL!$D$6488:$D$6532,B982,GL!$H$6488:$H$6532)</f>
        <v>0</v>
      </c>
      <c r="Q982" s="341">
        <f>SUMIF(GL!$D$6408:$D$6452,B982,GL!$I$6408:$I$6452)</f>
        <v>0</v>
      </c>
      <c r="R982" s="341">
        <f t="shared" ref="R982:S982" si="1114">P982+N982</f>
        <v>0</v>
      </c>
      <c r="S982" s="341">
        <f t="shared" si="1114"/>
        <v>0</v>
      </c>
      <c r="T982" s="340"/>
      <c r="U982" s="340"/>
      <c r="V982" s="340"/>
      <c r="W982" s="340"/>
      <c r="X982" s="341">
        <f t="shared" si="1102"/>
        <v>0</v>
      </c>
      <c r="Y982" s="341">
        <f t="shared" si="1103"/>
        <v>0</v>
      </c>
      <c r="Z982" s="331"/>
      <c r="AA982" s="110"/>
      <c r="AB982" s="330"/>
      <c r="AC982" s="332"/>
      <c r="AD982" s="110"/>
      <c r="AE982" s="110"/>
      <c r="AF982" s="110"/>
      <c r="AG982" s="110"/>
      <c r="AH982" s="110"/>
      <c r="AI982" s="110"/>
    </row>
    <row r="983" spans="1:35" ht="13.5" customHeight="1">
      <c r="A983" s="4"/>
      <c r="B983" s="15" t="s">
        <v>1770</v>
      </c>
      <c r="C983" s="340" t="s">
        <v>1771</v>
      </c>
      <c r="D983" s="254"/>
      <c r="E983" s="341">
        <f>SUMIF(GL!$D$6:$D$6487,B983,GL!$H$6:$H$6487)</f>
        <v>2135500</v>
      </c>
      <c r="F983" s="341">
        <f>SUMIF(GL!$D$6:$D$6487,B983,GL!$I$6:$I$6487)</f>
        <v>0</v>
      </c>
      <c r="G983" s="341"/>
      <c r="H983" s="341"/>
      <c r="I983" s="341">
        <f t="shared" si="1097"/>
        <v>2135500</v>
      </c>
      <c r="J983" s="341">
        <f t="shared" si="1098"/>
        <v>0</v>
      </c>
      <c r="K983" s="341"/>
      <c r="L983" s="342"/>
      <c r="M983" s="342"/>
      <c r="N983" s="341">
        <f t="shared" si="1099"/>
        <v>2135500</v>
      </c>
      <c r="O983" s="341">
        <f t="shared" si="1100"/>
        <v>0</v>
      </c>
      <c r="P983" s="341">
        <f>SUMIF(GL!$D$6488:$D$6532,B983,GL!$H$6488:$H$6532)</f>
        <v>0</v>
      </c>
      <c r="Q983" s="341">
        <f>SUMIF(GL!$D$6408:$D$6452,B983,GL!$I$6408:$I$6452)</f>
        <v>0</v>
      </c>
      <c r="R983" s="341">
        <f t="shared" ref="R983:S983" si="1115">P983+N983</f>
        <v>2135500</v>
      </c>
      <c r="S983" s="341">
        <f t="shared" si="1115"/>
        <v>0</v>
      </c>
      <c r="T983" s="340"/>
      <c r="U983" s="340"/>
      <c r="V983" s="340"/>
      <c r="W983" s="340"/>
      <c r="X983" s="341">
        <f t="shared" si="1102"/>
        <v>2135500</v>
      </c>
      <c r="Y983" s="341">
        <f t="shared" si="1103"/>
        <v>0</v>
      </c>
      <c r="Z983" s="331"/>
      <c r="AA983" s="110"/>
      <c r="AB983" s="330"/>
      <c r="AC983" s="332"/>
      <c r="AD983" s="110"/>
      <c r="AE983" s="110"/>
      <c r="AF983" s="110"/>
      <c r="AG983" s="110"/>
      <c r="AH983" s="110"/>
      <c r="AI983" s="110"/>
    </row>
    <row r="984" spans="1:35" ht="13.5" customHeight="1">
      <c r="A984" s="396"/>
      <c r="B984" s="397" t="s">
        <v>3502</v>
      </c>
      <c r="C984" s="390" t="s">
        <v>5326</v>
      </c>
      <c r="D984" s="254"/>
      <c r="E984" s="341">
        <f>SUMIF(GL!$D$6:$D$6487,B984,GL!$H$6:$H$6487)</f>
        <v>22704316</v>
      </c>
      <c r="F984" s="341">
        <f>SUMIF(GL!$D$6:$D$6487,B984,GL!$I$6:$I$6487)</f>
        <v>0</v>
      </c>
      <c r="G984" s="341"/>
      <c r="H984" s="341"/>
      <c r="I984" s="341">
        <f t="shared" si="1097"/>
        <v>22704316</v>
      </c>
      <c r="J984" s="341">
        <f t="shared" si="1098"/>
        <v>0</v>
      </c>
      <c r="K984" s="341"/>
      <c r="L984" s="342"/>
      <c r="M984" s="342"/>
      <c r="N984" s="341">
        <f t="shared" si="1099"/>
        <v>22704316</v>
      </c>
      <c r="O984" s="341">
        <f t="shared" si="1100"/>
        <v>0</v>
      </c>
      <c r="P984" s="341">
        <f>SUMIF(GL!$D$6488:$D$6532,B984,GL!$H$6488:$H$6532)</f>
        <v>0</v>
      </c>
      <c r="Q984" s="341">
        <f>SUMIF(GL!$D$6408:$D$6452,B984,GL!$I$6408:$I$6452)</f>
        <v>0</v>
      </c>
      <c r="R984" s="341">
        <f t="shared" ref="R984:S984" si="1116">P984+N984</f>
        <v>22704316</v>
      </c>
      <c r="S984" s="341">
        <f t="shared" si="1116"/>
        <v>0</v>
      </c>
      <c r="T984" s="340"/>
      <c r="U984" s="340"/>
      <c r="V984" s="340"/>
      <c r="W984" s="340"/>
      <c r="X984" s="341">
        <f t="shared" si="1102"/>
        <v>22704316</v>
      </c>
      <c r="Y984" s="341">
        <f t="shared" si="1103"/>
        <v>0</v>
      </c>
      <c r="Z984" s="331"/>
      <c r="AA984" s="110"/>
      <c r="AB984" s="330"/>
      <c r="AC984" s="332"/>
      <c r="AD984" s="110"/>
      <c r="AE984" s="110"/>
      <c r="AF984" s="110"/>
      <c r="AG984" s="110"/>
      <c r="AH984" s="110"/>
      <c r="AI984" s="110"/>
    </row>
    <row r="985" spans="1:35" ht="13.5" customHeight="1">
      <c r="A985" s="396"/>
      <c r="B985" s="397" t="s">
        <v>5327</v>
      </c>
      <c r="C985" s="340" t="s">
        <v>5328</v>
      </c>
      <c r="D985" s="254"/>
      <c r="E985" s="341">
        <f>SUMIF(GL!$D$6:$D$6487,B985,GL!$H$6:$H$6487)</f>
        <v>0</v>
      </c>
      <c r="F985" s="341">
        <f>SUMIF(GL!$D$6:$D$6487,B985,GL!$I$6:$I$6487)</f>
        <v>0</v>
      </c>
      <c r="G985" s="341"/>
      <c r="H985" s="341"/>
      <c r="I985" s="341">
        <f t="shared" si="1097"/>
        <v>0</v>
      </c>
      <c r="J985" s="341">
        <f t="shared" si="1098"/>
        <v>0</v>
      </c>
      <c r="K985" s="341"/>
      <c r="L985" s="342"/>
      <c r="M985" s="342"/>
      <c r="N985" s="341">
        <f t="shared" si="1099"/>
        <v>0</v>
      </c>
      <c r="O985" s="341">
        <f t="shared" si="1100"/>
        <v>0</v>
      </c>
      <c r="P985" s="341">
        <f>SUMIF(GL!$D$6488:$D$6532,B985,GL!$H$6488:$H$6532)</f>
        <v>0</v>
      </c>
      <c r="Q985" s="341">
        <f>SUMIF(GL!$D$6408:$D$6452,B985,GL!$I$6408:$I$6452)</f>
        <v>0</v>
      </c>
      <c r="R985" s="341">
        <f t="shared" ref="R985:S985" si="1117">P985+N985</f>
        <v>0</v>
      </c>
      <c r="S985" s="341">
        <f t="shared" si="1117"/>
        <v>0</v>
      </c>
      <c r="T985" s="340"/>
      <c r="U985" s="340"/>
      <c r="V985" s="340"/>
      <c r="W985" s="340"/>
      <c r="X985" s="341">
        <f t="shared" si="1102"/>
        <v>0</v>
      </c>
      <c r="Y985" s="341">
        <f t="shared" si="1103"/>
        <v>0</v>
      </c>
      <c r="Z985" s="331"/>
      <c r="AA985" s="110"/>
      <c r="AB985" s="330"/>
      <c r="AC985" s="332"/>
      <c r="AD985" s="110"/>
      <c r="AE985" s="110"/>
      <c r="AF985" s="110"/>
      <c r="AG985" s="110"/>
      <c r="AH985" s="110"/>
      <c r="AI985" s="110"/>
    </row>
    <row r="986" spans="1:35" ht="13.5" customHeight="1">
      <c r="A986" s="396"/>
      <c r="B986" s="397" t="s">
        <v>3583</v>
      </c>
      <c r="C986" s="390" t="s">
        <v>5329</v>
      </c>
      <c r="D986" s="254"/>
      <c r="E986" s="341">
        <f>SUMIF(GL!$D$6:$D$6487,B986,GL!$H$6:$H$6487)</f>
        <v>75250000</v>
      </c>
      <c r="F986" s="341">
        <f>SUMIF(GL!$D$6:$D$6487,B986,GL!$I$6:$I$6487)</f>
        <v>0</v>
      </c>
      <c r="G986" s="341"/>
      <c r="H986" s="341"/>
      <c r="I986" s="341">
        <f t="shared" si="1097"/>
        <v>75250000</v>
      </c>
      <c r="J986" s="341">
        <f t="shared" si="1098"/>
        <v>0</v>
      </c>
      <c r="K986" s="341"/>
      <c r="L986" s="342"/>
      <c r="M986" s="342"/>
      <c r="N986" s="341">
        <f t="shared" si="1099"/>
        <v>75250000</v>
      </c>
      <c r="O986" s="341">
        <f t="shared" si="1100"/>
        <v>0</v>
      </c>
      <c r="P986" s="341">
        <f>SUMIF(GL!$D$6488:$D$6532,B986,GL!$H$6488:$H$6532)</f>
        <v>0</v>
      </c>
      <c r="Q986" s="341">
        <f>SUMIF(GL!$D$6408:$D$6452,B986,GL!$I$6408:$I$6452)</f>
        <v>0</v>
      </c>
      <c r="R986" s="341">
        <f t="shared" ref="R986:S986" si="1118">P986+N986</f>
        <v>75250000</v>
      </c>
      <c r="S986" s="341">
        <f t="shared" si="1118"/>
        <v>0</v>
      </c>
      <c r="T986" s="340"/>
      <c r="U986" s="340"/>
      <c r="V986" s="340"/>
      <c r="W986" s="340"/>
      <c r="X986" s="341">
        <f t="shared" si="1102"/>
        <v>75250000</v>
      </c>
      <c r="Y986" s="341">
        <f t="shared" si="1103"/>
        <v>0</v>
      </c>
      <c r="Z986" s="331"/>
      <c r="AA986" s="110"/>
      <c r="AB986" s="330"/>
      <c r="AC986" s="332"/>
      <c r="AD986" s="110"/>
      <c r="AE986" s="110"/>
      <c r="AF986" s="110"/>
      <c r="AG986" s="110"/>
      <c r="AH986" s="110"/>
      <c r="AI986" s="110"/>
    </row>
    <row r="987" spans="1:35" ht="13.5" customHeight="1">
      <c r="A987" s="396"/>
      <c r="B987" s="397" t="s">
        <v>5330</v>
      </c>
      <c r="C987" s="340" t="s">
        <v>5331</v>
      </c>
      <c r="D987" s="254"/>
      <c r="E987" s="341">
        <f>SUMIF(GL!$D$6:$D$6487,B987,GL!$H$6:$H$6487)</f>
        <v>0</v>
      </c>
      <c r="F987" s="341">
        <f>SUMIF(GL!$D$6:$D$6487,B987,GL!$I$6:$I$6487)</f>
        <v>0</v>
      </c>
      <c r="G987" s="341"/>
      <c r="H987" s="341"/>
      <c r="I987" s="341">
        <f t="shared" si="1097"/>
        <v>0</v>
      </c>
      <c r="J987" s="341">
        <f t="shared" si="1098"/>
        <v>0</v>
      </c>
      <c r="K987" s="341"/>
      <c r="L987" s="342"/>
      <c r="M987" s="342"/>
      <c r="N987" s="341">
        <f t="shared" si="1099"/>
        <v>0</v>
      </c>
      <c r="O987" s="341">
        <f t="shared" si="1100"/>
        <v>0</v>
      </c>
      <c r="P987" s="341">
        <f>SUMIF(GL!$D$6488:$D$6532,B987,GL!$H$6488:$H$6532)</f>
        <v>0</v>
      </c>
      <c r="Q987" s="341">
        <f>SUMIF(GL!$D$6408:$D$6452,B987,GL!$I$6408:$I$6452)</f>
        <v>0</v>
      </c>
      <c r="R987" s="341">
        <f t="shared" ref="R987:S987" si="1119">P987+N987</f>
        <v>0</v>
      </c>
      <c r="S987" s="341">
        <f t="shared" si="1119"/>
        <v>0</v>
      </c>
      <c r="T987" s="340"/>
      <c r="U987" s="340"/>
      <c r="V987" s="340"/>
      <c r="W987" s="340"/>
      <c r="X987" s="341">
        <f t="shared" si="1102"/>
        <v>0</v>
      </c>
      <c r="Y987" s="341">
        <f t="shared" si="1103"/>
        <v>0</v>
      </c>
      <c r="Z987" s="331"/>
      <c r="AA987" s="110"/>
      <c r="AB987" s="330"/>
      <c r="AC987" s="332"/>
      <c r="AD987" s="110"/>
      <c r="AE987" s="110"/>
      <c r="AF987" s="110"/>
      <c r="AG987" s="110"/>
      <c r="AH987" s="110"/>
      <c r="AI987" s="110"/>
    </row>
    <row r="988" spans="1:35" ht="13.5" customHeight="1">
      <c r="A988" s="2"/>
      <c r="B988" s="127" t="s">
        <v>5332</v>
      </c>
      <c r="C988" s="22" t="s">
        <v>5333</v>
      </c>
      <c r="D988" s="322"/>
      <c r="E988" s="338">
        <f t="shared" ref="E988:F988" si="1120">SUM(E971:E986)</f>
        <v>218079587</v>
      </c>
      <c r="F988" s="338">
        <f t="shared" si="1120"/>
        <v>0</v>
      </c>
      <c r="G988" s="338"/>
      <c r="H988" s="338"/>
      <c r="I988" s="338">
        <f t="shared" ref="I988:K988" si="1121">SUM(I971:I986)</f>
        <v>218079587</v>
      </c>
      <c r="J988" s="338">
        <f t="shared" si="1121"/>
        <v>0</v>
      </c>
      <c r="K988" s="338">
        <f t="shared" si="1121"/>
        <v>0</v>
      </c>
      <c r="L988" s="338"/>
      <c r="M988" s="338"/>
      <c r="N988" s="338">
        <f t="shared" ref="N988:W988" si="1122">SUM(N971:N986)</f>
        <v>218079587</v>
      </c>
      <c r="O988" s="338">
        <f t="shared" si="1122"/>
        <v>0</v>
      </c>
      <c r="P988" s="338">
        <f t="shared" si="1122"/>
        <v>0</v>
      </c>
      <c r="Q988" s="338">
        <f t="shared" si="1122"/>
        <v>0</v>
      </c>
      <c r="R988" s="338">
        <f t="shared" si="1122"/>
        <v>218079587</v>
      </c>
      <c r="S988" s="338">
        <f t="shared" si="1122"/>
        <v>0</v>
      </c>
      <c r="T988" s="338">
        <f t="shared" si="1122"/>
        <v>0</v>
      </c>
      <c r="U988" s="338">
        <f t="shared" si="1122"/>
        <v>0</v>
      </c>
      <c r="V988" s="338">
        <f t="shared" si="1122"/>
        <v>0</v>
      </c>
      <c r="W988" s="338">
        <f t="shared" si="1122"/>
        <v>0</v>
      </c>
      <c r="X988" s="338">
        <f t="shared" ref="X988:Y988" si="1123">SUM(X971:X987)</f>
        <v>218079587</v>
      </c>
      <c r="Y988" s="338">
        <f t="shared" si="1123"/>
        <v>0</v>
      </c>
      <c r="Z988" s="331"/>
      <c r="AA988" s="110"/>
      <c r="AB988" s="330"/>
      <c r="AC988" s="332"/>
      <c r="AD988" s="110"/>
      <c r="AE988" s="110"/>
      <c r="AF988" s="110"/>
      <c r="AG988" s="110"/>
      <c r="AH988" s="110"/>
      <c r="AI988" s="110"/>
    </row>
    <row r="989" spans="1:35" ht="13.5" customHeight="1">
      <c r="A989" s="4"/>
      <c r="B989" s="15"/>
      <c r="C989" s="340"/>
      <c r="D989" s="254"/>
      <c r="E989" s="341"/>
      <c r="F989" s="341"/>
      <c r="G989" s="341"/>
      <c r="H989" s="341"/>
      <c r="I989" s="341"/>
      <c r="J989" s="341"/>
      <c r="K989" s="341"/>
      <c r="L989" s="341"/>
      <c r="M989" s="341"/>
      <c r="N989" s="341"/>
      <c r="O989" s="341"/>
      <c r="P989" s="341"/>
      <c r="Q989" s="341"/>
      <c r="R989" s="341"/>
      <c r="S989" s="341"/>
      <c r="T989" s="340"/>
      <c r="U989" s="340"/>
      <c r="V989" s="340"/>
      <c r="W989" s="340"/>
      <c r="X989" s="346"/>
      <c r="Y989" s="346"/>
      <c r="Z989" s="331"/>
      <c r="AA989" s="110"/>
      <c r="AB989" s="330"/>
      <c r="AC989" s="332"/>
      <c r="AD989" s="110"/>
      <c r="AE989" s="110"/>
      <c r="AF989" s="110"/>
      <c r="AG989" s="110"/>
      <c r="AH989" s="110"/>
      <c r="AI989" s="110"/>
    </row>
    <row r="990" spans="1:35" ht="13.5" customHeight="1">
      <c r="A990" s="2"/>
      <c r="B990" s="127" t="s">
        <v>5334</v>
      </c>
      <c r="C990" s="22" t="s">
        <v>5335</v>
      </c>
      <c r="D990" s="322"/>
      <c r="E990" s="338"/>
      <c r="F990" s="338"/>
      <c r="G990" s="338"/>
      <c r="H990" s="338"/>
      <c r="I990" s="338"/>
      <c r="J990" s="338"/>
      <c r="K990" s="338"/>
      <c r="L990" s="338"/>
      <c r="M990" s="338"/>
      <c r="N990" s="338"/>
      <c r="O990" s="338"/>
      <c r="P990" s="341"/>
      <c r="Q990" s="341"/>
      <c r="R990" s="338"/>
      <c r="S990" s="338"/>
      <c r="T990" s="22"/>
      <c r="U990" s="22"/>
      <c r="V990" s="22"/>
      <c r="W990" s="22"/>
      <c r="X990" s="339"/>
      <c r="Y990" s="339"/>
      <c r="Z990" s="331"/>
      <c r="AA990" s="110"/>
      <c r="AB990" s="330"/>
      <c r="AC990" s="332"/>
      <c r="AD990" s="110"/>
      <c r="AE990" s="110"/>
      <c r="AF990" s="110"/>
      <c r="AG990" s="110"/>
      <c r="AH990" s="110"/>
      <c r="AI990" s="110"/>
    </row>
    <row r="991" spans="1:35" ht="13.5" customHeight="1">
      <c r="A991" s="4"/>
      <c r="B991" s="15" t="s">
        <v>188</v>
      </c>
      <c r="C991" s="340" t="s">
        <v>3669</v>
      </c>
      <c r="D991" s="254"/>
      <c r="E991" s="341">
        <f>SUMIF(GL!$D$6:$D$6487,B991,GL!$H$6:$H$6487)</f>
        <v>68640219</v>
      </c>
      <c r="F991" s="341">
        <f>SUMIF(GL!$D$6:$D$6487,B991,GL!$I$6:$I$6487)</f>
        <v>0</v>
      </c>
      <c r="G991" s="341"/>
      <c r="H991" s="341"/>
      <c r="I991" s="341">
        <f t="shared" ref="I991:I1002" si="1124">IF(E991&gt;F991,E991-F991,0)</f>
        <v>68640219</v>
      </c>
      <c r="J991" s="341">
        <f t="shared" ref="J991:J1002" si="1125">IF(F991&gt;E991,F991-E991,0)</f>
        <v>0</v>
      </c>
      <c r="K991" s="341"/>
      <c r="L991" s="342"/>
      <c r="M991" s="342"/>
      <c r="N991" s="341">
        <f t="shared" ref="N991:N1002" si="1126">IF(I991+L991&gt;J991+M991,(I991+L991)-(J991+M991),0)</f>
        <v>68640219</v>
      </c>
      <c r="O991" s="341">
        <f t="shared" ref="O991:O1002" si="1127">IF(J991+M991&gt;I991+L991,(J991+M991)-(I991+L991),0)</f>
        <v>0</v>
      </c>
      <c r="P991" s="341">
        <f>SUMIF(GL!$D$6488:$D$6532,B991,GL!$H$6488:$H$6532)</f>
        <v>0</v>
      </c>
      <c r="Q991" s="341">
        <f>SUMIF(GL!$D$6408:$D$6452,B991,GL!$I$6408:$I$6452)</f>
        <v>0</v>
      </c>
      <c r="R991" s="341">
        <f t="shared" ref="R991:S991" si="1128">P991+N991</f>
        <v>68640219</v>
      </c>
      <c r="S991" s="341">
        <f t="shared" si="1128"/>
        <v>0</v>
      </c>
      <c r="T991" s="340"/>
      <c r="U991" s="340"/>
      <c r="V991" s="340"/>
      <c r="W991" s="340"/>
      <c r="X991" s="341">
        <f t="shared" ref="X991:X1002" si="1129">IF(R991&gt;S991,R991-S991,0)</f>
        <v>68640219</v>
      </c>
      <c r="Y991" s="341">
        <f t="shared" ref="Y991:Y1002" si="1130">IF(S991&gt;R991,S991-R991,0)</f>
        <v>0</v>
      </c>
      <c r="Z991" s="331"/>
      <c r="AA991" s="110"/>
      <c r="AB991" s="330"/>
      <c r="AC991" s="332"/>
      <c r="AD991" s="110"/>
      <c r="AE991" s="110"/>
      <c r="AF991" s="110"/>
      <c r="AG991" s="110"/>
      <c r="AH991" s="110"/>
      <c r="AI991" s="110"/>
    </row>
    <row r="992" spans="1:35" ht="13.5" customHeight="1">
      <c r="A992" s="4"/>
      <c r="B992" s="15" t="s">
        <v>3108</v>
      </c>
      <c r="C992" s="340" t="s">
        <v>5336</v>
      </c>
      <c r="D992" s="254"/>
      <c r="E992" s="341">
        <f>SUMIF(GL!$D$6:$D$6487,B992,GL!$H$6:$H$6487)</f>
        <v>116705165</v>
      </c>
      <c r="F992" s="341">
        <f>SUMIF(GL!$D$6:$D$6487,B992,GL!$I$6:$I$6487)</f>
        <v>3290000</v>
      </c>
      <c r="G992" s="341"/>
      <c r="H992" s="341"/>
      <c r="I992" s="341">
        <f t="shared" si="1124"/>
        <v>113415165</v>
      </c>
      <c r="J992" s="341">
        <f t="shared" si="1125"/>
        <v>0</v>
      </c>
      <c r="K992" s="341"/>
      <c r="L992" s="342"/>
      <c r="M992" s="342"/>
      <c r="N992" s="341">
        <f t="shared" si="1126"/>
        <v>113415165</v>
      </c>
      <c r="O992" s="341">
        <f t="shared" si="1127"/>
        <v>0</v>
      </c>
      <c r="P992" s="341">
        <f>SUMIF(GL!$D$6488:$D$6532,B992,GL!$H$6488:$H$6532)</f>
        <v>0</v>
      </c>
      <c r="Q992" s="341">
        <f>SUMIF(GL!$D$6408:$D$6452,B992,GL!$I$6408:$I$6452)</f>
        <v>0</v>
      </c>
      <c r="R992" s="341">
        <f t="shared" ref="R992:S992" si="1131">P992+N992</f>
        <v>113415165</v>
      </c>
      <c r="S992" s="341">
        <f t="shared" si="1131"/>
        <v>0</v>
      </c>
      <c r="T992" s="340"/>
      <c r="U992" s="340"/>
      <c r="V992" s="340"/>
      <c r="W992" s="340"/>
      <c r="X992" s="341">
        <f t="shared" si="1129"/>
        <v>113415165</v>
      </c>
      <c r="Y992" s="341">
        <f t="shared" si="1130"/>
        <v>0</v>
      </c>
      <c r="Z992" s="331"/>
      <c r="AA992" s="110"/>
      <c r="AB992" s="330"/>
      <c r="AC992" s="332"/>
      <c r="AD992" s="110"/>
      <c r="AE992" s="110"/>
      <c r="AF992" s="110"/>
      <c r="AG992" s="110"/>
      <c r="AH992" s="110"/>
      <c r="AI992" s="110"/>
    </row>
    <row r="993" spans="1:35" ht="13.5" customHeight="1">
      <c r="A993" s="4"/>
      <c r="B993" s="15" t="s">
        <v>438</v>
      </c>
      <c r="C993" s="390" t="s">
        <v>5337</v>
      </c>
      <c r="D993" s="254"/>
      <c r="E993" s="341">
        <f>SUMIF(GL!$D$6:$D$6487,B993,GL!$H$6:$H$6487)</f>
        <v>3629000</v>
      </c>
      <c r="F993" s="341">
        <f>SUMIF(GL!$D$6:$D$6487,B993,GL!$I$6:$I$6487)</f>
        <v>0</v>
      </c>
      <c r="G993" s="341"/>
      <c r="H993" s="341"/>
      <c r="I993" s="341">
        <f t="shared" si="1124"/>
        <v>3629000</v>
      </c>
      <c r="J993" s="341">
        <f t="shared" si="1125"/>
        <v>0</v>
      </c>
      <c r="K993" s="341"/>
      <c r="L993" s="342"/>
      <c r="M993" s="342"/>
      <c r="N993" s="341">
        <f t="shared" si="1126"/>
        <v>3629000</v>
      </c>
      <c r="O993" s="341">
        <f t="shared" si="1127"/>
        <v>0</v>
      </c>
      <c r="P993" s="341">
        <f>SUMIF(GL!$D$6488:$D$6532,B993,GL!$H$6488:$H$6532)</f>
        <v>0</v>
      </c>
      <c r="Q993" s="341">
        <f>SUMIF(GL!$D$6408:$D$6452,B993,GL!$I$6408:$I$6452)</f>
        <v>0</v>
      </c>
      <c r="R993" s="341">
        <f t="shared" ref="R993:S993" si="1132">P993+N993</f>
        <v>3629000</v>
      </c>
      <c r="S993" s="341">
        <f t="shared" si="1132"/>
        <v>0</v>
      </c>
      <c r="T993" s="340"/>
      <c r="U993" s="340"/>
      <c r="V993" s="340"/>
      <c r="W993" s="340"/>
      <c r="X993" s="341">
        <f t="shared" si="1129"/>
        <v>3629000</v>
      </c>
      <c r="Y993" s="341">
        <f t="shared" si="1130"/>
        <v>0</v>
      </c>
      <c r="Z993" s="331"/>
      <c r="AA993" s="110"/>
      <c r="AB993" s="330"/>
      <c r="AC993" s="332"/>
      <c r="AD993" s="110"/>
      <c r="AE993" s="110"/>
      <c r="AF993" s="110"/>
      <c r="AG993" s="110"/>
      <c r="AH993" s="110"/>
      <c r="AI993" s="110"/>
    </row>
    <row r="994" spans="1:35" ht="13.5" customHeight="1">
      <c r="A994" s="4"/>
      <c r="B994" s="15" t="s">
        <v>5338</v>
      </c>
      <c r="C994" s="340" t="s">
        <v>5339</v>
      </c>
      <c r="D994" s="254"/>
      <c r="E994" s="341">
        <f>SUMIF(GL!$D$6:$D$6487,B994,GL!$H$6:$H$6487)</f>
        <v>0</v>
      </c>
      <c r="F994" s="341">
        <f>SUMIF(GL!$D$6:$D$6487,B994,GL!$I$6:$I$6487)</f>
        <v>0</v>
      </c>
      <c r="G994" s="341"/>
      <c r="H994" s="341"/>
      <c r="I994" s="341">
        <f t="shared" si="1124"/>
        <v>0</v>
      </c>
      <c r="J994" s="341">
        <f t="shared" si="1125"/>
        <v>0</v>
      </c>
      <c r="K994" s="341"/>
      <c r="L994" s="342"/>
      <c r="M994" s="342"/>
      <c r="N994" s="341">
        <f t="shared" si="1126"/>
        <v>0</v>
      </c>
      <c r="O994" s="341">
        <f t="shared" si="1127"/>
        <v>0</v>
      </c>
      <c r="P994" s="341">
        <f>SUMIF(GL!$D$6488:$D$6532,B994,GL!$H$6488:$H$6532)</f>
        <v>0</v>
      </c>
      <c r="Q994" s="341">
        <f>SUMIF(GL!$D$6408:$D$6452,B994,GL!$I$6408:$I$6452)</f>
        <v>0</v>
      </c>
      <c r="R994" s="341">
        <f t="shared" ref="R994:S994" si="1133">P994+N994</f>
        <v>0</v>
      </c>
      <c r="S994" s="341">
        <f t="shared" si="1133"/>
        <v>0</v>
      </c>
      <c r="T994" s="340"/>
      <c r="U994" s="340"/>
      <c r="V994" s="340"/>
      <c r="W994" s="340"/>
      <c r="X994" s="341">
        <f t="shared" si="1129"/>
        <v>0</v>
      </c>
      <c r="Y994" s="341">
        <f t="shared" si="1130"/>
        <v>0</v>
      </c>
      <c r="Z994" s="331"/>
      <c r="AA994" s="110"/>
      <c r="AB994" s="330"/>
      <c r="AC994" s="332"/>
      <c r="AD994" s="110"/>
      <c r="AE994" s="110"/>
      <c r="AF994" s="110"/>
      <c r="AG994" s="110"/>
      <c r="AH994" s="110"/>
      <c r="AI994" s="110"/>
    </row>
    <row r="995" spans="1:35" ht="13.5" customHeight="1">
      <c r="A995" s="4"/>
      <c r="B995" s="15" t="s">
        <v>3103</v>
      </c>
      <c r="C995" s="340" t="s">
        <v>5340</v>
      </c>
      <c r="D995" s="254"/>
      <c r="E995" s="341">
        <f>SUMIF(GL!$D$6:$D$6487,B995,GL!$H$6:$H$6487)</f>
        <v>2000000</v>
      </c>
      <c r="F995" s="341">
        <f>SUMIF(GL!$D$6:$D$6487,B995,GL!$I$6:$I$6487)</f>
        <v>0</v>
      </c>
      <c r="G995" s="341"/>
      <c r="H995" s="341"/>
      <c r="I995" s="341">
        <f t="shared" si="1124"/>
        <v>2000000</v>
      </c>
      <c r="J995" s="341">
        <f t="shared" si="1125"/>
        <v>0</v>
      </c>
      <c r="K995" s="341"/>
      <c r="L995" s="342"/>
      <c r="M995" s="342"/>
      <c r="N995" s="341">
        <f t="shared" si="1126"/>
        <v>2000000</v>
      </c>
      <c r="O995" s="341">
        <f t="shared" si="1127"/>
        <v>0</v>
      </c>
      <c r="P995" s="341">
        <f>SUMIF(GL!$D$6488:$D$6532,B995,GL!$H$6488:$H$6532)</f>
        <v>0</v>
      </c>
      <c r="Q995" s="341">
        <f>SUMIF(GL!$D$6408:$D$6452,B995,GL!$I$6408:$I$6452)</f>
        <v>0</v>
      </c>
      <c r="R995" s="341">
        <f t="shared" ref="R995:S995" si="1134">P995+N995</f>
        <v>2000000</v>
      </c>
      <c r="S995" s="341">
        <f t="shared" si="1134"/>
        <v>0</v>
      </c>
      <c r="T995" s="340"/>
      <c r="U995" s="340"/>
      <c r="V995" s="340"/>
      <c r="W995" s="340"/>
      <c r="X995" s="341">
        <f t="shared" si="1129"/>
        <v>2000000</v>
      </c>
      <c r="Y995" s="341">
        <f t="shared" si="1130"/>
        <v>0</v>
      </c>
      <c r="Z995" s="331"/>
      <c r="AA995" s="110"/>
      <c r="AB995" s="330"/>
      <c r="AC995" s="332"/>
      <c r="AD995" s="110"/>
      <c r="AE995" s="110"/>
      <c r="AF995" s="110"/>
      <c r="AG995" s="110"/>
      <c r="AH995" s="110"/>
      <c r="AI995" s="110"/>
    </row>
    <row r="996" spans="1:35" ht="13.5" customHeight="1">
      <c r="A996" s="4"/>
      <c r="B996" s="15" t="s">
        <v>5341</v>
      </c>
      <c r="C996" s="340" t="s">
        <v>5342</v>
      </c>
      <c r="D996" s="254"/>
      <c r="E996" s="341">
        <f>SUMIF(GL!$D$6:$D$6487,B996,GL!$H$6:$H$6487)</f>
        <v>0</v>
      </c>
      <c r="F996" s="341">
        <f>SUMIF(GL!$D$6:$D$6487,B996,GL!$I$6:$I$6487)</f>
        <v>0</v>
      </c>
      <c r="G996" s="341"/>
      <c r="H996" s="341"/>
      <c r="I996" s="341">
        <f t="shared" si="1124"/>
        <v>0</v>
      </c>
      <c r="J996" s="341">
        <f t="shared" si="1125"/>
        <v>0</v>
      </c>
      <c r="K996" s="341"/>
      <c r="L996" s="342"/>
      <c r="M996" s="342"/>
      <c r="N996" s="341">
        <f t="shared" si="1126"/>
        <v>0</v>
      </c>
      <c r="O996" s="341">
        <f t="shared" si="1127"/>
        <v>0</v>
      </c>
      <c r="P996" s="341">
        <f>SUMIF(GL!$D$6488:$D$6532,B996,GL!$H$6488:$H$6532)</f>
        <v>0</v>
      </c>
      <c r="Q996" s="341">
        <f>SUMIF(GL!$D$6408:$D$6452,B996,GL!$I$6408:$I$6452)</f>
        <v>0</v>
      </c>
      <c r="R996" s="341">
        <f t="shared" ref="R996:S996" si="1135">P996+N996</f>
        <v>0</v>
      </c>
      <c r="S996" s="341">
        <f t="shared" si="1135"/>
        <v>0</v>
      </c>
      <c r="T996" s="340"/>
      <c r="U996" s="340"/>
      <c r="V996" s="340"/>
      <c r="W996" s="340"/>
      <c r="X996" s="341">
        <f t="shared" si="1129"/>
        <v>0</v>
      </c>
      <c r="Y996" s="341">
        <f t="shared" si="1130"/>
        <v>0</v>
      </c>
      <c r="Z996" s="331"/>
      <c r="AA996" s="110"/>
      <c r="AB996" s="330"/>
      <c r="AC996" s="332"/>
      <c r="AD996" s="110"/>
      <c r="AE996" s="110"/>
      <c r="AF996" s="110"/>
      <c r="AG996" s="110"/>
      <c r="AH996" s="110"/>
      <c r="AI996" s="110"/>
    </row>
    <row r="997" spans="1:35" ht="13.5" customHeight="1">
      <c r="A997" s="4"/>
      <c r="B997" s="15" t="s">
        <v>3196</v>
      </c>
      <c r="C997" s="340" t="s">
        <v>5343</v>
      </c>
      <c r="D997" s="254"/>
      <c r="E997" s="341">
        <f>SUMIF(GL!$D$6:$D$6487,B997,GL!$H$6:$H$6487)</f>
        <v>4100000</v>
      </c>
      <c r="F997" s="341">
        <f>SUMIF(GL!$D$6:$D$6487,B997,GL!$I$6:$I$6487)</f>
        <v>0</v>
      </c>
      <c r="G997" s="341"/>
      <c r="H997" s="341"/>
      <c r="I997" s="341">
        <f t="shared" si="1124"/>
        <v>4100000</v>
      </c>
      <c r="J997" s="341">
        <f t="shared" si="1125"/>
        <v>0</v>
      </c>
      <c r="K997" s="341"/>
      <c r="L997" s="342"/>
      <c r="M997" s="342"/>
      <c r="N997" s="341">
        <f t="shared" si="1126"/>
        <v>4100000</v>
      </c>
      <c r="O997" s="341">
        <f t="shared" si="1127"/>
        <v>0</v>
      </c>
      <c r="P997" s="341">
        <f>SUMIF(GL!$D$6488:$D$6532,B997,GL!$H$6488:$H$6532)</f>
        <v>0</v>
      </c>
      <c r="Q997" s="341">
        <f>SUMIF(GL!$D$6408:$D$6452,B997,GL!$I$6408:$I$6452)</f>
        <v>0</v>
      </c>
      <c r="R997" s="341">
        <f t="shared" ref="R997:S997" si="1136">P997+N997</f>
        <v>4100000</v>
      </c>
      <c r="S997" s="341">
        <f t="shared" si="1136"/>
        <v>0</v>
      </c>
      <c r="T997" s="340"/>
      <c r="U997" s="340"/>
      <c r="V997" s="340"/>
      <c r="W997" s="340"/>
      <c r="X997" s="341">
        <f t="shared" si="1129"/>
        <v>4100000</v>
      </c>
      <c r="Y997" s="341">
        <f t="shared" si="1130"/>
        <v>0</v>
      </c>
      <c r="Z997" s="331"/>
      <c r="AA997" s="110"/>
      <c r="AB997" s="330"/>
      <c r="AC997" s="332"/>
      <c r="AD997" s="110"/>
      <c r="AE997" s="110"/>
      <c r="AF997" s="110"/>
      <c r="AG997" s="110"/>
      <c r="AH997" s="110"/>
      <c r="AI997" s="110"/>
    </row>
    <row r="998" spans="1:35" ht="13.5" customHeight="1">
      <c r="A998" s="4"/>
      <c r="B998" s="15" t="s">
        <v>5344</v>
      </c>
      <c r="C998" s="340" t="s">
        <v>5345</v>
      </c>
      <c r="D998" s="254"/>
      <c r="E998" s="341">
        <f>SUMIF(GL!$D$6:$D$6487,B998,GL!$H$6:$H$6487)</f>
        <v>0</v>
      </c>
      <c r="F998" s="341">
        <f>SUMIF(GL!$D$6:$D$6487,B998,GL!$I$6:$I$6487)</f>
        <v>0</v>
      </c>
      <c r="G998" s="341"/>
      <c r="H998" s="341"/>
      <c r="I998" s="341">
        <f t="shared" si="1124"/>
        <v>0</v>
      </c>
      <c r="J998" s="341">
        <f t="shared" si="1125"/>
        <v>0</v>
      </c>
      <c r="K998" s="341"/>
      <c r="L998" s="342"/>
      <c r="M998" s="342"/>
      <c r="N998" s="341">
        <f t="shared" si="1126"/>
        <v>0</v>
      </c>
      <c r="O998" s="341">
        <f t="shared" si="1127"/>
        <v>0</v>
      </c>
      <c r="P998" s="341">
        <f>SUMIF(GL!$D$6488:$D$6532,B998,GL!$H$6488:$H$6532)</f>
        <v>0</v>
      </c>
      <c r="Q998" s="341">
        <f>SUMIF(GL!$D$6408:$D$6452,B998,GL!$I$6408:$I$6452)</f>
        <v>0</v>
      </c>
      <c r="R998" s="341">
        <f t="shared" ref="R998:S998" si="1137">P998+N998</f>
        <v>0</v>
      </c>
      <c r="S998" s="341">
        <f t="shared" si="1137"/>
        <v>0</v>
      </c>
      <c r="T998" s="340"/>
      <c r="U998" s="340"/>
      <c r="V998" s="340"/>
      <c r="W998" s="340"/>
      <c r="X998" s="341">
        <f t="shared" si="1129"/>
        <v>0</v>
      </c>
      <c r="Y998" s="341">
        <f t="shared" si="1130"/>
        <v>0</v>
      </c>
      <c r="Z998" s="331"/>
      <c r="AA998" s="110"/>
      <c r="AB998" s="330"/>
      <c r="AC998" s="332"/>
      <c r="AD998" s="110"/>
      <c r="AE998" s="110"/>
      <c r="AF998" s="110"/>
      <c r="AG998" s="110"/>
      <c r="AH998" s="110"/>
      <c r="AI998" s="110"/>
    </row>
    <row r="999" spans="1:35" ht="13.5" customHeight="1">
      <c r="A999" s="4"/>
      <c r="B999" s="15" t="s">
        <v>5346</v>
      </c>
      <c r="C999" s="340" t="s">
        <v>5347</v>
      </c>
      <c r="D999" s="254"/>
      <c r="E999" s="341">
        <f>SUMIF(GL!$D$6:$D$6487,B999,GL!$H$6:$H$6487)</f>
        <v>0</v>
      </c>
      <c r="F999" s="341">
        <f>SUMIF(GL!$D$6:$D$6487,B999,GL!$I$6:$I$6487)</f>
        <v>0</v>
      </c>
      <c r="G999" s="341"/>
      <c r="H999" s="341"/>
      <c r="I999" s="341">
        <f t="shared" si="1124"/>
        <v>0</v>
      </c>
      <c r="J999" s="341">
        <f t="shared" si="1125"/>
        <v>0</v>
      </c>
      <c r="K999" s="341"/>
      <c r="L999" s="342"/>
      <c r="M999" s="342"/>
      <c r="N999" s="341">
        <f t="shared" si="1126"/>
        <v>0</v>
      </c>
      <c r="O999" s="341">
        <f t="shared" si="1127"/>
        <v>0</v>
      </c>
      <c r="P999" s="341">
        <f>SUMIF(GL!$D$6488:$D$6532,B999,GL!$H$6488:$H$6532)</f>
        <v>0</v>
      </c>
      <c r="Q999" s="341">
        <f>SUMIF(GL!$D$6408:$D$6452,B999,GL!$I$6408:$I$6452)</f>
        <v>0</v>
      </c>
      <c r="R999" s="341">
        <f t="shared" ref="R999:S999" si="1138">P999+N999</f>
        <v>0</v>
      </c>
      <c r="S999" s="341">
        <f t="shared" si="1138"/>
        <v>0</v>
      </c>
      <c r="T999" s="340"/>
      <c r="U999" s="340"/>
      <c r="V999" s="340"/>
      <c r="W999" s="340"/>
      <c r="X999" s="341">
        <f t="shared" si="1129"/>
        <v>0</v>
      </c>
      <c r="Y999" s="341">
        <f t="shared" si="1130"/>
        <v>0</v>
      </c>
      <c r="Z999" s="331"/>
      <c r="AA999" s="110"/>
      <c r="AB999" s="330"/>
      <c r="AC999" s="332"/>
      <c r="AD999" s="110"/>
      <c r="AE999" s="110"/>
      <c r="AF999" s="110"/>
      <c r="AG999" s="110"/>
      <c r="AH999" s="110"/>
      <c r="AI999" s="110"/>
    </row>
    <row r="1000" spans="1:35" ht="13.5" customHeight="1">
      <c r="A1000" s="4"/>
      <c r="B1000" s="15" t="s">
        <v>3171</v>
      </c>
      <c r="C1000" s="340" t="s">
        <v>5348</v>
      </c>
      <c r="D1000" s="254"/>
      <c r="E1000" s="341">
        <f>SUMIF(GL!$D$6:$D$6487,B1000,GL!$H$6:$H$6487)</f>
        <v>1000000</v>
      </c>
      <c r="F1000" s="341">
        <f>SUMIF(GL!$D$6:$D$6487,B1000,GL!$I$6:$I$6487)</f>
        <v>0</v>
      </c>
      <c r="G1000" s="341"/>
      <c r="H1000" s="341"/>
      <c r="I1000" s="341">
        <f t="shared" si="1124"/>
        <v>1000000</v>
      </c>
      <c r="J1000" s="341">
        <f t="shared" si="1125"/>
        <v>0</v>
      </c>
      <c r="K1000" s="341"/>
      <c r="L1000" s="342"/>
      <c r="M1000" s="342"/>
      <c r="N1000" s="341">
        <f t="shared" si="1126"/>
        <v>1000000</v>
      </c>
      <c r="O1000" s="341">
        <f t="shared" si="1127"/>
        <v>0</v>
      </c>
      <c r="P1000" s="341">
        <f>SUMIF(GL!$D$6488:$D$6532,B1000,GL!$H$6488:$H$6532)</f>
        <v>0</v>
      </c>
      <c r="Q1000" s="341">
        <f>SUMIF(GL!$D$6408:$D$6452,B1000,GL!$I$6408:$I$6452)</f>
        <v>0</v>
      </c>
      <c r="R1000" s="341">
        <f t="shared" ref="R1000:S1000" si="1139">P1000+N1000</f>
        <v>1000000</v>
      </c>
      <c r="S1000" s="341">
        <f t="shared" si="1139"/>
        <v>0</v>
      </c>
      <c r="T1000" s="340"/>
      <c r="U1000" s="340"/>
      <c r="V1000" s="340"/>
      <c r="W1000" s="340"/>
      <c r="X1000" s="341">
        <f t="shared" si="1129"/>
        <v>1000000</v>
      </c>
      <c r="Y1000" s="341">
        <f t="shared" si="1130"/>
        <v>0</v>
      </c>
      <c r="Z1000" s="331"/>
      <c r="AA1000" s="110"/>
      <c r="AB1000" s="330"/>
      <c r="AC1000" s="332"/>
      <c r="AD1000" s="110"/>
      <c r="AE1000" s="110"/>
      <c r="AF1000" s="110"/>
      <c r="AG1000" s="110"/>
      <c r="AH1000" s="110"/>
      <c r="AI1000" s="110"/>
    </row>
    <row r="1001" spans="1:35" ht="13.5" customHeight="1">
      <c r="A1001" s="4"/>
      <c r="B1001" s="15" t="s">
        <v>3161</v>
      </c>
      <c r="C1001" s="340" t="s">
        <v>5349</v>
      </c>
      <c r="D1001" s="254"/>
      <c r="E1001" s="341">
        <f>SUMIF(GL!$D$6:$D$6487,B1001,GL!$H$6:$H$6487)</f>
        <v>4958296</v>
      </c>
      <c r="F1001" s="341">
        <f>SUMIF(GL!$D$6:$D$6487,B1001,GL!$I$6:$I$6487)</f>
        <v>0</v>
      </c>
      <c r="G1001" s="341"/>
      <c r="H1001" s="341"/>
      <c r="I1001" s="341">
        <f t="shared" si="1124"/>
        <v>4958296</v>
      </c>
      <c r="J1001" s="341">
        <f t="shared" si="1125"/>
        <v>0</v>
      </c>
      <c r="K1001" s="341"/>
      <c r="L1001" s="342"/>
      <c r="M1001" s="342"/>
      <c r="N1001" s="341">
        <f t="shared" si="1126"/>
        <v>4958296</v>
      </c>
      <c r="O1001" s="341">
        <f t="shared" si="1127"/>
        <v>0</v>
      </c>
      <c r="P1001" s="341">
        <f>SUMIF(GL!$D$6488:$D$6532,B1001,GL!$H$6488:$H$6532)</f>
        <v>0</v>
      </c>
      <c r="Q1001" s="341">
        <f>SUMIF(GL!$D$6408:$D$6452,B1001,GL!$I$6408:$I$6452)</f>
        <v>0</v>
      </c>
      <c r="R1001" s="341">
        <f t="shared" ref="R1001:S1001" si="1140">P1001+N1001</f>
        <v>4958296</v>
      </c>
      <c r="S1001" s="341">
        <f t="shared" si="1140"/>
        <v>0</v>
      </c>
      <c r="T1001" s="340"/>
      <c r="U1001" s="340"/>
      <c r="V1001" s="340"/>
      <c r="W1001" s="340"/>
      <c r="X1001" s="341">
        <f t="shared" si="1129"/>
        <v>4958296</v>
      </c>
      <c r="Y1001" s="341">
        <f t="shared" si="1130"/>
        <v>0</v>
      </c>
      <c r="Z1001" s="331"/>
      <c r="AA1001" s="110"/>
      <c r="AB1001" s="330"/>
      <c r="AC1001" s="332"/>
      <c r="AD1001" s="110"/>
      <c r="AE1001" s="110"/>
      <c r="AF1001" s="110"/>
      <c r="AG1001" s="110"/>
      <c r="AH1001" s="110"/>
      <c r="AI1001" s="110"/>
    </row>
    <row r="1002" spans="1:35" ht="13.5" customHeight="1">
      <c r="A1002" s="4"/>
      <c r="B1002" s="15" t="s">
        <v>933</v>
      </c>
      <c r="C1002" s="340" t="s">
        <v>5350</v>
      </c>
      <c r="D1002" s="254"/>
      <c r="E1002" s="341">
        <f>SUMIF(GL!$D$6:$D$6487,B1002,GL!$H$6:$H$6487)</f>
        <v>967320</v>
      </c>
      <c r="F1002" s="341">
        <f>SUMIF(GL!$D$6:$D$6487,B1002,GL!$I$6:$I$6487)</f>
        <v>325000</v>
      </c>
      <c r="G1002" s="341"/>
      <c r="H1002" s="341"/>
      <c r="I1002" s="341">
        <f t="shared" si="1124"/>
        <v>642320</v>
      </c>
      <c r="J1002" s="341">
        <f t="shared" si="1125"/>
        <v>0</v>
      </c>
      <c r="K1002" s="341"/>
      <c r="L1002" s="342"/>
      <c r="M1002" s="342"/>
      <c r="N1002" s="341">
        <f t="shared" si="1126"/>
        <v>642320</v>
      </c>
      <c r="O1002" s="341">
        <f t="shared" si="1127"/>
        <v>0</v>
      </c>
      <c r="P1002" s="341">
        <f>SUMIF(GL!$D$6488:$D$6532,B1002,GL!$H$6488:$H$6532)</f>
        <v>0</v>
      </c>
      <c r="Q1002" s="341">
        <f>SUMIF(GL!$D$6408:$D$6452,B1002,GL!$I$6408:$I$6452)</f>
        <v>0</v>
      </c>
      <c r="R1002" s="341">
        <f t="shared" ref="R1002:S1002" si="1141">P1002+N1002</f>
        <v>642320</v>
      </c>
      <c r="S1002" s="341">
        <f t="shared" si="1141"/>
        <v>0</v>
      </c>
      <c r="T1002" s="340"/>
      <c r="U1002" s="340"/>
      <c r="V1002" s="340"/>
      <c r="W1002" s="340"/>
      <c r="X1002" s="341">
        <f t="shared" si="1129"/>
        <v>642320</v>
      </c>
      <c r="Y1002" s="341">
        <f t="shared" si="1130"/>
        <v>0</v>
      </c>
      <c r="Z1002" s="331"/>
      <c r="AA1002" s="110"/>
      <c r="AB1002" s="330"/>
      <c r="AC1002" s="332"/>
      <c r="AD1002" s="110"/>
      <c r="AE1002" s="110"/>
      <c r="AF1002" s="110"/>
      <c r="AG1002" s="110"/>
      <c r="AH1002" s="110"/>
      <c r="AI1002" s="110"/>
    </row>
    <row r="1003" spans="1:35" ht="13.5" customHeight="1">
      <c r="A1003" s="2"/>
      <c r="B1003" s="127" t="s">
        <v>5351</v>
      </c>
      <c r="C1003" s="22" t="s">
        <v>5352</v>
      </c>
      <c r="D1003" s="322"/>
      <c r="E1003" s="338">
        <f t="shared" ref="E1003:F1003" si="1142">SUM(E991:E1000)</f>
        <v>196074384</v>
      </c>
      <c r="F1003" s="338">
        <f t="shared" si="1142"/>
        <v>3290000</v>
      </c>
      <c r="G1003" s="338"/>
      <c r="H1003" s="338"/>
      <c r="I1003" s="338">
        <f t="shared" ref="I1003:K1003" si="1143">SUM(I991:I1000)</f>
        <v>192784384</v>
      </c>
      <c r="J1003" s="338">
        <f t="shared" si="1143"/>
        <v>0</v>
      </c>
      <c r="K1003" s="338">
        <f t="shared" si="1143"/>
        <v>0</v>
      </c>
      <c r="L1003" s="338"/>
      <c r="M1003" s="338"/>
      <c r="N1003" s="338">
        <f t="shared" ref="N1003:W1003" si="1144">SUM(N991:N1000)</f>
        <v>192784384</v>
      </c>
      <c r="O1003" s="338">
        <f t="shared" si="1144"/>
        <v>0</v>
      </c>
      <c r="P1003" s="338">
        <f t="shared" si="1144"/>
        <v>0</v>
      </c>
      <c r="Q1003" s="338">
        <f t="shared" si="1144"/>
        <v>0</v>
      </c>
      <c r="R1003" s="338">
        <f t="shared" si="1144"/>
        <v>192784384</v>
      </c>
      <c r="S1003" s="338">
        <f t="shared" si="1144"/>
        <v>0</v>
      </c>
      <c r="T1003" s="338">
        <f t="shared" si="1144"/>
        <v>0</v>
      </c>
      <c r="U1003" s="338">
        <f t="shared" si="1144"/>
        <v>0</v>
      </c>
      <c r="V1003" s="338">
        <f t="shared" si="1144"/>
        <v>0</v>
      </c>
      <c r="W1003" s="338">
        <f t="shared" si="1144"/>
        <v>0</v>
      </c>
      <c r="X1003" s="338">
        <f t="shared" ref="X1003:Y1003" si="1145">SUM(X991:X1002)</f>
        <v>198385000</v>
      </c>
      <c r="Y1003" s="338">
        <f t="shared" si="1145"/>
        <v>0</v>
      </c>
      <c r="Z1003" s="331"/>
      <c r="AA1003" s="110"/>
      <c r="AB1003" s="330"/>
      <c r="AC1003" s="332"/>
      <c r="AD1003" s="110"/>
      <c r="AE1003" s="110"/>
      <c r="AF1003" s="110"/>
      <c r="AG1003" s="110"/>
      <c r="AH1003" s="110"/>
      <c r="AI1003" s="110"/>
    </row>
    <row r="1004" spans="1:35" ht="13.5" customHeight="1">
      <c r="A1004" s="4"/>
      <c r="B1004" s="15"/>
      <c r="C1004" s="340"/>
      <c r="D1004" s="254"/>
      <c r="E1004" s="341"/>
      <c r="F1004" s="341"/>
      <c r="G1004" s="341"/>
      <c r="H1004" s="341"/>
      <c r="I1004" s="341"/>
      <c r="J1004" s="341"/>
      <c r="K1004" s="341"/>
      <c r="L1004" s="341"/>
      <c r="M1004" s="341"/>
      <c r="N1004" s="341"/>
      <c r="O1004" s="341"/>
      <c r="P1004" s="341"/>
      <c r="Q1004" s="341"/>
      <c r="R1004" s="341"/>
      <c r="S1004" s="341"/>
      <c r="T1004" s="340"/>
      <c r="U1004" s="340"/>
      <c r="V1004" s="340"/>
      <c r="W1004" s="340"/>
      <c r="X1004" s="346"/>
      <c r="Y1004" s="346"/>
      <c r="Z1004" s="331"/>
      <c r="AA1004" s="110"/>
      <c r="AB1004" s="330"/>
      <c r="AC1004" s="332"/>
      <c r="AD1004" s="110"/>
      <c r="AE1004" s="110"/>
      <c r="AF1004" s="110"/>
      <c r="AG1004" s="110"/>
      <c r="AH1004" s="110"/>
      <c r="AI1004" s="110"/>
    </row>
    <row r="1005" spans="1:35" ht="13.5" customHeight="1">
      <c r="A1005" s="2"/>
      <c r="B1005" s="127" t="s">
        <v>5353</v>
      </c>
      <c r="C1005" s="22" t="s">
        <v>5354</v>
      </c>
      <c r="D1005" s="322"/>
      <c r="E1005" s="338"/>
      <c r="F1005" s="338"/>
      <c r="G1005" s="338"/>
      <c r="H1005" s="338"/>
      <c r="I1005" s="338"/>
      <c r="J1005" s="338"/>
      <c r="K1005" s="338"/>
      <c r="L1005" s="341"/>
      <c r="M1005" s="341"/>
      <c r="N1005" s="341"/>
      <c r="O1005" s="338"/>
      <c r="P1005" s="341"/>
      <c r="Q1005" s="341"/>
      <c r="R1005" s="338"/>
      <c r="S1005" s="338"/>
      <c r="T1005" s="22"/>
      <c r="U1005" s="22"/>
      <c r="V1005" s="22"/>
      <c r="W1005" s="22"/>
      <c r="X1005" s="339"/>
      <c r="Y1005" s="339"/>
      <c r="Z1005" s="331"/>
      <c r="AA1005" s="110"/>
      <c r="AB1005" s="330"/>
      <c r="AC1005" s="332"/>
      <c r="AD1005" s="110"/>
      <c r="AE1005" s="110"/>
      <c r="AF1005" s="110"/>
      <c r="AG1005" s="110"/>
      <c r="AH1005" s="110"/>
      <c r="AI1005" s="110"/>
    </row>
    <row r="1006" spans="1:35" ht="13.5" customHeight="1">
      <c r="A1006" s="4"/>
      <c r="B1006" s="15" t="s">
        <v>5355</v>
      </c>
      <c r="C1006" s="340" t="s">
        <v>5356</v>
      </c>
      <c r="D1006" s="254"/>
      <c r="E1006" s="341">
        <f>SUMIF(GL!$D$6:$D$6487,B1006,GL!$H$6:$H$6487)</f>
        <v>0</v>
      </c>
      <c r="F1006" s="341">
        <f>SUMIF(GL!$D$6:$D$6487,B1006,GL!$I$6:$I$6487)</f>
        <v>0</v>
      </c>
      <c r="G1006" s="341"/>
      <c r="H1006" s="341"/>
      <c r="I1006" s="341">
        <f t="shared" ref="I1006:I1010" si="1146">IF(E1006&gt;F1006,E1006-F1006,0)</f>
        <v>0</v>
      </c>
      <c r="J1006" s="341">
        <f t="shared" ref="J1006:J1010" si="1147">IF(F1006&gt;E1006,F1006-E1006,0)</f>
        <v>0</v>
      </c>
      <c r="K1006" s="341"/>
      <c r="L1006" s="342"/>
      <c r="M1006" s="342"/>
      <c r="N1006" s="341">
        <f t="shared" ref="N1006:N1010" si="1148">IF(I1006+L1006&gt;J1006+M1006,(I1006+L1006)-(J1006+M1006),0)</f>
        <v>0</v>
      </c>
      <c r="O1006" s="341">
        <f t="shared" ref="O1006:O1010" si="1149">IF(J1006+M1006&gt;I1006+L1006,(J1006+M1006)-(I1006+L1006),0)</f>
        <v>0</v>
      </c>
      <c r="P1006" s="341">
        <f>SUMIF(GL!$D$6488:$D$6532,B1006,GL!$H$6488:$H$6532)</f>
        <v>0</v>
      </c>
      <c r="Q1006" s="341">
        <f>SUMIF(GL!$D$6408:$D$6452,B1006,GL!$I$6408:$I$6452)</f>
        <v>0</v>
      </c>
      <c r="R1006" s="341">
        <f t="shared" ref="R1006:S1006" si="1150">P1006+N1006</f>
        <v>0</v>
      </c>
      <c r="S1006" s="341">
        <f t="shared" si="1150"/>
        <v>0</v>
      </c>
      <c r="T1006" s="340"/>
      <c r="U1006" s="340"/>
      <c r="V1006" s="340"/>
      <c r="W1006" s="340"/>
      <c r="X1006" s="341">
        <f t="shared" ref="X1006:X1010" si="1151">IF(R1006&gt;S1006,R1006-S1006,0)</f>
        <v>0</v>
      </c>
      <c r="Y1006" s="341">
        <f t="shared" ref="Y1006:Y1010" si="1152">IF(S1006&gt;R1006,S1006-R1006,0)</f>
        <v>0</v>
      </c>
      <c r="Z1006" s="331"/>
      <c r="AA1006" s="110"/>
      <c r="AB1006" s="330"/>
      <c r="AC1006" s="332"/>
      <c r="AD1006" s="110"/>
      <c r="AE1006" s="110"/>
      <c r="AF1006" s="110"/>
      <c r="AG1006" s="110"/>
      <c r="AH1006" s="110"/>
      <c r="AI1006" s="110"/>
    </row>
    <row r="1007" spans="1:35" ht="13.5" customHeight="1">
      <c r="A1007" s="4"/>
      <c r="B1007" s="15" t="s">
        <v>1226</v>
      </c>
      <c r="C1007" s="340" t="s">
        <v>5357</v>
      </c>
      <c r="D1007" s="254"/>
      <c r="E1007" s="341">
        <f>SUMIF(GL!$D$6:$D$6487,B1007,GL!$H$6:$H$6487)</f>
        <v>2210267</v>
      </c>
      <c r="F1007" s="341">
        <f>SUMIF(GL!$D$6:$D$6487,B1007,GL!$I$6:$I$6487)</f>
        <v>0</v>
      </c>
      <c r="G1007" s="341"/>
      <c r="H1007" s="341"/>
      <c r="I1007" s="341">
        <f t="shared" si="1146"/>
        <v>2210267</v>
      </c>
      <c r="J1007" s="341">
        <f t="shared" si="1147"/>
        <v>0</v>
      </c>
      <c r="K1007" s="341"/>
      <c r="L1007" s="342"/>
      <c r="M1007" s="342"/>
      <c r="N1007" s="341">
        <f t="shared" si="1148"/>
        <v>2210267</v>
      </c>
      <c r="O1007" s="341">
        <f t="shared" si="1149"/>
        <v>0</v>
      </c>
      <c r="P1007" s="341">
        <f>SUMIF(GL!$D$6488:$D$6532,B1007,GL!$H$6488:$H$6532)</f>
        <v>0</v>
      </c>
      <c r="Q1007" s="341">
        <f>SUMIF(GL!$D$6408:$D$6452,B1007,GL!$I$6408:$I$6452)</f>
        <v>0</v>
      </c>
      <c r="R1007" s="341">
        <f t="shared" ref="R1007:S1007" si="1153">P1007+N1007</f>
        <v>2210267</v>
      </c>
      <c r="S1007" s="341">
        <f t="shared" si="1153"/>
        <v>0</v>
      </c>
      <c r="T1007" s="340"/>
      <c r="U1007" s="340"/>
      <c r="V1007" s="340"/>
      <c r="W1007" s="340"/>
      <c r="X1007" s="341">
        <f t="shared" si="1151"/>
        <v>2210267</v>
      </c>
      <c r="Y1007" s="341">
        <f t="shared" si="1152"/>
        <v>0</v>
      </c>
      <c r="Z1007" s="331"/>
      <c r="AA1007" s="110"/>
      <c r="AB1007" s="330"/>
      <c r="AC1007" s="332"/>
      <c r="AD1007" s="110"/>
      <c r="AE1007" s="110"/>
      <c r="AF1007" s="110"/>
      <c r="AG1007" s="110"/>
      <c r="AH1007" s="110"/>
      <c r="AI1007" s="110"/>
    </row>
    <row r="1008" spans="1:35" ht="13.5" customHeight="1">
      <c r="A1008" s="4"/>
      <c r="B1008" s="15" t="s">
        <v>1608</v>
      </c>
      <c r="C1008" s="340" t="s">
        <v>5358</v>
      </c>
      <c r="D1008" s="254"/>
      <c r="E1008" s="341">
        <f>SUMIF(GL!$D$6:$D$6487,B1008,GL!$H$6:$H$6487)</f>
        <v>18180000</v>
      </c>
      <c r="F1008" s="341">
        <f>SUMIF(GL!$D$6:$D$6487,B1008,GL!$I$6:$I$6487)</f>
        <v>0</v>
      </c>
      <c r="G1008" s="341"/>
      <c r="H1008" s="341"/>
      <c r="I1008" s="341">
        <f t="shared" si="1146"/>
        <v>18180000</v>
      </c>
      <c r="J1008" s="341">
        <f t="shared" si="1147"/>
        <v>0</v>
      </c>
      <c r="K1008" s="341"/>
      <c r="L1008" s="342"/>
      <c r="M1008" s="342"/>
      <c r="N1008" s="341">
        <f t="shared" si="1148"/>
        <v>18180000</v>
      </c>
      <c r="O1008" s="341">
        <f t="shared" si="1149"/>
        <v>0</v>
      </c>
      <c r="P1008" s="341">
        <f>SUMIF(GL!$D$6488:$D$6532,B1008,GL!$H$6488:$H$6532)</f>
        <v>0</v>
      </c>
      <c r="Q1008" s="341">
        <f>SUMIF(GL!$D$6408:$D$6452,B1008,GL!$I$6408:$I$6452)</f>
        <v>0</v>
      </c>
      <c r="R1008" s="341">
        <f t="shared" ref="R1008:S1008" si="1154">P1008+N1008</f>
        <v>18180000</v>
      </c>
      <c r="S1008" s="341">
        <f t="shared" si="1154"/>
        <v>0</v>
      </c>
      <c r="T1008" s="340"/>
      <c r="U1008" s="340"/>
      <c r="V1008" s="340"/>
      <c r="W1008" s="340"/>
      <c r="X1008" s="341">
        <f t="shared" si="1151"/>
        <v>18180000</v>
      </c>
      <c r="Y1008" s="341">
        <f t="shared" si="1152"/>
        <v>0</v>
      </c>
      <c r="Z1008" s="331"/>
      <c r="AA1008" s="110"/>
      <c r="AB1008" s="330"/>
      <c r="AC1008" s="332"/>
      <c r="AD1008" s="110"/>
      <c r="AE1008" s="110"/>
      <c r="AF1008" s="110"/>
      <c r="AG1008" s="110"/>
      <c r="AH1008" s="110"/>
      <c r="AI1008" s="110"/>
    </row>
    <row r="1009" spans="1:35" ht="13.5" customHeight="1">
      <c r="A1009" s="4"/>
      <c r="B1009" s="15" t="s">
        <v>2612</v>
      </c>
      <c r="C1009" s="340" t="s">
        <v>5359</v>
      </c>
      <c r="D1009" s="254"/>
      <c r="E1009" s="341">
        <f>SUMIF(GL!$D$6:$D$6487,B1009,GL!$H$6:$H$6487)</f>
        <v>7774010</v>
      </c>
      <c r="F1009" s="341">
        <f>SUMIF(GL!$D$6:$D$6487,B1009,GL!$I$6:$I$6487)</f>
        <v>0</v>
      </c>
      <c r="G1009" s="341"/>
      <c r="H1009" s="341"/>
      <c r="I1009" s="341">
        <f t="shared" si="1146"/>
        <v>7774010</v>
      </c>
      <c r="J1009" s="341">
        <f t="shared" si="1147"/>
        <v>0</v>
      </c>
      <c r="K1009" s="341"/>
      <c r="L1009" s="342"/>
      <c r="M1009" s="342"/>
      <c r="N1009" s="341">
        <f t="shared" si="1148"/>
        <v>7774010</v>
      </c>
      <c r="O1009" s="341">
        <f t="shared" si="1149"/>
        <v>0</v>
      </c>
      <c r="P1009" s="341">
        <f>SUMIF(GL!$D$6488:$D$6532,B1009,GL!$H$6488:$H$6532)</f>
        <v>0</v>
      </c>
      <c r="Q1009" s="341">
        <f>SUMIF(GL!$D$6408:$D$6452,B1009,GL!$I$6408:$I$6452)</f>
        <v>0</v>
      </c>
      <c r="R1009" s="341">
        <f t="shared" ref="R1009:S1009" si="1155">P1009+N1009</f>
        <v>7774010</v>
      </c>
      <c r="S1009" s="341">
        <f t="shared" si="1155"/>
        <v>0</v>
      </c>
      <c r="T1009" s="340"/>
      <c r="U1009" s="340"/>
      <c r="V1009" s="340"/>
      <c r="W1009" s="340"/>
      <c r="X1009" s="341">
        <f t="shared" si="1151"/>
        <v>7774010</v>
      </c>
      <c r="Y1009" s="341">
        <f t="shared" si="1152"/>
        <v>0</v>
      </c>
      <c r="Z1009" s="331"/>
      <c r="AA1009" s="110"/>
      <c r="AB1009" s="330"/>
      <c r="AC1009" s="332"/>
      <c r="AD1009" s="110"/>
      <c r="AE1009" s="110"/>
      <c r="AF1009" s="110"/>
      <c r="AG1009" s="110"/>
      <c r="AH1009" s="110"/>
      <c r="AI1009" s="110"/>
    </row>
    <row r="1010" spans="1:35" ht="13.5" customHeight="1">
      <c r="A1010" s="4"/>
      <c r="B1010" s="15" t="s">
        <v>3140</v>
      </c>
      <c r="C1010" s="340" t="s">
        <v>5360</v>
      </c>
      <c r="D1010" s="254"/>
      <c r="E1010" s="341">
        <f>SUMIF(GL!$D$6:$D$6487,B1010,GL!$H$6:$H$6487)</f>
        <v>1200000</v>
      </c>
      <c r="F1010" s="341">
        <f>SUMIF(GL!$D$6:$D$6487,B1010,GL!$I$6:$I$6487)</f>
        <v>0</v>
      </c>
      <c r="G1010" s="341"/>
      <c r="H1010" s="341"/>
      <c r="I1010" s="341">
        <f t="shared" si="1146"/>
        <v>1200000</v>
      </c>
      <c r="J1010" s="341">
        <f t="shared" si="1147"/>
        <v>0</v>
      </c>
      <c r="K1010" s="341"/>
      <c r="L1010" s="342"/>
      <c r="M1010" s="342"/>
      <c r="N1010" s="341">
        <f t="shared" si="1148"/>
        <v>1200000</v>
      </c>
      <c r="O1010" s="341">
        <f t="shared" si="1149"/>
        <v>0</v>
      </c>
      <c r="P1010" s="341">
        <f>SUMIF(GL!$D$6488:$D$6532,B1010,GL!$H$6488:$H$6532)</f>
        <v>0</v>
      </c>
      <c r="Q1010" s="341">
        <f>SUMIF(GL!$D$6408:$D$6452,B1010,GL!$I$6408:$I$6452)</f>
        <v>0</v>
      </c>
      <c r="R1010" s="341">
        <f t="shared" ref="R1010:S1010" si="1156">P1010+N1010</f>
        <v>1200000</v>
      </c>
      <c r="S1010" s="341">
        <f t="shared" si="1156"/>
        <v>0</v>
      </c>
      <c r="T1010" s="340"/>
      <c r="U1010" s="340"/>
      <c r="V1010" s="340"/>
      <c r="W1010" s="340"/>
      <c r="X1010" s="341">
        <f t="shared" si="1151"/>
        <v>1200000</v>
      </c>
      <c r="Y1010" s="341">
        <f t="shared" si="1152"/>
        <v>0</v>
      </c>
      <c r="Z1010" s="331"/>
      <c r="AA1010" s="110"/>
      <c r="AB1010" s="330"/>
      <c r="AC1010" s="332"/>
      <c r="AD1010" s="110"/>
      <c r="AE1010" s="110"/>
      <c r="AF1010" s="110"/>
      <c r="AG1010" s="110"/>
      <c r="AH1010" s="110"/>
      <c r="AI1010" s="110"/>
    </row>
    <row r="1011" spans="1:35" ht="13.5" customHeight="1">
      <c r="A1011" s="2"/>
      <c r="B1011" s="127" t="s">
        <v>5361</v>
      </c>
      <c r="C1011" s="22" t="s">
        <v>5362</v>
      </c>
      <c r="D1011" s="322"/>
      <c r="E1011" s="338">
        <f t="shared" ref="E1011:F1011" si="1157">SUM(E1006:E1010)</f>
        <v>29364277</v>
      </c>
      <c r="F1011" s="338">
        <f t="shared" si="1157"/>
        <v>0</v>
      </c>
      <c r="G1011" s="338"/>
      <c r="H1011" s="338"/>
      <c r="I1011" s="338">
        <f t="shared" ref="I1011:J1011" si="1158">SUM(I1006:I1010)</f>
        <v>29364277</v>
      </c>
      <c r="J1011" s="338">
        <f t="shared" si="1158"/>
        <v>0</v>
      </c>
      <c r="K1011" s="338"/>
      <c r="L1011" s="338"/>
      <c r="M1011" s="338"/>
      <c r="N1011" s="338">
        <f t="shared" ref="N1011:Y1011" si="1159">SUM(N1006:N1010)</f>
        <v>29364277</v>
      </c>
      <c r="O1011" s="338">
        <f t="shared" si="1159"/>
        <v>0</v>
      </c>
      <c r="P1011" s="338">
        <f t="shared" si="1159"/>
        <v>0</v>
      </c>
      <c r="Q1011" s="338">
        <f t="shared" si="1159"/>
        <v>0</v>
      </c>
      <c r="R1011" s="338">
        <f t="shared" si="1159"/>
        <v>29364277</v>
      </c>
      <c r="S1011" s="338">
        <f t="shared" si="1159"/>
        <v>0</v>
      </c>
      <c r="T1011" s="338">
        <f t="shared" si="1159"/>
        <v>0</v>
      </c>
      <c r="U1011" s="338">
        <f t="shared" si="1159"/>
        <v>0</v>
      </c>
      <c r="V1011" s="338">
        <f t="shared" si="1159"/>
        <v>0</v>
      </c>
      <c r="W1011" s="338">
        <f t="shared" si="1159"/>
        <v>0</v>
      </c>
      <c r="X1011" s="338">
        <f t="shared" si="1159"/>
        <v>29364277</v>
      </c>
      <c r="Y1011" s="338">
        <f t="shared" si="1159"/>
        <v>0</v>
      </c>
      <c r="Z1011" s="331"/>
      <c r="AA1011" s="110"/>
      <c r="AB1011" s="330"/>
      <c r="AC1011" s="332"/>
      <c r="AD1011" s="110"/>
      <c r="AE1011" s="110"/>
      <c r="AF1011" s="110"/>
      <c r="AG1011" s="110"/>
      <c r="AH1011" s="110"/>
      <c r="AI1011" s="110"/>
    </row>
    <row r="1012" spans="1:35" ht="13.5" customHeight="1">
      <c r="A1012" s="2"/>
      <c r="B1012" s="127"/>
      <c r="C1012" s="22"/>
      <c r="D1012" s="322"/>
      <c r="E1012" s="338"/>
      <c r="F1012" s="338"/>
      <c r="G1012" s="338"/>
      <c r="H1012" s="338"/>
      <c r="I1012" s="338"/>
      <c r="J1012" s="338"/>
      <c r="K1012" s="338"/>
      <c r="L1012" s="338"/>
      <c r="M1012" s="338"/>
      <c r="N1012" s="338"/>
      <c r="O1012" s="338"/>
      <c r="P1012" s="338"/>
      <c r="Q1012" s="338"/>
      <c r="R1012" s="338"/>
      <c r="S1012" s="338"/>
      <c r="T1012" s="22"/>
      <c r="U1012" s="22"/>
      <c r="V1012" s="22"/>
      <c r="W1012" s="22"/>
      <c r="X1012" s="339"/>
      <c r="Y1012" s="339"/>
      <c r="Z1012" s="331"/>
      <c r="AA1012" s="110"/>
      <c r="AB1012" s="330"/>
      <c r="AC1012" s="332"/>
      <c r="AD1012" s="110"/>
      <c r="AE1012" s="110"/>
      <c r="AF1012" s="110"/>
      <c r="AG1012" s="110"/>
      <c r="AH1012" s="110"/>
      <c r="AI1012" s="110"/>
    </row>
    <row r="1013" spans="1:35" ht="13.5" customHeight="1">
      <c r="A1013" s="2"/>
      <c r="B1013" s="127" t="s">
        <v>5363</v>
      </c>
      <c r="C1013" s="22" t="s">
        <v>5364</v>
      </c>
      <c r="D1013" s="322"/>
      <c r="E1013" s="338"/>
      <c r="F1013" s="338"/>
      <c r="G1013" s="338"/>
      <c r="H1013" s="338"/>
      <c r="I1013" s="338"/>
      <c r="J1013" s="338"/>
      <c r="K1013" s="338"/>
      <c r="L1013" s="338"/>
      <c r="M1013" s="338"/>
      <c r="N1013" s="338"/>
      <c r="O1013" s="338"/>
      <c r="P1013" s="338"/>
      <c r="Q1013" s="338"/>
      <c r="R1013" s="338"/>
      <c r="S1013" s="338"/>
      <c r="T1013" s="22"/>
      <c r="U1013" s="22"/>
      <c r="V1013" s="22"/>
      <c r="W1013" s="22"/>
      <c r="X1013" s="339"/>
      <c r="Y1013" s="339"/>
      <c r="Z1013" s="331"/>
      <c r="AA1013" s="110"/>
      <c r="AB1013" s="330"/>
      <c r="AC1013" s="332"/>
      <c r="AD1013" s="110"/>
      <c r="AE1013" s="110"/>
      <c r="AF1013" s="110"/>
      <c r="AG1013" s="110"/>
      <c r="AH1013" s="110"/>
      <c r="AI1013" s="110"/>
    </row>
    <row r="1014" spans="1:35" ht="13.5" customHeight="1">
      <c r="A1014" s="2"/>
      <c r="B1014" s="15" t="s">
        <v>5365</v>
      </c>
      <c r="C1014" s="340" t="s">
        <v>5366</v>
      </c>
      <c r="D1014" s="322"/>
      <c r="E1014" s="341">
        <f>SUMIF(GL!$D$6:$D$6487,B1014,GL!$H$6:$H$6487)</f>
        <v>0</v>
      </c>
      <c r="F1014" s="341">
        <f>SUMIF(GL!$D$6:$D$6487,B1014,GL!$I$6:$I$6487)</f>
        <v>0</v>
      </c>
      <c r="G1014" s="341"/>
      <c r="H1014" s="341"/>
      <c r="I1014" s="341">
        <f t="shared" ref="I1014:I1020" si="1160">IF(E1014&gt;F1014,E1014-F1014,0)</f>
        <v>0</v>
      </c>
      <c r="J1014" s="341">
        <f t="shared" ref="J1014:J1020" si="1161">IF(F1014&gt;E1014,F1014-E1014,0)</f>
        <v>0</v>
      </c>
      <c r="K1014" s="341"/>
      <c r="L1014" s="342"/>
      <c r="M1014" s="342"/>
      <c r="N1014" s="341">
        <f t="shared" ref="N1014:N1020" si="1162">IF(I1014+L1014&gt;J1014+M1014,(I1014+L1014)-(J1014+M1014),0)</f>
        <v>0</v>
      </c>
      <c r="O1014" s="341">
        <f t="shared" ref="O1014:O1020" si="1163">IF(J1014+M1014&gt;I1014+L1014,(J1014+M1014)-(I1014+L1014),0)</f>
        <v>0</v>
      </c>
      <c r="P1014" s="341">
        <f>SUMIF(GL!$D$6488:$D$6532,B1014,GL!$H$6488:$H$6532)</f>
        <v>0</v>
      </c>
      <c r="Q1014" s="341">
        <f>SUMIF(GL!$D$6408:$D$6452,B1014,GL!$I$6408:$I$6452)</f>
        <v>0</v>
      </c>
      <c r="R1014" s="341">
        <f t="shared" ref="R1014:S1014" si="1164">P1014+N1014</f>
        <v>0</v>
      </c>
      <c r="S1014" s="341">
        <f t="shared" si="1164"/>
        <v>0</v>
      </c>
      <c r="T1014" s="340"/>
      <c r="U1014" s="340"/>
      <c r="V1014" s="340"/>
      <c r="W1014" s="340"/>
      <c r="X1014" s="341">
        <f t="shared" ref="X1014:X1020" si="1165">IF(R1014&gt;S1014,R1014-S1014,0)</f>
        <v>0</v>
      </c>
      <c r="Y1014" s="341">
        <f t="shared" ref="Y1014:Y1020" si="1166">IF(S1014&gt;R1014,S1014-R1014,0)</f>
        <v>0</v>
      </c>
      <c r="Z1014" s="331"/>
      <c r="AA1014" s="110"/>
      <c r="AB1014" s="330"/>
      <c r="AC1014" s="332"/>
      <c r="AD1014" s="110"/>
      <c r="AE1014" s="110"/>
      <c r="AF1014" s="110"/>
      <c r="AG1014" s="110"/>
      <c r="AH1014" s="110"/>
      <c r="AI1014" s="110"/>
    </row>
    <row r="1015" spans="1:35" ht="13.5" customHeight="1">
      <c r="A1015" s="2"/>
      <c r="B1015" s="15" t="s">
        <v>3777</v>
      </c>
      <c r="C1015" s="340" t="s">
        <v>5367</v>
      </c>
      <c r="D1015" s="322"/>
      <c r="E1015" s="341">
        <f>SUMIF(GL!$D$6:$D$6487,B1015,GL!$H$6:$H$6487)</f>
        <v>1998000</v>
      </c>
      <c r="F1015" s="341">
        <f>SUMIF(GL!$D$6:$D$6487,B1015,GL!$I$6:$I$6487)</f>
        <v>0</v>
      </c>
      <c r="G1015" s="341"/>
      <c r="H1015" s="341"/>
      <c r="I1015" s="341">
        <f t="shared" si="1160"/>
        <v>1998000</v>
      </c>
      <c r="J1015" s="341">
        <f t="shared" si="1161"/>
        <v>0</v>
      </c>
      <c r="K1015" s="341"/>
      <c r="L1015" s="342"/>
      <c r="M1015" s="342"/>
      <c r="N1015" s="341">
        <f t="shared" si="1162"/>
        <v>1998000</v>
      </c>
      <c r="O1015" s="341">
        <f t="shared" si="1163"/>
        <v>0</v>
      </c>
      <c r="P1015" s="341">
        <f>SUMIF(GL!$D$6488:$D$6532,B1015,GL!$H$6488:$H$6532)</f>
        <v>0</v>
      </c>
      <c r="Q1015" s="341">
        <f>SUMIF(GL!$D$6408:$D$6452,B1015,GL!$I$6408:$I$6452)</f>
        <v>0</v>
      </c>
      <c r="R1015" s="341">
        <f t="shared" ref="R1015:S1015" si="1167">P1015+N1015</f>
        <v>1998000</v>
      </c>
      <c r="S1015" s="341">
        <f t="shared" si="1167"/>
        <v>0</v>
      </c>
      <c r="T1015" s="340"/>
      <c r="U1015" s="340"/>
      <c r="V1015" s="340"/>
      <c r="W1015" s="340"/>
      <c r="X1015" s="341">
        <f t="shared" si="1165"/>
        <v>1998000</v>
      </c>
      <c r="Y1015" s="341">
        <f t="shared" si="1166"/>
        <v>0</v>
      </c>
      <c r="Z1015" s="331"/>
      <c r="AA1015" s="110"/>
      <c r="AB1015" s="330"/>
      <c r="AC1015" s="332"/>
      <c r="AD1015" s="110"/>
      <c r="AE1015" s="110"/>
      <c r="AF1015" s="110"/>
      <c r="AG1015" s="110"/>
      <c r="AH1015" s="110"/>
      <c r="AI1015" s="110"/>
    </row>
    <row r="1016" spans="1:35" ht="13.5" customHeight="1">
      <c r="A1016" s="2"/>
      <c r="B1016" s="15" t="s">
        <v>5368</v>
      </c>
      <c r="C1016" s="340" t="s">
        <v>5369</v>
      </c>
      <c r="D1016" s="322"/>
      <c r="E1016" s="341">
        <f>SUMIF(GL!$D$6:$D$6487,B1016,GL!$H$6:$H$6487)</f>
        <v>0</v>
      </c>
      <c r="F1016" s="341">
        <f>SUMIF(GL!$D$6:$D$6487,B1016,GL!$I$6:$I$6487)</f>
        <v>0</v>
      </c>
      <c r="G1016" s="341"/>
      <c r="H1016" s="341"/>
      <c r="I1016" s="341">
        <f t="shared" si="1160"/>
        <v>0</v>
      </c>
      <c r="J1016" s="341">
        <f t="shared" si="1161"/>
        <v>0</v>
      </c>
      <c r="K1016" s="341"/>
      <c r="L1016" s="342"/>
      <c r="M1016" s="342"/>
      <c r="N1016" s="341">
        <f t="shared" si="1162"/>
        <v>0</v>
      </c>
      <c r="O1016" s="341">
        <f t="shared" si="1163"/>
        <v>0</v>
      </c>
      <c r="P1016" s="341">
        <f>SUMIF(GL!$D$6488:$D$6532,B1016,GL!$H$6488:$H$6532)</f>
        <v>0</v>
      </c>
      <c r="Q1016" s="341">
        <f>SUMIF(GL!$D$6408:$D$6452,B1016,GL!$I$6408:$I$6452)</f>
        <v>0</v>
      </c>
      <c r="R1016" s="341">
        <f t="shared" ref="R1016:S1016" si="1168">P1016+N1016</f>
        <v>0</v>
      </c>
      <c r="S1016" s="341">
        <f t="shared" si="1168"/>
        <v>0</v>
      </c>
      <c r="T1016" s="340"/>
      <c r="U1016" s="340"/>
      <c r="V1016" s="340"/>
      <c r="W1016" s="340"/>
      <c r="X1016" s="341">
        <f t="shared" si="1165"/>
        <v>0</v>
      </c>
      <c r="Y1016" s="341">
        <f t="shared" si="1166"/>
        <v>0</v>
      </c>
      <c r="Z1016" s="331"/>
      <c r="AA1016" s="110"/>
      <c r="AB1016" s="330"/>
      <c r="AC1016" s="332"/>
      <c r="AD1016" s="110"/>
      <c r="AE1016" s="110"/>
      <c r="AF1016" s="110"/>
      <c r="AG1016" s="110"/>
      <c r="AH1016" s="110"/>
      <c r="AI1016" s="110"/>
    </row>
    <row r="1017" spans="1:35" ht="13.5" customHeight="1">
      <c r="A1017" s="2"/>
      <c r="B1017" s="15" t="s">
        <v>5370</v>
      </c>
      <c r="C1017" s="340" t="s">
        <v>5371</v>
      </c>
      <c r="D1017" s="322"/>
      <c r="E1017" s="341">
        <f>SUMIF(GL!$D$6:$D$6487,B1017,GL!$H$6:$H$6487)</f>
        <v>0</v>
      </c>
      <c r="F1017" s="341">
        <f>SUMIF(GL!$D$6:$D$6487,B1017,GL!$I$6:$I$6487)</f>
        <v>0</v>
      </c>
      <c r="G1017" s="341"/>
      <c r="H1017" s="341"/>
      <c r="I1017" s="341">
        <f t="shared" si="1160"/>
        <v>0</v>
      </c>
      <c r="J1017" s="341">
        <f t="shared" si="1161"/>
        <v>0</v>
      </c>
      <c r="K1017" s="341"/>
      <c r="L1017" s="342"/>
      <c r="M1017" s="342"/>
      <c r="N1017" s="341">
        <f t="shared" si="1162"/>
        <v>0</v>
      </c>
      <c r="O1017" s="341">
        <f t="shared" si="1163"/>
        <v>0</v>
      </c>
      <c r="P1017" s="341">
        <f>SUMIF(GL!$D$6488:$D$6532,B1017,GL!$H$6488:$H$6532)</f>
        <v>0</v>
      </c>
      <c r="Q1017" s="341">
        <f>SUMIF(GL!$D$6408:$D$6452,B1017,GL!$I$6408:$I$6452)</f>
        <v>0</v>
      </c>
      <c r="R1017" s="341">
        <f t="shared" ref="R1017:S1017" si="1169">P1017+N1017</f>
        <v>0</v>
      </c>
      <c r="S1017" s="341">
        <f t="shared" si="1169"/>
        <v>0</v>
      </c>
      <c r="T1017" s="340"/>
      <c r="U1017" s="340"/>
      <c r="V1017" s="340"/>
      <c r="W1017" s="340"/>
      <c r="X1017" s="341">
        <f t="shared" si="1165"/>
        <v>0</v>
      </c>
      <c r="Y1017" s="341">
        <f t="shared" si="1166"/>
        <v>0</v>
      </c>
      <c r="Z1017" s="331"/>
      <c r="AA1017" s="110"/>
      <c r="AB1017" s="330"/>
      <c r="AC1017" s="332"/>
      <c r="AD1017" s="110"/>
      <c r="AE1017" s="110"/>
      <c r="AF1017" s="110"/>
      <c r="AG1017" s="110"/>
      <c r="AH1017" s="110"/>
      <c r="AI1017" s="110"/>
    </row>
    <row r="1018" spans="1:35" ht="13.5" customHeight="1">
      <c r="A1018" s="2"/>
      <c r="B1018" s="15" t="s">
        <v>801</v>
      </c>
      <c r="C1018" s="340" t="s">
        <v>5372</v>
      </c>
      <c r="D1018" s="322"/>
      <c r="E1018" s="341">
        <f>SUMIF(GL!$D$6:$D$6487,B1018,GL!$H$6:$H$6487)</f>
        <v>2810000</v>
      </c>
      <c r="F1018" s="341">
        <f>SUMIF(GL!$D$6:$D$6487,B1018,GL!$I$6:$I$6487)</f>
        <v>0</v>
      </c>
      <c r="G1018" s="341"/>
      <c r="H1018" s="341"/>
      <c r="I1018" s="341">
        <f t="shared" si="1160"/>
        <v>2810000</v>
      </c>
      <c r="J1018" s="341">
        <f t="shared" si="1161"/>
        <v>0</v>
      </c>
      <c r="K1018" s="341"/>
      <c r="L1018" s="342"/>
      <c r="M1018" s="342"/>
      <c r="N1018" s="341">
        <f t="shared" si="1162"/>
        <v>2810000</v>
      </c>
      <c r="O1018" s="341">
        <f t="shared" si="1163"/>
        <v>0</v>
      </c>
      <c r="P1018" s="341">
        <f>SUMIF(GL!$D$6488:$D$6532,B1018,GL!$H$6488:$H$6532)</f>
        <v>0</v>
      </c>
      <c r="Q1018" s="341">
        <f>SUMIF(GL!$D$6408:$D$6452,B1018,GL!$I$6408:$I$6452)</f>
        <v>0</v>
      </c>
      <c r="R1018" s="341">
        <f t="shared" ref="R1018:S1018" si="1170">P1018+N1018</f>
        <v>2810000</v>
      </c>
      <c r="S1018" s="341">
        <f t="shared" si="1170"/>
        <v>0</v>
      </c>
      <c r="T1018" s="340"/>
      <c r="U1018" s="340"/>
      <c r="V1018" s="340"/>
      <c r="W1018" s="340"/>
      <c r="X1018" s="341">
        <f t="shared" si="1165"/>
        <v>2810000</v>
      </c>
      <c r="Y1018" s="341">
        <f t="shared" si="1166"/>
        <v>0</v>
      </c>
      <c r="Z1018" s="331"/>
      <c r="AA1018" s="110"/>
      <c r="AB1018" s="330"/>
      <c r="AC1018" s="332"/>
      <c r="AD1018" s="110"/>
      <c r="AE1018" s="110"/>
      <c r="AF1018" s="110"/>
      <c r="AG1018" s="110"/>
      <c r="AH1018" s="110"/>
      <c r="AI1018" s="110"/>
    </row>
    <row r="1019" spans="1:35" ht="13.5" customHeight="1">
      <c r="A1019" s="2"/>
      <c r="B1019" s="15" t="s">
        <v>5373</v>
      </c>
      <c r="C1019" s="340" t="s">
        <v>5374</v>
      </c>
      <c r="D1019" s="322"/>
      <c r="E1019" s="341">
        <f>SUMIF(GL!$D$6:$D$6487,B1019,GL!$H$6:$H$6487)</f>
        <v>0</v>
      </c>
      <c r="F1019" s="341">
        <f>SUMIF(GL!$D$6:$D$6487,B1019,GL!$I$6:$I$6487)</f>
        <v>0</v>
      </c>
      <c r="G1019" s="341"/>
      <c r="H1019" s="341"/>
      <c r="I1019" s="341">
        <f t="shared" si="1160"/>
        <v>0</v>
      </c>
      <c r="J1019" s="341">
        <f t="shared" si="1161"/>
        <v>0</v>
      </c>
      <c r="K1019" s="341"/>
      <c r="L1019" s="342"/>
      <c r="M1019" s="342"/>
      <c r="N1019" s="341">
        <f t="shared" si="1162"/>
        <v>0</v>
      </c>
      <c r="O1019" s="341">
        <f t="shared" si="1163"/>
        <v>0</v>
      </c>
      <c r="P1019" s="341">
        <f>SUMIF(GL!$D$6488:$D$6532,B1019,GL!$H$6488:$H$6532)</f>
        <v>0</v>
      </c>
      <c r="Q1019" s="341">
        <f>SUMIF(GL!$D$6408:$D$6452,B1019,GL!$I$6408:$I$6452)</f>
        <v>0</v>
      </c>
      <c r="R1019" s="341">
        <f t="shared" ref="R1019:S1019" si="1171">P1019+N1019</f>
        <v>0</v>
      </c>
      <c r="S1019" s="341">
        <f t="shared" si="1171"/>
        <v>0</v>
      </c>
      <c r="T1019" s="340"/>
      <c r="U1019" s="340"/>
      <c r="V1019" s="340"/>
      <c r="W1019" s="340"/>
      <c r="X1019" s="341">
        <f t="shared" si="1165"/>
        <v>0</v>
      </c>
      <c r="Y1019" s="341">
        <f t="shared" si="1166"/>
        <v>0</v>
      </c>
      <c r="Z1019" s="331"/>
      <c r="AA1019" s="110"/>
      <c r="AB1019" s="330"/>
      <c r="AC1019" s="332"/>
      <c r="AD1019" s="110"/>
      <c r="AE1019" s="110"/>
      <c r="AF1019" s="110"/>
      <c r="AG1019" s="110"/>
      <c r="AH1019" s="110"/>
      <c r="AI1019" s="110"/>
    </row>
    <row r="1020" spans="1:35" ht="13.5" customHeight="1">
      <c r="A1020" s="2"/>
      <c r="B1020" s="15" t="s">
        <v>5375</v>
      </c>
      <c r="C1020" s="340" t="s">
        <v>5376</v>
      </c>
      <c r="D1020" s="322"/>
      <c r="E1020" s="341">
        <f>SUMIF(GL!$D$6:$D$6487,B1020,GL!$H$6:$H$6487)</f>
        <v>0</v>
      </c>
      <c r="F1020" s="341">
        <f>SUMIF(GL!$D$6:$D$6487,B1020,GL!$I$6:$I$6487)</f>
        <v>0</v>
      </c>
      <c r="G1020" s="341"/>
      <c r="H1020" s="341"/>
      <c r="I1020" s="341">
        <f t="shared" si="1160"/>
        <v>0</v>
      </c>
      <c r="J1020" s="341">
        <f t="shared" si="1161"/>
        <v>0</v>
      </c>
      <c r="K1020" s="341"/>
      <c r="L1020" s="342"/>
      <c r="M1020" s="342"/>
      <c r="N1020" s="341">
        <f t="shared" si="1162"/>
        <v>0</v>
      </c>
      <c r="O1020" s="341">
        <f t="shared" si="1163"/>
        <v>0</v>
      </c>
      <c r="P1020" s="341">
        <f>SUMIF(GL!$D$6488:$D$6532,B1020,GL!$H$6488:$H$6532)</f>
        <v>0</v>
      </c>
      <c r="Q1020" s="341">
        <f>SUMIF(GL!$D$6408:$D$6452,B1020,GL!$I$6408:$I$6452)</f>
        <v>0</v>
      </c>
      <c r="R1020" s="341">
        <f t="shared" ref="R1020:S1020" si="1172">P1020+N1020</f>
        <v>0</v>
      </c>
      <c r="S1020" s="341">
        <f t="shared" si="1172"/>
        <v>0</v>
      </c>
      <c r="T1020" s="340"/>
      <c r="U1020" s="340"/>
      <c r="V1020" s="340"/>
      <c r="W1020" s="340"/>
      <c r="X1020" s="341">
        <f t="shared" si="1165"/>
        <v>0</v>
      </c>
      <c r="Y1020" s="341">
        <f t="shared" si="1166"/>
        <v>0</v>
      </c>
      <c r="Z1020" s="331"/>
      <c r="AA1020" s="110"/>
      <c r="AB1020" s="330"/>
      <c r="AC1020" s="332"/>
      <c r="AD1020" s="110"/>
      <c r="AE1020" s="110"/>
      <c r="AF1020" s="110"/>
      <c r="AG1020" s="110"/>
      <c r="AH1020" s="110"/>
      <c r="AI1020" s="110"/>
    </row>
    <row r="1021" spans="1:35" ht="13.5" customHeight="1">
      <c r="A1021" s="2"/>
      <c r="B1021" s="127" t="s">
        <v>5377</v>
      </c>
      <c r="C1021" s="22" t="s">
        <v>5378</v>
      </c>
      <c r="D1021" s="322"/>
      <c r="E1021" s="338">
        <f t="shared" ref="E1021:Y1021" si="1173">SUM(E1014:E1020)</f>
        <v>4808000</v>
      </c>
      <c r="F1021" s="338">
        <f t="shared" si="1173"/>
        <v>0</v>
      </c>
      <c r="G1021" s="338">
        <f t="shared" si="1173"/>
        <v>0</v>
      </c>
      <c r="H1021" s="338">
        <f t="shared" si="1173"/>
        <v>0</v>
      </c>
      <c r="I1021" s="338">
        <f t="shared" si="1173"/>
        <v>4808000</v>
      </c>
      <c r="J1021" s="338">
        <f t="shared" si="1173"/>
        <v>0</v>
      </c>
      <c r="K1021" s="338">
        <f t="shared" si="1173"/>
        <v>0</v>
      </c>
      <c r="L1021" s="338">
        <f t="shared" si="1173"/>
        <v>0</v>
      </c>
      <c r="M1021" s="338">
        <f t="shared" si="1173"/>
        <v>0</v>
      </c>
      <c r="N1021" s="338">
        <f t="shared" si="1173"/>
        <v>4808000</v>
      </c>
      <c r="O1021" s="338">
        <f t="shared" si="1173"/>
        <v>0</v>
      </c>
      <c r="P1021" s="338">
        <f t="shared" si="1173"/>
        <v>0</v>
      </c>
      <c r="Q1021" s="338">
        <f t="shared" si="1173"/>
        <v>0</v>
      </c>
      <c r="R1021" s="338">
        <f t="shared" si="1173"/>
        <v>4808000</v>
      </c>
      <c r="S1021" s="338">
        <f t="shared" si="1173"/>
        <v>0</v>
      </c>
      <c r="T1021" s="338">
        <f t="shared" si="1173"/>
        <v>0</v>
      </c>
      <c r="U1021" s="338">
        <f t="shared" si="1173"/>
        <v>0</v>
      </c>
      <c r="V1021" s="338">
        <f t="shared" si="1173"/>
        <v>0</v>
      </c>
      <c r="W1021" s="338">
        <f t="shared" si="1173"/>
        <v>0</v>
      </c>
      <c r="X1021" s="338">
        <f t="shared" si="1173"/>
        <v>4808000</v>
      </c>
      <c r="Y1021" s="338">
        <f t="shared" si="1173"/>
        <v>0</v>
      </c>
      <c r="Z1021" s="331"/>
      <c r="AA1021" s="110"/>
      <c r="AB1021" s="330"/>
      <c r="AC1021" s="332"/>
      <c r="AD1021" s="110"/>
      <c r="AE1021" s="110"/>
      <c r="AF1021" s="110"/>
      <c r="AG1021" s="110"/>
      <c r="AH1021" s="110"/>
      <c r="AI1021" s="110"/>
    </row>
    <row r="1022" spans="1:35" ht="13.5" customHeight="1">
      <c r="A1022" s="2"/>
      <c r="B1022" s="127"/>
      <c r="C1022" s="22"/>
      <c r="D1022" s="322"/>
      <c r="E1022" s="338"/>
      <c r="F1022" s="338"/>
      <c r="G1022" s="338"/>
      <c r="H1022" s="338"/>
      <c r="I1022" s="338"/>
      <c r="J1022" s="338"/>
      <c r="K1022" s="338"/>
      <c r="L1022" s="338"/>
      <c r="M1022" s="338"/>
      <c r="N1022" s="338"/>
      <c r="O1022" s="338"/>
      <c r="P1022" s="338"/>
      <c r="Q1022" s="338"/>
      <c r="R1022" s="338"/>
      <c r="S1022" s="338"/>
      <c r="T1022" s="22"/>
      <c r="U1022" s="22"/>
      <c r="V1022" s="22"/>
      <c r="W1022" s="22"/>
      <c r="X1022" s="339"/>
      <c r="Y1022" s="339"/>
      <c r="Z1022" s="331"/>
      <c r="AA1022" s="110"/>
      <c r="AB1022" s="330"/>
      <c r="AC1022" s="332"/>
      <c r="AD1022" s="110"/>
      <c r="AE1022" s="110"/>
      <c r="AF1022" s="110"/>
      <c r="AG1022" s="110"/>
      <c r="AH1022" s="110"/>
      <c r="AI1022" s="110"/>
    </row>
    <row r="1023" spans="1:35" ht="13.5" customHeight="1">
      <c r="A1023" s="2"/>
      <c r="B1023" s="127"/>
      <c r="C1023" s="22" t="s">
        <v>5379</v>
      </c>
      <c r="D1023" s="322"/>
      <c r="E1023" s="338"/>
      <c r="F1023" s="338"/>
      <c r="G1023" s="338"/>
      <c r="H1023" s="338"/>
      <c r="I1023" s="338"/>
      <c r="J1023" s="338"/>
      <c r="K1023" s="338"/>
      <c r="L1023" s="338"/>
      <c r="M1023" s="338"/>
      <c r="N1023" s="338"/>
      <c r="O1023" s="338"/>
      <c r="P1023" s="338"/>
      <c r="Q1023" s="338"/>
      <c r="R1023" s="338"/>
      <c r="S1023" s="338"/>
      <c r="T1023" s="22"/>
      <c r="U1023" s="22"/>
      <c r="V1023" s="22"/>
      <c r="W1023" s="22"/>
      <c r="X1023" s="339"/>
      <c r="Y1023" s="339"/>
      <c r="Z1023" s="331"/>
      <c r="AA1023" s="110"/>
      <c r="AB1023" s="330"/>
      <c r="AC1023" s="332"/>
      <c r="AD1023" s="110"/>
      <c r="AE1023" s="110"/>
      <c r="AF1023" s="110"/>
      <c r="AG1023" s="110"/>
      <c r="AH1023" s="110"/>
      <c r="AI1023" s="110"/>
    </row>
    <row r="1024" spans="1:35" ht="13.5" customHeight="1">
      <c r="A1024" s="2"/>
      <c r="B1024" s="127"/>
      <c r="C1024" s="22"/>
      <c r="D1024" s="322"/>
      <c r="E1024" s="338"/>
      <c r="F1024" s="338"/>
      <c r="G1024" s="338"/>
      <c r="H1024" s="338"/>
      <c r="I1024" s="338"/>
      <c r="J1024" s="338"/>
      <c r="K1024" s="338"/>
      <c r="L1024" s="338"/>
      <c r="M1024" s="338"/>
      <c r="N1024" s="338"/>
      <c r="O1024" s="338"/>
      <c r="P1024" s="338"/>
      <c r="Q1024" s="338"/>
      <c r="R1024" s="338"/>
      <c r="S1024" s="338"/>
      <c r="T1024" s="22"/>
      <c r="U1024" s="22"/>
      <c r="V1024" s="22"/>
      <c r="W1024" s="22"/>
      <c r="X1024" s="339"/>
      <c r="Y1024" s="339"/>
      <c r="Z1024" s="331"/>
      <c r="AA1024" s="110"/>
      <c r="AB1024" s="330"/>
      <c r="AC1024" s="332"/>
      <c r="AD1024" s="110"/>
      <c r="AE1024" s="110"/>
      <c r="AF1024" s="110"/>
      <c r="AG1024" s="110"/>
      <c r="AH1024" s="110"/>
      <c r="AI1024" s="110"/>
    </row>
    <row r="1025" spans="1:35" ht="13.5" customHeight="1">
      <c r="A1025" s="2"/>
      <c r="B1025" s="127" t="s">
        <v>5380</v>
      </c>
      <c r="C1025" s="22" t="s">
        <v>5381</v>
      </c>
      <c r="D1025" s="322"/>
      <c r="E1025" s="338"/>
      <c r="F1025" s="338"/>
      <c r="G1025" s="338"/>
      <c r="H1025" s="338"/>
      <c r="I1025" s="338"/>
      <c r="J1025" s="338"/>
      <c r="K1025" s="338"/>
      <c r="L1025" s="338"/>
      <c r="M1025" s="338"/>
      <c r="N1025" s="338"/>
      <c r="O1025" s="338"/>
      <c r="P1025" s="341"/>
      <c r="Q1025" s="341"/>
      <c r="R1025" s="338"/>
      <c r="S1025" s="338"/>
      <c r="T1025" s="22"/>
      <c r="U1025" s="22"/>
      <c r="V1025" s="22"/>
      <c r="W1025" s="22"/>
      <c r="X1025" s="339"/>
      <c r="Y1025" s="339"/>
      <c r="Z1025" s="331"/>
      <c r="AA1025" s="110"/>
      <c r="AB1025" s="330"/>
      <c r="AC1025" s="332"/>
      <c r="AD1025" s="110"/>
      <c r="AE1025" s="110"/>
      <c r="AF1025" s="110"/>
      <c r="AG1025" s="110"/>
      <c r="AH1025" s="110"/>
      <c r="AI1025" s="110"/>
    </row>
    <row r="1026" spans="1:35" ht="13.5" customHeight="1">
      <c r="A1026" s="4"/>
      <c r="B1026" s="15" t="s">
        <v>3581</v>
      </c>
      <c r="C1026" s="340" t="s">
        <v>3582</v>
      </c>
      <c r="D1026" s="254"/>
      <c r="E1026" s="341">
        <f>SUMIF(GL!$D$6:$D$6487,B1026,GL!$H$6:$H$6487)</f>
        <v>65000000</v>
      </c>
      <c r="F1026" s="341">
        <f>SUMIF(GL!$D$6:$D$6487,B1026,GL!$I$6:$I$6487)</f>
        <v>0</v>
      </c>
      <c r="G1026" s="341"/>
      <c r="H1026" s="341"/>
      <c r="I1026" s="341">
        <f t="shared" ref="I1026:I1033" si="1174">IF(E1026&gt;F1026,E1026-F1026,0)</f>
        <v>65000000</v>
      </c>
      <c r="J1026" s="341">
        <f t="shared" ref="J1026:J1033" si="1175">IF(F1026&gt;E1026,F1026-E1026,0)</f>
        <v>0</v>
      </c>
      <c r="K1026" s="341"/>
      <c r="L1026" s="342"/>
      <c r="M1026" s="342"/>
      <c r="N1026" s="341">
        <f t="shared" ref="N1026:N1033" si="1176">IF(I1026+L1026&gt;J1026+M1026,(I1026+L1026)-(J1026+M1026),0)</f>
        <v>65000000</v>
      </c>
      <c r="O1026" s="341">
        <f t="shared" ref="O1026:O1033" si="1177">IF(J1026+M1026&gt;I1026+L1026,(J1026+M1026)-(I1026+L1026),0)</f>
        <v>0</v>
      </c>
      <c r="P1026" s="341">
        <f>SUMIF(GL!$D$6488:$D$6532,B1026,GL!$H$6488:$H$6532)</f>
        <v>0</v>
      </c>
      <c r="Q1026" s="341">
        <f>SUMIF(GL!$D$6408:$D$6452,B1026,GL!$I$6408:$I$6452)</f>
        <v>0</v>
      </c>
      <c r="R1026" s="341">
        <f t="shared" ref="R1026:S1026" si="1178">P1026+N1026</f>
        <v>65000000</v>
      </c>
      <c r="S1026" s="341">
        <f t="shared" si="1178"/>
        <v>0</v>
      </c>
      <c r="T1026" s="340"/>
      <c r="U1026" s="340"/>
      <c r="V1026" s="340"/>
      <c r="W1026" s="340"/>
      <c r="X1026" s="341">
        <f t="shared" ref="X1026:X1033" si="1179">IF(R1026&gt;S1026,R1026-S1026,0)</f>
        <v>65000000</v>
      </c>
      <c r="Y1026" s="341">
        <f t="shared" ref="Y1026:Y1033" si="1180">IF(S1026&gt;R1026,S1026-R1026,0)</f>
        <v>0</v>
      </c>
      <c r="Z1026" s="331"/>
      <c r="AA1026" s="110"/>
      <c r="AB1026" s="330"/>
      <c r="AC1026" s="332"/>
      <c r="AD1026" s="110"/>
      <c r="AE1026" s="110"/>
      <c r="AF1026" s="110"/>
      <c r="AG1026" s="110"/>
      <c r="AH1026" s="110"/>
      <c r="AI1026" s="110"/>
    </row>
    <row r="1027" spans="1:35" ht="13.5" customHeight="1">
      <c r="A1027" s="4"/>
      <c r="B1027" s="15" t="s">
        <v>3584</v>
      </c>
      <c r="C1027" s="340" t="s">
        <v>3585</v>
      </c>
      <c r="D1027" s="254"/>
      <c r="E1027" s="341">
        <f>SUMIF(GL!$D$6:$D$6487,B1027,GL!$H$6:$H$6487)</f>
        <v>12104623.216666667</v>
      </c>
      <c r="F1027" s="341">
        <f>SUMIF(GL!$D$6:$D$6487,B1027,GL!$I$6:$I$6487)</f>
        <v>0</v>
      </c>
      <c r="G1027" s="341"/>
      <c r="H1027" s="341"/>
      <c r="I1027" s="341">
        <f t="shared" si="1174"/>
        <v>12104623.216666667</v>
      </c>
      <c r="J1027" s="341">
        <f t="shared" si="1175"/>
        <v>0</v>
      </c>
      <c r="K1027" s="341"/>
      <c r="L1027" s="342"/>
      <c r="M1027" s="342"/>
      <c r="N1027" s="341">
        <f t="shared" si="1176"/>
        <v>12104623.216666667</v>
      </c>
      <c r="O1027" s="341">
        <f t="shared" si="1177"/>
        <v>0</v>
      </c>
      <c r="P1027" s="341">
        <f>SUMIF(GL!$D$6488:$D$6532,B1027,GL!$H$6488:$H$6532)</f>
        <v>0</v>
      </c>
      <c r="Q1027" s="341">
        <f>SUMIF(GL!$D$6408:$D$6452,B1027,GL!$I$6408:$I$6452)</f>
        <v>0</v>
      </c>
      <c r="R1027" s="341">
        <f t="shared" ref="R1027:S1027" si="1181">P1027+N1027</f>
        <v>12104623.216666667</v>
      </c>
      <c r="S1027" s="341">
        <f t="shared" si="1181"/>
        <v>0</v>
      </c>
      <c r="T1027" s="340"/>
      <c r="U1027" s="340"/>
      <c r="V1027" s="340"/>
      <c r="W1027" s="340"/>
      <c r="X1027" s="341">
        <f t="shared" si="1179"/>
        <v>12104623.216666667</v>
      </c>
      <c r="Y1027" s="341">
        <f t="shared" si="1180"/>
        <v>0</v>
      </c>
      <c r="Z1027" s="331"/>
      <c r="AA1027" s="110"/>
      <c r="AB1027" s="330"/>
      <c r="AC1027" s="332"/>
      <c r="AD1027" s="110"/>
      <c r="AE1027" s="110"/>
      <c r="AF1027" s="110"/>
      <c r="AG1027" s="110"/>
      <c r="AH1027" s="110"/>
      <c r="AI1027" s="110"/>
    </row>
    <row r="1028" spans="1:35" ht="13.5" customHeight="1">
      <c r="A1028" s="4"/>
      <c r="B1028" s="15" t="s">
        <v>3586</v>
      </c>
      <c r="C1028" s="340" t="s">
        <v>3587</v>
      </c>
      <c r="D1028" s="254"/>
      <c r="E1028" s="341">
        <f>SUMIF(GL!$D$6:$D$6487,B1028,GL!$H$6:$H$6487)</f>
        <v>31561415.395833321</v>
      </c>
      <c r="F1028" s="341">
        <f>SUMIF(GL!$D$6:$D$6487,B1028,GL!$I$6:$I$6487)</f>
        <v>0</v>
      </c>
      <c r="G1028" s="341"/>
      <c r="H1028" s="341"/>
      <c r="I1028" s="341">
        <f t="shared" si="1174"/>
        <v>31561415.395833321</v>
      </c>
      <c r="J1028" s="341">
        <f t="shared" si="1175"/>
        <v>0</v>
      </c>
      <c r="K1028" s="341"/>
      <c r="L1028" s="342"/>
      <c r="M1028" s="342"/>
      <c r="N1028" s="341">
        <f t="shared" si="1176"/>
        <v>31561415.395833321</v>
      </c>
      <c r="O1028" s="341">
        <f t="shared" si="1177"/>
        <v>0</v>
      </c>
      <c r="P1028" s="341">
        <f>SUMIF(GL!$D$6488:$D$6532,B1028,GL!$H$6488:$H$6532)</f>
        <v>0</v>
      </c>
      <c r="Q1028" s="341">
        <f>SUMIF(GL!$D$6408:$D$6452,B1028,GL!$I$6408:$I$6452)</f>
        <v>0</v>
      </c>
      <c r="R1028" s="341">
        <f t="shared" ref="R1028:S1028" si="1182">P1028+N1028</f>
        <v>31561415.395833321</v>
      </c>
      <c r="S1028" s="341">
        <f t="shared" si="1182"/>
        <v>0</v>
      </c>
      <c r="T1028" s="340"/>
      <c r="U1028" s="340"/>
      <c r="V1028" s="340"/>
      <c r="W1028" s="340"/>
      <c r="X1028" s="341">
        <f t="shared" si="1179"/>
        <v>31561415.395833321</v>
      </c>
      <c r="Y1028" s="341">
        <f t="shared" si="1180"/>
        <v>0</v>
      </c>
      <c r="Z1028" s="331"/>
      <c r="AA1028" s="110"/>
      <c r="AB1028" s="330"/>
      <c r="AC1028" s="332"/>
      <c r="AD1028" s="110"/>
      <c r="AE1028" s="110"/>
      <c r="AF1028" s="110"/>
      <c r="AG1028" s="110"/>
      <c r="AH1028" s="110"/>
      <c r="AI1028" s="110"/>
    </row>
    <row r="1029" spans="1:35" ht="13.5" customHeight="1">
      <c r="A1029" s="4"/>
      <c r="B1029" s="15" t="s">
        <v>3588</v>
      </c>
      <c r="C1029" s="340" t="s">
        <v>3589</v>
      </c>
      <c r="D1029" s="254"/>
      <c r="E1029" s="341">
        <f>SUMIF(GL!$D$6:$D$6487,B1029,GL!$H$6:$H$6487)</f>
        <v>7885536.666666666</v>
      </c>
      <c r="F1029" s="341">
        <f>SUMIF(GL!$D$6:$D$6487,B1029,GL!$I$6:$I$6487)</f>
        <v>0</v>
      </c>
      <c r="G1029" s="341"/>
      <c r="H1029" s="341"/>
      <c r="I1029" s="341">
        <f t="shared" si="1174"/>
        <v>7885536.666666666</v>
      </c>
      <c r="J1029" s="341">
        <f t="shared" si="1175"/>
        <v>0</v>
      </c>
      <c r="K1029" s="341"/>
      <c r="L1029" s="342"/>
      <c r="M1029" s="342"/>
      <c r="N1029" s="341">
        <f t="shared" si="1176"/>
        <v>7885536.666666666</v>
      </c>
      <c r="O1029" s="341">
        <f t="shared" si="1177"/>
        <v>0</v>
      </c>
      <c r="P1029" s="341">
        <f>SUMIF(GL!$D$6488:$D$6532,B1029,GL!$H$6488:$H$6532)</f>
        <v>0</v>
      </c>
      <c r="Q1029" s="341">
        <f>SUMIF(GL!$D$6408:$D$6452,B1029,GL!$I$6408:$I$6452)</f>
        <v>0</v>
      </c>
      <c r="R1029" s="341">
        <f t="shared" ref="R1029:S1029" si="1183">P1029+N1029</f>
        <v>7885536.666666666</v>
      </c>
      <c r="S1029" s="341">
        <f t="shared" si="1183"/>
        <v>0</v>
      </c>
      <c r="T1029" s="340"/>
      <c r="U1029" s="340"/>
      <c r="V1029" s="340"/>
      <c r="W1029" s="340"/>
      <c r="X1029" s="341">
        <f t="shared" si="1179"/>
        <v>7885536.666666666</v>
      </c>
      <c r="Y1029" s="341">
        <f t="shared" si="1180"/>
        <v>0</v>
      </c>
      <c r="Z1029" s="331"/>
      <c r="AA1029" s="110"/>
      <c r="AB1029" s="330"/>
      <c r="AC1029" s="332"/>
      <c r="AD1029" s="110"/>
      <c r="AE1029" s="110"/>
      <c r="AF1029" s="110"/>
      <c r="AG1029" s="110"/>
      <c r="AH1029" s="110"/>
      <c r="AI1029" s="110"/>
    </row>
    <row r="1030" spans="1:35" ht="13.5" customHeight="1">
      <c r="A1030" s="4"/>
      <c r="B1030" s="15" t="s">
        <v>5382</v>
      </c>
      <c r="C1030" s="340" t="s">
        <v>5383</v>
      </c>
      <c r="D1030" s="254"/>
      <c r="E1030" s="341">
        <f>SUMIF(GL!$D$6:$D$6487,B1030,GL!$H$6:$H$6487)</f>
        <v>0</v>
      </c>
      <c r="F1030" s="341">
        <f>SUMIF(GL!$D$6:$D$6487,B1030,GL!$I$6:$I$6487)</f>
        <v>0</v>
      </c>
      <c r="G1030" s="341"/>
      <c r="H1030" s="341"/>
      <c r="I1030" s="341">
        <f t="shared" si="1174"/>
        <v>0</v>
      </c>
      <c r="J1030" s="341">
        <f t="shared" si="1175"/>
        <v>0</v>
      </c>
      <c r="K1030" s="341"/>
      <c r="L1030" s="342"/>
      <c r="M1030" s="342"/>
      <c r="N1030" s="341">
        <f t="shared" si="1176"/>
        <v>0</v>
      </c>
      <c r="O1030" s="341">
        <f t="shared" si="1177"/>
        <v>0</v>
      </c>
      <c r="P1030" s="341">
        <f>SUMIF(GL!$D$6488:$D$6532,B1030,GL!$H$6488:$H$6532)</f>
        <v>0</v>
      </c>
      <c r="Q1030" s="341">
        <f>SUMIF(GL!$D$6408:$D$6452,B1030,GL!$I$6408:$I$6452)</f>
        <v>0</v>
      </c>
      <c r="R1030" s="341">
        <f t="shared" ref="R1030:S1030" si="1184">P1030+N1030</f>
        <v>0</v>
      </c>
      <c r="S1030" s="341">
        <f t="shared" si="1184"/>
        <v>0</v>
      </c>
      <c r="T1030" s="340"/>
      <c r="U1030" s="340"/>
      <c r="V1030" s="340"/>
      <c r="W1030" s="340"/>
      <c r="X1030" s="341">
        <f t="shared" si="1179"/>
        <v>0</v>
      </c>
      <c r="Y1030" s="341">
        <f t="shared" si="1180"/>
        <v>0</v>
      </c>
      <c r="Z1030" s="331"/>
      <c r="AA1030" s="110"/>
      <c r="AB1030" s="330"/>
      <c r="AC1030" s="332"/>
      <c r="AD1030" s="110"/>
      <c r="AE1030" s="110"/>
      <c r="AF1030" s="110"/>
      <c r="AG1030" s="110"/>
      <c r="AH1030" s="110"/>
      <c r="AI1030" s="110"/>
    </row>
    <row r="1031" spans="1:35" ht="13.5" customHeight="1">
      <c r="A1031" s="4"/>
      <c r="B1031" s="15" t="s">
        <v>3590</v>
      </c>
      <c r="C1031" s="340" t="s">
        <v>3591</v>
      </c>
      <c r="D1031" s="254"/>
      <c r="E1031" s="341">
        <f>SUMIF(GL!$D$6:$D$6487,B1031,GL!$H$6:$H$6487)</f>
        <v>1900000</v>
      </c>
      <c r="F1031" s="341">
        <f>SUMIF(GL!$D$6:$D$6487,B1031,GL!$I$6:$I$6487)</f>
        <v>0</v>
      </c>
      <c r="G1031" s="341"/>
      <c r="H1031" s="341"/>
      <c r="I1031" s="341">
        <f t="shared" si="1174"/>
        <v>1900000</v>
      </c>
      <c r="J1031" s="341">
        <f t="shared" si="1175"/>
        <v>0</v>
      </c>
      <c r="K1031" s="341"/>
      <c r="L1031" s="342"/>
      <c r="M1031" s="342"/>
      <c r="N1031" s="341">
        <f t="shared" si="1176"/>
        <v>1900000</v>
      </c>
      <c r="O1031" s="341">
        <f t="shared" si="1177"/>
        <v>0</v>
      </c>
      <c r="P1031" s="341">
        <f>SUMIF(GL!$D$6488:$D$6532,B1031,GL!$H$6488:$H$6532)</f>
        <v>0</v>
      </c>
      <c r="Q1031" s="341">
        <f>SUMIF(GL!$D$6408:$D$6452,B1031,GL!$I$6408:$I$6452)</f>
        <v>0</v>
      </c>
      <c r="R1031" s="341">
        <f t="shared" ref="R1031:S1031" si="1185">P1031+N1031</f>
        <v>1900000</v>
      </c>
      <c r="S1031" s="341">
        <f t="shared" si="1185"/>
        <v>0</v>
      </c>
      <c r="T1031" s="340"/>
      <c r="U1031" s="340"/>
      <c r="V1031" s="340"/>
      <c r="W1031" s="340"/>
      <c r="X1031" s="341">
        <f t="shared" si="1179"/>
        <v>1900000</v>
      </c>
      <c r="Y1031" s="341">
        <f t="shared" si="1180"/>
        <v>0</v>
      </c>
      <c r="Z1031" s="331"/>
      <c r="AA1031" s="110"/>
      <c r="AB1031" s="330"/>
      <c r="AC1031" s="332"/>
      <c r="AD1031" s="110"/>
      <c r="AE1031" s="110"/>
      <c r="AF1031" s="110"/>
      <c r="AG1031" s="110"/>
      <c r="AH1031" s="110"/>
      <c r="AI1031" s="110"/>
    </row>
    <row r="1032" spans="1:35" ht="13.5" customHeight="1">
      <c r="A1032" s="4"/>
      <c r="B1032" s="15" t="s">
        <v>3592</v>
      </c>
      <c r="C1032" s="340" t="s">
        <v>3593</v>
      </c>
      <c r="D1032" s="254"/>
      <c r="E1032" s="341">
        <f>SUMIF(GL!$D$6:$D$6487,B1032,GL!$H$6:$H$6487)</f>
        <v>643414.58333333326</v>
      </c>
      <c r="F1032" s="341">
        <f>SUMIF(GL!$D$6:$D$6487,B1032,GL!$I$6:$I$6487)</f>
        <v>0</v>
      </c>
      <c r="G1032" s="341"/>
      <c r="H1032" s="341"/>
      <c r="I1032" s="341">
        <f t="shared" si="1174"/>
        <v>643414.58333333326</v>
      </c>
      <c r="J1032" s="341">
        <f t="shared" si="1175"/>
        <v>0</v>
      </c>
      <c r="K1032" s="341"/>
      <c r="L1032" s="342"/>
      <c r="M1032" s="342"/>
      <c r="N1032" s="341">
        <f t="shared" si="1176"/>
        <v>643414.58333333326</v>
      </c>
      <c r="O1032" s="341">
        <f t="shared" si="1177"/>
        <v>0</v>
      </c>
      <c r="P1032" s="341">
        <f>SUMIF(GL!$D$6488:$D$6532,B1032,GL!$H$6488:$H$6532)</f>
        <v>0</v>
      </c>
      <c r="Q1032" s="341">
        <f>SUMIF(GL!$D$6408:$D$6452,B1032,GL!$I$6408:$I$6452)</f>
        <v>0</v>
      </c>
      <c r="R1032" s="341">
        <f t="shared" ref="R1032:S1032" si="1186">P1032+N1032</f>
        <v>643414.58333333326</v>
      </c>
      <c r="S1032" s="341">
        <f t="shared" si="1186"/>
        <v>0</v>
      </c>
      <c r="T1032" s="340"/>
      <c r="U1032" s="340"/>
      <c r="V1032" s="340"/>
      <c r="W1032" s="340"/>
      <c r="X1032" s="341">
        <f t="shared" si="1179"/>
        <v>643414.58333333326</v>
      </c>
      <c r="Y1032" s="341">
        <f t="shared" si="1180"/>
        <v>0</v>
      </c>
      <c r="Z1032" s="331"/>
      <c r="AA1032" s="110"/>
      <c r="AB1032" s="330"/>
      <c r="AC1032" s="332"/>
      <c r="AD1032" s="110"/>
      <c r="AE1032" s="110"/>
      <c r="AF1032" s="110"/>
      <c r="AG1032" s="110"/>
      <c r="AH1032" s="110"/>
      <c r="AI1032" s="110"/>
    </row>
    <row r="1033" spans="1:35" ht="13.5" customHeight="1">
      <c r="A1033" s="2"/>
      <c r="B1033" s="15" t="s">
        <v>3594</v>
      </c>
      <c r="C1033" s="390" t="s">
        <v>3595</v>
      </c>
      <c r="D1033" s="322"/>
      <c r="E1033" s="341">
        <f>SUMIF(GL!$D$6:$D$6487,B1033,GL!$H$6:$H$6487)</f>
        <v>4642875</v>
      </c>
      <c r="F1033" s="341">
        <f>SUMIF(GL!$D$6:$D$6487,B1033,GL!$I$6:$I$6487)</f>
        <v>0</v>
      </c>
      <c r="G1033" s="341"/>
      <c r="H1033" s="341"/>
      <c r="I1033" s="341">
        <f t="shared" si="1174"/>
        <v>4642875</v>
      </c>
      <c r="J1033" s="341">
        <f t="shared" si="1175"/>
        <v>0</v>
      </c>
      <c r="K1033" s="341"/>
      <c r="L1033" s="342"/>
      <c r="M1033" s="342"/>
      <c r="N1033" s="341">
        <f t="shared" si="1176"/>
        <v>4642875</v>
      </c>
      <c r="O1033" s="341">
        <f t="shared" si="1177"/>
        <v>0</v>
      </c>
      <c r="P1033" s="341">
        <f>SUMIF(GL!$D$6488:$D$6532,B1033,GL!$H$6488:$H$6532)</f>
        <v>0</v>
      </c>
      <c r="Q1033" s="341">
        <f>SUMIF(GL!$D$6408:$D$6452,B1033,GL!$I$6408:$I$6452)</f>
        <v>0</v>
      </c>
      <c r="R1033" s="341">
        <f t="shared" ref="R1033:S1033" si="1187">P1033+N1033</f>
        <v>4642875</v>
      </c>
      <c r="S1033" s="341">
        <f t="shared" si="1187"/>
        <v>0</v>
      </c>
      <c r="T1033" s="340"/>
      <c r="U1033" s="340"/>
      <c r="V1033" s="340"/>
      <c r="W1033" s="340"/>
      <c r="X1033" s="341">
        <f t="shared" si="1179"/>
        <v>4642875</v>
      </c>
      <c r="Y1033" s="341">
        <f t="shared" si="1180"/>
        <v>0</v>
      </c>
      <c r="Z1033" s="331"/>
      <c r="AA1033" s="110"/>
      <c r="AB1033" s="330"/>
      <c r="AC1033" s="332"/>
      <c r="AD1033" s="110"/>
      <c r="AE1033" s="110"/>
      <c r="AF1033" s="110"/>
      <c r="AG1033" s="110"/>
      <c r="AH1033" s="110"/>
      <c r="AI1033" s="110"/>
    </row>
    <row r="1034" spans="1:35" ht="13.5" customHeight="1">
      <c r="A1034" s="2"/>
      <c r="B1034" s="127" t="s">
        <v>5384</v>
      </c>
      <c r="C1034" s="22" t="s">
        <v>5385</v>
      </c>
      <c r="D1034" s="322"/>
      <c r="E1034" s="338">
        <f t="shared" ref="E1034:K1034" si="1188">SUM(E1026:E1033)</f>
        <v>123737864.86249998</v>
      </c>
      <c r="F1034" s="338">
        <f t="shared" si="1188"/>
        <v>0</v>
      </c>
      <c r="G1034" s="338">
        <f t="shared" si="1188"/>
        <v>0</v>
      </c>
      <c r="H1034" s="338">
        <f t="shared" si="1188"/>
        <v>0</v>
      </c>
      <c r="I1034" s="338">
        <f t="shared" si="1188"/>
        <v>123737864.86249998</v>
      </c>
      <c r="J1034" s="338">
        <f t="shared" si="1188"/>
        <v>0</v>
      </c>
      <c r="K1034" s="338">
        <f t="shared" si="1188"/>
        <v>0</v>
      </c>
      <c r="L1034" s="338"/>
      <c r="M1034" s="338"/>
      <c r="N1034" s="338">
        <f t="shared" ref="N1034:Y1034" si="1189">SUM(N1026:N1033)</f>
        <v>123737864.86249998</v>
      </c>
      <c r="O1034" s="338">
        <f t="shared" si="1189"/>
        <v>0</v>
      </c>
      <c r="P1034" s="338">
        <f t="shared" si="1189"/>
        <v>0</v>
      </c>
      <c r="Q1034" s="338">
        <f t="shared" si="1189"/>
        <v>0</v>
      </c>
      <c r="R1034" s="338">
        <f t="shared" si="1189"/>
        <v>123737864.86249998</v>
      </c>
      <c r="S1034" s="338">
        <f t="shared" si="1189"/>
        <v>0</v>
      </c>
      <c r="T1034" s="338">
        <f t="shared" si="1189"/>
        <v>0</v>
      </c>
      <c r="U1034" s="338">
        <f t="shared" si="1189"/>
        <v>0</v>
      </c>
      <c r="V1034" s="338">
        <f t="shared" si="1189"/>
        <v>0</v>
      </c>
      <c r="W1034" s="338">
        <f t="shared" si="1189"/>
        <v>0</v>
      </c>
      <c r="X1034" s="338">
        <f t="shared" si="1189"/>
        <v>123737864.86249998</v>
      </c>
      <c r="Y1034" s="338">
        <f t="shared" si="1189"/>
        <v>0</v>
      </c>
      <c r="Z1034" s="331"/>
      <c r="AA1034" s="110"/>
      <c r="AB1034" s="330"/>
      <c r="AC1034" s="332"/>
      <c r="AD1034" s="110"/>
      <c r="AE1034" s="110"/>
      <c r="AF1034" s="110"/>
      <c r="AG1034" s="110"/>
      <c r="AH1034" s="110"/>
      <c r="AI1034" s="110"/>
    </row>
    <row r="1035" spans="1:35" ht="13.5" customHeight="1">
      <c r="A1035" s="2"/>
      <c r="B1035" s="127"/>
      <c r="C1035" s="22"/>
      <c r="D1035" s="322"/>
      <c r="E1035" s="338"/>
      <c r="F1035" s="338"/>
      <c r="G1035" s="338"/>
      <c r="H1035" s="338"/>
      <c r="I1035" s="338"/>
      <c r="J1035" s="338"/>
      <c r="K1035" s="338"/>
      <c r="L1035" s="338"/>
      <c r="M1035" s="338"/>
      <c r="N1035" s="338"/>
      <c r="O1035" s="338"/>
      <c r="P1035" s="338"/>
      <c r="Q1035" s="338"/>
      <c r="R1035" s="338"/>
      <c r="S1035" s="338"/>
      <c r="T1035" s="338"/>
      <c r="U1035" s="338"/>
      <c r="V1035" s="338"/>
      <c r="W1035" s="338"/>
      <c r="X1035" s="338"/>
      <c r="Y1035" s="338"/>
      <c r="Z1035" s="331"/>
      <c r="AA1035" s="110"/>
      <c r="AB1035" s="330"/>
      <c r="AC1035" s="332"/>
      <c r="AD1035" s="110"/>
      <c r="AE1035" s="110"/>
      <c r="AF1035" s="110"/>
      <c r="AG1035" s="110"/>
      <c r="AH1035" s="110"/>
      <c r="AI1035" s="110"/>
    </row>
    <row r="1036" spans="1:35" ht="13.5" customHeight="1">
      <c r="A1036" s="4"/>
      <c r="B1036" s="15"/>
      <c r="C1036" s="340"/>
      <c r="D1036" s="254"/>
      <c r="E1036" s="341"/>
      <c r="F1036" s="341"/>
      <c r="G1036" s="341"/>
      <c r="H1036" s="341"/>
      <c r="I1036" s="341"/>
      <c r="J1036" s="341"/>
      <c r="K1036" s="341"/>
      <c r="L1036" s="341"/>
      <c r="M1036" s="341"/>
      <c r="N1036" s="341"/>
      <c r="O1036" s="341"/>
      <c r="P1036" s="341"/>
      <c r="Q1036" s="341"/>
      <c r="R1036" s="341"/>
      <c r="S1036" s="341"/>
      <c r="T1036" s="340"/>
      <c r="U1036" s="340"/>
      <c r="V1036" s="340"/>
      <c r="W1036" s="340"/>
      <c r="X1036" s="346"/>
      <c r="Y1036" s="346"/>
      <c r="Z1036" s="331"/>
      <c r="AA1036" s="110"/>
      <c r="AB1036" s="330"/>
      <c r="AC1036" s="332"/>
      <c r="AD1036" s="110"/>
      <c r="AE1036" s="110"/>
      <c r="AF1036" s="110"/>
      <c r="AG1036" s="110"/>
      <c r="AH1036" s="110"/>
      <c r="AI1036" s="110"/>
    </row>
    <row r="1037" spans="1:35" ht="13.5" customHeight="1">
      <c r="A1037" s="2"/>
      <c r="B1037" s="127" t="s">
        <v>5386</v>
      </c>
      <c r="C1037" s="22" t="s">
        <v>5387</v>
      </c>
      <c r="D1037" s="322"/>
      <c r="E1037" s="338"/>
      <c r="F1037" s="338"/>
      <c r="G1037" s="338"/>
      <c r="H1037" s="338"/>
      <c r="I1037" s="338"/>
      <c r="J1037" s="338"/>
      <c r="K1037" s="338"/>
      <c r="L1037" s="338"/>
      <c r="M1037" s="338"/>
      <c r="N1037" s="338"/>
      <c r="O1037" s="338"/>
      <c r="P1037" s="341"/>
      <c r="Q1037" s="341"/>
      <c r="R1037" s="338"/>
      <c r="S1037" s="338"/>
      <c r="T1037" s="22"/>
      <c r="U1037" s="22"/>
      <c r="V1037" s="22"/>
      <c r="W1037" s="22"/>
      <c r="X1037" s="339"/>
      <c r="Y1037" s="339"/>
      <c r="Z1037" s="331"/>
      <c r="AA1037" s="110"/>
      <c r="AB1037" s="330"/>
      <c r="AC1037" s="332"/>
      <c r="AD1037" s="110"/>
      <c r="AE1037" s="110"/>
      <c r="AF1037" s="110"/>
      <c r="AG1037" s="110"/>
      <c r="AH1037" s="110"/>
      <c r="AI1037" s="110"/>
    </row>
    <row r="1038" spans="1:35" ht="13.5" customHeight="1">
      <c r="A1038" s="4"/>
      <c r="B1038" s="15" t="s">
        <v>1721</v>
      </c>
      <c r="C1038" s="340" t="s">
        <v>5388</v>
      </c>
      <c r="D1038" s="254"/>
      <c r="E1038" s="341">
        <f>SUMIF(GL!$D$6:$D$6487,B1038,GL!$H$6:$H$6487)</f>
        <v>0</v>
      </c>
      <c r="F1038" s="341">
        <f>SUMIF(GL!$D$6:$D$6487,B1038,GL!$I$6:$I$6487)</f>
        <v>22743.93</v>
      </c>
      <c r="G1038" s="341"/>
      <c r="H1038" s="341"/>
      <c r="I1038" s="341">
        <f t="shared" ref="I1038:I1042" si="1190">IF(E1038&gt;F1038,E1038-F1038,0)</f>
        <v>0</v>
      </c>
      <c r="J1038" s="341">
        <f t="shared" ref="J1038:J1042" si="1191">IF(F1038&gt;E1038,F1038-E1038,0)</f>
        <v>22743.93</v>
      </c>
      <c r="K1038" s="341"/>
      <c r="L1038" s="342"/>
      <c r="M1038" s="342"/>
      <c r="N1038" s="341">
        <f t="shared" ref="N1038:N1042" si="1192">IF(I1038+L1038&gt;J1038+M1038,(I1038+L1038)-(J1038+M1038),0)</f>
        <v>0</v>
      </c>
      <c r="O1038" s="341">
        <f t="shared" ref="O1038:O1042" si="1193">IF(J1038+M1038&gt;I1038+L1038,(J1038+M1038)-(I1038+L1038),0)</f>
        <v>22743.93</v>
      </c>
      <c r="P1038" s="341">
        <f>SUMIF(GL!$D$6488:$D$6532,B1038,GL!$H$6488:$H$6532)</f>
        <v>0</v>
      </c>
      <c r="Q1038" s="341">
        <f>SUMIF(GL!$D$6408:$D$6452,B1038,GL!$I$6408:$I$6452)</f>
        <v>0</v>
      </c>
      <c r="R1038" s="341">
        <f t="shared" ref="R1038:S1038" si="1194">P1038+N1038</f>
        <v>0</v>
      </c>
      <c r="S1038" s="341">
        <f t="shared" si="1194"/>
        <v>22743.93</v>
      </c>
      <c r="T1038" s="340"/>
      <c r="U1038" s="340"/>
      <c r="V1038" s="340"/>
      <c r="W1038" s="340"/>
      <c r="X1038" s="341">
        <f t="shared" ref="X1038:X1042" si="1195">IF(R1038&gt;S1038,R1038-S1038,0)</f>
        <v>0</v>
      </c>
      <c r="Y1038" s="341">
        <f t="shared" ref="Y1038:Y1042" si="1196">IF(S1038&gt;R1038,S1038-R1038,0)</f>
        <v>22743.93</v>
      </c>
      <c r="Z1038" s="331"/>
      <c r="AA1038" s="110"/>
      <c r="AB1038" s="330"/>
      <c r="AC1038" s="332"/>
      <c r="AD1038" s="110"/>
      <c r="AE1038" s="110"/>
      <c r="AF1038" s="110"/>
      <c r="AG1038" s="110"/>
      <c r="AH1038" s="110"/>
      <c r="AI1038" s="110"/>
    </row>
    <row r="1039" spans="1:35" ht="13.5" customHeight="1">
      <c r="A1039" s="4"/>
      <c r="B1039" s="15" t="s">
        <v>5389</v>
      </c>
      <c r="C1039" s="340" t="s">
        <v>5390</v>
      </c>
      <c r="D1039" s="254"/>
      <c r="E1039" s="341">
        <f>SUMIF(GL!$D$6:$D$6487,B1039,GL!$H$6:$H$6487)</f>
        <v>0</v>
      </c>
      <c r="F1039" s="341">
        <f>SUMIF(GL!$D$6:$D$6487,B1039,GL!$I$6:$I$6487)</f>
        <v>0</v>
      </c>
      <c r="G1039" s="341"/>
      <c r="H1039" s="341"/>
      <c r="I1039" s="341">
        <f t="shared" si="1190"/>
        <v>0</v>
      </c>
      <c r="J1039" s="341">
        <f t="shared" si="1191"/>
        <v>0</v>
      </c>
      <c r="K1039" s="341"/>
      <c r="L1039" s="342"/>
      <c r="M1039" s="342"/>
      <c r="N1039" s="341">
        <f t="shared" si="1192"/>
        <v>0</v>
      </c>
      <c r="O1039" s="341">
        <f t="shared" si="1193"/>
        <v>0</v>
      </c>
      <c r="P1039" s="341">
        <f>SUMIF(GL!$D$6488:$D$6532,B1039,GL!$H$6488:$H$6532)</f>
        <v>0</v>
      </c>
      <c r="Q1039" s="341">
        <f>SUMIF(GL!$D$6408:$D$6452,B1039,GL!$I$6408:$I$6452)</f>
        <v>0</v>
      </c>
      <c r="R1039" s="341">
        <f t="shared" ref="R1039:S1039" si="1197">P1039+N1039</f>
        <v>0</v>
      </c>
      <c r="S1039" s="341">
        <f t="shared" si="1197"/>
        <v>0</v>
      </c>
      <c r="T1039" s="340"/>
      <c r="U1039" s="340"/>
      <c r="V1039" s="340"/>
      <c r="W1039" s="340"/>
      <c r="X1039" s="341">
        <f t="shared" si="1195"/>
        <v>0</v>
      </c>
      <c r="Y1039" s="341">
        <f t="shared" si="1196"/>
        <v>0</v>
      </c>
      <c r="Z1039" s="331"/>
      <c r="AA1039" s="110"/>
      <c r="AB1039" s="330"/>
      <c r="AC1039" s="332"/>
      <c r="AD1039" s="110"/>
      <c r="AE1039" s="110"/>
      <c r="AF1039" s="110"/>
      <c r="AG1039" s="110"/>
      <c r="AH1039" s="110"/>
      <c r="AI1039" s="110"/>
    </row>
    <row r="1040" spans="1:35" ht="13.5" customHeight="1">
      <c r="A1040" s="4"/>
      <c r="B1040" s="15" t="s">
        <v>869</v>
      </c>
      <c r="C1040" s="340" t="s">
        <v>5391</v>
      </c>
      <c r="D1040" s="254"/>
      <c r="E1040" s="341">
        <f>SUMIF(GL!$D$6:$D$6487,B1040,GL!$H$6:$H$6487)</f>
        <v>0</v>
      </c>
      <c r="F1040" s="341">
        <f>SUMIF(GL!$D$6:$D$6487,B1040,GL!$I$6:$I$6487)</f>
        <v>170000</v>
      </c>
      <c r="G1040" s="341"/>
      <c r="H1040" s="341"/>
      <c r="I1040" s="341">
        <f t="shared" si="1190"/>
        <v>0</v>
      </c>
      <c r="J1040" s="341">
        <f t="shared" si="1191"/>
        <v>170000</v>
      </c>
      <c r="K1040" s="341"/>
      <c r="L1040" s="342"/>
      <c r="M1040" s="342"/>
      <c r="N1040" s="341">
        <f t="shared" si="1192"/>
        <v>0</v>
      </c>
      <c r="O1040" s="341">
        <f t="shared" si="1193"/>
        <v>170000</v>
      </c>
      <c r="P1040" s="341">
        <f>SUMIF(GL!$D$6488:$D$6532,B1040,GL!$H$6488:$H$6532)</f>
        <v>0</v>
      </c>
      <c r="Q1040" s="341">
        <f>SUMIF(GL!$D$6408:$D$6452,B1040,GL!$I$6408:$I$6452)</f>
        <v>0</v>
      </c>
      <c r="R1040" s="341">
        <f t="shared" ref="R1040:S1040" si="1198">P1040+N1040</f>
        <v>0</v>
      </c>
      <c r="S1040" s="341">
        <f t="shared" si="1198"/>
        <v>170000</v>
      </c>
      <c r="T1040" s="340"/>
      <c r="U1040" s="340"/>
      <c r="V1040" s="340"/>
      <c r="W1040" s="340"/>
      <c r="X1040" s="341">
        <f t="shared" si="1195"/>
        <v>0</v>
      </c>
      <c r="Y1040" s="341">
        <f t="shared" si="1196"/>
        <v>170000</v>
      </c>
      <c r="Z1040" s="331"/>
      <c r="AA1040" s="110"/>
      <c r="AB1040" s="330"/>
      <c r="AC1040" s="332"/>
      <c r="AD1040" s="110"/>
      <c r="AE1040" s="110"/>
      <c r="AF1040" s="110"/>
      <c r="AG1040" s="110"/>
      <c r="AH1040" s="110"/>
      <c r="AI1040" s="110"/>
    </row>
    <row r="1041" spans="1:35" ht="13.5" customHeight="1">
      <c r="A1041" s="4"/>
      <c r="B1041" s="15" t="s">
        <v>5392</v>
      </c>
      <c r="C1041" s="340" t="s">
        <v>5393</v>
      </c>
      <c r="D1041" s="254"/>
      <c r="E1041" s="341">
        <f>SUMIF(GL!$D$6:$D$6487,B1041,GL!$H$6:$H$6487)</f>
        <v>0</v>
      </c>
      <c r="F1041" s="341">
        <f>SUMIF(GL!$D$6:$D$6487,B1041,GL!$I$6:$I$6487)</f>
        <v>0</v>
      </c>
      <c r="G1041" s="341"/>
      <c r="H1041" s="341"/>
      <c r="I1041" s="341">
        <f t="shared" si="1190"/>
        <v>0</v>
      </c>
      <c r="J1041" s="341">
        <f t="shared" si="1191"/>
        <v>0</v>
      </c>
      <c r="K1041" s="341"/>
      <c r="L1041" s="342"/>
      <c r="M1041" s="342"/>
      <c r="N1041" s="341">
        <f t="shared" si="1192"/>
        <v>0</v>
      </c>
      <c r="O1041" s="341">
        <f t="shared" si="1193"/>
        <v>0</v>
      </c>
      <c r="P1041" s="341">
        <f>SUMIF(GL!$D$6488:$D$6532,B1041,GL!$H$6488:$H$6532)</f>
        <v>0</v>
      </c>
      <c r="Q1041" s="341">
        <f>SUMIF(GL!$D$6408:$D$6452,B1041,GL!$I$6408:$I$6452)</f>
        <v>0</v>
      </c>
      <c r="R1041" s="341">
        <f t="shared" ref="R1041:S1041" si="1199">P1041+N1041</f>
        <v>0</v>
      </c>
      <c r="S1041" s="341">
        <f t="shared" si="1199"/>
        <v>0</v>
      </c>
      <c r="T1041" s="340"/>
      <c r="U1041" s="340"/>
      <c r="V1041" s="340"/>
      <c r="W1041" s="340"/>
      <c r="X1041" s="341">
        <f t="shared" si="1195"/>
        <v>0</v>
      </c>
      <c r="Y1041" s="341">
        <f t="shared" si="1196"/>
        <v>0</v>
      </c>
      <c r="Z1041" s="331"/>
      <c r="AA1041" s="110"/>
      <c r="AB1041" s="330"/>
      <c r="AC1041" s="332"/>
      <c r="AD1041" s="110"/>
      <c r="AE1041" s="110"/>
      <c r="AF1041" s="110"/>
      <c r="AG1041" s="110"/>
      <c r="AH1041" s="110"/>
      <c r="AI1041" s="110"/>
    </row>
    <row r="1042" spans="1:35" ht="13.5" customHeight="1">
      <c r="A1042" s="2"/>
      <c r="B1042" s="15" t="s">
        <v>5394</v>
      </c>
      <c r="C1042" s="340" t="s">
        <v>5395</v>
      </c>
      <c r="D1042" s="254"/>
      <c r="E1042" s="341">
        <f>SUMIF(GL!$D$6:$D$6487,B1042,GL!$H$6:$H$6487)</f>
        <v>0</v>
      </c>
      <c r="F1042" s="341">
        <f>SUMIF(GL!$D$6:$D$6487,B1042,GL!$I$6:$I$6487)</f>
        <v>0</v>
      </c>
      <c r="G1042" s="341"/>
      <c r="H1042" s="341"/>
      <c r="I1042" s="341">
        <f t="shared" si="1190"/>
        <v>0</v>
      </c>
      <c r="J1042" s="341">
        <f t="shared" si="1191"/>
        <v>0</v>
      </c>
      <c r="K1042" s="341"/>
      <c r="L1042" s="342"/>
      <c r="M1042" s="342"/>
      <c r="N1042" s="341">
        <f t="shared" si="1192"/>
        <v>0</v>
      </c>
      <c r="O1042" s="341">
        <f t="shared" si="1193"/>
        <v>0</v>
      </c>
      <c r="P1042" s="341">
        <f>SUMIF(GL!$D$6488:$D$6532,B1042,GL!$H$6488:$H$6532)</f>
        <v>0</v>
      </c>
      <c r="Q1042" s="341">
        <f>SUMIF(GL!$D$6408:$D$6452,B1042,GL!$I$6408:$I$6452)</f>
        <v>0</v>
      </c>
      <c r="R1042" s="341">
        <f t="shared" ref="R1042:S1042" si="1200">P1042+N1042</f>
        <v>0</v>
      </c>
      <c r="S1042" s="341">
        <f t="shared" si="1200"/>
        <v>0</v>
      </c>
      <c r="T1042" s="340"/>
      <c r="U1042" s="340"/>
      <c r="V1042" s="340"/>
      <c r="W1042" s="340"/>
      <c r="X1042" s="341">
        <f t="shared" si="1195"/>
        <v>0</v>
      </c>
      <c r="Y1042" s="341">
        <f t="shared" si="1196"/>
        <v>0</v>
      </c>
      <c r="Z1042" s="331"/>
      <c r="AA1042" s="110"/>
      <c r="AB1042" s="330"/>
      <c r="AC1042" s="332"/>
      <c r="AD1042" s="110"/>
      <c r="AE1042" s="110"/>
      <c r="AF1042" s="110"/>
      <c r="AG1042" s="110"/>
      <c r="AH1042" s="110"/>
      <c r="AI1042" s="110"/>
    </row>
    <row r="1043" spans="1:35" ht="13.5" customHeight="1">
      <c r="A1043" s="2"/>
      <c r="B1043" s="127" t="s">
        <v>5396</v>
      </c>
      <c r="C1043" s="22" t="s">
        <v>5397</v>
      </c>
      <c r="D1043" s="322"/>
      <c r="E1043" s="338">
        <f t="shared" ref="E1043:F1043" si="1201">SUM(E1038:E1042)</f>
        <v>0</v>
      </c>
      <c r="F1043" s="338">
        <f t="shared" si="1201"/>
        <v>192743.93</v>
      </c>
      <c r="G1043" s="338"/>
      <c r="H1043" s="338"/>
      <c r="I1043" s="338">
        <f t="shared" ref="I1043:K1043" si="1202">SUM(I1038:I1042)</f>
        <v>0</v>
      </c>
      <c r="J1043" s="338">
        <f t="shared" si="1202"/>
        <v>192743.93</v>
      </c>
      <c r="K1043" s="338">
        <f t="shared" si="1202"/>
        <v>0</v>
      </c>
      <c r="L1043" s="341"/>
      <c r="M1043" s="341"/>
      <c r="N1043" s="338">
        <f t="shared" ref="N1043:Y1043" si="1203">SUM(N1038:N1042)</f>
        <v>0</v>
      </c>
      <c r="O1043" s="338">
        <f t="shared" si="1203"/>
        <v>192743.93</v>
      </c>
      <c r="P1043" s="338">
        <f t="shared" si="1203"/>
        <v>0</v>
      </c>
      <c r="Q1043" s="338">
        <f t="shared" si="1203"/>
        <v>0</v>
      </c>
      <c r="R1043" s="338">
        <f t="shared" si="1203"/>
        <v>0</v>
      </c>
      <c r="S1043" s="338">
        <f t="shared" si="1203"/>
        <v>192743.93</v>
      </c>
      <c r="T1043" s="338">
        <f t="shared" si="1203"/>
        <v>0</v>
      </c>
      <c r="U1043" s="338">
        <f t="shared" si="1203"/>
        <v>0</v>
      </c>
      <c r="V1043" s="338">
        <f t="shared" si="1203"/>
        <v>0</v>
      </c>
      <c r="W1043" s="338">
        <f t="shared" si="1203"/>
        <v>0</v>
      </c>
      <c r="X1043" s="338">
        <f t="shared" si="1203"/>
        <v>0</v>
      </c>
      <c r="Y1043" s="338">
        <f t="shared" si="1203"/>
        <v>192743.93</v>
      </c>
      <c r="Z1043" s="331"/>
      <c r="AA1043" s="110"/>
      <c r="AB1043" s="330"/>
      <c r="AC1043" s="332"/>
      <c r="AD1043" s="110"/>
      <c r="AE1043" s="110"/>
      <c r="AF1043" s="110"/>
      <c r="AG1043" s="110"/>
      <c r="AH1043" s="110"/>
      <c r="AI1043" s="110"/>
    </row>
    <row r="1044" spans="1:35" ht="13.5" customHeight="1">
      <c r="A1044" s="4"/>
      <c r="B1044" s="15"/>
      <c r="C1044" s="340"/>
      <c r="D1044" s="254"/>
      <c r="E1044" s="341"/>
      <c r="F1044" s="341"/>
      <c r="G1044" s="341"/>
      <c r="H1044" s="341"/>
      <c r="I1044" s="341"/>
      <c r="J1044" s="341"/>
      <c r="K1044" s="341"/>
      <c r="L1044" s="341"/>
      <c r="M1044" s="341"/>
      <c r="N1044" s="341"/>
      <c r="O1044" s="341"/>
      <c r="P1044" s="341"/>
      <c r="Q1044" s="341"/>
      <c r="R1044" s="341"/>
      <c r="S1044" s="341"/>
      <c r="T1044" s="340"/>
      <c r="U1044" s="340"/>
      <c r="V1044" s="340"/>
      <c r="W1044" s="340"/>
      <c r="X1044" s="346"/>
      <c r="Y1044" s="346"/>
      <c r="Z1044" s="331"/>
      <c r="AA1044" s="110"/>
      <c r="AB1044" s="330"/>
      <c r="AC1044" s="332"/>
      <c r="AD1044" s="110"/>
      <c r="AE1044" s="110"/>
      <c r="AF1044" s="110"/>
      <c r="AG1044" s="110"/>
      <c r="AH1044" s="110"/>
      <c r="AI1044" s="110"/>
    </row>
    <row r="1045" spans="1:35" ht="13.5" customHeight="1">
      <c r="A1045" s="2"/>
      <c r="B1045" s="127" t="s">
        <v>5398</v>
      </c>
      <c r="C1045" s="22" t="s">
        <v>5399</v>
      </c>
      <c r="D1045" s="322"/>
      <c r="E1045" s="338"/>
      <c r="F1045" s="338"/>
      <c r="G1045" s="338"/>
      <c r="H1045" s="338"/>
      <c r="I1045" s="338"/>
      <c r="J1045" s="338"/>
      <c r="K1045" s="338"/>
      <c r="L1045" s="338"/>
      <c r="M1045" s="338"/>
      <c r="N1045" s="338"/>
      <c r="O1045" s="338"/>
      <c r="P1045" s="341"/>
      <c r="Q1045" s="341"/>
      <c r="R1045" s="338"/>
      <c r="S1045" s="338"/>
      <c r="T1045" s="22"/>
      <c r="U1045" s="22"/>
      <c r="V1045" s="22"/>
      <c r="W1045" s="22"/>
      <c r="X1045" s="339"/>
      <c r="Y1045" s="339"/>
      <c r="Z1045" s="331"/>
      <c r="AA1045" s="110"/>
      <c r="AB1045" s="330"/>
      <c r="AC1045" s="332"/>
      <c r="AD1045" s="110"/>
      <c r="AE1045" s="110"/>
      <c r="AF1045" s="110"/>
      <c r="AG1045" s="110"/>
      <c r="AH1045" s="110"/>
      <c r="AI1045" s="110"/>
    </row>
    <row r="1046" spans="1:35" ht="13.5" customHeight="1">
      <c r="A1046" s="4"/>
      <c r="B1046" s="15" t="s">
        <v>480</v>
      </c>
      <c r="C1046" s="340" t="s">
        <v>5400</v>
      </c>
      <c r="D1046" s="254"/>
      <c r="E1046" s="341">
        <f>SUMIF(GL!$D$6:$D$6487,B1046,GL!$H$6:$H$6487)</f>
        <v>54484524.714285716</v>
      </c>
      <c r="F1046" s="341">
        <f>SUMIF(GL!$D$6:$D$6487,B1046,GL!$I$6:$I$6487)</f>
        <v>0</v>
      </c>
      <c r="G1046" s="341"/>
      <c r="H1046" s="341"/>
      <c r="I1046" s="341">
        <f t="shared" ref="I1046:I1050" si="1204">IF(E1046&gt;F1046,E1046-F1046,0)</f>
        <v>54484524.714285716</v>
      </c>
      <c r="J1046" s="341">
        <f t="shared" ref="J1046:J1050" si="1205">IF(F1046&gt;E1046,F1046-E1046,0)</f>
        <v>0</v>
      </c>
      <c r="K1046" s="341"/>
      <c r="L1046" s="342"/>
      <c r="M1046" s="342"/>
      <c r="N1046" s="341">
        <f t="shared" ref="N1046:N1050" si="1206">IF(I1046+L1046&gt;J1046+M1046,(I1046+L1046)-(J1046+M1046),0)</f>
        <v>54484524.714285716</v>
      </c>
      <c r="O1046" s="341">
        <f t="shared" ref="O1046:O1050" si="1207">IF(J1046+M1046&gt;I1046+L1046,(J1046+M1046)-(I1046+L1046),0)</f>
        <v>0</v>
      </c>
      <c r="P1046" s="341">
        <f>SUMIF(GL!$D$6488:$D$6532,B1046,GL!$H$6488:$H$6532)</f>
        <v>0</v>
      </c>
      <c r="Q1046" s="341">
        <f>SUMIF(GL!$D$6408:$D$6452,B1046,GL!$I$6408:$I$6452)</f>
        <v>0</v>
      </c>
      <c r="R1046" s="341">
        <f t="shared" ref="R1046:S1046" si="1208">P1046+N1046</f>
        <v>54484524.714285716</v>
      </c>
      <c r="S1046" s="341">
        <f t="shared" si="1208"/>
        <v>0</v>
      </c>
      <c r="T1046" s="340"/>
      <c r="U1046" s="340"/>
      <c r="V1046" s="340"/>
      <c r="W1046" s="340"/>
      <c r="X1046" s="341">
        <f t="shared" ref="X1046:X1050" si="1209">IF(R1046&gt;S1046,R1046-S1046,0)</f>
        <v>54484524.714285716</v>
      </c>
      <c r="Y1046" s="341">
        <f t="shared" ref="Y1046:Y1050" si="1210">IF(S1046&gt;R1046,S1046-R1046,0)</f>
        <v>0</v>
      </c>
      <c r="Z1046" s="331"/>
      <c r="AA1046" s="110"/>
      <c r="AB1046" s="330"/>
      <c r="AC1046" s="332"/>
      <c r="AD1046" s="110"/>
      <c r="AE1046" s="110"/>
      <c r="AF1046" s="110"/>
      <c r="AG1046" s="110"/>
      <c r="AH1046" s="110"/>
      <c r="AI1046" s="110"/>
    </row>
    <row r="1047" spans="1:35" ht="13.5" customHeight="1">
      <c r="A1047" s="4"/>
      <c r="B1047" s="15" t="s">
        <v>124</v>
      </c>
      <c r="C1047" s="340" t="s">
        <v>1447</v>
      </c>
      <c r="D1047" s="254"/>
      <c r="E1047" s="341">
        <f>SUMIF(GL!$D$6:$D$6487,B1047,GL!$H$6:$H$6487)</f>
        <v>47536207.217999972</v>
      </c>
      <c r="F1047" s="341">
        <f>SUMIF(GL!$D$6:$D$6487,B1047,GL!$I$6:$I$6487)</f>
        <v>12500937.109999999</v>
      </c>
      <c r="G1047" s="341"/>
      <c r="H1047" s="341"/>
      <c r="I1047" s="341">
        <f t="shared" si="1204"/>
        <v>35035270.107999973</v>
      </c>
      <c r="J1047" s="341">
        <f t="shared" si="1205"/>
        <v>0</v>
      </c>
      <c r="K1047" s="341"/>
      <c r="L1047" s="342"/>
      <c r="M1047" s="342"/>
      <c r="N1047" s="341">
        <f t="shared" si="1206"/>
        <v>35035270.107999973</v>
      </c>
      <c r="O1047" s="341">
        <f t="shared" si="1207"/>
        <v>0</v>
      </c>
      <c r="P1047" s="341">
        <f>SUMIF(GL!$D$6488:$D$6532,B1047,GL!$H$6488:$H$6532)</f>
        <v>0</v>
      </c>
      <c r="Q1047" s="341">
        <f>SUMIF(GL!$D$6408:$D$6452,B1047,GL!$I$6408:$I$6452)</f>
        <v>0</v>
      </c>
      <c r="R1047" s="341">
        <f t="shared" ref="R1047:S1047" si="1211">P1047+N1047</f>
        <v>35035270.107999973</v>
      </c>
      <c r="S1047" s="341">
        <f t="shared" si="1211"/>
        <v>0</v>
      </c>
      <c r="T1047" s="340"/>
      <c r="U1047" s="340"/>
      <c r="V1047" s="340"/>
      <c r="W1047" s="340"/>
      <c r="X1047" s="341">
        <f t="shared" si="1209"/>
        <v>35035270.107999973</v>
      </c>
      <c r="Y1047" s="341">
        <f t="shared" si="1210"/>
        <v>0</v>
      </c>
      <c r="Z1047" s="331"/>
      <c r="AA1047" s="110"/>
      <c r="AB1047" s="330"/>
      <c r="AC1047" s="332"/>
      <c r="AD1047" s="110"/>
      <c r="AE1047" s="110"/>
      <c r="AF1047" s="110"/>
      <c r="AG1047" s="110"/>
      <c r="AH1047" s="110"/>
      <c r="AI1047" s="110"/>
    </row>
    <row r="1048" spans="1:35" ht="13.5" customHeight="1">
      <c r="A1048" s="4"/>
      <c r="B1048" s="15" t="s">
        <v>5401</v>
      </c>
      <c r="C1048" s="340" t="s">
        <v>5402</v>
      </c>
      <c r="D1048" s="254"/>
      <c r="E1048" s="341">
        <f>SUMIF(GL!$D$6:$D$6487,B1048,GL!$H$6:$H$6487)</f>
        <v>0</v>
      </c>
      <c r="F1048" s="341">
        <f>SUMIF(GL!$D$6:$D$6487,B1048,GL!$I$6:$I$6487)</f>
        <v>0</v>
      </c>
      <c r="G1048" s="341"/>
      <c r="H1048" s="341"/>
      <c r="I1048" s="341">
        <f t="shared" si="1204"/>
        <v>0</v>
      </c>
      <c r="J1048" s="341">
        <f t="shared" si="1205"/>
        <v>0</v>
      </c>
      <c r="K1048" s="341"/>
      <c r="L1048" s="342"/>
      <c r="M1048" s="342"/>
      <c r="N1048" s="341">
        <f t="shared" si="1206"/>
        <v>0</v>
      </c>
      <c r="O1048" s="341">
        <f t="shared" si="1207"/>
        <v>0</v>
      </c>
      <c r="P1048" s="341">
        <f>SUMIF(GL!$D$6488:$D$6532,B1048,GL!$H$6488:$H$6532)</f>
        <v>0</v>
      </c>
      <c r="Q1048" s="341">
        <f>SUMIF(GL!$D$6408:$D$6452,B1048,GL!$I$6408:$I$6452)</f>
        <v>0</v>
      </c>
      <c r="R1048" s="341">
        <f t="shared" ref="R1048:S1048" si="1212">P1048+N1048</f>
        <v>0</v>
      </c>
      <c r="S1048" s="341">
        <f t="shared" si="1212"/>
        <v>0</v>
      </c>
      <c r="T1048" s="340"/>
      <c r="U1048" s="340"/>
      <c r="V1048" s="340"/>
      <c r="W1048" s="340"/>
      <c r="X1048" s="341">
        <f t="shared" si="1209"/>
        <v>0</v>
      </c>
      <c r="Y1048" s="341">
        <f t="shared" si="1210"/>
        <v>0</v>
      </c>
      <c r="Z1048" s="331"/>
      <c r="AA1048" s="110"/>
      <c r="AB1048" s="330"/>
      <c r="AC1048" s="332"/>
      <c r="AD1048" s="110"/>
      <c r="AE1048" s="110"/>
      <c r="AF1048" s="110"/>
      <c r="AG1048" s="110"/>
      <c r="AH1048" s="110"/>
      <c r="AI1048" s="110"/>
    </row>
    <row r="1049" spans="1:35" ht="13.5" customHeight="1">
      <c r="A1049" s="4"/>
      <c r="B1049" s="15" t="s">
        <v>1216</v>
      </c>
      <c r="C1049" s="340" t="s">
        <v>5403</v>
      </c>
      <c r="D1049" s="254"/>
      <c r="E1049" s="341">
        <f>SUMIF(GL!$D$6:$D$6487,B1049,GL!$H$6:$H$6487)</f>
        <v>8416117</v>
      </c>
      <c r="F1049" s="341">
        <f>SUMIF(GL!$D$6:$D$6487,B1049,GL!$I$6:$I$6487)</f>
        <v>0</v>
      </c>
      <c r="G1049" s="341"/>
      <c r="H1049" s="341"/>
      <c r="I1049" s="341">
        <f t="shared" si="1204"/>
        <v>8416117</v>
      </c>
      <c r="J1049" s="341">
        <f t="shared" si="1205"/>
        <v>0</v>
      </c>
      <c r="K1049" s="341"/>
      <c r="L1049" s="342"/>
      <c r="M1049" s="342"/>
      <c r="N1049" s="341">
        <f t="shared" si="1206"/>
        <v>8416117</v>
      </c>
      <c r="O1049" s="341">
        <f t="shared" si="1207"/>
        <v>0</v>
      </c>
      <c r="P1049" s="341">
        <f>SUMIF(GL!$D$6488:$D$6532,B1049,GL!$H$6488:$H$6532)</f>
        <v>0</v>
      </c>
      <c r="Q1049" s="341">
        <f>SUMIF(GL!$D$6408:$D$6452,B1049,GL!$I$6408:$I$6452)</f>
        <v>0</v>
      </c>
      <c r="R1049" s="341">
        <f t="shared" ref="R1049:S1049" si="1213">P1049+N1049</f>
        <v>8416117</v>
      </c>
      <c r="S1049" s="341">
        <f t="shared" si="1213"/>
        <v>0</v>
      </c>
      <c r="T1049" s="340"/>
      <c r="U1049" s="340"/>
      <c r="V1049" s="340"/>
      <c r="W1049" s="340"/>
      <c r="X1049" s="341">
        <f t="shared" si="1209"/>
        <v>8416117</v>
      </c>
      <c r="Y1049" s="341">
        <f t="shared" si="1210"/>
        <v>0</v>
      </c>
      <c r="Z1049" s="331"/>
      <c r="AA1049" s="110"/>
      <c r="AB1049" s="330"/>
      <c r="AC1049" s="332"/>
      <c r="AD1049" s="110"/>
      <c r="AE1049" s="110"/>
      <c r="AF1049" s="110"/>
      <c r="AG1049" s="110"/>
      <c r="AH1049" s="110"/>
      <c r="AI1049" s="110"/>
    </row>
    <row r="1050" spans="1:35" ht="13.5" customHeight="1">
      <c r="A1050" s="4"/>
      <c r="B1050" s="15" t="s">
        <v>5404</v>
      </c>
      <c r="C1050" s="340" t="s">
        <v>5405</v>
      </c>
      <c r="D1050" s="254"/>
      <c r="E1050" s="341">
        <f>SUMIF(GL!$D$6:$D$6487,B1050,GL!$H$6:$H$6487)</f>
        <v>0</v>
      </c>
      <c r="F1050" s="341">
        <f>SUMIF(GL!$D$6:$D$6487,B1050,GL!$I$6:$I$6487)</f>
        <v>0</v>
      </c>
      <c r="G1050" s="341"/>
      <c r="H1050" s="341"/>
      <c r="I1050" s="341">
        <f t="shared" si="1204"/>
        <v>0</v>
      </c>
      <c r="J1050" s="341">
        <f t="shared" si="1205"/>
        <v>0</v>
      </c>
      <c r="K1050" s="341"/>
      <c r="L1050" s="342"/>
      <c r="M1050" s="342"/>
      <c r="N1050" s="341">
        <f t="shared" si="1206"/>
        <v>0</v>
      </c>
      <c r="O1050" s="341">
        <f t="shared" si="1207"/>
        <v>0</v>
      </c>
      <c r="P1050" s="341">
        <f>SUMIF(GL!$D$6488:$D$6532,B1050,GL!$H$6488:$H$6532)</f>
        <v>0</v>
      </c>
      <c r="Q1050" s="341">
        <f>SUMIF(GL!$D$6408:$D$6452,B1050,GL!$I$6408:$I$6452)</f>
        <v>0</v>
      </c>
      <c r="R1050" s="341">
        <f t="shared" ref="R1050:S1050" si="1214">P1050+N1050</f>
        <v>0</v>
      </c>
      <c r="S1050" s="341">
        <f t="shared" si="1214"/>
        <v>0</v>
      </c>
      <c r="T1050" s="340"/>
      <c r="U1050" s="340"/>
      <c r="V1050" s="340"/>
      <c r="W1050" s="340"/>
      <c r="X1050" s="341">
        <f t="shared" si="1209"/>
        <v>0</v>
      </c>
      <c r="Y1050" s="341">
        <f t="shared" si="1210"/>
        <v>0</v>
      </c>
      <c r="Z1050" s="331"/>
      <c r="AA1050" s="110"/>
      <c r="AB1050" s="330"/>
      <c r="AC1050" s="332"/>
      <c r="AD1050" s="110"/>
      <c r="AE1050" s="110"/>
      <c r="AF1050" s="110"/>
      <c r="AG1050" s="110"/>
      <c r="AH1050" s="110"/>
      <c r="AI1050" s="110"/>
    </row>
    <row r="1051" spans="1:35" ht="13.5" customHeight="1">
      <c r="A1051" s="2"/>
      <c r="B1051" s="127" t="s">
        <v>5406</v>
      </c>
      <c r="C1051" s="22" t="s">
        <v>5399</v>
      </c>
      <c r="D1051" s="322"/>
      <c r="E1051" s="338">
        <f t="shared" ref="E1051:F1051" si="1215">SUM(E1046:E1050)</f>
        <v>110436848.9322857</v>
      </c>
      <c r="F1051" s="338">
        <f t="shared" si="1215"/>
        <v>12500937.109999999</v>
      </c>
      <c r="G1051" s="338"/>
      <c r="H1051" s="338"/>
      <c r="I1051" s="338">
        <f t="shared" ref="I1051:J1051" si="1216">SUM(I1046:I1050)</f>
        <v>97935911.822285682</v>
      </c>
      <c r="J1051" s="338">
        <f t="shared" si="1216"/>
        <v>0</v>
      </c>
      <c r="K1051" s="338"/>
      <c r="L1051" s="338"/>
      <c r="M1051" s="338"/>
      <c r="N1051" s="338">
        <f t="shared" ref="N1051:Y1051" si="1217">SUM(N1046:N1050)</f>
        <v>97935911.822285682</v>
      </c>
      <c r="O1051" s="338">
        <f t="shared" si="1217"/>
        <v>0</v>
      </c>
      <c r="P1051" s="338">
        <f t="shared" si="1217"/>
        <v>0</v>
      </c>
      <c r="Q1051" s="338">
        <f t="shared" si="1217"/>
        <v>0</v>
      </c>
      <c r="R1051" s="338">
        <f t="shared" si="1217"/>
        <v>97935911.822285682</v>
      </c>
      <c r="S1051" s="338">
        <f t="shared" si="1217"/>
        <v>0</v>
      </c>
      <c r="T1051" s="338">
        <f t="shared" si="1217"/>
        <v>0</v>
      </c>
      <c r="U1051" s="338">
        <f t="shared" si="1217"/>
        <v>0</v>
      </c>
      <c r="V1051" s="338">
        <f t="shared" si="1217"/>
        <v>0</v>
      </c>
      <c r="W1051" s="338">
        <f t="shared" si="1217"/>
        <v>0</v>
      </c>
      <c r="X1051" s="338">
        <f t="shared" si="1217"/>
        <v>97935911.822285682</v>
      </c>
      <c r="Y1051" s="338">
        <f t="shared" si="1217"/>
        <v>0</v>
      </c>
      <c r="Z1051" s="331"/>
      <c r="AA1051" s="110"/>
      <c r="AB1051" s="330"/>
      <c r="AC1051" s="332"/>
      <c r="AD1051" s="110"/>
      <c r="AE1051" s="110"/>
      <c r="AF1051" s="110"/>
      <c r="AG1051" s="110"/>
      <c r="AH1051" s="110"/>
      <c r="AI1051" s="110"/>
    </row>
    <row r="1052" spans="1:35" ht="13.5" customHeight="1">
      <c r="A1052" s="4"/>
      <c r="B1052" s="357"/>
      <c r="C1052" s="398"/>
      <c r="D1052" s="399"/>
      <c r="E1052" s="374"/>
      <c r="F1052" s="374"/>
      <c r="G1052" s="374"/>
      <c r="H1052" s="374"/>
      <c r="I1052" s="374"/>
      <c r="J1052" s="374"/>
      <c r="K1052" s="374"/>
      <c r="L1052" s="374"/>
      <c r="M1052" s="374"/>
      <c r="N1052" s="374"/>
      <c r="O1052" s="374"/>
      <c r="P1052" s="374"/>
      <c r="Q1052" s="374"/>
      <c r="R1052" s="374"/>
      <c r="S1052" s="374"/>
      <c r="T1052" s="374"/>
      <c r="U1052" s="374"/>
      <c r="V1052" s="374"/>
      <c r="W1052" s="374"/>
      <c r="X1052" s="374"/>
      <c r="Y1052" s="374"/>
      <c r="Z1052" s="331"/>
      <c r="AA1052" s="110"/>
      <c r="AB1052" s="330"/>
      <c r="AC1052" s="332"/>
      <c r="AD1052" s="110"/>
      <c r="AE1052" s="110"/>
      <c r="AF1052" s="110"/>
      <c r="AG1052" s="110"/>
      <c r="AH1052" s="110"/>
      <c r="AI1052" s="110"/>
    </row>
    <row r="1053" spans="1:35" ht="13.5" customHeight="1">
      <c r="A1053" s="4"/>
      <c r="B1053" s="400"/>
      <c r="C1053" s="401"/>
      <c r="D1053" s="402"/>
      <c r="E1053" s="403">
        <f t="shared" ref="E1053:F1053" si="1218">E931+E943+E958+E966+E988+E1003+E1011+E1034+E1043-E1051+(E861+E903+E917)</f>
        <v>10634210789.55858</v>
      </c>
      <c r="F1053" s="403">
        <f t="shared" si="1218"/>
        <v>10366264492.6395</v>
      </c>
      <c r="G1053" s="403"/>
      <c r="H1053" s="403"/>
      <c r="I1053" s="403">
        <f t="shared" ref="I1053:K1053" si="1219">I931+I943+I958+I966+I988+I1003+I1011+I1034+I1043-I1051+(I861+I903+I917)</f>
        <v>3035825154.9445791</v>
      </c>
      <c r="J1053" s="403">
        <f t="shared" si="1219"/>
        <v>2767878858.0254993</v>
      </c>
      <c r="K1053" s="403">
        <f t="shared" si="1219"/>
        <v>0</v>
      </c>
      <c r="L1053" s="403"/>
      <c r="M1053" s="403"/>
      <c r="N1053" s="403">
        <f t="shared" ref="N1053:Y1053" si="1220">N931+N943+N958+N966+N988+N1003+N1011+N1034+N1043-N1051+(N861+N903+N917)</f>
        <v>32116534363.188366</v>
      </c>
      <c r="O1053" s="403">
        <f t="shared" si="1220"/>
        <v>31848588066.269287</v>
      </c>
      <c r="P1053" s="403">
        <f t="shared" si="1220"/>
        <v>0</v>
      </c>
      <c r="Q1053" s="403">
        <f t="shared" si="1220"/>
        <v>0</v>
      </c>
      <c r="R1053" s="403">
        <f t="shared" si="1220"/>
        <v>32116534363.188366</v>
      </c>
      <c r="S1053" s="403">
        <f t="shared" si="1220"/>
        <v>31848588066.269287</v>
      </c>
      <c r="T1053" s="403">
        <f t="shared" si="1220"/>
        <v>0</v>
      </c>
      <c r="U1053" s="403">
        <f t="shared" si="1220"/>
        <v>0</v>
      </c>
      <c r="V1053" s="403">
        <f t="shared" si="1220"/>
        <v>0</v>
      </c>
      <c r="W1053" s="403">
        <f t="shared" si="1220"/>
        <v>0</v>
      </c>
      <c r="X1053" s="403">
        <f t="shared" si="1220"/>
        <v>32122134979.188366</v>
      </c>
      <c r="Y1053" s="403">
        <f t="shared" si="1220"/>
        <v>31848588066.269287</v>
      </c>
      <c r="Z1053" s="331"/>
      <c r="AA1053" s="110"/>
      <c r="AB1053" s="330"/>
      <c r="AC1053" s="332"/>
      <c r="AD1053" s="110"/>
      <c r="AE1053" s="110"/>
      <c r="AF1053" s="110"/>
      <c r="AG1053" s="110"/>
      <c r="AH1053" s="110"/>
      <c r="AI1053" s="110"/>
    </row>
    <row r="1054" spans="1:35" ht="13.5" customHeight="1">
      <c r="A1054" s="110"/>
      <c r="B1054" s="118"/>
      <c r="C1054" s="110"/>
      <c r="D1054" s="404"/>
      <c r="E1054" s="110"/>
      <c r="F1054" s="110"/>
      <c r="G1054" s="110"/>
      <c r="H1054" s="110"/>
      <c r="I1054" s="110"/>
      <c r="J1054" s="110"/>
      <c r="K1054" s="110"/>
      <c r="L1054" s="330"/>
      <c r="M1054" s="330"/>
      <c r="N1054" s="110"/>
      <c r="O1054" s="110"/>
      <c r="P1054" s="110"/>
      <c r="Q1054" s="110"/>
      <c r="R1054" s="110"/>
      <c r="S1054" s="110"/>
      <c r="T1054" s="110"/>
      <c r="U1054" s="110"/>
      <c r="V1054" s="110"/>
      <c r="W1054" s="110"/>
      <c r="X1054" s="110"/>
      <c r="Y1054" s="110"/>
      <c r="Z1054" s="331"/>
      <c r="AA1054" s="110"/>
      <c r="AB1054" s="330"/>
      <c r="AC1054" s="332"/>
      <c r="AD1054" s="110"/>
      <c r="AE1054" s="110"/>
      <c r="AF1054" s="110"/>
      <c r="AG1054" s="110"/>
      <c r="AH1054" s="110"/>
      <c r="AI1054" s="110"/>
    </row>
    <row r="1055" spans="1:35" ht="13.5" customHeight="1">
      <c r="A1055" s="110"/>
      <c r="B1055" s="118"/>
      <c r="C1055" s="110"/>
      <c r="D1055" s="404"/>
      <c r="E1055" s="110"/>
      <c r="F1055" s="110"/>
      <c r="G1055" s="110"/>
      <c r="H1055" s="110"/>
      <c r="I1055" s="110"/>
      <c r="J1055" s="110"/>
      <c r="K1055" s="110"/>
      <c r="L1055" s="330"/>
      <c r="M1055" s="330"/>
      <c r="N1055" s="110"/>
      <c r="O1055" s="110"/>
      <c r="P1055" s="110"/>
      <c r="Q1055" s="110"/>
      <c r="R1055" s="110"/>
      <c r="S1055" s="110"/>
      <c r="T1055" s="110"/>
      <c r="U1055" s="110"/>
      <c r="V1055" s="110"/>
      <c r="W1055" s="110"/>
      <c r="X1055" s="110"/>
      <c r="Y1055" s="110"/>
      <c r="Z1055" s="331"/>
      <c r="AA1055" s="110"/>
      <c r="AB1055" s="330"/>
      <c r="AC1055" s="332"/>
      <c r="AD1055" s="110"/>
      <c r="AE1055" s="110"/>
      <c r="AF1055" s="110"/>
      <c r="AG1055" s="110"/>
      <c r="AH1055" s="110"/>
      <c r="AI1055" s="110"/>
    </row>
    <row r="1056" spans="1:35" ht="13.5" customHeight="1">
      <c r="A1056" s="110"/>
      <c r="B1056" s="110"/>
      <c r="C1056" s="110"/>
      <c r="D1056" s="404"/>
      <c r="E1056" s="110"/>
      <c r="F1056" s="110"/>
      <c r="G1056" s="110"/>
      <c r="H1056" s="110"/>
      <c r="I1056" s="110"/>
      <c r="J1056" s="110"/>
      <c r="K1056" s="110"/>
      <c r="L1056" s="110"/>
      <c r="M1056" s="110"/>
      <c r="N1056" s="110"/>
      <c r="O1056" s="110"/>
      <c r="P1056" s="110"/>
      <c r="Q1056" s="110"/>
      <c r="R1056" s="110"/>
      <c r="S1056" s="110"/>
      <c r="T1056" s="110"/>
      <c r="U1056" s="110"/>
      <c r="V1056" s="110"/>
      <c r="W1056" s="110"/>
      <c r="X1056" s="110"/>
      <c r="Y1056" s="110"/>
      <c r="Z1056" s="351"/>
      <c r="AA1056" s="110"/>
      <c r="AB1056" s="330"/>
      <c r="AC1056" s="332"/>
      <c r="AD1056" s="110"/>
      <c r="AE1056" s="110"/>
      <c r="AF1056" s="110"/>
      <c r="AG1056" s="110"/>
      <c r="AH1056" s="110"/>
      <c r="AI1056" s="110"/>
    </row>
    <row r="1057" spans="1:35" ht="13.5" customHeight="1">
      <c r="A1057" s="110"/>
      <c r="B1057" s="110"/>
      <c r="C1057" s="110"/>
      <c r="D1057" s="404"/>
      <c r="E1057" s="110"/>
      <c r="F1057" s="110"/>
      <c r="G1057" s="110"/>
      <c r="H1057" s="110"/>
      <c r="I1057" s="110"/>
      <c r="J1057" s="110"/>
      <c r="K1057" s="110"/>
      <c r="L1057" s="110"/>
      <c r="M1057" s="110"/>
      <c r="N1057" s="110"/>
      <c r="O1057" s="110"/>
      <c r="P1057" s="110"/>
      <c r="Q1057" s="110"/>
      <c r="R1057" s="110"/>
      <c r="S1057" s="110"/>
      <c r="T1057" s="110"/>
      <c r="U1057" s="110"/>
      <c r="V1057" s="110"/>
      <c r="W1057" s="110"/>
      <c r="X1057" s="110"/>
      <c r="Y1057" s="110"/>
      <c r="Z1057" s="351"/>
      <c r="AA1057" s="110"/>
      <c r="AB1057" s="330"/>
      <c r="AC1057" s="332"/>
      <c r="AD1057" s="110"/>
      <c r="AE1057" s="110"/>
      <c r="AF1057" s="110"/>
      <c r="AG1057" s="110"/>
      <c r="AH1057" s="110"/>
      <c r="AI1057" s="110"/>
    </row>
    <row r="1058" spans="1:35" ht="13.5" customHeight="1">
      <c r="A1058" s="110"/>
      <c r="B1058" s="110"/>
      <c r="C1058" s="110"/>
      <c r="D1058" s="404"/>
      <c r="E1058" s="110"/>
      <c r="F1058" s="110"/>
      <c r="G1058" s="110"/>
      <c r="H1058" s="110"/>
      <c r="I1058" s="110"/>
      <c r="J1058" s="110"/>
      <c r="K1058" s="110"/>
      <c r="L1058" s="110"/>
      <c r="M1058" s="110"/>
      <c r="N1058" s="110"/>
      <c r="O1058" s="110"/>
      <c r="P1058" s="110"/>
      <c r="Q1058" s="110"/>
      <c r="R1058" s="110"/>
      <c r="S1058" s="110"/>
      <c r="T1058" s="110"/>
      <c r="U1058" s="110"/>
      <c r="V1058" s="110"/>
      <c r="W1058" s="110"/>
      <c r="X1058" s="110"/>
      <c r="Y1058" s="110"/>
      <c r="Z1058" s="351"/>
      <c r="AA1058" s="110"/>
      <c r="AB1058" s="330"/>
      <c r="AC1058" s="110"/>
      <c r="AD1058" s="110"/>
      <c r="AE1058" s="110"/>
      <c r="AF1058" s="110"/>
      <c r="AG1058" s="110"/>
      <c r="AH1058" s="110"/>
      <c r="AI1058" s="110"/>
    </row>
    <row r="1059" spans="1:35" ht="13.5" customHeight="1">
      <c r="A1059" s="110"/>
      <c r="B1059" s="110"/>
      <c r="C1059" s="110"/>
      <c r="D1059" s="404"/>
      <c r="E1059" s="110"/>
      <c r="F1059" s="110"/>
      <c r="G1059" s="110"/>
      <c r="H1059" s="110"/>
      <c r="I1059" s="110"/>
      <c r="J1059" s="110"/>
      <c r="K1059" s="110"/>
      <c r="L1059" s="110"/>
      <c r="M1059" s="110"/>
      <c r="N1059" s="110"/>
      <c r="O1059" s="110"/>
      <c r="P1059" s="110"/>
      <c r="Q1059" s="110"/>
      <c r="R1059" s="110"/>
      <c r="S1059" s="110"/>
      <c r="T1059" s="110"/>
      <c r="U1059" s="110"/>
      <c r="V1059" s="110"/>
      <c r="W1059" s="110"/>
      <c r="X1059" s="110"/>
      <c r="Y1059" s="110"/>
      <c r="Z1059" s="351"/>
      <c r="AA1059" s="110"/>
      <c r="AB1059" s="330"/>
      <c r="AC1059" s="110"/>
      <c r="AD1059" s="110"/>
      <c r="AE1059" s="110"/>
      <c r="AF1059" s="110"/>
      <c r="AG1059" s="110"/>
      <c r="AH1059" s="110"/>
      <c r="AI1059" s="110"/>
    </row>
    <row r="1060" spans="1:35" ht="13.5" customHeight="1">
      <c r="A1060" s="110"/>
      <c r="B1060" s="110"/>
      <c r="C1060" s="110"/>
      <c r="D1060" s="404"/>
      <c r="E1060" s="110"/>
      <c r="F1060" s="110"/>
      <c r="G1060" s="110"/>
      <c r="H1060" s="110"/>
      <c r="I1060" s="110"/>
      <c r="J1060" s="110"/>
      <c r="K1060" s="110"/>
      <c r="L1060" s="110"/>
      <c r="M1060" s="110"/>
      <c r="N1060" s="110"/>
      <c r="O1060" s="110"/>
      <c r="P1060" s="110"/>
      <c r="Q1060" s="110"/>
      <c r="R1060" s="110"/>
      <c r="S1060" s="110"/>
      <c r="T1060" s="110"/>
      <c r="U1060" s="110"/>
      <c r="V1060" s="110"/>
      <c r="W1060" s="110"/>
      <c r="X1060" s="110"/>
      <c r="Y1060" s="110"/>
      <c r="Z1060" s="351"/>
      <c r="AA1060" s="110"/>
      <c r="AB1060" s="330"/>
      <c r="AC1060" s="110"/>
      <c r="AD1060" s="110"/>
      <c r="AE1060" s="110"/>
      <c r="AF1060" s="110"/>
      <c r="AG1060" s="110"/>
      <c r="AH1060" s="110"/>
      <c r="AI1060" s="110"/>
    </row>
    <row r="1061" spans="1:35" ht="13.5" customHeight="1">
      <c r="A1061" s="110"/>
      <c r="B1061" s="110"/>
      <c r="C1061" s="110"/>
      <c r="D1061" s="404"/>
      <c r="E1061" s="110"/>
      <c r="F1061" s="110"/>
      <c r="G1061" s="110"/>
      <c r="H1061" s="110"/>
      <c r="I1061" s="110"/>
      <c r="J1061" s="110"/>
      <c r="K1061" s="110"/>
      <c r="L1061" s="110"/>
      <c r="M1061" s="110"/>
      <c r="N1061" s="110"/>
      <c r="O1061" s="110"/>
      <c r="P1061" s="110"/>
      <c r="Q1061" s="110"/>
      <c r="R1061" s="110"/>
      <c r="S1061" s="110"/>
      <c r="T1061" s="110"/>
      <c r="U1061" s="110"/>
      <c r="V1061" s="110"/>
      <c r="W1061" s="110"/>
      <c r="X1061" s="110"/>
      <c r="Y1061" s="110"/>
      <c r="Z1061" s="351"/>
      <c r="AA1061" s="110"/>
      <c r="AB1061" s="330"/>
      <c r="AC1061" s="110"/>
      <c r="AD1061" s="110"/>
      <c r="AE1061" s="110"/>
      <c r="AF1061" s="110"/>
      <c r="AG1061" s="110"/>
      <c r="AH1061" s="110"/>
      <c r="AI1061" s="110"/>
    </row>
    <row r="1062" spans="1:35" ht="15.75" customHeight="1">
      <c r="A1062" s="110"/>
      <c r="B1062" s="110"/>
      <c r="C1062" s="110"/>
      <c r="D1062" s="404"/>
      <c r="E1062" s="110"/>
      <c r="F1062" s="110"/>
      <c r="G1062" s="110"/>
      <c r="H1062" s="110"/>
      <c r="I1062" s="110"/>
      <c r="J1062" s="110"/>
      <c r="K1062" s="110"/>
      <c r="L1062" s="110"/>
      <c r="M1062" s="110"/>
      <c r="N1062" s="110"/>
      <c r="O1062" s="110"/>
      <c r="P1062" s="110"/>
      <c r="Q1062" s="110"/>
      <c r="R1062" s="110"/>
      <c r="S1062" s="110"/>
      <c r="T1062" s="110"/>
      <c r="U1062" s="110"/>
      <c r="V1062" s="110"/>
      <c r="W1062" s="110"/>
      <c r="X1062" s="110"/>
      <c r="Y1062" s="110"/>
      <c r="Z1062" s="351"/>
      <c r="AA1062" s="110"/>
      <c r="AB1062" s="330"/>
      <c r="AC1062" s="110"/>
      <c r="AD1062" s="110"/>
      <c r="AE1062" s="110"/>
      <c r="AF1062" s="110"/>
      <c r="AG1062" s="110"/>
      <c r="AH1062" s="110"/>
      <c r="AI1062" s="110"/>
    </row>
    <row r="1063" spans="1:35" ht="15.75" customHeight="1">
      <c r="A1063" s="110"/>
      <c r="B1063" s="110"/>
      <c r="C1063" s="110"/>
      <c r="D1063" s="404"/>
      <c r="E1063" s="110"/>
      <c r="F1063" s="110"/>
      <c r="G1063" s="110"/>
      <c r="H1063" s="110"/>
      <c r="I1063" s="110"/>
      <c r="J1063" s="110"/>
      <c r="K1063" s="110"/>
      <c r="L1063" s="110"/>
      <c r="M1063" s="110"/>
      <c r="N1063" s="110"/>
      <c r="O1063" s="110"/>
      <c r="P1063" s="110"/>
      <c r="Q1063" s="110"/>
      <c r="R1063" s="110"/>
      <c r="S1063" s="110"/>
      <c r="T1063" s="110"/>
      <c r="U1063" s="110"/>
      <c r="V1063" s="110"/>
      <c r="W1063" s="110"/>
      <c r="X1063" s="110"/>
      <c r="Y1063" s="110"/>
      <c r="Z1063" s="351"/>
      <c r="AA1063" s="110"/>
      <c r="AB1063" s="330"/>
      <c r="AC1063" s="110"/>
      <c r="AD1063" s="110"/>
      <c r="AE1063" s="110"/>
      <c r="AF1063" s="110"/>
      <c r="AG1063" s="110"/>
      <c r="AH1063" s="110"/>
      <c r="AI1063" s="110"/>
    </row>
    <row r="1064" spans="1:35" ht="15.75" customHeight="1">
      <c r="A1064" s="110"/>
      <c r="B1064" s="110"/>
      <c r="C1064" s="110"/>
      <c r="D1064" s="404"/>
      <c r="E1064" s="110"/>
      <c r="F1064" s="110"/>
      <c r="G1064" s="110"/>
      <c r="H1064" s="110"/>
      <c r="I1064" s="110"/>
      <c r="J1064" s="110"/>
      <c r="K1064" s="110"/>
      <c r="L1064" s="110"/>
      <c r="M1064" s="110"/>
      <c r="N1064" s="110"/>
      <c r="O1064" s="110"/>
      <c r="P1064" s="110"/>
      <c r="Q1064" s="110"/>
      <c r="R1064" s="110"/>
      <c r="S1064" s="110"/>
      <c r="T1064" s="110"/>
      <c r="U1064" s="110"/>
      <c r="V1064" s="110"/>
      <c r="W1064" s="110"/>
      <c r="X1064" s="110"/>
      <c r="Y1064" s="110"/>
      <c r="Z1064" s="351"/>
      <c r="AA1064" s="110"/>
      <c r="AB1064" s="330"/>
      <c r="AC1064" s="110"/>
      <c r="AD1064" s="110"/>
      <c r="AE1064" s="110"/>
      <c r="AF1064" s="110"/>
      <c r="AG1064" s="110"/>
      <c r="AH1064" s="110"/>
      <c r="AI1064" s="110"/>
    </row>
    <row r="1065" spans="1:35" ht="15.75" customHeight="1">
      <c r="A1065" s="110"/>
      <c r="B1065" s="110"/>
      <c r="C1065" s="110"/>
      <c r="D1065" s="404"/>
      <c r="E1065" s="110"/>
      <c r="F1065" s="110"/>
      <c r="G1065" s="110"/>
      <c r="H1065" s="110"/>
      <c r="I1065" s="110"/>
      <c r="J1065" s="110"/>
      <c r="K1065" s="110"/>
      <c r="L1065" s="110"/>
      <c r="M1065" s="110"/>
      <c r="N1065" s="110"/>
      <c r="O1065" s="110"/>
      <c r="P1065" s="110"/>
      <c r="Q1065" s="110"/>
      <c r="R1065" s="110"/>
      <c r="S1065" s="110"/>
      <c r="T1065" s="110"/>
      <c r="U1065" s="110"/>
      <c r="V1065" s="110"/>
      <c r="W1065" s="110"/>
      <c r="X1065" s="110"/>
      <c r="Y1065" s="110"/>
      <c r="Z1065" s="351"/>
      <c r="AA1065" s="110"/>
      <c r="AB1065" s="330"/>
      <c r="AC1065" s="110"/>
      <c r="AD1065" s="110"/>
      <c r="AE1065" s="110"/>
      <c r="AF1065" s="110"/>
      <c r="AG1065" s="110"/>
      <c r="AH1065" s="110"/>
      <c r="AI1065" s="110"/>
    </row>
    <row r="1066" spans="1:35" ht="15.75" customHeight="1">
      <c r="A1066" s="110"/>
      <c r="B1066" s="110"/>
      <c r="C1066" s="110"/>
      <c r="D1066" s="404"/>
      <c r="E1066" s="110"/>
      <c r="F1066" s="110"/>
      <c r="G1066" s="110"/>
      <c r="H1066" s="110"/>
      <c r="I1066" s="110"/>
      <c r="J1066" s="110"/>
      <c r="K1066" s="110"/>
      <c r="L1066" s="110"/>
      <c r="M1066" s="110"/>
      <c r="N1066" s="110"/>
      <c r="O1066" s="110"/>
      <c r="P1066" s="110"/>
      <c r="Q1066" s="110"/>
      <c r="R1066" s="110"/>
      <c r="S1066" s="110"/>
      <c r="T1066" s="110"/>
      <c r="U1066" s="110"/>
      <c r="V1066" s="110"/>
      <c r="W1066" s="110"/>
      <c r="X1066" s="110"/>
      <c r="Y1066" s="110"/>
      <c r="Z1066" s="351"/>
      <c r="AA1066" s="110"/>
      <c r="AB1066" s="330"/>
      <c r="AC1066" s="110"/>
      <c r="AD1066" s="110"/>
      <c r="AE1066" s="110"/>
      <c r="AF1066" s="110"/>
      <c r="AG1066" s="110"/>
      <c r="AH1066" s="110"/>
      <c r="AI1066" s="110"/>
    </row>
    <row r="1067" spans="1:35" ht="15.75" customHeight="1">
      <c r="A1067" s="110"/>
      <c r="B1067" s="110"/>
      <c r="C1067" s="110"/>
      <c r="D1067" s="404"/>
      <c r="E1067" s="110"/>
      <c r="F1067" s="110"/>
      <c r="G1067" s="110"/>
      <c r="H1067" s="110"/>
      <c r="I1067" s="110"/>
      <c r="J1067" s="110"/>
      <c r="K1067" s="110"/>
      <c r="L1067" s="110"/>
      <c r="M1067" s="110"/>
      <c r="N1067" s="110"/>
      <c r="O1067" s="110"/>
      <c r="P1067" s="110"/>
      <c r="Q1067" s="110"/>
      <c r="R1067" s="110"/>
      <c r="S1067" s="110"/>
      <c r="T1067" s="110"/>
      <c r="U1067" s="110"/>
      <c r="V1067" s="110"/>
      <c r="W1067" s="110"/>
      <c r="X1067" s="110"/>
      <c r="Y1067" s="110"/>
      <c r="Z1067" s="351"/>
      <c r="AA1067" s="110"/>
      <c r="AB1067" s="330"/>
      <c r="AC1067" s="110"/>
      <c r="AD1067" s="110"/>
      <c r="AE1067" s="110"/>
      <c r="AF1067" s="110"/>
      <c r="AG1067" s="110"/>
      <c r="AH1067" s="110"/>
      <c r="AI1067" s="110"/>
    </row>
    <row r="1068" spans="1:35" ht="15.75" customHeight="1">
      <c r="A1068" s="110"/>
      <c r="B1068" s="110"/>
      <c r="C1068" s="110"/>
      <c r="D1068" s="404"/>
      <c r="E1068" s="110"/>
      <c r="F1068" s="110"/>
      <c r="G1068" s="110"/>
      <c r="H1068" s="110"/>
      <c r="I1068" s="110"/>
      <c r="J1068" s="110"/>
      <c r="K1068" s="110"/>
      <c r="L1068" s="110"/>
      <c r="M1068" s="110"/>
      <c r="N1068" s="110"/>
      <c r="O1068" s="110"/>
      <c r="P1068" s="110"/>
      <c r="Q1068" s="110"/>
      <c r="R1068" s="110"/>
      <c r="S1068" s="110"/>
      <c r="T1068" s="110"/>
      <c r="U1068" s="110"/>
      <c r="V1068" s="110"/>
      <c r="W1068" s="110"/>
      <c r="X1068" s="110"/>
      <c r="Y1068" s="110"/>
      <c r="Z1068" s="351"/>
      <c r="AA1068" s="110"/>
      <c r="AB1068" s="330"/>
      <c r="AC1068" s="110"/>
      <c r="AD1068" s="110"/>
      <c r="AE1068" s="110"/>
      <c r="AF1068" s="110"/>
      <c r="AG1068" s="110"/>
      <c r="AH1068" s="110"/>
      <c r="AI1068" s="110"/>
    </row>
    <row r="1069" spans="1:35" ht="15.75" customHeight="1">
      <c r="A1069" s="110"/>
      <c r="B1069" s="110"/>
      <c r="C1069" s="110"/>
      <c r="D1069" s="404"/>
      <c r="E1069" s="110"/>
      <c r="F1069" s="110"/>
      <c r="G1069" s="110"/>
      <c r="H1069" s="110"/>
      <c r="I1069" s="110"/>
      <c r="J1069" s="110"/>
      <c r="K1069" s="110"/>
      <c r="L1069" s="110"/>
      <c r="M1069" s="110"/>
      <c r="N1069" s="110"/>
      <c r="O1069" s="110"/>
      <c r="P1069" s="110"/>
      <c r="Q1069" s="110"/>
      <c r="R1069" s="110"/>
      <c r="S1069" s="110"/>
      <c r="T1069" s="110"/>
      <c r="U1069" s="110"/>
      <c r="V1069" s="110"/>
      <c r="W1069" s="110"/>
      <c r="X1069" s="110"/>
      <c r="Y1069" s="110"/>
      <c r="Z1069" s="351"/>
      <c r="AA1069" s="110"/>
      <c r="AB1069" s="330"/>
      <c r="AC1069" s="110"/>
      <c r="AD1069" s="110"/>
      <c r="AE1069" s="110"/>
      <c r="AF1069" s="110"/>
      <c r="AG1069" s="110"/>
      <c r="AH1069" s="110"/>
      <c r="AI1069" s="110"/>
    </row>
    <row r="1070" spans="1:35" ht="15.75" customHeight="1">
      <c r="A1070" s="110"/>
      <c r="B1070" s="110"/>
      <c r="C1070" s="110"/>
      <c r="D1070" s="404"/>
      <c r="E1070" s="110"/>
      <c r="F1070" s="110"/>
      <c r="G1070" s="110"/>
      <c r="H1070" s="110"/>
      <c r="I1070" s="110"/>
      <c r="J1070" s="110"/>
      <c r="K1070" s="110"/>
      <c r="L1070" s="110"/>
      <c r="M1070" s="110"/>
      <c r="N1070" s="110"/>
      <c r="O1070" s="110"/>
      <c r="P1070" s="110"/>
      <c r="Q1070" s="110"/>
      <c r="R1070" s="110"/>
      <c r="S1070" s="110"/>
      <c r="T1070" s="110"/>
      <c r="U1070" s="110"/>
      <c r="V1070" s="110"/>
      <c r="W1070" s="110"/>
      <c r="X1070" s="110"/>
      <c r="Y1070" s="110"/>
      <c r="Z1070" s="351"/>
      <c r="AA1070" s="110"/>
      <c r="AB1070" s="330"/>
      <c r="AC1070" s="110"/>
      <c r="AD1070" s="110"/>
      <c r="AE1070" s="110"/>
      <c r="AF1070" s="110"/>
      <c r="AG1070" s="110"/>
      <c r="AH1070" s="110"/>
      <c r="AI1070" s="110"/>
    </row>
    <row r="1071" spans="1:35" ht="15.75" customHeight="1">
      <c r="A1071" s="110"/>
      <c r="B1071" s="110"/>
      <c r="C1071" s="110"/>
      <c r="D1071" s="404"/>
      <c r="E1071" s="110"/>
      <c r="F1071" s="110"/>
      <c r="G1071" s="110"/>
      <c r="H1071" s="110"/>
      <c r="I1071" s="110"/>
      <c r="J1071" s="110"/>
      <c r="K1071" s="110"/>
      <c r="L1071" s="110"/>
      <c r="M1071" s="110"/>
      <c r="N1071" s="110"/>
      <c r="O1071" s="110"/>
      <c r="P1071" s="110"/>
      <c r="Q1071" s="110"/>
      <c r="R1071" s="110"/>
      <c r="S1071" s="110"/>
      <c r="T1071" s="110"/>
      <c r="U1071" s="110"/>
      <c r="V1071" s="110"/>
      <c r="W1071" s="110"/>
      <c r="X1071" s="110"/>
      <c r="Y1071" s="110"/>
      <c r="Z1071" s="351"/>
      <c r="AA1071" s="110"/>
      <c r="AB1071" s="330"/>
      <c r="AC1071" s="110"/>
      <c r="AD1071" s="110"/>
      <c r="AE1071" s="110"/>
      <c r="AF1071" s="110"/>
      <c r="AG1071" s="110"/>
      <c r="AH1071" s="110"/>
      <c r="AI1071" s="110"/>
    </row>
    <row r="1072" spans="1:35" ht="15.75" customHeight="1">
      <c r="A1072" s="110"/>
      <c r="B1072" s="110"/>
      <c r="C1072" s="110"/>
      <c r="D1072" s="404"/>
      <c r="E1072" s="110"/>
      <c r="F1072" s="110"/>
      <c r="G1072" s="110"/>
      <c r="H1072" s="110"/>
      <c r="I1072" s="110"/>
      <c r="J1072" s="110"/>
      <c r="K1072" s="110"/>
      <c r="L1072" s="110"/>
      <c r="M1072" s="110"/>
      <c r="N1072" s="110"/>
      <c r="O1072" s="110"/>
      <c r="P1072" s="110"/>
      <c r="Q1072" s="110"/>
      <c r="R1072" s="110"/>
      <c r="S1072" s="110"/>
      <c r="T1072" s="110"/>
      <c r="U1072" s="110"/>
      <c r="V1072" s="110"/>
      <c r="W1072" s="110"/>
      <c r="X1072" s="110"/>
      <c r="Y1072" s="110"/>
      <c r="Z1072" s="351"/>
      <c r="AA1072" s="110"/>
      <c r="AB1072" s="330"/>
      <c r="AC1072" s="110"/>
      <c r="AD1072" s="110"/>
      <c r="AE1072" s="110"/>
      <c r="AF1072" s="110"/>
      <c r="AG1072" s="110"/>
      <c r="AH1072" s="110"/>
      <c r="AI1072" s="110"/>
    </row>
    <row r="1073" spans="1:35" ht="15.75" customHeight="1">
      <c r="A1073" s="110"/>
      <c r="B1073" s="110"/>
      <c r="C1073" s="110"/>
      <c r="D1073" s="404"/>
      <c r="E1073" s="110"/>
      <c r="F1073" s="110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0"/>
      <c r="V1073" s="110"/>
      <c r="W1073" s="110"/>
      <c r="X1073" s="110"/>
      <c r="Y1073" s="110"/>
      <c r="Z1073" s="351"/>
      <c r="AA1073" s="110"/>
      <c r="AB1073" s="330"/>
      <c r="AC1073" s="110"/>
      <c r="AD1073" s="110"/>
      <c r="AE1073" s="110"/>
      <c r="AF1073" s="110"/>
      <c r="AG1073" s="110"/>
      <c r="AH1073" s="110"/>
      <c r="AI1073" s="110"/>
    </row>
    <row r="1074" spans="1:35" ht="15.75" customHeight="1">
      <c r="A1074" s="110"/>
      <c r="B1074" s="110"/>
      <c r="C1074" s="110"/>
      <c r="D1074" s="404"/>
      <c r="E1074" s="110"/>
      <c r="F1074" s="110"/>
      <c r="G1074" s="110"/>
      <c r="H1074" s="110"/>
      <c r="I1074" s="110"/>
      <c r="J1074" s="110"/>
      <c r="K1074" s="110"/>
      <c r="L1074" s="110"/>
      <c r="M1074" s="110"/>
      <c r="N1074" s="110"/>
      <c r="O1074" s="110"/>
      <c r="P1074" s="110"/>
      <c r="Q1074" s="110"/>
      <c r="R1074" s="110"/>
      <c r="S1074" s="110"/>
      <c r="T1074" s="110"/>
      <c r="U1074" s="110"/>
      <c r="V1074" s="110"/>
      <c r="W1074" s="110"/>
      <c r="X1074" s="110"/>
      <c r="Y1074" s="110"/>
      <c r="Z1074" s="351"/>
      <c r="AA1074" s="110"/>
      <c r="AB1074" s="330"/>
      <c r="AC1074" s="110"/>
      <c r="AD1074" s="110"/>
      <c r="AE1074" s="110"/>
      <c r="AF1074" s="110"/>
      <c r="AG1074" s="110"/>
      <c r="AH1074" s="110"/>
      <c r="AI1074" s="110"/>
    </row>
    <row r="1075" spans="1:35" ht="15.75" customHeight="1">
      <c r="A1075" s="110"/>
      <c r="B1075" s="110"/>
      <c r="C1075" s="110"/>
      <c r="D1075" s="404"/>
      <c r="E1075" s="110"/>
      <c r="F1075" s="110"/>
      <c r="G1075" s="110"/>
      <c r="H1075" s="110"/>
      <c r="I1075" s="110"/>
      <c r="J1075" s="110"/>
      <c r="K1075" s="110"/>
      <c r="L1075" s="110"/>
      <c r="M1075" s="110"/>
      <c r="N1075" s="110"/>
      <c r="O1075" s="110"/>
      <c r="P1075" s="110"/>
      <c r="Q1075" s="110"/>
      <c r="R1075" s="110"/>
      <c r="S1075" s="110"/>
      <c r="T1075" s="110"/>
      <c r="U1075" s="110"/>
      <c r="V1075" s="110"/>
      <c r="W1075" s="110"/>
      <c r="X1075" s="110"/>
      <c r="Y1075" s="110"/>
      <c r="Z1075" s="351"/>
      <c r="AA1075" s="110"/>
      <c r="AB1075" s="330"/>
      <c r="AC1075" s="110"/>
      <c r="AD1075" s="110"/>
      <c r="AE1075" s="110"/>
      <c r="AF1075" s="110"/>
      <c r="AG1075" s="110"/>
      <c r="AH1075" s="110"/>
      <c r="AI1075" s="110"/>
    </row>
    <row r="1076" spans="1:35" ht="15.75" customHeight="1">
      <c r="A1076" s="110"/>
      <c r="B1076" s="110"/>
      <c r="C1076" s="110"/>
      <c r="D1076" s="404"/>
      <c r="E1076" s="110"/>
      <c r="F1076" s="110"/>
      <c r="G1076" s="110"/>
      <c r="H1076" s="110"/>
      <c r="I1076" s="110"/>
      <c r="J1076" s="110"/>
      <c r="K1076" s="110"/>
      <c r="L1076" s="110"/>
      <c r="M1076" s="110"/>
      <c r="N1076" s="110"/>
      <c r="O1076" s="110"/>
      <c r="P1076" s="110"/>
      <c r="Q1076" s="110"/>
      <c r="R1076" s="110"/>
      <c r="S1076" s="110"/>
      <c r="T1076" s="110"/>
      <c r="U1076" s="110"/>
      <c r="V1076" s="110"/>
      <c r="W1076" s="110"/>
      <c r="X1076" s="110"/>
      <c r="Y1076" s="110"/>
      <c r="Z1076" s="351"/>
      <c r="AA1076" s="110"/>
      <c r="AB1076" s="330"/>
      <c r="AC1076" s="110"/>
      <c r="AD1076" s="110"/>
      <c r="AE1076" s="110"/>
      <c r="AF1076" s="110"/>
      <c r="AG1076" s="110"/>
      <c r="AH1076" s="110"/>
      <c r="AI1076" s="110"/>
    </row>
    <row r="1077" spans="1:35" ht="15.75" customHeight="1">
      <c r="A1077" s="110"/>
      <c r="B1077" s="110"/>
      <c r="C1077" s="110"/>
      <c r="D1077" s="404"/>
      <c r="E1077" s="110"/>
      <c r="F1077" s="110"/>
      <c r="G1077" s="110"/>
      <c r="H1077" s="110"/>
      <c r="I1077" s="110"/>
      <c r="J1077" s="110"/>
      <c r="K1077" s="110"/>
      <c r="L1077" s="110"/>
      <c r="M1077" s="110"/>
      <c r="N1077" s="110"/>
      <c r="O1077" s="110"/>
      <c r="P1077" s="110"/>
      <c r="Q1077" s="110"/>
      <c r="R1077" s="110"/>
      <c r="S1077" s="110"/>
      <c r="T1077" s="110"/>
      <c r="U1077" s="110"/>
      <c r="V1077" s="110"/>
      <c r="W1077" s="110"/>
      <c r="X1077" s="110"/>
      <c r="Y1077" s="110"/>
      <c r="Z1077" s="351"/>
      <c r="AA1077" s="110"/>
      <c r="AB1077" s="330"/>
      <c r="AC1077" s="110"/>
      <c r="AD1077" s="110"/>
      <c r="AE1077" s="110"/>
      <c r="AF1077" s="110"/>
      <c r="AG1077" s="110"/>
      <c r="AH1077" s="110"/>
      <c r="AI1077" s="110"/>
    </row>
    <row r="1078" spans="1:35" ht="15.75" customHeight="1">
      <c r="A1078" s="110"/>
      <c r="B1078" s="110"/>
      <c r="C1078" s="110"/>
      <c r="D1078" s="404"/>
      <c r="E1078" s="110"/>
      <c r="F1078" s="110"/>
      <c r="G1078" s="110"/>
      <c r="H1078" s="110"/>
      <c r="I1078" s="110"/>
      <c r="J1078" s="110"/>
      <c r="K1078" s="110"/>
      <c r="L1078" s="110"/>
      <c r="M1078" s="110"/>
      <c r="N1078" s="110"/>
      <c r="O1078" s="110"/>
      <c r="P1078" s="110"/>
      <c r="Q1078" s="110"/>
      <c r="R1078" s="110"/>
      <c r="S1078" s="110"/>
      <c r="T1078" s="110"/>
      <c r="U1078" s="110"/>
      <c r="V1078" s="110"/>
      <c r="W1078" s="110"/>
      <c r="X1078" s="110"/>
      <c r="Y1078" s="110"/>
      <c r="Z1078" s="351"/>
      <c r="AA1078" s="110"/>
      <c r="AB1078" s="330"/>
      <c r="AC1078" s="110"/>
      <c r="AD1078" s="110"/>
      <c r="AE1078" s="110"/>
      <c r="AF1078" s="110"/>
      <c r="AG1078" s="110"/>
      <c r="AH1078" s="110"/>
      <c r="AI1078" s="110"/>
    </row>
    <row r="1079" spans="1:35" ht="15.75" customHeight="1">
      <c r="A1079" s="110"/>
      <c r="B1079" s="110"/>
      <c r="C1079" s="110"/>
      <c r="D1079" s="404"/>
      <c r="E1079" s="110"/>
      <c r="F1079" s="110"/>
      <c r="G1079" s="110"/>
      <c r="H1079" s="110"/>
      <c r="I1079" s="110"/>
      <c r="J1079" s="110"/>
      <c r="K1079" s="110"/>
      <c r="L1079" s="110"/>
      <c r="M1079" s="110"/>
      <c r="N1079" s="110"/>
      <c r="O1079" s="110"/>
      <c r="P1079" s="110"/>
      <c r="Q1079" s="110"/>
      <c r="R1079" s="110"/>
      <c r="S1079" s="110"/>
      <c r="T1079" s="110"/>
      <c r="U1079" s="110"/>
      <c r="V1079" s="110"/>
      <c r="W1079" s="110"/>
      <c r="X1079" s="110"/>
      <c r="Y1079" s="110"/>
      <c r="Z1079" s="351"/>
      <c r="AA1079" s="110"/>
      <c r="AB1079" s="330"/>
      <c r="AC1079" s="110"/>
      <c r="AD1079" s="110"/>
      <c r="AE1079" s="110"/>
      <c r="AF1079" s="110"/>
      <c r="AG1079" s="110"/>
      <c r="AH1079" s="110"/>
      <c r="AI1079" s="110"/>
    </row>
    <row r="1080" spans="1:35" ht="15.75" customHeight="1">
      <c r="A1080" s="110"/>
      <c r="B1080" s="110"/>
      <c r="C1080" s="110"/>
      <c r="D1080" s="404"/>
      <c r="E1080" s="110"/>
      <c r="F1080" s="110"/>
      <c r="G1080" s="110"/>
      <c r="H1080" s="110"/>
      <c r="I1080" s="110"/>
      <c r="J1080" s="110"/>
      <c r="K1080" s="110"/>
      <c r="L1080" s="110"/>
      <c r="M1080" s="110"/>
      <c r="N1080" s="110"/>
      <c r="O1080" s="110"/>
      <c r="P1080" s="110"/>
      <c r="Q1080" s="110"/>
      <c r="R1080" s="110"/>
      <c r="S1080" s="110"/>
      <c r="T1080" s="110"/>
      <c r="U1080" s="110"/>
      <c r="V1080" s="110"/>
      <c r="W1080" s="110"/>
      <c r="X1080" s="110"/>
      <c r="Y1080" s="110"/>
      <c r="Z1080" s="351"/>
      <c r="AA1080" s="110"/>
      <c r="AB1080" s="330"/>
      <c r="AC1080" s="110"/>
      <c r="AD1080" s="110"/>
      <c r="AE1080" s="110"/>
      <c r="AF1080" s="110"/>
      <c r="AG1080" s="110"/>
      <c r="AH1080" s="110"/>
      <c r="AI1080" s="110"/>
    </row>
    <row r="1081" spans="1:35" ht="15.75" customHeight="1">
      <c r="A1081" s="110"/>
      <c r="B1081" s="110"/>
      <c r="C1081" s="110"/>
      <c r="D1081" s="404"/>
      <c r="E1081" s="110"/>
      <c r="F1081" s="110"/>
      <c r="G1081" s="110"/>
      <c r="H1081" s="110"/>
      <c r="I1081" s="110"/>
      <c r="J1081" s="110"/>
      <c r="K1081" s="110"/>
      <c r="L1081" s="110"/>
      <c r="M1081" s="110"/>
      <c r="N1081" s="110"/>
      <c r="O1081" s="110"/>
      <c r="P1081" s="110"/>
      <c r="Q1081" s="110"/>
      <c r="R1081" s="110"/>
      <c r="S1081" s="110"/>
      <c r="T1081" s="110"/>
      <c r="U1081" s="110"/>
      <c r="V1081" s="110"/>
      <c r="W1081" s="110"/>
      <c r="X1081" s="110"/>
      <c r="Y1081" s="110"/>
      <c r="Z1081" s="351"/>
      <c r="AA1081" s="110"/>
      <c r="AB1081" s="330"/>
      <c r="AC1081" s="110"/>
      <c r="AD1081" s="110"/>
      <c r="AE1081" s="110"/>
      <c r="AF1081" s="110"/>
      <c r="AG1081" s="110"/>
      <c r="AH1081" s="110"/>
      <c r="AI1081" s="110"/>
    </row>
    <row r="1082" spans="1:35" ht="15.75" customHeight="1">
      <c r="A1082" s="110"/>
      <c r="B1082" s="110"/>
      <c r="C1082" s="110"/>
      <c r="D1082" s="404"/>
      <c r="E1082" s="110"/>
      <c r="F1082" s="110"/>
      <c r="G1082" s="110"/>
      <c r="H1082" s="110"/>
      <c r="I1082" s="110"/>
      <c r="J1082" s="110"/>
      <c r="K1082" s="110"/>
      <c r="L1082" s="110"/>
      <c r="M1082" s="110"/>
      <c r="N1082" s="110"/>
      <c r="O1082" s="110"/>
      <c r="P1082" s="110"/>
      <c r="Q1082" s="110"/>
      <c r="R1082" s="110"/>
      <c r="S1082" s="110"/>
      <c r="T1082" s="110"/>
      <c r="U1082" s="110"/>
      <c r="V1082" s="110"/>
      <c r="W1082" s="110"/>
      <c r="X1082" s="110"/>
      <c r="Y1082" s="110"/>
      <c r="Z1082" s="351"/>
      <c r="AA1082" s="110"/>
      <c r="AB1082" s="330"/>
      <c r="AC1082" s="110"/>
      <c r="AD1082" s="110"/>
      <c r="AE1082" s="110"/>
      <c r="AF1082" s="110"/>
      <c r="AG1082" s="110"/>
      <c r="AH1082" s="110"/>
      <c r="AI1082" s="110"/>
    </row>
    <row r="1083" spans="1:35" ht="15.75" customHeight="1">
      <c r="A1083" s="110"/>
      <c r="B1083" s="110"/>
      <c r="C1083" s="110"/>
      <c r="D1083" s="404"/>
      <c r="E1083" s="110"/>
      <c r="F1083" s="110"/>
      <c r="G1083" s="110"/>
      <c r="H1083" s="110"/>
      <c r="I1083" s="110"/>
      <c r="J1083" s="110"/>
      <c r="K1083" s="110"/>
      <c r="L1083" s="110"/>
      <c r="M1083" s="110"/>
      <c r="N1083" s="110"/>
      <c r="O1083" s="110"/>
      <c r="P1083" s="110"/>
      <c r="Q1083" s="110"/>
      <c r="R1083" s="110"/>
      <c r="S1083" s="110"/>
      <c r="T1083" s="110"/>
      <c r="U1083" s="110"/>
      <c r="V1083" s="110"/>
      <c r="W1083" s="110"/>
      <c r="X1083" s="110"/>
      <c r="Y1083" s="110"/>
      <c r="Z1083" s="351"/>
      <c r="AA1083" s="110"/>
      <c r="AB1083" s="330"/>
      <c r="AC1083" s="110"/>
      <c r="AD1083" s="110"/>
      <c r="AE1083" s="110"/>
      <c r="AF1083" s="110"/>
      <c r="AG1083" s="110"/>
      <c r="AH1083" s="110"/>
      <c r="AI1083" s="110"/>
    </row>
    <row r="1084" spans="1:35" ht="15.75" customHeight="1">
      <c r="A1084" s="110"/>
      <c r="B1084" s="110"/>
      <c r="C1084" s="110"/>
      <c r="D1084" s="404"/>
      <c r="E1084" s="110"/>
      <c r="F1084" s="110"/>
      <c r="G1084" s="110"/>
      <c r="H1084" s="110"/>
      <c r="I1084" s="110"/>
      <c r="J1084" s="110"/>
      <c r="K1084" s="110"/>
      <c r="L1084" s="110"/>
      <c r="M1084" s="110"/>
      <c r="N1084" s="110"/>
      <c r="O1084" s="110"/>
      <c r="P1084" s="110"/>
      <c r="Q1084" s="110"/>
      <c r="R1084" s="110"/>
      <c r="S1084" s="110"/>
      <c r="T1084" s="110"/>
      <c r="U1084" s="110"/>
      <c r="V1084" s="110"/>
      <c r="W1084" s="110"/>
      <c r="X1084" s="110"/>
      <c r="Y1084" s="110"/>
      <c r="Z1084" s="351"/>
      <c r="AA1084" s="110"/>
      <c r="AB1084" s="330"/>
      <c r="AC1084" s="110"/>
      <c r="AD1084" s="110"/>
      <c r="AE1084" s="110"/>
      <c r="AF1084" s="110"/>
      <c r="AG1084" s="110"/>
      <c r="AH1084" s="110"/>
      <c r="AI1084" s="110"/>
    </row>
    <row r="1085" spans="1:35" ht="15.75" customHeight="1">
      <c r="A1085" s="110"/>
      <c r="B1085" s="110"/>
      <c r="C1085" s="110"/>
      <c r="D1085" s="404"/>
      <c r="E1085" s="110"/>
      <c r="F1085" s="110"/>
      <c r="G1085" s="110"/>
      <c r="H1085" s="110"/>
      <c r="I1085" s="110"/>
      <c r="J1085" s="110"/>
      <c r="K1085" s="110"/>
      <c r="L1085" s="110"/>
      <c r="M1085" s="110"/>
      <c r="N1085" s="110"/>
      <c r="O1085" s="110"/>
      <c r="P1085" s="110"/>
      <c r="Q1085" s="110"/>
      <c r="R1085" s="110"/>
      <c r="S1085" s="110"/>
      <c r="T1085" s="110"/>
      <c r="U1085" s="110"/>
      <c r="V1085" s="110"/>
      <c r="W1085" s="110"/>
      <c r="X1085" s="110"/>
      <c r="Y1085" s="110"/>
      <c r="Z1085" s="351"/>
      <c r="AA1085" s="110"/>
      <c r="AB1085" s="330"/>
      <c r="AC1085" s="110"/>
      <c r="AD1085" s="110"/>
      <c r="AE1085" s="110"/>
      <c r="AF1085" s="110"/>
      <c r="AG1085" s="110"/>
      <c r="AH1085" s="110"/>
      <c r="AI1085" s="110"/>
    </row>
    <row r="1086" spans="1:35" ht="15.75" customHeight="1">
      <c r="A1086" s="110"/>
      <c r="B1086" s="110"/>
      <c r="C1086" s="110"/>
      <c r="D1086" s="404"/>
      <c r="E1086" s="110"/>
      <c r="F1086" s="110"/>
      <c r="G1086" s="110"/>
      <c r="H1086" s="110"/>
      <c r="I1086" s="110"/>
      <c r="J1086" s="110"/>
      <c r="K1086" s="110"/>
      <c r="L1086" s="110"/>
      <c r="M1086" s="110"/>
      <c r="N1086" s="110"/>
      <c r="O1086" s="110"/>
      <c r="P1086" s="110"/>
      <c r="Q1086" s="110"/>
      <c r="R1086" s="110"/>
      <c r="S1086" s="110"/>
      <c r="T1086" s="110"/>
      <c r="U1086" s="110"/>
      <c r="V1086" s="110"/>
      <c r="W1086" s="110"/>
      <c r="X1086" s="110"/>
      <c r="Y1086" s="110"/>
      <c r="Z1086" s="351"/>
      <c r="AA1086" s="110"/>
      <c r="AB1086" s="330"/>
      <c r="AC1086" s="110"/>
      <c r="AD1086" s="110"/>
      <c r="AE1086" s="110"/>
      <c r="AF1086" s="110"/>
      <c r="AG1086" s="110"/>
      <c r="AH1086" s="110"/>
      <c r="AI1086" s="110"/>
    </row>
    <row r="1087" spans="1:35" ht="15.75" customHeight="1">
      <c r="A1087" s="110"/>
      <c r="B1087" s="110"/>
      <c r="C1087" s="110"/>
      <c r="D1087" s="404"/>
      <c r="E1087" s="110"/>
      <c r="F1087" s="110"/>
      <c r="G1087" s="110"/>
      <c r="H1087" s="110"/>
      <c r="I1087" s="110"/>
      <c r="J1087" s="110"/>
      <c r="K1087" s="110"/>
      <c r="L1087" s="110"/>
      <c r="M1087" s="110"/>
      <c r="N1087" s="110"/>
      <c r="O1087" s="110"/>
      <c r="P1087" s="110"/>
      <c r="Q1087" s="110"/>
      <c r="R1087" s="110"/>
      <c r="S1087" s="110"/>
      <c r="T1087" s="110"/>
      <c r="U1087" s="110"/>
      <c r="V1087" s="110"/>
      <c r="W1087" s="110"/>
      <c r="X1087" s="110"/>
      <c r="Y1087" s="110"/>
      <c r="Z1087" s="351"/>
      <c r="AA1087" s="110"/>
      <c r="AB1087" s="330"/>
      <c r="AC1087" s="110"/>
      <c r="AD1087" s="110"/>
      <c r="AE1087" s="110"/>
      <c r="AF1087" s="110"/>
      <c r="AG1087" s="110"/>
      <c r="AH1087" s="110"/>
      <c r="AI1087" s="110"/>
    </row>
    <row r="1088" spans="1:35" ht="15.75" customHeight="1">
      <c r="A1088" s="110"/>
      <c r="B1088" s="110"/>
      <c r="C1088" s="110"/>
      <c r="D1088" s="404"/>
      <c r="E1088" s="110"/>
      <c r="F1088" s="110"/>
      <c r="G1088" s="110"/>
      <c r="H1088" s="110"/>
      <c r="I1088" s="110"/>
      <c r="J1088" s="110"/>
      <c r="K1088" s="110"/>
      <c r="L1088" s="110"/>
      <c r="M1088" s="110"/>
      <c r="N1088" s="110"/>
      <c r="O1088" s="110"/>
      <c r="P1088" s="110"/>
      <c r="Q1088" s="110"/>
      <c r="R1088" s="110"/>
      <c r="S1088" s="110"/>
      <c r="T1088" s="110"/>
      <c r="U1088" s="110"/>
      <c r="V1088" s="110"/>
      <c r="W1088" s="110"/>
      <c r="X1088" s="110"/>
      <c r="Y1088" s="110"/>
      <c r="Z1088" s="351"/>
      <c r="AA1088" s="110"/>
      <c r="AB1088" s="330"/>
      <c r="AC1088" s="110"/>
      <c r="AD1088" s="110"/>
      <c r="AE1088" s="110"/>
      <c r="AF1088" s="110"/>
      <c r="AG1088" s="110"/>
      <c r="AH1088" s="110"/>
      <c r="AI1088" s="110"/>
    </row>
    <row r="1089" spans="1:35" ht="15.75" customHeight="1">
      <c r="A1089" s="110"/>
      <c r="B1089" s="110"/>
      <c r="C1089" s="110"/>
      <c r="D1089" s="404"/>
      <c r="E1089" s="110"/>
      <c r="F1089" s="110"/>
      <c r="G1089" s="110"/>
      <c r="H1089" s="110"/>
      <c r="I1089" s="110"/>
      <c r="J1089" s="110"/>
      <c r="K1089" s="110"/>
      <c r="L1089" s="110"/>
      <c r="M1089" s="110"/>
      <c r="N1089" s="110"/>
      <c r="O1089" s="110"/>
      <c r="P1089" s="110"/>
      <c r="Q1089" s="110"/>
      <c r="R1089" s="110"/>
      <c r="S1089" s="110"/>
      <c r="T1089" s="110"/>
      <c r="U1089" s="110"/>
      <c r="V1089" s="110"/>
      <c r="W1089" s="110"/>
      <c r="X1089" s="110"/>
      <c r="Y1089" s="110"/>
      <c r="Z1089" s="351"/>
      <c r="AA1089" s="110"/>
      <c r="AB1089" s="330"/>
      <c r="AC1089" s="110"/>
      <c r="AD1089" s="110"/>
      <c r="AE1089" s="110"/>
      <c r="AF1089" s="110"/>
      <c r="AG1089" s="110"/>
      <c r="AH1089" s="110"/>
      <c r="AI1089" s="110"/>
    </row>
    <row r="1090" spans="1:35" ht="15.75" customHeight="1">
      <c r="A1090" s="110"/>
      <c r="B1090" s="110"/>
      <c r="C1090" s="110"/>
      <c r="D1090" s="404"/>
      <c r="E1090" s="110"/>
      <c r="F1090" s="110"/>
      <c r="G1090" s="110"/>
      <c r="H1090" s="110"/>
      <c r="I1090" s="110"/>
      <c r="J1090" s="110"/>
      <c r="K1090" s="110"/>
      <c r="L1090" s="110"/>
      <c r="M1090" s="110"/>
      <c r="N1090" s="110"/>
      <c r="O1090" s="110"/>
      <c r="P1090" s="110"/>
      <c r="Q1090" s="110"/>
      <c r="R1090" s="110"/>
      <c r="S1090" s="110"/>
      <c r="T1090" s="110"/>
      <c r="U1090" s="110"/>
      <c r="V1090" s="110"/>
      <c r="W1090" s="110"/>
      <c r="X1090" s="110"/>
      <c r="Y1090" s="110"/>
      <c r="Z1090" s="351"/>
      <c r="AA1090" s="110"/>
      <c r="AB1090" s="330"/>
      <c r="AC1090" s="110"/>
      <c r="AD1090" s="110"/>
      <c r="AE1090" s="110"/>
      <c r="AF1090" s="110"/>
      <c r="AG1090" s="110"/>
      <c r="AH1090" s="110"/>
      <c r="AI1090" s="110"/>
    </row>
    <row r="1091" spans="1:35" ht="15.75" customHeight="1">
      <c r="A1091" s="110"/>
      <c r="B1091" s="110"/>
      <c r="C1091" s="110"/>
      <c r="D1091" s="404"/>
      <c r="E1091" s="110"/>
      <c r="F1091" s="110"/>
      <c r="G1091" s="110"/>
      <c r="H1091" s="110"/>
      <c r="I1091" s="110"/>
      <c r="J1091" s="110"/>
      <c r="K1091" s="110"/>
      <c r="L1091" s="110"/>
      <c r="M1091" s="110"/>
      <c r="N1091" s="110"/>
      <c r="O1091" s="110"/>
      <c r="P1091" s="110"/>
      <c r="Q1091" s="110"/>
      <c r="R1091" s="110"/>
      <c r="S1091" s="110"/>
      <c r="T1091" s="110"/>
      <c r="U1091" s="110"/>
      <c r="V1091" s="110"/>
      <c r="W1091" s="110"/>
      <c r="X1091" s="110"/>
      <c r="Y1091" s="110"/>
      <c r="Z1091" s="351"/>
      <c r="AA1091" s="110"/>
      <c r="AB1091" s="330"/>
      <c r="AC1091" s="110"/>
      <c r="AD1091" s="110"/>
      <c r="AE1091" s="110"/>
      <c r="AF1091" s="110"/>
      <c r="AG1091" s="110"/>
      <c r="AH1091" s="110"/>
      <c r="AI1091" s="110"/>
    </row>
    <row r="1092" spans="1:35" ht="15.75" customHeight="1">
      <c r="A1092" s="110"/>
      <c r="B1092" s="110"/>
      <c r="C1092" s="110"/>
      <c r="D1092" s="404"/>
      <c r="E1092" s="110"/>
      <c r="F1092" s="110"/>
      <c r="G1092" s="110"/>
      <c r="H1092" s="110"/>
      <c r="I1092" s="110"/>
      <c r="J1092" s="110"/>
      <c r="K1092" s="110"/>
      <c r="L1092" s="110"/>
      <c r="M1092" s="110"/>
      <c r="N1092" s="110"/>
      <c r="O1092" s="110"/>
      <c r="P1092" s="110"/>
      <c r="Q1092" s="110"/>
      <c r="R1092" s="110"/>
      <c r="S1092" s="110"/>
      <c r="T1092" s="110"/>
      <c r="U1092" s="110"/>
      <c r="V1092" s="110"/>
      <c r="W1092" s="110"/>
      <c r="X1092" s="110"/>
      <c r="Y1092" s="110"/>
      <c r="Z1092" s="351"/>
      <c r="AA1092" s="110"/>
      <c r="AB1092" s="330"/>
      <c r="AC1092" s="110"/>
      <c r="AD1092" s="110"/>
      <c r="AE1092" s="110"/>
      <c r="AF1092" s="110"/>
      <c r="AG1092" s="110"/>
      <c r="AH1092" s="110"/>
      <c r="AI1092" s="110"/>
    </row>
    <row r="1093" spans="1:35" ht="15.75" customHeight="1">
      <c r="A1093" s="110"/>
      <c r="B1093" s="110"/>
      <c r="C1093" s="110"/>
      <c r="D1093" s="404"/>
      <c r="E1093" s="110"/>
      <c r="F1093" s="110"/>
      <c r="G1093" s="110"/>
      <c r="H1093" s="110"/>
      <c r="I1093" s="110"/>
      <c r="J1093" s="110"/>
      <c r="K1093" s="110"/>
      <c r="L1093" s="110"/>
      <c r="M1093" s="110"/>
      <c r="N1093" s="110"/>
      <c r="O1093" s="110"/>
      <c r="P1093" s="110"/>
      <c r="Q1093" s="110"/>
      <c r="R1093" s="110"/>
      <c r="S1093" s="110"/>
      <c r="T1093" s="110"/>
      <c r="U1093" s="110"/>
      <c r="V1093" s="110"/>
      <c r="W1093" s="110"/>
      <c r="X1093" s="110"/>
      <c r="Y1093" s="110"/>
      <c r="Z1093" s="351"/>
      <c r="AA1093" s="110"/>
      <c r="AB1093" s="330"/>
      <c r="AC1093" s="110"/>
      <c r="AD1093" s="110"/>
      <c r="AE1093" s="110"/>
      <c r="AF1093" s="110"/>
      <c r="AG1093" s="110"/>
      <c r="AH1093" s="110"/>
      <c r="AI1093" s="110"/>
    </row>
    <row r="1094" spans="1:35" ht="15.75" customHeight="1">
      <c r="A1094" s="110"/>
      <c r="B1094" s="110"/>
      <c r="C1094" s="110"/>
      <c r="D1094" s="404"/>
      <c r="E1094" s="110"/>
      <c r="F1094" s="110"/>
      <c r="G1094" s="110"/>
      <c r="H1094" s="110"/>
      <c r="I1094" s="110"/>
      <c r="J1094" s="110"/>
      <c r="K1094" s="110"/>
      <c r="L1094" s="110"/>
      <c r="M1094" s="110"/>
      <c r="N1094" s="110"/>
      <c r="O1094" s="110"/>
      <c r="P1094" s="110"/>
      <c r="Q1094" s="110"/>
      <c r="R1094" s="110"/>
      <c r="S1094" s="110"/>
      <c r="T1094" s="110"/>
      <c r="U1094" s="110"/>
      <c r="V1094" s="110"/>
      <c r="W1094" s="110"/>
      <c r="X1094" s="110"/>
      <c r="Y1094" s="110"/>
      <c r="Z1094" s="351"/>
      <c r="AA1094" s="110"/>
      <c r="AB1094" s="330"/>
      <c r="AC1094" s="110"/>
      <c r="AD1094" s="110"/>
      <c r="AE1094" s="110"/>
      <c r="AF1094" s="110"/>
      <c r="AG1094" s="110"/>
      <c r="AH1094" s="110"/>
      <c r="AI1094" s="110"/>
    </row>
    <row r="1095" spans="1:35" ht="15.75" customHeight="1">
      <c r="A1095" s="110"/>
      <c r="B1095" s="110"/>
      <c r="C1095" s="110"/>
      <c r="D1095" s="404"/>
      <c r="E1095" s="110"/>
      <c r="F1095" s="110"/>
      <c r="G1095" s="110"/>
      <c r="H1095" s="110"/>
      <c r="I1095" s="110"/>
      <c r="J1095" s="110"/>
      <c r="K1095" s="110"/>
      <c r="L1095" s="110"/>
      <c r="M1095" s="110"/>
      <c r="N1095" s="110"/>
      <c r="O1095" s="110"/>
      <c r="P1095" s="110"/>
      <c r="Q1095" s="110"/>
      <c r="R1095" s="110"/>
      <c r="S1095" s="110"/>
      <c r="T1095" s="110"/>
      <c r="U1095" s="110"/>
      <c r="V1095" s="110"/>
      <c r="W1095" s="110"/>
      <c r="X1095" s="110"/>
      <c r="Y1095" s="110"/>
      <c r="Z1095" s="351"/>
      <c r="AA1095" s="110"/>
      <c r="AB1095" s="330"/>
      <c r="AC1095" s="110"/>
      <c r="AD1095" s="110"/>
      <c r="AE1095" s="110"/>
      <c r="AF1095" s="110"/>
      <c r="AG1095" s="110"/>
      <c r="AH1095" s="110"/>
      <c r="AI1095" s="110"/>
    </row>
    <row r="1096" spans="1:35" ht="15.75" customHeight="1">
      <c r="A1096" s="110"/>
      <c r="B1096" s="110"/>
      <c r="C1096" s="110"/>
      <c r="D1096" s="404"/>
      <c r="E1096" s="110"/>
      <c r="F1096" s="110"/>
      <c r="G1096" s="110"/>
      <c r="H1096" s="110"/>
      <c r="I1096" s="110"/>
      <c r="J1096" s="110"/>
      <c r="K1096" s="110"/>
      <c r="L1096" s="110"/>
      <c r="M1096" s="110"/>
      <c r="N1096" s="110"/>
      <c r="O1096" s="110"/>
      <c r="P1096" s="110"/>
      <c r="Q1096" s="110"/>
      <c r="R1096" s="110"/>
      <c r="S1096" s="110"/>
      <c r="T1096" s="110"/>
      <c r="U1096" s="110"/>
      <c r="V1096" s="110"/>
      <c r="W1096" s="110"/>
      <c r="X1096" s="110"/>
      <c r="Y1096" s="110"/>
      <c r="Z1096" s="351"/>
      <c r="AA1096" s="110"/>
      <c r="AB1096" s="330"/>
      <c r="AC1096" s="110"/>
      <c r="AD1096" s="110"/>
      <c r="AE1096" s="110"/>
      <c r="AF1096" s="110"/>
      <c r="AG1096" s="110"/>
      <c r="AH1096" s="110"/>
      <c r="AI1096" s="110"/>
    </row>
    <row r="1097" spans="1:35" ht="15.75" customHeight="1">
      <c r="A1097" s="110"/>
      <c r="B1097" s="110"/>
      <c r="C1097" s="110"/>
      <c r="D1097" s="404"/>
      <c r="E1097" s="110"/>
      <c r="F1097" s="110"/>
      <c r="G1097" s="110"/>
      <c r="H1097" s="110"/>
      <c r="I1097" s="110"/>
      <c r="J1097" s="110"/>
      <c r="K1097" s="110"/>
      <c r="L1097" s="110"/>
      <c r="M1097" s="110"/>
      <c r="N1097" s="110"/>
      <c r="O1097" s="110"/>
      <c r="P1097" s="110"/>
      <c r="Q1097" s="110"/>
      <c r="R1097" s="110"/>
      <c r="S1097" s="110"/>
      <c r="T1097" s="110"/>
      <c r="U1097" s="110"/>
      <c r="V1097" s="110"/>
      <c r="W1097" s="110"/>
      <c r="X1097" s="110"/>
      <c r="Y1097" s="110"/>
      <c r="Z1097" s="351"/>
      <c r="AA1097" s="110"/>
      <c r="AB1097" s="330"/>
      <c r="AC1097" s="110"/>
      <c r="AD1097" s="110"/>
      <c r="AE1097" s="110"/>
      <c r="AF1097" s="110"/>
      <c r="AG1097" s="110"/>
      <c r="AH1097" s="110"/>
      <c r="AI1097" s="110"/>
    </row>
    <row r="1098" spans="1:35" ht="15.75" customHeight="1">
      <c r="A1098" s="110"/>
      <c r="B1098" s="110"/>
      <c r="C1098" s="110"/>
      <c r="D1098" s="404"/>
      <c r="E1098" s="110"/>
      <c r="F1098" s="110"/>
      <c r="G1098" s="110"/>
      <c r="H1098" s="110"/>
      <c r="I1098" s="110"/>
      <c r="J1098" s="110"/>
      <c r="K1098" s="110"/>
      <c r="L1098" s="110"/>
      <c r="M1098" s="110"/>
      <c r="N1098" s="110"/>
      <c r="O1098" s="110"/>
      <c r="P1098" s="110"/>
      <c r="Q1098" s="110"/>
      <c r="R1098" s="110"/>
      <c r="S1098" s="110"/>
      <c r="T1098" s="110"/>
      <c r="U1098" s="110"/>
      <c r="V1098" s="110"/>
      <c r="W1098" s="110"/>
      <c r="X1098" s="110"/>
      <c r="Y1098" s="110"/>
      <c r="Z1098" s="351"/>
      <c r="AA1098" s="110"/>
      <c r="AB1098" s="330"/>
      <c r="AC1098" s="110"/>
      <c r="AD1098" s="110"/>
      <c r="AE1098" s="110"/>
      <c r="AF1098" s="110"/>
      <c r="AG1098" s="110"/>
      <c r="AH1098" s="110"/>
      <c r="AI1098" s="110"/>
    </row>
    <row r="1099" spans="1:35" ht="15.75" customHeight="1">
      <c r="A1099" s="110"/>
      <c r="B1099" s="110"/>
      <c r="C1099" s="110"/>
      <c r="D1099" s="404"/>
      <c r="E1099" s="110"/>
      <c r="F1099" s="110"/>
      <c r="G1099" s="110"/>
      <c r="H1099" s="110"/>
      <c r="I1099" s="110"/>
      <c r="J1099" s="110"/>
      <c r="K1099" s="110"/>
      <c r="L1099" s="110"/>
      <c r="M1099" s="110"/>
      <c r="N1099" s="110"/>
      <c r="O1099" s="110"/>
      <c r="P1099" s="110"/>
      <c r="Q1099" s="110"/>
      <c r="R1099" s="110"/>
      <c r="S1099" s="110"/>
      <c r="T1099" s="110"/>
      <c r="U1099" s="110"/>
      <c r="V1099" s="110"/>
      <c r="W1099" s="110"/>
      <c r="X1099" s="110"/>
      <c r="Y1099" s="110"/>
      <c r="Z1099" s="351"/>
      <c r="AA1099" s="110"/>
      <c r="AB1099" s="330"/>
      <c r="AC1099" s="110"/>
      <c r="AD1099" s="110"/>
      <c r="AE1099" s="110"/>
      <c r="AF1099" s="110"/>
      <c r="AG1099" s="110"/>
      <c r="AH1099" s="110"/>
      <c r="AI1099" s="110"/>
    </row>
    <row r="1100" spans="1:35" ht="15.75" customHeight="1">
      <c r="A1100" s="110"/>
      <c r="B1100" s="110"/>
      <c r="C1100" s="110"/>
      <c r="D1100" s="404"/>
      <c r="E1100" s="110"/>
      <c r="F1100" s="110"/>
      <c r="G1100" s="110"/>
      <c r="H1100" s="110"/>
      <c r="I1100" s="110"/>
      <c r="J1100" s="110"/>
      <c r="K1100" s="110"/>
      <c r="L1100" s="110"/>
      <c r="M1100" s="110"/>
      <c r="N1100" s="110"/>
      <c r="O1100" s="110"/>
      <c r="P1100" s="110"/>
      <c r="Q1100" s="110"/>
      <c r="R1100" s="110"/>
      <c r="S1100" s="110"/>
      <c r="T1100" s="110"/>
      <c r="U1100" s="110"/>
      <c r="V1100" s="110"/>
      <c r="W1100" s="110"/>
      <c r="X1100" s="110"/>
      <c r="Y1100" s="110"/>
      <c r="Z1100" s="351"/>
      <c r="AA1100" s="110"/>
      <c r="AB1100" s="330"/>
      <c r="AC1100" s="110"/>
      <c r="AD1100" s="110"/>
      <c r="AE1100" s="110"/>
      <c r="AF1100" s="110"/>
      <c r="AG1100" s="110"/>
      <c r="AH1100" s="110"/>
      <c r="AI1100" s="110"/>
    </row>
    <row r="1101" spans="1:35" ht="15.75" customHeight="1">
      <c r="A1101" s="110"/>
      <c r="B1101" s="110"/>
      <c r="C1101" s="110"/>
      <c r="D1101" s="404"/>
      <c r="E1101" s="110"/>
      <c r="F1101" s="110"/>
      <c r="G1101" s="110"/>
      <c r="H1101" s="110"/>
      <c r="I1101" s="110"/>
      <c r="J1101" s="110"/>
      <c r="K1101" s="110"/>
      <c r="L1101" s="110"/>
      <c r="M1101" s="110"/>
      <c r="N1101" s="110"/>
      <c r="O1101" s="110"/>
      <c r="P1101" s="110"/>
      <c r="Q1101" s="110"/>
      <c r="R1101" s="110"/>
      <c r="S1101" s="110"/>
      <c r="T1101" s="110"/>
      <c r="U1101" s="110"/>
      <c r="V1101" s="110"/>
      <c r="W1101" s="110"/>
      <c r="X1101" s="110"/>
      <c r="Y1101" s="110"/>
      <c r="Z1101" s="351"/>
      <c r="AA1101" s="110"/>
      <c r="AB1101" s="330"/>
      <c r="AC1101" s="110"/>
      <c r="AD1101" s="110"/>
      <c r="AE1101" s="110"/>
      <c r="AF1101" s="110"/>
      <c r="AG1101" s="110"/>
      <c r="AH1101" s="110"/>
      <c r="AI1101" s="110"/>
    </row>
    <row r="1102" spans="1:35" ht="15.75" customHeight="1">
      <c r="A1102" s="110"/>
      <c r="B1102" s="110"/>
      <c r="C1102" s="110"/>
      <c r="D1102" s="404"/>
      <c r="E1102" s="110"/>
      <c r="F1102" s="110"/>
      <c r="G1102" s="110"/>
      <c r="H1102" s="110"/>
      <c r="I1102" s="110"/>
      <c r="J1102" s="110"/>
      <c r="K1102" s="110"/>
      <c r="L1102" s="110"/>
      <c r="M1102" s="110"/>
      <c r="N1102" s="110"/>
      <c r="O1102" s="110"/>
      <c r="P1102" s="110"/>
      <c r="Q1102" s="110"/>
      <c r="R1102" s="110"/>
      <c r="S1102" s="110"/>
      <c r="T1102" s="110"/>
      <c r="U1102" s="110"/>
      <c r="V1102" s="110"/>
      <c r="W1102" s="110"/>
      <c r="X1102" s="110"/>
      <c r="Y1102" s="110"/>
      <c r="Z1102" s="351"/>
      <c r="AA1102" s="110"/>
      <c r="AB1102" s="330"/>
      <c r="AC1102" s="110"/>
      <c r="AD1102" s="110"/>
      <c r="AE1102" s="110"/>
      <c r="AF1102" s="110"/>
      <c r="AG1102" s="110"/>
      <c r="AH1102" s="110"/>
      <c r="AI1102" s="110"/>
    </row>
    <row r="1103" spans="1:35" ht="15.75" customHeight="1">
      <c r="A1103" s="110"/>
      <c r="B1103" s="110"/>
      <c r="C1103" s="110"/>
      <c r="D1103" s="404"/>
      <c r="E1103" s="110"/>
      <c r="F1103" s="110"/>
      <c r="G1103" s="110"/>
      <c r="H1103" s="110"/>
      <c r="I1103" s="110"/>
      <c r="J1103" s="110"/>
      <c r="K1103" s="110"/>
      <c r="L1103" s="110"/>
      <c r="M1103" s="110"/>
      <c r="N1103" s="110"/>
      <c r="O1103" s="110"/>
      <c r="P1103" s="110"/>
      <c r="Q1103" s="110"/>
      <c r="R1103" s="110"/>
      <c r="S1103" s="110"/>
      <c r="T1103" s="110"/>
      <c r="U1103" s="110"/>
      <c r="V1103" s="110"/>
      <c r="W1103" s="110"/>
      <c r="X1103" s="110"/>
      <c r="Y1103" s="110"/>
      <c r="Z1103" s="351"/>
      <c r="AA1103" s="110"/>
      <c r="AB1103" s="330"/>
      <c r="AC1103" s="110"/>
      <c r="AD1103" s="110"/>
      <c r="AE1103" s="110"/>
      <c r="AF1103" s="110"/>
      <c r="AG1103" s="110"/>
      <c r="AH1103" s="110"/>
      <c r="AI1103" s="110"/>
    </row>
    <row r="1104" spans="1:35" ht="15.75" customHeight="1">
      <c r="A1104" s="110"/>
      <c r="B1104" s="110"/>
      <c r="C1104" s="110"/>
      <c r="D1104" s="404"/>
      <c r="E1104" s="110"/>
      <c r="F1104" s="110"/>
      <c r="G1104" s="110"/>
      <c r="H1104" s="110"/>
      <c r="I1104" s="110"/>
      <c r="J1104" s="110"/>
      <c r="K1104" s="110"/>
      <c r="L1104" s="110"/>
      <c r="M1104" s="110"/>
      <c r="N1104" s="110"/>
      <c r="O1104" s="110"/>
      <c r="P1104" s="110"/>
      <c r="Q1104" s="110"/>
      <c r="R1104" s="110"/>
      <c r="S1104" s="110"/>
      <c r="T1104" s="110"/>
      <c r="U1104" s="110"/>
      <c r="V1104" s="110"/>
      <c r="W1104" s="110"/>
      <c r="X1104" s="110"/>
      <c r="Y1104" s="110"/>
      <c r="Z1104" s="351"/>
      <c r="AA1104" s="110"/>
      <c r="AB1104" s="330"/>
      <c r="AC1104" s="110"/>
      <c r="AD1104" s="110"/>
      <c r="AE1104" s="110"/>
      <c r="AF1104" s="110"/>
      <c r="AG1104" s="110"/>
      <c r="AH1104" s="110"/>
      <c r="AI1104" s="110"/>
    </row>
    <row r="1105" spans="1:35" ht="15.75" customHeight="1">
      <c r="A1105" s="110"/>
      <c r="B1105" s="110"/>
      <c r="C1105" s="110"/>
      <c r="D1105" s="404"/>
      <c r="E1105" s="110"/>
      <c r="F1105" s="110"/>
      <c r="G1105" s="110"/>
      <c r="H1105" s="110"/>
      <c r="I1105" s="110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0"/>
      <c r="V1105" s="110"/>
      <c r="W1105" s="110"/>
      <c r="X1105" s="110"/>
      <c r="Y1105" s="110"/>
      <c r="Z1105" s="351"/>
      <c r="AA1105" s="110"/>
      <c r="AB1105" s="330"/>
      <c r="AC1105" s="110"/>
      <c r="AD1105" s="110"/>
      <c r="AE1105" s="110"/>
      <c r="AF1105" s="110"/>
      <c r="AG1105" s="110"/>
      <c r="AH1105" s="110"/>
      <c r="AI1105" s="110"/>
    </row>
    <row r="1106" spans="1:35" ht="15.75" customHeight="1">
      <c r="A1106" s="110"/>
      <c r="B1106" s="110"/>
      <c r="C1106" s="110"/>
      <c r="D1106" s="404"/>
      <c r="E1106" s="110"/>
      <c r="F1106" s="110"/>
      <c r="G1106" s="110"/>
      <c r="H1106" s="110"/>
      <c r="I1106" s="110"/>
      <c r="J1106" s="110"/>
      <c r="K1106" s="110"/>
      <c r="L1106" s="110"/>
      <c r="M1106" s="110"/>
      <c r="N1106" s="110"/>
      <c r="O1106" s="110"/>
      <c r="P1106" s="110"/>
      <c r="Q1106" s="110"/>
      <c r="R1106" s="110"/>
      <c r="S1106" s="110"/>
      <c r="T1106" s="110"/>
      <c r="U1106" s="110"/>
      <c r="V1106" s="110"/>
      <c r="W1106" s="110"/>
      <c r="X1106" s="110"/>
      <c r="Y1106" s="110"/>
      <c r="Z1106" s="351"/>
      <c r="AA1106" s="110"/>
      <c r="AB1106" s="330"/>
      <c r="AC1106" s="110"/>
      <c r="AD1106" s="110"/>
      <c r="AE1106" s="110"/>
      <c r="AF1106" s="110"/>
      <c r="AG1106" s="110"/>
      <c r="AH1106" s="110"/>
      <c r="AI1106" s="110"/>
    </row>
    <row r="1107" spans="1:35" ht="15.75" customHeight="1">
      <c r="A1107" s="110"/>
      <c r="B1107" s="110"/>
      <c r="C1107" s="110"/>
      <c r="D1107" s="404"/>
      <c r="E1107" s="110"/>
      <c r="F1107" s="110"/>
      <c r="G1107" s="110"/>
      <c r="H1107" s="110"/>
      <c r="I1107" s="110"/>
      <c r="J1107" s="110"/>
      <c r="K1107" s="110"/>
      <c r="L1107" s="110"/>
      <c r="M1107" s="110"/>
      <c r="N1107" s="110"/>
      <c r="O1107" s="110"/>
      <c r="P1107" s="110"/>
      <c r="Q1107" s="110"/>
      <c r="R1107" s="110"/>
      <c r="S1107" s="110"/>
      <c r="T1107" s="110"/>
      <c r="U1107" s="110"/>
      <c r="V1107" s="110"/>
      <c r="W1107" s="110"/>
      <c r="X1107" s="110"/>
      <c r="Y1107" s="110"/>
      <c r="Z1107" s="351"/>
      <c r="AA1107" s="110"/>
      <c r="AB1107" s="330"/>
      <c r="AC1107" s="110"/>
      <c r="AD1107" s="110"/>
      <c r="AE1107" s="110"/>
      <c r="AF1107" s="110"/>
      <c r="AG1107" s="110"/>
      <c r="AH1107" s="110"/>
      <c r="AI1107" s="110"/>
    </row>
    <row r="1108" spans="1:35" ht="15.75" customHeight="1">
      <c r="A1108" s="110"/>
      <c r="B1108" s="110"/>
      <c r="C1108" s="110"/>
      <c r="D1108" s="404"/>
      <c r="E1108" s="110"/>
      <c r="F1108" s="110"/>
      <c r="G1108" s="110"/>
      <c r="H1108" s="110"/>
      <c r="I1108" s="110"/>
      <c r="J1108" s="110"/>
      <c r="K1108" s="110"/>
      <c r="L1108" s="110"/>
      <c r="M1108" s="110"/>
      <c r="N1108" s="110"/>
      <c r="O1108" s="110"/>
      <c r="P1108" s="110"/>
      <c r="Q1108" s="110"/>
      <c r="R1108" s="110"/>
      <c r="S1108" s="110"/>
      <c r="T1108" s="110"/>
      <c r="U1108" s="110"/>
      <c r="V1108" s="110"/>
      <c r="W1108" s="110"/>
      <c r="X1108" s="110"/>
      <c r="Y1108" s="110"/>
      <c r="Z1108" s="351"/>
      <c r="AA1108" s="110"/>
      <c r="AB1108" s="330"/>
      <c r="AC1108" s="110"/>
      <c r="AD1108" s="110"/>
      <c r="AE1108" s="110"/>
      <c r="AF1108" s="110"/>
      <c r="AG1108" s="110"/>
      <c r="AH1108" s="110"/>
      <c r="AI1108" s="110"/>
    </row>
    <row r="1109" spans="1:35" ht="15.75" customHeight="1">
      <c r="A1109" s="110"/>
      <c r="B1109" s="110"/>
      <c r="C1109" s="110"/>
      <c r="D1109" s="404"/>
      <c r="E1109" s="110"/>
      <c r="F1109" s="110"/>
      <c r="G1109" s="110"/>
      <c r="H1109" s="110"/>
      <c r="I1109" s="110"/>
      <c r="J1109" s="110"/>
      <c r="K1109" s="110"/>
      <c r="L1109" s="110"/>
      <c r="M1109" s="110"/>
      <c r="N1109" s="110"/>
      <c r="O1109" s="110"/>
      <c r="P1109" s="110"/>
      <c r="Q1109" s="110"/>
      <c r="R1109" s="110"/>
      <c r="S1109" s="110"/>
      <c r="T1109" s="110"/>
      <c r="U1109" s="110"/>
      <c r="V1109" s="110"/>
      <c r="W1109" s="110"/>
      <c r="X1109" s="110"/>
      <c r="Y1109" s="110"/>
      <c r="Z1109" s="351"/>
      <c r="AA1109" s="110"/>
      <c r="AB1109" s="330"/>
      <c r="AC1109" s="110"/>
      <c r="AD1109" s="110"/>
      <c r="AE1109" s="110"/>
      <c r="AF1109" s="110"/>
      <c r="AG1109" s="110"/>
      <c r="AH1109" s="110"/>
      <c r="AI1109" s="110"/>
    </row>
    <row r="1110" spans="1:35" ht="15.75" customHeight="1">
      <c r="A1110" s="110"/>
      <c r="B1110" s="110"/>
      <c r="C1110" s="110"/>
      <c r="D1110" s="404"/>
      <c r="E1110" s="110"/>
      <c r="F1110" s="110"/>
      <c r="G1110" s="110"/>
      <c r="H1110" s="110"/>
      <c r="I1110" s="110"/>
      <c r="J1110" s="110"/>
      <c r="K1110" s="110"/>
      <c r="L1110" s="110"/>
      <c r="M1110" s="110"/>
      <c r="N1110" s="110"/>
      <c r="O1110" s="110"/>
      <c r="P1110" s="110"/>
      <c r="Q1110" s="110"/>
      <c r="R1110" s="110"/>
      <c r="S1110" s="110"/>
      <c r="T1110" s="110"/>
      <c r="U1110" s="110"/>
      <c r="V1110" s="110"/>
      <c r="W1110" s="110"/>
      <c r="X1110" s="110"/>
      <c r="Y1110" s="110"/>
      <c r="Z1110" s="351"/>
      <c r="AA1110" s="110"/>
      <c r="AB1110" s="330"/>
      <c r="AC1110" s="110"/>
      <c r="AD1110" s="110"/>
      <c r="AE1110" s="110"/>
      <c r="AF1110" s="110"/>
      <c r="AG1110" s="110"/>
      <c r="AH1110" s="110"/>
      <c r="AI1110" s="110"/>
    </row>
    <row r="1111" spans="1:35" ht="15.75" customHeight="1">
      <c r="A1111" s="110"/>
      <c r="B1111" s="110"/>
      <c r="C1111" s="110"/>
      <c r="D1111" s="404"/>
      <c r="E1111" s="110"/>
      <c r="F1111" s="110"/>
      <c r="G1111" s="110"/>
      <c r="H1111" s="110"/>
      <c r="I1111" s="110"/>
      <c r="J1111" s="110"/>
      <c r="K1111" s="110"/>
      <c r="L1111" s="110"/>
      <c r="M1111" s="110"/>
      <c r="N1111" s="110"/>
      <c r="O1111" s="110"/>
      <c r="P1111" s="110"/>
      <c r="Q1111" s="110"/>
      <c r="R1111" s="110"/>
      <c r="S1111" s="110"/>
      <c r="T1111" s="110"/>
      <c r="U1111" s="110"/>
      <c r="V1111" s="110"/>
      <c r="W1111" s="110"/>
      <c r="X1111" s="110"/>
      <c r="Y1111" s="110"/>
      <c r="Z1111" s="351"/>
      <c r="AA1111" s="110"/>
      <c r="AB1111" s="330"/>
      <c r="AC1111" s="110"/>
      <c r="AD1111" s="110"/>
      <c r="AE1111" s="110"/>
      <c r="AF1111" s="110"/>
      <c r="AG1111" s="110"/>
      <c r="AH1111" s="110"/>
      <c r="AI1111" s="110"/>
    </row>
    <row r="1112" spans="1:35" ht="15.75" customHeight="1">
      <c r="A1112" s="110"/>
      <c r="B1112" s="110"/>
      <c r="C1112" s="110"/>
      <c r="D1112" s="404"/>
      <c r="E1112" s="110"/>
      <c r="F1112" s="110"/>
      <c r="G1112" s="110"/>
      <c r="H1112" s="110"/>
      <c r="I1112" s="110"/>
      <c r="J1112" s="110"/>
      <c r="K1112" s="110"/>
      <c r="L1112" s="110"/>
      <c r="M1112" s="110"/>
      <c r="N1112" s="110"/>
      <c r="O1112" s="110"/>
      <c r="P1112" s="110"/>
      <c r="Q1112" s="110"/>
      <c r="R1112" s="110"/>
      <c r="S1112" s="110"/>
      <c r="T1112" s="110"/>
      <c r="U1112" s="110"/>
      <c r="V1112" s="110"/>
      <c r="W1112" s="110"/>
      <c r="X1112" s="110"/>
      <c r="Y1112" s="110"/>
      <c r="Z1112" s="351"/>
      <c r="AA1112" s="110"/>
      <c r="AB1112" s="330"/>
      <c r="AC1112" s="110"/>
      <c r="AD1112" s="110"/>
      <c r="AE1112" s="110"/>
      <c r="AF1112" s="110"/>
      <c r="AG1112" s="110"/>
      <c r="AH1112" s="110"/>
      <c r="AI1112" s="110"/>
    </row>
    <row r="1113" spans="1:35" ht="15.75" customHeight="1">
      <c r="A1113" s="110"/>
      <c r="B1113" s="110"/>
      <c r="C1113" s="110"/>
      <c r="D1113" s="404"/>
      <c r="E1113" s="110"/>
      <c r="F1113" s="110"/>
      <c r="G1113" s="110"/>
      <c r="H1113" s="110"/>
      <c r="I1113" s="110"/>
      <c r="J1113" s="110"/>
      <c r="K1113" s="110"/>
      <c r="L1113" s="110"/>
      <c r="M1113" s="110"/>
      <c r="N1113" s="110"/>
      <c r="O1113" s="110"/>
      <c r="P1113" s="110"/>
      <c r="Q1113" s="110"/>
      <c r="R1113" s="110"/>
      <c r="S1113" s="110"/>
      <c r="T1113" s="110"/>
      <c r="U1113" s="110"/>
      <c r="V1113" s="110"/>
      <c r="W1113" s="110"/>
      <c r="X1113" s="110"/>
      <c r="Y1113" s="110"/>
      <c r="Z1113" s="351"/>
      <c r="AA1113" s="110"/>
      <c r="AB1113" s="330"/>
      <c r="AC1113" s="110"/>
      <c r="AD1113" s="110"/>
      <c r="AE1113" s="110"/>
      <c r="AF1113" s="110"/>
      <c r="AG1113" s="110"/>
      <c r="AH1113" s="110"/>
      <c r="AI1113" s="110"/>
    </row>
    <row r="1114" spans="1:35" ht="15.75" customHeight="1">
      <c r="A1114" s="110"/>
      <c r="B1114" s="110"/>
      <c r="C1114" s="110"/>
      <c r="D1114" s="404"/>
      <c r="E1114" s="110"/>
      <c r="F1114" s="110"/>
      <c r="G1114" s="110"/>
      <c r="H1114" s="110"/>
      <c r="I1114" s="110"/>
      <c r="J1114" s="110"/>
      <c r="K1114" s="110"/>
      <c r="L1114" s="110"/>
      <c r="M1114" s="110"/>
      <c r="N1114" s="110"/>
      <c r="O1114" s="110"/>
      <c r="P1114" s="110"/>
      <c r="Q1114" s="110"/>
      <c r="R1114" s="110"/>
      <c r="S1114" s="110"/>
      <c r="T1114" s="110"/>
      <c r="U1114" s="110"/>
      <c r="V1114" s="110"/>
      <c r="W1114" s="110"/>
      <c r="X1114" s="110"/>
      <c r="Y1114" s="110"/>
      <c r="Z1114" s="351"/>
      <c r="AA1114" s="110"/>
      <c r="AB1114" s="330"/>
      <c r="AC1114" s="110"/>
      <c r="AD1114" s="110"/>
      <c r="AE1114" s="110"/>
      <c r="AF1114" s="110"/>
      <c r="AG1114" s="110"/>
      <c r="AH1114" s="110"/>
      <c r="AI1114" s="110"/>
    </row>
    <row r="1115" spans="1:35" ht="15.75" customHeight="1">
      <c r="A1115" s="110"/>
      <c r="B1115" s="110"/>
      <c r="C1115" s="110"/>
      <c r="D1115" s="404"/>
      <c r="E1115" s="110"/>
      <c r="F1115" s="110"/>
      <c r="G1115" s="110"/>
      <c r="H1115" s="110"/>
      <c r="I1115" s="110"/>
      <c r="J1115" s="110"/>
      <c r="K1115" s="110"/>
      <c r="L1115" s="110"/>
      <c r="M1115" s="110"/>
      <c r="N1115" s="110"/>
      <c r="O1115" s="110"/>
      <c r="P1115" s="110"/>
      <c r="Q1115" s="110"/>
      <c r="R1115" s="110"/>
      <c r="S1115" s="110"/>
      <c r="T1115" s="110"/>
      <c r="U1115" s="110"/>
      <c r="V1115" s="110"/>
      <c r="W1115" s="110"/>
      <c r="X1115" s="110"/>
      <c r="Y1115" s="110"/>
      <c r="Z1115" s="351"/>
      <c r="AA1115" s="110"/>
      <c r="AB1115" s="330"/>
      <c r="AC1115" s="110"/>
      <c r="AD1115" s="110"/>
      <c r="AE1115" s="110"/>
      <c r="AF1115" s="110"/>
      <c r="AG1115" s="110"/>
      <c r="AH1115" s="110"/>
      <c r="AI1115" s="110"/>
    </row>
    <row r="1116" spans="1:35" ht="15.75" customHeight="1">
      <c r="A1116" s="110"/>
      <c r="B1116" s="110"/>
      <c r="C1116" s="110"/>
      <c r="D1116" s="404"/>
      <c r="E1116" s="110"/>
      <c r="F1116" s="110"/>
      <c r="G1116" s="110"/>
      <c r="H1116" s="110"/>
      <c r="I1116" s="110"/>
      <c r="J1116" s="110"/>
      <c r="K1116" s="110"/>
      <c r="L1116" s="110"/>
      <c r="M1116" s="110"/>
      <c r="N1116" s="110"/>
      <c r="O1116" s="110"/>
      <c r="P1116" s="110"/>
      <c r="Q1116" s="110"/>
      <c r="R1116" s="110"/>
      <c r="S1116" s="110"/>
      <c r="T1116" s="110"/>
      <c r="U1116" s="110"/>
      <c r="V1116" s="110"/>
      <c r="W1116" s="110"/>
      <c r="X1116" s="110"/>
      <c r="Y1116" s="110"/>
      <c r="Z1116" s="351"/>
      <c r="AA1116" s="110"/>
      <c r="AB1116" s="330"/>
      <c r="AC1116" s="110"/>
      <c r="AD1116" s="110"/>
      <c r="AE1116" s="110"/>
      <c r="AF1116" s="110"/>
      <c r="AG1116" s="110"/>
      <c r="AH1116" s="110"/>
      <c r="AI1116" s="110"/>
    </row>
    <row r="1117" spans="1:35" ht="15.75" customHeight="1">
      <c r="A1117" s="110"/>
      <c r="B1117" s="110"/>
      <c r="C1117" s="110"/>
      <c r="D1117" s="404"/>
      <c r="E1117" s="110"/>
      <c r="F1117" s="110"/>
      <c r="G1117" s="110"/>
      <c r="H1117" s="110"/>
      <c r="I1117" s="110"/>
      <c r="J1117" s="110"/>
      <c r="K1117" s="110"/>
      <c r="L1117" s="110"/>
      <c r="M1117" s="110"/>
      <c r="N1117" s="110"/>
      <c r="O1117" s="110"/>
      <c r="P1117" s="110"/>
      <c r="Q1117" s="110"/>
      <c r="R1117" s="110"/>
      <c r="S1117" s="110"/>
      <c r="T1117" s="110"/>
      <c r="U1117" s="110"/>
      <c r="V1117" s="110"/>
      <c r="W1117" s="110"/>
      <c r="X1117" s="110"/>
      <c r="Y1117" s="110"/>
      <c r="Z1117" s="351"/>
      <c r="AA1117" s="110"/>
      <c r="AB1117" s="330"/>
      <c r="AC1117" s="110"/>
      <c r="AD1117" s="110"/>
      <c r="AE1117" s="110"/>
      <c r="AF1117" s="110"/>
      <c r="AG1117" s="110"/>
      <c r="AH1117" s="110"/>
      <c r="AI1117" s="110"/>
    </row>
    <row r="1118" spans="1:35" ht="15.75" customHeight="1">
      <c r="A1118" s="110"/>
      <c r="B1118" s="110"/>
      <c r="C1118" s="110"/>
      <c r="D1118" s="404"/>
      <c r="E1118" s="110"/>
      <c r="F1118" s="110"/>
      <c r="G1118" s="110"/>
      <c r="H1118" s="110"/>
      <c r="I1118" s="110"/>
      <c r="J1118" s="110"/>
      <c r="K1118" s="110"/>
      <c r="L1118" s="110"/>
      <c r="M1118" s="110"/>
      <c r="N1118" s="110"/>
      <c r="O1118" s="110"/>
      <c r="P1118" s="110"/>
      <c r="Q1118" s="110"/>
      <c r="R1118" s="110"/>
      <c r="S1118" s="110"/>
      <c r="T1118" s="110"/>
      <c r="U1118" s="110"/>
      <c r="V1118" s="110"/>
      <c r="W1118" s="110"/>
      <c r="X1118" s="110"/>
      <c r="Y1118" s="110"/>
      <c r="Z1118" s="351"/>
      <c r="AA1118" s="110"/>
      <c r="AB1118" s="330"/>
      <c r="AC1118" s="110"/>
      <c r="AD1118" s="110"/>
      <c r="AE1118" s="110"/>
      <c r="AF1118" s="110"/>
      <c r="AG1118" s="110"/>
      <c r="AH1118" s="110"/>
      <c r="AI1118" s="110"/>
    </row>
    <row r="1119" spans="1:35" ht="15.75" customHeight="1">
      <c r="A1119" s="110"/>
      <c r="B1119" s="110"/>
      <c r="C1119" s="110"/>
      <c r="D1119" s="404"/>
      <c r="E1119" s="110"/>
      <c r="F1119" s="110"/>
      <c r="G1119" s="110"/>
      <c r="H1119" s="110"/>
      <c r="I1119" s="110"/>
      <c r="J1119" s="110"/>
      <c r="K1119" s="110"/>
      <c r="L1119" s="110"/>
      <c r="M1119" s="110"/>
      <c r="N1119" s="110"/>
      <c r="O1119" s="110"/>
      <c r="P1119" s="110"/>
      <c r="Q1119" s="110"/>
      <c r="R1119" s="110"/>
      <c r="S1119" s="110"/>
      <c r="T1119" s="110"/>
      <c r="U1119" s="110"/>
      <c r="V1119" s="110"/>
      <c r="W1119" s="110"/>
      <c r="X1119" s="110"/>
      <c r="Y1119" s="110"/>
      <c r="Z1119" s="351"/>
      <c r="AA1119" s="110"/>
      <c r="AB1119" s="330"/>
      <c r="AC1119" s="110"/>
      <c r="AD1119" s="110"/>
      <c r="AE1119" s="110"/>
      <c r="AF1119" s="110"/>
      <c r="AG1119" s="110"/>
      <c r="AH1119" s="110"/>
      <c r="AI1119" s="110"/>
    </row>
    <row r="1120" spans="1:35" ht="15.75" customHeight="1">
      <c r="A1120" s="110"/>
      <c r="B1120" s="110"/>
      <c r="C1120" s="110"/>
      <c r="D1120" s="404"/>
      <c r="E1120" s="110"/>
      <c r="F1120" s="110"/>
      <c r="G1120" s="110"/>
      <c r="H1120" s="110"/>
      <c r="I1120" s="110"/>
      <c r="J1120" s="110"/>
      <c r="K1120" s="110"/>
      <c r="L1120" s="110"/>
      <c r="M1120" s="110"/>
      <c r="N1120" s="110"/>
      <c r="O1120" s="110"/>
      <c r="P1120" s="110"/>
      <c r="Q1120" s="110"/>
      <c r="R1120" s="110"/>
      <c r="S1120" s="110"/>
      <c r="T1120" s="110"/>
      <c r="U1120" s="110"/>
      <c r="V1120" s="110"/>
      <c r="W1120" s="110"/>
      <c r="X1120" s="110"/>
      <c r="Y1120" s="110"/>
      <c r="Z1120" s="351"/>
      <c r="AA1120" s="110"/>
      <c r="AB1120" s="330"/>
      <c r="AC1120" s="110"/>
      <c r="AD1120" s="110"/>
      <c r="AE1120" s="110"/>
      <c r="AF1120" s="110"/>
      <c r="AG1120" s="110"/>
      <c r="AH1120" s="110"/>
      <c r="AI1120" s="110"/>
    </row>
    <row r="1121" spans="1:35" ht="15.75" customHeight="1">
      <c r="A1121" s="110"/>
      <c r="B1121" s="110"/>
      <c r="C1121" s="110"/>
      <c r="D1121" s="404"/>
      <c r="E1121" s="110"/>
      <c r="F1121" s="110"/>
      <c r="G1121" s="110"/>
      <c r="H1121" s="110"/>
      <c r="I1121" s="110"/>
      <c r="J1121" s="110"/>
      <c r="K1121" s="110"/>
      <c r="L1121" s="110"/>
      <c r="M1121" s="110"/>
      <c r="N1121" s="110"/>
      <c r="O1121" s="110"/>
      <c r="P1121" s="110"/>
      <c r="Q1121" s="110"/>
      <c r="R1121" s="110"/>
      <c r="S1121" s="110"/>
      <c r="T1121" s="110"/>
      <c r="U1121" s="110"/>
      <c r="V1121" s="110"/>
      <c r="W1121" s="110"/>
      <c r="X1121" s="110"/>
      <c r="Y1121" s="110"/>
      <c r="Z1121" s="351"/>
      <c r="AA1121" s="110"/>
      <c r="AB1121" s="330"/>
      <c r="AC1121" s="110"/>
      <c r="AD1121" s="110"/>
      <c r="AE1121" s="110"/>
      <c r="AF1121" s="110"/>
      <c r="AG1121" s="110"/>
      <c r="AH1121" s="110"/>
      <c r="AI1121" s="110"/>
    </row>
    <row r="1122" spans="1:35" ht="15.75" customHeight="1">
      <c r="A1122" s="110"/>
      <c r="B1122" s="110"/>
      <c r="C1122" s="110"/>
      <c r="D1122" s="404"/>
      <c r="E1122" s="110"/>
      <c r="F1122" s="110"/>
      <c r="G1122" s="110"/>
      <c r="H1122" s="110"/>
      <c r="I1122" s="110"/>
      <c r="J1122" s="110"/>
      <c r="K1122" s="110"/>
      <c r="L1122" s="110"/>
      <c r="M1122" s="110"/>
      <c r="N1122" s="110"/>
      <c r="O1122" s="110"/>
      <c r="P1122" s="110"/>
      <c r="Q1122" s="110"/>
      <c r="R1122" s="110"/>
      <c r="S1122" s="110"/>
      <c r="T1122" s="110"/>
      <c r="U1122" s="110"/>
      <c r="V1122" s="110"/>
      <c r="W1122" s="110"/>
      <c r="X1122" s="110"/>
      <c r="Y1122" s="110"/>
      <c r="Z1122" s="351"/>
      <c r="AA1122" s="110"/>
      <c r="AB1122" s="330"/>
      <c r="AC1122" s="110"/>
      <c r="AD1122" s="110"/>
      <c r="AE1122" s="110"/>
      <c r="AF1122" s="110"/>
      <c r="AG1122" s="110"/>
      <c r="AH1122" s="110"/>
      <c r="AI1122" s="110"/>
    </row>
    <row r="1123" spans="1:35" ht="15.75" customHeight="1">
      <c r="A1123" s="110"/>
      <c r="B1123" s="110"/>
      <c r="C1123" s="110"/>
      <c r="D1123" s="404"/>
      <c r="E1123" s="110"/>
      <c r="F1123" s="110"/>
      <c r="G1123" s="110"/>
      <c r="H1123" s="110"/>
      <c r="I1123" s="110"/>
      <c r="J1123" s="110"/>
      <c r="K1123" s="110"/>
      <c r="L1123" s="110"/>
      <c r="M1123" s="110"/>
      <c r="N1123" s="110"/>
      <c r="O1123" s="110"/>
      <c r="P1123" s="110"/>
      <c r="Q1123" s="110"/>
      <c r="R1123" s="110"/>
      <c r="S1123" s="110"/>
      <c r="T1123" s="110"/>
      <c r="U1123" s="110"/>
      <c r="V1123" s="110"/>
      <c r="W1123" s="110"/>
      <c r="X1123" s="110"/>
      <c r="Y1123" s="110"/>
      <c r="Z1123" s="351"/>
      <c r="AA1123" s="110"/>
      <c r="AB1123" s="330"/>
      <c r="AC1123" s="110"/>
      <c r="AD1123" s="110"/>
      <c r="AE1123" s="110"/>
      <c r="AF1123" s="110"/>
      <c r="AG1123" s="110"/>
      <c r="AH1123" s="110"/>
      <c r="AI1123" s="110"/>
    </row>
    <row r="1124" spans="1:35" ht="15.75" customHeight="1">
      <c r="A1124" s="110"/>
      <c r="B1124" s="110"/>
      <c r="C1124" s="110"/>
      <c r="D1124" s="404"/>
      <c r="E1124" s="110"/>
      <c r="F1124" s="110"/>
      <c r="G1124" s="110"/>
      <c r="H1124" s="110"/>
      <c r="I1124" s="110"/>
      <c r="J1124" s="110"/>
      <c r="K1124" s="110"/>
      <c r="L1124" s="110"/>
      <c r="M1124" s="110"/>
      <c r="N1124" s="110"/>
      <c r="O1124" s="110"/>
      <c r="P1124" s="110"/>
      <c r="Q1124" s="110"/>
      <c r="R1124" s="110"/>
      <c r="S1124" s="110"/>
      <c r="T1124" s="110"/>
      <c r="U1124" s="110"/>
      <c r="V1124" s="110"/>
      <c r="W1124" s="110"/>
      <c r="X1124" s="110"/>
      <c r="Y1124" s="110"/>
      <c r="Z1124" s="351"/>
      <c r="AA1124" s="110"/>
      <c r="AB1124" s="330"/>
      <c r="AC1124" s="110"/>
      <c r="AD1124" s="110"/>
      <c r="AE1124" s="110"/>
      <c r="AF1124" s="110"/>
      <c r="AG1124" s="110"/>
      <c r="AH1124" s="110"/>
      <c r="AI1124" s="110"/>
    </row>
    <row r="1125" spans="1:35" ht="15.75" customHeight="1">
      <c r="A1125" s="110"/>
      <c r="B1125" s="110"/>
      <c r="C1125" s="110"/>
      <c r="D1125" s="404"/>
      <c r="E1125" s="110"/>
      <c r="F1125" s="110"/>
      <c r="G1125" s="110"/>
      <c r="H1125" s="110"/>
      <c r="I1125" s="110"/>
      <c r="J1125" s="110"/>
      <c r="K1125" s="110"/>
      <c r="L1125" s="110"/>
      <c r="M1125" s="110"/>
      <c r="N1125" s="110"/>
      <c r="O1125" s="110"/>
      <c r="P1125" s="110"/>
      <c r="Q1125" s="110"/>
      <c r="R1125" s="110"/>
      <c r="S1125" s="110"/>
      <c r="T1125" s="110"/>
      <c r="U1125" s="110"/>
      <c r="V1125" s="110"/>
      <c r="W1125" s="110"/>
      <c r="X1125" s="110"/>
      <c r="Y1125" s="110"/>
      <c r="Z1125" s="351"/>
      <c r="AA1125" s="110"/>
      <c r="AB1125" s="330"/>
      <c r="AC1125" s="110"/>
      <c r="AD1125" s="110"/>
      <c r="AE1125" s="110"/>
      <c r="AF1125" s="110"/>
      <c r="AG1125" s="110"/>
      <c r="AH1125" s="110"/>
      <c r="AI1125" s="110"/>
    </row>
    <row r="1126" spans="1:35" ht="15.75" customHeight="1">
      <c r="A1126" s="110"/>
      <c r="B1126" s="110"/>
      <c r="C1126" s="110"/>
      <c r="D1126" s="404"/>
      <c r="E1126" s="110"/>
      <c r="F1126" s="110"/>
      <c r="G1126" s="110"/>
      <c r="H1126" s="110"/>
      <c r="I1126" s="110"/>
      <c r="J1126" s="110"/>
      <c r="K1126" s="110"/>
      <c r="L1126" s="110"/>
      <c r="M1126" s="110"/>
      <c r="N1126" s="110"/>
      <c r="O1126" s="110"/>
      <c r="P1126" s="110"/>
      <c r="Q1126" s="110"/>
      <c r="R1126" s="110"/>
      <c r="S1126" s="110"/>
      <c r="T1126" s="110"/>
      <c r="U1126" s="110"/>
      <c r="V1126" s="110"/>
      <c r="W1126" s="110"/>
      <c r="X1126" s="110"/>
      <c r="Y1126" s="110"/>
      <c r="Z1126" s="351"/>
      <c r="AA1126" s="110"/>
      <c r="AB1126" s="330"/>
      <c r="AC1126" s="110"/>
      <c r="AD1126" s="110"/>
      <c r="AE1126" s="110"/>
      <c r="AF1126" s="110"/>
      <c r="AG1126" s="110"/>
      <c r="AH1126" s="110"/>
      <c r="AI1126" s="110"/>
    </row>
    <row r="1127" spans="1:35" ht="15.75" customHeight="1">
      <c r="A1127" s="110"/>
      <c r="B1127" s="110"/>
      <c r="C1127" s="110"/>
      <c r="D1127" s="404"/>
      <c r="E1127" s="110"/>
      <c r="F1127" s="110"/>
      <c r="G1127" s="110"/>
      <c r="H1127" s="110"/>
      <c r="I1127" s="110"/>
      <c r="J1127" s="110"/>
      <c r="K1127" s="110"/>
      <c r="L1127" s="110"/>
      <c r="M1127" s="110"/>
      <c r="N1127" s="110"/>
      <c r="O1127" s="110"/>
      <c r="P1127" s="110"/>
      <c r="Q1127" s="110"/>
      <c r="R1127" s="110"/>
      <c r="S1127" s="110"/>
      <c r="T1127" s="110"/>
      <c r="U1127" s="110"/>
      <c r="V1127" s="110"/>
      <c r="W1127" s="110"/>
      <c r="X1127" s="110"/>
      <c r="Y1127" s="110"/>
      <c r="Z1127" s="351"/>
      <c r="AA1127" s="110"/>
      <c r="AB1127" s="330"/>
      <c r="AC1127" s="110"/>
      <c r="AD1127" s="110"/>
      <c r="AE1127" s="110"/>
      <c r="AF1127" s="110"/>
      <c r="AG1127" s="110"/>
      <c r="AH1127" s="110"/>
      <c r="AI1127" s="110"/>
    </row>
    <row r="1128" spans="1:35" ht="15.75" customHeight="1">
      <c r="A1128" s="110"/>
      <c r="B1128" s="110"/>
      <c r="C1128" s="110"/>
      <c r="D1128" s="404"/>
      <c r="E1128" s="110"/>
      <c r="F1128" s="110"/>
      <c r="G1128" s="110"/>
      <c r="H1128" s="110"/>
      <c r="I1128" s="110"/>
      <c r="J1128" s="110"/>
      <c r="K1128" s="110"/>
      <c r="L1128" s="110"/>
      <c r="M1128" s="110"/>
      <c r="N1128" s="110"/>
      <c r="O1128" s="110"/>
      <c r="P1128" s="110"/>
      <c r="Q1128" s="110"/>
      <c r="R1128" s="110"/>
      <c r="S1128" s="110"/>
      <c r="T1128" s="110"/>
      <c r="U1128" s="110"/>
      <c r="V1128" s="110"/>
      <c r="W1128" s="110"/>
      <c r="X1128" s="110"/>
      <c r="Y1128" s="110"/>
      <c r="Z1128" s="351"/>
      <c r="AA1128" s="110"/>
      <c r="AB1128" s="330"/>
      <c r="AC1128" s="110"/>
      <c r="AD1128" s="110"/>
      <c r="AE1128" s="110"/>
      <c r="AF1128" s="110"/>
      <c r="AG1128" s="110"/>
      <c r="AH1128" s="110"/>
      <c r="AI1128" s="110"/>
    </row>
    <row r="1129" spans="1:35" ht="15.75" customHeight="1">
      <c r="A1129" s="110"/>
      <c r="B1129" s="110"/>
      <c r="C1129" s="110"/>
      <c r="D1129" s="404"/>
      <c r="E1129" s="110"/>
      <c r="F1129" s="110"/>
      <c r="G1129" s="110"/>
      <c r="H1129" s="110"/>
      <c r="I1129" s="110"/>
      <c r="J1129" s="110"/>
      <c r="K1129" s="110"/>
      <c r="L1129" s="110"/>
      <c r="M1129" s="110"/>
      <c r="N1129" s="110"/>
      <c r="O1129" s="110"/>
      <c r="P1129" s="110"/>
      <c r="Q1129" s="110"/>
      <c r="R1129" s="110"/>
      <c r="S1129" s="110"/>
      <c r="T1129" s="110"/>
      <c r="U1129" s="110"/>
      <c r="V1129" s="110"/>
      <c r="W1129" s="110"/>
      <c r="X1129" s="110"/>
      <c r="Y1129" s="110"/>
      <c r="Z1129" s="351"/>
      <c r="AA1129" s="110"/>
      <c r="AB1129" s="330"/>
      <c r="AC1129" s="110"/>
      <c r="AD1129" s="110"/>
      <c r="AE1129" s="110"/>
      <c r="AF1129" s="110"/>
      <c r="AG1129" s="110"/>
      <c r="AH1129" s="110"/>
      <c r="AI1129" s="110"/>
    </row>
    <row r="1130" spans="1:35" ht="15.75" customHeight="1">
      <c r="A1130" s="110"/>
      <c r="B1130" s="110"/>
      <c r="C1130" s="110"/>
      <c r="D1130" s="404"/>
      <c r="E1130" s="110"/>
      <c r="F1130" s="110"/>
      <c r="G1130" s="110"/>
      <c r="H1130" s="110"/>
      <c r="I1130" s="110"/>
      <c r="J1130" s="110"/>
      <c r="K1130" s="110"/>
      <c r="L1130" s="110"/>
      <c r="M1130" s="110"/>
      <c r="N1130" s="110"/>
      <c r="O1130" s="110"/>
      <c r="P1130" s="110"/>
      <c r="Q1130" s="110"/>
      <c r="R1130" s="110"/>
      <c r="S1130" s="110"/>
      <c r="T1130" s="110"/>
      <c r="U1130" s="110"/>
      <c r="V1130" s="110"/>
      <c r="W1130" s="110"/>
      <c r="X1130" s="110"/>
      <c r="Y1130" s="110"/>
      <c r="Z1130" s="351"/>
      <c r="AA1130" s="110"/>
      <c r="AB1130" s="330"/>
      <c r="AC1130" s="110"/>
      <c r="AD1130" s="110"/>
      <c r="AE1130" s="110"/>
      <c r="AF1130" s="110"/>
      <c r="AG1130" s="110"/>
      <c r="AH1130" s="110"/>
      <c r="AI1130" s="110"/>
    </row>
    <row r="1131" spans="1:35" ht="15.75" customHeight="1">
      <c r="A1131" s="110"/>
      <c r="B1131" s="110"/>
      <c r="C1131" s="110"/>
      <c r="D1131" s="404"/>
      <c r="E1131" s="110"/>
      <c r="F1131" s="110"/>
      <c r="G1131" s="110"/>
      <c r="H1131" s="110"/>
      <c r="I1131" s="110"/>
      <c r="J1131" s="110"/>
      <c r="K1131" s="110"/>
      <c r="L1131" s="110"/>
      <c r="M1131" s="110"/>
      <c r="N1131" s="110"/>
      <c r="O1131" s="110"/>
      <c r="P1131" s="110"/>
      <c r="Q1131" s="110"/>
      <c r="R1131" s="110"/>
      <c r="S1131" s="110"/>
      <c r="T1131" s="110"/>
      <c r="U1131" s="110"/>
      <c r="V1131" s="110"/>
      <c r="W1131" s="110"/>
      <c r="X1131" s="110"/>
      <c r="Y1131" s="110"/>
      <c r="Z1131" s="351"/>
      <c r="AA1131" s="110"/>
      <c r="AB1131" s="330"/>
      <c r="AC1131" s="110"/>
      <c r="AD1131" s="110"/>
      <c r="AE1131" s="110"/>
      <c r="AF1131" s="110"/>
      <c r="AG1131" s="110"/>
      <c r="AH1131" s="110"/>
      <c r="AI1131" s="110"/>
    </row>
    <row r="1132" spans="1:35" ht="15.75" customHeight="1">
      <c r="A1132" s="110"/>
      <c r="B1132" s="110"/>
      <c r="C1132" s="110"/>
      <c r="D1132" s="404"/>
      <c r="E1132" s="110"/>
      <c r="F1132" s="110"/>
      <c r="G1132" s="110"/>
      <c r="H1132" s="110"/>
      <c r="I1132" s="110"/>
      <c r="J1132" s="110"/>
      <c r="K1132" s="110"/>
      <c r="L1132" s="110"/>
      <c r="M1132" s="110"/>
      <c r="N1132" s="110"/>
      <c r="O1132" s="110"/>
      <c r="P1132" s="110"/>
      <c r="Q1132" s="110"/>
      <c r="R1132" s="110"/>
      <c r="S1132" s="110"/>
      <c r="T1132" s="110"/>
      <c r="U1132" s="110"/>
      <c r="V1132" s="110"/>
      <c r="W1132" s="110"/>
      <c r="X1132" s="110"/>
      <c r="Y1132" s="110"/>
      <c r="Z1132" s="351"/>
      <c r="AA1132" s="110"/>
      <c r="AB1132" s="330"/>
      <c r="AC1132" s="110"/>
      <c r="AD1132" s="110"/>
      <c r="AE1132" s="110"/>
      <c r="AF1132" s="110"/>
      <c r="AG1132" s="110"/>
      <c r="AH1132" s="110"/>
      <c r="AI1132" s="110"/>
    </row>
    <row r="1133" spans="1:35" ht="15.75" customHeight="1">
      <c r="A1133" s="110"/>
      <c r="B1133" s="110"/>
      <c r="C1133" s="110"/>
      <c r="D1133" s="404"/>
      <c r="E1133" s="110"/>
      <c r="F1133" s="110"/>
      <c r="G1133" s="110"/>
      <c r="H1133" s="110"/>
      <c r="I1133" s="110"/>
      <c r="J1133" s="110"/>
      <c r="K1133" s="110"/>
      <c r="L1133" s="110"/>
      <c r="M1133" s="110"/>
      <c r="N1133" s="110"/>
      <c r="O1133" s="110"/>
      <c r="P1133" s="110"/>
      <c r="Q1133" s="110"/>
      <c r="R1133" s="110"/>
      <c r="S1133" s="110"/>
      <c r="T1133" s="110"/>
      <c r="U1133" s="110"/>
      <c r="V1133" s="110"/>
      <c r="W1133" s="110"/>
      <c r="X1133" s="110"/>
      <c r="Y1133" s="110"/>
      <c r="Z1133" s="351"/>
      <c r="AA1133" s="110"/>
      <c r="AB1133" s="330"/>
      <c r="AC1133" s="110"/>
      <c r="AD1133" s="110"/>
      <c r="AE1133" s="110"/>
      <c r="AF1133" s="110"/>
      <c r="AG1133" s="110"/>
      <c r="AH1133" s="110"/>
      <c r="AI1133" s="110"/>
    </row>
    <row r="1134" spans="1:35" ht="15.75" customHeight="1">
      <c r="A1134" s="110"/>
      <c r="B1134" s="110"/>
      <c r="C1134" s="110"/>
      <c r="D1134" s="404"/>
      <c r="E1134" s="110"/>
      <c r="F1134" s="110"/>
      <c r="G1134" s="110"/>
      <c r="H1134" s="110"/>
      <c r="I1134" s="110"/>
      <c r="J1134" s="110"/>
      <c r="K1134" s="110"/>
      <c r="L1134" s="110"/>
      <c r="M1134" s="110"/>
      <c r="N1134" s="110"/>
      <c r="O1134" s="110"/>
      <c r="P1134" s="110"/>
      <c r="Q1134" s="110"/>
      <c r="R1134" s="110"/>
      <c r="S1134" s="110"/>
      <c r="T1134" s="110"/>
      <c r="U1134" s="110"/>
      <c r="V1134" s="110"/>
      <c r="W1134" s="110"/>
      <c r="X1134" s="110"/>
      <c r="Y1134" s="110"/>
      <c r="Z1134" s="351"/>
      <c r="AA1134" s="110"/>
      <c r="AB1134" s="330"/>
      <c r="AC1134" s="110"/>
      <c r="AD1134" s="110"/>
      <c r="AE1134" s="110"/>
      <c r="AF1134" s="110"/>
      <c r="AG1134" s="110"/>
      <c r="AH1134" s="110"/>
      <c r="AI1134" s="110"/>
    </row>
    <row r="1135" spans="1:35" ht="15.75" customHeight="1">
      <c r="A1135" s="110"/>
      <c r="B1135" s="110"/>
      <c r="C1135" s="110"/>
      <c r="D1135" s="404"/>
      <c r="E1135" s="110"/>
      <c r="F1135" s="110"/>
      <c r="G1135" s="110"/>
      <c r="H1135" s="110"/>
      <c r="I1135" s="110"/>
      <c r="J1135" s="110"/>
      <c r="K1135" s="110"/>
      <c r="L1135" s="110"/>
      <c r="M1135" s="110"/>
      <c r="N1135" s="110"/>
      <c r="O1135" s="110"/>
      <c r="P1135" s="110"/>
      <c r="Q1135" s="110"/>
      <c r="R1135" s="110"/>
      <c r="S1135" s="110"/>
      <c r="T1135" s="110"/>
      <c r="U1135" s="110"/>
      <c r="V1135" s="110"/>
      <c r="W1135" s="110"/>
      <c r="X1135" s="110"/>
      <c r="Y1135" s="110"/>
      <c r="Z1135" s="351"/>
      <c r="AA1135" s="110"/>
      <c r="AB1135" s="330"/>
      <c r="AC1135" s="110"/>
      <c r="AD1135" s="110"/>
      <c r="AE1135" s="110"/>
      <c r="AF1135" s="110"/>
      <c r="AG1135" s="110"/>
      <c r="AH1135" s="110"/>
      <c r="AI1135" s="110"/>
    </row>
    <row r="1136" spans="1:35" ht="15.75" customHeight="1">
      <c r="A1136" s="110"/>
      <c r="B1136" s="110"/>
      <c r="C1136" s="110"/>
      <c r="D1136" s="404"/>
      <c r="E1136" s="110"/>
      <c r="F1136" s="110"/>
      <c r="G1136" s="110"/>
      <c r="H1136" s="110"/>
      <c r="I1136" s="110"/>
      <c r="J1136" s="110"/>
      <c r="K1136" s="110"/>
      <c r="L1136" s="110"/>
      <c r="M1136" s="110"/>
      <c r="N1136" s="110"/>
      <c r="O1136" s="110"/>
      <c r="P1136" s="110"/>
      <c r="Q1136" s="110"/>
      <c r="R1136" s="110"/>
      <c r="S1136" s="110"/>
      <c r="T1136" s="110"/>
      <c r="U1136" s="110"/>
      <c r="V1136" s="110"/>
      <c r="W1136" s="110"/>
      <c r="X1136" s="110"/>
      <c r="Y1136" s="110"/>
      <c r="Z1136" s="351"/>
      <c r="AA1136" s="110"/>
      <c r="AB1136" s="330"/>
      <c r="AC1136" s="110"/>
      <c r="AD1136" s="110"/>
      <c r="AE1136" s="110"/>
      <c r="AF1136" s="110"/>
      <c r="AG1136" s="110"/>
      <c r="AH1136" s="110"/>
      <c r="AI1136" s="110"/>
    </row>
    <row r="1137" spans="1:35" ht="15.75" customHeight="1">
      <c r="A1137" s="110"/>
      <c r="B1137" s="110"/>
      <c r="C1137" s="110"/>
      <c r="D1137" s="404"/>
      <c r="E1137" s="110"/>
      <c r="F1137" s="110"/>
      <c r="G1137" s="110"/>
      <c r="H1137" s="110"/>
      <c r="I1137" s="110"/>
      <c r="J1137" s="110"/>
      <c r="K1137" s="110"/>
      <c r="L1137" s="110"/>
      <c r="M1137" s="110"/>
      <c r="N1137" s="110"/>
      <c r="O1137" s="110"/>
      <c r="P1137" s="110"/>
      <c r="Q1137" s="110"/>
      <c r="R1137" s="110"/>
      <c r="S1137" s="110"/>
      <c r="T1137" s="110"/>
      <c r="U1137" s="110"/>
      <c r="V1137" s="110"/>
      <c r="W1137" s="110"/>
      <c r="X1137" s="110"/>
      <c r="Y1137" s="110"/>
      <c r="Z1137" s="351"/>
      <c r="AA1137" s="110"/>
      <c r="AB1137" s="330"/>
      <c r="AC1137" s="110"/>
      <c r="AD1137" s="110"/>
      <c r="AE1137" s="110"/>
      <c r="AF1137" s="110"/>
      <c r="AG1137" s="110"/>
      <c r="AH1137" s="110"/>
      <c r="AI1137" s="110"/>
    </row>
    <row r="1138" spans="1:35" ht="15.75" customHeight="1">
      <c r="A1138" s="110"/>
      <c r="B1138" s="110"/>
      <c r="C1138" s="110"/>
      <c r="D1138" s="404"/>
      <c r="E1138" s="110"/>
      <c r="F1138" s="110"/>
      <c r="G1138" s="110"/>
      <c r="H1138" s="110"/>
      <c r="I1138" s="110"/>
      <c r="J1138" s="110"/>
      <c r="K1138" s="110"/>
      <c r="L1138" s="110"/>
      <c r="M1138" s="110"/>
      <c r="N1138" s="110"/>
      <c r="O1138" s="110"/>
      <c r="P1138" s="110"/>
      <c r="Q1138" s="110"/>
      <c r="R1138" s="110"/>
      <c r="S1138" s="110"/>
      <c r="T1138" s="110"/>
      <c r="U1138" s="110"/>
      <c r="V1138" s="110"/>
      <c r="W1138" s="110"/>
      <c r="X1138" s="110"/>
      <c r="Y1138" s="110"/>
      <c r="Z1138" s="351"/>
      <c r="AA1138" s="110"/>
      <c r="AB1138" s="330"/>
      <c r="AC1138" s="110"/>
      <c r="AD1138" s="110"/>
      <c r="AE1138" s="110"/>
      <c r="AF1138" s="110"/>
      <c r="AG1138" s="110"/>
      <c r="AH1138" s="110"/>
      <c r="AI1138" s="110"/>
    </row>
    <row r="1139" spans="1:35" ht="15.75" customHeight="1">
      <c r="A1139" s="110"/>
      <c r="B1139" s="110"/>
      <c r="C1139" s="110"/>
      <c r="D1139" s="404"/>
      <c r="E1139" s="110"/>
      <c r="F1139" s="110"/>
      <c r="G1139" s="110"/>
      <c r="H1139" s="110"/>
      <c r="I1139" s="110"/>
      <c r="J1139" s="110"/>
      <c r="K1139" s="110"/>
      <c r="L1139" s="110"/>
      <c r="M1139" s="110"/>
      <c r="N1139" s="110"/>
      <c r="O1139" s="110"/>
      <c r="P1139" s="110"/>
      <c r="Q1139" s="110"/>
      <c r="R1139" s="110"/>
      <c r="S1139" s="110"/>
      <c r="T1139" s="110"/>
      <c r="U1139" s="110"/>
      <c r="V1139" s="110"/>
      <c r="W1139" s="110"/>
      <c r="X1139" s="110"/>
      <c r="Y1139" s="110"/>
      <c r="Z1139" s="351"/>
      <c r="AA1139" s="110"/>
      <c r="AB1139" s="330"/>
      <c r="AC1139" s="110"/>
      <c r="AD1139" s="110"/>
      <c r="AE1139" s="110"/>
      <c r="AF1139" s="110"/>
      <c r="AG1139" s="110"/>
      <c r="AH1139" s="110"/>
      <c r="AI1139" s="110"/>
    </row>
    <row r="1140" spans="1:35" ht="15.75" customHeight="1">
      <c r="A1140" s="110"/>
      <c r="B1140" s="110"/>
      <c r="C1140" s="110"/>
      <c r="D1140" s="404"/>
      <c r="E1140" s="110"/>
      <c r="F1140" s="110"/>
      <c r="G1140" s="110"/>
      <c r="H1140" s="110"/>
      <c r="I1140" s="110"/>
      <c r="J1140" s="110"/>
      <c r="K1140" s="110"/>
      <c r="L1140" s="110"/>
      <c r="M1140" s="110"/>
      <c r="N1140" s="110"/>
      <c r="O1140" s="110"/>
      <c r="P1140" s="110"/>
      <c r="Q1140" s="110"/>
      <c r="R1140" s="110"/>
      <c r="S1140" s="110"/>
      <c r="T1140" s="110"/>
      <c r="U1140" s="110"/>
      <c r="V1140" s="110"/>
      <c r="W1140" s="110"/>
      <c r="X1140" s="110"/>
      <c r="Y1140" s="110"/>
      <c r="Z1140" s="351"/>
      <c r="AA1140" s="110"/>
      <c r="AB1140" s="330"/>
      <c r="AC1140" s="110"/>
      <c r="AD1140" s="110"/>
      <c r="AE1140" s="110"/>
      <c r="AF1140" s="110"/>
      <c r="AG1140" s="110"/>
      <c r="AH1140" s="110"/>
      <c r="AI1140" s="110"/>
    </row>
    <row r="1141" spans="1:35" ht="15.75" customHeight="1">
      <c r="A1141" s="110"/>
      <c r="B1141" s="110"/>
      <c r="C1141" s="110"/>
      <c r="D1141" s="404"/>
      <c r="E1141" s="110"/>
      <c r="F1141" s="110"/>
      <c r="G1141" s="110"/>
      <c r="H1141" s="110"/>
      <c r="I1141" s="110"/>
      <c r="J1141" s="110"/>
      <c r="K1141" s="110"/>
      <c r="L1141" s="110"/>
      <c r="M1141" s="110"/>
      <c r="N1141" s="110"/>
      <c r="O1141" s="110"/>
      <c r="P1141" s="110"/>
      <c r="Q1141" s="110"/>
      <c r="R1141" s="110"/>
      <c r="S1141" s="110"/>
      <c r="T1141" s="110"/>
      <c r="U1141" s="110"/>
      <c r="V1141" s="110"/>
      <c r="W1141" s="110"/>
      <c r="X1141" s="110"/>
      <c r="Y1141" s="110"/>
      <c r="Z1141" s="351"/>
      <c r="AA1141" s="110"/>
      <c r="AB1141" s="330"/>
      <c r="AC1141" s="110"/>
      <c r="AD1141" s="110"/>
      <c r="AE1141" s="110"/>
      <c r="AF1141" s="110"/>
      <c r="AG1141" s="110"/>
      <c r="AH1141" s="110"/>
      <c r="AI1141" s="110"/>
    </row>
    <row r="1142" spans="1:35" ht="15.75" customHeight="1">
      <c r="A1142" s="110"/>
      <c r="B1142" s="110"/>
      <c r="C1142" s="110"/>
      <c r="D1142" s="404"/>
      <c r="E1142" s="110"/>
      <c r="F1142" s="110"/>
      <c r="G1142" s="110"/>
      <c r="H1142" s="110"/>
      <c r="I1142" s="110"/>
      <c r="J1142" s="110"/>
      <c r="K1142" s="110"/>
      <c r="L1142" s="110"/>
      <c r="M1142" s="110"/>
      <c r="N1142" s="110"/>
      <c r="O1142" s="110"/>
      <c r="P1142" s="110"/>
      <c r="Q1142" s="110"/>
      <c r="R1142" s="110"/>
      <c r="S1142" s="110"/>
      <c r="T1142" s="110"/>
      <c r="U1142" s="110"/>
      <c r="V1142" s="110"/>
      <c r="W1142" s="110"/>
      <c r="X1142" s="110"/>
      <c r="Y1142" s="110"/>
      <c r="Z1142" s="351"/>
      <c r="AA1142" s="110"/>
      <c r="AB1142" s="330"/>
      <c r="AC1142" s="110"/>
      <c r="AD1142" s="110"/>
      <c r="AE1142" s="110"/>
      <c r="AF1142" s="110"/>
      <c r="AG1142" s="110"/>
      <c r="AH1142" s="110"/>
      <c r="AI1142" s="110"/>
    </row>
    <row r="1143" spans="1:35" ht="15.75" customHeight="1">
      <c r="A1143" s="110"/>
      <c r="B1143" s="110"/>
      <c r="C1143" s="110"/>
      <c r="D1143" s="404"/>
      <c r="E1143" s="110"/>
      <c r="F1143" s="110"/>
      <c r="G1143" s="110"/>
      <c r="H1143" s="110"/>
      <c r="I1143" s="110"/>
      <c r="J1143" s="110"/>
      <c r="K1143" s="110"/>
      <c r="L1143" s="110"/>
      <c r="M1143" s="110"/>
      <c r="N1143" s="110"/>
      <c r="O1143" s="110"/>
      <c r="P1143" s="110"/>
      <c r="Q1143" s="110"/>
      <c r="R1143" s="110"/>
      <c r="S1143" s="110"/>
      <c r="T1143" s="110"/>
      <c r="U1143" s="110"/>
      <c r="V1143" s="110"/>
      <c r="W1143" s="110"/>
      <c r="X1143" s="110"/>
      <c r="Y1143" s="110"/>
      <c r="Z1143" s="351"/>
      <c r="AA1143" s="110"/>
      <c r="AB1143" s="330"/>
      <c r="AC1143" s="110"/>
      <c r="AD1143" s="110"/>
      <c r="AE1143" s="110"/>
      <c r="AF1143" s="110"/>
      <c r="AG1143" s="110"/>
      <c r="AH1143" s="110"/>
      <c r="AI1143" s="110"/>
    </row>
    <row r="1144" spans="1:35" ht="15.75" customHeight="1">
      <c r="A1144" s="110"/>
      <c r="B1144" s="110"/>
      <c r="C1144" s="110"/>
      <c r="D1144" s="404"/>
      <c r="E1144" s="110"/>
      <c r="F1144" s="110"/>
      <c r="G1144" s="110"/>
      <c r="H1144" s="110"/>
      <c r="I1144" s="110"/>
      <c r="J1144" s="110"/>
      <c r="K1144" s="110"/>
      <c r="L1144" s="110"/>
      <c r="M1144" s="110"/>
      <c r="N1144" s="110"/>
      <c r="O1144" s="110"/>
      <c r="P1144" s="110"/>
      <c r="Q1144" s="110"/>
      <c r="R1144" s="110"/>
      <c r="S1144" s="110"/>
      <c r="T1144" s="110"/>
      <c r="U1144" s="110"/>
      <c r="V1144" s="110"/>
      <c r="W1144" s="110"/>
      <c r="X1144" s="110"/>
      <c r="Y1144" s="110"/>
      <c r="Z1144" s="351"/>
      <c r="AA1144" s="110"/>
      <c r="AB1144" s="330"/>
      <c r="AC1144" s="110"/>
      <c r="AD1144" s="110"/>
      <c r="AE1144" s="110"/>
      <c r="AF1144" s="110"/>
      <c r="AG1144" s="110"/>
      <c r="AH1144" s="110"/>
      <c r="AI1144" s="110"/>
    </row>
    <row r="1145" spans="1:35" ht="15.75" customHeight="1">
      <c r="A1145" s="110"/>
      <c r="B1145" s="110"/>
      <c r="C1145" s="110"/>
      <c r="D1145" s="404"/>
      <c r="E1145" s="110"/>
      <c r="F1145" s="110"/>
      <c r="G1145" s="110"/>
      <c r="H1145" s="110"/>
      <c r="I1145" s="110"/>
      <c r="J1145" s="110"/>
      <c r="K1145" s="110"/>
      <c r="L1145" s="110"/>
      <c r="M1145" s="110"/>
      <c r="N1145" s="110"/>
      <c r="O1145" s="110"/>
      <c r="P1145" s="110"/>
      <c r="Q1145" s="110"/>
      <c r="R1145" s="110"/>
      <c r="S1145" s="110"/>
      <c r="T1145" s="110"/>
      <c r="U1145" s="110"/>
      <c r="V1145" s="110"/>
      <c r="W1145" s="110"/>
      <c r="X1145" s="110"/>
      <c r="Y1145" s="110"/>
      <c r="Z1145" s="351"/>
      <c r="AA1145" s="110"/>
      <c r="AB1145" s="330"/>
      <c r="AC1145" s="110"/>
      <c r="AD1145" s="110"/>
      <c r="AE1145" s="110"/>
      <c r="AF1145" s="110"/>
      <c r="AG1145" s="110"/>
      <c r="AH1145" s="110"/>
      <c r="AI1145" s="110"/>
    </row>
    <row r="1146" spans="1:35" ht="15.75" customHeight="1">
      <c r="A1146" s="110"/>
      <c r="B1146" s="110"/>
      <c r="C1146" s="110"/>
      <c r="D1146" s="404"/>
      <c r="E1146" s="110"/>
      <c r="F1146" s="110"/>
      <c r="G1146" s="110"/>
      <c r="H1146" s="110"/>
      <c r="I1146" s="110"/>
      <c r="J1146" s="110"/>
      <c r="K1146" s="110"/>
      <c r="L1146" s="110"/>
      <c r="M1146" s="110"/>
      <c r="N1146" s="110"/>
      <c r="O1146" s="110"/>
      <c r="P1146" s="110"/>
      <c r="Q1146" s="110"/>
      <c r="R1146" s="110"/>
      <c r="S1146" s="110"/>
      <c r="T1146" s="110"/>
      <c r="U1146" s="110"/>
      <c r="V1146" s="110"/>
      <c r="W1146" s="110"/>
      <c r="X1146" s="110"/>
      <c r="Y1146" s="110"/>
      <c r="Z1146" s="351"/>
      <c r="AA1146" s="110"/>
      <c r="AB1146" s="330"/>
      <c r="AC1146" s="110"/>
      <c r="AD1146" s="110"/>
      <c r="AE1146" s="110"/>
      <c r="AF1146" s="110"/>
      <c r="AG1146" s="110"/>
      <c r="AH1146" s="110"/>
      <c r="AI1146" s="110"/>
    </row>
    <row r="1147" spans="1:35" ht="15.75" customHeight="1">
      <c r="A1147" s="110"/>
      <c r="B1147" s="110"/>
      <c r="C1147" s="110"/>
      <c r="D1147" s="404"/>
      <c r="E1147" s="110"/>
      <c r="F1147" s="110"/>
      <c r="G1147" s="110"/>
      <c r="H1147" s="110"/>
      <c r="I1147" s="110"/>
      <c r="J1147" s="110"/>
      <c r="K1147" s="110"/>
      <c r="L1147" s="110"/>
      <c r="M1147" s="110"/>
      <c r="N1147" s="110"/>
      <c r="O1147" s="110"/>
      <c r="P1147" s="110"/>
      <c r="Q1147" s="110"/>
      <c r="R1147" s="110"/>
      <c r="S1147" s="110"/>
      <c r="T1147" s="110"/>
      <c r="U1147" s="110"/>
      <c r="V1147" s="110"/>
      <c r="W1147" s="110"/>
      <c r="X1147" s="110"/>
      <c r="Y1147" s="110"/>
      <c r="Z1147" s="351"/>
      <c r="AA1147" s="110"/>
      <c r="AB1147" s="330"/>
      <c r="AC1147" s="110"/>
      <c r="AD1147" s="110"/>
      <c r="AE1147" s="110"/>
      <c r="AF1147" s="110"/>
      <c r="AG1147" s="110"/>
      <c r="AH1147" s="110"/>
      <c r="AI1147" s="110"/>
    </row>
    <row r="1148" spans="1:35" ht="15.75" customHeight="1">
      <c r="A1148" s="110"/>
      <c r="B1148" s="110"/>
      <c r="C1148" s="110"/>
      <c r="D1148" s="404"/>
      <c r="E1148" s="110"/>
      <c r="F1148" s="110"/>
      <c r="G1148" s="110"/>
      <c r="H1148" s="110"/>
      <c r="I1148" s="110"/>
      <c r="J1148" s="110"/>
      <c r="K1148" s="110"/>
      <c r="L1148" s="110"/>
      <c r="M1148" s="110"/>
      <c r="N1148" s="110"/>
      <c r="O1148" s="110"/>
      <c r="P1148" s="110"/>
      <c r="Q1148" s="110"/>
      <c r="R1148" s="110"/>
      <c r="S1148" s="110"/>
      <c r="T1148" s="110"/>
      <c r="U1148" s="110"/>
      <c r="V1148" s="110"/>
      <c r="W1148" s="110"/>
      <c r="X1148" s="110"/>
      <c r="Y1148" s="110"/>
      <c r="Z1148" s="351"/>
      <c r="AA1148" s="110"/>
      <c r="AB1148" s="330"/>
      <c r="AC1148" s="110"/>
      <c r="AD1148" s="110"/>
      <c r="AE1148" s="110"/>
      <c r="AF1148" s="110"/>
      <c r="AG1148" s="110"/>
      <c r="AH1148" s="110"/>
      <c r="AI1148" s="110"/>
    </row>
    <row r="1149" spans="1:35" ht="15.75" customHeight="1">
      <c r="A1149" s="110"/>
      <c r="B1149" s="110"/>
      <c r="C1149" s="110"/>
      <c r="D1149" s="404"/>
      <c r="E1149" s="110"/>
      <c r="F1149" s="110"/>
      <c r="G1149" s="110"/>
      <c r="H1149" s="110"/>
      <c r="I1149" s="110"/>
      <c r="J1149" s="110"/>
      <c r="K1149" s="110"/>
      <c r="L1149" s="110"/>
      <c r="M1149" s="110"/>
      <c r="N1149" s="110"/>
      <c r="O1149" s="110"/>
      <c r="P1149" s="110"/>
      <c r="Q1149" s="110"/>
      <c r="R1149" s="110"/>
      <c r="S1149" s="110"/>
      <c r="T1149" s="110"/>
      <c r="U1149" s="110"/>
      <c r="V1149" s="110"/>
      <c r="W1149" s="110"/>
      <c r="X1149" s="110"/>
      <c r="Y1149" s="110"/>
      <c r="Z1149" s="351"/>
      <c r="AA1149" s="110"/>
      <c r="AB1149" s="330"/>
      <c r="AC1149" s="110"/>
      <c r="AD1149" s="110"/>
      <c r="AE1149" s="110"/>
      <c r="AF1149" s="110"/>
      <c r="AG1149" s="110"/>
      <c r="AH1149" s="110"/>
      <c r="AI1149" s="110"/>
    </row>
    <row r="1150" spans="1:35" ht="15.75" customHeight="1">
      <c r="A1150" s="110"/>
      <c r="B1150" s="110"/>
      <c r="C1150" s="110"/>
      <c r="D1150" s="404"/>
      <c r="E1150" s="110"/>
      <c r="F1150" s="110"/>
      <c r="G1150" s="110"/>
      <c r="H1150" s="110"/>
      <c r="I1150" s="110"/>
      <c r="J1150" s="110"/>
      <c r="K1150" s="110"/>
      <c r="L1150" s="110"/>
      <c r="M1150" s="110"/>
      <c r="N1150" s="110"/>
      <c r="O1150" s="110"/>
      <c r="P1150" s="110"/>
      <c r="Q1150" s="110"/>
      <c r="R1150" s="110"/>
      <c r="S1150" s="110"/>
      <c r="T1150" s="110"/>
      <c r="U1150" s="110"/>
      <c r="V1150" s="110"/>
      <c r="W1150" s="110"/>
      <c r="X1150" s="110"/>
      <c r="Y1150" s="110"/>
      <c r="Z1150" s="351"/>
      <c r="AA1150" s="110"/>
      <c r="AB1150" s="330"/>
      <c r="AC1150" s="110"/>
      <c r="AD1150" s="110"/>
      <c r="AE1150" s="110"/>
      <c r="AF1150" s="110"/>
      <c r="AG1150" s="110"/>
      <c r="AH1150" s="110"/>
      <c r="AI1150" s="110"/>
    </row>
    <row r="1151" spans="1:35" ht="15.75" customHeight="1">
      <c r="A1151" s="110"/>
      <c r="B1151" s="110"/>
      <c r="C1151" s="110"/>
      <c r="D1151" s="404"/>
      <c r="E1151" s="110"/>
      <c r="F1151" s="110"/>
      <c r="G1151" s="110"/>
      <c r="H1151" s="110"/>
      <c r="I1151" s="110"/>
      <c r="J1151" s="110"/>
      <c r="K1151" s="110"/>
      <c r="L1151" s="110"/>
      <c r="M1151" s="110"/>
      <c r="N1151" s="110"/>
      <c r="O1151" s="110"/>
      <c r="P1151" s="110"/>
      <c r="Q1151" s="110"/>
      <c r="R1151" s="110"/>
      <c r="S1151" s="110"/>
      <c r="T1151" s="110"/>
      <c r="U1151" s="110"/>
      <c r="V1151" s="110"/>
      <c r="W1151" s="110"/>
      <c r="X1151" s="110"/>
      <c r="Y1151" s="110"/>
      <c r="Z1151" s="351"/>
      <c r="AA1151" s="110"/>
      <c r="AB1151" s="330"/>
      <c r="AC1151" s="110"/>
      <c r="AD1151" s="110"/>
      <c r="AE1151" s="110"/>
      <c r="AF1151" s="110"/>
      <c r="AG1151" s="110"/>
      <c r="AH1151" s="110"/>
      <c r="AI1151" s="110"/>
    </row>
    <row r="1152" spans="1:35" ht="15.75" customHeight="1">
      <c r="A1152" s="110"/>
      <c r="B1152" s="110"/>
      <c r="C1152" s="110"/>
      <c r="D1152" s="404"/>
      <c r="E1152" s="110"/>
      <c r="F1152" s="110"/>
      <c r="G1152" s="110"/>
      <c r="H1152" s="110"/>
      <c r="I1152" s="110"/>
      <c r="J1152" s="110"/>
      <c r="K1152" s="110"/>
      <c r="L1152" s="110"/>
      <c r="M1152" s="110"/>
      <c r="N1152" s="110"/>
      <c r="O1152" s="110"/>
      <c r="P1152" s="110"/>
      <c r="Q1152" s="110"/>
      <c r="R1152" s="110"/>
      <c r="S1152" s="110"/>
      <c r="T1152" s="110"/>
      <c r="U1152" s="110"/>
      <c r="V1152" s="110"/>
      <c r="W1152" s="110"/>
      <c r="X1152" s="110"/>
      <c r="Y1152" s="110"/>
      <c r="Z1152" s="351"/>
      <c r="AA1152" s="110"/>
      <c r="AB1152" s="330"/>
      <c r="AC1152" s="110"/>
      <c r="AD1152" s="110"/>
      <c r="AE1152" s="110"/>
      <c r="AF1152" s="110"/>
      <c r="AG1152" s="110"/>
      <c r="AH1152" s="110"/>
      <c r="AI1152" s="110"/>
    </row>
    <row r="1153" spans="1:35" ht="15.75" customHeight="1">
      <c r="A1153" s="110"/>
      <c r="B1153" s="110"/>
      <c r="C1153" s="110"/>
      <c r="D1153" s="404"/>
      <c r="E1153" s="110"/>
      <c r="F1153" s="110"/>
      <c r="G1153" s="110"/>
      <c r="H1153" s="110"/>
      <c r="I1153" s="110"/>
      <c r="J1153" s="110"/>
      <c r="K1153" s="110"/>
      <c r="L1153" s="110"/>
      <c r="M1153" s="110"/>
      <c r="N1153" s="110"/>
      <c r="O1153" s="110"/>
      <c r="P1153" s="110"/>
      <c r="Q1153" s="110"/>
      <c r="R1153" s="110"/>
      <c r="S1153" s="110"/>
      <c r="T1153" s="110"/>
      <c r="U1153" s="110"/>
      <c r="V1153" s="110"/>
      <c r="W1153" s="110"/>
      <c r="X1153" s="110"/>
      <c r="Y1153" s="110"/>
      <c r="Z1153" s="351"/>
      <c r="AA1153" s="110"/>
      <c r="AB1153" s="330"/>
      <c r="AC1153" s="110"/>
      <c r="AD1153" s="110"/>
      <c r="AE1153" s="110"/>
      <c r="AF1153" s="110"/>
      <c r="AG1153" s="110"/>
      <c r="AH1153" s="110"/>
      <c r="AI1153" s="110"/>
    </row>
    <row r="1154" spans="1:35" ht="15.75" customHeight="1">
      <c r="A1154" s="110"/>
      <c r="B1154" s="110"/>
      <c r="C1154" s="110"/>
      <c r="D1154" s="404"/>
      <c r="E1154" s="110"/>
      <c r="F1154" s="110"/>
      <c r="G1154" s="110"/>
      <c r="H1154" s="110"/>
      <c r="I1154" s="110"/>
      <c r="J1154" s="110"/>
      <c r="K1154" s="110"/>
      <c r="L1154" s="110"/>
      <c r="M1154" s="110"/>
      <c r="N1154" s="110"/>
      <c r="O1154" s="110"/>
      <c r="P1154" s="110"/>
      <c r="Q1154" s="110"/>
      <c r="R1154" s="110"/>
      <c r="S1154" s="110"/>
      <c r="T1154" s="110"/>
      <c r="U1154" s="110"/>
      <c r="V1154" s="110"/>
      <c r="W1154" s="110"/>
      <c r="X1154" s="110"/>
      <c r="Y1154" s="110"/>
      <c r="Z1154" s="351"/>
      <c r="AA1154" s="110"/>
      <c r="AB1154" s="330"/>
      <c r="AC1154" s="110"/>
      <c r="AD1154" s="110"/>
      <c r="AE1154" s="110"/>
      <c r="AF1154" s="110"/>
      <c r="AG1154" s="110"/>
      <c r="AH1154" s="110"/>
      <c r="AI1154" s="110"/>
    </row>
    <row r="1155" spans="1:35" ht="15.75" customHeight="1">
      <c r="A1155" s="110"/>
      <c r="B1155" s="110"/>
      <c r="C1155" s="110"/>
      <c r="D1155" s="404"/>
      <c r="E1155" s="110"/>
      <c r="F1155" s="110"/>
      <c r="G1155" s="110"/>
      <c r="H1155" s="110"/>
      <c r="I1155" s="110"/>
      <c r="J1155" s="110"/>
      <c r="K1155" s="110"/>
      <c r="L1155" s="110"/>
      <c r="M1155" s="110"/>
      <c r="N1155" s="110"/>
      <c r="O1155" s="110"/>
      <c r="P1155" s="110"/>
      <c r="Q1155" s="110"/>
      <c r="R1155" s="110"/>
      <c r="S1155" s="110"/>
      <c r="T1155" s="110"/>
      <c r="U1155" s="110"/>
      <c r="V1155" s="110"/>
      <c r="W1155" s="110"/>
      <c r="X1155" s="110"/>
      <c r="Y1155" s="110"/>
      <c r="Z1155" s="351"/>
      <c r="AA1155" s="110"/>
      <c r="AB1155" s="330"/>
      <c r="AC1155" s="110"/>
      <c r="AD1155" s="110"/>
      <c r="AE1155" s="110"/>
      <c r="AF1155" s="110"/>
      <c r="AG1155" s="110"/>
      <c r="AH1155" s="110"/>
      <c r="AI1155" s="110"/>
    </row>
    <row r="1156" spans="1:35" ht="15.75" customHeight="1">
      <c r="A1156" s="110"/>
      <c r="B1156" s="110"/>
      <c r="C1156" s="110"/>
      <c r="D1156" s="404"/>
      <c r="E1156" s="110"/>
      <c r="F1156" s="110"/>
      <c r="G1156" s="110"/>
      <c r="H1156" s="110"/>
      <c r="I1156" s="110"/>
      <c r="J1156" s="110"/>
      <c r="K1156" s="110"/>
      <c r="L1156" s="110"/>
      <c r="M1156" s="110"/>
      <c r="N1156" s="110"/>
      <c r="O1156" s="110"/>
      <c r="P1156" s="110"/>
      <c r="Q1156" s="110"/>
      <c r="R1156" s="110"/>
      <c r="S1156" s="110"/>
      <c r="T1156" s="110"/>
      <c r="U1156" s="110"/>
      <c r="V1156" s="110"/>
      <c r="W1156" s="110"/>
      <c r="X1156" s="110"/>
      <c r="Y1156" s="110"/>
      <c r="Z1156" s="351"/>
      <c r="AA1156" s="110"/>
      <c r="AB1156" s="330"/>
      <c r="AC1156" s="110"/>
      <c r="AD1156" s="110"/>
      <c r="AE1156" s="110"/>
      <c r="AF1156" s="110"/>
      <c r="AG1156" s="110"/>
      <c r="AH1156" s="110"/>
      <c r="AI1156" s="110"/>
    </row>
    <row r="1157" spans="1:35" ht="15.75" customHeight="1">
      <c r="A1157" s="110"/>
      <c r="B1157" s="110"/>
      <c r="C1157" s="110"/>
      <c r="D1157" s="404"/>
      <c r="E1157" s="110"/>
      <c r="F1157" s="110"/>
      <c r="G1157" s="110"/>
      <c r="H1157" s="110"/>
      <c r="I1157" s="110"/>
      <c r="J1157" s="110"/>
      <c r="K1157" s="110"/>
      <c r="L1157" s="110"/>
      <c r="M1157" s="110"/>
      <c r="N1157" s="110"/>
      <c r="O1157" s="110"/>
      <c r="P1157" s="110"/>
      <c r="Q1157" s="110"/>
      <c r="R1157" s="110"/>
      <c r="S1157" s="110"/>
      <c r="T1157" s="110"/>
      <c r="U1157" s="110"/>
      <c r="V1157" s="110"/>
      <c r="W1157" s="110"/>
      <c r="X1157" s="110"/>
      <c r="Y1157" s="110"/>
      <c r="Z1157" s="351"/>
      <c r="AA1157" s="110"/>
      <c r="AB1157" s="330"/>
      <c r="AC1157" s="110"/>
      <c r="AD1157" s="110"/>
      <c r="AE1157" s="110"/>
      <c r="AF1157" s="110"/>
      <c r="AG1157" s="110"/>
      <c r="AH1157" s="110"/>
      <c r="AI1157" s="110"/>
    </row>
    <row r="1158" spans="1:35" ht="15.75" customHeight="1">
      <c r="A1158" s="110"/>
      <c r="B1158" s="110"/>
      <c r="C1158" s="110"/>
      <c r="D1158" s="404"/>
      <c r="E1158" s="110"/>
      <c r="F1158" s="110"/>
      <c r="G1158" s="110"/>
      <c r="H1158" s="110"/>
      <c r="I1158" s="110"/>
      <c r="J1158" s="110"/>
      <c r="K1158" s="110"/>
      <c r="L1158" s="110"/>
      <c r="M1158" s="110"/>
      <c r="N1158" s="110"/>
      <c r="O1158" s="110"/>
      <c r="P1158" s="110"/>
      <c r="Q1158" s="110"/>
      <c r="R1158" s="110"/>
      <c r="S1158" s="110"/>
      <c r="T1158" s="110"/>
      <c r="U1158" s="110"/>
      <c r="V1158" s="110"/>
      <c r="W1158" s="110"/>
      <c r="X1158" s="110"/>
      <c r="Y1158" s="110"/>
      <c r="Z1158" s="351"/>
      <c r="AA1158" s="110"/>
      <c r="AB1158" s="330"/>
      <c r="AC1158" s="110"/>
      <c r="AD1158" s="110"/>
      <c r="AE1158" s="110"/>
      <c r="AF1158" s="110"/>
      <c r="AG1158" s="110"/>
      <c r="AH1158" s="110"/>
      <c r="AI1158" s="110"/>
    </row>
    <row r="1159" spans="1:35" ht="15.75" customHeight="1">
      <c r="A1159" s="110"/>
      <c r="B1159" s="110"/>
      <c r="C1159" s="110"/>
      <c r="D1159" s="404"/>
      <c r="E1159" s="110"/>
      <c r="F1159" s="110"/>
      <c r="G1159" s="110"/>
      <c r="H1159" s="110"/>
      <c r="I1159" s="110"/>
      <c r="J1159" s="110"/>
      <c r="K1159" s="110"/>
      <c r="L1159" s="110"/>
      <c r="M1159" s="110"/>
      <c r="N1159" s="110"/>
      <c r="O1159" s="110"/>
      <c r="P1159" s="110"/>
      <c r="Q1159" s="110"/>
      <c r="R1159" s="110"/>
      <c r="S1159" s="110"/>
      <c r="T1159" s="110"/>
      <c r="U1159" s="110"/>
      <c r="V1159" s="110"/>
      <c r="W1159" s="110"/>
      <c r="X1159" s="110"/>
      <c r="Y1159" s="110"/>
      <c r="Z1159" s="351"/>
      <c r="AA1159" s="110"/>
      <c r="AB1159" s="330"/>
      <c r="AC1159" s="110"/>
      <c r="AD1159" s="110"/>
      <c r="AE1159" s="110"/>
      <c r="AF1159" s="110"/>
      <c r="AG1159" s="110"/>
      <c r="AH1159" s="110"/>
      <c r="AI1159" s="110"/>
    </row>
    <row r="1160" spans="1:35" ht="15.75" customHeight="1">
      <c r="A1160" s="110"/>
      <c r="B1160" s="110"/>
      <c r="C1160" s="110"/>
      <c r="D1160" s="404"/>
      <c r="E1160" s="110"/>
      <c r="F1160" s="110"/>
      <c r="G1160" s="110"/>
      <c r="H1160" s="110"/>
      <c r="I1160" s="110"/>
      <c r="J1160" s="110"/>
      <c r="K1160" s="110"/>
      <c r="L1160" s="110"/>
      <c r="M1160" s="110"/>
      <c r="N1160" s="110"/>
      <c r="O1160" s="110"/>
      <c r="P1160" s="110"/>
      <c r="Q1160" s="110"/>
      <c r="R1160" s="110"/>
      <c r="S1160" s="110"/>
      <c r="T1160" s="110"/>
      <c r="U1160" s="110"/>
      <c r="V1160" s="110"/>
      <c r="W1160" s="110"/>
      <c r="X1160" s="110"/>
      <c r="Y1160" s="110"/>
      <c r="Z1160" s="351"/>
      <c r="AA1160" s="110"/>
      <c r="AB1160" s="330"/>
      <c r="AC1160" s="110"/>
      <c r="AD1160" s="110"/>
      <c r="AE1160" s="110"/>
      <c r="AF1160" s="110"/>
      <c r="AG1160" s="110"/>
      <c r="AH1160" s="110"/>
      <c r="AI1160" s="110"/>
    </row>
    <row r="1161" spans="1:35" ht="15.75" customHeight="1">
      <c r="A1161" s="110"/>
      <c r="B1161" s="110"/>
      <c r="C1161" s="110"/>
      <c r="D1161" s="404"/>
      <c r="E1161" s="110"/>
      <c r="F1161" s="110"/>
      <c r="G1161" s="110"/>
      <c r="H1161" s="110"/>
      <c r="I1161" s="110"/>
      <c r="J1161" s="110"/>
      <c r="K1161" s="110"/>
      <c r="L1161" s="110"/>
      <c r="M1161" s="110"/>
      <c r="N1161" s="110"/>
      <c r="O1161" s="110"/>
      <c r="P1161" s="110"/>
      <c r="Q1161" s="110"/>
      <c r="R1161" s="110"/>
      <c r="S1161" s="110"/>
      <c r="T1161" s="110"/>
      <c r="U1161" s="110"/>
      <c r="V1161" s="110"/>
      <c r="W1161" s="110"/>
      <c r="X1161" s="110"/>
      <c r="Y1161" s="110"/>
      <c r="Z1161" s="351"/>
      <c r="AA1161" s="110"/>
      <c r="AB1161" s="330"/>
      <c r="AC1161" s="110"/>
      <c r="AD1161" s="110"/>
      <c r="AE1161" s="110"/>
      <c r="AF1161" s="110"/>
      <c r="AG1161" s="110"/>
      <c r="AH1161" s="110"/>
      <c r="AI1161" s="110"/>
    </row>
    <row r="1162" spans="1:35" ht="15.75" customHeight="1">
      <c r="A1162" s="110"/>
      <c r="B1162" s="110"/>
      <c r="C1162" s="110"/>
      <c r="D1162" s="404"/>
      <c r="E1162" s="110"/>
      <c r="F1162" s="110"/>
      <c r="G1162" s="110"/>
      <c r="H1162" s="110"/>
      <c r="I1162" s="110"/>
      <c r="J1162" s="110"/>
      <c r="K1162" s="110"/>
      <c r="L1162" s="110"/>
      <c r="M1162" s="110"/>
      <c r="N1162" s="110"/>
      <c r="O1162" s="110"/>
      <c r="P1162" s="110"/>
      <c r="Q1162" s="110"/>
      <c r="R1162" s="110"/>
      <c r="S1162" s="110"/>
      <c r="T1162" s="110"/>
      <c r="U1162" s="110"/>
      <c r="V1162" s="110"/>
      <c r="W1162" s="110"/>
      <c r="X1162" s="110"/>
      <c r="Y1162" s="110"/>
      <c r="Z1162" s="351"/>
      <c r="AA1162" s="110"/>
      <c r="AB1162" s="330"/>
      <c r="AC1162" s="110"/>
      <c r="AD1162" s="110"/>
      <c r="AE1162" s="110"/>
      <c r="AF1162" s="110"/>
      <c r="AG1162" s="110"/>
      <c r="AH1162" s="110"/>
      <c r="AI1162" s="110"/>
    </row>
    <row r="1163" spans="1:35" ht="15.75" customHeight="1">
      <c r="A1163" s="110"/>
      <c r="B1163" s="110"/>
      <c r="C1163" s="110"/>
      <c r="D1163" s="404"/>
      <c r="E1163" s="110"/>
      <c r="F1163" s="110"/>
      <c r="G1163" s="110"/>
      <c r="H1163" s="110"/>
      <c r="I1163" s="110"/>
      <c r="J1163" s="110"/>
      <c r="K1163" s="110"/>
      <c r="L1163" s="110"/>
      <c r="M1163" s="110"/>
      <c r="N1163" s="110"/>
      <c r="O1163" s="110"/>
      <c r="P1163" s="110"/>
      <c r="Q1163" s="110"/>
      <c r="R1163" s="110"/>
      <c r="S1163" s="110"/>
      <c r="T1163" s="110"/>
      <c r="U1163" s="110"/>
      <c r="V1163" s="110"/>
      <c r="W1163" s="110"/>
      <c r="X1163" s="110"/>
      <c r="Y1163" s="110"/>
      <c r="Z1163" s="351"/>
      <c r="AA1163" s="110"/>
      <c r="AB1163" s="330"/>
      <c r="AC1163" s="110"/>
      <c r="AD1163" s="110"/>
      <c r="AE1163" s="110"/>
      <c r="AF1163" s="110"/>
      <c r="AG1163" s="110"/>
      <c r="AH1163" s="110"/>
      <c r="AI1163" s="110"/>
    </row>
    <row r="1164" spans="1:35" ht="15.75" customHeight="1">
      <c r="A1164" s="110"/>
      <c r="B1164" s="110"/>
      <c r="C1164" s="110"/>
      <c r="D1164" s="404"/>
      <c r="E1164" s="110"/>
      <c r="F1164" s="110"/>
      <c r="G1164" s="110"/>
      <c r="H1164" s="110"/>
      <c r="I1164" s="110"/>
      <c r="J1164" s="110"/>
      <c r="K1164" s="110"/>
      <c r="L1164" s="110"/>
      <c r="M1164" s="110"/>
      <c r="N1164" s="110"/>
      <c r="O1164" s="110"/>
      <c r="P1164" s="110"/>
      <c r="Q1164" s="110"/>
      <c r="R1164" s="110"/>
      <c r="S1164" s="110"/>
      <c r="T1164" s="110"/>
      <c r="U1164" s="110"/>
      <c r="V1164" s="110"/>
      <c r="W1164" s="110"/>
      <c r="X1164" s="110"/>
      <c r="Y1164" s="110"/>
      <c r="Z1164" s="351"/>
      <c r="AA1164" s="110"/>
      <c r="AB1164" s="330"/>
      <c r="AC1164" s="110"/>
      <c r="AD1164" s="110"/>
      <c r="AE1164" s="110"/>
      <c r="AF1164" s="110"/>
      <c r="AG1164" s="110"/>
      <c r="AH1164" s="110"/>
      <c r="AI1164" s="110"/>
    </row>
    <row r="1165" spans="1:35" ht="15.75" customHeight="1">
      <c r="A1165" s="110"/>
      <c r="B1165" s="110"/>
      <c r="C1165" s="110"/>
      <c r="D1165" s="404"/>
      <c r="E1165" s="110"/>
      <c r="F1165" s="110"/>
      <c r="G1165" s="110"/>
      <c r="H1165" s="110"/>
      <c r="I1165" s="110"/>
      <c r="J1165" s="110"/>
      <c r="K1165" s="110"/>
      <c r="L1165" s="110"/>
      <c r="M1165" s="110"/>
      <c r="N1165" s="110"/>
      <c r="O1165" s="110"/>
      <c r="P1165" s="110"/>
      <c r="Q1165" s="110"/>
      <c r="R1165" s="110"/>
      <c r="S1165" s="110"/>
      <c r="T1165" s="110"/>
      <c r="U1165" s="110"/>
      <c r="V1165" s="110"/>
      <c r="W1165" s="110"/>
      <c r="X1165" s="110"/>
      <c r="Y1165" s="110"/>
      <c r="Z1165" s="351"/>
      <c r="AA1165" s="110"/>
      <c r="AB1165" s="330"/>
      <c r="AC1165" s="110"/>
      <c r="AD1165" s="110"/>
      <c r="AE1165" s="110"/>
      <c r="AF1165" s="110"/>
      <c r="AG1165" s="110"/>
      <c r="AH1165" s="110"/>
      <c r="AI1165" s="110"/>
    </row>
    <row r="1166" spans="1:35" ht="15.75" customHeight="1">
      <c r="A1166" s="110"/>
      <c r="B1166" s="110"/>
      <c r="C1166" s="110"/>
      <c r="D1166" s="404"/>
      <c r="E1166" s="110"/>
      <c r="F1166" s="110"/>
      <c r="G1166" s="110"/>
      <c r="H1166" s="110"/>
      <c r="I1166" s="110"/>
      <c r="J1166" s="110"/>
      <c r="K1166" s="110"/>
      <c r="L1166" s="110"/>
      <c r="M1166" s="110"/>
      <c r="N1166" s="110"/>
      <c r="O1166" s="110"/>
      <c r="P1166" s="110"/>
      <c r="Q1166" s="110"/>
      <c r="R1166" s="110"/>
      <c r="S1166" s="110"/>
      <c r="T1166" s="110"/>
      <c r="U1166" s="110"/>
      <c r="V1166" s="110"/>
      <c r="W1166" s="110"/>
      <c r="X1166" s="110"/>
      <c r="Y1166" s="110"/>
      <c r="Z1166" s="351"/>
      <c r="AA1166" s="110"/>
      <c r="AB1166" s="330"/>
      <c r="AC1166" s="110"/>
      <c r="AD1166" s="110"/>
      <c r="AE1166" s="110"/>
      <c r="AF1166" s="110"/>
      <c r="AG1166" s="110"/>
      <c r="AH1166" s="110"/>
      <c r="AI1166" s="110"/>
    </row>
    <row r="1167" spans="1:35" ht="15.75" customHeight="1">
      <c r="A1167" s="110"/>
      <c r="B1167" s="110"/>
      <c r="C1167" s="110"/>
      <c r="D1167" s="404"/>
      <c r="E1167" s="110"/>
      <c r="F1167" s="110"/>
      <c r="G1167" s="110"/>
      <c r="H1167" s="110"/>
      <c r="I1167" s="110"/>
      <c r="J1167" s="110"/>
      <c r="K1167" s="110"/>
      <c r="L1167" s="110"/>
      <c r="M1167" s="110"/>
      <c r="N1167" s="110"/>
      <c r="O1167" s="110"/>
      <c r="P1167" s="110"/>
      <c r="Q1167" s="110"/>
      <c r="R1167" s="110"/>
      <c r="S1167" s="110"/>
      <c r="T1167" s="110"/>
      <c r="U1167" s="110"/>
      <c r="V1167" s="110"/>
      <c r="W1167" s="110"/>
      <c r="X1167" s="110"/>
      <c r="Y1167" s="110"/>
      <c r="Z1167" s="351"/>
      <c r="AA1167" s="110"/>
      <c r="AB1167" s="330"/>
      <c r="AC1167" s="110"/>
      <c r="AD1167" s="110"/>
      <c r="AE1167" s="110"/>
      <c r="AF1167" s="110"/>
      <c r="AG1167" s="110"/>
      <c r="AH1167" s="110"/>
      <c r="AI1167" s="110"/>
    </row>
    <row r="1168" spans="1:35" ht="15.75" customHeight="1">
      <c r="A1168" s="110"/>
      <c r="B1168" s="110"/>
      <c r="C1168" s="110"/>
      <c r="D1168" s="404"/>
      <c r="E1168" s="110"/>
      <c r="F1168" s="110"/>
      <c r="G1168" s="110"/>
      <c r="H1168" s="110"/>
      <c r="I1168" s="110"/>
      <c r="J1168" s="110"/>
      <c r="K1168" s="110"/>
      <c r="L1168" s="110"/>
      <c r="M1168" s="110"/>
      <c r="N1168" s="110"/>
      <c r="O1168" s="110"/>
      <c r="P1168" s="110"/>
      <c r="Q1168" s="110"/>
      <c r="R1168" s="110"/>
      <c r="S1168" s="110"/>
      <c r="T1168" s="110"/>
      <c r="U1168" s="110"/>
      <c r="V1168" s="110"/>
      <c r="W1168" s="110"/>
      <c r="X1168" s="110"/>
      <c r="Y1168" s="110"/>
      <c r="Z1168" s="351"/>
      <c r="AA1168" s="110"/>
      <c r="AB1168" s="330"/>
      <c r="AC1168" s="110"/>
      <c r="AD1168" s="110"/>
      <c r="AE1168" s="110"/>
      <c r="AF1168" s="110"/>
      <c r="AG1168" s="110"/>
      <c r="AH1168" s="110"/>
      <c r="AI1168" s="110"/>
    </row>
    <row r="1169" spans="1:35" ht="15.75" customHeight="1">
      <c r="A1169" s="110"/>
      <c r="B1169" s="110"/>
      <c r="C1169" s="110"/>
      <c r="D1169" s="404"/>
      <c r="E1169" s="110"/>
      <c r="F1169" s="110"/>
      <c r="G1169" s="110"/>
      <c r="H1169" s="110"/>
      <c r="I1169" s="110"/>
      <c r="J1169" s="110"/>
      <c r="K1169" s="110"/>
      <c r="L1169" s="110"/>
      <c r="M1169" s="110"/>
      <c r="N1169" s="110"/>
      <c r="O1169" s="110"/>
      <c r="P1169" s="110"/>
      <c r="Q1169" s="110"/>
      <c r="R1169" s="110"/>
      <c r="S1169" s="110"/>
      <c r="T1169" s="110"/>
      <c r="U1169" s="110"/>
      <c r="V1169" s="110"/>
      <c r="W1169" s="110"/>
      <c r="X1169" s="110"/>
      <c r="Y1169" s="110"/>
      <c r="Z1169" s="351"/>
      <c r="AA1169" s="110"/>
      <c r="AB1169" s="330"/>
      <c r="AC1169" s="110"/>
      <c r="AD1169" s="110"/>
      <c r="AE1169" s="110"/>
      <c r="AF1169" s="110"/>
      <c r="AG1169" s="110"/>
      <c r="AH1169" s="110"/>
      <c r="AI1169" s="110"/>
    </row>
    <row r="1170" spans="1:35" ht="15.75" customHeight="1">
      <c r="A1170" s="110"/>
      <c r="B1170" s="110"/>
      <c r="C1170" s="110"/>
      <c r="D1170" s="404"/>
      <c r="E1170" s="110"/>
      <c r="F1170" s="110"/>
      <c r="G1170" s="110"/>
      <c r="H1170" s="110"/>
      <c r="I1170" s="110"/>
      <c r="J1170" s="110"/>
      <c r="K1170" s="110"/>
      <c r="L1170" s="110"/>
      <c r="M1170" s="110"/>
      <c r="N1170" s="110"/>
      <c r="O1170" s="110"/>
      <c r="P1170" s="110"/>
      <c r="Q1170" s="110"/>
      <c r="R1170" s="110"/>
      <c r="S1170" s="110"/>
      <c r="T1170" s="110"/>
      <c r="U1170" s="110"/>
      <c r="V1170" s="110"/>
      <c r="W1170" s="110"/>
      <c r="X1170" s="110"/>
      <c r="Y1170" s="110"/>
      <c r="Z1170" s="351"/>
      <c r="AA1170" s="110"/>
      <c r="AB1170" s="330"/>
      <c r="AC1170" s="110"/>
      <c r="AD1170" s="110"/>
      <c r="AE1170" s="110"/>
      <c r="AF1170" s="110"/>
      <c r="AG1170" s="110"/>
      <c r="AH1170" s="110"/>
      <c r="AI1170" s="110"/>
    </row>
    <row r="1171" spans="1:35" ht="15.75" customHeight="1">
      <c r="A1171" s="110"/>
      <c r="B1171" s="110"/>
      <c r="C1171" s="110"/>
      <c r="D1171" s="404"/>
      <c r="E1171" s="110"/>
      <c r="F1171" s="110"/>
      <c r="G1171" s="110"/>
      <c r="H1171" s="110"/>
      <c r="I1171" s="110"/>
      <c r="J1171" s="110"/>
      <c r="K1171" s="110"/>
      <c r="L1171" s="110"/>
      <c r="M1171" s="110"/>
      <c r="N1171" s="110"/>
      <c r="O1171" s="110"/>
      <c r="P1171" s="110"/>
      <c r="Q1171" s="110"/>
      <c r="R1171" s="110"/>
      <c r="S1171" s="110"/>
      <c r="T1171" s="110"/>
      <c r="U1171" s="110"/>
      <c r="V1171" s="110"/>
      <c r="W1171" s="110"/>
      <c r="X1171" s="110"/>
      <c r="Y1171" s="110"/>
      <c r="Z1171" s="351"/>
      <c r="AA1171" s="110"/>
      <c r="AB1171" s="330"/>
      <c r="AC1171" s="110"/>
      <c r="AD1171" s="110"/>
      <c r="AE1171" s="110"/>
      <c r="AF1171" s="110"/>
      <c r="AG1171" s="110"/>
      <c r="AH1171" s="110"/>
      <c r="AI1171" s="110"/>
    </row>
    <row r="1172" spans="1:35" ht="15.75" customHeight="1">
      <c r="A1172" s="110"/>
      <c r="B1172" s="110"/>
      <c r="C1172" s="110"/>
      <c r="D1172" s="404"/>
      <c r="E1172" s="110"/>
      <c r="F1172" s="110"/>
      <c r="G1172" s="110"/>
      <c r="H1172" s="110"/>
      <c r="I1172" s="110"/>
      <c r="J1172" s="110"/>
      <c r="K1172" s="110"/>
      <c r="L1172" s="110"/>
      <c r="M1172" s="110"/>
      <c r="N1172" s="110"/>
      <c r="O1172" s="110"/>
      <c r="P1172" s="110"/>
      <c r="Q1172" s="110"/>
      <c r="R1172" s="110"/>
      <c r="S1172" s="110"/>
      <c r="T1172" s="110"/>
      <c r="U1172" s="110"/>
      <c r="V1172" s="110"/>
      <c r="W1172" s="110"/>
      <c r="X1172" s="110"/>
      <c r="Y1172" s="110"/>
      <c r="Z1172" s="351"/>
      <c r="AA1172" s="110"/>
      <c r="AB1172" s="330"/>
      <c r="AC1172" s="110"/>
      <c r="AD1172" s="110"/>
      <c r="AE1172" s="110"/>
      <c r="AF1172" s="110"/>
      <c r="AG1172" s="110"/>
      <c r="AH1172" s="110"/>
      <c r="AI1172" s="110"/>
    </row>
    <row r="1173" spans="1:35" ht="15.75" customHeight="1">
      <c r="A1173" s="110"/>
      <c r="B1173" s="110"/>
      <c r="C1173" s="110"/>
      <c r="D1173" s="404"/>
      <c r="E1173" s="110"/>
      <c r="F1173" s="110"/>
      <c r="G1173" s="110"/>
      <c r="H1173" s="110"/>
      <c r="I1173" s="110"/>
      <c r="J1173" s="110"/>
      <c r="K1173" s="110"/>
      <c r="L1173" s="110"/>
      <c r="M1173" s="110"/>
      <c r="N1173" s="110"/>
      <c r="O1173" s="110"/>
      <c r="P1173" s="110"/>
      <c r="Q1173" s="110"/>
      <c r="R1173" s="110"/>
      <c r="S1173" s="110"/>
      <c r="T1173" s="110"/>
      <c r="U1173" s="110"/>
      <c r="V1173" s="110"/>
      <c r="W1173" s="110"/>
      <c r="X1173" s="110"/>
      <c r="Y1173" s="110"/>
      <c r="Z1173" s="351"/>
      <c r="AA1173" s="110"/>
      <c r="AB1173" s="330"/>
      <c r="AC1173" s="110"/>
      <c r="AD1173" s="110"/>
      <c r="AE1173" s="110"/>
      <c r="AF1173" s="110"/>
      <c r="AG1173" s="110"/>
      <c r="AH1173" s="110"/>
      <c r="AI1173" s="110"/>
    </row>
    <row r="1174" spans="1:35" ht="15.75" customHeight="1">
      <c r="A1174" s="110"/>
      <c r="B1174" s="110"/>
      <c r="C1174" s="110"/>
      <c r="D1174" s="404"/>
      <c r="E1174" s="110"/>
      <c r="F1174" s="110"/>
      <c r="G1174" s="110"/>
      <c r="H1174" s="110"/>
      <c r="I1174" s="110"/>
      <c r="J1174" s="110"/>
      <c r="K1174" s="110"/>
      <c r="L1174" s="110"/>
      <c r="M1174" s="110"/>
      <c r="N1174" s="110"/>
      <c r="O1174" s="110"/>
      <c r="P1174" s="110"/>
      <c r="Q1174" s="110"/>
      <c r="R1174" s="110"/>
      <c r="S1174" s="110"/>
      <c r="T1174" s="110"/>
      <c r="U1174" s="110"/>
      <c r="V1174" s="110"/>
      <c r="W1174" s="110"/>
      <c r="X1174" s="110"/>
      <c r="Y1174" s="110"/>
      <c r="Z1174" s="351"/>
      <c r="AA1174" s="110"/>
      <c r="AB1174" s="330"/>
      <c r="AC1174" s="110"/>
      <c r="AD1174" s="110"/>
      <c r="AE1174" s="110"/>
      <c r="AF1174" s="110"/>
      <c r="AG1174" s="110"/>
      <c r="AH1174" s="110"/>
      <c r="AI1174" s="110"/>
    </row>
    <row r="1175" spans="1:35" ht="15.75" customHeight="1">
      <c r="A1175" s="110"/>
      <c r="B1175" s="110"/>
      <c r="C1175" s="110"/>
      <c r="D1175" s="404"/>
      <c r="E1175" s="110"/>
      <c r="F1175" s="110"/>
      <c r="G1175" s="110"/>
      <c r="H1175" s="110"/>
      <c r="I1175" s="110"/>
      <c r="J1175" s="110"/>
      <c r="K1175" s="110"/>
      <c r="L1175" s="110"/>
      <c r="M1175" s="110"/>
      <c r="N1175" s="110"/>
      <c r="O1175" s="110"/>
      <c r="P1175" s="110"/>
      <c r="Q1175" s="110"/>
      <c r="R1175" s="110"/>
      <c r="S1175" s="110"/>
      <c r="T1175" s="110"/>
      <c r="U1175" s="110"/>
      <c r="V1175" s="110"/>
      <c r="W1175" s="110"/>
      <c r="X1175" s="110"/>
      <c r="Y1175" s="110"/>
      <c r="Z1175" s="351"/>
      <c r="AA1175" s="110"/>
      <c r="AB1175" s="330"/>
      <c r="AC1175" s="110"/>
      <c r="AD1175" s="110"/>
      <c r="AE1175" s="110"/>
      <c r="AF1175" s="110"/>
      <c r="AG1175" s="110"/>
      <c r="AH1175" s="110"/>
      <c r="AI1175" s="110"/>
    </row>
    <row r="1176" spans="1:35" ht="15.75" customHeight="1">
      <c r="A1176" s="110"/>
      <c r="B1176" s="110"/>
      <c r="C1176" s="110"/>
      <c r="D1176" s="404"/>
      <c r="E1176" s="110"/>
      <c r="F1176" s="110"/>
      <c r="G1176" s="110"/>
      <c r="H1176" s="110"/>
      <c r="I1176" s="110"/>
      <c r="J1176" s="110"/>
      <c r="K1176" s="110"/>
      <c r="L1176" s="110"/>
      <c r="M1176" s="110"/>
      <c r="N1176" s="110"/>
      <c r="O1176" s="110"/>
      <c r="P1176" s="110"/>
      <c r="Q1176" s="110"/>
      <c r="R1176" s="110"/>
      <c r="S1176" s="110"/>
      <c r="T1176" s="110"/>
      <c r="U1176" s="110"/>
      <c r="V1176" s="110"/>
      <c r="W1176" s="110"/>
      <c r="X1176" s="110"/>
      <c r="Y1176" s="110"/>
      <c r="Z1176" s="351"/>
      <c r="AA1176" s="110"/>
      <c r="AB1176" s="330"/>
      <c r="AC1176" s="110"/>
      <c r="AD1176" s="110"/>
      <c r="AE1176" s="110"/>
      <c r="AF1176" s="110"/>
      <c r="AG1176" s="110"/>
      <c r="AH1176" s="110"/>
      <c r="AI1176" s="110"/>
    </row>
    <row r="1177" spans="1:35" ht="15.75" customHeight="1">
      <c r="A1177" s="110"/>
      <c r="B1177" s="110"/>
      <c r="C1177" s="110"/>
      <c r="D1177" s="404"/>
      <c r="E1177" s="110"/>
      <c r="F1177" s="110"/>
      <c r="G1177" s="110"/>
      <c r="H1177" s="110"/>
      <c r="I1177" s="110"/>
      <c r="J1177" s="110"/>
      <c r="K1177" s="110"/>
      <c r="L1177" s="110"/>
      <c r="M1177" s="110"/>
      <c r="N1177" s="110"/>
      <c r="O1177" s="110"/>
      <c r="P1177" s="110"/>
      <c r="Q1177" s="110"/>
      <c r="R1177" s="110"/>
      <c r="S1177" s="110"/>
      <c r="T1177" s="110"/>
      <c r="U1177" s="110"/>
      <c r="V1177" s="110"/>
      <c r="W1177" s="110"/>
      <c r="X1177" s="110"/>
      <c r="Y1177" s="110"/>
      <c r="Z1177" s="351"/>
      <c r="AA1177" s="110"/>
      <c r="AB1177" s="330"/>
      <c r="AC1177" s="110"/>
      <c r="AD1177" s="110"/>
      <c r="AE1177" s="110"/>
      <c r="AF1177" s="110"/>
      <c r="AG1177" s="110"/>
      <c r="AH1177" s="110"/>
      <c r="AI1177" s="110"/>
    </row>
    <row r="1178" spans="1:35" ht="15.75" customHeight="1">
      <c r="A1178" s="110"/>
      <c r="B1178" s="110"/>
      <c r="C1178" s="110"/>
      <c r="D1178" s="404"/>
      <c r="E1178" s="110"/>
      <c r="F1178" s="110"/>
      <c r="G1178" s="110"/>
      <c r="H1178" s="110"/>
      <c r="I1178" s="110"/>
      <c r="J1178" s="110"/>
      <c r="K1178" s="110"/>
      <c r="L1178" s="110"/>
      <c r="M1178" s="110"/>
      <c r="N1178" s="110"/>
      <c r="O1178" s="110"/>
      <c r="P1178" s="110"/>
      <c r="Q1178" s="110"/>
      <c r="R1178" s="110"/>
      <c r="S1178" s="110"/>
      <c r="T1178" s="110"/>
      <c r="U1178" s="110"/>
      <c r="V1178" s="110"/>
      <c r="W1178" s="110"/>
      <c r="X1178" s="110"/>
      <c r="Y1178" s="110"/>
      <c r="Z1178" s="351"/>
      <c r="AA1178" s="110"/>
      <c r="AB1178" s="330"/>
      <c r="AC1178" s="110"/>
      <c r="AD1178" s="110"/>
      <c r="AE1178" s="110"/>
      <c r="AF1178" s="110"/>
      <c r="AG1178" s="110"/>
      <c r="AH1178" s="110"/>
      <c r="AI1178" s="110"/>
    </row>
    <row r="1179" spans="1:35" ht="15.75" customHeight="1">
      <c r="A1179" s="110"/>
      <c r="B1179" s="110"/>
      <c r="C1179" s="110"/>
      <c r="D1179" s="404"/>
      <c r="E1179" s="110"/>
      <c r="F1179" s="110"/>
      <c r="G1179" s="110"/>
      <c r="H1179" s="110"/>
      <c r="I1179" s="110"/>
      <c r="J1179" s="110"/>
      <c r="K1179" s="110"/>
      <c r="L1179" s="110"/>
      <c r="M1179" s="110"/>
      <c r="N1179" s="110"/>
      <c r="O1179" s="110"/>
      <c r="P1179" s="110"/>
      <c r="Q1179" s="110"/>
      <c r="R1179" s="110"/>
      <c r="S1179" s="110"/>
      <c r="T1179" s="110"/>
      <c r="U1179" s="110"/>
      <c r="V1179" s="110"/>
      <c r="W1179" s="110"/>
      <c r="X1179" s="110"/>
      <c r="Y1179" s="110"/>
      <c r="Z1179" s="351"/>
      <c r="AA1179" s="110"/>
      <c r="AB1179" s="330"/>
      <c r="AC1179" s="110"/>
      <c r="AD1179" s="110"/>
      <c r="AE1179" s="110"/>
      <c r="AF1179" s="110"/>
      <c r="AG1179" s="110"/>
      <c r="AH1179" s="110"/>
      <c r="AI1179" s="110"/>
    </row>
    <row r="1180" spans="1:35" ht="15.75" customHeight="1">
      <c r="A1180" s="110"/>
      <c r="B1180" s="110"/>
      <c r="C1180" s="110"/>
      <c r="D1180" s="404"/>
      <c r="E1180" s="110"/>
      <c r="F1180" s="110"/>
      <c r="G1180" s="110"/>
      <c r="H1180" s="110"/>
      <c r="I1180" s="110"/>
      <c r="J1180" s="110"/>
      <c r="K1180" s="110"/>
      <c r="L1180" s="110"/>
      <c r="M1180" s="110"/>
      <c r="N1180" s="110"/>
      <c r="O1180" s="110"/>
      <c r="P1180" s="110"/>
      <c r="Q1180" s="110"/>
      <c r="R1180" s="110"/>
      <c r="S1180" s="110"/>
      <c r="T1180" s="110"/>
      <c r="U1180" s="110"/>
      <c r="V1180" s="110"/>
      <c r="W1180" s="110"/>
      <c r="X1180" s="110"/>
      <c r="Y1180" s="110"/>
      <c r="Z1180" s="351"/>
      <c r="AA1180" s="110"/>
      <c r="AB1180" s="330"/>
      <c r="AC1180" s="110"/>
      <c r="AD1180" s="110"/>
      <c r="AE1180" s="110"/>
      <c r="AF1180" s="110"/>
      <c r="AG1180" s="110"/>
      <c r="AH1180" s="110"/>
      <c r="AI1180" s="110"/>
    </row>
    <row r="1181" spans="1:35" ht="15.75" customHeight="1">
      <c r="A1181" s="110"/>
      <c r="B1181" s="110"/>
      <c r="C1181" s="110"/>
      <c r="D1181" s="404"/>
      <c r="E1181" s="110"/>
      <c r="F1181" s="110"/>
      <c r="G1181" s="110"/>
      <c r="H1181" s="110"/>
      <c r="I1181" s="110"/>
      <c r="J1181" s="110"/>
      <c r="K1181" s="110"/>
      <c r="L1181" s="110"/>
      <c r="M1181" s="110"/>
      <c r="N1181" s="110"/>
      <c r="O1181" s="110"/>
      <c r="P1181" s="110"/>
      <c r="Q1181" s="110"/>
      <c r="R1181" s="110"/>
      <c r="S1181" s="110"/>
      <c r="T1181" s="110"/>
      <c r="U1181" s="110"/>
      <c r="V1181" s="110"/>
      <c r="W1181" s="110"/>
      <c r="X1181" s="110"/>
      <c r="Y1181" s="110"/>
      <c r="Z1181" s="351"/>
      <c r="AA1181" s="110"/>
      <c r="AB1181" s="330"/>
      <c r="AC1181" s="110"/>
      <c r="AD1181" s="110"/>
      <c r="AE1181" s="110"/>
      <c r="AF1181" s="110"/>
      <c r="AG1181" s="110"/>
      <c r="AH1181" s="110"/>
      <c r="AI1181" s="110"/>
    </row>
    <row r="1182" spans="1:35" ht="15.75" customHeight="1">
      <c r="A1182" s="110"/>
      <c r="B1182" s="110"/>
      <c r="C1182" s="110"/>
      <c r="D1182" s="404"/>
      <c r="E1182" s="110"/>
      <c r="F1182" s="110"/>
      <c r="G1182" s="110"/>
      <c r="H1182" s="110"/>
      <c r="I1182" s="110"/>
      <c r="J1182" s="110"/>
      <c r="K1182" s="110"/>
      <c r="L1182" s="110"/>
      <c r="M1182" s="110"/>
      <c r="N1182" s="110"/>
      <c r="O1182" s="110"/>
      <c r="P1182" s="110"/>
      <c r="Q1182" s="110"/>
      <c r="R1182" s="110"/>
      <c r="S1182" s="110"/>
      <c r="T1182" s="110"/>
      <c r="U1182" s="110"/>
      <c r="V1182" s="110"/>
      <c r="W1182" s="110"/>
      <c r="X1182" s="110"/>
      <c r="Y1182" s="110"/>
      <c r="Z1182" s="351"/>
      <c r="AA1182" s="110"/>
      <c r="AB1182" s="330"/>
      <c r="AC1182" s="110"/>
      <c r="AD1182" s="110"/>
      <c r="AE1182" s="110"/>
      <c r="AF1182" s="110"/>
      <c r="AG1182" s="110"/>
      <c r="AH1182" s="110"/>
      <c r="AI1182" s="110"/>
    </row>
    <row r="1183" spans="1:35" ht="15.75" customHeight="1">
      <c r="A1183" s="110"/>
      <c r="B1183" s="110"/>
      <c r="C1183" s="110"/>
      <c r="D1183" s="404"/>
      <c r="E1183" s="110"/>
      <c r="F1183" s="110"/>
      <c r="G1183" s="110"/>
      <c r="H1183" s="110"/>
      <c r="I1183" s="110"/>
      <c r="J1183" s="110"/>
      <c r="K1183" s="110"/>
      <c r="L1183" s="110"/>
      <c r="M1183" s="110"/>
      <c r="N1183" s="110"/>
      <c r="O1183" s="110"/>
      <c r="P1183" s="110"/>
      <c r="Q1183" s="110"/>
      <c r="R1183" s="110"/>
      <c r="S1183" s="110"/>
      <c r="T1183" s="110"/>
      <c r="U1183" s="110"/>
      <c r="V1183" s="110"/>
      <c r="W1183" s="110"/>
      <c r="X1183" s="110"/>
      <c r="Y1183" s="110"/>
      <c r="Z1183" s="351"/>
      <c r="AA1183" s="110"/>
      <c r="AB1183" s="330"/>
      <c r="AC1183" s="110"/>
      <c r="AD1183" s="110"/>
      <c r="AE1183" s="110"/>
      <c r="AF1183" s="110"/>
      <c r="AG1183" s="110"/>
      <c r="AH1183" s="110"/>
      <c r="AI1183" s="110"/>
    </row>
    <row r="1184" spans="1:35" ht="15.75" customHeight="1">
      <c r="A1184" s="110"/>
      <c r="B1184" s="110"/>
      <c r="C1184" s="110"/>
      <c r="D1184" s="404"/>
      <c r="E1184" s="110"/>
      <c r="F1184" s="110"/>
      <c r="G1184" s="110"/>
      <c r="H1184" s="110"/>
      <c r="I1184" s="110"/>
      <c r="J1184" s="110"/>
      <c r="K1184" s="110"/>
      <c r="L1184" s="110"/>
      <c r="M1184" s="110"/>
      <c r="N1184" s="110"/>
      <c r="O1184" s="110"/>
      <c r="P1184" s="110"/>
      <c r="Q1184" s="110"/>
      <c r="R1184" s="110"/>
      <c r="S1184" s="110"/>
      <c r="T1184" s="110"/>
      <c r="U1184" s="110"/>
      <c r="V1184" s="110"/>
      <c r="W1184" s="110"/>
      <c r="X1184" s="110"/>
      <c r="Y1184" s="110"/>
      <c r="Z1184" s="351"/>
      <c r="AA1184" s="110"/>
      <c r="AB1184" s="330"/>
      <c r="AC1184" s="110"/>
      <c r="AD1184" s="110"/>
      <c r="AE1184" s="110"/>
      <c r="AF1184" s="110"/>
      <c r="AG1184" s="110"/>
      <c r="AH1184" s="110"/>
      <c r="AI1184" s="110"/>
    </row>
    <row r="1185" spans="1:35" ht="15.75" customHeight="1">
      <c r="A1185" s="110"/>
      <c r="B1185" s="110"/>
      <c r="C1185" s="110"/>
      <c r="D1185" s="404"/>
      <c r="E1185" s="110"/>
      <c r="F1185" s="110"/>
      <c r="G1185" s="110"/>
      <c r="H1185" s="110"/>
      <c r="I1185" s="110"/>
      <c r="J1185" s="110"/>
      <c r="K1185" s="110"/>
      <c r="L1185" s="110"/>
      <c r="M1185" s="110"/>
      <c r="N1185" s="110"/>
      <c r="O1185" s="110"/>
      <c r="P1185" s="110"/>
      <c r="Q1185" s="110"/>
      <c r="R1185" s="110"/>
      <c r="S1185" s="110"/>
      <c r="T1185" s="110"/>
      <c r="U1185" s="110"/>
      <c r="V1185" s="110"/>
      <c r="W1185" s="110"/>
      <c r="X1185" s="110"/>
      <c r="Y1185" s="110"/>
      <c r="Z1185" s="351"/>
      <c r="AA1185" s="110"/>
      <c r="AB1185" s="330"/>
      <c r="AC1185" s="110"/>
      <c r="AD1185" s="110"/>
      <c r="AE1185" s="110"/>
      <c r="AF1185" s="110"/>
      <c r="AG1185" s="110"/>
      <c r="AH1185" s="110"/>
      <c r="AI1185" s="110"/>
    </row>
    <row r="1186" spans="1:35" ht="15.75" customHeight="1">
      <c r="A1186" s="110"/>
      <c r="B1186" s="110"/>
      <c r="C1186" s="110"/>
      <c r="D1186" s="404"/>
      <c r="E1186" s="110"/>
      <c r="F1186" s="110"/>
      <c r="G1186" s="110"/>
      <c r="H1186" s="110"/>
      <c r="I1186" s="110"/>
      <c r="J1186" s="110"/>
      <c r="K1186" s="110"/>
      <c r="L1186" s="110"/>
      <c r="M1186" s="110"/>
      <c r="N1186" s="110"/>
      <c r="O1186" s="110"/>
      <c r="P1186" s="110"/>
      <c r="Q1186" s="110"/>
      <c r="R1186" s="110"/>
      <c r="S1186" s="110"/>
      <c r="T1186" s="110"/>
      <c r="U1186" s="110"/>
      <c r="V1186" s="110"/>
      <c r="W1186" s="110"/>
      <c r="X1186" s="110"/>
      <c r="Y1186" s="110"/>
      <c r="Z1186" s="351"/>
      <c r="AA1186" s="110"/>
      <c r="AB1186" s="330"/>
      <c r="AC1186" s="110"/>
      <c r="AD1186" s="110"/>
      <c r="AE1186" s="110"/>
      <c r="AF1186" s="110"/>
      <c r="AG1186" s="110"/>
      <c r="AH1186" s="110"/>
      <c r="AI1186" s="110"/>
    </row>
    <row r="1187" spans="1:35" ht="15.75" customHeight="1">
      <c r="A1187" s="110"/>
      <c r="B1187" s="110"/>
      <c r="C1187" s="110"/>
      <c r="D1187" s="404"/>
      <c r="E1187" s="110"/>
      <c r="F1187" s="110"/>
      <c r="G1187" s="110"/>
      <c r="H1187" s="110"/>
      <c r="I1187" s="110"/>
      <c r="J1187" s="110"/>
      <c r="K1187" s="110"/>
      <c r="L1187" s="110"/>
      <c r="M1187" s="110"/>
      <c r="N1187" s="110"/>
      <c r="O1187" s="110"/>
      <c r="P1187" s="110"/>
      <c r="Q1187" s="110"/>
      <c r="R1187" s="110"/>
      <c r="S1187" s="110"/>
      <c r="T1187" s="110"/>
      <c r="U1187" s="110"/>
      <c r="V1187" s="110"/>
      <c r="W1187" s="110"/>
      <c r="X1187" s="110"/>
      <c r="Y1187" s="110"/>
      <c r="Z1187" s="351"/>
      <c r="AA1187" s="110"/>
      <c r="AB1187" s="330"/>
      <c r="AC1187" s="110"/>
      <c r="AD1187" s="110"/>
      <c r="AE1187" s="110"/>
      <c r="AF1187" s="110"/>
      <c r="AG1187" s="110"/>
      <c r="AH1187" s="110"/>
      <c r="AI1187" s="110"/>
    </row>
    <row r="1188" spans="1:35" ht="15.75" customHeight="1">
      <c r="A1188" s="110"/>
      <c r="B1188" s="110"/>
      <c r="C1188" s="110"/>
      <c r="D1188" s="404"/>
      <c r="E1188" s="110"/>
      <c r="F1188" s="110"/>
      <c r="G1188" s="110"/>
      <c r="H1188" s="110"/>
      <c r="I1188" s="110"/>
      <c r="J1188" s="110"/>
      <c r="K1188" s="110"/>
      <c r="L1188" s="110"/>
      <c r="M1188" s="110"/>
      <c r="N1188" s="110"/>
      <c r="O1188" s="110"/>
      <c r="P1188" s="110"/>
      <c r="Q1188" s="110"/>
      <c r="R1188" s="110"/>
      <c r="S1188" s="110"/>
      <c r="T1188" s="110"/>
      <c r="U1188" s="110"/>
      <c r="V1188" s="110"/>
      <c r="W1188" s="110"/>
      <c r="X1188" s="110"/>
      <c r="Y1188" s="110"/>
      <c r="Z1188" s="351"/>
      <c r="AA1188" s="110"/>
      <c r="AB1188" s="330"/>
      <c r="AC1188" s="110"/>
      <c r="AD1188" s="110"/>
      <c r="AE1188" s="110"/>
      <c r="AF1188" s="110"/>
      <c r="AG1188" s="110"/>
      <c r="AH1188" s="110"/>
      <c r="AI1188" s="110"/>
    </row>
    <row r="1189" spans="1:35" ht="15.75" customHeight="1">
      <c r="A1189" s="110"/>
      <c r="B1189" s="110"/>
      <c r="C1189" s="110"/>
      <c r="D1189" s="404"/>
      <c r="E1189" s="110"/>
      <c r="F1189" s="110"/>
      <c r="G1189" s="110"/>
      <c r="H1189" s="110"/>
      <c r="I1189" s="110"/>
      <c r="J1189" s="110"/>
      <c r="K1189" s="110"/>
      <c r="L1189" s="110"/>
      <c r="M1189" s="110"/>
      <c r="N1189" s="110"/>
      <c r="O1189" s="110"/>
      <c r="P1189" s="110"/>
      <c r="Q1189" s="110"/>
      <c r="R1189" s="110"/>
      <c r="S1189" s="110"/>
      <c r="T1189" s="110"/>
      <c r="U1189" s="110"/>
      <c r="V1189" s="110"/>
      <c r="W1189" s="110"/>
      <c r="X1189" s="110"/>
      <c r="Y1189" s="110"/>
      <c r="Z1189" s="351"/>
      <c r="AA1189" s="110"/>
      <c r="AB1189" s="330"/>
      <c r="AC1189" s="110"/>
      <c r="AD1189" s="110"/>
      <c r="AE1189" s="110"/>
      <c r="AF1189" s="110"/>
      <c r="AG1189" s="110"/>
      <c r="AH1189" s="110"/>
      <c r="AI1189" s="110"/>
    </row>
    <row r="1190" spans="1:35" ht="15.75" customHeight="1">
      <c r="A1190" s="110"/>
      <c r="B1190" s="110"/>
      <c r="C1190" s="110"/>
      <c r="D1190" s="404"/>
      <c r="E1190" s="110"/>
      <c r="F1190" s="110"/>
      <c r="G1190" s="110"/>
      <c r="H1190" s="110"/>
      <c r="I1190" s="110"/>
      <c r="J1190" s="110"/>
      <c r="K1190" s="110"/>
      <c r="L1190" s="110"/>
      <c r="M1190" s="110"/>
      <c r="N1190" s="110"/>
      <c r="O1190" s="110"/>
      <c r="P1190" s="110"/>
      <c r="Q1190" s="110"/>
      <c r="R1190" s="110"/>
      <c r="S1190" s="110"/>
      <c r="T1190" s="110"/>
      <c r="U1190" s="110"/>
      <c r="V1190" s="110"/>
      <c r="W1190" s="110"/>
      <c r="X1190" s="110"/>
      <c r="Y1190" s="110"/>
      <c r="Z1190" s="351"/>
      <c r="AA1190" s="110"/>
      <c r="AB1190" s="330"/>
      <c r="AC1190" s="110"/>
      <c r="AD1190" s="110"/>
      <c r="AE1190" s="110"/>
      <c r="AF1190" s="110"/>
      <c r="AG1190" s="110"/>
      <c r="AH1190" s="110"/>
      <c r="AI1190" s="110"/>
    </row>
    <row r="1191" spans="1:35" ht="15.75" customHeight="1">
      <c r="A1191" s="110"/>
      <c r="B1191" s="110"/>
      <c r="C1191" s="110"/>
      <c r="D1191" s="404"/>
      <c r="E1191" s="110"/>
      <c r="F1191" s="110"/>
      <c r="G1191" s="110"/>
      <c r="H1191" s="110"/>
      <c r="I1191" s="110"/>
      <c r="J1191" s="110"/>
      <c r="K1191" s="110"/>
      <c r="L1191" s="110"/>
      <c r="M1191" s="110"/>
      <c r="N1191" s="110"/>
      <c r="O1191" s="110"/>
      <c r="P1191" s="110"/>
      <c r="Q1191" s="110"/>
      <c r="R1191" s="110"/>
      <c r="S1191" s="110"/>
      <c r="T1191" s="110"/>
      <c r="U1191" s="110"/>
      <c r="V1191" s="110"/>
      <c r="W1191" s="110"/>
      <c r="X1191" s="110"/>
      <c r="Y1191" s="110"/>
      <c r="Z1191" s="351"/>
      <c r="AA1191" s="110"/>
      <c r="AB1191" s="330"/>
      <c r="AC1191" s="110"/>
      <c r="AD1191" s="110"/>
      <c r="AE1191" s="110"/>
      <c r="AF1191" s="110"/>
      <c r="AG1191" s="110"/>
      <c r="AH1191" s="110"/>
      <c r="AI1191" s="110"/>
    </row>
    <row r="1192" spans="1:35" ht="15.75" customHeight="1">
      <c r="A1192" s="110"/>
      <c r="B1192" s="110"/>
      <c r="C1192" s="110"/>
      <c r="D1192" s="404"/>
      <c r="E1192" s="110"/>
      <c r="F1192" s="110"/>
      <c r="G1192" s="110"/>
      <c r="H1192" s="110"/>
      <c r="I1192" s="110"/>
      <c r="J1192" s="110"/>
      <c r="K1192" s="110"/>
      <c r="L1192" s="110"/>
      <c r="M1192" s="110"/>
      <c r="N1192" s="110"/>
      <c r="O1192" s="110"/>
      <c r="P1192" s="110"/>
      <c r="Q1192" s="110"/>
      <c r="R1192" s="110"/>
      <c r="S1192" s="110"/>
      <c r="T1192" s="110"/>
      <c r="U1192" s="110"/>
      <c r="V1192" s="110"/>
      <c r="W1192" s="110"/>
      <c r="X1192" s="110"/>
      <c r="Y1192" s="110"/>
      <c r="Z1192" s="351"/>
      <c r="AA1192" s="110"/>
      <c r="AB1192" s="330"/>
      <c r="AC1192" s="110"/>
      <c r="AD1192" s="110"/>
      <c r="AE1192" s="110"/>
      <c r="AF1192" s="110"/>
      <c r="AG1192" s="110"/>
      <c r="AH1192" s="110"/>
      <c r="AI1192" s="110"/>
    </row>
    <row r="1193" spans="1:35" ht="15.75" customHeight="1">
      <c r="A1193" s="110"/>
      <c r="B1193" s="110"/>
      <c r="C1193" s="110"/>
      <c r="D1193" s="404"/>
      <c r="E1193" s="110"/>
      <c r="F1193" s="110"/>
      <c r="G1193" s="110"/>
      <c r="H1193" s="110"/>
      <c r="I1193" s="110"/>
      <c r="J1193" s="110"/>
      <c r="K1193" s="110"/>
      <c r="L1193" s="110"/>
      <c r="M1193" s="110"/>
      <c r="N1193" s="110"/>
      <c r="O1193" s="110"/>
      <c r="P1193" s="110"/>
      <c r="Q1193" s="110"/>
      <c r="R1193" s="110"/>
      <c r="S1193" s="110"/>
      <c r="T1193" s="110"/>
      <c r="U1193" s="110"/>
      <c r="V1193" s="110"/>
      <c r="W1193" s="110"/>
      <c r="X1193" s="110"/>
      <c r="Y1193" s="110"/>
      <c r="Z1193" s="351"/>
      <c r="AA1193" s="110"/>
      <c r="AB1193" s="330"/>
      <c r="AC1193" s="110"/>
      <c r="AD1193" s="110"/>
      <c r="AE1193" s="110"/>
      <c r="AF1193" s="110"/>
      <c r="AG1193" s="110"/>
      <c r="AH1193" s="110"/>
      <c r="AI1193" s="110"/>
    </row>
    <row r="1194" spans="1:35" ht="15.75" customHeight="1">
      <c r="A1194" s="110"/>
      <c r="B1194" s="110"/>
      <c r="C1194" s="110"/>
      <c r="D1194" s="404"/>
      <c r="E1194" s="110"/>
      <c r="F1194" s="110"/>
      <c r="G1194" s="110"/>
      <c r="H1194" s="110"/>
      <c r="I1194" s="110"/>
      <c r="J1194" s="110"/>
      <c r="K1194" s="110"/>
      <c r="L1194" s="110"/>
      <c r="M1194" s="110"/>
      <c r="N1194" s="110"/>
      <c r="O1194" s="110"/>
      <c r="P1194" s="110"/>
      <c r="Q1194" s="110"/>
      <c r="R1194" s="110"/>
      <c r="S1194" s="110"/>
      <c r="T1194" s="110"/>
      <c r="U1194" s="110"/>
      <c r="V1194" s="110"/>
      <c r="W1194" s="110"/>
      <c r="X1194" s="110"/>
      <c r="Y1194" s="110"/>
      <c r="Z1194" s="351"/>
      <c r="AA1194" s="110"/>
      <c r="AB1194" s="330"/>
      <c r="AC1194" s="110"/>
      <c r="AD1194" s="110"/>
      <c r="AE1194" s="110"/>
      <c r="AF1194" s="110"/>
      <c r="AG1194" s="110"/>
      <c r="AH1194" s="110"/>
      <c r="AI1194" s="110"/>
    </row>
    <row r="1195" spans="1:35" ht="15.75" customHeight="1">
      <c r="A1195" s="110"/>
      <c r="B1195" s="110"/>
      <c r="C1195" s="110"/>
      <c r="D1195" s="404"/>
      <c r="E1195" s="110"/>
      <c r="F1195" s="110"/>
      <c r="G1195" s="110"/>
      <c r="H1195" s="110"/>
      <c r="I1195" s="110"/>
      <c r="J1195" s="110"/>
      <c r="K1195" s="110"/>
      <c r="L1195" s="110"/>
      <c r="M1195" s="110"/>
      <c r="N1195" s="110"/>
      <c r="O1195" s="110"/>
      <c r="P1195" s="110"/>
      <c r="Q1195" s="110"/>
      <c r="R1195" s="110"/>
      <c r="S1195" s="110"/>
      <c r="T1195" s="110"/>
      <c r="U1195" s="110"/>
      <c r="V1195" s="110"/>
      <c r="W1195" s="110"/>
      <c r="X1195" s="110"/>
      <c r="Y1195" s="110"/>
      <c r="Z1195" s="351"/>
      <c r="AA1195" s="110"/>
      <c r="AB1195" s="330"/>
      <c r="AC1195" s="110"/>
      <c r="AD1195" s="110"/>
      <c r="AE1195" s="110"/>
      <c r="AF1195" s="110"/>
      <c r="AG1195" s="110"/>
      <c r="AH1195" s="110"/>
      <c r="AI1195" s="110"/>
    </row>
    <row r="1196" spans="1:35" ht="15.75" customHeight="1">
      <c r="A1196" s="110"/>
      <c r="B1196" s="110"/>
      <c r="C1196" s="110"/>
      <c r="D1196" s="404"/>
      <c r="E1196" s="110"/>
      <c r="F1196" s="110"/>
      <c r="G1196" s="110"/>
      <c r="H1196" s="110"/>
      <c r="I1196" s="110"/>
      <c r="J1196" s="110"/>
      <c r="K1196" s="110"/>
      <c r="L1196" s="110"/>
      <c r="M1196" s="110"/>
      <c r="N1196" s="110"/>
      <c r="O1196" s="110"/>
      <c r="P1196" s="110"/>
      <c r="Q1196" s="110"/>
      <c r="R1196" s="110"/>
      <c r="S1196" s="110"/>
      <c r="T1196" s="110"/>
      <c r="U1196" s="110"/>
      <c r="V1196" s="110"/>
      <c r="W1196" s="110"/>
      <c r="X1196" s="110"/>
      <c r="Y1196" s="110"/>
      <c r="Z1196" s="351"/>
      <c r="AA1196" s="110"/>
      <c r="AB1196" s="330"/>
      <c r="AC1196" s="110"/>
      <c r="AD1196" s="110"/>
      <c r="AE1196" s="110"/>
      <c r="AF1196" s="110"/>
      <c r="AG1196" s="110"/>
      <c r="AH1196" s="110"/>
      <c r="AI1196" s="110"/>
    </row>
    <row r="1197" spans="1:35" ht="15.75" customHeight="1">
      <c r="A1197" s="110"/>
      <c r="B1197" s="110"/>
      <c r="C1197" s="110"/>
      <c r="D1197" s="404"/>
      <c r="E1197" s="110"/>
      <c r="F1197" s="110"/>
      <c r="G1197" s="110"/>
      <c r="H1197" s="110"/>
      <c r="I1197" s="110"/>
      <c r="J1197" s="110"/>
      <c r="K1197" s="110"/>
      <c r="L1197" s="110"/>
      <c r="M1197" s="110"/>
      <c r="N1197" s="110"/>
      <c r="O1197" s="110"/>
      <c r="P1197" s="110"/>
      <c r="Q1197" s="110"/>
      <c r="R1197" s="110"/>
      <c r="S1197" s="110"/>
      <c r="T1197" s="110"/>
      <c r="U1197" s="110"/>
      <c r="V1197" s="110"/>
      <c r="W1197" s="110"/>
      <c r="X1197" s="110"/>
      <c r="Y1197" s="110"/>
      <c r="Z1197" s="351"/>
      <c r="AA1197" s="110"/>
      <c r="AB1197" s="330"/>
      <c r="AC1197" s="110"/>
      <c r="AD1197" s="110"/>
      <c r="AE1197" s="110"/>
      <c r="AF1197" s="110"/>
      <c r="AG1197" s="110"/>
      <c r="AH1197" s="110"/>
      <c r="AI1197" s="110"/>
    </row>
    <row r="1198" spans="1:35" ht="15.75" customHeight="1">
      <c r="A1198" s="110"/>
      <c r="B1198" s="110"/>
      <c r="C1198" s="110"/>
      <c r="D1198" s="404"/>
      <c r="E1198" s="110"/>
      <c r="F1198" s="110"/>
      <c r="G1198" s="110"/>
      <c r="H1198" s="110"/>
      <c r="I1198" s="110"/>
      <c r="J1198" s="110"/>
      <c r="K1198" s="110"/>
      <c r="L1198" s="110"/>
      <c r="M1198" s="110"/>
      <c r="N1198" s="110"/>
      <c r="O1198" s="110"/>
      <c r="P1198" s="110"/>
      <c r="Q1198" s="110"/>
      <c r="R1198" s="110"/>
      <c r="S1198" s="110"/>
      <c r="T1198" s="110"/>
      <c r="U1198" s="110"/>
      <c r="V1198" s="110"/>
      <c r="W1198" s="110"/>
      <c r="X1198" s="110"/>
      <c r="Y1198" s="110"/>
      <c r="Z1198" s="351"/>
      <c r="AA1198" s="110"/>
      <c r="AB1198" s="330"/>
      <c r="AC1198" s="110"/>
      <c r="AD1198" s="110"/>
      <c r="AE1198" s="110"/>
      <c r="AF1198" s="110"/>
      <c r="AG1198" s="110"/>
      <c r="AH1198" s="110"/>
      <c r="AI1198" s="110"/>
    </row>
    <row r="1199" spans="1:35" ht="15.75" customHeight="1">
      <c r="A1199" s="110"/>
      <c r="B1199" s="110"/>
      <c r="C1199" s="110"/>
      <c r="D1199" s="404"/>
      <c r="E1199" s="110"/>
      <c r="F1199" s="110"/>
      <c r="G1199" s="110"/>
      <c r="H1199" s="110"/>
      <c r="I1199" s="110"/>
      <c r="J1199" s="110"/>
      <c r="K1199" s="110"/>
      <c r="L1199" s="110"/>
      <c r="M1199" s="110"/>
      <c r="N1199" s="110"/>
      <c r="O1199" s="110"/>
      <c r="P1199" s="110"/>
      <c r="Q1199" s="110"/>
      <c r="R1199" s="110"/>
      <c r="S1199" s="110"/>
      <c r="T1199" s="110"/>
      <c r="U1199" s="110"/>
      <c r="V1199" s="110"/>
      <c r="W1199" s="110"/>
      <c r="X1199" s="110"/>
      <c r="Y1199" s="110"/>
      <c r="Z1199" s="351"/>
      <c r="AA1199" s="110"/>
      <c r="AB1199" s="330"/>
      <c r="AC1199" s="110"/>
      <c r="AD1199" s="110"/>
      <c r="AE1199" s="110"/>
      <c r="AF1199" s="110"/>
      <c r="AG1199" s="110"/>
      <c r="AH1199" s="110"/>
      <c r="AI1199" s="110"/>
    </row>
    <row r="1200" spans="1:35" ht="15.75" customHeight="1">
      <c r="A1200" s="110"/>
      <c r="B1200" s="110"/>
      <c r="C1200" s="110"/>
      <c r="D1200" s="404"/>
      <c r="E1200" s="110"/>
      <c r="F1200" s="110"/>
      <c r="G1200" s="110"/>
      <c r="H1200" s="110"/>
      <c r="I1200" s="110"/>
      <c r="J1200" s="110"/>
      <c r="K1200" s="110"/>
      <c r="L1200" s="110"/>
      <c r="M1200" s="110"/>
      <c r="N1200" s="110"/>
      <c r="O1200" s="110"/>
      <c r="P1200" s="110"/>
      <c r="Q1200" s="110"/>
      <c r="R1200" s="110"/>
      <c r="S1200" s="110"/>
      <c r="T1200" s="110"/>
      <c r="U1200" s="110"/>
      <c r="V1200" s="110"/>
      <c r="W1200" s="110"/>
      <c r="X1200" s="110"/>
      <c r="Y1200" s="110"/>
      <c r="Z1200" s="351"/>
      <c r="AA1200" s="110"/>
      <c r="AB1200" s="330"/>
      <c r="AC1200" s="110"/>
      <c r="AD1200" s="110"/>
      <c r="AE1200" s="110"/>
      <c r="AF1200" s="110"/>
      <c r="AG1200" s="110"/>
      <c r="AH1200" s="110"/>
      <c r="AI1200" s="110"/>
    </row>
    <row r="1201" spans="1:35" ht="15.75" customHeight="1">
      <c r="A1201" s="110"/>
      <c r="B1201" s="110"/>
      <c r="C1201" s="110"/>
      <c r="D1201" s="404"/>
      <c r="E1201" s="110"/>
      <c r="F1201" s="110"/>
      <c r="G1201" s="110"/>
      <c r="H1201" s="110"/>
      <c r="I1201" s="110"/>
      <c r="J1201" s="110"/>
      <c r="K1201" s="110"/>
      <c r="L1201" s="110"/>
      <c r="M1201" s="110"/>
      <c r="N1201" s="110"/>
      <c r="O1201" s="110"/>
      <c r="P1201" s="110"/>
      <c r="Q1201" s="110"/>
      <c r="R1201" s="110"/>
      <c r="S1201" s="110"/>
      <c r="T1201" s="110"/>
      <c r="U1201" s="110"/>
      <c r="V1201" s="110"/>
      <c r="W1201" s="110"/>
      <c r="X1201" s="110"/>
      <c r="Y1201" s="110"/>
      <c r="Z1201" s="351"/>
      <c r="AA1201" s="110"/>
      <c r="AB1201" s="330"/>
      <c r="AC1201" s="110"/>
      <c r="AD1201" s="110"/>
      <c r="AE1201" s="110"/>
      <c r="AF1201" s="110"/>
      <c r="AG1201" s="110"/>
      <c r="AH1201" s="110"/>
      <c r="AI1201" s="110"/>
    </row>
    <row r="1202" spans="1:35" ht="15.75" customHeight="1">
      <c r="A1202" s="110"/>
      <c r="B1202" s="110"/>
      <c r="C1202" s="110"/>
      <c r="D1202" s="404"/>
      <c r="E1202" s="110"/>
      <c r="F1202" s="110"/>
      <c r="G1202" s="110"/>
      <c r="H1202" s="110"/>
      <c r="I1202" s="110"/>
      <c r="J1202" s="110"/>
      <c r="K1202" s="110"/>
      <c r="L1202" s="110"/>
      <c r="M1202" s="110"/>
      <c r="N1202" s="110"/>
      <c r="O1202" s="110"/>
      <c r="P1202" s="110"/>
      <c r="Q1202" s="110"/>
      <c r="R1202" s="110"/>
      <c r="S1202" s="110"/>
      <c r="T1202" s="110"/>
      <c r="U1202" s="110"/>
      <c r="V1202" s="110"/>
      <c r="W1202" s="110"/>
      <c r="X1202" s="110"/>
      <c r="Y1202" s="110"/>
      <c r="Z1202" s="351"/>
      <c r="AA1202" s="110"/>
      <c r="AB1202" s="330"/>
      <c r="AC1202" s="110"/>
      <c r="AD1202" s="110"/>
      <c r="AE1202" s="110"/>
      <c r="AF1202" s="110"/>
      <c r="AG1202" s="110"/>
      <c r="AH1202" s="110"/>
      <c r="AI1202" s="110"/>
    </row>
    <row r="1203" spans="1:35" ht="15.75" customHeight="1">
      <c r="A1203" s="110"/>
      <c r="B1203" s="110"/>
      <c r="C1203" s="110"/>
      <c r="D1203" s="404"/>
      <c r="E1203" s="110"/>
      <c r="F1203" s="110"/>
      <c r="G1203" s="110"/>
      <c r="H1203" s="110"/>
      <c r="I1203" s="110"/>
      <c r="J1203" s="110"/>
      <c r="K1203" s="110"/>
      <c r="L1203" s="110"/>
      <c r="M1203" s="110"/>
      <c r="N1203" s="110"/>
      <c r="O1203" s="110"/>
      <c r="P1203" s="110"/>
      <c r="Q1203" s="110"/>
      <c r="R1203" s="110"/>
      <c r="S1203" s="110"/>
      <c r="T1203" s="110"/>
      <c r="U1203" s="110"/>
      <c r="V1203" s="110"/>
      <c r="W1203" s="110"/>
      <c r="X1203" s="110"/>
      <c r="Y1203" s="110"/>
      <c r="Z1203" s="351"/>
      <c r="AA1203" s="110"/>
      <c r="AB1203" s="330"/>
      <c r="AC1203" s="110"/>
      <c r="AD1203" s="110"/>
      <c r="AE1203" s="110"/>
      <c r="AF1203" s="110"/>
      <c r="AG1203" s="110"/>
      <c r="AH1203" s="110"/>
      <c r="AI1203" s="110"/>
    </row>
    <row r="1204" spans="1:35" ht="15.75" customHeight="1">
      <c r="A1204" s="110"/>
      <c r="B1204" s="110"/>
      <c r="C1204" s="110"/>
      <c r="D1204" s="404"/>
      <c r="E1204" s="110"/>
      <c r="F1204" s="110"/>
      <c r="G1204" s="110"/>
      <c r="H1204" s="110"/>
      <c r="I1204" s="110"/>
      <c r="J1204" s="110"/>
      <c r="K1204" s="110"/>
      <c r="L1204" s="110"/>
      <c r="M1204" s="110"/>
      <c r="N1204" s="110"/>
      <c r="O1204" s="110"/>
      <c r="P1204" s="110"/>
      <c r="Q1204" s="110"/>
      <c r="R1204" s="110"/>
      <c r="S1204" s="110"/>
      <c r="T1204" s="110"/>
      <c r="U1204" s="110"/>
      <c r="V1204" s="110"/>
      <c r="W1204" s="110"/>
      <c r="X1204" s="110"/>
      <c r="Y1204" s="110"/>
      <c r="Z1204" s="351"/>
      <c r="AA1204" s="110"/>
      <c r="AB1204" s="330"/>
      <c r="AC1204" s="110"/>
      <c r="AD1204" s="110"/>
      <c r="AE1204" s="110"/>
      <c r="AF1204" s="110"/>
      <c r="AG1204" s="110"/>
      <c r="AH1204" s="110"/>
      <c r="AI1204" s="110"/>
    </row>
    <row r="1205" spans="1:35" ht="15.75" customHeight="1">
      <c r="A1205" s="110"/>
      <c r="B1205" s="110"/>
      <c r="C1205" s="110"/>
      <c r="D1205" s="404"/>
      <c r="E1205" s="110"/>
      <c r="F1205" s="110"/>
      <c r="G1205" s="110"/>
      <c r="H1205" s="110"/>
      <c r="I1205" s="110"/>
      <c r="J1205" s="110"/>
      <c r="K1205" s="110"/>
      <c r="L1205" s="110"/>
      <c r="M1205" s="110"/>
      <c r="N1205" s="110"/>
      <c r="O1205" s="110"/>
      <c r="P1205" s="110"/>
      <c r="Q1205" s="110"/>
      <c r="R1205" s="110"/>
      <c r="S1205" s="110"/>
      <c r="T1205" s="110"/>
      <c r="U1205" s="110"/>
      <c r="V1205" s="110"/>
      <c r="W1205" s="110"/>
      <c r="X1205" s="110"/>
      <c r="Y1205" s="110"/>
      <c r="Z1205" s="351"/>
      <c r="AA1205" s="110"/>
      <c r="AB1205" s="330"/>
      <c r="AC1205" s="110"/>
      <c r="AD1205" s="110"/>
      <c r="AE1205" s="110"/>
      <c r="AF1205" s="110"/>
      <c r="AG1205" s="110"/>
      <c r="AH1205" s="110"/>
      <c r="AI1205" s="110"/>
    </row>
    <row r="1206" spans="1:35" ht="15.75" customHeight="1">
      <c r="A1206" s="110"/>
      <c r="B1206" s="110"/>
      <c r="C1206" s="110"/>
      <c r="D1206" s="404"/>
      <c r="E1206" s="110"/>
      <c r="F1206" s="110"/>
      <c r="G1206" s="110"/>
      <c r="H1206" s="110"/>
      <c r="I1206" s="110"/>
      <c r="J1206" s="110"/>
      <c r="K1206" s="110"/>
      <c r="L1206" s="110"/>
      <c r="M1206" s="110"/>
      <c r="N1206" s="110"/>
      <c r="O1206" s="110"/>
      <c r="P1206" s="110"/>
      <c r="Q1206" s="110"/>
      <c r="R1206" s="110"/>
      <c r="S1206" s="110"/>
      <c r="T1206" s="110"/>
      <c r="U1206" s="110"/>
      <c r="V1206" s="110"/>
      <c r="W1206" s="110"/>
      <c r="X1206" s="110"/>
      <c r="Y1206" s="110"/>
      <c r="Z1206" s="351"/>
      <c r="AA1206" s="110"/>
      <c r="AB1206" s="330"/>
      <c r="AC1206" s="110"/>
      <c r="AD1206" s="110"/>
      <c r="AE1206" s="110"/>
      <c r="AF1206" s="110"/>
      <c r="AG1206" s="110"/>
      <c r="AH1206" s="110"/>
      <c r="AI1206" s="110"/>
    </row>
    <row r="1207" spans="1:35" ht="15.75" customHeight="1">
      <c r="A1207" s="110"/>
      <c r="B1207" s="110"/>
      <c r="C1207" s="110"/>
      <c r="D1207" s="404"/>
      <c r="E1207" s="110"/>
      <c r="F1207" s="110"/>
      <c r="G1207" s="110"/>
      <c r="H1207" s="110"/>
      <c r="I1207" s="110"/>
      <c r="J1207" s="110"/>
      <c r="K1207" s="110"/>
      <c r="L1207" s="110"/>
      <c r="M1207" s="110"/>
      <c r="N1207" s="110"/>
      <c r="O1207" s="110"/>
      <c r="P1207" s="110"/>
      <c r="Q1207" s="110"/>
      <c r="R1207" s="110"/>
      <c r="S1207" s="110"/>
      <c r="T1207" s="110"/>
      <c r="U1207" s="110"/>
      <c r="V1207" s="110"/>
      <c r="W1207" s="110"/>
      <c r="X1207" s="110"/>
      <c r="Y1207" s="110"/>
      <c r="Z1207" s="351"/>
      <c r="AA1207" s="110"/>
      <c r="AB1207" s="330"/>
      <c r="AC1207" s="110"/>
      <c r="AD1207" s="110"/>
      <c r="AE1207" s="110"/>
      <c r="AF1207" s="110"/>
      <c r="AG1207" s="110"/>
      <c r="AH1207" s="110"/>
      <c r="AI1207" s="110"/>
    </row>
    <row r="1208" spans="1:35" ht="15.75" customHeight="1">
      <c r="A1208" s="110"/>
      <c r="B1208" s="110"/>
      <c r="C1208" s="110"/>
      <c r="D1208" s="404"/>
      <c r="E1208" s="110"/>
      <c r="F1208" s="110"/>
      <c r="G1208" s="110"/>
      <c r="H1208" s="110"/>
      <c r="I1208" s="110"/>
      <c r="J1208" s="110"/>
      <c r="K1208" s="110"/>
      <c r="L1208" s="110"/>
      <c r="M1208" s="110"/>
      <c r="N1208" s="110"/>
      <c r="O1208" s="110"/>
      <c r="P1208" s="110"/>
      <c r="Q1208" s="110"/>
      <c r="R1208" s="110"/>
      <c r="S1208" s="110"/>
      <c r="T1208" s="110"/>
      <c r="U1208" s="110"/>
      <c r="V1208" s="110"/>
      <c r="W1208" s="110"/>
      <c r="X1208" s="110"/>
      <c r="Y1208" s="110"/>
      <c r="Z1208" s="351"/>
      <c r="AA1208" s="110"/>
      <c r="AB1208" s="330"/>
      <c r="AC1208" s="110"/>
      <c r="AD1208" s="110"/>
      <c r="AE1208" s="110"/>
      <c r="AF1208" s="110"/>
      <c r="AG1208" s="110"/>
      <c r="AH1208" s="110"/>
      <c r="AI1208" s="110"/>
    </row>
    <row r="1209" spans="1:35" ht="15.75" customHeight="1">
      <c r="A1209" s="110"/>
      <c r="B1209" s="110"/>
      <c r="C1209" s="110"/>
      <c r="D1209" s="404"/>
      <c r="E1209" s="110"/>
      <c r="F1209" s="110"/>
      <c r="G1209" s="110"/>
      <c r="H1209" s="110"/>
      <c r="I1209" s="110"/>
      <c r="J1209" s="110"/>
      <c r="K1209" s="110"/>
      <c r="L1209" s="110"/>
      <c r="M1209" s="110"/>
      <c r="N1209" s="110"/>
      <c r="O1209" s="110"/>
      <c r="P1209" s="110"/>
      <c r="Q1209" s="110"/>
      <c r="R1209" s="110"/>
      <c r="S1209" s="110"/>
      <c r="T1209" s="110"/>
      <c r="U1209" s="110"/>
      <c r="V1209" s="110"/>
      <c r="W1209" s="110"/>
      <c r="X1209" s="110"/>
      <c r="Y1209" s="110"/>
      <c r="Z1209" s="351"/>
      <c r="AA1209" s="110"/>
      <c r="AB1209" s="330"/>
      <c r="AC1209" s="110"/>
      <c r="AD1209" s="110"/>
      <c r="AE1209" s="110"/>
      <c r="AF1209" s="110"/>
      <c r="AG1209" s="110"/>
      <c r="AH1209" s="110"/>
      <c r="AI1209" s="110"/>
    </row>
    <row r="1210" spans="1:35" ht="15.75" customHeight="1">
      <c r="A1210" s="110"/>
      <c r="B1210" s="110"/>
      <c r="C1210" s="110"/>
      <c r="D1210" s="404"/>
      <c r="E1210" s="110"/>
      <c r="F1210" s="110"/>
      <c r="G1210" s="110"/>
      <c r="H1210" s="110"/>
      <c r="I1210" s="110"/>
      <c r="J1210" s="110"/>
      <c r="K1210" s="110"/>
      <c r="L1210" s="110"/>
      <c r="M1210" s="110"/>
      <c r="N1210" s="110"/>
      <c r="O1210" s="110"/>
      <c r="P1210" s="110"/>
      <c r="Q1210" s="110"/>
      <c r="R1210" s="110"/>
      <c r="S1210" s="110"/>
      <c r="T1210" s="110"/>
      <c r="U1210" s="110"/>
      <c r="V1210" s="110"/>
      <c r="W1210" s="110"/>
      <c r="X1210" s="110"/>
      <c r="Y1210" s="110"/>
      <c r="Z1210" s="351"/>
      <c r="AA1210" s="110"/>
      <c r="AB1210" s="330"/>
      <c r="AC1210" s="110"/>
      <c r="AD1210" s="110"/>
      <c r="AE1210" s="110"/>
      <c r="AF1210" s="110"/>
      <c r="AG1210" s="110"/>
      <c r="AH1210" s="110"/>
      <c r="AI1210" s="110"/>
    </row>
    <row r="1211" spans="1:35" ht="15.75" customHeight="1">
      <c r="A1211" s="110"/>
      <c r="B1211" s="110"/>
      <c r="C1211" s="110"/>
      <c r="D1211" s="404"/>
      <c r="E1211" s="110"/>
      <c r="F1211" s="110"/>
      <c r="G1211" s="110"/>
      <c r="H1211" s="110"/>
      <c r="I1211" s="110"/>
      <c r="J1211" s="110"/>
      <c r="K1211" s="110"/>
      <c r="L1211" s="110"/>
      <c r="M1211" s="110"/>
      <c r="N1211" s="110"/>
      <c r="O1211" s="110"/>
      <c r="P1211" s="110"/>
      <c r="Q1211" s="110"/>
      <c r="R1211" s="110"/>
      <c r="S1211" s="110"/>
      <c r="T1211" s="110"/>
      <c r="U1211" s="110"/>
      <c r="V1211" s="110"/>
      <c r="W1211" s="110"/>
      <c r="X1211" s="110"/>
      <c r="Y1211" s="110"/>
      <c r="Z1211" s="351"/>
      <c r="AA1211" s="110"/>
      <c r="AB1211" s="330"/>
      <c r="AC1211" s="110"/>
      <c r="AD1211" s="110"/>
      <c r="AE1211" s="110"/>
      <c r="AF1211" s="110"/>
      <c r="AG1211" s="110"/>
      <c r="AH1211" s="110"/>
      <c r="AI1211" s="110"/>
    </row>
    <row r="1212" spans="1:35" ht="15.75" customHeight="1">
      <c r="A1212" s="110"/>
      <c r="B1212" s="110"/>
      <c r="C1212" s="110"/>
      <c r="D1212" s="404"/>
      <c r="E1212" s="110"/>
      <c r="F1212" s="110"/>
      <c r="G1212" s="110"/>
      <c r="H1212" s="110"/>
      <c r="I1212" s="110"/>
      <c r="J1212" s="110"/>
      <c r="K1212" s="110"/>
      <c r="L1212" s="110"/>
      <c r="M1212" s="110"/>
      <c r="N1212" s="110"/>
      <c r="O1212" s="110"/>
      <c r="P1212" s="110"/>
      <c r="Q1212" s="110"/>
      <c r="R1212" s="110"/>
      <c r="S1212" s="110"/>
      <c r="T1212" s="110"/>
      <c r="U1212" s="110"/>
      <c r="V1212" s="110"/>
      <c r="W1212" s="110"/>
      <c r="X1212" s="110"/>
      <c r="Y1212" s="110"/>
      <c r="Z1212" s="351"/>
      <c r="AA1212" s="110"/>
      <c r="AB1212" s="330"/>
      <c r="AC1212" s="110"/>
      <c r="AD1212" s="110"/>
      <c r="AE1212" s="110"/>
      <c r="AF1212" s="110"/>
      <c r="AG1212" s="110"/>
      <c r="AH1212" s="110"/>
      <c r="AI1212" s="110"/>
    </row>
    <row r="1213" spans="1:35" ht="15.75" customHeight="1">
      <c r="A1213" s="110"/>
      <c r="B1213" s="110"/>
      <c r="C1213" s="110"/>
      <c r="D1213" s="404"/>
      <c r="E1213" s="110"/>
      <c r="F1213" s="110"/>
      <c r="G1213" s="110"/>
      <c r="H1213" s="110"/>
      <c r="I1213" s="110"/>
      <c r="J1213" s="110"/>
      <c r="K1213" s="110"/>
      <c r="L1213" s="110"/>
      <c r="M1213" s="110"/>
      <c r="N1213" s="110"/>
      <c r="O1213" s="110"/>
      <c r="P1213" s="110"/>
      <c r="Q1213" s="110"/>
      <c r="R1213" s="110"/>
      <c r="S1213" s="110"/>
      <c r="T1213" s="110"/>
      <c r="U1213" s="110"/>
      <c r="V1213" s="110"/>
      <c r="W1213" s="110"/>
      <c r="X1213" s="110"/>
      <c r="Y1213" s="110"/>
      <c r="Z1213" s="351"/>
      <c r="AA1213" s="110"/>
      <c r="AB1213" s="330"/>
      <c r="AC1213" s="110"/>
      <c r="AD1213" s="110"/>
      <c r="AE1213" s="110"/>
      <c r="AF1213" s="110"/>
      <c r="AG1213" s="110"/>
      <c r="AH1213" s="110"/>
      <c r="AI1213" s="110"/>
    </row>
    <row r="1214" spans="1:35" ht="15.75" customHeight="1">
      <c r="A1214" s="110"/>
      <c r="B1214" s="110"/>
      <c r="C1214" s="110"/>
      <c r="D1214" s="404"/>
      <c r="E1214" s="110"/>
      <c r="F1214" s="110"/>
      <c r="G1214" s="110"/>
      <c r="H1214" s="110"/>
      <c r="I1214" s="110"/>
      <c r="J1214" s="110"/>
      <c r="K1214" s="110"/>
      <c r="L1214" s="110"/>
      <c r="M1214" s="110"/>
      <c r="N1214" s="110"/>
      <c r="O1214" s="110"/>
      <c r="P1214" s="110"/>
      <c r="Q1214" s="110"/>
      <c r="R1214" s="110"/>
      <c r="S1214" s="110"/>
      <c r="T1214" s="110"/>
      <c r="U1214" s="110"/>
      <c r="V1214" s="110"/>
      <c r="W1214" s="110"/>
      <c r="X1214" s="110"/>
      <c r="Y1214" s="110"/>
      <c r="Z1214" s="351"/>
      <c r="AA1214" s="110"/>
      <c r="AB1214" s="330"/>
      <c r="AC1214" s="110"/>
      <c r="AD1214" s="110"/>
      <c r="AE1214" s="110"/>
      <c r="AF1214" s="110"/>
      <c r="AG1214" s="110"/>
      <c r="AH1214" s="110"/>
      <c r="AI1214" s="110"/>
    </row>
    <row r="1215" spans="1:35" ht="15.75" customHeight="1">
      <c r="A1215" s="110"/>
      <c r="B1215" s="110"/>
      <c r="C1215" s="110"/>
      <c r="D1215" s="404"/>
      <c r="E1215" s="110"/>
      <c r="F1215" s="110"/>
      <c r="G1215" s="110"/>
      <c r="H1215" s="110"/>
      <c r="I1215" s="110"/>
      <c r="J1215" s="110"/>
      <c r="K1215" s="110"/>
      <c r="L1215" s="110"/>
      <c r="M1215" s="110"/>
      <c r="N1215" s="110"/>
      <c r="O1215" s="110"/>
      <c r="P1215" s="110"/>
      <c r="Q1215" s="110"/>
      <c r="R1215" s="110"/>
      <c r="S1215" s="110"/>
      <c r="T1215" s="110"/>
      <c r="U1215" s="110"/>
      <c r="V1215" s="110"/>
      <c r="W1215" s="110"/>
      <c r="X1215" s="110"/>
      <c r="Y1215" s="110"/>
      <c r="Z1215" s="351"/>
      <c r="AA1215" s="110"/>
      <c r="AB1215" s="330"/>
      <c r="AC1215" s="110"/>
      <c r="AD1215" s="110"/>
      <c r="AE1215" s="110"/>
      <c r="AF1215" s="110"/>
      <c r="AG1215" s="110"/>
      <c r="AH1215" s="110"/>
      <c r="AI1215" s="110"/>
    </row>
    <row r="1216" spans="1:35" ht="15.75" customHeight="1">
      <c r="A1216" s="110"/>
      <c r="B1216" s="110"/>
      <c r="C1216" s="110"/>
      <c r="D1216" s="404"/>
      <c r="E1216" s="110"/>
      <c r="F1216" s="110"/>
      <c r="G1216" s="110"/>
      <c r="H1216" s="110"/>
      <c r="I1216" s="110"/>
      <c r="J1216" s="110"/>
      <c r="K1216" s="110"/>
      <c r="L1216" s="110"/>
      <c r="M1216" s="110"/>
      <c r="N1216" s="110"/>
      <c r="O1216" s="110"/>
      <c r="P1216" s="110"/>
      <c r="Q1216" s="110"/>
      <c r="R1216" s="110"/>
      <c r="S1216" s="110"/>
      <c r="T1216" s="110"/>
      <c r="U1216" s="110"/>
      <c r="V1216" s="110"/>
      <c r="W1216" s="110"/>
      <c r="X1216" s="110"/>
      <c r="Y1216" s="110"/>
      <c r="Z1216" s="351"/>
      <c r="AA1216" s="110"/>
      <c r="AB1216" s="330"/>
      <c r="AC1216" s="110"/>
      <c r="AD1216" s="110"/>
      <c r="AE1216" s="110"/>
      <c r="AF1216" s="110"/>
      <c r="AG1216" s="110"/>
      <c r="AH1216" s="110"/>
      <c r="AI1216" s="110"/>
    </row>
    <row r="1217" spans="1:35" ht="15.75" customHeight="1">
      <c r="A1217" s="110"/>
      <c r="B1217" s="110"/>
      <c r="C1217" s="110"/>
      <c r="D1217" s="404"/>
      <c r="E1217" s="110"/>
      <c r="F1217" s="110"/>
      <c r="G1217" s="110"/>
      <c r="H1217" s="110"/>
      <c r="I1217" s="110"/>
      <c r="J1217" s="110"/>
      <c r="K1217" s="110"/>
      <c r="L1217" s="110"/>
      <c r="M1217" s="110"/>
      <c r="N1217" s="110"/>
      <c r="O1217" s="110"/>
      <c r="P1217" s="110"/>
      <c r="Q1217" s="110"/>
      <c r="R1217" s="110"/>
      <c r="S1217" s="110"/>
      <c r="T1217" s="110"/>
      <c r="U1217" s="110"/>
      <c r="V1217" s="110"/>
      <c r="W1217" s="110"/>
      <c r="X1217" s="110"/>
      <c r="Y1217" s="110"/>
      <c r="Z1217" s="351"/>
      <c r="AA1217" s="110"/>
      <c r="AB1217" s="330"/>
      <c r="AC1217" s="110"/>
      <c r="AD1217" s="110"/>
      <c r="AE1217" s="110"/>
      <c r="AF1217" s="110"/>
      <c r="AG1217" s="110"/>
      <c r="AH1217" s="110"/>
      <c r="AI1217" s="110"/>
    </row>
    <row r="1218" spans="1:35" ht="15.75" customHeight="1">
      <c r="A1218" s="110"/>
      <c r="B1218" s="110"/>
      <c r="C1218" s="110"/>
      <c r="D1218" s="404"/>
      <c r="E1218" s="110"/>
      <c r="F1218" s="110"/>
      <c r="G1218" s="110"/>
      <c r="H1218" s="110"/>
      <c r="I1218" s="110"/>
      <c r="J1218" s="110"/>
      <c r="K1218" s="110"/>
      <c r="L1218" s="110"/>
      <c r="M1218" s="110"/>
      <c r="N1218" s="110"/>
      <c r="O1218" s="110"/>
      <c r="P1218" s="110"/>
      <c r="Q1218" s="110"/>
      <c r="R1218" s="110"/>
      <c r="S1218" s="110"/>
      <c r="T1218" s="110"/>
      <c r="U1218" s="110"/>
      <c r="V1218" s="110"/>
      <c r="W1218" s="110"/>
      <c r="X1218" s="110"/>
      <c r="Y1218" s="110"/>
      <c r="Z1218" s="351"/>
      <c r="AA1218" s="110"/>
      <c r="AB1218" s="330"/>
      <c r="AC1218" s="110"/>
      <c r="AD1218" s="110"/>
      <c r="AE1218" s="110"/>
      <c r="AF1218" s="110"/>
      <c r="AG1218" s="110"/>
      <c r="AH1218" s="110"/>
      <c r="AI1218" s="110"/>
    </row>
    <row r="1219" spans="1:35" ht="15.75" customHeight="1">
      <c r="A1219" s="110"/>
      <c r="B1219" s="110"/>
      <c r="C1219" s="110"/>
      <c r="D1219" s="404"/>
      <c r="E1219" s="110"/>
      <c r="F1219" s="110"/>
      <c r="G1219" s="110"/>
      <c r="H1219" s="110"/>
      <c r="I1219" s="110"/>
      <c r="J1219" s="110"/>
      <c r="K1219" s="110"/>
      <c r="L1219" s="110"/>
      <c r="M1219" s="110"/>
      <c r="N1219" s="110"/>
      <c r="O1219" s="110"/>
      <c r="P1219" s="110"/>
      <c r="Q1219" s="110"/>
      <c r="R1219" s="110"/>
      <c r="S1219" s="110"/>
      <c r="T1219" s="110"/>
      <c r="U1219" s="110"/>
      <c r="V1219" s="110"/>
      <c r="W1219" s="110"/>
      <c r="X1219" s="110"/>
      <c r="Y1219" s="110"/>
      <c r="Z1219" s="351"/>
      <c r="AA1219" s="110"/>
      <c r="AB1219" s="330"/>
      <c r="AC1219" s="110"/>
      <c r="AD1219" s="110"/>
      <c r="AE1219" s="110"/>
      <c r="AF1219" s="110"/>
      <c r="AG1219" s="110"/>
      <c r="AH1219" s="110"/>
      <c r="AI1219" s="110"/>
    </row>
    <row r="1220" spans="1:35" ht="15.75" customHeight="1">
      <c r="A1220" s="110"/>
      <c r="B1220" s="110"/>
      <c r="C1220" s="110"/>
      <c r="D1220" s="404"/>
      <c r="E1220" s="110"/>
      <c r="F1220" s="110"/>
      <c r="G1220" s="110"/>
      <c r="H1220" s="110"/>
      <c r="I1220" s="110"/>
      <c r="J1220" s="110"/>
      <c r="K1220" s="110"/>
      <c r="L1220" s="110"/>
      <c r="M1220" s="110"/>
      <c r="N1220" s="110"/>
      <c r="O1220" s="110"/>
      <c r="P1220" s="110"/>
      <c r="Q1220" s="110"/>
      <c r="R1220" s="110"/>
      <c r="S1220" s="110"/>
      <c r="T1220" s="110"/>
      <c r="U1220" s="110"/>
      <c r="V1220" s="110"/>
      <c r="W1220" s="110"/>
      <c r="X1220" s="110"/>
      <c r="Y1220" s="110"/>
      <c r="Z1220" s="351"/>
      <c r="AA1220" s="110"/>
      <c r="AB1220" s="330"/>
      <c r="AC1220" s="110"/>
      <c r="AD1220" s="110"/>
      <c r="AE1220" s="110"/>
      <c r="AF1220" s="110"/>
      <c r="AG1220" s="110"/>
      <c r="AH1220" s="110"/>
      <c r="AI1220" s="110"/>
    </row>
    <row r="1221" spans="1:35" ht="15.75" customHeight="1">
      <c r="A1221" s="110"/>
      <c r="B1221" s="110"/>
      <c r="C1221" s="110"/>
      <c r="D1221" s="404"/>
      <c r="E1221" s="110"/>
      <c r="F1221" s="110"/>
      <c r="G1221" s="110"/>
      <c r="H1221" s="110"/>
      <c r="I1221" s="110"/>
      <c r="J1221" s="110"/>
      <c r="K1221" s="110"/>
      <c r="L1221" s="110"/>
      <c r="M1221" s="110"/>
      <c r="N1221" s="110"/>
      <c r="O1221" s="110"/>
      <c r="P1221" s="110"/>
      <c r="Q1221" s="110"/>
      <c r="R1221" s="110"/>
      <c r="S1221" s="110"/>
      <c r="T1221" s="110"/>
      <c r="U1221" s="110"/>
      <c r="V1221" s="110"/>
      <c r="W1221" s="110"/>
      <c r="X1221" s="110"/>
      <c r="Y1221" s="110"/>
      <c r="Z1221" s="351"/>
      <c r="AA1221" s="110"/>
      <c r="AB1221" s="330"/>
      <c r="AC1221" s="110"/>
      <c r="AD1221" s="110"/>
      <c r="AE1221" s="110"/>
      <c r="AF1221" s="110"/>
      <c r="AG1221" s="110"/>
      <c r="AH1221" s="110"/>
      <c r="AI1221" s="110"/>
    </row>
    <row r="1222" spans="1:35" ht="15.75" customHeight="1">
      <c r="A1222" s="110"/>
      <c r="B1222" s="110"/>
      <c r="C1222" s="110"/>
      <c r="D1222" s="404"/>
      <c r="E1222" s="110"/>
      <c r="F1222" s="110"/>
      <c r="G1222" s="110"/>
      <c r="H1222" s="110"/>
      <c r="I1222" s="110"/>
      <c r="J1222" s="110"/>
      <c r="K1222" s="110"/>
      <c r="L1222" s="110"/>
      <c r="M1222" s="110"/>
      <c r="N1222" s="110"/>
      <c r="O1222" s="110"/>
      <c r="P1222" s="110"/>
      <c r="Q1222" s="110"/>
      <c r="R1222" s="110"/>
      <c r="S1222" s="110"/>
      <c r="T1222" s="110"/>
      <c r="U1222" s="110"/>
      <c r="V1222" s="110"/>
      <c r="W1222" s="110"/>
      <c r="X1222" s="110"/>
      <c r="Y1222" s="110"/>
      <c r="Z1222" s="351"/>
      <c r="AA1222" s="110"/>
      <c r="AB1222" s="330"/>
      <c r="AC1222" s="110"/>
      <c r="AD1222" s="110"/>
      <c r="AE1222" s="110"/>
      <c r="AF1222" s="110"/>
      <c r="AG1222" s="110"/>
      <c r="AH1222" s="110"/>
      <c r="AI1222" s="110"/>
    </row>
    <row r="1223" spans="1:35" ht="15.75" customHeight="1">
      <c r="A1223" s="110"/>
      <c r="B1223" s="110"/>
      <c r="C1223" s="110"/>
      <c r="D1223" s="404"/>
      <c r="E1223" s="110"/>
      <c r="F1223" s="110"/>
      <c r="G1223" s="110"/>
      <c r="H1223" s="110"/>
      <c r="I1223" s="110"/>
      <c r="J1223" s="110"/>
      <c r="K1223" s="110"/>
      <c r="L1223" s="110"/>
      <c r="M1223" s="110"/>
      <c r="N1223" s="110"/>
      <c r="O1223" s="110"/>
      <c r="P1223" s="110"/>
      <c r="Q1223" s="110"/>
      <c r="R1223" s="110"/>
      <c r="S1223" s="110"/>
      <c r="T1223" s="110"/>
      <c r="U1223" s="110"/>
      <c r="V1223" s="110"/>
      <c r="W1223" s="110"/>
      <c r="X1223" s="110"/>
      <c r="Y1223" s="110"/>
      <c r="Z1223" s="351"/>
      <c r="AA1223" s="110"/>
      <c r="AB1223" s="330"/>
      <c r="AC1223" s="110"/>
      <c r="AD1223" s="110"/>
      <c r="AE1223" s="110"/>
      <c r="AF1223" s="110"/>
      <c r="AG1223" s="110"/>
      <c r="AH1223" s="110"/>
      <c r="AI1223" s="110"/>
    </row>
    <row r="1224" spans="1:35" ht="15.75" customHeight="1">
      <c r="A1224" s="110"/>
      <c r="B1224" s="110"/>
      <c r="C1224" s="110"/>
      <c r="D1224" s="404"/>
      <c r="E1224" s="110"/>
      <c r="F1224" s="110"/>
      <c r="G1224" s="110"/>
      <c r="H1224" s="110"/>
      <c r="I1224" s="110"/>
      <c r="J1224" s="110"/>
      <c r="K1224" s="110"/>
      <c r="L1224" s="110"/>
      <c r="M1224" s="110"/>
      <c r="N1224" s="110"/>
      <c r="O1224" s="110"/>
      <c r="P1224" s="110"/>
      <c r="Q1224" s="110"/>
      <c r="R1224" s="110"/>
      <c r="S1224" s="110"/>
      <c r="T1224" s="110"/>
      <c r="U1224" s="110"/>
      <c r="V1224" s="110"/>
      <c r="W1224" s="110"/>
      <c r="X1224" s="110"/>
      <c r="Y1224" s="110"/>
      <c r="Z1224" s="351"/>
      <c r="AA1224" s="110"/>
      <c r="AB1224" s="330"/>
      <c r="AC1224" s="110"/>
      <c r="AD1224" s="110"/>
      <c r="AE1224" s="110"/>
      <c r="AF1224" s="110"/>
      <c r="AG1224" s="110"/>
      <c r="AH1224" s="110"/>
      <c r="AI1224" s="110"/>
    </row>
    <row r="1225" spans="1:35" ht="15.75" customHeight="1">
      <c r="A1225" s="110"/>
      <c r="B1225" s="110"/>
      <c r="C1225" s="110"/>
      <c r="D1225" s="404"/>
      <c r="E1225" s="110"/>
      <c r="F1225" s="110"/>
      <c r="G1225" s="110"/>
      <c r="H1225" s="110"/>
      <c r="I1225" s="110"/>
      <c r="J1225" s="110"/>
      <c r="K1225" s="110"/>
      <c r="L1225" s="110"/>
      <c r="M1225" s="110"/>
      <c r="N1225" s="110"/>
      <c r="O1225" s="110"/>
      <c r="P1225" s="110"/>
      <c r="Q1225" s="110"/>
      <c r="R1225" s="110"/>
      <c r="S1225" s="110"/>
      <c r="T1225" s="110"/>
      <c r="U1225" s="110"/>
      <c r="V1225" s="110"/>
      <c r="W1225" s="110"/>
      <c r="X1225" s="110"/>
      <c r="Y1225" s="110"/>
      <c r="Z1225" s="351"/>
      <c r="AA1225" s="110"/>
      <c r="AB1225" s="330"/>
      <c r="AC1225" s="110"/>
      <c r="AD1225" s="110"/>
      <c r="AE1225" s="110"/>
      <c r="AF1225" s="110"/>
      <c r="AG1225" s="110"/>
      <c r="AH1225" s="110"/>
      <c r="AI1225" s="110"/>
    </row>
    <row r="1226" spans="1:35" ht="15.75" customHeight="1">
      <c r="A1226" s="110"/>
      <c r="B1226" s="110"/>
      <c r="C1226" s="110"/>
      <c r="D1226" s="404"/>
      <c r="E1226" s="110"/>
      <c r="F1226" s="110"/>
      <c r="G1226" s="110"/>
      <c r="H1226" s="110"/>
      <c r="I1226" s="110"/>
      <c r="J1226" s="110"/>
      <c r="K1226" s="110"/>
      <c r="L1226" s="110"/>
      <c r="M1226" s="110"/>
      <c r="N1226" s="110"/>
      <c r="O1226" s="110"/>
      <c r="P1226" s="110"/>
      <c r="Q1226" s="110"/>
      <c r="R1226" s="110"/>
      <c r="S1226" s="110"/>
      <c r="T1226" s="110"/>
      <c r="U1226" s="110"/>
      <c r="V1226" s="110"/>
      <c r="W1226" s="110"/>
      <c r="X1226" s="110"/>
      <c r="Y1226" s="110"/>
      <c r="Z1226" s="351"/>
      <c r="AA1226" s="110"/>
      <c r="AB1226" s="330"/>
      <c r="AC1226" s="110"/>
      <c r="AD1226" s="110"/>
      <c r="AE1226" s="110"/>
      <c r="AF1226" s="110"/>
      <c r="AG1226" s="110"/>
      <c r="AH1226" s="110"/>
      <c r="AI1226" s="110"/>
    </row>
    <row r="1227" spans="1:35" ht="15.75" customHeight="1">
      <c r="A1227" s="110"/>
      <c r="B1227" s="110"/>
      <c r="C1227" s="110"/>
      <c r="D1227" s="404"/>
      <c r="E1227" s="110"/>
      <c r="F1227" s="110"/>
      <c r="G1227" s="110"/>
      <c r="H1227" s="110"/>
      <c r="I1227" s="110"/>
      <c r="J1227" s="110"/>
      <c r="K1227" s="110"/>
      <c r="L1227" s="110"/>
      <c r="M1227" s="110"/>
      <c r="N1227" s="110"/>
      <c r="O1227" s="110"/>
      <c r="P1227" s="110"/>
      <c r="Q1227" s="110"/>
      <c r="R1227" s="110"/>
      <c r="S1227" s="110"/>
      <c r="T1227" s="110"/>
      <c r="U1227" s="110"/>
      <c r="V1227" s="110"/>
      <c r="W1227" s="110"/>
      <c r="X1227" s="110"/>
      <c r="Y1227" s="110"/>
      <c r="Z1227" s="351"/>
      <c r="AA1227" s="110"/>
      <c r="AB1227" s="330"/>
      <c r="AC1227" s="110"/>
      <c r="AD1227" s="110"/>
      <c r="AE1227" s="110"/>
      <c r="AF1227" s="110"/>
      <c r="AG1227" s="110"/>
      <c r="AH1227" s="110"/>
      <c r="AI1227" s="110"/>
    </row>
    <row r="1228" spans="1:35" ht="15.75" customHeight="1">
      <c r="A1228" s="110"/>
      <c r="B1228" s="110"/>
      <c r="C1228" s="110"/>
      <c r="D1228" s="404"/>
      <c r="E1228" s="110"/>
      <c r="F1228" s="110"/>
      <c r="G1228" s="110"/>
      <c r="H1228" s="110"/>
      <c r="I1228" s="110"/>
      <c r="J1228" s="110"/>
      <c r="K1228" s="110"/>
      <c r="L1228" s="110"/>
      <c r="M1228" s="110"/>
      <c r="N1228" s="110"/>
      <c r="O1228" s="110"/>
      <c r="P1228" s="110"/>
      <c r="Q1228" s="110"/>
      <c r="R1228" s="110"/>
      <c r="S1228" s="110"/>
      <c r="T1228" s="110"/>
      <c r="U1228" s="110"/>
      <c r="V1228" s="110"/>
      <c r="W1228" s="110"/>
      <c r="X1228" s="110"/>
      <c r="Y1228" s="110"/>
      <c r="Z1228" s="351"/>
      <c r="AA1228" s="110"/>
      <c r="AB1228" s="330"/>
      <c r="AC1228" s="110"/>
      <c r="AD1228" s="110"/>
      <c r="AE1228" s="110"/>
      <c r="AF1228" s="110"/>
      <c r="AG1228" s="110"/>
      <c r="AH1228" s="110"/>
      <c r="AI1228" s="110"/>
    </row>
    <row r="1229" spans="1:35" ht="15.75" customHeight="1">
      <c r="A1229" s="110"/>
      <c r="B1229" s="110"/>
      <c r="C1229" s="110"/>
      <c r="D1229" s="404"/>
      <c r="E1229" s="110"/>
      <c r="F1229" s="110"/>
      <c r="G1229" s="110"/>
      <c r="H1229" s="110"/>
      <c r="I1229" s="110"/>
      <c r="J1229" s="110"/>
      <c r="K1229" s="110"/>
      <c r="L1229" s="110"/>
      <c r="M1229" s="110"/>
      <c r="N1229" s="110"/>
      <c r="O1229" s="110"/>
      <c r="P1229" s="110"/>
      <c r="Q1229" s="110"/>
      <c r="R1229" s="110"/>
      <c r="S1229" s="110"/>
      <c r="T1229" s="110"/>
      <c r="U1229" s="110"/>
      <c r="V1229" s="110"/>
      <c r="W1229" s="110"/>
      <c r="X1229" s="110"/>
      <c r="Y1229" s="110"/>
      <c r="Z1229" s="351"/>
      <c r="AA1229" s="110"/>
      <c r="AB1229" s="330"/>
      <c r="AC1229" s="110"/>
      <c r="AD1229" s="110"/>
      <c r="AE1229" s="110"/>
      <c r="AF1229" s="110"/>
      <c r="AG1229" s="110"/>
      <c r="AH1229" s="110"/>
      <c r="AI1229" s="110"/>
    </row>
    <row r="1230" spans="1:35" ht="15.75" customHeight="1">
      <c r="A1230" s="110"/>
      <c r="B1230" s="110"/>
      <c r="C1230" s="110"/>
      <c r="D1230" s="404"/>
      <c r="E1230" s="110"/>
      <c r="F1230" s="110"/>
      <c r="G1230" s="110"/>
      <c r="H1230" s="110"/>
      <c r="I1230" s="110"/>
      <c r="J1230" s="110"/>
      <c r="K1230" s="110"/>
      <c r="L1230" s="110"/>
      <c r="M1230" s="110"/>
      <c r="N1230" s="110"/>
      <c r="O1230" s="110"/>
      <c r="P1230" s="110"/>
      <c r="Q1230" s="110"/>
      <c r="R1230" s="110"/>
      <c r="S1230" s="110"/>
      <c r="T1230" s="110"/>
      <c r="U1230" s="110"/>
      <c r="V1230" s="110"/>
      <c r="W1230" s="110"/>
      <c r="X1230" s="110"/>
      <c r="Y1230" s="110"/>
      <c r="Z1230" s="351"/>
      <c r="AA1230" s="110"/>
      <c r="AB1230" s="330"/>
      <c r="AC1230" s="110"/>
      <c r="AD1230" s="110"/>
      <c r="AE1230" s="110"/>
      <c r="AF1230" s="110"/>
      <c r="AG1230" s="110"/>
      <c r="AH1230" s="110"/>
      <c r="AI1230" s="110"/>
    </row>
    <row r="1231" spans="1:35" ht="15.75" customHeight="1">
      <c r="A1231" s="110"/>
      <c r="B1231" s="110"/>
      <c r="C1231" s="110"/>
      <c r="D1231" s="404"/>
      <c r="E1231" s="110"/>
      <c r="F1231" s="110"/>
      <c r="G1231" s="110"/>
      <c r="H1231" s="110"/>
      <c r="I1231" s="110"/>
      <c r="J1231" s="110"/>
      <c r="K1231" s="110"/>
      <c r="L1231" s="110"/>
      <c r="M1231" s="110"/>
      <c r="N1231" s="110"/>
      <c r="O1231" s="110"/>
      <c r="P1231" s="110"/>
      <c r="Q1231" s="110"/>
      <c r="R1231" s="110"/>
      <c r="S1231" s="110"/>
      <c r="T1231" s="110"/>
      <c r="U1231" s="110"/>
      <c r="V1231" s="110"/>
      <c r="W1231" s="110"/>
      <c r="X1231" s="110"/>
      <c r="Y1231" s="110"/>
      <c r="Z1231" s="351"/>
      <c r="AA1231" s="110"/>
      <c r="AB1231" s="330"/>
      <c r="AC1231" s="110"/>
      <c r="AD1231" s="110"/>
      <c r="AE1231" s="110"/>
      <c r="AF1231" s="110"/>
      <c r="AG1231" s="110"/>
      <c r="AH1231" s="110"/>
      <c r="AI1231" s="110"/>
    </row>
    <row r="1232" spans="1:35" ht="15.75" customHeight="1">
      <c r="A1232" s="110"/>
      <c r="B1232" s="110"/>
      <c r="C1232" s="110"/>
      <c r="D1232" s="404"/>
      <c r="E1232" s="110"/>
      <c r="F1232" s="110"/>
      <c r="G1232" s="110"/>
      <c r="H1232" s="110"/>
      <c r="I1232" s="110"/>
      <c r="J1232" s="110"/>
      <c r="K1232" s="110"/>
      <c r="L1232" s="110"/>
      <c r="M1232" s="110"/>
      <c r="N1232" s="110"/>
      <c r="O1232" s="110"/>
      <c r="P1232" s="110"/>
      <c r="Q1232" s="110"/>
      <c r="R1232" s="110"/>
      <c r="S1232" s="110"/>
      <c r="T1232" s="110"/>
      <c r="U1232" s="110"/>
      <c r="V1232" s="110"/>
      <c r="W1232" s="110"/>
      <c r="X1232" s="110"/>
      <c r="Y1232" s="110"/>
      <c r="Z1232" s="351"/>
      <c r="AA1232" s="110"/>
      <c r="AB1232" s="330"/>
      <c r="AC1232" s="110"/>
      <c r="AD1232" s="110"/>
      <c r="AE1232" s="110"/>
      <c r="AF1232" s="110"/>
      <c r="AG1232" s="110"/>
      <c r="AH1232" s="110"/>
      <c r="AI1232" s="110"/>
    </row>
    <row r="1233" spans="1:35" ht="15.75" customHeight="1">
      <c r="A1233" s="110"/>
      <c r="B1233" s="110"/>
      <c r="C1233" s="110"/>
      <c r="D1233" s="404"/>
      <c r="E1233" s="110"/>
      <c r="F1233" s="110"/>
      <c r="G1233" s="110"/>
      <c r="H1233" s="110"/>
      <c r="I1233" s="110"/>
      <c r="J1233" s="110"/>
      <c r="K1233" s="110"/>
      <c r="L1233" s="110"/>
      <c r="M1233" s="110"/>
      <c r="N1233" s="110"/>
      <c r="O1233" s="110"/>
      <c r="P1233" s="110"/>
      <c r="Q1233" s="110"/>
      <c r="R1233" s="110"/>
      <c r="S1233" s="110"/>
      <c r="T1233" s="110"/>
      <c r="U1233" s="110"/>
      <c r="V1233" s="110"/>
      <c r="W1233" s="110"/>
      <c r="X1233" s="110"/>
      <c r="Y1233" s="110"/>
      <c r="Z1233" s="351"/>
      <c r="AA1233" s="110"/>
      <c r="AB1233" s="330"/>
      <c r="AC1233" s="110"/>
      <c r="AD1233" s="110"/>
      <c r="AE1233" s="110"/>
      <c r="AF1233" s="110"/>
      <c r="AG1233" s="110"/>
      <c r="AH1233" s="110"/>
      <c r="AI1233" s="110"/>
    </row>
    <row r="1234" spans="1:35" ht="15.75" customHeight="1">
      <c r="A1234" s="110"/>
      <c r="B1234" s="110"/>
      <c r="C1234" s="110"/>
      <c r="D1234" s="404"/>
      <c r="E1234" s="110"/>
      <c r="F1234" s="110"/>
      <c r="G1234" s="110"/>
      <c r="H1234" s="110"/>
      <c r="I1234" s="110"/>
      <c r="J1234" s="110"/>
      <c r="K1234" s="110"/>
      <c r="L1234" s="110"/>
      <c r="M1234" s="110"/>
      <c r="N1234" s="110"/>
      <c r="O1234" s="110"/>
      <c r="P1234" s="110"/>
      <c r="Q1234" s="110"/>
      <c r="R1234" s="110"/>
      <c r="S1234" s="110"/>
      <c r="T1234" s="110"/>
      <c r="U1234" s="110"/>
      <c r="V1234" s="110"/>
      <c r="W1234" s="110"/>
      <c r="X1234" s="110"/>
      <c r="Y1234" s="110"/>
      <c r="Z1234" s="351"/>
      <c r="AA1234" s="110"/>
      <c r="AB1234" s="330"/>
      <c r="AC1234" s="110"/>
      <c r="AD1234" s="110"/>
      <c r="AE1234" s="110"/>
      <c r="AF1234" s="110"/>
      <c r="AG1234" s="110"/>
      <c r="AH1234" s="110"/>
      <c r="AI1234" s="110"/>
    </row>
    <row r="1235" spans="1:35" ht="15.75" customHeight="1">
      <c r="A1235" s="110"/>
      <c r="B1235" s="110"/>
      <c r="C1235" s="110"/>
      <c r="D1235" s="404"/>
      <c r="E1235" s="110"/>
      <c r="F1235" s="110"/>
      <c r="G1235" s="110"/>
      <c r="H1235" s="110"/>
      <c r="I1235" s="110"/>
      <c r="J1235" s="110"/>
      <c r="K1235" s="110"/>
      <c r="L1235" s="110"/>
      <c r="M1235" s="110"/>
      <c r="N1235" s="110"/>
      <c r="O1235" s="110"/>
      <c r="P1235" s="110"/>
      <c r="Q1235" s="110"/>
      <c r="R1235" s="110"/>
      <c r="S1235" s="110"/>
      <c r="T1235" s="110"/>
      <c r="U1235" s="110"/>
      <c r="V1235" s="110"/>
      <c r="W1235" s="110"/>
      <c r="X1235" s="110"/>
      <c r="Y1235" s="110"/>
      <c r="Z1235" s="351"/>
      <c r="AA1235" s="110"/>
      <c r="AB1235" s="330"/>
      <c r="AC1235" s="110"/>
      <c r="AD1235" s="110"/>
      <c r="AE1235" s="110"/>
      <c r="AF1235" s="110"/>
      <c r="AG1235" s="110"/>
      <c r="AH1235" s="110"/>
      <c r="AI1235" s="110"/>
    </row>
    <row r="1236" spans="1:35" ht="15.75" customHeight="1">
      <c r="A1236" s="110"/>
      <c r="B1236" s="110"/>
      <c r="C1236" s="110"/>
      <c r="D1236" s="404"/>
      <c r="E1236" s="110"/>
      <c r="F1236" s="110"/>
      <c r="G1236" s="110"/>
      <c r="H1236" s="110"/>
      <c r="I1236" s="110"/>
      <c r="J1236" s="110"/>
      <c r="K1236" s="110"/>
      <c r="L1236" s="110"/>
      <c r="M1236" s="110"/>
      <c r="N1236" s="110"/>
      <c r="O1236" s="110"/>
      <c r="P1236" s="110"/>
      <c r="Q1236" s="110"/>
      <c r="R1236" s="110"/>
      <c r="S1236" s="110"/>
      <c r="T1236" s="110"/>
      <c r="U1236" s="110"/>
      <c r="V1236" s="110"/>
      <c r="W1236" s="110"/>
      <c r="X1236" s="110"/>
      <c r="Y1236" s="110"/>
      <c r="Z1236" s="351"/>
      <c r="AA1236" s="110"/>
      <c r="AB1236" s="330"/>
      <c r="AC1236" s="110"/>
      <c r="AD1236" s="110"/>
      <c r="AE1236" s="110"/>
      <c r="AF1236" s="110"/>
      <c r="AG1236" s="110"/>
      <c r="AH1236" s="110"/>
      <c r="AI1236" s="110"/>
    </row>
    <row r="1237" spans="1:35" ht="15.75" customHeight="1">
      <c r="A1237" s="110"/>
      <c r="B1237" s="110"/>
      <c r="C1237" s="110"/>
      <c r="D1237" s="404"/>
      <c r="E1237" s="110"/>
      <c r="F1237" s="110"/>
      <c r="G1237" s="110"/>
      <c r="H1237" s="110"/>
      <c r="I1237" s="110"/>
      <c r="J1237" s="110"/>
      <c r="K1237" s="110"/>
      <c r="L1237" s="110"/>
      <c r="M1237" s="110"/>
      <c r="N1237" s="110"/>
      <c r="O1237" s="110"/>
      <c r="P1237" s="110"/>
      <c r="Q1237" s="110"/>
      <c r="R1237" s="110"/>
      <c r="S1237" s="110"/>
      <c r="T1237" s="110"/>
      <c r="U1237" s="110"/>
      <c r="V1237" s="110"/>
      <c r="W1237" s="110"/>
      <c r="X1237" s="110"/>
      <c r="Y1237" s="110"/>
      <c r="Z1237" s="351"/>
      <c r="AA1237" s="110"/>
      <c r="AB1237" s="330"/>
      <c r="AC1237" s="110"/>
      <c r="AD1237" s="110"/>
      <c r="AE1237" s="110"/>
      <c r="AF1237" s="110"/>
      <c r="AG1237" s="110"/>
      <c r="AH1237" s="110"/>
      <c r="AI1237" s="110"/>
    </row>
    <row r="1238" spans="1:35" ht="15.75" customHeight="1">
      <c r="A1238" s="110"/>
      <c r="B1238" s="110"/>
      <c r="C1238" s="110"/>
      <c r="D1238" s="404"/>
      <c r="E1238" s="110"/>
      <c r="F1238" s="110"/>
      <c r="G1238" s="110"/>
      <c r="H1238" s="110"/>
      <c r="I1238" s="110"/>
      <c r="J1238" s="110"/>
      <c r="K1238" s="110"/>
      <c r="L1238" s="110"/>
      <c r="M1238" s="110"/>
      <c r="N1238" s="110"/>
      <c r="O1238" s="110"/>
      <c r="P1238" s="110"/>
      <c r="Q1238" s="110"/>
      <c r="R1238" s="110"/>
      <c r="S1238" s="110"/>
      <c r="T1238" s="110"/>
      <c r="U1238" s="110"/>
      <c r="V1238" s="110"/>
      <c r="W1238" s="110"/>
      <c r="X1238" s="110"/>
      <c r="Y1238" s="110"/>
      <c r="Z1238" s="351"/>
      <c r="AA1238" s="110"/>
      <c r="AB1238" s="330"/>
      <c r="AC1238" s="110"/>
      <c r="AD1238" s="110"/>
      <c r="AE1238" s="110"/>
      <c r="AF1238" s="110"/>
      <c r="AG1238" s="110"/>
      <c r="AH1238" s="110"/>
      <c r="AI1238" s="110"/>
    </row>
    <row r="1239" spans="1:35" ht="15.75" customHeight="1">
      <c r="A1239" s="110"/>
      <c r="B1239" s="110"/>
      <c r="C1239" s="110"/>
      <c r="D1239" s="404"/>
      <c r="E1239" s="110"/>
      <c r="F1239" s="110"/>
      <c r="G1239" s="110"/>
      <c r="H1239" s="110"/>
      <c r="I1239" s="110"/>
      <c r="J1239" s="110"/>
      <c r="K1239" s="110"/>
      <c r="L1239" s="110"/>
      <c r="M1239" s="110"/>
      <c r="N1239" s="110"/>
      <c r="O1239" s="110"/>
      <c r="P1239" s="110"/>
      <c r="Q1239" s="110"/>
      <c r="R1239" s="110"/>
      <c r="S1239" s="110"/>
      <c r="T1239" s="110"/>
      <c r="U1239" s="110"/>
      <c r="V1239" s="110"/>
      <c r="W1239" s="110"/>
      <c r="X1239" s="110"/>
      <c r="Y1239" s="110"/>
      <c r="Z1239" s="351"/>
      <c r="AA1239" s="110"/>
      <c r="AB1239" s="330"/>
      <c r="AC1239" s="110"/>
      <c r="AD1239" s="110"/>
      <c r="AE1239" s="110"/>
      <c r="AF1239" s="110"/>
      <c r="AG1239" s="110"/>
      <c r="AH1239" s="110"/>
      <c r="AI1239" s="110"/>
    </row>
    <row r="1240" spans="1:35" ht="15.75" customHeight="1">
      <c r="A1240" s="110"/>
      <c r="B1240" s="110"/>
      <c r="C1240" s="110"/>
      <c r="D1240" s="404"/>
      <c r="E1240" s="110"/>
      <c r="F1240" s="110"/>
      <c r="G1240" s="110"/>
      <c r="H1240" s="110"/>
      <c r="I1240" s="110"/>
      <c r="J1240" s="110"/>
      <c r="K1240" s="110"/>
      <c r="L1240" s="110"/>
      <c r="M1240" s="110"/>
      <c r="N1240" s="110"/>
      <c r="O1240" s="110"/>
      <c r="P1240" s="110"/>
      <c r="Q1240" s="110"/>
      <c r="R1240" s="110"/>
      <c r="S1240" s="110"/>
      <c r="T1240" s="110"/>
      <c r="U1240" s="110"/>
      <c r="V1240" s="110"/>
      <c r="W1240" s="110"/>
      <c r="X1240" s="110"/>
      <c r="Y1240" s="110"/>
      <c r="Z1240" s="351"/>
      <c r="AA1240" s="110"/>
      <c r="AB1240" s="330"/>
      <c r="AC1240" s="110"/>
      <c r="AD1240" s="110"/>
      <c r="AE1240" s="110"/>
      <c r="AF1240" s="110"/>
      <c r="AG1240" s="110"/>
      <c r="AH1240" s="110"/>
      <c r="AI1240" s="110"/>
    </row>
    <row r="1241" spans="1:35" ht="15.75" customHeight="1">
      <c r="A1241" s="110"/>
      <c r="B1241" s="110"/>
      <c r="C1241" s="110"/>
      <c r="D1241" s="404"/>
      <c r="E1241" s="110"/>
      <c r="F1241" s="110"/>
      <c r="G1241" s="110"/>
      <c r="H1241" s="110"/>
      <c r="I1241" s="110"/>
      <c r="J1241" s="110"/>
      <c r="K1241" s="110"/>
      <c r="L1241" s="110"/>
      <c r="M1241" s="110"/>
      <c r="N1241" s="110"/>
      <c r="O1241" s="110"/>
      <c r="P1241" s="110"/>
      <c r="Q1241" s="110"/>
      <c r="R1241" s="110"/>
      <c r="S1241" s="110"/>
      <c r="T1241" s="110"/>
      <c r="U1241" s="110"/>
      <c r="V1241" s="110"/>
      <c r="W1241" s="110"/>
      <c r="X1241" s="110"/>
      <c r="Y1241" s="110"/>
      <c r="Z1241" s="351"/>
      <c r="AA1241" s="110"/>
      <c r="AB1241" s="330"/>
      <c r="AC1241" s="110"/>
      <c r="AD1241" s="110"/>
      <c r="AE1241" s="110"/>
      <c r="AF1241" s="110"/>
      <c r="AG1241" s="110"/>
      <c r="AH1241" s="110"/>
      <c r="AI1241" s="110"/>
    </row>
    <row r="1242" spans="1:35" ht="15.75" customHeight="1">
      <c r="A1242" s="110"/>
      <c r="B1242" s="110"/>
      <c r="C1242" s="110"/>
      <c r="D1242" s="404"/>
      <c r="E1242" s="110"/>
      <c r="F1242" s="110"/>
      <c r="G1242" s="110"/>
      <c r="H1242" s="110"/>
      <c r="I1242" s="110"/>
      <c r="J1242" s="110"/>
      <c r="K1242" s="110"/>
      <c r="L1242" s="110"/>
      <c r="M1242" s="110"/>
      <c r="N1242" s="110"/>
      <c r="O1242" s="110"/>
      <c r="P1242" s="110"/>
      <c r="Q1242" s="110"/>
      <c r="R1242" s="110"/>
      <c r="S1242" s="110"/>
      <c r="T1242" s="110"/>
      <c r="U1242" s="110"/>
      <c r="V1242" s="110"/>
      <c r="W1242" s="110"/>
      <c r="X1242" s="110"/>
      <c r="Y1242" s="110"/>
      <c r="Z1242" s="351"/>
      <c r="AA1242" s="110"/>
      <c r="AB1242" s="330"/>
      <c r="AC1242" s="110"/>
      <c r="AD1242" s="110"/>
      <c r="AE1242" s="110"/>
      <c r="AF1242" s="110"/>
      <c r="AG1242" s="110"/>
      <c r="AH1242" s="110"/>
      <c r="AI1242" s="110"/>
    </row>
    <row r="1243" spans="1:35" ht="15.75" customHeight="1">
      <c r="A1243" s="110"/>
      <c r="B1243" s="110"/>
      <c r="C1243" s="110"/>
      <c r="D1243" s="404"/>
      <c r="E1243" s="110"/>
      <c r="F1243" s="110"/>
      <c r="G1243" s="110"/>
      <c r="H1243" s="110"/>
      <c r="I1243" s="110"/>
      <c r="J1243" s="110"/>
      <c r="K1243" s="110"/>
      <c r="L1243" s="110"/>
      <c r="M1243" s="110"/>
      <c r="N1243" s="110"/>
      <c r="O1243" s="110"/>
      <c r="P1243" s="110"/>
      <c r="Q1243" s="110"/>
      <c r="R1243" s="110"/>
      <c r="S1243" s="110"/>
      <c r="T1243" s="110"/>
      <c r="U1243" s="110"/>
      <c r="V1243" s="110"/>
      <c r="W1243" s="110"/>
      <c r="X1243" s="110"/>
      <c r="Y1243" s="110"/>
      <c r="Z1243" s="351"/>
      <c r="AA1243" s="110"/>
      <c r="AB1243" s="330"/>
      <c r="AC1243" s="110"/>
      <c r="AD1243" s="110"/>
      <c r="AE1243" s="110"/>
      <c r="AF1243" s="110"/>
      <c r="AG1243" s="110"/>
      <c r="AH1243" s="110"/>
      <c r="AI1243" s="110"/>
    </row>
    <row r="1244" spans="1:35" ht="15.75" customHeight="1">
      <c r="A1244" s="110"/>
      <c r="B1244" s="110"/>
      <c r="C1244" s="110"/>
      <c r="D1244" s="404"/>
      <c r="E1244" s="110"/>
      <c r="F1244" s="110"/>
      <c r="G1244" s="110"/>
      <c r="H1244" s="110"/>
      <c r="I1244" s="110"/>
      <c r="J1244" s="110"/>
      <c r="K1244" s="110"/>
      <c r="L1244" s="110"/>
      <c r="M1244" s="110"/>
      <c r="N1244" s="110"/>
      <c r="O1244" s="110"/>
      <c r="P1244" s="110"/>
      <c r="Q1244" s="110"/>
      <c r="R1244" s="110"/>
      <c r="S1244" s="110"/>
      <c r="T1244" s="110"/>
      <c r="U1244" s="110"/>
      <c r="V1244" s="110"/>
      <c r="W1244" s="110"/>
      <c r="X1244" s="110"/>
      <c r="Y1244" s="110"/>
      <c r="Z1244" s="351"/>
      <c r="AA1244" s="110"/>
      <c r="AB1244" s="330"/>
      <c r="AC1244" s="110"/>
      <c r="AD1244" s="110"/>
      <c r="AE1244" s="110"/>
      <c r="AF1244" s="110"/>
      <c r="AG1244" s="110"/>
      <c r="AH1244" s="110"/>
      <c r="AI1244" s="110"/>
    </row>
    <row r="1245" spans="1:35" ht="15.75" customHeight="1">
      <c r="A1245" s="110"/>
      <c r="B1245" s="110"/>
      <c r="C1245" s="110"/>
      <c r="D1245" s="404"/>
      <c r="E1245" s="110"/>
      <c r="F1245" s="110"/>
      <c r="G1245" s="110"/>
      <c r="H1245" s="110"/>
      <c r="I1245" s="110"/>
      <c r="J1245" s="110"/>
      <c r="K1245" s="110"/>
      <c r="L1245" s="110"/>
      <c r="M1245" s="110"/>
      <c r="N1245" s="110"/>
      <c r="O1245" s="110"/>
      <c r="P1245" s="110"/>
      <c r="Q1245" s="110"/>
      <c r="R1245" s="110"/>
      <c r="S1245" s="110"/>
      <c r="T1245" s="110"/>
      <c r="U1245" s="110"/>
      <c r="V1245" s="110"/>
      <c r="W1245" s="110"/>
      <c r="X1245" s="110"/>
      <c r="Y1245" s="110"/>
      <c r="Z1245" s="351"/>
      <c r="AA1245" s="110"/>
      <c r="AB1245" s="330"/>
      <c r="AC1245" s="110"/>
      <c r="AD1245" s="110"/>
      <c r="AE1245" s="110"/>
      <c r="AF1245" s="110"/>
      <c r="AG1245" s="110"/>
      <c r="AH1245" s="110"/>
      <c r="AI1245" s="110"/>
    </row>
    <row r="1246" spans="1:35" ht="15.75" customHeight="1">
      <c r="A1246" s="110"/>
      <c r="B1246" s="110"/>
      <c r="C1246" s="110"/>
      <c r="D1246" s="404"/>
      <c r="E1246" s="110"/>
      <c r="F1246" s="110"/>
      <c r="G1246" s="110"/>
      <c r="H1246" s="110"/>
      <c r="I1246" s="110"/>
      <c r="J1246" s="110"/>
      <c r="K1246" s="110"/>
      <c r="L1246" s="110"/>
      <c r="M1246" s="110"/>
      <c r="N1246" s="110"/>
      <c r="O1246" s="110"/>
      <c r="P1246" s="110"/>
      <c r="Q1246" s="110"/>
      <c r="R1246" s="110"/>
      <c r="S1246" s="110"/>
      <c r="T1246" s="110"/>
      <c r="U1246" s="110"/>
      <c r="V1246" s="110"/>
      <c r="W1246" s="110"/>
      <c r="X1246" s="110"/>
      <c r="Y1246" s="110"/>
      <c r="Z1246" s="351"/>
      <c r="AA1246" s="110"/>
      <c r="AB1246" s="330"/>
      <c r="AC1246" s="110"/>
      <c r="AD1246" s="110"/>
      <c r="AE1246" s="110"/>
      <c r="AF1246" s="110"/>
      <c r="AG1246" s="110"/>
      <c r="AH1246" s="110"/>
      <c r="AI1246" s="110"/>
    </row>
    <row r="1247" spans="1:35" ht="15.75" customHeight="1">
      <c r="A1247" s="110"/>
      <c r="B1247" s="110"/>
      <c r="C1247" s="110"/>
      <c r="D1247" s="404"/>
      <c r="E1247" s="110"/>
      <c r="F1247" s="110"/>
      <c r="G1247" s="110"/>
      <c r="H1247" s="110"/>
      <c r="I1247" s="110"/>
      <c r="J1247" s="110"/>
      <c r="K1247" s="110"/>
      <c r="L1247" s="110"/>
      <c r="M1247" s="110"/>
      <c r="N1247" s="110"/>
      <c r="O1247" s="110"/>
      <c r="P1247" s="110"/>
      <c r="Q1247" s="110"/>
      <c r="R1247" s="110"/>
      <c r="S1247" s="110"/>
      <c r="T1247" s="110"/>
      <c r="U1247" s="110"/>
      <c r="V1247" s="110"/>
      <c r="W1247" s="110"/>
      <c r="X1247" s="110"/>
      <c r="Y1247" s="110"/>
      <c r="Z1247" s="351"/>
      <c r="AA1247" s="110"/>
      <c r="AB1247" s="330"/>
      <c r="AC1247" s="110"/>
      <c r="AD1247" s="110"/>
      <c r="AE1247" s="110"/>
      <c r="AF1247" s="110"/>
      <c r="AG1247" s="110"/>
      <c r="AH1247" s="110"/>
      <c r="AI1247" s="110"/>
    </row>
    <row r="1248" spans="1:35" ht="15.75" customHeight="1">
      <c r="A1248" s="110"/>
      <c r="B1248" s="110"/>
      <c r="C1248" s="110"/>
      <c r="D1248" s="404"/>
      <c r="E1248" s="110"/>
      <c r="F1248" s="110"/>
      <c r="G1248" s="110"/>
      <c r="H1248" s="110"/>
      <c r="I1248" s="110"/>
      <c r="J1248" s="110"/>
      <c r="K1248" s="110"/>
      <c r="L1248" s="110"/>
      <c r="M1248" s="110"/>
      <c r="N1248" s="110"/>
      <c r="O1248" s="110"/>
      <c r="P1248" s="110"/>
      <c r="Q1248" s="110"/>
      <c r="R1248" s="110"/>
      <c r="S1248" s="110"/>
      <c r="T1248" s="110"/>
      <c r="U1248" s="110"/>
      <c r="V1248" s="110"/>
      <c r="W1248" s="110"/>
      <c r="X1248" s="110"/>
      <c r="Y1248" s="110"/>
      <c r="Z1248" s="351"/>
      <c r="AA1248" s="110"/>
      <c r="AB1248" s="330"/>
      <c r="AC1248" s="110"/>
      <c r="AD1248" s="110"/>
      <c r="AE1248" s="110"/>
      <c r="AF1248" s="110"/>
      <c r="AG1248" s="110"/>
      <c r="AH1248" s="110"/>
      <c r="AI1248" s="110"/>
    </row>
    <row r="1249" spans="1:35" ht="15.75" customHeight="1">
      <c r="A1249" s="110"/>
      <c r="B1249" s="110"/>
      <c r="C1249" s="110"/>
      <c r="D1249" s="404"/>
      <c r="E1249" s="110"/>
      <c r="F1249" s="110"/>
      <c r="G1249" s="110"/>
      <c r="H1249" s="110"/>
      <c r="I1249" s="110"/>
      <c r="J1249" s="110"/>
      <c r="K1249" s="110"/>
      <c r="L1249" s="110"/>
      <c r="M1249" s="110"/>
      <c r="N1249" s="110"/>
      <c r="O1249" s="110"/>
      <c r="P1249" s="110"/>
      <c r="Q1249" s="110"/>
      <c r="R1249" s="110"/>
      <c r="S1249" s="110"/>
      <c r="T1249" s="110"/>
      <c r="U1249" s="110"/>
      <c r="V1249" s="110"/>
      <c r="W1249" s="110"/>
      <c r="X1249" s="110"/>
      <c r="Y1249" s="110"/>
      <c r="Z1249" s="351"/>
      <c r="AA1249" s="110"/>
      <c r="AB1249" s="330"/>
      <c r="AC1249" s="110"/>
      <c r="AD1249" s="110"/>
      <c r="AE1249" s="110"/>
      <c r="AF1249" s="110"/>
      <c r="AG1249" s="110"/>
      <c r="AH1249" s="110"/>
      <c r="AI1249" s="110"/>
    </row>
    <row r="1250" spans="1:35" ht="15.75" customHeight="1">
      <c r="A1250" s="110"/>
      <c r="B1250" s="110"/>
      <c r="C1250" s="110"/>
      <c r="D1250" s="404"/>
      <c r="E1250" s="110"/>
      <c r="F1250" s="110"/>
      <c r="G1250" s="110"/>
      <c r="H1250" s="110"/>
      <c r="I1250" s="110"/>
      <c r="J1250" s="110"/>
      <c r="K1250" s="110"/>
      <c r="L1250" s="110"/>
      <c r="M1250" s="110"/>
      <c r="N1250" s="110"/>
      <c r="O1250" s="110"/>
      <c r="P1250" s="110"/>
      <c r="Q1250" s="110"/>
      <c r="R1250" s="110"/>
      <c r="S1250" s="110"/>
      <c r="T1250" s="110"/>
      <c r="U1250" s="110"/>
      <c r="V1250" s="110"/>
      <c r="W1250" s="110"/>
      <c r="X1250" s="110"/>
      <c r="Y1250" s="110"/>
      <c r="Z1250" s="351"/>
      <c r="AA1250" s="110"/>
      <c r="AB1250" s="330"/>
      <c r="AC1250" s="110"/>
      <c r="AD1250" s="110"/>
      <c r="AE1250" s="110"/>
      <c r="AF1250" s="110"/>
      <c r="AG1250" s="110"/>
      <c r="AH1250" s="110"/>
      <c r="AI1250" s="110"/>
    </row>
    <row r="1251" spans="1:35" ht="15.75" customHeight="1">
      <c r="A1251" s="110"/>
      <c r="B1251" s="110"/>
      <c r="C1251" s="110"/>
      <c r="D1251" s="404"/>
      <c r="E1251" s="110"/>
      <c r="F1251" s="110"/>
      <c r="G1251" s="110"/>
      <c r="H1251" s="110"/>
      <c r="I1251" s="110"/>
      <c r="J1251" s="110"/>
      <c r="K1251" s="110"/>
      <c r="L1251" s="110"/>
      <c r="M1251" s="110"/>
      <c r="N1251" s="110"/>
      <c r="O1251" s="110"/>
      <c r="P1251" s="110"/>
      <c r="Q1251" s="110"/>
      <c r="R1251" s="110"/>
      <c r="S1251" s="110"/>
      <c r="T1251" s="110"/>
      <c r="U1251" s="110"/>
      <c r="V1251" s="110"/>
      <c r="W1251" s="110"/>
      <c r="X1251" s="110"/>
      <c r="Y1251" s="110"/>
      <c r="Z1251" s="351"/>
      <c r="AA1251" s="110"/>
      <c r="AB1251" s="330"/>
      <c r="AC1251" s="110"/>
      <c r="AD1251" s="110"/>
      <c r="AE1251" s="110"/>
      <c r="AF1251" s="110"/>
      <c r="AG1251" s="110"/>
      <c r="AH1251" s="110"/>
      <c r="AI1251" s="110"/>
    </row>
    <row r="1252" spans="1:35" ht="15.75" customHeight="1">
      <c r="A1252" s="110"/>
      <c r="B1252" s="110"/>
      <c r="C1252" s="110"/>
      <c r="D1252" s="404"/>
      <c r="E1252" s="110"/>
      <c r="F1252" s="110"/>
      <c r="G1252" s="110"/>
      <c r="H1252" s="110"/>
      <c r="I1252" s="110"/>
      <c r="J1252" s="110"/>
      <c r="K1252" s="110"/>
      <c r="L1252" s="110"/>
      <c r="M1252" s="110"/>
      <c r="N1252" s="110"/>
      <c r="O1252" s="110"/>
      <c r="P1252" s="110"/>
      <c r="Q1252" s="110"/>
      <c r="R1252" s="110"/>
      <c r="S1252" s="110"/>
      <c r="T1252" s="110"/>
      <c r="U1252" s="110"/>
      <c r="V1252" s="110"/>
      <c r="W1252" s="110"/>
      <c r="X1252" s="110"/>
      <c r="Y1252" s="110"/>
      <c r="Z1252" s="351"/>
      <c r="AA1252" s="110"/>
      <c r="AB1252" s="330"/>
      <c r="AC1252" s="110"/>
      <c r="AD1252" s="110"/>
      <c r="AE1252" s="110"/>
      <c r="AF1252" s="110"/>
      <c r="AG1252" s="110"/>
      <c r="AH1252" s="110"/>
      <c r="AI1252" s="110"/>
    </row>
    <row r="1253" spans="1:35" ht="15.75" customHeight="1">
      <c r="A1253" s="110"/>
      <c r="B1253" s="110"/>
      <c r="C1253" s="110"/>
      <c r="D1253" s="404"/>
      <c r="E1253" s="110"/>
      <c r="F1253" s="110"/>
      <c r="G1253" s="110"/>
      <c r="H1253" s="110"/>
      <c r="I1253" s="110"/>
      <c r="J1253" s="110"/>
      <c r="K1253" s="110"/>
      <c r="L1253" s="110"/>
      <c r="M1253" s="110"/>
      <c r="N1253" s="110"/>
      <c r="O1253" s="110"/>
      <c r="P1253" s="110"/>
      <c r="Q1253" s="110"/>
      <c r="R1253" s="110"/>
      <c r="S1253" s="110"/>
      <c r="T1253" s="110"/>
      <c r="U1253" s="110"/>
      <c r="V1253" s="110"/>
      <c r="W1253" s="110"/>
      <c r="X1253" s="110"/>
      <c r="Y1253" s="110"/>
      <c r="Z1253" s="351"/>
      <c r="AA1253" s="110"/>
      <c r="AB1253" s="330"/>
      <c r="AC1253" s="110"/>
      <c r="AD1253" s="110"/>
      <c r="AE1253" s="110"/>
      <c r="AF1253" s="110"/>
      <c r="AG1253" s="110"/>
      <c r="AH1253" s="110"/>
      <c r="AI1253" s="110"/>
    </row>
  </sheetData>
  <mergeCells count="14">
    <mergeCell ref="V4:W4"/>
    <mergeCell ref="X4:Y4"/>
    <mergeCell ref="B1:C1"/>
    <mergeCell ref="B2:C2"/>
    <mergeCell ref="B3:C3"/>
    <mergeCell ref="B4:C5"/>
    <mergeCell ref="D4:D5"/>
    <mergeCell ref="E4:F4"/>
    <mergeCell ref="I4:J4"/>
    <mergeCell ref="L4:M4"/>
    <mergeCell ref="N4:O4"/>
    <mergeCell ref="P4:Q4"/>
    <mergeCell ref="R4:S4"/>
    <mergeCell ref="T4:U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1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.42578125" customWidth="1"/>
    <col min="2" max="2" width="7" customWidth="1"/>
    <col min="3" max="3" width="36.42578125" customWidth="1"/>
    <col min="4" max="4" width="13.5703125" customWidth="1"/>
    <col min="5" max="5" width="15.140625" customWidth="1"/>
    <col min="6" max="6" width="23.5703125" customWidth="1"/>
    <col min="7" max="8" width="5.140625" customWidth="1"/>
    <col min="9" max="9" width="15.5703125" customWidth="1"/>
    <col min="10" max="14" width="5.140625" customWidth="1"/>
    <col min="15" max="27" width="14.42578125" customWidth="1"/>
  </cols>
  <sheetData>
    <row r="1" spans="1:27" ht="13.5" customHeight="1">
      <c r="A1" s="110"/>
      <c r="B1" s="408"/>
      <c r="C1" s="409" t="s">
        <v>5407</v>
      </c>
      <c r="D1" s="408"/>
      <c r="E1" s="110"/>
      <c r="F1" s="344"/>
      <c r="G1" s="110"/>
      <c r="H1" s="110"/>
      <c r="I1" s="410"/>
      <c r="J1" s="110"/>
      <c r="K1" s="110"/>
      <c r="L1" s="110"/>
      <c r="M1" s="110"/>
      <c r="N1" s="110"/>
      <c r="O1" s="1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3.5" customHeight="1">
      <c r="A2" s="110"/>
      <c r="B2" s="411"/>
      <c r="C2" s="412" t="s">
        <v>5408</v>
      </c>
      <c r="D2" s="411"/>
      <c r="E2" s="110"/>
      <c r="F2" s="344"/>
      <c r="G2" s="110"/>
      <c r="H2" s="110"/>
      <c r="I2" s="410"/>
      <c r="J2" s="110"/>
      <c r="K2" s="110"/>
      <c r="L2" s="110"/>
      <c r="M2" s="110"/>
      <c r="N2" s="110"/>
      <c r="O2" s="1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3.5" customHeight="1">
      <c r="A3" s="110"/>
      <c r="B3" s="411"/>
      <c r="C3" s="412" t="s">
        <v>5409</v>
      </c>
      <c r="D3" s="411"/>
      <c r="E3" s="110"/>
      <c r="F3" s="344"/>
      <c r="G3" s="110"/>
      <c r="H3" s="110"/>
      <c r="I3" s="410"/>
      <c r="J3" s="110"/>
      <c r="K3" s="110"/>
      <c r="L3" s="110"/>
      <c r="M3" s="110"/>
      <c r="N3" s="110"/>
      <c r="O3" s="1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3.5" customHeight="1">
      <c r="A4" s="4"/>
      <c r="B4" s="489" t="s">
        <v>1</v>
      </c>
      <c r="C4" s="490"/>
      <c r="D4" s="413" t="s">
        <v>3817</v>
      </c>
      <c r="E4" s="414"/>
      <c r="F4" s="99"/>
      <c r="G4" s="110"/>
      <c r="H4" s="110"/>
      <c r="I4" s="410"/>
      <c r="J4" s="110"/>
      <c r="K4" s="110"/>
      <c r="L4" s="110"/>
      <c r="M4" s="110"/>
      <c r="N4" s="110"/>
      <c r="O4" s="1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3.5" customHeight="1">
      <c r="A5" s="4"/>
      <c r="B5" s="491"/>
      <c r="C5" s="480"/>
      <c r="D5" s="232" t="s">
        <v>5410</v>
      </c>
      <c r="E5" s="414"/>
      <c r="F5" s="99"/>
      <c r="G5" s="110"/>
      <c r="H5" s="110"/>
      <c r="I5" s="410"/>
      <c r="J5" s="110"/>
      <c r="K5" s="110"/>
      <c r="L5" s="110"/>
      <c r="M5" s="110"/>
      <c r="N5" s="110"/>
      <c r="O5" s="1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3.5" customHeight="1">
      <c r="A6" s="351"/>
      <c r="B6" s="415" t="s">
        <v>5252</v>
      </c>
      <c r="C6" s="416" t="s">
        <v>5253</v>
      </c>
      <c r="D6" s="417"/>
      <c r="E6" s="351"/>
      <c r="F6" s="331"/>
      <c r="G6" s="110"/>
      <c r="H6" s="110"/>
      <c r="I6" s="410"/>
      <c r="J6" s="110"/>
      <c r="K6" s="110"/>
      <c r="L6" s="110"/>
      <c r="M6" s="110"/>
      <c r="N6" s="110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3.5" customHeight="1">
      <c r="A7" s="110"/>
      <c r="B7" s="15" t="s">
        <v>4</v>
      </c>
      <c r="C7" s="390" t="s">
        <v>5254</v>
      </c>
      <c r="D7" s="341">
        <f>TB!Y921-TB!X921</f>
        <v>177970625</v>
      </c>
      <c r="E7" s="351"/>
      <c r="F7" s="331"/>
      <c r="G7" s="110"/>
      <c r="H7" s="110"/>
      <c r="I7" s="410"/>
      <c r="J7" s="110"/>
      <c r="K7" s="110"/>
      <c r="L7" s="110"/>
      <c r="M7" s="110"/>
      <c r="N7" s="110"/>
      <c r="O7" s="1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3.5" customHeight="1">
      <c r="A8" s="110"/>
      <c r="B8" s="15" t="s">
        <v>6</v>
      </c>
      <c r="C8" s="390" t="s">
        <v>5255</v>
      </c>
      <c r="D8" s="341">
        <f>TB!Y922-TB!X922</f>
        <v>1273200752</v>
      </c>
      <c r="E8" s="351"/>
      <c r="F8" s="331"/>
      <c r="G8" s="110"/>
      <c r="H8" s="110"/>
      <c r="I8" s="410"/>
      <c r="J8" s="110"/>
      <c r="K8" s="110"/>
      <c r="L8" s="110"/>
      <c r="M8" s="110"/>
      <c r="N8" s="110"/>
      <c r="O8" s="1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3.5" customHeight="1">
      <c r="A9" s="110"/>
      <c r="B9" s="15" t="s">
        <v>10</v>
      </c>
      <c r="C9" s="390" t="s">
        <v>5256</v>
      </c>
      <c r="D9" s="341">
        <f>TB!Y923-TB!X923</f>
        <v>15070000</v>
      </c>
      <c r="E9" s="351"/>
      <c r="F9" s="331"/>
      <c r="G9" s="110"/>
      <c r="H9" s="110"/>
      <c r="I9" s="410"/>
      <c r="J9" s="110"/>
      <c r="K9" s="110"/>
      <c r="L9" s="110"/>
      <c r="M9" s="110"/>
      <c r="N9" s="110"/>
      <c r="O9" s="1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3.5" customHeight="1">
      <c r="A10" s="110"/>
      <c r="B10" s="15" t="s">
        <v>8</v>
      </c>
      <c r="C10" s="390" t="s">
        <v>5257</v>
      </c>
      <c r="D10" s="341">
        <f>TB!Y924-TB!X924</f>
        <v>25295000</v>
      </c>
      <c r="E10" s="351"/>
      <c r="F10" s="331"/>
      <c r="G10" s="110"/>
      <c r="H10" s="110"/>
      <c r="I10" s="410"/>
      <c r="J10" s="110"/>
      <c r="K10" s="110"/>
      <c r="L10" s="110"/>
      <c r="M10" s="110"/>
      <c r="N10" s="110"/>
      <c r="O10" s="1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3.5" customHeight="1">
      <c r="A11" s="110"/>
      <c r="B11" s="15" t="s">
        <v>25</v>
      </c>
      <c r="C11" s="340" t="s">
        <v>26</v>
      </c>
      <c r="D11" s="341">
        <f>TB!Y925-TB!X925</f>
        <v>466710191</v>
      </c>
      <c r="E11" s="351"/>
      <c r="F11" s="331"/>
      <c r="G11" s="110"/>
      <c r="H11" s="110"/>
      <c r="I11" s="410"/>
      <c r="J11" s="110"/>
      <c r="K11" s="110"/>
      <c r="L11" s="110"/>
      <c r="M11" s="110"/>
      <c r="N11" s="110"/>
      <c r="O11" s="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3.5" customHeight="1">
      <c r="A12" s="110"/>
      <c r="B12" s="15" t="s">
        <v>5258</v>
      </c>
      <c r="C12" s="340" t="s">
        <v>5259</v>
      </c>
      <c r="D12" s="341">
        <f>TB!Y926-TB!X926</f>
        <v>0</v>
      </c>
      <c r="E12" s="351"/>
      <c r="F12" s="331"/>
      <c r="G12" s="110"/>
      <c r="H12" s="110"/>
      <c r="I12" s="410"/>
      <c r="J12" s="110"/>
      <c r="K12" s="110"/>
      <c r="L12" s="110"/>
      <c r="M12" s="110"/>
      <c r="N12" s="110"/>
      <c r="O12" s="1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3.5" customHeight="1">
      <c r="A13" s="110"/>
      <c r="B13" s="24" t="s">
        <v>21</v>
      </c>
      <c r="C13" s="340" t="s">
        <v>5260</v>
      </c>
      <c r="D13" s="341">
        <f>TB!Y927-TB!X927</f>
        <v>47820000</v>
      </c>
      <c r="E13" s="351"/>
      <c r="F13" s="331"/>
      <c r="G13" s="110"/>
      <c r="H13" s="110"/>
      <c r="I13" s="410"/>
      <c r="J13" s="110"/>
      <c r="K13" s="110"/>
      <c r="L13" s="110"/>
      <c r="M13" s="110"/>
      <c r="N13" s="110"/>
      <c r="O13" s="1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3.5" customHeight="1">
      <c r="A14" s="110"/>
      <c r="B14" s="24" t="s">
        <v>12</v>
      </c>
      <c r="C14" s="340" t="s">
        <v>5261</v>
      </c>
      <c r="D14" s="341">
        <f>TB!Y928-TB!X928</f>
        <v>0</v>
      </c>
      <c r="E14" s="351"/>
      <c r="F14" s="331"/>
      <c r="G14" s="110"/>
      <c r="H14" s="110"/>
      <c r="I14" s="410"/>
      <c r="J14" s="110"/>
      <c r="K14" s="110"/>
      <c r="L14" s="110"/>
      <c r="M14" s="110"/>
      <c r="N14" s="110"/>
      <c r="O14" s="1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3.5" customHeight="1">
      <c r="A15" s="110"/>
      <c r="B15" s="15" t="s">
        <v>5262</v>
      </c>
      <c r="C15" s="340" t="s">
        <v>5263</v>
      </c>
      <c r="D15" s="341">
        <f>TB!Y929-TB!X929</f>
        <v>0</v>
      </c>
      <c r="E15" s="351"/>
      <c r="F15" s="331"/>
      <c r="G15" s="110"/>
      <c r="H15" s="110"/>
      <c r="I15" s="410"/>
      <c r="J15" s="110"/>
      <c r="K15" s="110"/>
      <c r="L15" s="110"/>
      <c r="M15" s="110"/>
      <c r="N15" s="110"/>
      <c r="O15" s="1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3.5" customHeight="1">
      <c r="A16" s="110"/>
      <c r="B16" s="15" t="s">
        <v>29</v>
      </c>
      <c r="C16" s="340" t="s">
        <v>5264</v>
      </c>
      <c r="D16" s="341">
        <f>TB!Y930-TB!X930</f>
        <v>-30762000</v>
      </c>
      <c r="E16" s="351"/>
      <c r="F16" s="331"/>
      <c r="G16" s="110"/>
      <c r="H16" s="110"/>
      <c r="I16" s="410"/>
      <c r="J16" s="110"/>
      <c r="K16" s="110"/>
      <c r="L16" s="110"/>
      <c r="M16" s="110"/>
      <c r="N16" s="110"/>
      <c r="O16" s="1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3.5" customHeight="1">
      <c r="A17" s="351"/>
      <c r="B17" s="127" t="s">
        <v>5265</v>
      </c>
      <c r="C17" s="418" t="s">
        <v>5266</v>
      </c>
      <c r="D17" s="338">
        <f>SUM(D7:D16)</f>
        <v>1975304568</v>
      </c>
      <c r="E17" s="351"/>
      <c r="F17" s="331"/>
      <c r="G17" s="110"/>
      <c r="H17" s="110"/>
      <c r="I17" s="410"/>
      <c r="J17" s="110"/>
      <c r="K17" s="110"/>
      <c r="L17" s="110"/>
      <c r="M17" s="110"/>
      <c r="N17" s="110"/>
      <c r="O17" s="1"/>
      <c r="P17" s="4"/>
      <c r="Q17" s="110" t="s">
        <v>5411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3.5" customHeight="1">
      <c r="A18" s="110"/>
      <c r="B18" s="15"/>
      <c r="C18" s="390"/>
      <c r="D18" s="341"/>
      <c r="E18" s="351"/>
      <c r="F18" s="331"/>
      <c r="G18" s="110"/>
      <c r="H18" s="110"/>
      <c r="I18" s="419"/>
      <c r="J18" s="110"/>
      <c r="K18" s="110"/>
      <c r="L18" s="110"/>
      <c r="M18" s="110"/>
      <c r="N18" s="110"/>
      <c r="O18" s="1"/>
      <c r="P18" s="420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3.5" customHeight="1">
      <c r="A19" s="351"/>
      <c r="B19" s="127" t="s">
        <v>5267</v>
      </c>
      <c r="C19" s="22" t="s">
        <v>5268</v>
      </c>
      <c r="D19" s="341"/>
      <c r="E19" s="351"/>
      <c r="F19" s="344"/>
      <c r="G19" s="110"/>
      <c r="H19" s="110"/>
      <c r="I19" s="410"/>
      <c r="J19" s="110"/>
      <c r="K19" s="110"/>
      <c r="L19" s="110"/>
      <c r="M19" s="110"/>
      <c r="N19" s="110"/>
      <c r="O19" s="32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3.5" customHeight="1">
      <c r="A20" s="110"/>
      <c r="B20" s="15" t="s">
        <v>3611</v>
      </c>
      <c r="C20" s="340" t="s">
        <v>5269</v>
      </c>
      <c r="D20" s="341">
        <f>TB!X934-TB!Y934</f>
        <v>65753306.001255453</v>
      </c>
      <c r="E20" s="421">
        <f>D20/(D7+D12)</f>
        <v>0.36946156704936811</v>
      </c>
      <c r="F20" s="344"/>
      <c r="G20" s="110"/>
      <c r="H20" s="110"/>
      <c r="I20" s="410"/>
      <c r="J20" s="110"/>
      <c r="K20" s="110"/>
      <c r="L20" s="110"/>
      <c r="M20" s="110"/>
      <c r="N20" s="110"/>
      <c r="O20" s="1"/>
      <c r="P20" s="81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3.5" customHeight="1">
      <c r="A21" s="110"/>
      <c r="B21" s="15" t="s">
        <v>3613</v>
      </c>
      <c r="C21" s="340" t="s">
        <v>5270</v>
      </c>
      <c r="D21" s="341">
        <f>TB!X935-TB!Y935</f>
        <v>349068994.72156817</v>
      </c>
      <c r="E21" s="421">
        <f t="shared" ref="E21:E23" si="0">D21/D8</f>
        <v>0.27416650058777858</v>
      </c>
      <c r="F21" s="344"/>
      <c r="G21" s="110"/>
      <c r="H21" s="110"/>
      <c r="I21" s="410"/>
      <c r="J21" s="110"/>
      <c r="K21" s="110"/>
      <c r="L21" s="110"/>
      <c r="M21" s="110"/>
      <c r="N21" s="110"/>
      <c r="O21" s="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3.5" customHeight="1">
      <c r="A22" s="110"/>
      <c r="B22" s="15" t="s">
        <v>3615</v>
      </c>
      <c r="C22" s="340" t="s">
        <v>5271</v>
      </c>
      <c r="D22" s="341">
        <f>TB!X936-TB!Y936</f>
        <v>735701.88181818172</v>
      </c>
      <c r="E22" s="421">
        <f t="shared" si="0"/>
        <v>4.881897025999879E-2</v>
      </c>
      <c r="F22" s="344"/>
      <c r="G22" s="110"/>
      <c r="H22" s="110"/>
      <c r="I22" s="410"/>
      <c r="J22" s="110"/>
      <c r="K22" s="110"/>
      <c r="L22" s="110"/>
      <c r="M22" s="110"/>
      <c r="N22" s="110"/>
      <c r="O22" s="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3.5" customHeight="1">
      <c r="A23" s="110"/>
      <c r="B23" s="15" t="s">
        <v>3617</v>
      </c>
      <c r="C23" s="340" t="s">
        <v>5272</v>
      </c>
      <c r="D23" s="341">
        <f>TB!X937-TB!Y937</f>
        <v>17082366.576508671</v>
      </c>
      <c r="E23" s="421">
        <f t="shared" si="0"/>
        <v>0.67532581840318917</v>
      </c>
      <c r="F23" s="344"/>
      <c r="G23" s="110"/>
      <c r="H23" s="110"/>
      <c r="I23" s="410"/>
      <c r="J23" s="110"/>
      <c r="K23" s="110"/>
      <c r="L23" s="110"/>
      <c r="M23" s="110"/>
      <c r="N23" s="110"/>
      <c r="O23" s="32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3.5" customHeight="1">
      <c r="A24" s="110"/>
      <c r="B24" s="15" t="s">
        <v>659</v>
      </c>
      <c r="C24" s="340" t="s">
        <v>5273</v>
      </c>
      <c r="D24" s="341">
        <f>TB!X938-TB!Y938</f>
        <v>293036607</v>
      </c>
      <c r="E24" s="421">
        <f>D24/D17</f>
        <v>0.14835008825838952</v>
      </c>
      <c r="F24" s="344"/>
      <c r="G24" s="110"/>
      <c r="H24" s="110"/>
      <c r="I24" s="410"/>
      <c r="J24" s="110"/>
      <c r="K24" s="110"/>
      <c r="L24" s="110"/>
      <c r="M24" s="110"/>
      <c r="N24" s="110"/>
      <c r="O24" s="32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3.5" customHeight="1">
      <c r="A25" s="110"/>
      <c r="B25" s="15" t="s">
        <v>3619</v>
      </c>
      <c r="C25" s="340" t="s">
        <v>5274</v>
      </c>
      <c r="D25" s="341">
        <f>TB!X939-TB!Y939</f>
        <v>0</v>
      </c>
      <c r="E25" s="421"/>
      <c r="F25" s="344"/>
      <c r="G25" s="110"/>
      <c r="H25" s="110"/>
      <c r="I25" s="410"/>
      <c r="J25" s="110"/>
      <c r="K25" s="110"/>
      <c r="L25" s="110"/>
      <c r="M25" s="110"/>
      <c r="N25" s="110"/>
      <c r="O25" s="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3.5" customHeight="1">
      <c r="A26" s="110"/>
      <c r="B26" s="15" t="s">
        <v>3149</v>
      </c>
      <c r="C26" s="340" t="s">
        <v>5275</v>
      </c>
      <c r="D26" s="341">
        <f>TB!X940-TB!Y940</f>
        <v>20356316.66</v>
      </c>
      <c r="E26" s="421">
        <f>D26/D17</f>
        <v>1.0305406563510767E-2</v>
      </c>
      <c r="F26" s="344"/>
      <c r="G26" s="110"/>
      <c r="H26" s="110"/>
      <c r="I26" s="410"/>
      <c r="J26" s="110"/>
      <c r="K26" s="110"/>
      <c r="L26" s="110"/>
      <c r="M26" s="110"/>
      <c r="N26" s="110"/>
      <c r="O26" s="1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3.5" customHeight="1">
      <c r="A27" s="110"/>
      <c r="B27" s="15" t="s">
        <v>221</v>
      </c>
      <c r="C27" s="340" t="s">
        <v>5276</v>
      </c>
      <c r="D27" s="341">
        <f>TB!X941-TB!Y941</f>
        <v>11354385.5</v>
      </c>
      <c r="E27" s="421">
        <f>D27/D17</f>
        <v>5.7481695146872156E-3</v>
      </c>
      <c r="F27" s="344"/>
      <c r="G27" s="110"/>
      <c r="H27" s="110"/>
      <c r="I27" s="410"/>
      <c r="J27" s="110"/>
      <c r="K27" s="110"/>
      <c r="L27" s="110"/>
      <c r="M27" s="110"/>
      <c r="N27" s="110"/>
      <c r="O27" s="1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.5" customHeight="1">
      <c r="A28" s="351"/>
      <c r="B28" s="68" t="s">
        <v>3642</v>
      </c>
      <c r="C28" s="340" t="s">
        <v>5277</v>
      </c>
      <c r="D28" s="341">
        <f>TB!X942-TB!Y942</f>
        <v>105350.00000000001</v>
      </c>
      <c r="E28" s="419"/>
      <c r="F28" s="344"/>
      <c r="G28" s="110"/>
      <c r="H28" s="110"/>
      <c r="I28" s="410"/>
      <c r="J28" s="110"/>
      <c r="K28" s="110"/>
      <c r="L28" s="110"/>
      <c r="M28" s="110"/>
      <c r="N28" s="110"/>
      <c r="O28" s="32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3.5" customHeight="1">
      <c r="A29" s="351"/>
      <c r="B29" s="127" t="s">
        <v>5278</v>
      </c>
      <c r="C29" s="418" t="s">
        <v>5279</v>
      </c>
      <c r="D29" s="338">
        <f>SUM(D20:D28)</f>
        <v>757493028.3411504</v>
      </c>
      <c r="E29" s="419"/>
      <c r="F29" s="344"/>
      <c r="G29" s="110"/>
      <c r="H29" s="110"/>
      <c r="I29" s="410"/>
      <c r="J29" s="110"/>
      <c r="K29" s="110"/>
      <c r="L29" s="110"/>
      <c r="M29" s="110"/>
      <c r="N29" s="110"/>
      <c r="O29" s="32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.5" customHeight="1">
      <c r="A30" s="110"/>
      <c r="B30" s="15"/>
      <c r="C30" s="390"/>
      <c r="D30" s="341"/>
      <c r="E30" s="419"/>
      <c r="F30" s="344"/>
      <c r="G30" s="110"/>
      <c r="H30" s="110"/>
      <c r="I30" s="410"/>
      <c r="J30" s="110"/>
      <c r="K30" s="110"/>
      <c r="L30" s="110"/>
      <c r="M30" s="110"/>
      <c r="N30" s="110"/>
      <c r="O30" s="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.5" customHeight="1">
      <c r="A31" s="351"/>
      <c r="B31" s="127" t="s">
        <v>5280</v>
      </c>
      <c r="C31" s="22" t="s">
        <v>5281</v>
      </c>
      <c r="D31" s="338"/>
      <c r="E31" s="419"/>
      <c r="F31" s="344"/>
      <c r="G31" s="110"/>
      <c r="H31" s="110"/>
      <c r="I31" s="410"/>
      <c r="J31" s="110"/>
      <c r="K31" s="110"/>
      <c r="L31" s="110"/>
      <c r="M31" s="110"/>
      <c r="N31" s="110"/>
      <c r="O31" s="1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3.5" customHeight="1">
      <c r="A32" s="110"/>
      <c r="B32" s="15"/>
      <c r="C32" s="340"/>
      <c r="D32" s="341"/>
      <c r="E32" s="419"/>
      <c r="F32" s="331"/>
      <c r="G32" s="110"/>
      <c r="H32" s="110"/>
      <c r="I32" s="410"/>
      <c r="J32" s="110"/>
      <c r="K32" s="110"/>
      <c r="L32" s="110"/>
      <c r="M32" s="110"/>
      <c r="N32" s="110"/>
      <c r="O32" s="1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3.5" customHeight="1">
      <c r="A33" s="351"/>
      <c r="B33" s="127" t="s">
        <v>5282</v>
      </c>
      <c r="C33" s="418" t="s">
        <v>5283</v>
      </c>
      <c r="D33" s="338"/>
      <c r="E33" s="419"/>
      <c r="F33" s="344"/>
      <c r="G33" s="110"/>
      <c r="H33" s="110"/>
      <c r="I33" s="410"/>
      <c r="J33" s="110"/>
      <c r="K33" s="110"/>
      <c r="L33" s="110"/>
      <c r="M33" s="110"/>
      <c r="N33" s="110"/>
      <c r="O33" s="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3.5" customHeight="1">
      <c r="A34" s="110"/>
      <c r="B34" s="15" t="s">
        <v>1538</v>
      </c>
      <c r="C34" s="390" t="s">
        <v>5284</v>
      </c>
      <c r="D34" s="341">
        <f>TB!X948-TB!Y948</f>
        <v>506375748</v>
      </c>
      <c r="E34" s="419"/>
      <c r="F34" s="331"/>
      <c r="G34" s="110"/>
      <c r="H34" s="110"/>
      <c r="I34" s="410"/>
      <c r="J34" s="110"/>
      <c r="K34" s="110"/>
      <c r="L34" s="110"/>
      <c r="M34" s="110"/>
      <c r="N34" s="110"/>
      <c r="O34" s="1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.5" customHeight="1">
      <c r="A35" s="110"/>
      <c r="B35" s="15" t="s">
        <v>1540</v>
      </c>
      <c r="C35" s="390" t="s">
        <v>5285</v>
      </c>
      <c r="D35" s="341">
        <f>TB!X949-TB!Y949</f>
        <v>36045000</v>
      </c>
      <c r="E35" s="419"/>
      <c r="F35" s="344"/>
      <c r="G35" s="110"/>
      <c r="H35" s="110"/>
      <c r="I35" s="410"/>
      <c r="J35" s="110"/>
      <c r="K35" s="110"/>
      <c r="L35" s="110"/>
      <c r="M35" s="110"/>
      <c r="N35" s="110"/>
      <c r="O35" s="1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3.5" customHeight="1">
      <c r="A36" s="110"/>
      <c r="B36" s="15" t="s">
        <v>5286</v>
      </c>
      <c r="C36" s="390" t="s">
        <v>5287</v>
      </c>
      <c r="D36" s="341">
        <f>TB!X950-TB!Y950</f>
        <v>0</v>
      </c>
      <c r="E36" s="419"/>
      <c r="F36" s="331"/>
      <c r="G36" s="110"/>
      <c r="H36" s="110"/>
      <c r="I36" s="410"/>
      <c r="J36" s="110"/>
      <c r="K36" s="110"/>
      <c r="L36" s="110"/>
      <c r="M36" s="110"/>
      <c r="N36" s="110"/>
      <c r="O36" s="1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3.5" customHeight="1">
      <c r="A37" s="110"/>
      <c r="B37" s="15" t="s">
        <v>3647</v>
      </c>
      <c r="C37" s="390" t="s">
        <v>3648</v>
      </c>
      <c r="D37" s="341">
        <f>TB!X951-TB!Y951</f>
        <v>25670334</v>
      </c>
      <c r="E37" s="419"/>
      <c r="F37" s="344"/>
      <c r="G37" s="110"/>
      <c r="H37" s="110"/>
      <c r="I37" s="410"/>
      <c r="J37" s="110"/>
      <c r="K37" s="110"/>
      <c r="L37" s="110"/>
      <c r="M37" s="110"/>
      <c r="N37" s="110"/>
      <c r="O37" s="1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3.5" customHeight="1">
      <c r="A38" s="110"/>
      <c r="B38" s="15" t="s">
        <v>5288</v>
      </c>
      <c r="C38" s="390" t="s">
        <v>5289</v>
      </c>
      <c r="D38" s="341">
        <f>TB!X952-TB!Y952</f>
        <v>0</v>
      </c>
      <c r="E38" s="419"/>
      <c r="F38" s="344"/>
      <c r="G38" s="110"/>
      <c r="H38" s="110"/>
      <c r="I38" s="410"/>
      <c r="J38" s="110"/>
      <c r="K38" s="110"/>
      <c r="L38" s="110"/>
      <c r="M38" s="110"/>
      <c r="N38" s="110"/>
      <c r="O38" s="1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3.5" customHeight="1">
      <c r="A39" s="110"/>
      <c r="B39" s="15" t="s">
        <v>3637</v>
      </c>
      <c r="C39" s="390" t="s">
        <v>3685</v>
      </c>
      <c r="D39" s="341">
        <f>TB!X953-TB!Y953</f>
        <v>25503742</v>
      </c>
      <c r="E39" s="419"/>
      <c r="F39" s="344"/>
      <c r="G39" s="110"/>
      <c r="H39" s="110"/>
      <c r="I39" s="410"/>
      <c r="J39" s="110"/>
      <c r="K39" s="110"/>
      <c r="L39" s="110"/>
      <c r="M39" s="110"/>
      <c r="N39" s="110"/>
      <c r="O39" s="1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3.5" customHeight="1">
      <c r="A40" s="110"/>
      <c r="B40" s="15" t="s">
        <v>1335</v>
      </c>
      <c r="C40" s="390" t="s">
        <v>5290</v>
      </c>
      <c r="D40" s="341">
        <f>TB!X954-TB!Y954</f>
        <v>1860000</v>
      </c>
      <c r="E40" s="419"/>
      <c r="F40" s="344"/>
      <c r="G40" s="110"/>
      <c r="H40" s="110"/>
      <c r="I40" s="410"/>
      <c r="J40" s="110"/>
      <c r="K40" s="110"/>
      <c r="L40" s="110"/>
      <c r="M40" s="110"/>
      <c r="N40" s="110"/>
      <c r="O40" s="1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3.5" customHeight="1">
      <c r="A41" s="110"/>
      <c r="B41" s="15" t="s">
        <v>815</v>
      </c>
      <c r="C41" s="390" t="s">
        <v>5291</v>
      </c>
      <c r="D41" s="341">
        <f>TB!X955-TB!Y955</f>
        <v>9909379.4399999995</v>
      </c>
      <c r="E41" s="419"/>
      <c r="F41" s="344"/>
      <c r="G41" s="110"/>
      <c r="H41" s="110"/>
      <c r="I41" s="410"/>
      <c r="J41" s="110"/>
      <c r="K41" s="110"/>
      <c r="L41" s="110"/>
      <c r="M41" s="110"/>
      <c r="N41" s="110"/>
      <c r="O41" s="1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.5" customHeight="1">
      <c r="A42" s="110"/>
      <c r="B42" s="15" t="s">
        <v>5292</v>
      </c>
      <c r="C42" s="340" t="s">
        <v>5293</v>
      </c>
      <c r="D42" s="341">
        <f>TB!X956-TB!Y956</f>
        <v>0</v>
      </c>
      <c r="E42" s="419"/>
      <c r="F42" s="344"/>
      <c r="G42" s="110"/>
      <c r="H42" s="110"/>
      <c r="I42" s="410"/>
      <c r="J42" s="110"/>
      <c r="K42" s="110"/>
      <c r="L42" s="110"/>
      <c r="M42" s="110"/>
      <c r="N42" s="110"/>
      <c r="O42" s="1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.5" customHeight="1">
      <c r="A43" s="110"/>
      <c r="B43" s="15" t="s">
        <v>588</v>
      </c>
      <c r="C43" s="340" t="s">
        <v>5294</v>
      </c>
      <c r="D43" s="341">
        <f>TB!X957-TB!Y957</f>
        <v>14758065</v>
      </c>
      <c r="E43" s="419"/>
      <c r="F43" s="344"/>
      <c r="G43" s="110"/>
      <c r="H43" s="110"/>
      <c r="I43" s="410"/>
      <c r="J43" s="110"/>
      <c r="K43" s="110"/>
      <c r="L43" s="110"/>
      <c r="M43" s="110"/>
      <c r="N43" s="110"/>
      <c r="O43" s="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.5" customHeight="1">
      <c r="A44" s="351"/>
      <c r="B44" s="127" t="s">
        <v>5295</v>
      </c>
      <c r="C44" s="418" t="s">
        <v>5412</v>
      </c>
      <c r="D44" s="338">
        <f>SUM(D34:D43)</f>
        <v>620122268.44000006</v>
      </c>
      <c r="E44" s="421">
        <f>D44/D17</f>
        <v>0.31393754587824152</v>
      </c>
      <c r="F44" s="344"/>
      <c r="G44" s="110"/>
      <c r="H44" s="110"/>
      <c r="I44" s="410"/>
      <c r="J44" s="110"/>
      <c r="K44" s="110"/>
      <c r="L44" s="110"/>
      <c r="M44" s="110"/>
      <c r="N44" s="110"/>
      <c r="O44" s="1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.5" customHeight="1">
      <c r="A45" s="110"/>
      <c r="B45" s="15"/>
      <c r="C45" s="340"/>
      <c r="D45" s="341"/>
      <c r="E45" s="419"/>
      <c r="F45" s="344"/>
      <c r="G45" s="110"/>
      <c r="H45" s="110"/>
      <c r="I45" s="410"/>
      <c r="J45" s="110"/>
      <c r="K45" s="110"/>
      <c r="L45" s="110"/>
      <c r="M45" s="110"/>
      <c r="N45" s="110"/>
      <c r="O45" s="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3.5" customHeight="1">
      <c r="A46" s="351"/>
      <c r="B46" s="127" t="s">
        <v>5297</v>
      </c>
      <c r="C46" s="22" t="s">
        <v>5298</v>
      </c>
      <c r="D46" s="338"/>
      <c r="E46" s="419"/>
      <c r="F46" s="344"/>
      <c r="G46" s="110"/>
      <c r="H46" s="110"/>
      <c r="I46" s="410"/>
      <c r="J46" s="110"/>
      <c r="K46" s="110"/>
      <c r="L46" s="110"/>
      <c r="M46" s="110"/>
      <c r="N46" s="110"/>
      <c r="O46" s="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.5" customHeight="1">
      <c r="A47" s="110"/>
      <c r="B47" s="15" t="s">
        <v>617</v>
      </c>
      <c r="C47" s="390" t="s">
        <v>5299</v>
      </c>
      <c r="D47" s="341">
        <f>TB!X961-TB!Y961</f>
        <v>24137819</v>
      </c>
      <c r="E47" s="419"/>
      <c r="F47" s="331"/>
      <c r="G47" s="110"/>
      <c r="H47" s="110"/>
      <c r="I47" s="410"/>
      <c r="J47" s="110"/>
      <c r="K47" s="110"/>
      <c r="L47" s="110"/>
      <c r="M47" s="110"/>
      <c r="N47" s="110"/>
      <c r="O47" s="1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3.5" customHeight="1">
      <c r="A48" s="110"/>
      <c r="B48" s="15" t="s">
        <v>5300</v>
      </c>
      <c r="C48" s="390" t="s">
        <v>5301</v>
      </c>
      <c r="D48" s="341">
        <f>TB!X962-TB!Y962</f>
        <v>0</v>
      </c>
      <c r="E48" s="419"/>
      <c r="F48" s="344"/>
      <c r="G48" s="110"/>
      <c r="H48" s="110"/>
      <c r="I48" s="410"/>
      <c r="J48" s="110"/>
      <c r="K48" s="110"/>
      <c r="L48" s="110"/>
      <c r="M48" s="110"/>
      <c r="N48" s="110"/>
      <c r="O48" s="1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.5" customHeight="1">
      <c r="A49" s="110"/>
      <c r="B49" s="15" t="s">
        <v>1921</v>
      </c>
      <c r="C49" s="390" t="s">
        <v>5302</v>
      </c>
      <c r="D49" s="341">
        <f>TB!X963-TB!Y963</f>
        <v>2164600</v>
      </c>
      <c r="E49" s="419"/>
      <c r="F49" s="331"/>
      <c r="G49" s="110"/>
      <c r="H49" s="110"/>
      <c r="I49" s="410"/>
      <c r="J49" s="110"/>
      <c r="K49" s="110"/>
      <c r="L49" s="110"/>
      <c r="M49" s="110"/>
      <c r="N49" s="110"/>
      <c r="O49" s="1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.5" customHeight="1">
      <c r="A50" s="110"/>
      <c r="B50" s="15" t="s">
        <v>1155</v>
      </c>
      <c r="C50" s="340" t="s">
        <v>5303</v>
      </c>
      <c r="D50" s="341">
        <f>TB!X964-TB!Y964</f>
        <v>3451270</v>
      </c>
      <c r="E50" s="419"/>
      <c r="F50" s="344"/>
      <c r="G50" s="110"/>
      <c r="H50" s="110"/>
      <c r="I50" s="410"/>
      <c r="J50" s="110"/>
      <c r="K50" s="110"/>
      <c r="L50" s="110"/>
      <c r="M50" s="110"/>
      <c r="N50" s="110"/>
      <c r="O50" s="1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.5" customHeight="1">
      <c r="A51" s="110"/>
      <c r="B51" s="24" t="s">
        <v>5304</v>
      </c>
      <c r="C51" s="340" t="s">
        <v>5305</v>
      </c>
      <c r="D51" s="341">
        <f>TB!X965-TB!Y965</f>
        <v>0</v>
      </c>
      <c r="E51" s="419"/>
      <c r="F51" s="344"/>
      <c r="G51" s="110"/>
      <c r="H51" s="110"/>
      <c r="I51" s="410"/>
      <c r="J51" s="110"/>
      <c r="K51" s="110"/>
      <c r="L51" s="110"/>
      <c r="M51" s="110"/>
      <c r="N51" s="110"/>
      <c r="O51" s="1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.5" customHeight="1">
      <c r="A52" s="351"/>
      <c r="B52" s="127" t="s">
        <v>5306</v>
      </c>
      <c r="C52" s="22" t="s">
        <v>5307</v>
      </c>
      <c r="D52" s="338">
        <f>SUM(D47:D51)</f>
        <v>29753689</v>
      </c>
      <c r="E52" s="421"/>
      <c r="F52" s="344"/>
      <c r="G52" s="110"/>
      <c r="H52" s="110"/>
      <c r="I52" s="410"/>
      <c r="J52" s="110"/>
      <c r="K52" s="110"/>
      <c r="L52" s="110"/>
      <c r="M52" s="110"/>
      <c r="N52" s="110"/>
      <c r="O52" s="1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.5" customHeight="1">
      <c r="A53" s="351"/>
      <c r="B53" s="127"/>
      <c r="C53" s="22"/>
      <c r="D53" s="341"/>
      <c r="E53" s="419"/>
      <c r="F53" s="344"/>
      <c r="G53" s="110"/>
      <c r="H53" s="110"/>
      <c r="I53" s="410"/>
      <c r="J53" s="110"/>
      <c r="K53" s="110"/>
      <c r="L53" s="110"/>
      <c r="M53" s="110"/>
      <c r="N53" s="110"/>
      <c r="O53" s="1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.5" customHeight="1">
      <c r="A54" s="351"/>
      <c r="B54" s="127" t="s">
        <v>5308</v>
      </c>
      <c r="C54" s="22" t="s">
        <v>5309</v>
      </c>
      <c r="D54" s="338"/>
      <c r="E54" s="419"/>
      <c r="F54" s="344"/>
      <c r="G54" s="110"/>
      <c r="H54" s="110"/>
      <c r="I54" s="410"/>
      <c r="J54" s="110"/>
      <c r="K54" s="110"/>
      <c r="L54" s="110"/>
      <c r="M54" s="110"/>
      <c r="N54" s="110"/>
      <c r="O54" s="1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3.5" customHeight="1">
      <c r="A55" s="110"/>
      <c r="B55" s="15"/>
      <c r="C55" s="340"/>
      <c r="D55" s="341"/>
      <c r="E55" s="419"/>
      <c r="F55" s="331"/>
      <c r="G55" s="110"/>
      <c r="H55" s="110"/>
      <c r="I55" s="410"/>
      <c r="J55" s="110"/>
      <c r="K55" s="110"/>
      <c r="L55" s="110"/>
      <c r="M55" s="110"/>
      <c r="N55" s="110"/>
      <c r="O55" s="1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.5" customHeight="1">
      <c r="A56" s="351"/>
      <c r="B56" s="127" t="s">
        <v>5310</v>
      </c>
      <c r="C56" s="22" t="s">
        <v>5311</v>
      </c>
      <c r="D56" s="338"/>
      <c r="E56" s="419"/>
      <c r="F56" s="331"/>
      <c r="G56" s="110"/>
      <c r="H56" s="110"/>
      <c r="I56" s="410"/>
      <c r="J56" s="110"/>
      <c r="K56" s="110"/>
      <c r="L56" s="110"/>
      <c r="M56" s="110"/>
      <c r="N56" s="110"/>
      <c r="O56" s="1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3.5" customHeight="1">
      <c r="A57" s="110"/>
      <c r="B57" s="15" t="s">
        <v>3561</v>
      </c>
      <c r="C57" s="390" t="s">
        <v>5312</v>
      </c>
      <c r="D57" s="341">
        <f>TB!X971-TB!Y971</f>
        <v>31185</v>
      </c>
      <c r="E57" s="419"/>
      <c r="F57" s="331"/>
      <c r="G57" s="110"/>
      <c r="H57" s="110"/>
      <c r="I57" s="410"/>
      <c r="J57" s="110"/>
      <c r="K57" s="110"/>
      <c r="L57" s="110"/>
      <c r="M57" s="110"/>
      <c r="N57" s="110"/>
      <c r="O57" s="1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.5" customHeight="1">
      <c r="A58" s="110"/>
      <c r="B58" s="15" t="s">
        <v>5313</v>
      </c>
      <c r="C58" s="390" t="s">
        <v>5314</v>
      </c>
      <c r="D58" s="341">
        <f>TB!X972-TB!Y972</f>
        <v>0</v>
      </c>
      <c r="E58" s="419"/>
      <c r="F58" s="344"/>
      <c r="G58" s="110"/>
      <c r="H58" s="110"/>
      <c r="I58" s="410"/>
      <c r="J58" s="110"/>
      <c r="K58" s="110"/>
      <c r="L58" s="110"/>
      <c r="M58" s="110"/>
      <c r="N58" s="110"/>
      <c r="O58" s="1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.5" customHeight="1">
      <c r="A59" s="110"/>
      <c r="B59" s="15" t="s">
        <v>1208</v>
      </c>
      <c r="C59" s="390" t="s">
        <v>5315</v>
      </c>
      <c r="D59" s="341">
        <f>TB!X973-TB!Y973</f>
        <v>5658516</v>
      </c>
      <c r="E59" s="419"/>
      <c r="F59" s="331"/>
      <c r="G59" s="110"/>
      <c r="H59" s="110"/>
      <c r="I59" s="410"/>
      <c r="J59" s="110"/>
      <c r="K59" s="110"/>
      <c r="L59" s="110"/>
      <c r="M59" s="110"/>
      <c r="N59" s="110"/>
      <c r="O59" s="1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5" customHeight="1">
      <c r="A60" s="110"/>
      <c r="B60" s="15" t="s">
        <v>471</v>
      </c>
      <c r="C60" s="390" t="s">
        <v>5316</v>
      </c>
      <c r="D60" s="341">
        <f>TB!X974-TB!Y974</f>
        <v>3500000</v>
      </c>
      <c r="E60" s="419"/>
      <c r="F60" s="344"/>
      <c r="G60" s="110"/>
      <c r="H60" s="110"/>
      <c r="I60" s="410"/>
      <c r="J60" s="110"/>
      <c r="K60" s="110"/>
      <c r="L60" s="110"/>
      <c r="M60" s="110"/>
      <c r="N60" s="110"/>
      <c r="O60" s="1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.5" customHeight="1">
      <c r="A61" s="110"/>
      <c r="B61" s="15" t="s">
        <v>1404</v>
      </c>
      <c r="C61" s="390" t="s">
        <v>3672</v>
      </c>
      <c r="D61" s="341">
        <f>TB!X975-TB!Y975</f>
        <v>4550070</v>
      </c>
      <c r="E61" s="419"/>
      <c r="F61" s="344"/>
      <c r="G61" s="110"/>
      <c r="H61" s="110"/>
      <c r="I61" s="410"/>
      <c r="J61" s="110"/>
      <c r="K61" s="110"/>
      <c r="L61" s="110"/>
      <c r="M61" s="110"/>
      <c r="N61" s="110"/>
      <c r="O61" s="1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.5" customHeight="1">
      <c r="A62" s="110"/>
      <c r="B62" s="15" t="s">
        <v>3662</v>
      </c>
      <c r="C62" s="390" t="s">
        <v>3663</v>
      </c>
      <c r="D62" s="341">
        <f>TB!X976-TB!Y976</f>
        <v>18000000</v>
      </c>
      <c r="E62" s="419"/>
      <c r="F62" s="344"/>
      <c r="G62" s="110"/>
      <c r="H62" s="110"/>
      <c r="I62" s="410"/>
      <c r="J62" s="110"/>
      <c r="K62" s="110"/>
      <c r="L62" s="110"/>
      <c r="M62" s="110"/>
      <c r="N62" s="110"/>
      <c r="O62" s="1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.5" customHeight="1">
      <c r="A63" s="110"/>
      <c r="B63" s="15" t="s">
        <v>3105</v>
      </c>
      <c r="C63" s="390" t="s">
        <v>5317</v>
      </c>
      <c r="D63" s="341">
        <f>TB!X977-TB!Y977</f>
        <v>2250000</v>
      </c>
      <c r="E63" s="419"/>
      <c r="F63" s="344"/>
      <c r="G63" s="110"/>
      <c r="H63" s="110"/>
      <c r="I63" s="410"/>
      <c r="J63" s="110"/>
      <c r="K63" s="110"/>
      <c r="L63" s="110"/>
      <c r="M63" s="110"/>
      <c r="N63" s="110"/>
      <c r="O63" s="1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.5" customHeight="1">
      <c r="A64" s="110"/>
      <c r="B64" s="15" t="s">
        <v>5318</v>
      </c>
      <c r="C64" s="390" t="s">
        <v>5319</v>
      </c>
      <c r="D64" s="341">
        <f>TB!X978-TB!Y978</f>
        <v>0</v>
      </c>
      <c r="E64" s="419"/>
      <c r="F64" s="344"/>
      <c r="G64" s="110"/>
      <c r="H64" s="110"/>
      <c r="I64" s="410"/>
      <c r="J64" s="110"/>
      <c r="K64" s="110"/>
      <c r="L64" s="110"/>
      <c r="M64" s="110"/>
      <c r="N64" s="110"/>
      <c r="O64" s="1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.5" customHeight="1">
      <c r="A65" s="110"/>
      <c r="B65" s="15" t="s">
        <v>403</v>
      </c>
      <c r="C65" s="390" t="s">
        <v>5320</v>
      </c>
      <c r="D65" s="341">
        <f>TB!X979-TB!Y979</f>
        <v>82000000</v>
      </c>
      <c r="E65" s="419"/>
      <c r="F65" s="344"/>
      <c r="G65" s="110"/>
      <c r="H65" s="110"/>
      <c r="I65" s="410"/>
      <c r="J65" s="110"/>
      <c r="K65" s="110"/>
      <c r="L65" s="110"/>
      <c r="M65" s="110"/>
      <c r="N65" s="110"/>
      <c r="O65" s="1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.5" customHeight="1">
      <c r="A66" s="110"/>
      <c r="B66" s="15" t="s">
        <v>3653</v>
      </c>
      <c r="C66" s="390" t="s">
        <v>5321</v>
      </c>
      <c r="D66" s="341">
        <f>TB!X980-TB!Y980</f>
        <v>2000000</v>
      </c>
      <c r="E66" s="419"/>
      <c r="F66" s="344"/>
      <c r="G66" s="110"/>
      <c r="H66" s="110"/>
      <c r="I66" s="410"/>
      <c r="J66" s="110"/>
      <c r="K66" s="110"/>
      <c r="L66" s="110"/>
      <c r="M66" s="110"/>
      <c r="N66" s="110"/>
      <c r="O66" s="1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.5" customHeight="1">
      <c r="A67" s="110"/>
      <c r="B67" s="15" t="s">
        <v>5322</v>
      </c>
      <c r="C67" s="390" t="s">
        <v>5323</v>
      </c>
      <c r="D67" s="341">
        <f>TB!X981-TB!Y981</f>
        <v>0</v>
      </c>
      <c r="E67" s="419"/>
      <c r="F67" s="344"/>
      <c r="G67" s="110"/>
      <c r="H67" s="110"/>
      <c r="I67" s="410"/>
      <c r="J67" s="110"/>
      <c r="K67" s="110"/>
      <c r="L67" s="110"/>
      <c r="M67" s="110"/>
      <c r="N67" s="110"/>
      <c r="O67" s="1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.5" customHeight="1">
      <c r="A68" s="110"/>
      <c r="B68" s="15" t="s">
        <v>5324</v>
      </c>
      <c r="C68" s="390" t="s">
        <v>5413</v>
      </c>
      <c r="D68" s="341">
        <f>TB!X982-TB!Y982</f>
        <v>0</v>
      </c>
      <c r="E68" s="419"/>
      <c r="F68" s="344"/>
      <c r="G68" s="110"/>
      <c r="H68" s="110"/>
      <c r="I68" s="410"/>
      <c r="J68" s="110"/>
      <c r="K68" s="110"/>
      <c r="L68" s="110"/>
      <c r="M68" s="110"/>
      <c r="N68" s="110"/>
      <c r="O68" s="1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.5" customHeight="1">
      <c r="A69" s="110"/>
      <c r="B69" s="15" t="s">
        <v>1770</v>
      </c>
      <c r="C69" s="390" t="s">
        <v>1771</v>
      </c>
      <c r="D69" s="341">
        <f>TB!X983-TB!Y983</f>
        <v>2135500</v>
      </c>
      <c r="E69" s="419"/>
      <c r="F69" s="344"/>
      <c r="G69" s="110"/>
      <c r="H69" s="110"/>
      <c r="I69" s="410"/>
      <c r="J69" s="110"/>
      <c r="K69" s="110"/>
      <c r="L69" s="110"/>
      <c r="M69" s="110"/>
      <c r="N69" s="110"/>
      <c r="O69" s="1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.5" customHeight="1">
      <c r="A70" s="110"/>
      <c r="B70" s="15" t="s">
        <v>3502</v>
      </c>
      <c r="C70" s="390" t="s">
        <v>5326</v>
      </c>
      <c r="D70" s="341">
        <f>TB!X984-TB!Y984</f>
        <v>22704316</v>
      </c>
      <c r="E70" s="419"/>
      <c r="F70" s="344"/>
      <c r="G70" s="110"/>
      <c r="H70" s="110"/>
      <c r="I70" s="410"/>
      <c r="J70" s="110"/>
      <c r="K70" s="110"/>
      <c r="L70" s="110"/>
      <c r="M70" s="110"/>
      <c r="N70" s="110"/>
      <c r="O70" s="1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.5" customHeight="1">
      <c r="A71" s="110"/>
      <c r="B71" s="15" t="s">
        <v>5327</v>
      </c>
      <c r="C71" s="390" t="s">
        <v>5328</v>
      </c>
      <c r="D71" s="341">
        <f>TB!X985-TB!Y985</f>
        <v>0</v>
      </c>
      <c r="E71" s="419"/>
      <c r="F71" s="344"/>
      <c r="G71" s="110"/>
      <c r="H71" s="110"/>
      <c r="I71" s="410"/>
      <c r="J71" s="110"/>
      <c r="K71" s="110"/>
      <c r="L71" s="110"/>
      <c r="M71" s="110"/>
      <c r="N71" s="110"/>
      <c r="O71" s="1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.5" customHeight="1">
      <c r="A72" s="110"/>
      <c r="B72" s="15" t="s">
        <v>3583</v>
      </c>
      <c r="C72" s="390" t="s">
        <v>5329</v>
      </c>
      <c r="D72" s="341">
        <f>TB!X986-TB!Y986</f>
        <v>75250000</v>
      </c>
      <c r="E72" s="419"/>
      <c r="F72" s="344"/>
      <c r="G72" s="110"/>
      <c r="H72" s="110"/>
      <c r="I72" s="410"/>
      <c r="J72" s="110"/>
      <c r="K72" s="110"/>
      <c r="L72" s="110"/>
      <c r="M72" s="110"/>
      <c r="N72" s="110"/>
      <c r="O72" s="1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.5" customHeight="1">
      <c r="A73" s="110"/>
      <c r="B73" s="15" t="s">
        <v>5330</v>
      </c>
      <c r="C73" s="390" t="s">
        <v>5331</v>
      </c>
      <c r="D73" s="341">
        <f>TB!X987-TB!Y987</f>
        <v>0</v>
      </c>
      <c r="E73" s="419"/>
      <c r="F73" s="344"/>
      <c r="G73" s="110"/>
      <c r="H73" s="110"/>
      <c r="I73" s="410"/>
      <c r="J73" s="110"/>
      <c r="K73" s="110"/>
      <c r="L73" s="110"/>
      <c r="M73" s="110"/>
      <c r="N73" s="110"/>
      <c r="O73" s="1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.5" customHeight="1">
      <c r="A74" s="351"/>
      <c r="B74" s="127" t="s">
        <v>5332</v>
      </c>
      <c r="C74" s="22" t="s">
        <v>5333</v>
      </c>
      <c r="D74" s="338">
        <f>SUM(D57:D73)</f>
        <v>218079587</v>
      </c>
      <c r="E74" s="419"/>
      <c r="F74" s="331"/>
      <c r="G74" s="110"/>
      <c r="H74" s="110"/>
      <c r="I74" s="410"/>
      <c r="J74" s="110"/>
      <c r="K74" s="110"/>
      <c r="L74" s="110"/>
      <c r="M74" s="110"/>
      <c r="N74" s="110"/>
      <c r="O74" s="1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.5" customHeight="1">
      <c r="A75" s="110"/>
      <c r="B75" s="15"/>
      <c r="C75" s="390"/>
      <c r="D75" s="341"/>
      <c r="E75" s="419"/>
      <c r="F75" s="344"/>
      <c r="G75" s="110"/>
      <c r="H75" s="110"/>
      <c r="I75" s="410"/>
      <c r="J75" s="110"/>
      <c r="K75" s="110"/>
      <c r="L75" s="110"/>
      <c r="M75" s="110"/>
      <c r="N75" s="110"/>
      <c r="O75" s="1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.5" customHeight="1">
      <c r="A76" s="351"/>
      <c r="B76" s="127" t="s">
        <v>5334</v>
      </c>
      <c r="C76" s="22" t="s">
        <v>5335</v>
      </c>
      <c r="D76" s="338"/>
      <c r="E76" s="419"/>
      <c r="F76" s="344"/>
      <c r="G76" s="110"/>
      <c r="H76" s="110"/>
      <c r="I76" s="410"/>
      <c r="J76" s="110"/>
      <c r="K76" s="110"/>
      <c r="L76" s="110"/>
      <c r="M76" s="110"/>
      <c r="N76" s="110"/>
      <c r="O76" s="1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.5" customHeight="1">
      <c r="A77" s="110"/>
      <c r="B77" s="15" t="s">
        <v>188</v>
      </c>
      <c r="C77" s="390" t="s">
        <v>3669</v>
      </c>
      <c r="D77" s="341">
        <f>TB!X991-TB!Y991</f>
        <v>68640219</v>
      </c>
      <c r="E77" s="419"/>
      <c r="F77" s="344"/>
      <c r="G77" s="110"/>
      <c r="H77" s="110"/>
      <c r="I77" s="410"/>
      <c r="J77" s="110"/>
      <c r="K77" s="110"/>
      <c r="L77" s="110"/>
      <c r="M77" s="110"/>
      <c r="N77" s="110"/>
      <c r="O77" s="1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.5" customHeight="1">
      <c r="A78" s="110"/>
      <c r="B78" s="15" t="s">
        <v>3108</v>
      </c>
      <c r="C78" s="390" t="s">
        <v>5336</v>
      </c>
      <c r="D78" s="341">
        <f>TB!X992-TB!Y992</f>
        <v>113415165</v>
      </c>
      <c r="E78" s="419"/>
      <c r="F78" s="344"/>
      <c r="G78" s="110"/>
      <c r="H78" s="110"/>
      <c r="I78" s="410"/>
      <c r="J78" s="110"/>
      <c r="K78" s="110"/>
      <c r="L78" s="110"/>
      <c r="M78" s="110"/>
      <c r="N78" s="110"/>
      <c r="O78" s="1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.5" customHeight="1">
      <c r="A79" s="110"/>
      <c r="B79" s="15" t="s">
        <v>438</v>
      </c>
      <c r="C79" s="390" t="s">
        <v>5337</v>
      </c>
      <c r="D79" s="341">
        <f>TB!X993-TB!Y993</f>
        <v>3629000</v>
      </c>
      <c r="E79" s="419"/>
      <c r="F79" s="331"/>
      <c r="G79" s="110"/>
      <c r="H79" s="110"/>
      <c r="I79" s="410"/>
      <c r="J79" s="110"/>
      <c r="K79" s="110"/>
      <c r="L79" s="110"/>
      <c r="M79" s="110"/>
      <c r="N79" s="110"/>
      <c r="O79" s="1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.5" customHeight="1">
      <c r="A80" s="110"/>
      <c r="B80" s="15" t="s">
        <v>5338</v>
      </c>
      <c r="C80" s="390" t="s">
        <v>5339</v>
      </c>
      <c r="D80" s="341">
        <f>TB!X994-TB!Y994</f>
        <v>0</v>
      </c>
      <c r="E80" s="419"/>
      <c r="F80" s="344"/>
      <c r="G80" s="110"/>
      <c r="H80" s="110"/>
      <c r="I80" s="410"/>
      <c r="J80" s="110"/>
      <c r="K80" s="110"/>
      <c r="L80" s="110"/>
      <c r="M80" s="110"/>
      <c r="N80" s="110"/>
      <c r="O80" s="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.5" customHeight="1">
      <c r="A81" s="110"/>
      <c r="B81" s="15" t="s">
        <v>3103</v>
      </c>
      <c r="C81" s="340" t="s">
        <v>5340</v>
      </c>
      <c r="D81" s="341">
        <f>TB!X995-TB!Y995</f>
        <v>2000000</v>
      </c>
      <c r="E81" s="419"/>
      <c r="F81" s="344"/>
      <c r="G81" s="110"/>
      <c r="H81" s="110"/>
      <c r="I81" s="410"/>
      <c r="J81" s="110"/>
      <c r="K81" s="110"/>
      <c r="L81" s="110"/>
      <c r="M81" s="110"/>
      <c r="N81" s="110"/>
      <c r="O81" s="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.5" customHeight="1">
      <c r="A82" s="110"/>
      <c r="B82" s="15" t="s">
        <v>5341</v>
      </c>
      <c r="C82" s="340" t="s">
        <v>5342</v>
      </c>
      <c r="D82" s="341">
        <f>TB!X996-TB!Y996</f>
        <v>0</v>
      </c>
      <c r="E82" s="419"/>
      <c r="F82" s="344"/>
      <c r="G82" s="110"/>
      <c r="H82" s="110"/>
      <c r="I82" s="410"/>
      <c r="J82" s="110"/>
      <c r="K82" s="110"/>
      <c r="L82" s="110"/>
      <c r="M82" s="110"/>
      <c r="N82" s="110"/>
      <c r="O82" s="1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.5" customHeight="1">
      <c r="A83" s="110"/>
      <c r="B83" s="15" t="s">
        <v>3196</v>
      </c>
      <c r="C83" s="340" t="s">
        <v>5343</v>
      </c>
      <c r="D83" s="341">
        <f>TB!X997-TB!Y997</f>
        <v>4100000</v>
      </c>
      <c r="E83" s="419"/>
      <c r="F83" s="344"/>
      <c r="G83" s="110"/>
      <c r="H83" s="110"/>
      <c r="I83" s="410"/>
      <c r="J83" s="110"/>
      <c r="K83" s="110"/>
      <c r="L83" s="110"/>
      <c r="M83" s="110"/>
      <c r="N83" s="110"/>
      <c r="O83" s="1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.5" customHeight="1">
      <c r="A84" s="110"/>
      <c r="B84" s="15" t="s">
        <v>5344</v>
      </c>
      <c r="C84" s="340" t="s">
        <v>5345</v>
      </c>
      <c r="D84" s="341">
        <f>TB!X998-TB!Y998</f>
        <v>0</v>
      </c>
      <c r="E84" s="419"/>
      <c r="F84" s="344"/>
      <c r="G84" s="110"/>
      <c r="H84" s="110"/>
      <c r="I84" s="410"/>
      <c r="J84" s="110"/>
      <c r="K84" s="110"/>
      <c r="L84" s="110"/>
      <c r="M84" s="110"/>
      <c r="N84" s="110"/>
      <c r="O84" s="1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.5" customHeight="1">
      <c r="A85" s="110"/>
      <c r="B85" s="15" t="s">
        <v>5346</v>
      </c>
      <c r="C85" s="340" t="s">
        <v>5347</v>
      </c>
      <c r="D85" s="341">
        <f>TB!X999-TB!Y999</f>
        <v>0</v>
      </c>
      <c r="E85" s="419"/>
      <c r="F85" s="344"/>
      <c r="G85" s="110"/>
      <c r="H85" s="110"/>
      <c r="I85" s="410"/>
      <c r="J85" s="110"/>
      <c r="K85" s="110"/>
      <c r="L85" s="110"/>
      <c r="M85" s="110"/>
      <c r="N85" s="110"/>
      <c r="O85" s="1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.5" customHeight="1">
      <c r="A86" s="110"/>
      <c r="B86" s="15" t="s">
        <v>3171</v>
      </c>
      <c r="C86" s="340" t="s">
        <v>5348</v>
      </c>
      <c r="D86" s="341">
        <f>TB!X1000-TB!Y1000</f>
        <v>1000000</v>
      </c>
      <c r="E86" s="419"/>
      <c r="F86" s="344"/>
      <c r="G86" s="110"/>
      <c r="H86" s="110"/>
      <c r="I86" s="410"/>
      <c r="J86" s="110"/>
      <c r="K86" s="110"/>
      <c r="L86" s="110"/>
      <c r="M86" s="110"/>
      <c r="N86" s="110"/>
      <c r="O86" s="1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.5" customHeight="1">
      <c r="A87" s="110"/>
      <c r="B87" s="15" t="s">
        <v>3161</v>
      </c>
      <c r="C87" s="340" t="s">
        <v>5349</v>
      </c>
      <c r="D87" s="341">
        <f>TB!X1001-TB!Y1001</f>
        <v>4958296</v>
      </c>
      <c r="E87" s="419"/>
      <c r="F87" s="344"/>
      <c r="G87" s="110"/>
      <c r="H87" s="110"/>
      <c r="I87" s="410"/>
      <c r="J87" s="110"/>
      <c r="K87" s="110"/>
      <c r="L87" s="110"/>
      <c r="M87" s="110"/>
      <c r="N87" s="110"/>
      <c r="O87" s="1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.5" customHeight="1">
      <c r="A88" s="110"/>
      <c r="B88" s="15" t="s">
        <v>933</v>
      </c>
      <c r="C88" s="340" t="s">
        <v>5350</v>
      </c>
      <c r="D88" s="341">
        <f>TB!X1002-TB!Y1002</f>
        <v>642320</v>
      </c>
      <c r="E88" s="419"/>
      <c r="F88" s="344"/>
      <c r="G88" s="110"/>
      <c r="H88" s="110"/>
      <c r="I88" s="410"/>
      <c r="J88" s="110"/>
      <c r="K88" s="110"/>
      <c r="L88" s="110"/>
      <c r="M88" s="110"/>
      <c r="N88" s="110"/>
      <c r="O88" s="1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.5" customHeight="1">
      <c r="A89" s="351"/>
      <c r="B89" s="127" t="s">
        <v>5351</v>
      </c>
      <c r="C89" s="22" t="s">
        <v>5352</v>
      </c>
      <c r="D89" s="338">
        <f>SUM(D77:D88)</f>
        <v>198385000</v>
      </c>
      <c r="E89" s="419"/>
      <c r="F89" s="344"/>
      <c r="G89" s="110"/>
      <c r="H89" s="110"/>
      <c r="I89" s="410"/>
      <c r="J89" s="110"/>
      <c r="K89" s="110"/>
      <c r="L89" s="110"/>
      <c r="M89" s="110"/>
      <c r="N89" s="110"/>
      <c r="O89" s="1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.5" customHeight="1">
      <c r="A90" s="110"/>
      <c r="B90" s="15"/>
      <c r="C90" s="340"/>
      <c r="D90" s="341"/>
      <c r="E90" s="419"/>
      <c r="F90" s="344"/>
      <c r="G90" s="110"/>
      <c r="H90" s="110"/>
      <c r="I90" s="410"/>
      <c r="J90" s="110"/>
      <c r="K90" s="110"/>
      <c r="L90" s="110"/>
      <c r="M90" s="110"/>
      <c r="N90" s="110"/>
      <c r="O90" s="1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.5" customHeight="1">
      <c r="A91" s="351"/>
      <c r="B91" s="127" t="s">
        <v>5353</v>
      </c>
      <c r="C91" s="22" t="s">
        <v>5354</v>
      </c>
      <c r="D91" s="338"/>
      <c r="E91" s="419"/>
      <c r="F91" s="344"/>
      <c r="G91" s="110"/>
      <c r="H91" s="110"/>
      <c r="I91" s="410"/>
      <c r="J91" s="110"/>
      <c r="K91" s="110"/>
      <c r="L91" s="110"/>
      <c r="M91" s="110"/>
      <c r="N91" s="110"/>
      <c r="O91" s="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.5" customHeight="1">
      <c r="A92" s="110"/>
      <c r="B92" s="15" t="s">
        <v>5355</v>
      </c>
      <c r="C92" s="390" t="s">
        <v>5356</v>
      </c>
      <c r="D92" s="341">
        <f>TB!X1006-TB!Y1006</f>
        <v>0</v>
      </c>
      <c r="E92" s="419"/>
      <c r="F92" s="331"/>
      <c r="G92" s="110"/>
      <c r="H92" s="110"/>
      <c r="I92" s="410"/>
      <c r="J92" s="110"/>
      <c r="K92" s="110"/>
      <c r="L92" s="110"/>
      <c r="M92" s="110"/>
      <c r="N92" s="110"/>
      <c r="O92" s="1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.5" customHeight="1">
      <c r="A93" s="110"/>
      <c r="B93" s="15" t="s">
        <v>1226</v>
      </c>
      <c r="C93" s="390" t="s">
        <v>5357</v>
      </c>
      <c r="D93" s="341">
        <f>TB!X1007-TB!Y1007</f>
        <v>2210267</v>
      </c>
      <c r="E93" s="419"/>
      <c r="F93" s="344"/>
      <c r="G93" s="110"/>
      <c r="H93" s="110"/>
      <c r="I93" s="410"/>
      <c r="J93" s="110"/>
      <c r="K93" s="110"/>
      <c r="L93" s="110"/>
      <c r="M93" s="110"/>
      <c r="N93" s="110"/>
      <c r="O93" s="1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.5" customHeight="1">
      <c r="A94" s="110"/>
      <c r="B94" s="15" t="s">
        <v>1608</v>
      </c>
      <c r="C94" s="390" t="s">
        <v>5358</v>
      </c>
      <c r="D94" s="341">
        <f>TB!X1008-TB!Y1008</f>
        <v>18180000</v>
      </c>
      <c r="E94" s="419"/>
      <c r="F94" s="331"/>
      <c r="G94" s="110"/>
      <c r="H94" s="110"/>
      <c r="I94" s="410"/>
      <c r="J94" s="110"/>
      <c r="K94" s="110"/>
      <c r="L94" s="110"/>
      <c r="M94" s="110"/>
      <c r="N94" s="110"/>
      <c r="O94" s="1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.5" customHeight="1">
      <c r="A95" s="110"/>
      <c r="B95" s="15" t="s">
        <v>2612</v>
      </c>
      <c r="C95" s="340" t="s">
        <v>5359</v>
      </c>
      <c r="D95" s="341">
        <f>TB!X1009-TB!Y1009</f>
        <v>7774010</v>
      </c>
      <c r="E95" s="419"/>
      <c r="F95" s="344"/>
      <c r="G95" s="110"/>
      <c r="H95" s="110"/>
      <c r="I95" s="410"/>
      <c r="J95" s="110"/>
      <c r="K95" s="110"/>
      <c r="L95" s="110"/>
      <c r="M95" s="110"/>
      <c r="N95" s="110"/>
      <c r="O95" s="1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.5" customHeight="1">
      <c r="A96" s="110"/>
      <c r="B96" s="15" t="s">
        <v>3140</v>
      </c>
      <c r="C96" s="340" t="s">
        <v>5360</v>
      </c>
      <c r="D96" s="341">
        <f>TB!X1010-TB!Y1010</f>
        <v>1200000</v>
      </c>
      <c r="E96" s="419"/>
      <c r="F96" s="344"/>
      <c r="G96" s="110"/>
      <c r="H96" s="110"/>
      <c r="I96" s="410"/>
      <c r="J96" s="110"/>
      <c r="K96" s="110"/>
      <c r="L96" s="110"/>
      <c r="M96" s="110"/>
      <c r="N96" s="110"/>
      <c r="O96" s="1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.5" customHeight="1">
      <c r="A97" s="351"/>
      <c r="B97" s="127" t="s">
        <v>5361</v>
      </c>
      <c r="C97" s="22" t="s">
        <v>5362</v>
      </c>
      <c r="D97" s="338">
        <f>SUM(D92:D96)</f>
        <v>29364277</v>
      </c>
      <c r="E97" s="419"/>
      <c r="F97" s="344"/>
      <c r="G97" s="110"/>
      <c r="H97" s="110"/>
      <c r="I97" s="410"/>
      <c r="J97" s="110"/>
      <c r="K97" s="110"/>
      <c r="L97" s="110"/>
      <c r="M97" s="110"/>
      <c r="N97" s="110"/>
      <c r="O97" s="1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.5" customHeight="1">
      <c r="A98" s="110"/>
      <c r="B98" s="15"/>
      <c r="C98" s="340"/>
      <c r="D98" s="341"/>
      <c r="E98" s="419"/>
      <c r="F98" s="344"/>
      <c r="G98" s="110"/>
      <c r="H98" s="110"/>
      <c r="I98" s="410"/>
      <c r="J98" s="110"/>
      <c r="K98" s="110"/>
      <c r="L98" s="110"/>
      <c r="M98" s="110"/>
      <c r="N98" s="110"/>
      <c r="O98" s="1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.5" customHeight="1">
      <c r="A99" s="110"/>
      <c r="B99" s="422" t="s">
        <v>5363</v>
      </c>
      <c r="C99" s="22" t="s">
        <v>5364</v>
      </c>
      <c r="D99" s="341"/>
      <c r="E99" s="419"/>
      <c r="F99" s="344"/>
      <c r="G99" s="110"/>
      <c r="H99" s="110"/>
      <c r="I99" s="410"/>
      <c r="J99" s="110"/>
      <c r="K99" s="110"/>
      <c r="L99" s="110"/>
      <c r="M99" s="110"/>
      <c r="N99" s="110"/>
      <c r="O99" s="1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.5" customHeight="1">
      <c r="A100" s="110"/>
      <c r="B100" s="15" t="s">
        <v>5365</v>
      </c>
      <c r="C100" s="340" t="s">
        <v>5366</v>
      </c>
      <c r="D100" s="341">
        <f>TB!X1014-TB!Y1014</f>
        <v>0</v>
      </c>
      <c r="E100" s="419"/>
      <c r="F100" s="344"/>
      <c r="G100" s="110"/>
      <c r="H100" s="110"/>
      <c r="I100" s="410"/>
      <c r="J100" s="110"/>
      <c r="K100" s="110"/>
      <c r="L100" s="110"/>
      <c r="M100" s="110"/>
      <c r="N100" s="110"/>
      <c r="O100" s="1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.5" customHeight="1">
      <c r="A101" s="110"/>
      <c r="B101" s="15" t="s">
        <v>3777</v>
      </c>
      <c r="C101" s="340" t="s">
        <v>5367</v>
      </c>
      <c r="D101" s="341">
        <f>TB!X1015-TB!Y1015</f>
        <v>1998000</v>
      </c>
      <c r="E101" s="419"/>
      <c r="F101" s="344"/>
      <c r="G101" s="110"/>
      <c r="H101" s="110"/>
      <c r="I101" s="410"/>
      <c r="J101" s="110"/>
      <c r="K101" s="110"/>
      <c r="L101" s="110"/>
      <c r="M101" s="110"/>
      <c r="N101" s="110"/>
      <c r="O101" s="1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.5" customHeight="1">
      <c r="A102" s="110"/>
      <c r="B102" s="15" t="s">
        <v>5368</v>
      </c>
      <c r="C102" s="340" t="s">
        <v>5369</v>
      </c>
      <c r="D102" s="341">
        <f>TB!X1016-TB!Y1016</f>
        <v>0</v>
      </c>
      <c r="E102" s="419"/>
      <c r="F102" s="344"/>
      <c r="G102" s="110"/>
      <c r="H102" s="110"/>
      <c r="I102" s="410"/>
      <c r="J102" s="110"/>
      <c r="K102" s="110"/>
      <c r="L102" s="110"/>
      <c r="M102" s="110"/>
      <c r="N102" s="110"/>
      <c r="O102" s="1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.5" customHeight="1">
      <c r="A103" s="110"/>
      <c r="B103" s="15" t="s">
        <v>5370</v>
      </c>
      <c r="C103" s="340" t="s">
        <v>5371</v>
      </c>
      <c r="D103" s="341">
        <f>TB!X1017-TB!Y1017</f>
        <v>0</v>
      </c>
      <c r="E103" s="419"/>
      <c r="F103" s="344"/>
      <c r="G103" s="110"/>
      <c r="H103" s="110"/>
      <c r="I103" s="410"/>
      <c r="J103" s="110"/>
      <c r="K103" s="110"/>
      <c r="L103" s="110"/>
      <c r="M103" s="110"/>
      <c r="N103" s="110"/>
      <c r="O103" s="1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.5" customHeight="1">
      <c r="A104" s="110"/>
      <c r="B104" s="15" t="s">
        <v>801</v>
      </c>
      <c r="C104" s="340" t="s">
        <v>5372</v>
      </c>
      <c r="D104" s="341">
        <f>TB!X1018-TB!Y1018</f>
        <v>2810000</v>
      </c>
      <c r="E104" s="419"/>
      <c r="F104" s="344"/>
      <c r="G104" s="110"/>
      <c r="H104" s="110"/>
      <c r="I104" s="410"/>
      <c r="J104" s="110"/>
      <c r="K104" s="110"/>
      <c r="L104" s="110"/>
      <c r="M104" s="110"/>
      <c r="N104" s="110"/>
      <c r="O104" s="1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.5" customHeight="1">
      <c r="A105" s="110"/>
      <c r="B105" s="15" t="s">
        <v>5373</v>
      </c>
      <c r="C105" s="340" t="s">
        <v>5374</v>
      </c>
      <c r="D105" s="341">
        <f>TB!X1019-TB!Y1019</f>
        <v>0</v>
      </c>
      <c r="E105" s="419"/>
      <c r="F105" s="344"/>
      <c r="G105" s="110"/>
      <c r="H105" s="110"/>
      <c r="I105" s="410"/>
      <c r="J105" s="110"/>
      <c r="K105" s="110"/>
      <c r="L105" s="110"/>
      <c r="M105" s="110"/>
      <c r="N105" s="110"/>
      <c r="O105" s="1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.5" customHeight="1">
      <c r="A106" s="110"/>
      <c r="B106" s="15" t="s">
        <v>5375</v>
      </c>
      <c r="C106" s="340" t="s">
        <v>5376</v>
      </c>
      <c r="D106" s="341">
        <f>TB!X1020-TB!Y1020</f>
        <v>0</v>
      </c>
      <c r="E106" s="419"/>
      <c r="F106" s="344"/>
      <c r="G106" s="110"/>
      <c r="H106" s="110"/>
      <c r="I106" s="410"/>
      <c r="J106" s="110"/>
      <c r="K106" s="110"/>
      <c r="L106" s="110"/>
      <c r="M106" s="110"/>
      <c r="N106" s="110"/>
      <c r="O106" s="1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.5" customHeight="1">
      <c r="A107" s="110"/>
      <c r="B107" s="422" t="s">
        <v>5377</v>
      </c>
      <c r="C107" s="22" t="s">
        <v>5378</v>
      </c>
      <c r="D107" s="338">
        <f>SUM(D100:D106)</f>
        <v>4808000</v>
      </c>
      <c r="E107" s="419"/>
      <c r="F107" s="344"/>
      <c r="G107" s="110"/>
      <c r="H107" s="110"/>
      <c r="I107" s="410"/>
      <c r="J107" s="110"/>
      <c r="K107" s="110"/>
      <c r="L107" s="110"/>
      <c r="M107" s="110"/>
      <c r="N107" s="110"/>
      <c r="O107" s="1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.5" customHeight="1">
      <c r="A108" s="110"/>
      <c r="B108" s="15"/>
      <c r="C108" s="340"/>
      <c r="D108" s="341"/>
      <c r="E108" s="419"/>
      <c r="F108" s="344"/>
      <c r="G108" s="110"/>
      <c r="H108" s="110"/>
      <c r="I108" s="410"/>
      <c r="J108" s="110"/>
      <c r="K108" s="110"/>
      <c r="L108" s="110"/>
      <c r="M108" s="110"/>
      <c r="N108" s="110"/>
      <c r="O108" s="1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.5" customHeight="1">
      <c r="A109" s="110"/>
      <c r="B109" s="15"/>
      <c r="C109" s="22" t="s">
        <v>5379</v>
      </c>
      <c r="D109" s="338">
        <f>D17-D29-D44-D52-D74-D89-D97-D107</f>
        <v>117298718.21884966</v>
      </c>
      <c r="E109" s="419"/>
      <c r="F109" s="331"/>
      <c r="G109" s="110"/>
      <c r="H109" s="110"/>
      <c r="I109" s="410"/>
      <c r="J109" s="110"/>
      <c r="K109" s="110"/>
      <c r="L109" s="110"/>
      <c r="M109" s="110"/>
      <c r="N109" s="110"/>
      <c r="O109" s="1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.5" customHeight="1">
      <c r="A110" s="110"/>
      <c r="B110" s="15"/>
      <c r="C110" s="340"/>
      <c r="D110" s="341"/>
      <c r="E110" s="419"/>
      <c r="F110" s="344"/>
      <c r="G110" s="110"/>
      <c r="H110" s="110"/>
      <c r="I110" s="410"/>
      <c r="J110" s="110"/>
      <c r="K110" s="110"/>
      <c r="L110" s="110"/>
      <c r="M110" s="110"/>
      <c r="N110" s="110"/>
      <c r="O110" s="1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.5" customHeight="1">
      <c r="A111" s="351"/>
      <c r="B111" s="127" t="s">
        <v>5380</v>
      </c>
      <c r="C111" s="418" t="s">
        <v>5381</v>
      </c>
      <c r="D111" s="338"/>
      <c r="E111" s="419"/>
      <c r="F111" s="344"/>
      <c r="G111" s="110"/>
      <c r="H111" s="110"/>
      <c r="I111" s="410"/>
      <c r="J111" s="110"/>
      <c r="K111" s="110"/>
      <c r="L111" s="110"/>
      <c r="M111" s="110"/>
      <c r="N111" s="110"/>
      <c r="O111" s="1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.5" customHeight="1">
      <c r="A112" s="110"/>
      <c r="B112" s="15" t="s">
        <v>3581</v>
      </c>
      <c r="C112" s="340" t="s">
        <v>3582</v>
      </c>
      <c r="D112" s="341">
        <f>TB!X1026-TB!Y1026</f>
        <v>65000000</v>
      </c>
      <c r="E112" s="419"/>
      <c r="F112" s="344"/>
      <c r="G112" s="110"/>
      <c r="H112" s="110"/>
      <c r="I112" s="410"/>
      <c r="J112" s="110"/>
      <c r="K112" s="110"/>
      <c r="L112" s="110"/>
      <c r="M112" s="110"/>
      <c r="N112" s="110"/>
      <c r="O112" s="1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.5" customHeight="1">
      <c r="A113" s="110"/>
      <c r="B113" s="15" t="s">
        <v>3584</v>
      </c>
      <c r="C113" s="340" t="s">
        <v>3585</v>
      </c>
      <c r="D113" s="341">
        <f>TB!X1027-TB!Y1027</f>
        <v>12104623.216666667</v>
      </c>
      <c r="E113" s="419"/>
      <c r="F113" s="331"/>
      <c r="G113" s="110"/>
      <c r="H113" s="110"/>
      <c r="I113" s="410"/>
      <c r="J113" s="110"/>
      <c r="K113" s="110"/>
      <c r="L113" s="110"/>
      <c r="M113" s="110"/>
      <c r="N113" s="110"/>
      <c r="O113" s="1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.5" customHeight="1">
      <c r="A114" s="110"/>
      <c r="B114" s="178">
        <v>804782</v>
      </c>
      <c r="C114" s="340" t="s">
        <v>3587</v>
      </c>
      <c r="D114" s="341">
        <f>TB!X1028-TB!Y1028</f>
        <v>31561415.395833321</v>
      </c>
      <c r="E114" s="419"/>
      <c r="F114" s="344"/>
      <c r="G114" s="110"/>
      <c r="H114" s="110"/>
      <c r="I114" s="410"/>
      <c r="J114" s="110"/>
      <c r="K114" s="110"/>
      <c r="L114" s="110"/>
      <c r="M114" s="110"/>
      <c r="N114" s="110"/>
      <c r="O114" s="1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.5" customHeight="1">
      <c r="A115" s="110"/>
      <c r="B115" s="15" t="s">
        <v>3588</v>
      </c>
      <c r="C115" s="340" t="s">
        <v>3589</v>
      </c>
      <c r="D115" s="341">
        <f>TB!X1029-TB!Y1029</f>
        <v>7885536.666666666</v>
      </c>
      <c r="E115" s="419"/>
      <c r="F115" s="344"/>
      <c r="G115" s="110"/>
      <c r="H115" s="110"/>
      <c r="I115" s="410"/>
      <c r="J115" s="110"/>
      <c r="K115" s="110"/>
      <c r="L115" s="110"/>
      <c r="M115" s="110"/>
      <c r="N115" s="110"/>
      <c r="O115" s="1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.5" customHeight="1">
      <c r="A116" s="110"/>
      <c r="B116" s="15" t="s">
        <v>5382</v>
      </c>
      <c r="C116" s="340" t="s">
        <v>5383</v>
      </c>
      <c r="D116" s="341">
        <f>TB!X1030-TB!Y1030</f>
        <v>0</v>
      </c>
      <c r="E116" s="419"/>
      <c r="F116" s="344"/>
      <c r="G116" s="110"/>
      <c r="H116" s="110"/>
      <c r="I116" s="410"/>
      <c r="J116" s="110"/>
      <c r="K116" s="110"/>
      <c r="L116" s="110"/>
      <c r="M116" s="110"/>
      <c r="N116" s="110"/>
      <c r="O116" s="1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.5" customHeight="1">
      <c r="A117" s="110"/>
      <c r="B117" s="15" t="s">
        <v>3590</v>
      </c>
      <c r="C117" s="340" t="s">
        <v>3591</v>
      </c>
      <c r="D117" s="341">
        <f>TB!X1031-TB!Y1031</f>
        <v>1900000</v>
      </c>
      <c r="E117" s="419"/>
      <c r="F117" s="344"/>
      <c r="G117" s="110"/>
      <c r="H117" s="110"/>
      <c r="I117" s="410"/>
      <c r="J117" s="110"/>
      <c r="K117" s="110"/>
      <c r="L117" s="110"/>
      <c r="M117" s="110"/>
      <c r="N117" s="110"/>
      <c r="O117" s="1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.5" customHeight="1">
      <c r="A118" s="110"/>
      <c r="B118" s="15" t="s">
        <v>3592</v>
      </c>
      <c r="C118" s="340" t="s">
        <v>3593</v>
      </c>
      <c r="D118" s="341">
        <f>TB!X1032-TB!Y1032</f>
        <v>643414.58333333326</v>
      </c>
      <c r="E118" s="419"/>
      <c r="F118" s="344"/>
      <c r="G118" s="110"/>
      <c r="H118" s="110"/>
      <c r="I118" s="410"/>
      <c r="J118" s="110"/>
      <c r="K118" s="110"/>
      <c r="L118" s="110"/>
      <c r="M118" s="110"/>
      <c r="N118" s="110"/>
      <c r="O118" s="1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.5" customHeight="1">
      <c r="A119" s="351"/>
      <c r="B119" s="15" t="s">
        <v>3594</v>
      </c>
      <c r="C119" s="390" t="s">
        <v>3595</v>
      </c>
      <c r="D119" s="341">
        <f>TB!X1033-TB!Y1033</f>
        <v>4642875</v>
      </c>
      <c r="E119" s="419"/>
      <c r="F119" s="344"/>
      <c r="G119" s="110"/>
      <c r="H119" s="110"/>
      <c r="I119" s="410"/>
      <c r="J119" s="110"/>
      <c r="K119" s="110"/>
      <c r="L119" s="110"/>
      <c r="M119" s="110"/>
      <c r="N119" s="110"/>
      <c r="O119" s="1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.5" customHeight="1">
      <c r="A120" s="351"/>
      <c r="B120" s="127" t="s">
        <v>5384</v>
      </c>
      <c r="C120" s="22" t="s">
        <v>5385</v>
      </c>
      <c r="D120" s="338">
        <f>SUM(D112:D119)</f>
        <v>123737864.86249998</v>
      </c>
      <c r="E120" s="419"/>
      <c r="F120" s="344"/>
      <c r="G120" s="110"/>
      <c r="H120" s="110"/>
      <c r="I120" s="410"/>
      <c r="J120" s="110"/>
      <c r="K120" s="110"/>
      <c r="L120" s="110"/>
      <c r="M120" s="110"/>
      <c r="N120" s="110"/>
      <c r="O120" s="1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.5" customHeight="1">
      <c r="A121" s="110"/>
      <c r="B121" s="15"/>
      <c r="C121" s="340"/>
      <c r="D121" s="341"/>
      <c r="E121" s="419"/>
      <c r="F121" s="344"/>
      <c r="G121" s="110"/>
      <c r="H121" s="110"/>
      <c r="I121" s="410"/>
      <c r="J121" s="110"/>
      <c r="K121" s="110"/>
      <c r="L121" s="110"/>
      <c r="M121" s="110"/>
      <c r="N121" s="110"/>
      <c r="O121" s="1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.5" customHeight="1">
      <c r="A122" s="351"/>
      <c r="B122" s="127" t="s">
        <v>5386</v>
      </c>
      <c r="C122" s="22" t="s">
        <v>5387</v>
      </c>
      <c r="D122" s="338"/>
      <c r="E122" s="419"/>
      <c r="F122" s="331"/>
      <c r="G122" s="110"/>
      <c r="H122" s="110"/>
      <c r="I122" s="410"/>
      <c r="J122" s="110"/>
      <c r="K122" s="110"/>
      <c r="L122" s="110"/>
      <c r="M122" s="110"/>
      <c r="N122" s="110"/>
      <c r="O122" s="1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.5" customHeight="1">
      <c r="A123" s="110"/>
      <c r="B123" s="15" t="s">
        <v>1721</v>
      </c>
      <c r="C123" s="390" t="s">
        <v>5388</v>
      </c>
      <c r="D123" s="341">
        <f>TB!Y1038-TB!X1038</f>
        <v>22743.93</v>
      </c>
      <c r="E123" s="419"/>
      <c r="F123" s="344"/>
      <c r="G123" s="110"/>
      <c r="H123" s="110"/>
      <c r="I123" s="410"/>
      <c r="J123" s="110"/>
      <c r="K123" s="110"/>
      <c r="L123" s="110"/>
      <c r="M123" s="110"/>
      <c r="N123" s="110"/>
      <c r="O123" s="1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.5" customHeight="1">
      <c r="A124" s="110"/>
      <c r="B124" s="15" t="s">
        <v>5389</v>
      </c>
      <c r="C124" s="390" t="s">
        <v>5390</v>
      </c>
      <c r="D124" s="341">
        <f>TB!Y1039-TB!X1039</f>
        <v>0</v>
      </c>
      <c r="E124" s="419"/>
      <c r="F124" s="331"/>
      <c r="G124" s="110"/>
      <c r="H124" s="110"/>
      <c r="I124" s="410"/>
      <c r="J124" s="110"/>
      <c r="K124" s="110"/>
      <c r="L124" s="110"/>
      <c r="M124" s="110"/>
      <c r="N124" s="110"/>
      <c r="O124" s="1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.5" customHeight="1">
      <c r="A125" s="110"/>
      <c r="B125" s="15" t="s">
        <v>869</v>
      </c>
      <c r="C125" s="390" t="s">
        <v>5391</v>
      </c>
      <c r="D125" s="341">
        <f>TB!Y1040-TB!X1040</f>
        <v>170000</v>
      </c>
      <c r="E125" s="419"/>
      <c r="F125" s="344"/>
      <c r="G125" s="110"/>
      <c r="H125" s="110"/>
      <c r="I125" s="410"/>
      <c r="J125" s="110"/>
      <c r="K125" s="110"/>
      <c r="L125" s="110"/>
      <c r="M125" s="110"/>
      <c r="N125" s="110"/>
      <c r="O125" s="1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.5" customHeight="1">
      <c r="A126" s="110"/>
      <c r="B126" s="15" t="s">
        <v>5392</v>
      </c>
      <c r="C126" s="390" t="s">
        <v>5393</v>
      </c>
      <c r="D126" s="341">
        <f>TB!Y1041-TB!X1041</f>
        <v>0</v>
      </c>
      <c r="E126" s="419"/>
      <c r="F126" s="344"/>
      <c r="G126" s="110"/>
      <c r="H126" s="110"/>
      <c r="I126" s="410"/>
      <c r="J126" s="110"/>
      <c r="K126" s="110"/>
      <c r="L126" s="110"/>
      <c r="M126" s="110"/>
      <c r="N126" s="110"/>
      <c r="O126" s="1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.5" customHeight="1">
      <c r="A127" s="351"/>
      <c r="B127" s="15" t="s">
        <v>5394</v>
      </c>
      <c r="C127" s="390" t="s">
        <v>5395</v>
      </c>
      <c r="D127" s="341">
        <f>TB!Y1042-TB!X1042</f>
        <v>0</v>
      </c>
      <c r="E127" s="419"/>
      <c r="F127" s="344"/>
      <c r="G127" s="110"/>
      <c r="H127" s="110"/>
      <c r="I127" s="410"/>
      <c r="J127" s="110"/>
      <c r="K127" s="110"/>
      <c r="L127" s="110"/>
      <c r="M127" s="110"/>
      <c r="N127" s="110"/>
      <c r="O127" s="1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.5" customHeight="1">
      <c r="A128" s="110"/>
      <c r="B128" s="127" t="s">
        <v>5396</v>
      </c>
      <c r="C128" s="22" t="s">
        <v>5397</v>
      </c>
      <c r="D128" s="338">
        <f>SUM(D123:D127)</f>
        <v>192743.93</v>
      </c>
      <c r="E128" s="419"/>
      <c r="F128" s="344"/>
      <c r="G128" s="110"/>
      <c r="H128" s="110"/>
      <c r="I128" s="410"/>
      <c r="J128" s="110"/>
      <c r="K128" s="110"/>
      <c r="L128" s="110"/>
      <c r="M128" s="110"/>
      <c r="N128" s="110"/>
      <c r="O128" s="1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.5" customHeight="1">
      <c r="A129" s="110"/>
      <c r="B129" s="15"/>
      <c r="C129" s="340"/>
      <c r="D129" s="341"/>
      <c r="E129" s="419"/>
      <c r="F129" s="331"/>
      <c r="G129" s="110"/>
      <c r="H129" s="110"/>
      <c r="I129" s="410"/>
      <c r="J129" s="110"/>
      <c r="K129" s="110"/>
      <c r="L129" s="110"/>
      <c r="M129" s="110"/>
      <c r="N129" s="110"/>
      <c r="O129" s="1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.5" customHeight="1">
      <c r="A130" s="351"/>
      <c r="B130" s="127" t="s">
        <v>5398</v>
      </c>
      <c r="C130" s="22" t="s">
        <v>5399</v>
      </c>
      <c r="D130" s="338"/>
      <c r="E130" s="419"/>
      <c r="F130" s="344"/>
      <c r="G130" s="110"/>
      <c r="H130" s="110"/>
      <c r="I130" s="410"/>
      <c r="J130" s="110"/>
      <c r="K130" s="110"/>
      <c r="L130" s="110"/>
      <c r="M130" s="110"/>
      <c r="N130" s="110"/>
      <c r="O130" s="1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.5" customHeight="1">
      <c r="A131" s="110"/>
      <c r="B131" s="15" t="s">
        <v>480</v>
      </c>
      <c r="C131" s="390" t="s">
        <v>5400</v>
      </c>
      <c r="D131" s="341">
        <f>TB!X1046-TB!Y1046</f>
        <v>54484524.714285716</v>
      </c>
      <c r="E131" s="419"/>
      <c r="F131" s="344"/>
      <c r="G131" s="110"/>
      <c r="H131" s="110"/>
      <c r="I131" s="410"/>
      <c r="J131" s="110"/>
      <c r="K131" s="110"/>
      <c r="L131" s="110"/>
      <c r="M131" s="110"/>
      <c r="N131" s="110"/>
      <c r="O131" s="1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.5" customHeight="1">
      <c r="A132" s="110"/>
      <c r="B132" s="15" t="s">
        <v>124</v>
      </c>
      <c r="C132" s="390" t="s">
        <v>1447</v>
      </c>
      <c r="D132" s="341">
        <f>TB!X1047-TB!Y1047</f>
        <v>35035270.107999973</v>
      </c>
      <c r="E132" s="419"/>
      <c r="F132" s="331"/>
      <c r="G132" s="110"/>
      <c r="H132" s="110"/>
      <c r="I132" s="410"/>
      <c r="J132" s="110"/>
      <c r="K132" s="110"/>
      <c r="L132" s="110"/>
      <c r="M132" s="110"/>
      <c r="N132" s="110"/>
      <c r="O132" s="1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.5" customHeight="1">
      <c r="A133" s="110"/>
      <c r="B133" s="15" t="s">
        <v>5401</v>
      </c>
      <c r="C133" s="390" t="s">
        <v>5402</v>
      </c>
      <c r="D133" s="341">
        <f>TB!X1048-TB!Y1048</f>
        <v>0</v>
      </c>
      <c r="E133" s="419"/>
      <c r="F133" s="344"/>
      <c r="G133" s="110"/>
      <c r="H133" s="110"/>
      <c r="I133" s="410"/>
      <c r="J133" s="110"/>
      <c r="K133" s="110"/>
      <c r="L133" s="110"/>
      <c r="M133" s="110"/>
      <c r="N133" s="110"/>
      <c r="O133" s="1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.5" customHeight="1">
      <c r="A134" s="110"/>
      <c r="B134" s="15" t="s">
        <v>1216</v>
      </c>
      <c r="C134" s="390" t="s">
        <v>5403</v>
      </c>
      <c r="D134" s="341">
        <f>TB!X1049-TB!Y1049</f>
        <v>8416117</v>
      </c>
      <c r="E134" s="419"/>
      <c r="F134" s="344"/>
      <c r="G134" s="110"/>
      <c r="H134" s="110"/>
      <c r="I134" s="410"/>
      <c r="J134" s="110"/>
      <c r="K134" s="110"/>
      <c r="L134" s="110"/>
      <c r="M134" s="110"/>
      <c r="N134" s="110"/>
      <c r="O134" s="1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.5" customHeight="1">
      <c r="A135" s="110"/>
      <c r="B135" s="15" t="s">
        <v>5404</v>
      </c>
      <c r="C135" s="390" t="s">
        <v>5405</v>
      </c>
      <c r="D135" s="341">
        <f>TB!X1050-TB!Y1050</f>
        <v>0</v>
      </c>
      <c r="E135" s="419"/>
      <c r="F135" s="344"/>
      <c r="G135" s="110"/>
      <c r="H135" s="110"/>
      <c r="I135" s="410"/>
      <c r="J135" s="110"/>
      <c r="K135" s="110"/>
      <c r="L135" s="110"/>
      <c r="M135" s="110"/>
      <c r="N135" s="110"/>
      <c r="O135" s="1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.5" customHeight="1">
      <c r="A136" s="110"/>
      <c r="B136" s="127" t="s">
        <v>5406</v>
      </c>
      <c r="C136" s="22" t="s">
        <v>5399</v>
      </c>
      <c r="D136" s="338">
        <f>SUM(D131:D135)</f>
        <v>97935911.822285682</v>
      </c>
      <c r="E136" s="419"/>
      <c r="F136" s="344"/>
      <c r="G136" s="110"/>
      <c r="H136" s="110"/>
      <c r="I136" s="410"/>
      <c r="J136" s="110"/>
      <c r="K136" s="110"/>
      <c r="L136" s="110"/>
      <c r="M136" s="110"/>
      <c r="N136" s="110"/>
      <c r="O136" s="1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.5" customHeight="1">
      <c r="A137" s="110"/>
      <c r="B137" s="423"/>
      <c r="C137" s="25"/>
      <c r="D137" s="424"/>
      <c r="E137" s="419"/>
      <c r="F137" s="344"/>
      <c r="G137" s="110"/>
      <c r="H137" s="110"/>
      <c r="I137" s="410"/>
      <c r="J137" s="110"/>
      <c r="K137" s="110"/>
      <c r="L137" s="110"/>
      <c r="M137" s="110"/>
      <c r="N137" s="110"/>
      <c r="O137" s="1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.5" customHeight="1">
      <c r="A138" s="351"/>
      <c r="B138" s="121"/>
      <c r="C138" s="425" t="s">
        <v>5414</v>
      </c>
      <c r="D138" s="426">
        <f>D109-D120+D128-D136</f>
        <v>-104182314.535936</v>
      </c>
      <c r="E138" s="419"/>
      <c r="F138" s="344"/>
      <c r="G138" s="110"/>
      <c r="H138" s="110"/>
      <c r="I138" s="410"/>
      <c r="J138" s="110"/>
      <c r="K138" s="110"/>
      <c r="L138" s="110"/>
      <c r="M138" s="110"/>
      <c r="N138" s="110"/>
      <c r="O138" s="1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.5" customHeight="1">
      <c r="A139" s="110"/>
      <c r="B139" s="4"/>
      <c r="C139" s="4"/>
      <c r="D139" s="110"/>
      <c r="E139" s="110"/>
      <c r="F139" s="344"/>
      <c r="G139" s="110"/>
      <c r="H139" s="110"/>
      <c r="I139" s="410"/>
      <c r="J139" s="110"/>
      <c r="K139" s="110"/>
      <c r="L139" s="110"/>
      <c r="M139" s="110"/>
      <c r="N139" s="110"/>
      <c r="O139" s="1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" customHeight="1">
      <c r="A140" s="110"/>
      <c r="B140" s="4"/>
      <c r="C140" s="4"/>
      <c r="D140" s="410"/>
      <c r="E140" s="110"/>
      <c r="F140" s="344"/>
      <c r="G140" s="110"/>
      <c r="H140" s="110"/>
      <c r="I140" s="410"/>
      <c r="J140" s="110"/>
      <c r="K140" s="110"/>
      <c r="L140" s="110"/>
      <c r="M140" s="110"/>
      <c r="N140" s="110"/>
      <c r="O140" s="1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" customHeight="1">
      <c r="A141" s="110"/>
      <c r="B141" s="4"/>
      <c r="C141" s="4"/>
      <c r="D141" s="110"/>
      <c r="E141" s="110"/>
      <c r="F141" s="331"/>
      <c r="G141" s="110"/>
      <c r="H141" s="110"/>
      <c r="I141" s="410"/>
      <c r="J141" s="110"/>
      <c r="K141" s="110"/>
      <c r="L141" s="110"/>
      <c r="M141" s="110"/>
      <c r="N141" s="110"/>
      <c r="O141" s="1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" customHeight="1">
      <c r="A142" s="110"/>
      <c r="B142" s="4"/>
      <c r="C142" s="4"/>
      <c r="D142" s="110"/>
      <c r="E142" s="110"/>
      <c r="F142" s="344"/>
      <c r="G142" s="110"/>
      <c r="H142" s="110"/>
      <c r="I142" s="410"/>
      <c r="J142" s="110"/>
      <c r="K142" s="110"/>
      <c r="L142" s="110"/>
      <c r="M142" s="110"/>
      <c r="N142" s="110"/>
      <c r="O142" s="1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" customHeight="1">
      <c r="A143" s="110"/>
      <c r="B143" s="4"/>
      <c r="C143" s="4"/>
      <c r="D143" s="110"/>
      <c r="E143" s="110"/>
      <c r="F143" s="344"/>
      <c r="G143" s="110"/>
      <c r="H143" s="110"/>
      <c r="I143" s="410"/>
      <c r="J143" s="110"/>
      <c r="K143" s="110"/>
      <c r="L143" s="110"/>
      <c r="M143" s="110"/>
      <c r="N143" s="110"/>
      <c r="O143" s="1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" customHeight="1">
      <c r="A144" s="110"/>
      <c r="B144" s="4"/>
      <c r="C144" s="4"/>
      <c r="D144" s="110"/>
      <c r="E144" s="110"/>
      <c r="F144" s="344"/>
      <c r="G144" s="110"/>
      <c r="H144" s="110"/>
      <c r="I144" s="410"/>
      <c r="J144" s="110"/>
      <c r="K144" s="110"/>
      <c r="L144" s="110"/>
      <c r="M144" s="110"/>
      <c r="N144" s="110"/>
      <c r="O144" s="1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" customHeight="1">
      <c r="A145" s="110"/>
      <c r="B145" s="4"/>
      <c r="C145" s="4"/>
      <c r="D145" s="110"/>
      <c r="E145" s="110"/>
      <c r="F145" s="344"/>
      <c r="G145" s="110"/>
      <c r="H145" s="110"/>
      <c r="I145" s="410"/>
      <c r="J145" s="110"/>
      <c r="K145" s="110"/>
      <c r="L145" s="110"/>
      <c r="M145" s="110"/>
      <c r="N145" s="110"/>
      <c r="O145" s="1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" customHeight="1">
      <c r="A146" s="110"/>
      <c r="B146" s="4"/>
      <c r="C146" s="4"/>
      <c r="D146" s="110"/>
      <c r="E146" s="110"/>
      <c r="F146" s="344"/>
      <c r="G146" s="110"/>
      <c r="H146" s="110"/>
      <c r="I146" s="410"/>
      <c r="J146" s="110"/>
      <c r="K146" s="110"/>
      <c r="L146" s="110"/>
      <c r="M146" s="110"/>
      <c r="N146" s="110"/>
      <c r="O146" s="1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" customHeight="1">
      <c r="A147" s="110"/>
      <c r="B147" s="4"/>
      <c r="C147" s="4"/>
      <c r="D147" s="110"/>
      <c r="E147" s="110"/>
      <c r="F147" s="344"/>
      <c r="G147" s="110"/>
      <c r="H147" s="110"/>
      <c r="I147" s="410"/>
      <c r="J147" s="110"/>
      <c r="K147" s="110"/>
      <c r="L147" s="110"/>
      <c r="M147" s="110"/>
      <c r="N147" s="110"/>
      <c r="O147" s="1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" customHeight="1">
      <c r="A148" s="110"/>
      <c r="B148" s="4"/>
      <c r="C148" s="4"/>
      <c r="D148" s="110"/>
      <c r="E148" s="110"/>
      <c r="F148" s="344"/>
      <c r="G148" s="110"/>
      <c r="H148" s="110"/>
      <c r="I148" s="410"/>
      <c r="J148" s="110"/>
      <c r="K148" s="110"/>
      <c r="L148" s="110"/>
      <c r="M148" s="110"/>
      <c r="N148" s="110"/>
      <c r="O148" s="1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" customHeight="1">
      <c r="A149" s="110"/>
      <c r="B149" s="4"/>
      <c r="C149" s="4"/>
      <c r="D149" s="110"/>
      <c r="E149" s="110"/>
      <c r="F149" s="344"/>
      <c r="G149" s="110"/>
      <c r="H149" s="110"/>
      <c r="I149" s="410"/>
      <c r="J149" s="110"/>
      <c r="K149" s="110"/>
      <c r="L149" s="110"/>
      <c r="M149" s="110"/>
      <c r="N149" s="110"/>
      <c r="O149" s="1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" customHeight="1">
      <c r="A150" s="110"/>
      <c r="B150" s="4"/>
      <c r="C150" s="4"/>
      <c r="D150" s="110"/>
      <c r="E150" s="110"/>
      <c r="F150" s="344"/>
      <c r="G150" s="110"/>
      <c r="H150" s="110"/>
      <c r="I150" s="410"/>
      <c r="J150" s="110"/>
      <c r="K150" s="110"/>
      <c r="L150" s="110"/>
      <c r="M150" s="110"/>
      <c r="N150" s="110"/>
      <c r="O150" s="1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" customHeight="1">
      <c r="A151" s="110"/>
      <c r="B151" s="4"/>
      <c r="C151" s="4"/>
      <c r="D151" s="110"/>
      <c r="E151" s="110"/>
      <c r="F151" s="344"/>
      <c r="G151" s="110"/>
      <c r="H151" s="110"/>
      <c r="I151" s="410"/>
      <c r="J151" s="110"/>
      <c r="K151" s="110"/>
      <c r="L151" s="110"/>
      <c r="M151" s="110"/>
      <c r="N151" s="110"/>
      <c r="O151" s="1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" customHeight="1">
      <c r="A152" s="110"/>
      <c r="B152" s="4"/>
      <c r="C152" s="4"/>
      <c r="D152" s="110"/>
      <c r="E152" s="110"/>
      <c r="F152" s="344"/>
      <c r="G152" s="110"/>
      <c r="H152" s="110"/>
      <c r="I152" s="410"/>
      <c r="J152" s="110"/>
      <c r="K152" s="110"/>
      <c r="L152" s="110"/>
      <c r="M152" s="110"/>
      <c r="N152" s="110"/>
      <c r="O152" s="1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" customHeight="1">
      <c r="A153" s="110"/>
      <c r="B153" s="4"/>
      <c r="C153" s="4"/>
      <c r="D153" s="110"/>
      <c r="E153" s="110"/>
      <c r="F153" s="344"/>
      <c r="G153" s="110"/>
      <c r="H153" s="110"/>
      <c r="I153" s="410"/>
      <c r="J153" s="110"/>
      <c r="K153" s="110"/>
      <c r="L153" s="110"/>
      <c r="M153" s="110"/>
      <c r="N153" s="110"/>
      <c r="O153" s="1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" customHeight="1">
      <c r="A154" s="110"/>
      <c r="B154" s="4"/>
      <c r="C154" s="4" t="s">
        <v>3842</v>
      </c>
      <c r="D154" s="110"/>
      <c r="E154" s="110"/>
      <c r="F154" s="344"/>
      <c r="G154" s="110"/>
      <c r="H154" s="110"/>
      <c r="I154" s="410"/>
      <c r="J154" s="110"/>
      <c r="K154" s="110"/>
      <c r="L154" s="110"/>
      <c r="M154" s="110"/>
      <c r="N154" s="110"/>
      <c r="O154" s="1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" customHeight="1">
      <c r="A155" s="110"/>
      <c r="B155" s="4"/>
      <c r="C155" s="4"/>
      <c r="D155" s="110"/>
      <c r="E155" s="110"/>
      <c r="F155" s="344"/>
      <c r="G155" s="110"/>
      <c r="H155" s="110"/>
      <c r="I155" s="410"/>
      <c r="J155" s="110"/>
      <c r="K155" s="110"/>
      <c r="L155" s="110"/>
      <c r="M155" s="110"/>
      <c r="N155" s="110"/>
      <c r="O155" s="1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" customHeight="1">
      <c r="A156" s="110"/>
      <c r="B156" s="110"/>
      <c r="C156" s="110"/>
      <c r="D156" s="110"/>
      <c r="E156" s="110"/>
      <c r="F156" s="344"/>
      <c r="G156" s="110"/>
      <c r="H156" s="110"/>
      <c r="I156" s="410"/>
      <c r="J156" s="110"/>
      <c r="K156" s="110"/>
      <c r="L156" s="110"/>
      <c r="M156" s="110"/>
      <c r="N156" s="110"/>
      <c r="O156" s="1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99"/>
      <c r="G157" s="4"/>
      <c r="H157" s="4"/>
      <c r="I157" s="134"/>
      <c r="J157" s="4"/>
      <c r="K157" s="4"/>
      <c r="L157" s="4"/>
      <c r="M157" s="4"/>
      <c r="N157" s="4"/>
      <c r="O157" s="1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99"/>
      <c r="G158" s="4"/>
      <c r="H158" s="4"/>
      <c r="I158" s="134"/>
      <c r="J158" s="4"/>
      <c r="K158" s="4"/>
      <c r="L158" s="4"/>
      <c r="M158" s="4"/>
      <c r="N158" s="4"/>
      <c r="O158" s="1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99"/>
      <c r="G159" s="4"/>
      <c r="H159" s="4"/>
      <c r="I159" s="134"/>
      <c r="J159" s="4"/>
      <c r="K159" s="4"/>
      <c r="L159" s="4"/>
      <c r="M159" s="4"/>
      <c r="N159" s="4"/>
      <c r="O159" s="1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99"/>
      <c r="G160" s="4"/>
      <c r="H160" s="4"/>
      <c r="I160" s="134"/>
      <c r="J160" s="4"/>
      <c r="K160" s="4"/>
      <c r="L160" s="4"/>
      <c r="M160" s="4"/>
      <c r="N160" s="4"/>
      <c r="O160" s="1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99"/>
      <c r="G161" s="4"/>
      <c r="H161" s="4"/>
      <c r="I161" s="134"/>
      <c r="J161" s="4"/>
      <c r="K161" s="4"/>
      <c r="L161" s="4"/>
      <c r="M161" s="4"/>
      <c r="N161" s="4"/>
      <c r="O161" s="1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99"/>
      <c r="G162" s="4"/>
      <c r="H162" s="4"/>
      <c r="I162" s="134"/>
      <c r="J162" s="4"/>
      <c r="K162" s="4"/>
      <c r="L162" s="4"/>
      <c r="M162" s="4"/>
      <c r="N162" s="4"/>
      <c r="O162" s="1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99"/>
      <c r="G163" s="4"/>
      <c r="H163" s="4"/>
      <c r="I163" s="134"/>
      <c r="J163" s="4"/>
      <c r="K163" s="4"/>
      <c r="L163" s="4"/>
      <c r="M163" s="4"/>
      <c r="N163" s="4"/>
      <c r="O163" s="1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99"/>
      <c r="G164" s="4"/>
      <c r="H164" s="4"/>
      <c r="I164" s="134"/>
      <c r="J164" s="4"/>
      <c r="K164" s="4"/>
      <c r="L164" s="4"/>
      <c r="M164" s="4"/>
      <c r="N164" s="4"/>
      <c r="O164" s="1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99"/>
      <c r="G165" s="4"/>
      <c r="H165" s="4"/>
      <c r="I165" s="134"/>
      <c r="J165" s="4"/>
      <c r="K165" s="4"/>
      <c r="L165" s="4"/>
      <c r="M165" s="4"/>
      <c r="N165" s="4"/>
      <c r="O165" s="1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99"/>
      <c r="G166" s="4"/>
      <c r="H166" s="4"/>
      <c r="I166" s="134"/>
      <c r="J166" s="4"/>
      <c r="K166" s="4"/>
      <c r="L166" s="4"/>
      <c r="M166" s="4"/>
      <c r="N166" s="4"/>
      <c r="O166" s="1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99"/>
      <c r="G167" s="4"/>
      <c r="H167" s="4"/>
      <c r="I167" s="134"/>
      <c r="J167" s="4"/>
      <c r="K167" s="4"/>
      <c r="L167" s="4"/>
      <c r="M167" s="4"/>
      <c r="N167" s="4"/>
      <c r="O167" s="1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99"/>
      <c r="G168" s="4"/>
      <c r="H168" s="4"/>
      <c r="I168" s="134"/>
      <c r="J168" s="4"/>
      <c r="K168" s="4"/>
      <c r="L168" s="4"/>
      <c r="M168" s="4"/>
      <c r="N168" s="4"/>
      <c r="O168" s="1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99"/>
      <c r="G169" s="4"/>
      <c r="H169" s="4"/>
      <c r="I169" s="134"/>
      <c r="J169" s="4"/>
      <c r="K169" s="4"/>
      <c r="L169" s="4"/>
      <c r="M169" s="4"/>
      <c r="N169" s="4"/>
      <c r="O169" s="1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99"/>
      <c r="G170" s="4"/>
      <c r="H170" s="4"/>
      <c r="I170" s="134"/>
      <c r="J170" s="4"/>
      <c r="K170" s="4"/>
      <c r="L170" s="4"/>
      <c r="M170" s="4"/>
      <c r="N170" s="4"/>
      <c r="O170" s="1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99"/>
      <c r="G171" s="4"/>
      <c r="H171" s="4"/>
      <c r="I171" s="134"/>
      <c r="J171" s="4"/>
      <c r="K171" s="4"/>
      <c r="L171" s="4"/>
      <c r="M171" s="4"/>
      <c r="N171" s="4"/>
      <c r="O171" s="1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99"/>
      <c r="G172" s="4"/>
      <c r="H172" s="4"/>
      <c r="I172" s="134"/>
      <c r="J172" s="4"/>
      <c r="K172" s="4"/>
      <c r="L172" s="4"/>
      <c r="M172" s="4"/>
      <c r="N172" s="4"/>
      <c r="O172" s="1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99"/>
      <c r="G173" s="4"/>
      <c r="H173" s="4"/>
      <c r="I173" s="134"/>
      <c r="J173" s="4"/>
      <c r="K173" s="4"/>
      <c r="L173" s="4"/>
      <c r="M173" s="4"/>
      <c r="N173" s="4"/>
      <c r="O173" s="1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99"/>
      <c r="G174" s="4"/>
      <c r="H174" s="4"/>
      <c r="I174" s="134"/>
      <c r="J174" s="4"/>
      <c r="K174" s="4"/>
      <c r="L174" s="4"/>
      <c r="M174" s="4"/>
      <c r="N174" s="4"/>
      <c r="O174" s="1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99"/>
      <c r="G175" s="4"/>
      <c r="H175" s="4"/>
      <c r="I175" s="134"/>
      <c r="J175" s="4"/>
      <c r="K175" s="4"/>
      <c r="L175" s="4"/>
      <c r="M175" s="4"/>
      <c r="N175" s="4"/>
      <c r="O175" s="1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99"/>
      <c r="G176" s="4"/>
      <c r="H176" s="4"/>
      <c r="I176" s="134"/>
      <c r="J176" s="4"/>
      <c r="K176" s="4"/>
      <c r="L176" s="4"/>
      <c r="M176" s="4"/>
      <c r="N176" s="4"/>
      <c r="O176" s="1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99"/>
      <c r="G177" s="4"/>
      <c r="H177" s="4"/>
      <c r="I177" s="134"/>
      <c r="J177" s="4"/>
      <c r="K177" s="4"/>
      <c r="L177" s="4"/>
      <c r="M177" s="4"/>
      <c r="N177" s="4"/>
      <c r="O177" s="1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99"/>
      <c r="G178" s="4"/>
      <c r="H178" s="4"/>
      <c r="I178" s="134"/>
      <c r="J178" s="4"/>
      <c r="K178" s="4"/>
      <c r="L178" s="4"/>
      <c r="M178" s="4"/>
      <c r="N178" s="4"/>
      <c r="O178" s="1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99"/>
      <c r="G179" s="4"/>
      <c r="H179" s="4"/>
      <c r="I179" s="134"/>
      <c r="J179" s="4"/>
      <c r="K179" s="4"/>
      <c r="L179" s="4"/>
      <c r="M179" s="4"/>
      <c r="N179" s="4"/>
      <c r="O179" s="1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99"/>
      <c r="G180" s="4"/>
      <c r="H180" s="4"/>
      <c r="I180" s="134"/>
      <c r="J180" s="4"/>
      <c r="K180" s="4"/>
      <c r="L180" s="4"/>
      <c r="M180" s="4"/>
      <c r="N180" s="4"/>
      <c r="O180" s="1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99"/>
      <c r="G181" s="4"/>
      <c r="H181" s="4"/>
      <c r="I181" s="134"/>
      <c r="J181" s="4"/>
      <c r="K181" s="4"/>
      <c r="L181" s="4"/>
      <c r="M181" s="4"/>
      <c r="N181" s="4"/>
      <c r="O181" s="1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99"/>
      <c r="G182" s="4"/>
      <c r="H182" s="4"/>
      <c r="I182" s="134"/>
      <c r="J182" s="4"/>
      <c r="K182" s="4"/>
      <c r="L182" s="4"/>
      <c r="M182" s="4"/>
      <c r="N182" s="4"/>
      <c r="O182" s="1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99"/>
      <c r="G183" s="4"/>
      <c r="H183" s="4"/>
      <c r="I183" s="134"/>
      <c r="J183" s="4"/>
      <c r="K183" s="4"/>
      <c r="L183" s="4"/>
      <c r="M183" s="4"/>
      <c r="N183" s="4"/>
      <c r="O183" s="1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99"/>
      <c r="G184" s="4"/>
      <c r="H184" s="4"/>
      <c r="I184" s="134"/>
      <c r="J184" s="4"/>
      <c r="K184" s="4"/>
      <c r="L184" s="4"/>
      <c r="M184" s="4"/>
      <c r="N184" s="4"/>
      <c r="O184" s="1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99"/>
      <c r="G185" s="4"/>
      <c r="H185" s="4"/>
      <c r="I185" s="134"/>
      <c r="J185" s="4"/>
      <c r="K185" s="4"/>
      <c r="L185" s="4"/>
      <c r="M185" s="4"/>
      <c r="N185" s="4"/>
      <c r="O185" s="1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99"/>
      <c r="G186" s="4"/>
      <c r="H186" s="4"/>
      <c r="I186" s="134"/>
      <c r="J186" s="4"/>
      <c r="K186" s="4"/>
      <c r="L186" s="4"/>
      <c r="M186" s="4"/>
      <c r="N186" s="4"/>
      <c r="O186" s="1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99"/>
      <c r="G187" s="4"/>
      <c r="H187" s="4"/>
      <c r="I187" s="134"/>
      <c r="J187" s="4"/>
      <c r="K187" s="4"/>
      <c r="L187" s="4"/>
      <c r="M187" s="4"/>
      <c r="N187" s="4"/>
      <c r="O187" s="1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99"/>
      <c r="G188" s="4"/>
      <c r="H188" s="4"/>
      <c r="I188" s="134"/>
      <c r="J188" s="4"/>
      <c r="K188" s="4"/>
      <c r="L188" s="4"/>
      <c r="M188" s="4"/>
      <c r="N188" s="4"/>
      <c r="O188" s="1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99"/>
      <c r="G189" s="4"/>
      <c r="H189" s="4"/>
      <c r="I189" s="134"/>
      <c r="J189" s="4"/>
      <c r="K189" s="4"/>
      <c r="L189" s="4"/>
      <c r="M189" s="4"/>
      <c r="N189" s="4"/>
      <c r="O189" s="1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99"/>
      <c r="G190" s="4"/>
      <c r="H190" s="4"/>
      <c r="I190" s="134"/>
      <c r="J190" s="4"/>
      <c r="K190" s="4"/>
      <c r="L190" s="4"/>
      <c r="M190" s="4"/>
      <c r="N190" s="4"/>
      <c r="O190" s="1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99"/>
      <c r="G191" s="4"/>
      <c r="H191" s="4"/>
      <c r="I191" s="134"/>
      <c r="J191" s="4"/>
      <c r="K191" s="4"/>
      <c r="L191" s="4"/>
      <c r="M191" s="4"/>
      <c r="N191" s="4"/>
      <c r="O191" s="1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99"/>
      <c r="G192" s="4"/>
      <c r="H192" s="4"/>
      <c r="I192" s="134"/>
      <c r="J192" s="4"/>
      <c r="K192" s="4"/>
      <c r="L192" s="4"/>
      <c r="M192" s="4"/>
      <c r="N192" s="4"/>
      <c r="O192" s="1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99"/>
      <c r="G193" s="4"/>
      <c r="H193" s="4"/>
      <c r="I193" s="134"/>
      <c r="J193" s="4"/>
      <c r="K193" s="4"/>
      <c r="L193" s="4"/>
      <c r="M193" s="4"/>
      <c r="N193" s="4"/>
      <c r="O193" s="1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99"/>
      <c r="G194" s="4"/>
      <c r="H194" s="4"/>
      <c r="I194" s="134"/>
      <c r="J194" s="4"/>
      <c r="K194" s="4"/>
      <c r="L194" s="4"/>
      <c r="M194" s="4"/>
      <c r="N194" s="4"/>
      <c r="O194" s="1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99"/>
      <c r="G195" s="4"/>
      <c r="H195" s="4"/>
      <c r="I195" s="134"/>
      <c r="J195" s="4"/>
      <c r="K195" s="4"/>
      <c r="L195" s="4"/>
      <c r="M195" s="4"/>
      <c r="N195" s="4"/>
      <c r="O195" s="1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99"/>
      <c r="G196" s="4"/>
      <c r="H196" s="4"/>
      <c r="I196" s="134"/>
      <c r="J196" s="4"/>
      <c r="K196" s="4"/>
      <c r="L196" s="4"/>
      <c r="M196" s="4"/>
      <c r="N196" s="4"/>
      <c r="O196" s="1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99"/>
      <c r="G197" s="4"/>
      <c r="H197" s="4"/>
      <c r="I197" s="134"/>
      <c r="J197" s="4"/>
      <c r="K197" s="4"/>
      <c r="L197" s="4"/>
      <c r="M197" s="4"/>
      <c r="N197" s="4"/>
      <c r="O197" s="1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99"/>
      <c r="G198" s="4"/>
      <c r="H198" s="4"/>
      <c r="I198" s="134"/>
      <c r="J198" s="4"/>
      <c r="K198" s="4"/>
      <c r="L198" s="4"/>
      <c r="M198" s="4"/>
      <c r="N198" s="4"/>
      <c r="O198" s="1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99"/>
      <c r="G199" s="4"/>
      <c r="H199" s="4"/>
      <c r="I199" s="134"/>
      <c r="J199" s="4"/>
      <c r="K199" s="4"/>
      <c r="L199" s="4"/>
      <c r="M199" s="4"/>
      <c r="N199" s="4"/>
      <c r="O199" s="1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99"/>
      <c r="G200" s="4"/>
      <c r="H200" s="4"/>
      <c r="I200" s="134"/>
      <c r="J200" s="4"/>
      <c r="K200" s="4"/>
      <c r="L200" s="4"/>
      <c r="M200" s="4"/>
      <c r="N200" s="4"/>
      <c r="O200" s="1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99"/>
      <c r="G201" s="4"/>
      <c r="H201" s="4"/>
      <c r="I201" s="134"/>
      <c r="J201" s="4"/>
      <c r="K201" s="4"/>
      <c r="L201" s="4"/>
      <c r="M201" s="4"/>
      <c r="N201" s="4"/>
      <c r="O201" s="1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99"/>
      <c r="G202" s="4"/>
      <c r="H202" s="4"/>
      <c r="I202" s="134"/>
      <c r="J202" s="4"/>
      <c r="K202" s="4"/>
      <c r="L202" s="4"/>
      <c r="M202" s="4"/>
      <c r="N202" s="4"/>
      <c r="O202" s="1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99"/>
      <c r="G203" s="4"/>
      <c r="H203" s="4"/>
      <c r="I203" s="134"/>
      <c r="J203" s="4"/>
      <c r="K203" s="4"/>
      <c r="L203" s="4"/>
      <c r="M203" s="4"/>
      <c r="N203" s="4"/>
      <c r="O203" s="1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99"/>
      <c r="G204" s="4"/>
      <c r="H204" s="4"/>
      <c r="I204" s="134"/>
      <c r="J204" s="4"/>
      <c r="K204" s="4"/>
      <c r="L204" s="4"/>
      <c r="M204" s="4"/>
      <c r="N204" s="4"/>
      <c r="O204" s="1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99"/>
      <c r="G205" s="4"/>
      <c r="H205" s="4"/>
      <c r="I205" s="134"/>
      <c r="J205" s="4"/>
      <c r="K205" s="4"/>
      <c r="L205" s="4"/>
      <c r="M205" s="4"/>
      <c r="N205" s="4"/>
      <c r="O205" s="1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99"/>
      <c r="G206" s="4"/>
      <c r="H206" s="4"/>
      <c r="I206" s="134"/>
      <c r="J206" s="4"/>
      <c r="K206" s="4"/>
      <c r="L206" s="4"/>
      <c r="M206" s="4"/>
      <c r="N206" s="4"/>
      <c r="O206" s="1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99"/>
      <c r="G207" s="4"/>
      <c r="H207" s="4"/>
      <c r="I207" s="134"/>
      <c r="J207" s="4"/>
      <c r="K207" s="4"/>
      <c r="L207" s="4"/>
      <c r="M207" s="4"/>
      <c r="N207" s="4"/>
      <c r="O207" s="1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99"/>
      <c r="G208" s="4"/>
      <c r="H208" s="4"/>
      <c r="I208" s="134"/>
      <c r="J208" s="4"/>
      <c r="K208" s="4"/>
      <c r="L208" s="4"/>
      <c r="M208" s="4"/>
      <c r="N208" s="4"/>
      <c r="O208" s="1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99"/>
      <c r="G209" s="4"/>
      <c r="H209" s="4"/>
      <c r="I209" s="134"/>
      <c r="J209" s="4"/>
      <c r="K209" s="4"/>
      <c r="L209" s="4"/>
      <c r="M209" s="4"/>
      <c r="N209" s="4"/>
      <c r="O209" s="1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99"/>
      <c r="G210" s="4"/>
      <c r="H210" s="4"/>
      <c r="I210" s="134"/>
      <c r="J210" s="4"/>
      <c r="K210" s="4"/>
      <c r="L210" s="4"/>
      <c r="M210" s="4"/>
      <c r="N210" s="4"/>
      <c r="O210" s="1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99"/>
      <c r="G211" s="4"/>
      <c r="H211" s="4"/>
      <c r="I211" s="134"/>
      <c r="J211" s="4"/>
      <c r="K211" s="4"/>
      <c r="L211" s="4"/>
      <c r="M211" s="4"/>
      <c r="N211" s="4"/>
      <c r="O211" s="1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99"/>
      <c r="G212" s="4"/>
      <c r="H212" s="4"/>
      <c r="I212" s="134"/>
      <c r="J212" s="4"/>
      <c r="K212" s="4"/>
      <c r="L212" s="4"/>
      <c r="M212" s="4"/>
      <c r="N212" s="4"/>
      <c r="O212" s="1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99"/>
      <c r="G213" s="4"/>
      <c r="H213" s="4"/>
      <c r="I213" s="134"/>
      <c r="J213" s="4"/>
      <c r="K213" s="4"/>
      <c r="L213" s="4"/>
      <c r="M213" s="4"/>
      <c r="N213" s="4"/>
      <c r="O213" s="1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99"/>
      <c r="G214" s="4"/>
      <c r="H214" s="4"/>
      <c r="I214" s="134"/>
      <c r="J214" s="4"/>
      <c r="K214" s="4"/>
      <c r="L214" s="4"/>
      <c r="M214" s="4"/>
      <c r="N214" s="4"/>
      <c r="O214" s="1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99"/>
      <c r="G215" s="4"/>
      <c r="H215" s="4"/>
      <c r="I215" s="134"/>
      <c r="J215" s="4"/>
      <c r="K215" s="4"/>
      <c r="L215" s="4"/>
      <c r="M215" s="4"/>
      <c r="N215" s="4"/>
      <c r="O215" s="1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99"/>
      <c r="G216" s="4"/>
      <c r="H216" s="4"/>
      <c r="I216" s="134"/>
      <c r="J216" s="4"/>
      <c r="K216" s="4"/>
      <c r="L216" s="4"/>
      <c r="M216" s="4"/>
      <c r="N216" s="4"/>
      <c r="O216" s="1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99"/>
      <c r="G217" s="4"/>
      <c r="H217" s="4"/>
      <c r="I217" s="134"/>
      <c r="J217" s="4"/>
      <c r="K217" s="4"/>
      <c r="L217" s="4"/>
      <c r="M217" s="4"/>
      <c r="N217" s="4"/>
      <c r="O217" s="1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99"/>
      <c r="G218" s="4"/>
      <c r="H218" s="4"/>
      <c r="I218" s="134"/>
      <c r="J218" s="4"/>
      <c r="K218" s="4"/>
      <c r="L218" s="4"/>
      <c r="M218" s="4"/>
      <c r="N218" s="4"/>
      <c r="O218" s="1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99"/>
      <c r="G219" s="4"/>
      <c r="H219" s="4"/>
      <c r="I219" s="134"/>
      <c r="J219" s="4"/>
      <c r="K219" s="4"/>
      <c r="L219" s="4"/>
      <c r="M219" s="4"/>
      <c r="N219" s="4"/>
      <c r="O219" s="1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99"/>
      <c r="G220" s="4"/>
      <c r="H220" s="4"/>
      <c r="I220" s="134"/>
      <c r="J220" s="4"/>
      <c r="K220" s="4"/>
      <c r="L220" s="4"/>
      <c r="M220" s="4"/>
      <c r="N220" s="4"/>
      <c r="O220" s="1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99"/>
      <c r="G221" s="4"/>
      <c r="H221" s="4"/>
      <c r="I221" s="134"/>
      <c r="J221" s="4"/>
      <c r="K221" s="4"/>
      <c r="L221" s="4"/>
      <c r="M221" s="4"/>
      <c r="N221" s="4"/>
      <c r="O221" s="1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99"/>
      <c r="G222" s="4"/>
      <c r="H222" s="4"/>
      <c r="I222" s="134"/>
      <c r="J222" s="4"/>
      <c r="K222" s="4"/>
      <c r="L222" s="4"/>
      <c r="M222" s="4"/>
      <c r="N222" s="4"/>
      <c r="O222" s="1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99"/>
      <c r="G223" s="4"/>
      <c r="H223" s="4"/>
      <c r="I223" s="134"/>
      <c r="J223" s="4"/>
      <c r="K223" s="4"/>
      <c r="L223" s="4"/>
      <c r="M223" s="4"/>
      <c r="N223" s="4"/>
      <c r="O223" s="1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99"/>
      <c r="G224" s="4"/>
      <c r="H224" s="4"/>
      <c r="I224" s="134"/>
      <c r="J224" s="4"/>
      <c r="K224" s="4"/>
      <c r="L224" s="4"/>
      <c r="M224" s="4"/>
      <c r="N224" s="4"/>
      <c r="O224" s="1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99"/>
      <c r="G225" s="4"/>
      <c r="H225" s="4"/>
      <c r="I225" s="134"/>
      <c r="J225" s="4"/>
      <c r="K225" s="4"/>
      <c r="L225" s="4"/>
      <c r="M225" s="4"/>
      <c r="N225" s="4"/>
      <c r="O225" s="1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99"/>
      <c r="G226" s="4"/>
      <c r="H226" s="4"/>
      <c r="I226" s="134"/>
      <c r="J226" s="4"/>
      <c r="K226" s="4"/>
      <c r="L226" s="4"/>
      <c r="M226" s="4"/>
      <c r="N226" s="4"/>
      <c r="O226" s="1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99"/>
      <c r="G227" s="4"/>
      <c r="H227" s="4"/>
      <c r="I227" s="134"/>
      <c r="J227" s="4"/>
      <c r="K227" s="4"/>
      <c r="L227" s="4"/>
      <c r="M227" s="4"/>
      <c r="N227" s="4"/>
      <c r="O227" s="1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99"/>
      <c r="G228" s="4"/>
      <c r="H228" s="4"/>
      <c r="I228" s="134"/>
      <c r="J228" s="4"/>
      <c r="K228" s="4"/>
      <c r="L228" s="4"/>
      <c r="M228" s="4"/>
      <c r="N228" s="4"/>
      <c r="O228" s="1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99"/>
      <c r="G229" s="4"/>
      <c r="H229" s="4"/>
      <c r="I229" s="134"/>
      <c r="J229" s="4"/>
      <c r="K229" s="4"/>
      <c r="L229" s="4"/>
      <c r="M229" s="4"/>
      <c r="N229" s="4"/>
      <c r="O229" s="1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99"/>
      <c r="G230" s="4"/>
      <c r="H230" s="4"/>
      <c r="I230" s="134"/>
      <c r="J230" s="4"/>
      <c r="K230" s="4"/>
      <c r="L230" s="4"/>
      <c r="M230" s="4"/>
      <c r="N230" s="4"/>
      <c r="O230" s="1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99"/>
      <c r="G231" s="4"/>
      <c r="H231" s="4"/>
      <c r="I231" s="134"/>
      <c r="J231" s="4"/>
      <c r="K231" s="4"/>
      <c r="L231" s="4"/>
      <c r="M231" s="4"/>
      <c r="N231" s="4"/>
      <c r="O231" s="1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99"/>
      <c r="G232" s="4"/>
      <c r="H232" s="4"/>
      <c r="I232" s="134"/>
      <c r="J232" s="4"/>
      <c r="K232" s="4"/>
      <c r="L232" s="4"/>
      <c r="M232" s="4"/>
      <c r="N232" s="4"/>
      <c r="O232" s="1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99"/>
      <c r="G233" s="4"/>
      <c r="H233" s="4"/>
      <c r="I233" s="134"/>
      <c r="J233" s="4"/>
      <c r="K233" s="4"/>
      <c r="L233" s="4"/>
      <c r="M233" s="4"/>
      <c r="N233" s="4"/>
      <c r="O233" s="1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99"/>
      <c r="G234" s="4"/>
      <c r="H234" s="4"/>
      <c r="I234" s="134"/>
      <c r="J234" s="4"/>
      <c r="K234" s="4"/>
      <c r="L234" s="4"/>
      <c r="M234" s="4"/>
      <c r="N234" s="4"/>
      <c r="O234" s="1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99"/>
      <c r="G235" s="4"/>
      <c r="H235" s="4"/>
      <c r="I235" s="134"/>
      <c r="J235" s="4"/>
      <c r="K235" s="4"/>
      <c r="L235" s="4"/>
      <c r="M235" s="4"/>
      <c r="N235" s="4"/>
      <c r="O235" s="1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99"/>
      <c r="G236" s="4"/>
      <c r="H236" s="4"/>
      <c r="I236" s="134"/>
      <c r="J236" s="4"/>
      <c r="K236" s="4"/>
      <c r="L236" s="4"/>
      <c r="M236" s="4"/>
      <c r="N236" s="4"/>
      <c r="O236" s="1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99"/>
      <c r="G237" s="4"/>
      <c r="H237" s="4"/>
      <c r="I237" s="134"/>
      <c r="J237" s="4"/>
      <c r="K237" s="4"/>
      <c r="L237" s="4"/>
      <c r="M237" s="4"/>
      <c r="N237" s="4"/>
      <c r="O237" s="1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99"/>
      <c r="G238" s="4"/>
      <c r="H238" s="4"/>
      <c r="I238" s="134"/>
      <c r="J238" s="4"/>
      <c r="K238" s="4"/>
      <c r="L238" s="4"/>
      <c r="M238" s="4"/>
      <c r="N238" s="4"/>
      <c r="O238" s="1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99"/>
      <c r="G239" s="4"/>
      <c r="H239" s="4"/>
      <c r="I239" s="134"/>
      <c r="J239" s="4"/>
      <c r="K239" s="4"/>
      <c r="L239" s="4"/>
      <c r="M239" s="4"/>
      <c r="N239" s="4"/>
      <c r="O239" s="1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99"/>
      <c r="G240" s="4"/>
      <c r="H240" s="4"/>
      <c r="I240" s="134"/>
      <c r="J240" s="4"/>
      <c r="K240" s="4"/>
      <c r="L240" s="4"/>
      <c r="M240" s="4"/>
      <c r="N240" s="4"/>
      <c r="O240" s="1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99"/>
      <c r="G241" s="4"/>
      <c r="H241" s="4"/>
      <c r="I241" s="134"/>
      <c r="J241" s="4"/>
      <c r="K241" s="4"/>
      <c r="L241" s="4"/>
      <c r="M241" s="4"/>
      <c r="N241" s="4"/>
      <c r="O241" s="1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99"/>
      <c r="G242" s="4"/>
      <c r="H242" s="4"/>
      <c r="I242" s="134"/>
      <c r="J242" s="4"/>
      <c r="K242" s="4"/>
      <c r="L242" s="4"/>
      <c r="M242" s="4"/>
      <c r="N242" s="4"/>
      <c r="O242" s="1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99"/>
      <c r="G243" s="4"/>
      <c r="H243" s="4"/>
      <c r="I243" s="134"/>
      <c r="J243" s="4"/>
      <c r="K243" s="4"/>
      <c r="L243" s="4"/>
      <c r="M243" s="4"/>
      <c r="N243" s="4"/>
      <c r="O243" s="1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99"/>
      <c r="G244" s="4"/>
      <c r="H244" s="4"/>
      <c r="I244" s="134"/>
      <c r="J244" s="4"/>
      <c r="K244" s="4"/>
      <c r="L244" s="4"/>
      <c r="M244" s="4"/>
      <c r="N244" s="4"/>
      <c r="O244" s="1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99"/>
      <c r="G245" s="4"/>
      <c r="H245" s="4"/>
      <c r="I245" s="134"/>
      <c r="J245" s="4"/>
      <c r="K245" s="4"/>
      <c r="L245" s="4"/>
      <c r="M245" s="4"/>
      <c r="N245" s="4"/>
      <c r="O245" s="1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99"/>
      <c r="G246" s="4"/>
      <c r="H246" s="4"/>
      <c r="I246" s="134"/>
      <c r="J246" s="4"/>
      <c r="K246" s="4"/>
      <c r="L246" s="4"/>
      <c r="M246" s="4"/>
      <c r="N246" s="4"/>
      <c r="O246" s="1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99"/>
      <c r="G247" s="4"/>
      <c r="H247" s="4"/>
      <c r="I247" s="134"/>
      <c r="J247" s="4"/>
      <c r="K247" s="4"/>
      <c r="L247" s="4"/>
      <c r="M247" s="4"/>
      <c r="N247" s="4"/>
      <c r="O247" s="1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99"/>
      <c r="G248" s="4"/>
      <c r="H248" s="4"/>
      <c r="I248" s="134"/>
      <c r="J248" s="4"/>
      <c r="K248" s="4"/>
      <c r="L248" s="4"/>
      <c r="M248" s="4"/>
      <c r="N248" s="4"/>
      <c r="O248" s="1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99"/>
      <c r="G249" s="4"/>
      <c r="H249" s="4"/>
      <c r="I249" s="134"/>
      <c r="J249" s="4"/>
      <c r="K249" s="4"/>
      <c r="L249" s="4"/>
      <c r="M249" s="4"/>
      <c r="N249" s="4"/>
      <c r="O249" s="1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99"/>
      <c r="G250" s="4"/>
      <c r="H250" s="4"/>
      <c r="I250" s="134"/>
      <c r="J250" s="4"/>
      <c r="K250" s="4"/>
      <c r="L250" s="4"/>
      <c r="M250" s="4"/>
      <c r="N250" s="4"/>
      <c r="O250" s="1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99"/>
      <c r="G251" s="4"/>
      <c r="H251" s="4"/>
      <c r="I251" s="134"/>
      <c r="J251" s="4"/>
      <c r="K251" s="4"/>
      <c r="L251" s="4"/>
      <c r="M251" s="4"/>
      <c r="N251" s="4"/>
      <c r="O251" s="1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99"/>
      <c r="G252" s="4"/>
      <c r="H252" s="4"/>
      <c r="I252" s="134"/>
      <c r="J252" s="4"/>
      <c r="K252" s="4"/>
      <c r="L252" s="4"/>
      <c r="M252" s="4"/>
      <c r="N252" s="4"/>
      <c r="O252" s="1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99"/>
      <c r="G253" s="4"/>
      <c r="H253" s="4"/>
      <c r="I253" s="134"/>
      <c r="J253" s="4"/>
      <c r="K253" s="4"/>
      <c r="L253" s="4"/>
      <c r="M253" s="4"/>
      <c r="N253" s="4"/>
      <c r="O253" s="1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99"/>
      <c r="G254" s="4"/>
      <c r="H254" s="4"/>
      <c r="I254" s="134"/>
      <c r="J254" s="4"/>
      <c r="K254" s="4"/>
      <c r="L254" s="4"/>
      <c r="M254" s="4"/>
      <c r="N254" s="4"/>
      <c r="O254" s="1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99"/>
      <c r="G255" s="4"/>
      <c r="H255" s="4"/>
      <c r="I255" s="134"/>
      <c r="J255" s="4"/>
      <c r="K255" s="4"/>
      <c r="L255" s="4"/>
      <c r="M255" s="4"/>
      <c r="N255" s="4"/>
      <c r="O255" s="1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99"/>
      <c r="G256" s="4"/>
      <c r="H256" s="4"/>
      <c r="I256" s="134"/>
      <c r="J256" s="4"/>
      <c r="K256" s="4"/>
      <c r="L256" s="4"/>
      <c r="M256" s="4"/>
      <c r="N256" s="4"/>
      <c r="O256" s="1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99"/>
      <c r="G257" s="4"/>
      <c r="H257" s="4"/>
      <c r="I257" s="134"/>
      <c r="J257" s="4"/>
      <c r="K257" s="4"/>
      <c r="L257" s="4"/>
      <c r="M257" s="4"/>
      <c r="N257" s="4"/>
      <c r="O257" s="1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99"/>
      <c r="G258" s="4"/>
      <c r="H258" s="4"/>
      <c r="I258" s="134"/>
      <c r="J258" s="4"/>
      <c r="K258" s="4"/>
      <c r="L258" s="4"/>
      <c r="M258" s="4"/>
      <c r="N258" s="4"/>
      <c r="O258" s="1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99"/>
      <c r="G259" s="4"/>
      <c r="H259" s="4"/>
      <c r="I259" s="134"/>
      <c r="J259" s="4"/>
      <c r="K259" s="4"/>
      <c r="L259" s="4"/>
      <c r="M259" s="4"/>
      <c r="N259" s="4"/>
      <c r="O259" s="1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99"/>
      <c r="G260" s="4"/>
      <c r="H260" s="4"/>
      <c r="I260" s="134"/>
      <c r="J260" s="4"/>
      <c r="K260" s="4"/>
      <c r="L260" s="4"/>
      <c r="M260" s="4"/>
      <c r="N260" s="4"/>
      <c r="O260" s="1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99"/>
      <c r="G261" s="4"/>
      <c r="H261" s="4"/>
      <c r="I261" s="134"/>
      <c r="J261" s="4"/>
      <c r="K261" s="4"/>
      <c r="L261" s="4"/>
      <c r="M261" s="4"/>
      <c r="N261" s="4"/>
      <c r="O261" s="1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99"/>
      <c r="G262" s="4"/>
      <c r="H262" s="4"/>
      <c r="I262" s="134"/>
      <c r="J262" s="4"/>
      <c r="K262" s="4"/>
      <c r="L262" s="4"/>
      <c r="M262" s="4"/>
      <c r="N262" s="4"/>
      <c r="O262" s="1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99"/>
      <c r="G263" s="4"/>
      <c r="H263" s="4"/>
      <c r="I263" s="134"/>
      <c r="J263" s="4"/>
      <c r="K263" s="4"/>
      <c r="L263" s="4"/>
      <c r="M263" s="4"/>
      <c r="N263" s="4"/>
      <c r="O263" s="1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99"/>
      <c r="G264" s="4"/>
      <c r="H264" s="4"/>
      <c r="I264" s="134"/>
      <c r="J264" s="4"/>
      <c r="K264" s="4"/>
      <c r="L264" s="4"/>
      <c r="M264" s="4"/>
      <c r="N264" s="4"/>
      <c r="O264" s="1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99"/>
      <c r="G265" s="4"/>
      <c r="H265" s="4"/>
      <c r="I265" s="134"/>
      <c r="J265" s="4"/>
      <c r="K265" s="4"/>
      <c r="L265" s="4"/>
      <c r="M265" s="4"/>
      <c r="N265" s="4"/>
      <c r="O265" s="1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99"/>
      <c r="G266" s="4"/>
      <c r="H266" s="4"/>
      <c r="I266" s="134"/>
      <c r="J266" s="4"/>
      <c r="K266" s="4"/>
      <c r="L266" s="4"/>
      <c r="M266" s="4"/>
      <c r="N266" s="4"/>
      <c r="O266" s="1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99"/>
      <c r="G267" s="4"/>
      <c r="H267" s="4"/>
      <c r="I267" s="134"/>
      <c r="J267" s="4"/>
      <c r="K267" s="4"/>
      <c r="L267" s="4"/>
      <c r="M267" s="4"/>
      <c r="N267" s="4"/>
      <c r="O267" s="1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99"/>
      <c r="G268" s="4"/>
      <c r="H268" s="4"/>
      <c r="I268" s="134"/>
      <c r="J268" s="4"/>
      <c r="K268" s="4"/>
      <c r="L268" s="4"/>
      <c r="M268" s="4"/>
      <c r="N268" s="4"/>
      <c r="O268" s="1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99"/>
      <c r="G269" s="4"/>
      <c r="H269" s="4"/>
      <c r="I269" s="134"/>
      <c r="J269" s="4"/>
      <c r="K269" s="4"/>
      <c r="L269" s="4"/>
      <c r="M269" s="4"/>
      <c r="N269" s="4"/>
      <c r="O269" s="1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99"/>
      <c r="G270" s="4"/>
      <c r="H270" s="4"/>
      <c r="I270" s="134"/>
      <c r="J270" s="4"/>
      <c r="K270" s="4"/>
      <c r="L270" s="4"/>
      <c r="M270" s="4"/>
      <c r="N270" s="4"/>
      <c r="O270" s="1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99"/>
      <c r="G271" s="4"/>
      <c r="H271" s="4"/>
      <c r="I271" s="134"/>
      <c r="J271" s="4"/>
      <c r="K271" s="4"/>
      <c r="L271" s="4"/>
      <c r="M271" s="4"/>
      <c r="N271" s="4"/>
      <c r="O271" s="1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99"/>
      <c r="G272" s="4"/>
      <c r="H272" s="4"/>
      <c r="I272" s="134"/>
      <c r="J272" s="4"/>
      <c r="K272" s="4"/>
      <c r="L272" s="4"/>
      <c r="M272" s="4"/>
      <c r="N272" s="4"/>
      <c r="O272" s="1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99"/>
      <c r="G273" s="4"/>
      <c r="H273" s="4"/>
      <c r="I273" s="134"/>
      <c r="J273" s="4"/>
      <c r="K273" s="4"/>
      <c r="L273" s="4"/>
      <c r="M273" s="4"/>
      <c r="N273" s="4"/>
      <c r="O273" s="1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99"/>
      <c r="G274" s="4"/>
      <c r="H274" s="4"/>
      <c r="I274" s="134"/>
      <c r="J274" s="4"/>
      <c r="K274" s="4"/>
      <c r="L274" s="4"/>
      <c r="M274" s="4"/>
      <c r="N274" s="4"/>
      <c r="O274" s="1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99"/>
      <c r="G275" s="4"/>
      <c r="H275" s="4"/>
      <c r="I275" s="134"/>
      <c r="J275" s="4"/>
      <c r="K275" s="4"/>
      <c r="L275" s="4"/>
      <c r="M275" s="4"/>
      <c r="N275" s="4"/>
      <c r="O275" s="1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99"/>
      <c r="G276" s="4"/>
      <c r="H276" s="4"/>
      <c r="I276" s="134"/>
      <c r="J276" s="4"/>
      <c r="K276" s="4"/>
      <c r="L276" s="4"/>
      <c r="M276" s="4"/>
      <c r="N276" s="4"/>
      <c r="O276" s="1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99"/>
      <c r="G277" s="4"/>
      <c r="H277" s="4"/>
      <c r="I277" s="134"/>
      <c r="J277" s="4"/>
      <c r="K277" s="4"/>
      <c r="L277" s="4"/>
      <c r="M277" s="4"/>
      <c r="N277" s="4"/>
      <c r="O277" s="1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99"/>
      <c r="G278" s="4"/>
      <c r="H278" s="4"/>
      <c r="I278" s="134"/>
      <c r="J278" s="4"/>
      <c r="K278" s="4"/>
      <c r="L278" s="4"/>
      <c r="M278" s="4"/>
      <c r="N278" s="4"/>
      <c r="O278" s="1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99"/>
      <c r="G279" s="4"/>
      <c r="H279" s="4"/>
      <c r="I279" s="134"/>
      <c r="J279" s="4"/>
      <c r="K279" s="4"/>
      <c r="L279" s="4"/>
      <c r="M279" s="4"/>
      <c r="N279" s="4"/>
      <c r="O279" s="1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99"/>
      <c r="G280" s="4"/>
      <c r="H280" s="4"/>
      <c r="I280" s="134"/>
      <c r="J280" s="4"/>
      <c r="K280" s="4"/>
      <c r="L280" s="4"/>
      <c r="M280" s="4"/>
      <c r="N280" s="4"/>
      <c r="O280" s="1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99"/>
      <c r="G281" s="4"/>
      <c r="H281" s="4"/>
      <c r="I281" s="134"/>
      <c r="J281" s="4"/>
      <c r="K281" s="4"/>
      <c r="L281" s="4"/>
      <c r="M281" s="4"/>
      <c r="N281" s="4"/>
      <c r="O281" s="1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99"/>
      <c r="G282" s="4"/>
      <c r="H282" s="4"/>
      <c r="I282" s="134"/>
      <c r="J282" s="4"/>
      <c r="K282" s="4"/>
      <c r="L282" s="4"/>
      <c r="M282" s="4"/>
      <c r="N282" s="4"/>
      <c r="O282" s="1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99"/>
      <c r="G283" s="4"/>
      <c r="H283" s="4"/>
      <c r="I283" s="134"/>
      <c r="J283" s="4"/>
      <c r="K283" s="4"/>
      <c r="L283" s="4"/>
      <c r="M283" s="4"/>
      <c r="N283" s="4"/>
      <c r="O283" s="1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99"/>
      <c r="G284" s="4"/>
      <c r="H284" s="4"/>
      <c r="I284" s="134"/>
      <c r="J284" s="4"/>
      <c r="K284" s="4"/>
      <c r="L284" s="4"/>
      <c r="M284" s="4"/>
      <c r="N284" s="4"/>
      <c r="O284" s="1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99"/>
      <c r="G285" s="4"/>
      <c r="H285" s="4"/>
      <c r="I285" s="134"/>
      <c r="J285" s="4"/>
      <c r="K285" s="4"/>
      <c r="L285" s="4"/>
      <c r="M285" s="4"/>
      <c r="N285" s="4"/>
      <c r="O285" s="1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99"/>
      <c r="G286" s="4"/>
      <c r="H286" s="4"/>
      <c r="I286" s="134"/>
      <c r="J286" s="4"/>
      <c r="K286" s="4"/>
      <c r="L286" s="4"/>
      <c r="M286" s="4"/>
      <c r="N286" s="4"/>
      <c r="O286" s="1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99"/>
      <c r="G287" s="4"/>
      <c r="H287" s="4"/>
      <c r="I287" s="134"/>
      <c r="J287" s="4"/>
      <c r="K287" s="4"/>
      <c r="L287" s="4"/>
      <c r="M287" s="4"/>
      <c r="N287" s="4"/>
      <c r="O287" s="1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99"/>
      <c r="G288" s="4"/>
      <c r="H288" s="4"/>
      <c r="I288" s="134"/>
      <c r="J288" s="4"/>
      <c r="K288" s="4"/>
      <c r="L288" s="4"/>
      <c r="M288" s="4"/>
      <c r="N288" s="4"/>
      <c r="O288" s="1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99"/>
      <c r="G289" s="4"/>
      <c r="H289" s="4"/>
      <c r="I289" s="134"/>
      <c r="J289" s="4"/>
      <c r="K289" s="4"/>
      <c r="L289" s="4"/>
      <c r="M289" s="4"/>
      <c r="N289" s="4"/>
      <c r="O289" s="1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99"/>
      <c r="G290" s="4"/>
      <c r="H290" s="4"/>
      <c r="I290" s="134"/>
      <c r="J290" s="4"/>
      <c r="K290" s="4"/>
      <c r="L290" s="4"/>
      <c r="M290" s="4"/>
      <c r="N290" s="4"/>
      <c r="O290" s="1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99"/>
      <c r="G291" s="4"/>
      <c r="H291" s="4"/>
      <c r="I291" s="134"/>
      <c r="J291" s="4"/>
      <c r="K291" s="4"/>
      <c r="L291" s="4"/>
      <c r="M291" s="4"/>
      <c r="N291" s="4"/>
      <c r="O291" s="1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99"/>
      <c r="G292" s="4"/>
      <c r="H292" s="4"/>
      <c r="I292" s="134"/>
      <c r="J292" s="4"/>
      <c r="K292" s="4"/>
      <c r="L292" s="4"/>
      <c r="M292" s="4"/>
      <c r="N292" s="4"/>
      <c r="O292" s="1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99"/>
      <c r="G293" s="4"/>
      <c r="H293" s="4"/>
      <c r="I293" s="134"/>
      <c r="J293" s="4"/>
      <c r="K293" s="4"/>
      <c r="L293" s="4"/>
      <c r="M293" s="4"/>
      <c r="N293" s="4"/>
      <c r="O293" s="1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99"/>
      <c r="G294" s="4"/>
      <c r="H294" s="4"/>
      <c r="I294" s="134"/>
      <c r="J294" s="4"/>
      <c r="K294" s="4"/>
      <c r="L294" s="4"/>
      <c r="M294" s="4"/>
      <c r="N294" s="4"/>
      <c r="O294" s="1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99"/>
      <c r="G295" s="4"/>
      <c r="H295" s="4"/>
      <c r="I295" s="134"/>
      <c r="J295" s="4"/>
      <c r="K295" s="4"/>
      <c r="L295" s="4"/>
      <c r="M295" s="4"/>
      <c r="N295" s="4"/>
      <c r="O295" s="1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99"/>
      <c r="G296" s="4"/>
      <c r="H296" s="4"/>
      <c r="I296" s="134"/>
      <c r="J296" s="4"/>
      <c r="K296" s="4"/>
      <c r="L296" s="4"/>
      <c r="M296" s="4"/>
      <c r="N296" s="4"/>
      <c r="O296" s="1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99"/>
      <c r="G297" s="4"/>
      <c r="H297" s="4"/>
      <c r="I297" s="134"/>
      <c r="J297" s="4"/>
      <c r="K297" s="4"/>
      <c r="L297" s="4"/>
      <c r="M297" s="4"/>
      <c r="N297" s="4"/>
      <c r="O297" s="1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99"/>
      <c r="G298" s="4"/>
      <c r="H298" s="4"/>
      <c r="I298" s="134"/>
      <c r="J298" s="4"/>
      <c r="K298" s="4"/>
      <c r="L298" s="4"/>
      <c r="M298" s="4"/>
      <c r="N298" s="4"/>
      <c r="O298" s="1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99"/>
      <c r="G299" s="4"/>
      <c r="H299" s="4"/>
      <c r="I299" s="134"/>
      <c r="J299" s="4"/>
      <c r="K299" s="4"/>
      <c r="L299" s="4"/>
      <c r="M299" s="4"/>
      <c r="N299" s="4"/>
      <c r="O299" s="1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99"/>
      <c r="G300" s="4"/>
      <c r="H300" s="4"/>
      <c r="I300" s="134"/>
      <c r="J300" s="4"/>
      <c r="K300" s="4"/>
      <c r="L300" s="4"/>
      <c r="M300" s="4"/>
      <c r="N300" s="4"/>
      <c r="O300" s="1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99"/>
      <c r="G301" s="4"/>
      <c r="H301" s="4"/>
      <c r="I301" s="134"/>
      <c r="J301" s="4"/>
      <c r="K301" s="4"/>
      <c r="L301" s="4"/>
      <c r="M301" s="4"/>
      <c r="N301" s="4"/>
      <c r="O301" s="1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99"/>
      <c r="G302" s="4"/>
      <c r="H302" s="4"/>
      <c r="I302" s="134"/>
      <c r="J302" s="4"/>
      <c r="K302" s="4"/>
      <c r="L302" s="4"/>
      <c r="M302" s="4"/>
      <c r="N302" s="4"/>
      <c r="O302" s="1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99"/>
      <c r="G303" s="4"/>
      <c r="H303" s="4"/>
      <c r="I303" s="134"/>
      <c r="J303" s="4"/>
      <c r="K303" s="4"/>
      <c r="L303" s="4"/>
      <c r="M303" s="4"/>
      <c r="N303" s="4"/>
      <c r="O303" s="1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99"/>
      <c r="G304" s="4"/>
      <c r="H304" s="4"/>
      <c r="I304" s="134"/>
      <c r="J304" s="4"/>
      <c r="K304" s="4"/>
      <c r="L304" s="4"/>
      <c r="M304" s="4"/>
      <c r="N304" s="4"/>
      <c r="O304" s="1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99"/>
      <c r="G305" s="4"/>
      <c r="H305" s="4"/>
      <c r="I305" s="134"/>
      <c r="J305" s="4"/>
      <c r="K305" s="4"/>
      <c r="L305" s="4"/>
      <c r="M305" s="4"/>
      <c r="N305" s="4"/>
      <c r="O305" s="1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99"/>
      <c r="G306" s="4"/>
      <c r="H306" s="4"/>
      <c r="I306" s="134"/>
      <c r="J306" s="4"/>
      <c r="K306" s="4"/>
      <c r="L306" s="4"/>
      <c r="M306" s="4"/>
      <c r="N306" s="4"/>
      <c r="O306" s="1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99"/>
      <c r="G307" s="4"/>
      <c r="H307" s="4"/>
      <c r="I307" s="134"/>
      <c r="J307" s="4"/>
      <c r="K307" s="4"/>
      <c r="L307" s="4"/>
      <c r="M307" s="4"/>
      <c r="N307" s="4"/>
      <c r="O307" s="1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99"/>
      <c r="G308" s="4"/>
      <c r="H308" s="4"/>
      <c r="I308" s="134"/>
      <c r="J308" s="4"/>
      <c r="K308" s="4"/>
      <c r="L308" s="4"/>
      <c r="M308" s="4"/>
      <c r="N308" s="4"/>
      <c r="O308" s="1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99"/>
      <c r="G309" s="4"/>
      <c r="H309" s="4"/>
      <c r="I309" s="134"/>
      <c r="J309" s="4"/>
      <c r="K309" s="4"/>
      <c r="L309" s="4"/>
      <c r="M309" s="4"/>
      <c r="N309" s="4"/>
      <c r="O309" s="1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99"/>
      <c r="G310" s="4"/>
      <c r="H310" s="4"/>
      <c r="I310" s="134"/>
      <c r="J310" s="4"/>
      <c r="K310" s="4"/>
      <c r="L310" s="4"/>
      <c r="M310" s="4"/>
      <c r="N310" s="4"/>
      <c r="O310" s="1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99"/>
      <c r="G311" s="4"/>
      <c r="H311" s="4"/>
      <c r="I311" s="134"/>
      <c r="J311" s="4"/>
      <c r="K311" s="4"/>
      <c r="L311" s="4"/>
      <c r="M311" s="4"/>
      <c r="N311" s="4"/>
      <c r="O311" s="1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99"/>
      <c r="G312" s="4"/>
      <c r="H312" s="4"/>
      <c r="I312" s="134"/>
      <c r="J312" s="4"/>
      <c r="K312" s="4"/>
      <c r="L312" s="4"/>
      <c r="M312" s="4"/>
      <c r="N312" s="4"/>
      <c r="O312" s="1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99"/>
      <c r="G313" s="4"/>
      <c r="H313" s="4"/>
      <c r="I313" s="134"/>
      <c r="J313" s="4"/>
      <c r="K313" s="4"/>
      <c r="L313" s="4"/>
      <c r="M313" s="4"/>
      <c r="N313" s="4"/>
      <c r="O313" s="1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99"/>
      <c r="G314" s="4"/>
      <c r="H314" s="4"/>
      <c r="I314" s="134"/>
      <c r="J314" s="4"/>
      <c r="K314" s="4"/>
      <c r="L314" s="4"/>
      <c r="M314" s="4"/>
      <c r="N314" s="4"/>
      <c r="O314" s="1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99"/>
      <c r="G315" s="4"/>
      <c r="H315" s="4"/>
      <c r="I315" s="134"/>
      <c r="J315" s="4"/>
      <c r="K315" s="4"/>
      <c r="L315" s="4"/>
      <c r="M315" s="4"/>
      <c r="N315" s="4"/>
      <c r="O315" s="1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99"/>
      <c r="G316" s="4"/>
      <c r="H316" s="4"/>
      <c r="I316" s="134"/>
      <c r="J316" s="4"/>
      <c r="K316" s="4"/>
      <c r="L316" s="4"/>
      <c r="M316" s="4"/>
      <c r="N316" s="4"/>
      <c r="O316" s="1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99"/>
      <c r="G317" s="4"/>
      <c r="H317" s="4"/>
      <c r="I317" s="134"/>
      <c r="J317" s="4"/>
      <c r="K317" s="4"/>
      <c r="L317" s="4"/>
      <c r="M317" s="4"/>
      <c r="N317" s="4"/>
      <c r="O317" s="1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99"/>
      <c r="G318" s="4"/>
      <c r="H318" s="4"/>
      <c r="I318" s="134"/>
      <c r="J318" s="4"/>
      <c r="K318" s="4"/>
      <c r="L318" s="4"/>
      <c r="M318" s="4"/>
      <c r="N318" s="4"/>
      <c r="O318" s="1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99"/>
      <c r="G319" s="4"/>
      <c r="H319" s="4"/>
      <c r="I319" s="134"/>
      <c r="J319" s="4"/>
      <c r="K319" s="4"/>
      <c r="L319" s="4"/>
      <c r="M319" s="4"/>
      <c r="N319" s="4"/>
      <c r="O319" s="1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99"/>
      <c r="G320" s="4"/>
      <c r="H320" s="4"/>
      <c r="I320" s="134"/>
      <c r="J320" s="4"/>
      <c r="K320" s="4"/>
      <c r="L320" s="4"/>
      <c r="M320" s="4"/>
      <c r="N320" s="4"/>
      <c r="O320" s="1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99"/>
      <c r="G321" s="4"/>
      <c r="H321" s="4"/>
      <c r="I321" s="134"/>
      <c r="J321" s="4"/>
      <c r="K321" s="4"/>
      <c r="L321" s="4"/>
      <c r="M321" s="4"/>
      <c r="N321" s="4"/>
      <c r="O321" s="1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99"/>
      <c r="G322" s="4"/>
      <c r="H322" s="4"/>
      <c r="I322" s="134"/>
      <c r="J322" s="4"/>
      <c r="K322" s="4"/>
      <c r="L322" s="4"/>
      <c r="M322" s="4"/>
      <c r="N322" s="4"/>
      <c r="O322" s="1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99"/>
      <c r="G323" s="4"/>
      <c r="H323" s="4"/>
      <c r="I323" s="134"/>
      <c r="J323" s="4"/>
      <c r="K323" s="4"/>
      <c r="L323" s="4"/>
      <c r="M323" s="4"/>
      <c r="N323" s="4"/>
      <c r="O323" s="1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99"/>
      <c r="G324" s="4"/>
      <c r="H324" s="4"/>
      <c r="I324" s="134"/>
      <c r="J324" s="4"/>
      <c r="K324" s="4"/>
      <c r="L324" s="4"/>
      <c r="M324" s="4"/>
      <c r="N324" s="4"/>
      <c r="O324" s="1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99"/>
      <c r="G325" s="4"/>
      <c r="H325" s="4"/>
      <c r="I325" s="134"/>
      <c r="J325" s="4"/>
      <c r="K325" s="4"/>
      <c r="L325" s="4"/>
      <c r="M325" s="4"/>
      <c r="N325" s="4"/>
      <c r="O325" s="1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99"/>
      <c r="G326" s="4"/>
      <c r="H326" s="4"/>
      <c r="I326" s="134"/>
      <c r="J326" s="4"/>
      <c r="K326" s="4"/>
      <c r="L326" s="4"/>
      <c r="M326" s="4"/>
      <c r="N326" s="4"/>
      <c r="O326" s="1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99"/>
      <c r="G327" s="4"/>
      <c r="H327" s="4"/>
      <c r="I327" s="134"/>
      <c r="J327" s="4"/>
      <c r="K327" s="4"/>
      <c r="L327" s="4"/>
      <c r="M327" s="4"/>
      <c r="N327" s="4"/>
      <c r="O327" s="1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99"/>
      <c r="G328" s="4"/>
      <c r="H328" s="4"/>
      <c r="I328" s="134"/>
      <c r="J328" s="4"/>
      <c r="K328" s="4"/>
      <c r="L328" s="4"/>
      <c r="M328" s="4"/>
      <c r="N328" s="4"/>
      <c r="O328" s="1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99"/>
      <c r="G329" s="4"/>
      <c r="H329" s="4"/>
      <c r="I329" s="134"/>
      <c r="J329" s="4"/>
      <c r="K329" s="4"/>
      <c r="L329" s="4"/>
      <c r="M329" s="4"/>
      <c r="N329" s="4"/>
      <c r="O329" s="1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99"/>
      <c r="G330" s="4"/>
      <c r="H330" s="4"/>
      <c r="I330" s="134"/>
      <c r="J330" s="4"/>
      <c r="K330" s="4"/>
      <c r="L330" s="4"/>
      <c r="M330" s="4"/>
      <c r="N330" s="4"/>
      <c r="O330" s="1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99"/>
      <c r="G331" s="4"/>
      <c r="H331" s="4"/>
      <c r="I331" s="134"/>
      <c r="J331" s="4"/>
      <c r="K331" s="4"/>
      <c r="L331" s="4"/>
      <c r="M331" s="4"/>
      <c r="N331" s="4"/>
      <c r="O331" s="1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99"/>
      <c r="G332" s="4"/>
      <c r="H332" s="4"/>
      <c r="I332" s="134"/>
      <c r="J332" s="4"/>
      <c r="K332" s="4"/>
      <c r="L332" s="4"/>
      <c r="M332" s="4"/>
      <c r="N332" s="4"/>
      <c r="O332" s="1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99"/>
      <c r="G333" s="4"/>
      <c r="H333" s="4"/>
      <c r="I333" s="134"/>
      <c r="J333" s="4"/>
      <c r="K333" s="4"/>
      <c r="L333" s="4"/>
      <c r="M333" s="4"/>
      <c r="N333" s="4"/>
      <c r="O333" s="1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99"/>
      <c r="G334" s="4"/>
      <c r="H334" s="4"/>
      <c r="I334" s="134"/>
      <c r="J334" s="4"/>
      <c r="K334" s="4"/>
      <c r="L334" s="4"/>
      <c r="M334" s="4"/>
      <c r="N334" s="4"/>
      <c r="O334" s="1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99"/>
      <c r="G335" s="4"/>
      <c r="H335" s="4"/>
      <c r="I335" s="134"/>
      <c r="J335" s="4"/>
      <c r="K335" s="4"/>
      <c r="L335" s="4"/>
      <c r="M335" s="4"/>
      <c r="N335" s="4"/>
      <c r="O335" s="1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99"/>
      <c r="G336" s="4"/>
      <c r="H336" s="4"/>
      <c r="I336" s="134"/>
      <c r="J336" s="4"/>
      <c r="K336" s="4"/>
      <c r="L336" s="4"/>
      <c r="M336" s="4"/>
      <c r="N336" s="4"/>
      <c r="O336" s="1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99"/>
      <c r="G337" s="4"/>
      <c r="H337" s="4"/>
      <c r="I337" s="134"/>
      <c r="J337" s="4"/>
      <c r="K337" s="4"/>
      <c r="L337" s="4"/>
      <c r="M337" s="4"/>
      <c r="N337" s="4"/>
      <c r="O337" s="1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99"/>
      <c r="G338" s="4"/>
      <c r="H338" s="4"/>
      <c r="I338" s="134"/>
      <c r="J338" s="4"/>
      <c r="K338" s="4"/>
      <c r="L338" s="4"/>
      <c r="M338" s="4"/>
      <c r="N338" s="4"/>
      <c r="O338" s="1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99"/>
      <c r="G339" s="4"/>
      <c r="H339" s="4"/>
      <c r="I339" s="134"/>
      <c r="J339" s="4"/>
      <c r="K339" s="4"/>
      <c r="L339" s="4"/>
      <c r="M339" s="4"/>
      <c r="N339" s="4"/>
      <c r="O339" s="1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99"/>
      <c r="G340" s="4"/>
      <c r="H340" s="4"/>
      <c r="I340" s="134"/>
      <c r="J340" s="4"/>
      <c r="K340" s="4"/>
      <c r="L340" s="4"/>
      <c r="M340" s="4"/>
      <c r="N340" s="4"/>
      <c r="O340" s="1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99"/>
      <c r="G341" s="4"/>
      <c r="H341" s="4"/>
      <c r="I341" s="134"/>
      <c r="J341" s="4"/>
      <c r="K341" s="4"/>
      <c r="L341" s="4"/>
      <c r="M341" s="4"/>
      <c r="N341" s="4"/>
      <c r="O341" s="1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99"/>
      <c r="G342" s="4"/>
      <c r="H342" s="4"/>
      <c r="I342" s="134"/>
      <c r="J342" s="4"/>
      <c r="K342" s="4"/>
      <c r="L342" s="4"/>
      <c r="M342" s="4"/>
      <c r="N342" s="4"/>
      <c r="O342" s="1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99"/>
      <c r="G343" s="4"/>
      <c r="H343" s="4"/>
      <c r="I343" s="134"/>
      <c r="J343" s="4"/>
      <c r="K343" s="4"/>
      <c r="L343" s="4"/>
      <c r="M343" s="4"/>
      <c r="N343" s="4"/>
      <c r="O343" s="1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99"/>
      <c r="G344" s="4"/>
      <c r="H344" s="4"/>
      <c r="I344" s="134"/>
      <c r="J344" s="4"/>
      <c r="K344" s="4"/>
      <c r="L344" s="4"/>
      <c r="M344" s="4"/>
      <c r="N344" s="4"/>
      <c r="O344" s="1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99"/>
      <c r="G345" s="4"/>
      <c r="H345" s="4"/>
      <c r="I345" s="134"/>
      <c r="J345" s="4"/>
      <c r="K345" s="4"/>
      <c r="L345" s="4"/>
      <c r="M345" s="4"/>
      <c r="N345" s="4"/>
      <c r="O345" s="1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99"/>
      <c r="G346" s="4"/>
      <c r="H346" s="4"/>
      <c r="I346" s="134"/>
      <c r="J346" s="4"/>
      <c r="K346" s="4"/>
      <c r="L346" s="4"/>
      <c r="M346" s="4"/>
      <c r="N346" s="4"/>
      <c r="O346" s="1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99"/>
      <c r="G347" s="4"/>
      <c r="H347" s="4"/>
      <c r="I347" s="134"/>
      <c r="J347" s="4"/>
      <c r="K347" s="4"/>
      <c r="L347" s="4"/>
      <c r="M347" s="4"/>
      <c r="N347" s="4"/>
      <c r="O347" s="1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99"/>
      <c r="G348" s="4"/>
      <c r="H348" s="4"/>
      <c r="I348" s="134"/>
      <c r="J348" s="4"/>
      <c r="K348" s="4"/>
      <c r="L348" s="4"/>
      <c r="M348" s="4"/>
      <c r="N348" s="4"/>
      <c r="O348" s="1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99"/>
      <c r="G349" s="4"/>
      <c r="H349" s="4"/>
      <c r="I349" s="134"/>
      <c r="J349" s="4"/>
      <c r="K349" s="4"/>
      <c r="L349" s="4"/>
      <c r="M349" s="4"/>
      <c r="N349" s="4"/>
      <c r="O349" s="1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99"/>
      <c r="G350" s="4"/>
      <c r="H350" s="4"/>
      <c r="I350" s="134"/>
      <c r="J350" s="4"/>
      <c r="K350" s="4"/>
      <c r="L350" s="4"/>
      <c r="M350" s="4"/>
      <c r="N350" s="4"/>
      <c r="O350" s="1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99"/>
      <c r="G351" s="4"/>
      <c r="H351" s="4"/>
      <c r="I351" s="134"/>
      <c r="J351" s="4"/>
      <c r="K351" s="4"/>
      <c r="L351" s="4"/>
      <c r="M351" s="4"/>
      <c r="N351" s="4"/>
      <c r="O351" s="1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99"/>
      <c r="G352" s="4"/>
      <c r="H352" s="4"/>
      <c r="I352" s="134"/>
      <c r="J352" s="4"/>
      <c r="K352" s="4"/>
      <c r="L352" s="4"/>
      <c r="M352" s="4"/>
      <c r="N352" s="4"/>
      <c r="O352" s="1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99"/>
      <c r="G353" s="4"/>
      <c r="H353" s="4"/>
      <c r="I353" s="134"/>
      <c r="J353" s="4"/>
      <c r="K353" s="4"/>
      <c r="L353" s="4"/>
      <c r="M353" s="4"/>
      <c r="N353" s="4"/>
      <c r="O353" s="1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99"/>
      <c r="G354" s="4"/>
      <c r="H354" s="4"/>
      <c r="I354" s="134"/>
      <c r="J354" s="4"/>
      <c r="K354" s="4"/>
      <c r="L354" s="4"/>
      <c r="M354" s="4"/>
      <c r="N354" s="4"/>
      <c r="O354" s="1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110"/>
      <c r="B355" s="110"/>
      <c r="C355" s="110"/>
      <c r="D355" s="110"/>
      <c r="E355" s="110"/>
      <c r="F355" s="344"/>
      <c r="G355" s="110"/>
      <c r="H355" s="110"/>
      <c r="I355" s="410"/>
      <c r="J355" s="110"/>
      <c r="K355" s="110"/>
      <c r="L355" s="110"/>
      <c r="M355" s="110"/>
      <c r="N355" s="110"/>
      <c r="O355" s="329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spans="1:27" ht="15.75" customHeight="1">
      <c r="A356" s="110"/>
      <c r="B356" s="110"/>
      <c r="C356" s="110"/>
      <c r="D356" s="110"/>
      <c r="E356" s="110"/>
      <c r="F356" s="344"/>
      <c r="G356" s="110"/>
      <c r="H356" s="110"/>
      <c r="I356" s="410"/>
      <c r="J356" s="110"/>
      <c r="K356" s="110"/>
      <c r="L356" s="110"/>
      <c r="M356" s="110"/>
      <c r="N356" s="110"/>
      <c r="O356" s="329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</row>
    <row r="357" spans="1:27" ht="15.75" customHeight="1">
      <c r="A357" s="110"/>
      <c r="B357" s="110"/>
      <c r="C357" s="110"/>
      <c r="D357" s="110"/>
      <c r="E357" s="110"/>
      <c r="F357" s="344"/>
      <c r="G357" s="110"/>
      <c r="H357" s="110"/>
      <c r="I357" s="410"/>
      <c r="J357" s="110"/>
      <c r="K357" s="110"/>
      <c r="L357" s="110"/>
      <c r="M357" s="110"/>
      <c r="N357" s="110"/>
      <c r="O357" s="329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spans="1:27" ht="15.75" customHeight="1">
      <c r="A358" s="110"/>
      <c r="B358" s="110"/>
      <c r="C358" s="110"/>
      <c r="D358" s="110"/>
      <c r="E358" s="110"/>
      <c r="F358" s="344"/>
      <c r="G358" s="110"/>
      <c r="H358" s="110"/>
      <c r="I358" s="410"/>
      <c r="J358" s="110"/>
      <c r="K358" s="110"/>
      <c r="L358" s="110"/>
      <c r="M358" s="110"/>
      <c r="N358" s="110"/>
      <c r="O358" s="329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</row>
    <row r="359" spans="1:27" ht="15.75" customHeight="1">
      <c r="A359" s="110"/>
      <c r="B359" s="110"/>
      <c r="C359" s="110"/>
      <c r="D359" s="110"/>
      <c r="E359" s="110"/>
      <c r="F359" s="344"/>
      <c r="G359" s="110"/>
      <c r="H359" s="110"/>
      <c r="I359" s="410"/>
      <c r="J359" s="110"/>
      <c r="K359" s="110"/>
      <c r="L359" s="110"/>
      <c r="M359" s="110"/>
      <c r="N359" s="110"/>
      <c r="O359" s="329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spans="1:27" ht="15.75" customHeight="1">
      <c r="A360" s="110"/>
      <c r="B360" s="110"/>
      <c r="C360" s="110"/>
      <c r="D360" s="110"/>
      <c r="E360" s="110"/>
      <c r="F360" s="344"/>
      <c r="G360" s="110"/>
      <c r="H360" s="110"/>
      <c r="I360" s="410"/>
      <c r="J360" s="110"/>
      <c r="K360" s="110"/>
      <c r="L360" s="110"/>
      <c r="M360" s="110"/>
      <c r="N360" s="110"/>
      <c r="O360" s="329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</row>
    <row r="361" spans="1:27" ht="15.75" customHeight="1">
      <c r="A361" s="110"/>
      <c r="B361" s="110"/>
      <c r="C361" s="110"/>
      <c r="D361" s="110"/>
      <c r="E361" s="110"/>
      <c r="F361" s="344"/>
      <c r="G361" s="110"/>
      <c r="H361" s="110"/>
      <c r="I361" s="410"/>
      <c r="J361" s="110"/>
      <c r="K361" s="110"/>
      <c r="L361" s="110"/>
      <c r="M361" s="110"/>
      <c r="N361" s="110"/>
      <c r="O361" s="329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spans="1:27" ht="15.75" customHeight="1">
      <c r="A362" s="110"/>
      <c r="B362" s="110"/>
      <c r="C362" s="110"/>
      <c r="D362" s="110"/>
      <c r="E362" s="110"/>
      <c r="F362" s="344"/>
      <c r="G362" s="110"/>
      <c r="H362" s="110"/>
      <c r="I362" s="410"/>
      <c r="J362" s="110"/>
      <c r="K362" s="110"/>
      <c r="L362" s="110"/>
      <c r="M362" s="110"/>
      <c r="N362" s="110"/>
      <c r="O362" s="329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</row>
    <row r="363" spans="1:27" ht="15.75" customHeight="1">
      <c r="A363" s="110"/>
      <c r="B363" s="110"/>
      <c r="C363" s="110"/>
      <c r="D363" s="110"/>
      <c r="E363" s="110"/>
      <c r="F363" s="344"/>
      <c r="G363" s="110"/>
      <c r="H363" s="110"/>
      <c r="I363" s="410"/>
      <c r="J363" s="110"/>
      <c r="K363" s="110"/>
      <c r="L363" s="110"/>
      <c r="M363" s="110"/>
      <c r="N363" s="110"/>
      <c r="O363" s="329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spans="1:27" ht="15.75" customHeight="1">
      <c r="A364" s="110"/>
      <c r="B364" s="110"/>
      <c r="C364" s="110"/>
      <c r="D364" s="110"/>
      <c r="E364" s="110"/>
      <c r="F364" s="344"/>
      <c r="G364" s="110"/>
      <c r="H364" s="110"/>
      <c r="I364" s="410"/>
      <c r="J364" s="110"/>
      <c r="K364" s="110"/>
      <c r="L364" s="110"/>
      <c r="M364" s="110"/>
      <c r="N364" s="110"/>
      <c r="O364" s="329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</row>
    <row r="365" spans="1:27" ht="15.75" customHeight="1">
      <c r="A365" s="110"/>
      <c r="B365" s="110"/>
      <c r="C365" s="110"/>
      <c r="D365" s="110"/>
      <c r="E365" s="110"/>
      <c r="F365" s="344"/>
      <c r="G365" s="110"/>
      <c r="H365" s="110"/>
      <c r="I365" s="410"/>
      <c r="J365" s="110"/>
      <c r="K365" s="110"/>
      <c r="L365" s="110"/>
      <c r="M365" s="110"/>
      <c r="N365" s="110"/>
      <c r="O365" s="329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spans="1:27" ht="15.75" customHeight="1">
      <c r="A366" s="110"/>
      <c r="B366" s="110"/>
      <c r="C366" s="110"/>
      <c r="D366" s="110"/>
      <c r="E366" s="110"/>
      <c r="F366" s="344"/>
      <c r="G366" s="110"/>
      <c r="H366" s="110"/>
      <c r="I366" s="410"/>
      <c r="J366" s="110"/>
      <c r="K366" s="110"/>
      <c r="L366" s="110"/>
      <c r="M366" s="110"/>
      <c r="N366" s="110"/>
      <c r="O366" s="329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</row>
    <row r="367" spans="1:27" ht="15.75" customHeight="1">
      <c r="A367" s="110"/>
      <c r="B367" s="110"/>
      <c r="C367" s="110"/>
      <c r="D367" s="110"/>
      <c r="E367" s="110"/>
      <c r="F367" s="344"/>
      <c r="G367" s="110"/>
      <c r="H367" s="110"/>
      <c r="I367" s="410"/>
      <c r="J367" s="110"/>
      <c r="K367" s="110"/>
      <c r="L367" s="110"/>
      <c r="M367" s="110"/>
      <c r="N367" s="110"/>
      <c r="O367" s="329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spans="1:27" ht="15.75" customHeight="1">
      <c r="A368" s="110"/>
      <c r="B368" s="110"/>
      <c r="C368" s="110"/>
      <c r="D368" s="110"/>
      <c r="E368" s="110"/>
      <c r="F368" s="344"/>
      <c r="G368" s="110"/>
      <c r="H368" s="110"/>
      <c r="I368" s="410"/>
      <c r="J368" s="110"/>
      <c r="K368" s="110"/>
      <c r="L368" s="110"/>
      <c r="M368" s="110"/>
      <c r="N368" s="110"/>
      <c r="O368" s="329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</row>
    <row r="369" spans="1:27" ht="15.75" customHeight="1">
      <c r="A369" s="110"/>
      <c r="B369" s="110"/>
      <c r="C369" s="110"/>
      <c r="D369" s="110"/>
      <c r="E369" s="110"/>
      <c r="F369" s="344"/>
      <c r="G369" s="110"/>
      <c r="H369" s="110"/>
      <c r="I369" s="410"/>
      <c r="J369" s="110"/>
      <c r="K369" s="110"/>
      <c r="L369" s="110"/>
      <c r="M369" s="110"/>
      <c r="N369" s="110"/>
      <c r="O369" s="329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spans="1:27" ht="15.75" customHeight="1">
      <c r="A370" s="110"/>
      <c r="B370" s="110"/>
      <c r="C370" s="110"/>
      <c r="D370" s="110"/>
      <c r="E370" s="110"/>
      <c r="F370" s="344"/>
      <c r="G370" s="110"/>
      <c r="H370" s="110"/>
      <c r="I370" s="410"/>
      <c r="J370" s="110"/>
      <c r="K370" s="110"/>
      <c r="L370" s="110"/>
      <c r="M370" s="110"/>
      <c r="N370" s="110"/>
      <c r="O370" s="329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</row>
    <row r="371" spans="1:27" ht="15.75" customHeight="1">
      <c r="A371" s="110"/>
      <c r="B371" s="110"/>
      <c r="C371" s="110"/>
      <c r="D371" s="110"/>
      <c r="E371" s="110"/>
      <c r="F371" s="344"/>
      <c r="G371" s="110"/>
      <c r="H371" s="110"/>
      <c r="I371" s="410"/>
      <c r="J371" s="110"/>
      <c r="K371" s="110"/>
      <c r="L371" s="110"/>
      <c r="M371" s="110"/>
      <c r="N371" s="110"/>
      <c r="O371" s="329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spans="1:27" ht="15.75" customHeight="1">
      <c r="A372" s="110"/>
      <c r="B372" s="110"/>
      <c r="C372" s="110"/>
      <c r="D372" s="110"/>
      <c r="E372" s="110"/>
      <c r="F372" s="344"/>
      <c r="G372" s="110"/>
      <c r="H372" s="110"/>
      <c r="I372" s="410"/>
      <c r="J372" s="110"/>
      <c r="K372" s="110"/>
      <c r="L372" s="110"/>
      <c r="M372" s="110"/>
      <c r="N372" s="110"/>
      <c r="O372" s="329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</row>
    <row r="373" spans="1:27" ht="15.75" customHeight="1">
      <c r="A373" s="110"/>
      <c r="B373" s="110"/>
      <c r="C373" s="110"/>
      <c r="D373" s="110"/>
      <c r="E373" s="110"/>
      <c r="F373" s="344"/>
      <c r="G373" s="110"/>
      <c r="H373" s="110"/>
      <c r="I373" s="410"/>
      <c r="J373" s="110"/>
      <c r="K373" s="110"/>
      <c r="L373" s="110"/>
      <c r="M373" s="110"/>
      <c r="N373" s="110"/>
      <c r="O373" s="329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spans="1:27" ht="15.75" customHeight="1">
      <c r="A374" s="110"/>
      <c r="B374" s="110"/>
      <c r="C374" s="110"/>
      <c r="D374" s="110"/>
      <c r="E374" s="110"/>
      <c r="F374" s="344"/>
      <c r="G374" s="110"/>
      <c r="H374" s="110"/>
      <c r="I374" s="410"/>
      <c r="J374" s="110"/>
      <c r="K374" s="110"/>
      <c r="L374" s="110"/>
      <c r="M374" s="110"/>
      <c r="N374" s="110"/>
      <c r="O374" s="329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</row>
    <row r="375" spans="1:27" ht="15.75" customHeight="1">
      <c r="A375" s="110"/>
      <c r="B375" s="110"/>
      <c r="C375" s="110"/>
      <c r="D375" s="110"/>
      <c r="E375" s="110"/>
      <c r="F375" s="344"/>
      <c r="G375" s="110"/>
      <c r="H375" s="110"/>
      <c r="I375" s="410"/>
      <c r="J375" s="110"/>
      <c r="K375" s="110"/>
      <c r="L375" s="110"/>
      <c r="M375" s="110"/>
      <c r="N375" s="110"/>
      <c r="O375" s="329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spans="1:27" ht="15.75" customHeight="1">
      <c r="A376" s="110"/>
      <c r="B376" s="110"/>
      <c r="C376" s="110"/>
      <c r="D376" s="110"/>
      <c r="E376" s="110"/>
      <c r="F376" s="344"/>
      <c r="G376" s="110"/>
      <c r="H376" s="110"/>
      <c r="I376" s="410"/>
      <c r="J376" s="110"/>
      <c r="K376" s="110"/>
      <c r="L376" s="110"/>
      <c r="M376" s="110"/>
      <c r="N376" s="110"/>
      <c r="O376" s="329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</row>
    <row r="377" spans="1:27" ht="15.75" customHeight="1">
      <c r="A377" s="110"/>
      <c r="B377" s="110"/>
      <c r="C377" s="110"/>
      <c r="D377" s="110"/>
      <c r="E377" s="110"/>
      <c r="F377" s="344"/>
      <c r="G377" s="110"/>
      <c r="H377" s="110"/>
      <c r="I377" s="410"/>
      <c r="J377" s="110"/>
      <c r="K377" s="110"/>
      <c r="L377" s="110"/>
      <c r="M377" s="110"/>
      <c r="N377" s="110"/>
      <c r="O377" s="329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spans="1:27" ht="15.75" customHeight="1">
      <c r="A378" s="110"/>
      <c r="B378" s="110"/>
      <c r="C378" s="110"/>
      <c r="D378" s="110"/>
      <c r="E378" s="110"/>
      <c r="F378" s="344"/>
      <c r="G378" s="110"/>
      <c r="H378" s="110"/>
      <c r="I378" s="410"/>
      <c r="J378" s="110"/>
      <c r="K378" s="110"/>
      <c r="L378" s="110"/>
      <c r="M378" s="110"/>
      <c r="N378" s="110"/>
      <c r="O378" s="329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</row>
    <row r="379" spans="1:27" ht="15.75" customHeight="1">
      <c r="A379" s="110"/>
      <c r="B379" s="110"/>
      <c r="C379" s="110"/>
      <c r="D379" s="110"/>
      <c r="E379" s="110"/>
      <c r="F379" s="344"/>
      <c r="G379" s="110"/>
      <c r="H379" s="110"/>
      <c r="I379" s="410"/>
      <c r="J379" s="110"/>
      <c r="K379" s="110"/>
      <c r="L379" s="110"/>
      <c r="M379" s="110"/>
      <c r="N379" s="110"/>
      <c r="O379" s="329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spans="1:27" ht="15.75" customHeight="1">
      <c r="A380" s="110"/>
      <c r="B380" s="110"/>
      <c r="C380" s="110"/>
      <c r="D380" s="110"/>
      <c r="E380" s="110"/>
      <c r="F380" s="344"/>
      <c r="G380" s="110"/>
      <c r="H380" s="110"/>
      <c r="I380" s="410"/>
      <c r="J380" s="110"/>
      <c r="K380" s="110"/>
      <c r="L380" s="110"/>
      <c r="M380" s="110"/>
      <c r="N380" s="110"/>
      <c r="O380" s="329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</row>
    <row r="381" spans="1:27" ht="15.75" customHeight="1">
      <c r="A381" s="110"/>
      <c r="B381" s="110"/>
      <c r="C381" s="110"/>
      <c r="D381" s="110"/>
      <c r="E381" s="110"/>
      <c r="F381" s="344"/>
      <c r="G381" s="110"/>
      <c r="H381" s="110"/>
      <c r="I381" s="410"/>
      <c r="J381" s="110"/>
      <c r="K381" s="110"/>
      <c r="L381" s="110"/>
      <c r="M381" s="110"/>
      <c r="N381" s="110"/>
      <c r="O381" s="329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spans="1:27" ht="15.75" customHeight="1">
      <c r="A382" s="110"/>
      <c r="B382" s="110"/>
      <c r="C382" s="110"/>
      <c r="D382" s="110"/>
      <c r="E382" s="110"/>
      <c r="F382" s="344"/>
      <c r="G382" s="110"/>
      <c r="H382" s="110"/>
      <c r="I382" s="410"/>
      <c r="J382" s="110"/>
      <c r="K382" s="110"/>
      <c r="L382" s="110"/>
      <c r="M382" s="110"/>
      <c r="N382" s="110"/>
      <c r="O382" s="329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</row>
    <row r="383" spans="1:27" ht="15.75" customHeight="1">
      <c r="A383" s="110"/>
      <c r="B383" s="110"/>
      <c r="C383" s="110"/>
      <c r="D383" s="110"/>
      <c r="E383" s="110"/>
      <c r="F383" s="344"/>
      <c r="G383" s="110"/>
      <c r="H383" s="110"/>
      <c r="I383" s="410"/>
      <c r="J383" s="110"/>
      <c r="K383" s="110"/>
      <c r="L383" s="110"/>
      <c r="M383" s="110"/>
      <c r="N383" s="110"/>
      <c r="O383" s="329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spans="1:27" ht="15.75" customHeight="1">
      <c r="A384" s="110"/>
      <c r="B384" s="110"/>
      <c r="C384" s="110"/>
      <c r="D384" s="110"/>
      <c r="E384" s="110"/>
      <c r="F384" s="344"/>
      <c r="G384" s="110"/>
      <c r="H384" s="110"/>
      <c r="I384" s="410"/>
      <c r="J384" s="110"/>
      <c r="K384" s="110"/>
      <c r="L384" s="110"/>
      <c r="M384" s="110"/>
      <c r="N384" s="110"/>
      <c r="O384" s="329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</row>
    <row r="385" spans="1:27" ht="15.75" customHeight="1">
      <c r="A385" s="110"/>
      <c r="B385" s="110"/>
      <c r="C385" s="110"/>
      <c r="D385" s="110"/>
      <c r="E385" s="110"/>
      <c r="F385" s="344"/>
      <c r="G385" s="110"/>
      <c r="H385" s="110"/>
      <c r="I385" s="410"/>
      <c r="J385" s="110"/>
      <c r="K385" s="110"/>
      <c r="L385" s="110"/>
      <c r="M385" s="110"/>
      <c r="N385" s="110"/>
      <c r="O385" s="329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spans="1:27" ht="15.75" customHeight="1">
      <c r="A386" s="110"/>
      <c r="B386" s="110"/>
      <c r="C386" s="110"/>
      <c r="D386" s="110"/>
      <c r="E386" s="110"/>
      <c r="F386" s="344"/>
      <c r="G386" s="110"/>
      <c r="H386" s="110"/>
      <c r="I386" s="410"/>
      <c r="J386" s="110"/>
      <c r="K386" s="110"/>
      <c r="L386" s="110"/>
      <c r="M386" s="110"/>
      <c r="N386" s="110"/>
      <c r="O386" s="329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</row>
    <row r="387" spans="1:27" ht="15.75" customHeight="1">
      <c r="A387" s="110"/>
      <c r="B387" s="110"/>
      <c r="C387" s="110"/>
      <c r="D387" s="110"/>
      <c r="E387" s="110"/>
      <c r="F387" s="344"/>
      <c r="G387" s="110"/>
      <c r="H387" s="110"/>
      <c r="I387" s="410"/>
      <c r="J387" s="110"/>
      <c r="K387" s="110"/>
      <c r="L387" s="110"/>
      <c r="M387" s="110"/>
      <c r="N387" s="110"/>
      <c r="O387" s="329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spans="1:27" ht="15.75" customHeight="1">
      <c r="A388" s="110"/>
      <c r="B388" s="110"/>
      <c r="C388" s="110"/>
      <c r="D388" s="110"/>
      <c r="E388" s="110"/>
      <c r="F388" s="344"/>
      <c r="G388" s="110"/>
      <c r="H388" s="110"/>
      <c r="I388" s="410"/>
      <c r="J388" s="110"/>
      <c r="K388" s="110"/>
      <c r="L388" s="110"/>
      <c r="M388" s="110"/>
      <c r="N388" s="110"/>
      <c r="O388" s="329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</row>
    <row r="389" spans="1:27" ht="15.75" customHeight="1">
      <c r="A389" s="110"/>
      <c r="B389" s="110"/>
      <c r="C389" s="110"/>
      <c r="D389" s="110"/>
      <c r="E389" s="110"/>
      <c r="F389" s="344"/>
      <c r="G389" s="110"/>
      <c r="H389" s="110"/>
      <c r="I389" s="410"/>
      <c r="J389" s="110"/>
      <c r="K389" s="110"/>
      <c r="L389" s="110"/>
      <c r="M389" s="110"/>
      <c r="N389" s="110"/>
      <c r="O389" s="329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spans="1:27" ht="15.75" customHeight="1">
      <c r="A390" s="110"/>
      <c r="B390" s="110"/>
      <c r="C390" s="110"/>
      <c r="D390" s="110"/>
      <c r="E390" s="110"/>
      <c r="F390" s="344"/>
      <c r="G390" s="110"/>
      <c r="H390" s="110"/>
      <c r="I390" s="410"/>
      <c r="J390" s="110"/>
      <c r="K390" s="110"/>
      <c r="L390" s="110"/>
      <c r="M390" s="110"/>
      <c r="N390" s="110"/>
      <c r="O390" s="329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</row>
    <row r="391" spans="1:27" ht="15.75" customHeight="1">
      <c r="A391" s="110"/>
      <c r="B391" s="110"/>
      <c r="C391" s="110"/>
      <c r="D391" s="110"/>
      <c r="E391" s="110"/>
      <c r="F391" s="344"/>
      <c r="G391" s="110"/>
      <c r="H391" s="110"/>
      <c r="I391" s="410"/>
      <c r="J391" s="110"/>
      <c r="K391" s="110"/>
      <c r="L391" s="110"/>
      <c r="M391" s="110"/>
      <c r="N391" s="110"/>
      <c r="O391" s="329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spans="1:27" ht="15.75" customHeight="1">
      <c r="A392" s="110"/>
      <c r="B392" s="110"/>
      <c r="C392" s="110"/>
      <c r="D392" s="110"/>
      <c r="E392" s="110"/>
      <c r="F392" s="344"/>
      <c r="G392" s="110"/>
      <c r="H392" s="110"/>
      <c r="I392" s="410"/>
      <c r="J392" s="110"/>
      <c r="K392" s="110"/>
      <c r="L392" s="110"/>
      <c r="M392" s="110"/>
      <c r="N392" s="110"/>
      <c r="O392" s="329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</row>
    <row r="393" spans="1:27" ht="15.75" customHeight="1">
      <c r="A393" s="110"/>
      <c r="B393" s="110"/>
      <c r="C393" s="110"/>
      <c r="D393" s="110"/>
      <c r="E393" s="110"/>
      <c r="F393" s="344"/>
      <c r="G393" s="110"/>
      <c r="H393" s="110"/>
      <c r="I393" s="410"/>
      <c r="J393" s="110"/>
      <c r="K393" s="110"/>
      <c r="L393" s="110"/>
      <c r="M393" s="110"/>
      <c r="N393" s="110"/>
      <c r="O393" s="329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spans="1:27" ht="15.75" customHeight="1">
      <c r="A394" s="110"/>
      <c r="B394" s="110"/>
      <c r="C394" s="110"/>
      <c r="D394" s="110"/>
      <c r="E394" s="110"/>
      <c r="F394" s="344"/>
      <c r="G394" s="110"/>
      <c r="H394" s="110"/>
      <c r="I394" s="410"/>
      <c r="J394" s="110"/>
      <c r="K394" s="110"/>
      <c r="L394" s="110"/>
      <c r="M394" s="110"/>
      <c r="N394" s="110"/>
      <c r="O394" s="329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</row>
    <row r="395" spans="1:27" ht="15.75" customHeight="1">
      <c r="A395" s="110"/>
      <c r="B395" s="110"/>
      <c r="C395" s="110"/>
      <c r="D395" s="110"/>
      <c r="E395" s="110"/>
      <c r="F395" s="344"/>
      <c r="G395" s="110"/>
      <c r="H395" s="110"/>
      <c r="I395" s="410"/>
      <c r="J395" s="110"/>
      <c r="K395" s="110"/>
      <c r="L395" s="110"/>
      <c r="M395" s="110"/>
      <c r="N395" s="110"/>
      <c r="O395" s="329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spans="1:27" ht="15.75" customHeight="1">
      <c r="A396" s="110"/>
      <c r="B396" s="110"/>
      <c r="C396" s="110"/>
      <c r="D396" s="110"/>
      <c r="E396" s="110"/>
      <c r="F396" s="344"/>
      <c r="G396" s="110"/>
      <c r="H396" s="110"/>
      <c r="I396" s="410"/>
      <c r="J396" s="110"/>
      <c r="K396" s="110"/>
      <c r="L396" s="110"/>
      <c r="M396" s="110"/>
      <c r="N396" s="110"/>
      <c r="O396" s="329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</row>
    <row r="397" spans="1:27" ht="15.75" customHeight="1">
      <c r="A397" s="110"/>
      <c r="B397" s="110"/>
      <c r="C397" s="110"/>
      <c r="D397" s="110"/>
      <c r="E397" s="110"/>
      <c r="F397" s="344"/>
      <c r="G397" s="110"/>
      <c r="H397" s="110"/>
      <c r="I397" s="410"/>
      <c r="J397" s="110"/>
      <c r="K397" s="110"/>
      <c r="L397" s="110"/>
      <c r="M397" s="110"/>
      <c r="N397" s="110"/>
      <c r="O397" s="329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spans="1:27" ht="15.75" customHeight="1">
      <c r="A398" s="110"/>
      <c r="B398" s="110"/>
      <c r="C398" s="110"/>
      <c r="D398" s="110"/>
      <c r="E398" s="110"/>
      <c r="F398" s="344"/>
      <c r="G398" s="110"/>
      <c r="H398" s="110"/>
      <c r="I398" s="410"/>
      <c r="J398" s="110"/>
      <c r="K398" s="110"/>
      <c r="L398" s="110"/>
      <c r="M398" s="110"/>
      <c r="N398" s="110"/>
      <c r="O398" s="329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</row>
    <row r="399" spans="1:27" ht="15.75" customHeight="1">
      <c r="A399" s="110"/>
      <c r="B399" s="110"/>
      <c r="C399" s="110"/>
      <c r="D399" s="110"/>
      <c r="E399" s="110"/>
      <c r="F399" s="344"/>
      <c r="G399" s="110"/>
      <c r="H399" s="110"/>
      <c r="I399" s="410"/>
      <c r="J399" s="110"/>
      <c r="K399" s="110"/>
      <c r="L399" s="110"/>
      <c r="M399" s="110"/>
      <c r="N399" s="110"/>
      <c r="O399" s="329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spans="1:27" ht="15.75" customHeight="1">
      <c r="A400" s="110"/>
      <c r="B400" s="110"/>
      <c r="C400" s="110"/>
      <c r="D400" s="110"/>
      <c r="E400" s="110"/>
      <c r="F400" s="344"/>
      <c r="G400" s="110"/>
      <c r="H400" s="110"/>
      <c r="I400" s="410"/>
      <c r="J400" s="110"/>
      <c r="K400" s="110"/>
      <c r="L400" s="110"/>
      <c r="M400" s="110"/>
      <c r="N400" s="110"/>
      <c r="O400" s="329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</row>
    <row r="401" spans="1:27" ht="15.75" customHeight="1">
      <c r="A401" s="110"/>
      <c r="B401" s="110"/>
      <c r="C401" s="110"/>
      <c r="D401" s="110"/>
      <c r="E401" s="110"/>
      <c r="F401" s="344"/>
      <c r="G401" s="110"/>
      <c r="H401" s="110"/>
      <c r="I401" s="410"/>
      <c r="J401" s="110"/>
      <c r="K401" s="110"/>
      <c r="L401" s="110"/>
      <c r="M401" s="110"/>
      <c r="N401" s="110"/>
      <c r="O401" s="329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spans="1:27" ht="15.75" customHeight="1">
      <c r="A402" s="110"/>
      <c r="B402" s="110"/>
      <c r="C402" s="110"/>
      <c r="D402" s="110"/>
      <c r="E402" s="110"/>
      <c r="F402" s="344"/>
      <c r="G402" s="110"/>
      <c r="H402" s="110"/>
      <c r="I402" s="410"/>
      <c r="J402" s="110"/>
      <c r="K402" s="110"/>
      <c r="L402" s="110"/>
      <c r="M402" s="110"/>
      <c r="N402" s="110"/>
      <c r="O402" s="329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</row>
    <row r="403" spans="1:27" ht="15.75" customHeight="1">
      <c r="A403" s="110"/>
      <c r="B403" s="110"/>
      <c r="C403" s="110"/>
      <c r="D403" s="110"/>
      <c r="E403" s="110"/>
      <c r="F403" s="344"/>
      <c r="G403" s="110"/>
      <c r="H403" s="110"/>
      <c r="I403" s="410"/>
      <c r="J403" s="110"/>
      <c r="K403" s="110"/>
      <c r="L403" s="110"/>
      <c r="M403" s="110"/>
      <c r="N403" s="110"/>
      <c r="O403" s="329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spans="1:27" ht="15.75" customHeight="1">
      <c r="A404" s="110"/>
      <c r="B404" s="110"/>
      <c r="C404" s="110"/>
      <c r="D404" s="110"/>
      <c r="E404" s="110"/>
      <c r="F404" s="344"/>
      <c r="G404" s="110"/>
      <c r="H404" s="110"/>
      <c r="I404" s="410"/>
      <c r="J404" s="110"/>
      <c r="K404" s="110"/>
      <c r="L404" s="110"/>
      <c r="M404" s="110"/>
      <c r="N404" s="110"/>
      <c r="O404" s="329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</row>
    <row r="405" spans="1:27" ht="15.75" customHeight="1">
      <c r="A405" s="110"/>
      <c r="B405" s="110"/>
      <c r="C405" s="110"/>
      <c r="D405" s="110"/>
      <c r="E405" s="110"/>
      <c r="F405" s="344"/>
      <c r="G405" s="110"/>
      <c r="H405" s="110"/>
      <c r="I405" s="410"/>
      <c r="J405" s="110"/>
      <c r="K405" s="110"/>
      <c r="L405" s="110"/>
      <c r="M405" s="110"/>
      <c r="N405" s="110"/>
      <c r="O405" s="329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spans="1:27" ht="15.75" customHeight="1">
      <c r="A406" s="110"/>
      <c r="B406" s="110"/>
      <c r="C406" s="110"/>
      <c r="D406" s="110"/>
      <c r="E406" s="110"/>
      <c r="F406" s="344"/>
      <c r="G406" s="110"/>
      <c r="H406" s="110"/>
      <c r="I406" s="410"/>
      <c r="J406" s="110"/>
      <c r="K406" s="110"/>
      <c r="L406" s="110"/>
      <c r="M406" s="110"/>
      <c r="N406" s="110"/>
      <c r="O406" s="329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</row>
    <row r="407" spans="1:27" ht="15.75" customHeight="1">
      <c r="A407" s="110"/>
      <c r="B407" s="110"/>
      <c r="C407" s="110"/>
      <c r="D407" s="110"/>
      <c r="E407" s="110"/>
      <c r="F407" s="344"/>
      <c r="G407" s="110"/>
      <c r="H407" s="110"/>
      <c r="I407" s="410"/>
      <c r="J407" s="110"/>
      <c r="K407" s="110"/>
      <c r="L407" s="110"/>
      <c r="M407" s="110"/>
      <c r="N407" s="110"/>
      <c r="O407" s="329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spans="1:27" ht="15.75" customHeight="1">
      <c r="A408" s="110"/>
      <c r="B408" s="110"/>
      <c r="C408" s="110"/>
      <c r="D408" s="110"/>
      <c r="E408" s="110"/>
      <c r="F408" s="344"/>
      <c r="G408" s="110"/>
      <c r="H408" s="110"/>
      <c r="I408" s="410"/>
      <c r="J408" s="110"/>
      <c r="K408" s="110"/>
      <c r="L408" s="110"/>
      <c r="M408" s="110"/>
      <c r="N408" s="110"/>
      <c r="O408" s="329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</row>
    <row r="409" spans="1:27" ht="15.75" customHeight="1">
      <c r="A409" s="110"/>
      <c r="B409" s="110"/>
      <c r="C409" s="110"/>
      <c r="D409" s="110"/>
      <c r="E409" s="110"/>
      <c r="F409" s="344"/>
      <c r="G409" s="110"/>
      <c r="H409" s="110"/>
      <c r="I409" s="410"/>
      <c r="J409" s="110"/>
      <c r="K409" s="110"/>
      <c r="L409" s="110"/>
      <c r="M409" s="110"/>
      <c r="N409" s="110"/>
      <c r="O409" s="329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spans="1:27" ht="15.75" customHeight="1">
      <c r="A410" s="110"/>
      <c r="B410" s="110"/>
      <c r="C410" s="110"/>
      <c r="D410" s="110"/>
      <c r="E410" s="110"/>
      <c r="F410" s="344"/>
      <c r="G410" s="110"/>
      <c r="H410" s="110"/>
      <c r="I410" s="410"/>
      <c r="J410" s="110"/>
      <c r="K410" s="110"/>
      <c r="L410" s="110"/>
      <c r="M410" s="110"/>
      <c r="N410" s="110"/>
      <c r="O410" s="329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</row>
    <row r="411" spans="1:27" ht="15.75" customHeight="1">
      <c r="A411" s="110"/>
      <c r="B411" s="110"/>
      <c r="C411" s="110"/>
      <c r="D411" s="110"/>
      <c r="E411" s="110"/>
      <c r="F411" s="344"/>
      <c r="G411" s="110"/>
      <c r="H411" s="110"/>
      <c r="I411" s="410"/>
      <c r="J411" s="110"/>
      <c r="K411" s="110"/>
      <c r="L411" s="110"/>
      <c r="M411" s="110"/>
      <c r="N411" s="110"/>
      <c r="O411" s="329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spans="1:27" ht="15.75" customHeight="1">
      <c r="A412" s="110"/>
      <c r="B412" s="110"/>
      <c r="C412" s="110"/>
      <c r="D412" s="110"/>
      <c r="E412" s="110"/>
      <c r="F412" s="344"/>
      <c r="G412" s="110"/>
      <c r="H412" s="110"/>
      <c r="I412" s="410"/>
      <c r="J412" s="110"/>
      <c r="K412" s="110"/>
      <c r="L412" s="110"/>
      <c r="M412" s="110"/>
      <c r="N412" s="110"/>
      <c r="O412" s="329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</row>
    <row r="413" spans="1:27" ht="15.75" customHeight="1">
      <c r="A413" s="110"/>
      <c r="B413" s="110"/>
      <c r="C413" s="110"/>
      <c r="D413" s="110"/>
      <c r="E413" s="110"/>
      <c r="F413" s="344"/>
      <c r="G413" s="110"/>
      <c r="H413" s="110"/>
      <c r="I413" s="410"/>
      <c r="J413" s="110"/>
      <c r="K413" s="110"/>
      <c r="L413" s="110"/>
      <c r="M413" s="110"/>
      <c r="N413" s="110"/>
      <c r="O413" s="329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spans="1:27" ht="15.75" customHeight="1">
      <c r="A414" s="110"/>
      <c r="B414" s="110"/>
      <c r="C414" s="110"/>
      <c r="D414" s="110"/>
      <c r="E414" s="110"/>
      <c r="F414" s="344"/>
      <c r="G414" s="110"/>
      <c r="H414" s="110"/>
      <c r="I414" s="410"/>
      <c r="J414" s="110"/>
      <c r="K414" s="110"/>
      <c r="L414" s="110"/>
      <c r="M414" s="110"/>
      <c r="N414" s="110"/>
      <c r="O414" s="329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</row>
    <row r="415" spans="1:27" ht="15.75" customHeight="1">
      <c r="A415" s="110"/>
      <c r="B415" s="110"/>
      <c r="C415" s="110"/>
      <c r="D415" s="110"/>
      <c r="E415" s="110"/>
      <c r="F415" s="344"/>
      <c r="G415" s="110"/>
      <c r="H415" s="110"/>
      <c r="I415" s="410"/>
      <c r="J415" s="110"/>
      <c r="K415" s="110"/>
      <c r="L415" s="110"/>
      <c r="M415" s="110"/>
      <c r="N415" s="110"/>
      <c r="O415" s="329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spans="1:27" ht="15.75" customHeight="1">
      <c r="A416" s="110"/>
      <c r="B416" s="110"/>
      <c r="C416" s="110"/>
      <c r="D416" s="110"/>
      <c r="E416" s="110"/>
      <c r="F416" s="344"/>
      <c r="G416" s="110"/>
      <c r="H416" s="110"/>
      <c r="I416" s="410"/>
      <c r="J416" s="110"/>
      <c r="K416" s="110"/>
      <c r="L416" s="110"/>
      <c r="M416" s="110"/>
      <c r="N416" s="110"/>
      <c r="O416" s="329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</row>
    <row r="417" spans="1:27" ht="15.75" customHeight="1">
      <c r="A417" s="110"/>
      <c r="B417" s="110"/>
      <c r="C417" s="110"/>
      <c r="D417" s="110"/>
      <c r="E417" s="110"/>
      <c r="F417" s="344"/>
      <c r="G417" s="110"/>
      <c r="H417" s="110"/>
      <c r="I417" s="410"/>
      <c r="J417" s="110"/>
      <c r="K417" s="110"/>
      <c r="L417" s="110"/>
      <c r="M417" s="110"/>
      <c r="N417" s="110"/>
      <c r="O417" s="329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spans="1:27" ht="15.75" customHeight="1">
      <c r="A418" s="110"/>
      <c r="B418" s="110"/>
      <c r="C418" s="110"/>
      <c r="D418" s="110"/>
      <c r="E418" s="110"/>
      <c r="F418" s="344"/>
      <c r="G418" s="110"/>
      <c r="H418" s="110"/>
      <c r="I418" s="410"/>
      <c r="J418" s="110"/>
      <c r="K418" s="110"/>
      <c r="L418" s="110"/>
      <c r="M418" s="110"/>
      <c r="N418" s="110"/>
      <c r="O418" s="329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</row>
    <row r="419" spans="1:27" ht="15.75" customHeight="1">
      <c r="A419" s="110"/>
      <c r="B419" s="110"/>
      <c r="C419" s="110"/>
      <c r="D419" s="110"/>
      <c r="E419" s="110"/>
      <c r="F419" s="344"/>
      <c r="G419" s="110"/>
      <c r="H419" s="110"/>
      <c r="I419" s="410"/>
      <c r="J419" s="110"/>
      <c r="K419" s="110"/>
      <c r="L419" s="110"/>
      <c r="M419" s="110"/>
      <c r="N419" s="110"/>
      <c r="O419" s="329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spans="1:27" ht="15.75" customHeight="1">
      <c r="A420" s="110"/>
      <c r="B420" s="110"/>
      <c r="C420" s="110"/>
      <c r="D420" s="110"/>
      <c r="E420" s="110"/>
      <c r="F420" s="344"/>
      <c r="G420" s="110"/>
      <c r="H420" s="110"/>
      <c r="I420" s="410"/>
      <c r="J420" s="110"/>
      <c r="K420" s="110"/>
      <c r="L420" s="110"/>
      <c r="M420" s="110"/>
      <c r="N420" s="110"/>
      <c r="O420" s="329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</row>
    <row r="421" spans="1:27" ht="15.75" customHeight="1">
      <c r="A421" s="110"/>
      <c r="B421" s="110"/>
      <c r="C421" s="110"/>
      <c r="D421" s="110"/>
      <c r="E421" s="110"/>
      <c r="F421" s="344"/>
      <c r="G421" s="110"/>
      <c r="H421" s="110"/>
      <c r="I421" s="410"/>
      <c r="J421" s="110"/>
      <c r="K421" s="110"/>
      <c r="L421" s="110"/>
      <c r="M421" s="110"/>
      <c r="N421" s="110"/>
      <c r="O421" s="329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spans="1:27" ht="15.75" customHeight="1">
      <c r="A422" s="110"/>
      <c r="B422" s="110"/>
      <c r="C422" s="110"/>
      <c r="D422" s="110"/>
      <c r="E422" s="110"/>
      <c r="F422" s="344"/>
      <c r="G422" s="110"/>
      <c r="H422" s="110"/>
      <c r="I422" s="410"/>
      <c r="J422" s="110"/>
      <c r="K422" s="110"/>
      <c r="L422" s="110"/>
      <c r="M422" s="110"/>
      <c r="N422" s="110"/>
      <c r="O422" s="329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</row>
    <row r="423" spans="1:27" ht="15.75" customHeight="1">
      <c r="A423" s="110"/>
      <c r="B423" s="110"/>
      <c r="C423" s="110"/>
      <c r="D423" s="110"/>
      <c r="E423" s="110"/>
      <c r="F423" s="344"/>
      <c r="G423" s="110"/>
      <c r="H423" s="110"/>
      <c r="I423" s="410"/>
      <c r="J423" s="110"/>
      <c r="K423" s="110"/>
      <c r="L423" s="110"/>
      <c r="M423" s="110"/>
      <c r="N423" s="110"/>
      <c r="O423" s="329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spans="1:27" ht="15.75" customHeight="1">
      <c r="A424" s="110"/>
      <c r="B424" s="110"/>
      <c r="C424" s="110"/>
      <c r="D424" s="110"/>
      <c r="E424" s="110"/>
      <c r="F424" s="344"/>
      <c r="G424" s="110"/>
      <c r="H424" s="110"/>
      <c r="I424" s="410"/>
      <c r="J424" s="110"/>
      <c r="K424" s="110"/>
      <c r="L424" s="110"/>
      <c r="M424" s="110"/>
      <c r="N424" s="110"/>
      <c r="O424" s="329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</row>
    <row r="425" spans="1:27" ht="15.75" customHeight="1">
      <c r="A425" s="110"/>
      <c r="B425" s="110"/>
      <c r="C425" s="110"/>
      <c r="D425" s="110"/>
      <c r="E425" s="110"/>
      <c r="F425" s="344"/>
      <c r="G425" s="110"/>
      <c r="H425" s="110"/>
      <c r="I425" s="410"/>
      <c r="J425" s="110"/>
      <c r="K425" s="110"/>
      <c r="L425" s="110"/>
      <c r="M425" s="110"/>
      <c r="N425" s="110"/>
      <c r="O425" s="329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spans="1:27" ht="15.75" customHeight="1">
      <c r="A426" s="110"/>
      <c r="B426" s="110"/>
      <c r="C426" s="110"/>
      <c r="D426" s="110"/>
      <c r="E426" s="110"/>
      <c r="F426" s="344"/>
      <c r="G426" s="110"/>
      <c r="H426" s="110"/>
      <c r="I426" s="410"/>
      <c r="J426" s="110"/>
      <c r="K426" s="110"/>
      <c r="L426" s="110"/>
      <c r="M426" s="110"/>
      <c r="N426" s="110"/>
      <c r="O426" s="329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</row>
    <row r="427" spans="1:27" ht="15.75" customHeight="1">
      <c r="A427" s="110"/>
      <c r="B427" s="110"/>
      <c r="C427" s="110"/>
      <c r="D427" s="110"/>
      <c r="E427" s="110"/>
      <c r="F427" s="344"/>
      <c r="G427" s="110"/>
      <c r="H427" s="110"/>
      <c r="I427" s="410"/>
      <c r="J427" s="110"/>
      <c r="K427" s="110"/>
      <c r="L427" s="110"/>
      <c r="M427" s="110"/>
      <c r="N427" s="110"/>
      <c r="O427" s="329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spans="1:27" ht="15.75" customHeight="1">
      <c r="A428" s="110"/>
      <c r="B428" s="110"/>
      <c r="C428" s="110"/>
      <c r="D428" s="110"/>
      <c r="E428" s="110"/>
      <c r="F428" s="344"/>
      <c r="G428" s="110"/>
      <c r="H428" s="110"/>
      <c r="I428" s="410"/>
      <c r="J428" s="110"/>
      <c r="K428" s="110"/>
      <c r="L428" s="110"/>
      <c r="M428" s="110"/>
      <c r="N428" s="110"/>
      <c r="O428" s="329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</row>
    <row r="429" spans="1:27" ht="15.75" customHeight="1">
      <c r="A429" s="110"/>
      <c r="B429" s="110"/>
      <c r="C429" s="110"/>
      <c r="D429" s="110"/>
      <c r="E429" s="110"/>
      <c r="F429" s="344"/>
      <c r="G429" s="110"/>
      <c r="H429" s="110"/>
      <c r="I429" s="410"/>
      <c r="J429" s="110"/>
      <c r="K429" s="110"/>
      <c r="L429" s="110"/>
      <c r="M429" s="110"/>
      <c r="N429" s="110"/>
      <c r="O429" s="329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spans="1:27" ht="15.75" customHeight="1">
      <c r="A430" s="110"/>
      <c r="B430" s="110"/>
      <c r="C430" s="110"/>
      <c r="D430" s="110"/>
      <c r="E430" s="110"/>
      <c r="F430" s="344"/>
      <c r="G430" s="110"/>
      <c r="H430" s="110"/>
      <c r="I430" s="410"/>
      <c r="J430" s="110"/>
      <c r="K430" s="110"/>
      <c r="L430" s="110"/>
      <c r="M430" s="110"/>
      <c r="N430" s="110"/>
      <c r="O430" s="329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</row>
    <row r="431" spans="1:27" ht="15.75" customHeight="1">
      <c r="A431" s="110"/>
      <c r="B431" s="110"/>
      <c r="C431" s="110"/>
      <c r="D431" s="110"/>
      <c r="E431" s="110"/>
      <c r="F431" s="344"/>
      <c r="G431" s="110"/>
      <c r="H431" s="110"/>
      <c r="I431" s="410"/>
      <c r="J431" s="110"/>
      <c r="K431" s="110"/>
      <c r="L431" s="110"/>
      <c r="M431" s="110"/>
      <c r="N431" s="110"/>
      <c r="O431" s="329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spans="1:27" ht="15.75" customHeight="1">
      <c r="A432" s="110"/>
      <c r="B432" s="110"/>
      <c r="C432" s="110"/>
      <c r="D432" s="110"/>
      <c r="E432" s="110"/>
      <c r="F432" s="344"/>
      <c r="G432" s="110"/>
      <c r="H432" s="110"/>
      <c r="I432" s="410"/>
      <c r="J432" s="110"/>
      <c r="K432" s="110"/>
      <c r="L432" s="110"/>
      <c r="M432" s="110"/>
      <c r="N432" s="110"/>
      <c r="O432" s="329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</row>
    <row r="433" spans="1:27" ht="15.75" customHeight="1">
      <c r="A433" s="110"/>
      <c r="B433" s="110"/>
      <c r="C433" s="110"/>
      <c r="D433" s="110"/>
      <c r="E433" s="110"/>
      <c r="F433" s="344"/>
      <c r="G433" s="110"/>
      <c r="H433" s="110"/>
      <c r="I433" s="410"/>
      <c r="J433" s="110"/>
      <c r="K433" s="110"/>
      <c r="L433" s="110"/>
      <c r="M433" s="110"/>
      <c r="N433" s="110"/>
      <c r="O433" s="329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spans="1:27" ht="15.75" customHeight="1">
      <c r="A434" s="110"/>
      <c r="B434" s="110"/>
      <c r="C434" s="110"/>
      <c r="D434" s="110"/>
      <c r="E434" s="110"/>
      <c r="F434" s="344"/>
      <c r="G434" s="110"/>
      <c r="H434" s="110"/>
      <c r="I434" s="410"/>
      <c r="J434" s="110"/>
      <c r="K434" s="110"/>
      <c r="L434" s="110"/>
      <c r="M434" s="110"/>
      <c r="N434" s="110"/>
      <c r="O434" s="329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</row>
    <row r="435" spans="1:27" ht="15.75" customHeight="1">
      <c r="A435" s="110"/>
      <c r="B435" s="110"/>
      <c r="C435" s="110"/>
      <c r="D435" s="110"/>
      <c r="E435" s="110"/>
      <c r="F435" s="344"/>
      <c r="G435" s="110"/>
      <c r="H435" s="110"/>
      <c r="I435" s="410"/>
      <c r="J435" s="110"/>
      <c r="K435" s="110"/>
      <c r="L435" s="110"/>
      <c r="M435" s="110"/>
      <c r="N435" s="110"/>
      <c r="O435" s="329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spans="1:27" ht="15.75" customHeight="1">
      <c r="A436" s="110"/>
      <c r="B436" s="110"/>
      <c r="C436" s="110"/>
      <c r="D436" s="110"/>
      <c r="E436" s="110"/>
      <c r="F436" s="344"/>
      <c r="G436" s="110"/>
      <c r="H436" s="110"/>
      <c r="I436" s="410"/>
      <c r="J436" s="110"/>
      <c r="K436" s="110"/>
      <c r="L436" s="110"/>
      <c r="M436" s="110"/>
      <c r="N436" s="110"/>
      <c r="O436" s="329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</row>
    <row r="437" spans="1:27" ht="15.75" customHeight="1">
      <c r="A437" s="110"/>
      <c r="B437" s="110"/>
      <c r="C437" s="110"/>
      <c r="D437" s="110"/>
      <c r="E437" s="110"/>
      <c r="F437" s="344"/>
      <c r="G437" s="110"/>
      <c r="H437" s="110"/>
      <c r="I437" s="410"/>
      <c r="J437" s="110"/>
      <c r="K437" s="110"/>
      <c r="L437" s="110"/>
      <c r="M437" s="110"/>
      <c r="N437" s="110"/>
      <c r="O437" s="329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spans="1:27" ht="15.75" customHeight="1">
      <c r="A438" s="110"/>
      <c r="B438" s="110"/>
      <c r="C438" s="110"/>
      <c r="D438" s="110"/>
      <c r="E438" s="110"/>
      <c r="F438" s="344"/>
      <c r="G438" s="110"/>
      <c r="H438" s="110"/>
      <c r="I438" s="410"/>
      <c r="J438" s="110"/>
      <c r="K438" s="110"/>
      <c r="L438" s="110"/>
      <c r="M438" s="110"/>
      <c r="N438" s="110"/>
      <c r="O438" s="329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</row>
    <row r="439" spans="1:27" ht="15.75" customHeight="1">
      <c r="A439" s="110"/>
      <c r="B439" s="110"/>
      <c r="C439" s="110"/>
      <c r="D439" s="110"/>
      <c r="E439" s="110"/>
      <c r="F439" s="344"/>
      <c r="G439" s="110"/>
      <c r="H439" s="110"/>
      <c r="I439" s="410"/>
      <c r="J439" s="110"/>
      <c r="K439" s="110"/>
      <c r="L439" s="110"/>
      <c r="M439" s="110"/>
      <c r="N439" s="110"/>
      <c r="O439" s="329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spans="1:27" ht="15.75" customHeight="1">
      <c r="A440" s="110"/>
      <c r="B440" s="110"/>
      <c r="C440" s="110"/>
      <c r="D440" s="110"/>
      <c r="E440" s="110"/>
      <c r="F440" s="344"/>
      <c r="G440" s="110"/>
      <c r="H440" s="110"/>
      <c r="I440" s="410"/>
      <c r="J440" s="110"/>
      <c r="K440" s="110"/>
      <c r="L440" s="110"/>
      <c r="M440" s="110"/>
      <c r="N440" s="110"/>
      <c r="O440" s="329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</row>
    <row r="441" spans="1:27" ht="15.75" customHeight="1">
      <c r="A441" s="110"/>
      <c r="B441" s="110"/>
      <c r="C441" s="110"/>
      <c r="D441" s="110"/>
      <c r="E441" s="110"/>
      <c r="F441" s="344"/>
      <c r="G441" s="110"/>
      <c r="H441" s="110"/>
      <c r="I441" s="410"/>
      <c r="J441" s="110"/>
      <c r="K441" s="110"/>
      <c r="L441" s="110"/>
      <c r="M441" s="110"/>
      <c r="N441" s="110"/>
      <c r="O441" s="329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spans="1:27" ht="15.75" customHeight="1">
      <c r="A442" s="110"/>
      <c r="B442" s="110"/>
      <c r="C442" s="110"/>
      <c r="D442" s="110"/>
      <c r="E442" s="110"/>
      <c r="F442" s="344"/>
      <c r="G442" s="110"/>
      <c r="H442" s="110"/>
      <c r="I442" s="410"/>
      <c r="J442" s="110"/>
      <c r="K442" s="110"/>
      <c r="L442" s="110"/>
      <c r="M442" s="110"/>
      <c r="N442" s="110"/>
      <c r="O442" s="329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</row>
    <row r="443" spans="1:27" ht="15.75" customHeight="1">
      <c r="A443" s="110"/>
      <c r="B443" s="110"/>
      <c r="C443" s="110"/>
      <c r="D443" s="110"/>
      <c r="E443" s="110"/>
      <c r="F443" s="344"/>
      <c r="G443" s="110"/>
      <c r="H443" s="110"/>
      <c r="I443" s="410"/>
      <c r="J443" s="110"/>
      <c r="K443" s="110"/>
      <c r="L443" s="110"/>
      <c r="M443" s="110"/>
      <c r="N443" s="110"/>
      <c r="O443" s="329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spans="1:27" ht="15.75" customHeight="1">
      <c r="A444" s="110"/>
      <c r="B444" s="110"/>
      <c r="C444" s="110"/>
      <c r="D444" s="110"/>
      <c r="E444" s="110"/>
      <c r="F444" s="344"/>
      <c r="G444" s="110"/>
      <c r="H444" s="110"/>
      <c r="I444" s="410"/>
      <c r="J444" s="110"/>
      <c r="K444" s="110"/>
      <c r="L444" s="110"/>
      <c r="M444" s="110"/>
      <c r="N444" s="110"/>
      <c r="O444" s="329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</row>
    <row r="445" spans="1:27" ht="15.75" customHeight="1">
      <c r="A445" s="110"/>
      <c r="B445" s="110"/>
      <c r="C445" s="110"/>
      <c r="D445" s="110"/>
      <c r="E445" s="110"/>
      <c r="F445" s="344"/>
      <c r="G445" s="110"/>
      <c r="H445" s="110"/>
      <c r="I445" s="410"/>
      <c r="J445" s="110"/>
      <c r="K445" s="110"/>
      <c r="L445" s="110"/>
      <c r="M445" s="110"/>
      <c r="N445" s="110"/>
      <c r="O445" s="329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spans="1:27" ht="15.75" customHeight="1">
      <c r="A446" s="110"/>
      <c r="B446" s="110"/>
      <c r="C446" s="110"/>
      <c r="D446" s="110"/>
      <c r="E446" s="110"/>
      <c r="F446" s="344"/>
      <c r="G446" s="110"/>
      <c r="H446" s="110"/>
      <c r="I446" s="410"/>
      <c r="J446" s="110"/>
      <c r="K446" s="110"/>
      <c r="L446" s="110"/>
      <c r="M446" s="110"/>
      <c r="N446" s="110"/>
      <c r="O446" s="329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</row>
    <row r="447" spans="1:27" ht="15.75" customHeight="1">
      <c r="A447" s="110"/>
      <c r="B447" s="110"/>
      <c r="C447" s="110"/>
      <c r="D447" s="110"/>
      <c r="E447" s="110"/>
      <c r="F447" s="344"/>
      <c r="G447" s="110"/>
      <c r="H447" s="110"/>
      <c r="I447" s="410"/>
      <c r="J447" s="110"/>
      <c r="K447" s="110"/>
      <c r="L447" s="110"/>
      <c r="M447" s="110"/>
      <c r="N447" s="110"/>
      <c r="O447" s="329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spans="1:27" ht="15.75" customHeight="1">
      <c r="A448" s="110"/>
      <c r="B448" s="110"/>
      <c r="C448" s="110"/>
      <c r="D448" s="110"/>
      <c r="E448" s="110"/>
      <c r="F448" s="344"/>
      <c r="G448" s="110"/>
      <c r="H448" s="110"/>
      <c r="I448" s="410"/>
      <c r="J448" s="110"/>
      <c r="K448" s="110"/>
      <c r="L448" s="110"/>
      <c r="M448" s="110"/>
      <c r="N448" s="110"/>
      <c r="O448" s="329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</row>
    <row r="449" spans="1:27" ht="15.75" customHeight="1">
      <c r="A449" s="110"/>
      <c r="B449" s="110"/>
      <c r="C449" s="110"/>
      <c r="D449" s="110"/>
      <c r="E449" s="110"/>
      <c r="F449" s="344"/>
      <c r="G449" s="110"/>
      <c r="H449" s="110"/>
      <c r="I449" s="410"/>
      <c r="J449" s="110"/>
      <c r="K449" s="110"/>
      <c r="L449" s="110"/>
      <c r="M449" s="110"/>
      <c r="N449" s="110"/>
      <c r="O449" s="329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spans="1:27" ht="15.75" customHeight="1">
      <c r="A450" s="110"/>
      <c r="B450" s="110"/>
      <c r="C450" s="110"/>
      <c r="D450" s="110"/>
      <c r="E450" s="110"/>
      <c r="F450" s="344"/>
      <c r="G450" s="110"/>
      <c r="H450" s="110"/>
      <c r="I450" s="410"/>
      <c r="J450" s="110"/>
      <c r="K450" s="110"/>
      <c r="L450" s="110"/>
      <c r="M450" s="110"/>
      <c r="N450" s="110"/>
      <c r="O450" s="329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</row>
    <row r="451" spans="1:27" ht="15.75" customHeight="1">
      <c r="A451" s="110"/>
      <c r="B451" s="110"/>
      <c r="C451" s="110"/>
      <c r="D451" s="110"/>
      <c r="E451" s="110"/>
      <c r="F451" s="344"/>
      <c r="G451" s="110"/>
      <c r="H451" s="110"/>
      <c r="I451" s="410"/>
      <c r="J451" s="110"/>
      <c r="K451" s="110"/>
      <c r="L451" s="110"/>
      <c r="M451" s="110"/>
      <c r="N451" s="110"/>
      <c r="O451" s="329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spans="1:27" ht="15.75" customHeight="1">
      <c r="A452" s="110"/>
      <c r="B452" s="110"/>
      <c r="C452" s="110"/>
      <c r="D452" s="110"/>
      <c r="E452" s="110"/>
      <c r="F452" s="344"/>
      <c r="G452" s="110"/>
      <c r="H452" s="110"/>
      <c r="I452" s="410"/>
      <c r="J452" s="110"/>
      <c r="K452" s="110"/>
      <c r="L452" s="110"/>
      <c r="M452" s="110"/>
      <c r="N452" s="110"/>
      <c r="O452" s="329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</row>
    <row r="453" spans="1:27" ht="15.75" customHeight="1">
      <c r="A453" s="110"/>
      <c r="B453" s="110"/>
      <c r="C453" s="110"/>
      <c r="D453" s="110"/>
      <c r="E453" s="110"/>
      <c r="F453" s="344"/>
      <c r="G453" s="110"/>
      <c r="H453" s="110"/>
      <c r="I453" s="410"/>
      <c r="J453" s="110"/>
      <c r="K453" s="110"/>
      <c r="L453" s="110"/>
      <c r="M453" s="110"/>
      <c r="N453" s="110"/>
      <c r="O453" s="329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spans="1:27" ht="15.75" customHeight="1">
      <c r="A454" s="110"/>
      <c r="B454" s="110"/>
      <c r="C454" s="110"/>
      <c r="D454" s="110"/>
      <c r="E454" s="110"/>
      <c r="F454" s="344"/>
      <c r="G454" s="110"/>
      <c r="H454" s="110"/>
      <c r="I454" s="410"/>
      <c r="J454" s="110"/>
      <c r="K454" s="110"/>
      <c r="L454" s="110"/>
      <c r="M454" s="110"/>
      <c r="N454" s="110"/>
      <c r="O454" s="329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</row>
    <row r="455" spans="1:27" ht="15.75" customHeight="1">
      <c r="A455" s="110"/>
      <c r="B455" s="110"/>
      <c r="C455" s="110"/>
      <c r="D455" s="110"/>
      <c r="E455" s="110"/>
      <c r="F455" s="344"/>
      <c r="G455" s="110"/>
      <c r="H455" s="110"/>
      <c r="I455" s="410"/>
      <c r="J455" s="110"/>
      <c r="K455" s="110"/>
      <c r="L455" s="110"/>
      <c r="M455" s="110"/>
      <c r="N455" s="110"/>
      <c r="O455" s="329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spans="1:27" ht="15.75" customHeight="1">
      <c r="A456" s="110"/>
      <c r="B456" s="110"/>
      <c r="C456" s="110"/>
      <c r="D456" s="110"/>
      <c r="E456" s="110"/>
      <c r="F456" s="344"/>
      <c r="G456" s="110"/>
      <c r="H456" s="110"/>
      <c r="I456" s="410"/>
      <c r="J456" s="110"/>
      <c r="K456" s="110"/>
      <c r="L456" s="110"/>
      <c r="M456" s="110"/>
      <c r="N456" s="110"/>
      <c r="O456" s="329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</row>
    <row r="457" spans="1:27" ht="15.75" customHeight="1">
      <c r="A457" s="110"/>
      <c r="B457" s="110"/>
      <c r="C457" s="110"/>
      <c r="D457" s="110"/>
      <c r="E457" s="110"/>
      <c r="F457" s="344"/>
      <c r="G457" s="110"/>
      <c r="H457" s="110"/>
      <c r="I457" s="410"/>
      <c r="J457" s="110"/>
      <c r="K457" s="110"/>
      <c r="L457" s="110"/>
      <c r="M457" s="110"/>
      <c r="N457" s="110"/>
      <c r="O457" s="329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spans="1:27" ht="15.75" customHeight="1">
      <c r="A458" s="110"/>
      <c r="B458" s="110"/>
      <c r="C458" s="110"/>
      <c r="D458" s="110"/>
      <c r="E458" s="110"/>
      <c r="F458" s="344"/>
      <c r="G458" s="110"/>
      <c r="H458" s="110"/>
      <c r="I458" s="410"/>
      <c r="J458" s="110"/>
      <c r="K458" s="110"/>
      <c r="L458" s="110"/>
      <c r="M458" s="110"/>
      <c r="N458" s="110"/>
      <c r="O458" s="329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</row>
    <row r="459" spans="1:27" ht="15.75" customHeight="1">
      <c r="A459" s="110"/>
      <c r="B459" s="110"/>
      <c r="C459" s="110"/>
      <c r="D459" s="110"/>
      <c r="E459" s="110"/>
      <c r="F459" s="344"/>
      <c r="G459" s="110"/>
      <c r="H459" s="110"/>
      <c r="I459" s="410"/>
      <c r="J459" s="110"/>
      <c r="K459" s="110"/>
      <c r="L459" s="110"/>
      <c r="M459" s="110"/>
      <c r="N459" s="110"/>
      <c r="O459" s="329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spans="1:27" ht="15.75" customHeight="1">
      <c r="A460" s="110"/>
      <c r="B460" s="110"/>
      <c r="C460" s="110"/>
      <c r="D460" s="110"/>
      <c r="E460" s="110"/>
      <c r="F460" s="344"/>
      <c r="G460" s="110"/>
      <c r="H460" s="110"/>
      <c r="I460" s="410"/>
      <c r="J460" s="110"/>
      <c r="K460" s="110"/>
      <c r="L460" s="110"/>
      <c r="M460" s="110"/>
      <c r="N460" s="110"/>
      <c r="O460" s="329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</row>
    <row r="461" spans="1:27" ht="15.75" customHeight="1">
      <c r="A461" s="110"/>
      <c r="B461" s="110"/>
      <c r="C461" s="110"/>
      <c r="D461" s="110"/>
      <c r="E461" s="110"/>
      <c r="F461" s="344"/>
      <c r="G461" s="110"/>
      <c r="H461" s="110"/>
      <c r="I461" s="410"/>
      <c r="J461" s="110"/>
      <c r="K461" s="110"/>
      <c r="L461" s="110"/>
      <c r="M461" s="110"/>
      <c r="N461" s="110"/>
      <c r="O461" s="329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spans="1:27" ht="15.75" customHeight="1">
      <c r="A462" s="110"/>
      <c r="B462" s="110"/>
      <c r="C462" s="110"/>
      <c r="D462" s="110"/>
      <c r="E462" s="110"/>
      <c r="F462" s="344"/>
      <c r="G462" s="110"/>
      <c r="H462" s="110"/>
      <c r="I462" s="410"/>
      <c r="J462" s="110"/>
      <c r="K462" s="110"/>
      <c r="L462" s="110"/>
      <c r="M462" s="110"/>
      <c r="N462" s="110"/>
      <c r="O462" s="329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</row>
    <row r="463" spans="1:27" ht="15.75" customHeight="1">
      <c r="A463" s="110"/>
      <c r="B463" s="110"/>
      <c r="C463" s="110"/>
      <c r="D463" s="110"/>
      <c r="E463" s="110"/>
      <c r="F463" s="344"/>
      <c r="G463" s="110"/>
      <c r="H463" s="110"/>
      <c r="I463" s="410"/>
      <c r="J463" s="110"/>
      <c r="K463" s="110"/>
      <c r="L463" s="110"/>
      <c r="M463" s="110"/>
      <c r="N463" s="110"/>
      <c r="O463" s="329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spans="1:27" ht="15.75" customHeight="1">
      <c r="A464" s="110"/>
      <c r="B464" s="110"/>
      <c r="C464" s="110"/>
      <c r="D464" s="110"/>
      <c r="E464" s="110"/>
      <c r="F464" s="344"/>
      <c r="G464" s="110"/>
      <c r="H464" s="110"/>
      <c r="I464" s="410"/>
      <c r="J464" s="110"/>
      <c r="K464" s="110"/>
      <c r="L464" s="110"/>
      <c r="M464" s="110"/>
      <c r="N464" s="110"/>
      <c r="O464" s="329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</row>
    <row r="465" spans="1:27" ht="15.75" customHeight="1">
      <c r="A465" s="110"/>
      <c r="B465" s="110"/>
      <c r="C465" s="110"/>
      <c r="D465" s="110"/>
      <c r="E465" s="110"/>
      <c r="F465" s="344"/>
      <c r="G465" s="110"/>
      <c r="H465" s="110"/>
      <c r="I465" s="410"/>
      <c r="J465" s="110"/>
      <c r="K465" s="110"/>
      <c r="L465" s="110"/>
      <c r="M465" s="110"/>
      <c r="N465" s="110"/>
      <c r="O465" s="329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spans="1:27" ht="15.75" customHeight="1">
      <c r="A466" s="110"/>
      <c r="B466" s="110"/>
      <c r="C466" s="110"/>
      <c r="D466" s="110"/>
      <c r="E466" s="110"/>
      <c r="F466" s="344"/>
      <c r="G466" s="110"/>
      <c r="H466" s="110"/>
      <c r="I466" s="410"/>
      <c r="J466" s="110"/>
      <c r="K466" s="110"/>
      <c r="L466" s="110"/>
      <c r="M466" s="110"/>
      <c r="N466" s="110"/>
      <c r="O466" s="329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</row>
    <row r="467" spans="1:27" ht="15.75" customHeight="1">
      <c r="A467" s="110"/>
      <c r="B467" s="110"/>
      <c r="C467" s="110"/>
      <c r="D467" s="110"/>
      <c r="E467" s="110"/>
      <c r="F467" s="344"/>
      <c r="G467" s="110"/>
      <c r="H467" s="110"/>
      <c r="I467" s="410"/>
      <c r="J467" s="110"/>
      <c r="K467" s="110"/>
      <c r="L467" s="110"/>
      <c r="M467" s="110"/>
      <c r="N467" s="110"/>
      <c r="O467" s="329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spans="1:27" ht="15.75" customHeight="1">
      <c r="A468" s="110"/>
      <c r="B468" s="110"/>
      <c r="C468" s="110"/>
      <c r="D468" s="110"/>
      <c r="E468" s="110"/>
      <c r="F468" s="344"/>
      <c r="G468" s="110"/>
      <c r="H468" s="110"/>
      <c r="I468" s="410"/>
      <c r="J468" s="110"/>
      <c r="K468" s="110"/>
      <c r="L468" s="110"/>
      <c r="M468" s="110"/>
      <c r="N468" s="110"/>
      <c r="O468" s="329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</row>
    <row r="469" spans="1:27" ht="15.75" customHeight="1">
      <c r="A469" s="110"/>
      <c r="B469" s="110"/>
      <c r="C469" s="110"/>
      <c r="D469" s="110"/>
      <c r="E469" s="110"/>
      <c r="F469" s="344"/>
      <c r="G469" s="110"/>
      <c r="H469" s="110"/>
      <c r="I469" s="410"/>
      <c r="J469" s="110"/>
      <c r="K469" s="110"/>
      <c r="L469" s="110"/>
      <c r="M469" s="110"/>
      <c r="N469" s="110"/>
      <c r="O469" s="329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spans="1:27" ht="15.75" customHeight="1">
      <c r="A470" s="110"/>
      <c r="B470" s="110"/>
      <c r="C470" s="110"/>
      <c r="D470" s="110"/>
      <c r="E470" s="110"/>
      <c r="F470" s="344"/>
      <c r="G470" s="110"/>
      <c r="H470" s="110"/>
      <c r="I470" s="410"/>
      <c r="J470" s="110"/>
      <c r="K470" s="110"/>
      <c r="L470" s="110"/>
      <c r="M470" s="110"/>
      <c r="N470" s="110"/>
      <c r="O470" s="329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</row>
    <row r="471" spans="1:27" ht="15.75" customHeight="1">
      <c r="A471" s="110"/>
      <c r="B471" s="110"/>
      <c r="C471" s="110"/>
      <c r="D471" s="110"/>
      <c r="E471" s="110"/>
      <c r="F471" s="344"/>
      <c r="G471" s="110"/>
      <c r="H471" s="110"/>
      <c r="I471" s="410"/>
      <c r="J471" s="110"/>
      <c r="K471" s="110"/>
      <c r="L471" s="110"/>
      <c r="M471" s="110"/>
      <c r="N471" s="110"/>
      <c r="O471" s="329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spans="1:27" ht="15.75" customHeight="1">
      <c r="A472" s="110"/>
      <c r="B472" s="110"/>
      <c r="C472" s="110"/>
      <c r="D472" s="110"/>
      <c r="E472" s="110"/>
      <c r="F472" s="344"/>
      <c r="G472" s="110"/>
      <c r="H472" s="110"/>
      <c r="I472" s="410"/>
      <c r="J472" s="110"/>
      <c r="K472" s="110"/>
      <c r="L472" s="110"/>
      <c r="M472" s="110"/>
      <c r="N472" s="110"/>
      <c r="O472" s="329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</row>
    <row r="473" spans="1:27" ht="15.75" customHeight="1">
      <c r="A473" s="110"/>
      <c r="B473" s="110"/>
      <c r="C473" s="110"/>
      <c r="D473" s="110"/>
      <c r="E473" s="110"/>
      <c r="F473" s="344"/>
      <c r="G473" s="110"/>
      <c r="H473" s="110"/>
      <c r="I473" s="410"/>
      <c r="J473" s="110"/>
      <c r="K473" s="110"/>
      <c r="L473" s="110"/>
      <c r="M473" s="110"/>
      <c r="N473" s="110"/>
      <c r="O473" s="329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spans="1:27" ht="15.75" customHeight="1">
      <c r="A474" s="110"/>
      <c r="B474" s="110"/>
      <c r="C474" s="110"/>
      <c r="D474" s="110"/>
      <c r="E474" s="110"/>
      <c r="F474" s="344"/>
      <c r="G474" s="110"/>
      <c r="H474" s="110"/>
      <c r="I474" s="410"/>
      <c r="J474" s="110"/>
      <c r="K474" s="110"/>
      <c r="L474" s="110"/>
      <c r="M474" s="110"/>
      <c r="N474" s="110"/>
      <c r="O474" s="329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</row>
    <row r="475" spans="1:27" ht="15.75" customHeight="1">
      <c r="A475" s="110"/>
      <c r="B475" s="110"/>
      <c r="C475" s="110"/>
      <c r="D475" s="110"/>
      <c r="E475" s="110"/>
      <c r="F475" s="344"/>
      <c r="G475" s="110"/>
      <c r="H475" s="110"/>
      <c r="I475" s="410"/>
      <c r="J475" s="110"/>
      <c r="K475" s="110"/>
      <c r="L475" s="110"/>
      <c r="M475" s="110"/>
      <c r="N475" s="110"/>
      <c r="O475" s="329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spans="1:27" ht="15.75" customHeight="1">
      <c r="A476" s="110"/>
      <c r="B476" s="110"/>
      <c r="C476" s="110"/>
      <c r="D476" s="110"/>
      <c r="E476" s="110"/>
      <c r="F476" s="344"/>
      <c r="G476" s="110"/>
      <c r="H476" s="110"/>
      <c r="I476" s="410"/>
      <c r="J476" s="110"/>
      <c r="K476" s="110"/>
      <c r="L476" s="110"/>
      <c r="M476" s="110"/>
      <c r="N476" s="110"/>
      <c r="O476" s="329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</row>
    <row r="477" spans="1:27" ht="15.75" customHeight="1">
      <c r="A477" s="110"/>
      <c r="B477" s="110"/>
      <c r="C477" s="110"/>
      <c r="D477" s="110"/>
      <c r="E477" s="110"/>
      <c r="F477" s="344"/>
      <c r="G477" s="110"/>
      <c r="H477" s="110"/>
      <c r="I477" s="410"/>
      <c r="J477" s="110"/>
      <c r="K477" s="110"/>
      <c r="L477" s="110"/>
      <c r="M477" s="110"/>
      <c r="N477" s="110"/>
      <c r="O477" s="329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spans="1:27" ht="15.75" customHeight="1">
      <c r="A478" s="110"/>
      <c r="B478" s="110"/>
      <c r="C478" s="110"/>
      <c r="D478" s="110"/>
      <c r="E478" s="110"/>
      <c r="F478" s="344"/>
      <c r="G478" s="110"/>
      <c r="H478" s="110"/>
      <c r="I478" s="410"/>
      <c r="J478" s="110"/>
      <c r="K478" s="110"/>
      <c r="L478" s="110"/>
      <c r="M478" s="110"/>
      <c r="N478" s="110"/>
      <c r="O478" s="329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</row>
    <row r="479" spans="1:27" ht="15.75" customHeight="1">
      <c r="A479" s="110"/>
      <c r="B479" s="110"/>
      <c r="C479" s="110"/>
      <c r="D479" s="110"/>
      <c r="E479" s="110"/>
      <c r="F479" s="344"/>
      <c r="G479" s="110"/>
      <c r="H479" s="110"/>
      <c r="I479" s="410"/>
      <c r="J479" s="110"/>
      <c r="K479" s="110"/>
      <c r="L479" s="110"/>
      <c r="M479" s="110"/>
      <c r="N479" s="110"/>
      <c r="O479" s="329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spans="1:27" ht="15.75" customHeight="1">
      <c r="A480" s="110"/>
      <c r="B480" s="110"/>
      <c r="C480" s="110"/>
      <c r="D480" s="110"/>
      <c r="E480" s="110"/>
      <c r="F480" s="344"/>
      <c r="G480" s="110"/>
      <c r="H480" s="110"/>
      <c r="I480" s="410"/>
      <c r="J480" s="110"/>
      <c r="K480" s="110"/>
      <c r="L480" s="110"/>
      <c r="M480" s="110"/>
      <c r="N480" s="110"/>
      <c r="O480" s="329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</row>
    <row r="481" spans="1:27" ht="15.75" customHeight="1">
      <c r="A481" s="110"/>
      <c r="B481" s="110"/>
      <c r="C481" s="110"/>
      <c r="D481" s="110"/>
      <c r="E481" s="110"/>
      <c r="F481" s="344"/>
      <c r="G481" s="110"/>
      <c r="H481" s="110"/>
      <c r="I481" s="410"/>
      <c r="J481" s="110"/>
      <c r="K481" s="110"/>
      <c r="L481" s="110"/>
      <c r="M481" s="110"/>
      <c r="N481" s="110"/>
      <c r="O481" s="329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spans="1:27" ht="15.75" customHeight="1">
      <c r="A482" s="110"/>
      <c r="B482" s="110"/>
      <c r="C482" s="110"/>
      <c r="D482" s="110"/>
      <c r="E482" s="110"/>
      <c r="F482" s="344"/>
      <c r="G482" s="110"/>
      <c r="H482" s="110"/>
      <c r="I482" s="410"/>
      <c r="J482" s="110"/>
      <c r="K482" s="110"/>
      <c r="L482" s="110"/>
      <c r="M482" s="110"/>
      <c r="N482" s="110"/>
      <c r="O482" s="329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</row>
    <row r="483" spans="1:27" ht="15.75" customHeight="1">
      <c r="A483" s="110"/>
      <c r="B483" s="110"/>
      <c r="C483" s="110"/>
      <c r="D483" s="110"/>
      <c r="E483" s="110"/>
      <c r="F483" s="344"/>
      <c r="G483" s="110"/>
      <c r="H483" s="110"/>
      <c r="I483" s="410"/>
      <c r="J483" s="110"/>
      <c r="K483" s="110"/>
      <c r="L483" s="110"/>
      <c r="M483" s="110"/>
      <c r="N483" s="110"/>
      <c r="O483" s="329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spans="1:27" ht="15.75" customHeight="1">
      <c r="A484" s="110"/>
      <c r="B484" s="110"/>
      <c r="C484" s="110"/>
      <c r="D484" s="110"/>
      <c r="E484" s="110"/>
      <c r="F484" s="344"/>
      <c r="G484" s="110"/>
      <c r="H484" s="110"/>
      <c r="I484" s="410"/>
      <c r="J484" s="110"/>
      <c r="K484" s="110"/>
      <c r="L484" s="110"/>
      <c r="M484" s="110"/>
      <c r="N484" s="110"/>
      <c r="O484" s="329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</row>
    <row r="485" spans="1:27" ht="15.75" customHeight="1">
      <c r="A485" s="110"/>
      <c r="B485" s="110"/>
      <c r="C485" s="110"/>
      <c r="D485" s="110"/>
      <c r="E485" s="110"/>
      <c r="F485" s="344"/>
      <c r="G485" s="110"/>
      <c r="H485" s="110"/>
      <c r="I485" s="410"/>
      <c r="J485" s="110"/>
      <c r="K485" s="110"/>
      <c r="L485" s="110"/>
      <c r="M485" s="110"/>
      <c r="N485" s="110"/>
      <c r="O485" s="329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spans="1:27" ht="15.75" customHeight="1">
      <c r="A486" s="110"/>
      <c r="B486" s="110"/>
      <c r="C486" s="110"/>
      <c r="D486" s="110"/>
      <c r="E486" s="110"/>
      <c r="F486" s="344"/>
      <c r="G486" s="110"/>
      <c r="H486" s="110"/>
      <c r="I486" s="410"/>
      <c r="J486" s="110"/>
      <c r="K486" s="110"/>
      <c r="L486" s="110"/>
      <c r="M486" s="110"/>
      <c r="N486" s="110"/>
      <c r="O486" s="329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</row>
    <row r="487" spans="1:27" ht="15.75" customHeight="1">
      <c r="A487" s="110"/>
      <c r="B487" s="110"/>
      <c r="C487" s="110"/>
      <c r="D487" s="110"/>
      <c r="E487" s="110"/>
      <c r="F487" s="344"/>
      <c r="G487" s="110"/>
      <c r="H487" s="110"/>
      <c r="I487" s="410"/>
      <c r="J487" s="110"/>
      <c r="K487" s="110"/>
      <c r="L487" s="110"/>
      <c r="M487" s="110"/>
      <c r="N487" s="110"/>
      <c r="O487" s="329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spans="1:27" ht="15.75" customHeight="1">
      <c r="A488" s="110"/>
      <c r="B488" s="110"/>
      <c r="C488" s="110"/>
      <c r="D488" s="110"/>
      <c r="E488" s="110"/>
      <c r="F488" s="344"/>
      <c r="G488" s="110"/>
      <c r="H488" s="110"/>
      <c r="I488" s="410"/>
      <c r="J488" s="110"/>
      <c r="K488" s="110"/>
      <c r="L488" s="110"/>
      <c r="M488" s="110"/>
      <c r="N488" s="110"/>
      <c r="O488" s="329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</row>
    <row r="489" spans="1:27" ht="15.75" customHeight="1">
      <c r="A489" s="110"/>
      <c r="B489" s="110"/>
      <c r="C489" s="110"/>
      <c r="D489" s="110"/>
      <c r="E489" s="110"/>
      <c r="F489" s="344"/>
      <c r="G489" s="110"/>
      <c r="H489" s="110"/>
      <c r="I489" s="410"/>
      <c r="J489" s="110"/>
      <c r="K489" s="110"/>
      <c r="L489" s="110"/>
      <c r="M489" s="110"/>
      <c r="N489" s="110"/>
      <c r="O489" s="329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spans="1:27" ht="15.75" customHeight="1">
      <c r="A490" s="110"/>
      <c r="B490" s="110"/>
      <c r="C490" s="110"/>
      <c r="D490" s="110"/>
      <c r="E490" s="110"/>
      <c r="F490" s="344"/>
      <c r="G490" s="110"/>
      <c r="H490" s="110"/>
      <c r="I490" s="410"/>
      <c r="J490" s="110"/>
      <c r="K490" s="110"/>
      <c r="L490" s="110"/>
      <c r="M490" s="110"/>
      <c r="N490" s="110"/>
      <c r="O490" s="329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</row>
    <row r="491" spans="1:27" ht="15.75" customHeight="1">
      <c r="A491" s="110"/>
      <c r="B491" s="110"/>
      <c r="C491" s="110"/>
      <c r="D491" s="110"/>
      <c r="E491" s="110"/>
      <c r="F491" s="344"/>
      <c r="G491" s="110"/>
      <c r="H491" s="110"/>
      <c r="I491" s="410"/>
      <c r="J491" s="110"/>
      <c r="K491" s="110"/>
      <c r="L491" s="110"/>
      <c r="M491" s="110"/>
      <c r="N491" s="110"/>
      <c r="O491" s="329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spans="1:27" ht="15.75" customHeight="1">
      <c r="A492" s="110"/>
      <c r="B492" s="110"/>
      <c r="C492" s="110"/>
      <c r="D492" s="110"/>
      <c r="E492" s="110"/>
      <c r="F492" s="344"/>
      <c r="G492" s="110"/>
      <c r="H492" s="110"/>
      <c r="I492" s="410"/>
      <c r="J492" s="110"/>
      <c r="K492" s="110"/>
      <c r="L492" s="110"/>
      <c r="M492" s="110"/>
      <c r="N492" s="110"/>
      <c r="O492" s="329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</row>
    <row r="493" spans="1:27" ht="15.75" customHeight="1">
      <c r="A493" s="110"/>
      <c r="B493" s="110"/>
      <c r="C493" s="110"/>
      <c r="D493" s="110"/>
      <c r="E493" s="110"/>
      <c r="F493" s="344"/>
      <c r="G493" s="110"/>
      <c r="H493" s="110"/>
      <c r="I493" s="410"/>
      <c r="J493" s="110"/>
      <c r="K493" s="110"/>
      <c r="L493" s="110"/>
      <c r="M493" s="110"/>
      <c r="N493" s="110"/>
      <c r="O493" s="329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spans="1:27" ht="15.75" customHeight="1">
      <c r="A494" s="110"/>
      <c r="B494" s="110"/>
      <c r="C494" s="110"/>
      <c r="D494" s="110"/>
      <c r="E494" s="110"/>
      <c r="F494" s="344"/>
      <c r="G494" s="110"/>
      <c r="H494" s="110"/>
      <c r="I494" s="410"/>
      <c r="J494" s="110"/>
      <c r="K494" s="110"/>
      <c r="L494" s="110"/>
      <c r="M494" s="110"/>
      <c r="N494" s="110"/>
      <c r="O494" s="329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</row>
    <row r="495" spans="1:27" ht="15.75" customHeight="1">
      <c r="A495" s="110"/>
      <c r="B495" s="110"/>
      <c r="C495" s="110"/>
      <c r="D495" s="110"/>
      <c r="E495" s="110"/>
      <c r="F495" s="344"/>
      <c r="G495" s="110"/>
      <c r="H495" s="110"/>
      <c r="I495" s="410"/>
      <c r="J495" s="110"/>
      <c r="K495" s="110"/>
      <c r="L495" s="110"/>
      <c r="M495" s="110"/>
      <c r="N495" s="110"/>
      <c r="O495" s="329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spans="1:27" ht="15.75" customHeight="1">
      <c r="A496" s="110"/>
      <c r="B496" s="110"/>
      <c r="C496" s="110"/>
      <c r="D496" s="110"/>
      <c r="E496" s="110"/>
      <c r="F496" s="344"/>
      <c r="G496" s="110"/>
      <c r="H496" s="110"/>
      <c r="I496" s="410"/>
      <c r="J496" s="110"/>
      <c r="K496" s="110"/>
      <c r="L496" s="110"/>
      <c r="M496" s="110"/>
      <c r="N496" s="110"/>
      <c r="O496" s="329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</row>
    <row r="497" spans="1:27" ht="15.75" customHeight="1">
      <c r="A497" s="110"/>
      <c r="B497" s="110"/>
      <c r="C497" s="110"/>
      <c r="D497" s="110"/>
      <c r="E497" s="110"/>
      <c r="F497" s="344"/>
      <c r="G497" s="110"/>
      <c r="H497" s="110"/>
      <c r="I497" s="410"/>
      <c r="J497" s="110"/>
      <c r="K497" s="110"/>
      <c r="L497" s="110"/>
      <c r="M497" s="110"/>
      <c r="N497" s="110"/>
      <c r="O497" s="329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spans="1:27" ht="15.75" customHeight="1">
      <c r="A498" s="110"/>
      <c r="B498" s="110"/>
      <c r="C498" s="110"/>
      <c r="D498" s="110"/>
      <c r="E498" s="110"/>
      <c r="F498" s="344"/>
      <c r="G498" s="110"/>
      <c r="H498" s="110"/>
      <c r="I498" s="410"/>
      <c r="J498" s="110"/>
      <c r="K498" s="110"/>
      <c r="L498" s="110"/>
      <c r="M498" s="110"/>
      <c r="N498" s="110"/>
      <c r="O498" s="329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</row>
    <row r="499" spans="1:27" ht="15.75" customHeight="1">
      <c r="A499" s="110"/>
      <c r="B499" s="110"/>
      <c r="C499" s="110"/>
      <c r="D499" s="110"/>
      <c r="E499" s="110"/>
      <c r="F499" s="344"/>
      <c r="G499" s="110"/>
      <c r="H499" s="110"/>
      <c r="I499" s="410"/>
      <c r="J499" s="110"/>
      <c r="K499" s="110"/>
      <c r="L499" s="110"/>
      <c r="M499" s="110"/>
      <c r="N499" s="110"/>
      <c r="O499" s="329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spans="1:27" ht="15.75" customHeight="1">
      <c r="A500" s="110"/>
      <c r="B500" s="110"/>
      <c r="C500" s="110"/>
      <c r="D500" s="110"/>
      <c r="E500" s="110"/>
      <c r="F500" s="344"/>
      <c r="G500" s="110"/>
      <c r="H500" s="110"/>
      <c r="I500" s="410"/>
      <c r="J500" s="110"/>
      <c r="K500" s="110"/>
      <c r="L500" s="110"/>
      <c r="M500" s="110"/>
      <c r="N500" s="110"/>
      <c r="O500" s="329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</row>
    <row r="501" spans="1:27" ht="15.75" customHeight="1">
      <c r="A501" s="110"/>
      <c r="B501" s="110"/>
      <c r="C501" s="110"/>
      <c r="D501" s="110"/>
      <c r="E501" s="110"/>
      <c r="F501" s="344"/>
      <c r="G501" s="110"/>
      <c r="H501" s="110"/>
      <c r="I501" s="410"/>
      <c r="J501" s="110"/>
      <c r="K501" s="110"/>
      <c r="L501" s="110"/>
      <c r="M501" s="110"/>
      <c r="N501" s="110"/>
      <c r="O501" s="329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spans="1:27" ht="15.75" customHeight="1">
      <c r="A502" s="110"/>
      <c r="B502" s="110"/>
      <c r="C502" s="110"/>
      <c r="D502" s="110"/>
      <c r="E502" s="110"/>
      <c r="F502" s="344"/>
      <c r="G502" s="110"/>
      <c r="H502" s="110"/>
      <c r="I502" s="410"/>
      <c r="J502" s="110"/>
      <c r="K502" s="110"/>
      <c r="L502" s="110"/>
      <c r="M502" s="110"/>
      <c r="N502" s="110"/>
      <c r="O502" s="329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</row>
    <row r="503" spans="1:27" ht="15.75" customHeight="1">
      <c r="A503" s="110"/>
      <c r="B503" s="110"/>
      <c r="C503" s="110"/>
      <c r="D503" s="110"/>
      <c r="E503" s="110"/>
      <c r="F503" s="344"/>
      <c r="G503" s="110"/>
      <c r="H503" s="110"/>
      <c r="I503" s="410"/>
      <c r="J503" s="110"/>
      <c r="K503" s="110"/>
      <c r="L503" s="110"/>
      <c r="M503" s="110"/>
      <c r="N503" s="110"/>
      <c r="O503" s="329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spans="1:27" ht="15.75" customHeight="1">
      <c r="A504" s="110"/>
      <c r="B504" s="110"/>
      <c r="C504" s="110"/>
      <c r="D504" s="110"/>
      <c r="E504" s="110"/>
      <c r="F504" s="344"/>
      <c r="G504" s="110"/>
      <c r="H504" s="110"/>
      <c r="I504" s="410"/>
      <c r="J504" s="110"/>
      <c r="K504" s="110"/>
      <c r="L504" s="110"/>
      <c r="M504" s="110"/>
      <c r="N504" s="110"/>
      <c r="O504" s="329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</row>
    <row r="505" spans="1:27" ht="15.75" customHeight="1">
      <c r="A505" s="110"/>
      <c r="B505" s="110"/>
      <c r="C505" s="110"/>
      <c r="D505" s="110"/>
      <c r="E505" s="110"/>
      <c r="F505" s="344"/>
      <c r="G505" s="110"/>
      <c r="H505" s="110"/>
      <c r="I505" s="410"/>
      <c r="J505" s="110"/>
      <c r="K505" s="110"/>
      <c r="L505" s="110"/>
      <c r="M505" s="110"/>
      <c r="N505" s="110"/>
      <c r="O505" s="329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spans="1:27" ht="15.75" customHeight="1">
      <c r="A506" s="110"/>
      <c r="B506" s="110"/>
      <c r="C506" s="110"/>
      <c r="D506" s="110"/>
      <c r="E506" s="110"/>
      <c r="F506" s="344"/>
      <c r="G506" s="110"/>
      <c r="H506" s="110"/>
      <c r="I506" s="410"/>
      <c r="J506" s="110"/>
      <c r="K506" s="110"/>
      <c r="L506" s="110"/>
      <c r="M506" s="110"/>
      <c r="N506" s="110"/>
      <c r="O506" s="329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</row>
    <row r="507" spans="1:27" ht="15.75" customHeight="1">
      <c r="A507" s="110"/>
      <c r="B507" s="110"/>
      <c r="C507" s="110"/>
      <c r="D507" s="110"/>
      <c r="E507" s="110"/>
      <c r="F507" s="344"/>
      <c r="G507" s="110"/>
      <c r="H507" s="110"/>
      <c r="I507" s="410"/>
      <c r="J507" s="110"/>
      <c r="K507" s="110"/>
      <c r="L507" s="110"/>
      <c r="M507" s="110"/>
      <c r="N507" s="110"/>
      <c r="O507" s="329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spans="1:27" ht="15.75" customHeight="1">
      <c r="A508" s="110"/>
      <c r="B508" s="110"/>
      <c r="C508" s="110"/>
      <c r="D508" s="110"/>
      <c r="E508" s="110"/>
      <c r="F508" s="344"/>
      <c r="G508" s="110"/>
      <c r="H508" s="110"/>
      <c r="I508" s="410"/>
      <c r="J508" s="110"/>
      <c r="K508" s="110"/>
      <c r="L508" s="110"/>
      <c r="M508" s="110"/>
      <c r="N508" s="110"/>
      <c r="O508" s="329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</row>
    <row r="509" spans="1:27" ht="15.75" customHeight="1">
      <c r="A509" s="110"/>
      <c r="B509" s="110"/>
      <c r="C509" s="110"/>
      <c r="D509" s="110"/>
      <c r="E509" s="110"/>
      <c r="F509" s="344"/>
      <c r="G509" s="110"/>
      <c r="H509" s="110"/>
      <c r="I509" s="410"/>
      <c r="J509" s="110"/>
      <c r="K509" s="110"/>
      <c r="L509" s="110"/>
      <c r="M509" s="110"/>
      <c r="N509" s="110"/>
      <c r="O509" s="329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spans="1:27" ht="15.75" customHeight="1">
      <c r="A510" s="110"/>
      <c r="B510" s="110"/>
      <c r="C510" s="110"/>
      <c r="D510" s="110"/>
      <c r="E510" s="110"/>
      <c r="F510" s="344"/>
      <c r="G510" s="110"/>
      <c r="H510" s="110"/>
      <c r="I510" s="410"/>
      <c r="J510" s="110"/>
      <c r="K510" s="110"/>
      <c r="L510" s="110"/>
      <c r="M510" s="110"/>
      <c r="N510" s="110"/>
      <c r="O510" s="329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</row>
    <row r="511" spans="1:27" ht="15.75" customHeight="1">
      <c r="A511" s="110"/>
      <c r="B511" s="110"/>
      <c r="C511" s="110"/>
      <c r="D511" s="110"/>
      <c r="E511" s="110"/>
      <c r="F511" s="344"/>
      <c r="G511" s="110"/>
      <c r="H511" s="110"/>
      <c r="I511" s="410"/>
      <c r="J511" s="110"/>
      <c r="K511" s="110"/>
      <c r="L511" s="110"/>
      <c r="M511" s="110"/>
      <c r="N511" s="110"/>
      <c r="O511" s="329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spans="1:27" ht="15.75" customHeight="1">
      <c r="A512" s="110"/>
      <c r="B512" s="110"/>
      <c r="C512" s="110"/>
      <c r="D512" s="110"/>
      <c r="E512" s="110"/>
      <c r="F512" s="344"/>
      <c r="G512" s="110"/>
      <c r="H512" s="110"/>
      <c r="I512" s="410"/>
      <c r="J512" s="110"/>
      <c r="K512" s="110"/>
      <c r="L512" s="110"/>
      <c r="M512" s="110"/>
      <c r="N512" s="110"/>
      <c r="O512" s="329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</row>
    <row r="513" spans="1:27" ht="15.75" customHeight="1">
      <c r="A513" s="110"/>
      <c r="B513" s="110"/>
      <c r="C513" s="110"/>
      <c r="D513" s="110"/>
      <c r="E513" s="110"/>
      <c r="F513" s="344"/>
      <c r="G513" s="110"/>
      <c r="H513" s="110"/>
      <c r="I513" s="410"/>
      <c r="J513" s="110"/>
      <c r="K513" s="110"/>
      <c r="L513" s="110"/>
      <c r="M513" s="110"/>
      <c r="N513" s="110"/>
      <c r="O513" s="329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spans="1:27" ht="15.75" customHeight="1">
      <c r="A514" s="110"/>
      <c r="B514" s="110"/>
      <c r="C514" s="110"/>
      <c r="D514" s="110"/>
      <c r="E514" s="110"/>
      <c r="F514" s="344"/>
      <c r="G514" s="110"/>
      <c r="H514" s="110"/>
      <c r="I514" s="410"/>
      <c r="J514" s="110"/>
      <c r="K514" s="110"/>
      <c r="L514" s="110"/>
      <c r="M514" s="110"/>
      <c r="N514" s="110"/>
      <c r="O514" s="329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</row>
    <row r="515" spans="1:27" ht="15.75" customHeight="1">
      <c r="A515" s="110"/>
      <c r="B515" s="110"/>
      <c r="C515" s="110"/>
      <c r="D515" s="110"/>
      <c r="E515" s="110"/>
      <c r="F515" s="344"/>
      <c r="G515" s="110"/>
      <c r="H515" s="110"/>
      <c r="I515" s="410"/>
      <c r="J515" s="110"/>
      <c r="K515" s="110"/>
      <c r="L515" s="110"/>
      <c r="M515" s="110"/>
      <c r="N515" s="110"/>
      <c r="O515" s="329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spans="1:27" ht="15.75" customHeight="1">
      <c r="A516" s="110"/>
      <c r="B516" s="110"/>
      <c r="C516" s="110"/>
      <c r="D516" s="110"/>
      <c r="E516" s="110"/>
      <c r="F516" s="344"/>
      <c r="G516" s="110"/>
      <c r="H516" s="110"/>
      <c r="I516" s="410"/>
      <c r="J516" s="110"/>
      <c r="K516" s="110"/>
      <c r="L516" s="110"/>
      <c r="M516" s="110"/>
      <c r="N516" s="110"/>
      <c r="O516" s="329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</row>
    <row r="517" spans="1:27" ht="15.75" customHeight="1">
      <c r="A517" s="110"/>
      <c r="B517" s="110"/>
      <c r="C517" s="110"/>
      <c r="D517" s="110"/>
      <c r="E517" s="110"/>
      <c r="F517" s="344"/>
      <c r="G517" s="110"/>
      <c r="H517" s="110"/>
      <c r="I517" s="410"/>
      <c r="J517" s="110"/>
      <c r="K517" s="110"/>
      <c r="L517" s="110"/>
      <c r="M517" s="110"/>
      <c r="N517" s="110"/>
      <c r="O517" s="329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spans="1:27" ht="15.75" customHeight="1">
      <c r="A518" s="110"/>
      <c r="B518" s="110"/>
      <c r="C518" s="110"/>
      <c r="D518" s="110"/>
      <c r="E518" s="110"/>
      <c r="F518" s="344"/>
      <c r="G518" s="110"/>
      <c r="H518" s="110"/>
      <c r="I518" s="410"/>
      <c r="J518" s="110"/>
      <c r="K518" s="110"/>
      <c r="L518" s="110"/>
      <c r="M518" s="110"/>
      <c r="N518" s="110"/>
      <c r="O518" s="329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</row>
    <row r="519" spans="1:27" ht="15.75" customHeight="1">
      <c r="A519" s="110"/>
      <c r="B519" s="110"/>
      <c r="C519" s="110"/>
      <c r="D519" s="110"/>
      <c r="E519" s="110"/>
      <c r="F519" s="344"/>
      <c r="G519" s="110"/>
      <c r="H519" s="110"/>
      <c r="I519" s="410"/>
      <c r="J519" s="110"/>
      <c r="K519" s="110"/>
      <c r="L519" s="110"/>
      <c r="M519" s="110"/>
      <c r="N519" s="110"/>
      <c r="O519" s="329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spans="1:27" ht="15.75" customHeight="1">
      <c r="A520" s="110"/>
      <c r="B520" s="110"/>
      <c r="C520" s="110"/>
      <c r="D520" s="110"/>
      <c r="E520" s="110"/>
      <c r="F520" s="344"/>
      <c r="G520" s="110"/>
      <c r="H520" s="110"/>
      <c r="I520" s="410"/>
      <c r="J520" s="110"/>
      <c r="K520" s="110"/>
      <c r="L520" s="110"/>
      <c r="M520" s="110"/>
      <c r="N520" s="110"/>
      <c r="O520" s="329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</row>
    <row r="521" spans="1:27" ht="15.75" customHeight="1">
      <c r="A521" s="110"/>
      <c r="B521" s="110"/>
      <c r="C521" s="110"/>
      <c r="D521" s="110"/>
      <c r="E521" s="110"/>
      <c r="F521" s="344"/>
      <c r="G521" s="110"/>
      <c r="H521" s="110"/>
      <c r="I521" s="410"/>
      <c r="J521" s="110"/>
      <c r="K521" s="110"/>
      <c r="L521" s="110"/>
      <c r="M521" s="110"/>
      <c r="N521" s="110"/>
      <c r="O521" s="329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spans="1:27" ht="15.75" customHeight="1">
      <c r="A522" s="110"/>
      <c r="B522" s="110"/>
      <c r="C522" s="110"/>
      <c r="D522" s="110"/>
      <c r="E522" s="110"/>
      <c r="F522" s="344"/>
      <c r="G522" s="110"/>
      <c r="H522" s="110"/>
      <c r="I522" s="410"/>
      <c r="J522" s="110"/>
      <c r="K522" s="110"/>
      <c r="L522" s="110"/>
      <c r="M522" s="110"/>
      <c r="N522" s="110"/>
      <c r="O522" s="329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</row>
    <row r="523" spans="1:27" ht="15.75" customHeight="1">
      <c r="A523" s="110"/>
      <c r="B523" s="110"/>
      <c r="C523" s="110"/>
      <c r="D523" s="110"/>
      <c r="E523" s="110"/>
      <c r="F523" s="344"/>
      <c r="G523" s="110"/>
      <c r="H523" s="110"/>
      <c r="I523" s="410"/>
      <c r="J523" s="110"/>
      <c r="K523" s="110"/>
      <c r="L523" s="110"/>
      <c r="M523" s="110"/>
      <c r="N523" s="110"/>
      <c r="O523" s="329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spans="1:27" ht="15.75" customHeight="1">
      <c r="A524" s="110"/>
      <c r="B524" s="110"/>
      <c r="C524" s="110"/>
      <c r="D524" s="110"/>
      <c r="E524" s="110"/>
      <c r="F524" s="344"/>
      <c r="G524" s="110"/>
      <c r="H524" s="110"/>
      <c r="I524" s="410"/>
      <c r="J524" s="110"/>
      <c r="K524" s="110"/>
      <c r="L524" s="110"/>
      <c r="M524" s="110"/>
      <c r="N524" s="110"/>
      <c r="O524" s="329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</row>
    <row r="525" spans="1:27" ht="15.75" customHeight="1">
      <c r="A525" s="110"/>
      <c r="B525" s="110"/>
      <c r="C525" s="110"/>
      <c r="D525" s="110"/>
      <c r="E525" s="110"/>
      <c r="F525" s="344"/>
      <c r="G525" s="110"/>
      <c r="H525" s="110"/>
      <c r="I525" s="410"/>
      <c r="J525" s="110"/>
      <c r="K525" s="110"/>
      <c r="L525" s="110"/>
      <c r="M525" s="110"/>
      <c r="N525" s="110"/>
      <c r="O525" s="329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spans="1:27" ht="15.75" customHeight="1">
      <c r="A526" s="110"/>
      <c r="B526" s="110"/>
      <c r="C526" s="110"/>
      <c r="D526" s="110"/>
      <c r="E526" s="110"/>
      <c r="F526" s="344"/>
      <c r="G526" s="110"/>
      <c r="H526" s="110"/>
      <c r="I526" s="410"/>
      <c r="J526" s="110"/>
      <c r="K526" s="110"/>
      <c r="L526" s="110"/>
      <c r="M526" s="110"/>
      <c r="N526" s="110"/>
      <c r="O526" s="329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</row>
    <row r="527" spans="1:27" ht="15.75" customHeight="1">
      <c r="A527" s="110"/>
      <c r="B527" s="110"/>
      <c r="C527" s="110"/>
      <c r="D527" s="110"/>
      <c r="E527" s="110"/>
      <c r="F527" s="344"/>
      <c r="G527" s="110"/>
      <c r="H527" s="110"/>
      <c r="I527" s="410"/>
      <c r="J527" s="110"/>
      <c r="K527" s="110"/>
      <c r="L527" s="110"/>
      <c r="M527" s="110"/>
      <c r="N527" s="110"/>
      <c r="O527" s="329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spans="1:27" ht="15.75" customHeight="1">
      <c r="A528" s="110"/>
      <c r="B528" s="110"/>
      <c r="C528" s="110"/>
      <c r="D528" s="110"/>
      <c r="E528" s="110"/>
      <c r="F528" s="344"/>
      <c r="G528" s="110"/>
      <c r="H528" s="110"/>
      <c r="I528" s="410"/>
      <c r="J528" s="110"/>
      <c r="K528" s="110"/>
      <c r="L528" s="110"/>
      <c r="M528" s="110"/>
      <c r="N528" s="110"/>
      <c r="O528" s="329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</row>
    <row r="529" spans="1:27" ht="15.75" customHeight="1">
      <c r="A529" s="110"/>
      <c r="B529" s="110"/>
      <c r="C529" s="110"/>
      <c r="D529" s="110"/>
      <c r="E529" s="110"/>
      <c r="F529" s="344"/>
      <c r="G529" s="110"/>
      <c r="H529" s="110"/>
      <c r="I529" s="410"/>
      <c r="J529" s="110"/>
      <c r="K529" s="110"/>
      <c r="L529" s="110"/>
      <c r="M529" s="110"/>
      <c r="N529" s="110"/>
      <c r="O529" s="329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spans="1:27" ht="15.75" customHeight="1">
      <c r="A530" s="110"/>
      <c r="B530" s="110"/>
      <c r="C530" s="110"/>
      <c r="D530" s="110"/>
      <c r="E530" s="110"/>
      <c r="F530" s="344"/>
      <c r="G530" s="110"/>
      <c r="H530" s="110"/>
      <c r="I530" s="410"/>
      <c r="J530" s="110"/>
      <c r="K530" s="110"/>
      <c r="L530" s="110"/>
      <c r="M530" s="110"/>
      <c r="N530" s="110"/>
      <c r="O530" s="329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</row>
    <row r="531" spans="1:27" ht="15.75" customHeight="1">
      <c r="A531" s="110"/>
      <c r="B531" s="110"/>
      <c r="C531" s="110"/>
      <c r="D531" s="110"/>
      <c r="E531" s="110"/>
      <c r="F531" s="344"/>
      <c r="G531" s="110"/>
      <c r="H531" s="110"/>
      <c r="I531" s="410"/>
      <c r="J531" s="110"/>
      <c r="K531" s="110"/>
      <c r="L531" s="110"/>
      <c r="M531" s="110"/>
      <c r="N531" s="110"/>
      <c r="O531" s="329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spans="1:27" ht="15.75" customHeight="1">
      <c r="A532" s="110"/>
      <c r="B532" s="110"/>
      <c r="C532" s="110"/>
      <c r="D532" s="110"/>
      <c r="E532" s="110"/>
      <c r="F532" s="344"/>
      <c r="G532" s="110"/>
      <c r="H532" s="110"/>
      <c r="I532" s="410"/>
      <c r="J532" s="110"/>
      <c r="K532" s="110"/>
      <c r="L532" s="110"/>
      <c r="M532" s="110"/>
      <c r="N532" s="110"/>
      <c r="O532" s="329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</row>
    <row r="533" spans="1:27" ht="15.75" customHeight="1">
      <c r="A533" s="110"/>
      <c r="B533" s="110"/>
      <c r="C533" s="110"/>
      <c r="D533" s="110"/>
      <c r="E533" s="110"/>
      <c r="F533" s="344"/>
      <c r="G533" s="110"/>
      <c r="H533" s="110"/>
      <c r="I533" s="410"/>
      <c r="J533" s="110"/>
      <c r="K533" s="110"/>
      <c r="L533" s="110"/>
      <c r="M533" s="110"/>
      <c r="N533" s="110"/>
      <c r="O533" s="329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spans="1:27" ht="15.75" customHeight="1">
      <c r="A534" s="110"/>
      <c r="B534" s="110"/>
      <c r="C534" s="110"/>
      <c r="D534" s="110"/>
      <c r="E534" s="110"/>
      <c r="F534" s="344"/>
      <c r="G534" s="110"/>
      <c r="H534" s="110"/>
      <c r="I534" s="410"/>
      <c r="J534" s="110"/>
      <c r="K534" s="110"/>
      <c r="L534" s="110"/>
      <c r="M534" s="110"/>
      <c r="N534" s="110"/>
      <c r="O534" s="329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</row>
    <row r="535" spans="1:27" ht="15.75" customHeight="1">
      <c r="A535" s="110"/>
      <c r="B535" s="110"/>
      <c r="C535" s="110"/>
      <c r="D535" s="110"/>
      <c r="E535" s="110"/>
      <c r="F535" s="344"/>
      <c r="G535" s="110"/>
      <c r="H535" s="110"/>
      <c r="I535" s="410"/>
      <c r="J535" s="110"/>
      <c r="K535" s="110"/>
      <c r="L535" s="110"/>
      <c r="M535" s="110"/>
      <c r="N535" s="110"/>
      <c r="O535" s="329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spans="1:27" ht="15.75" customHeight="1">
      <c r="A536" s="110"/>
      <c r="B536" s="110"/>
      <c r="C536" s="110"/>
      <c r="D536" s="110"/>
      <c r="E536" s="110"/>
      <c r="F536" s="344"/>
      <c r="G536" s="110"/>
      <c r="H536" s="110"/>
      <c r="I536" s="410"/>
      <c r="J536" s="110"/>
      <c r="K536" s="110"/>
      <c r="L536" s="110"/>
      <c r="M536" s="110"/>
      <c r="N536" s="110"/>
      <c r="O536" s="329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</row>
    <row r="537" spans="1:27" ht="15.75" customHeight="1">
      <c r="A537" s="110"/>
      <c r="B537" s="110"/>
      <c r="C537" s="110"/>
      <c r="D537" s="110"/>
      <c r="E537" s="110"/>
      <c r="F537" s="344"/>
      <c r="G537" s="110"/>
      <c r="H537" s="110"/>
      <c r="I537" s="410"/>
      <c r="J537" s="110"/>
      <c r="K537" s="110"/>
      <c r="L537" s="110"/>
      <c r="M537" s="110"/>
      <c r="N537" s="110"/>
      <c r="O537" s="329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spans="1:27" ht="15.75" customHeight="1">
      <c r="A538" s="110"/>
      <c r="B538" s="110"/>
      <c r="C538" s="110"/>
      <c r="D538" s="110"/>
      <c r="E538" s="110"/>
      <c r="F538" s="344"/>
      <c r="G538" s="110"/>
      <c r="H538" s="110"/>
      <c r="I538" s="410"/>
      <c r="J538" s="110"/>
      <c r="K538" s="110"/>
      <c r="L538" s="110"/>
      <c r="M538" s="110"/>
      <c r="N538" s="110"/>
      <c r="O538" s="329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</row>
    <row r="539" spans="1:27" ht="15.75" customHeight="1">
      <c r="A539" s="110"/>
      <c r="B539" s="110"/>
      <c r="C539" s="110"/>
      <c r="D539" s="110"/>
      <c r="E539" s="110"/>
      <c r="F539" s="344"/>
      <c r="G539" s="110"/>
      <c r="H539" s="110"/>
      <c r="I539" s="410"/>
      <c r="J539" s="110"/>
      <c r="K539" s="110"/>
      <c r="L539" s="110"/>
      <c r="M539" s="110"/>
      <c r="N539" s="110"/>
      <c r="O539" s="329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spans="1:27" ht="15.75" customHeight="1">
      <c r="A540" s="110"/>
      <c r="B540" s="110"/>
      <c r="C540" s="110"/>
      <c r="D540" s="110"/>
      <c r="E540" s="110"/>
      <c r="F540" s="344"/>
      <c r="G540" s="110"/>
      <c r="H540" s="110"/>
      <c r="I540" s="410"/>
      <c r="J540" s="110"/>
      <c r="K540" s="110"/>
      <c r="L540" s="110"/>
      <c r="M540" s="110"/>
      <c r="N540" s="110"/>
      <c r="O540" s="329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</row>
    <row r="541" spans="1:27" ht="15.75" customHeight="1">
      <c r="A541" s="110"/>
      <c r="B541" s="110"/>
      <c r="C541" s="110"/>
      <c r="D541" s="110"/>
      <c r="E541" s="110"/>
      <c r="F541" s="344"/>
      <c r="G541" s="110"/>
      <c r="H541" s="110"/>
      <c r="I541" s="410"/>
      <c r="J541" s="110"/>
      <c r="K541" s="110"/>
      <c r="L541" s="110"/>
      <c r="M541" s="110"/>
      <c r="N541" s="110"/>
      <c r="O541" s="329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spans="1:27" ht="15.75" customHeight="1">
      <c r="A542" s="110"/>
      <c r="B542" s="110"/>
      <c r="C542" s="110"/>
      <c r="D542" s="110"/>
      <c r="E542" s="110"/>
      <c r="F542" s="344"/>
      <c r="G542" s="110"/>
      <c r="H542" s="110"/>
      <c r="I542" s="410"/>
      <c r="J542" s="110"/>
      <c r="K542" s="110"/>
      <c r="L542" s="110"/>
      <c r="M542" s="110"/>
      <c r="N542" s="110"/>
      <c r="O542" s="329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</row>
    <row r="543" spans="1:27" ht="15.75" customHeight="1">
      <c r="A543" s="110"/>
      <c r="B543" s="110"/>
      <c r="C543" s="110"/>
      <c r="D543" s="110"/>
      <c r="E543" s="110"/>
      <c r="F543" s="344"/>
      <c r="G543" s="110"/>
      <c r="H543" s="110"/>
      <c r="I543" s="410"/>
      <c r="J543" s="110"/>
      <c r="K543" s="110"/>
      <c r="L543" s="110"/>
      <c r="M543" s="110"/>
      <c r="N543" s="110"/>
      <c r="O543" s="329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spans="1:27" ht="15.75" customHeight="1">
      <c r="A544" s="110"/>
      <c r="B544" s="110"/>
      <c r="C544" s="110"/>
      <c r="D544" s="110"/>
      <c r="E544" s="110"/>
      <c r="F544" s="344"/>
      <c r="G544" s="110"/>
      <c r="H544" s="110"/>
      <c r="I544" s="410"/>
      <c r="J544" s="110"/>
      <c r="K544" s="110"/>
      <c r="L544" s="110"/>
      <c r="M544" s="110"/>
      <c r="N544" s="110"/>
      <c r="O544" s="329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</row>
    <row r="545" spans="1:27" ht="15.75" customHeight="1">
      <c r="A545" s="110"/>
      <c r="B545" s="110"/>
      <c r="C545" s="110"/>
      <c r="D545" s="110"/>
      <c r="E545" s="110"/>
      <c r="F545" s="344"/>
      <c r="G545" s="110"/>
      <c r="H545" s="110"/>
      <c r="I545" s="410"/>
      <c r="J545" s="110"/>
      <c r="K545" s="110"/>
      <c r="L545" s="110"/>
      <c r="M545" s="110"/>
      <c r="N545" s="110"/>
      <c r="O545" s="329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spans="1:27" ht="15.75" customHeight="1">
      <c r="A546" s="110"/>
      <c r="B546" s="110"/>
      <c r="C546" s="110"/>
      <c r="D546" s="110"/>
      <c r="E546" s="110"/>
      <c r="F546" s="344"/>
      <c r="G546" s="110"/>
      <c r="H546" s="110"/>
      <c r="I546" s="410"/>
      <c r="J546" s="110"/>
      <c r="K546" s="110"/>
      <c r="L546" s="110"/>
      <c r="M546" s="110"/>
      <c r="N546" s="110"/>
      <c r="O546" s="329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</row>
    <row r="547" spans="1:27" ht="15.75" customHeight="1">
      <c r="A547" s="110"/>
      <c r="B547" s="110"/>
      <c r="C547" s="110"/>
      <c r="D547" s="110"/>
      <c r="E547" s="110"/>
      <c r="F547" s="344"/>
      <c r="G547" s="110"/>
      <c r="H547" s="110"/>
      <c r="I547" s="410"/>
      <c r="J547" s="110"/>
      <c r="K547" s="110"/>
      <c r="L547" s="110"/>
      <c r="M547" s="110"/>
      <c r="N547" s="110"/>
      <c r="O547" s="329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spans="1:27" ht="15.75" customHeight="1">
      <c r="A548" s="110"/>
      <c r="B548" s="110"/>
      <c r="C548" s="110"/>
      <c r="D548" s="110"/>
      <c r="E548" s="110"/>
      <c r="F548" s="344"/>
      <c r="G548" s="110"/>
      <c r="H548" s="110"/>
      <c r="I548" s="410"/>
      <c r="J548" s="110"/>
      <c r="K548" s="110"/>
      <c r="L548" s="110"/>
      <c r="M548" s="110"/>
      <c r="N548" s="110"/>
      <c r="O548" s="329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</row>
    <row r="549" spans="1:27" ht="15.75" customHeight="1">
      <c r="A549" s="110"/>
      <c r="B549" s="110"/>
      <c r="C549" s="110"/>
      <c r="D549" s="110"/>
      <c r="E549" s="110"/>
      <c r="F549" s="344"/>
      <c r="G549" s="110"/>
      <c r="H549" s="110"/>
      <c r="I549" s="410"/>
      <c r="J549" s="110"/>
      <c r="K549" s="110"/>
      <c r="L549" s="110"/>
      <c r="M549" s="110"/>
      <c r="N549" s="110"/>
      <c r="O549" s="329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spans="1:27" ht="15.75" customHeight="1">
      <c r="A550" s="110"/>
      <c r="B550" s="110"/>
      <c r="C550" s="110"/>
      <c r="D550" s="110"/>
      <c r="E550" s="110"/>
      <c r="F550" s="344"/>
      <c r="G550" s="110"/>
      <c r="H550" s="110"/>
      <c r="I550" s="410"/>
      <c r="J550" s="110"/>
      <c r="K550" s="110"/>
      <c r="L550" s="110"/>
      <c r="M550" s="110"/>
      <c r="N550" s="110"/>
      <c r="O550" s="329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</row>
    <row r="551" spans="1:27" ht="15.75" customHeight="1">
      <c r="A551" s="110"/>
      <c r="B551" s="110"/>
      <c r="C551" s="110"/>
      <c r="D551" s="110"/>
      <c r="E551" s="110"/>
      <c r="F551" s="344"/>
      <c r="G551" s="110"/>
      <c r="H551" s="110"/>
      <c r="I551" s="410"/>
      <c r="J551" s="110"/>
      <c r="K551" s="110"/>
      <c r="L551" s="110"/>
      <c r="M551" s="110"/>
      <c r="N551" s="110"/>
      <c r="O551" s="329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spans="1:27" ht="15.75" customHeight="1">
      <c r="A552" s="110"/>
      <c r="B552" s="110"/>
      <c r="C552" s="110"/>
      <c r="D552" s="110"/>
      <c r="E552" s="110"/>
      <c r="F552" s="344"/>
      <c r="G552" s="110"/>
      <c r="H552" s="110"/>
      <c r="I552" s="410"/>
      <c r="J552" s="110"/>
      <c r="K552" s="110"/>
      <c r="L552" s="110"/>
      <c r="M552" s="110"/>
      <c r="N552" s="110"/>
      <c r="O552" s="329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</row>
    <row r="553" spans="1:27" ht="15.75" customHeight="1">
      <c r="A553" s="110"/>
      <c r="B553" s="110"/>
      <c r="C553" s="110"/>
      <c r="D553" s="110"/>
      <c r="E553" s="110"/>
      <c r="F553" s="344"/>
      <c r="G553" s="110"/>
      <c r="H553" s="110"/>
      <c r="I553" s="410"/>
      <c r="J553" s="110"/>
      <c r="K553" s="110"/>
      <c r="L553" s="110"/>
      <c r="M553" s="110"/>
      <c r="N553" s="110"/>
      <c r="O553" s="329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spans="1:27" ht="15.75" customHeight="1">
      <c r="A554" s="110"/>
      <c r="B554" s="110"/>
      <c r="C554" s="110"/>
      <c r="D554" s="110"/>
      <c r="E554" s="110"/>
      <c r="F554" s="344"/>
      <c r="G554" s="110"/>
      <c r="H554" s="110"/>
      <c r="I554" s="410"/>
      <c r="J554" s="110"/>
      <c r="K554" s="110"/>
      <c r="L554" s="110"/>
      <c r="M554" s="110"/>
      <c r="N554" s="110"/>
      <c r="O554" s="329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</row>
    <row r="555" spans="1:27" ht="15.75" customHeight="1">
      <c r="A555" s="110"/>
      <c r="B555" s="110"/>
      <c r="C555" s="110"/>
      <c r="D555" s="110"/>
      <c r="E555" s="110"/>
      <c r="F555" s="344"/>
      <c r="G555" s="110"/>
      <c r="H555" s="110"/>
      <c r="I555" s="410"/>
      <c r="J555" s="110"/>
      <c r="K555" s="110"/>
      <c r="L555" s="110"/>
      <c r="M555" s="110"/>
      <c r="N555" s="110"/>
      <c r="O555" s="329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spans="1:27" ht="15.75" customHeight="1">
      <c r="A556" s="110"/>
      <c r="B556" s="110"/>
      <c r="C556" s="110"/>
      <c r="D556" s="110"/>
      <c r="E556" s="110"/>
      <c r="F556" s="344"/>
      <c r="G556" s="110"/>
      <c r="H556" s="110"/>
      <c r="I556" s="410"/>
      <c r="J556" s="110"/>
      <c r="K556" s="110"/>
      <c r="L556" s="110"/>
      <c r="M556" s="110"/>
      <c r="N556" s="110"/>
      <c r="O556" s="329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</row>
    <row r="557" spans="1:27" ht="15.75" customHeight="1">
      <c r="A557" s="110"/>
      <c r="B557" s="110"/>
      <c r="C557" s="110"/>
      <c r="D557" s="110"/>
      <c r="E557" s="110"/>
      <c r="F557" s="344"/>
      <c r="G557" s="110"/>
      <c r="H557" s="110"/>
      <c r="I557" s="410"/>
      <c r="J557" s="110"/>
      <c r="K557" s="110"/>
      <c r="L557" s="110"/>
      <c r="M557" s="110"/>
      <c r="N557" s="110"/>
      <c r="O557" s="329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spans="1:27" ht="15.75" customHeight="1">
      <c r="A558" s="110"/>
      <c r="B558" s="110"/>
      <c r="C558" s="110"/>
      <c r="D558" s="110"/>
      <c r="E558" s="110"/>
      <c r="F558" s="344"/>
      <c r="G558" s="110"/>
      <c r="H558" s="110"/>
      <c r="I558" s="410"/>
      <c r="J558" s="110"/>
      <c r="K558" s="110"/>
      <c r="L558" s="110"/>
      <c r="M558" s="110"/>
      <c r="N558" s="110"/>
      <c r="O558" s="329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</row>
    <row r="559" spans="1:27" ht="15.75" customHeight="1">
      <c r="A559" s="110"/>
      <c r="B559" s="110"/>
      <c r="C559" s="110"/>
      <c r="D559" s="110"/>
      <c r="E559" s="110"/>
      <c r="F559" s="344"/>
      <c r="G559" s="110"/>
      <c r="H559" s="110"/>
      <c r="I559" s="410"/>
      <c r="J559" s="110"/>
      <c r="K559" s="110"/>
      <c r="L559" s="110"/>
      <c r="M559" s="110"/>
      <c r="N559" s="110"/>
      <c r="O559" s="329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spans="1:27" ht="15.75" customHeight="1">
      <c r="A560" s="110"/>
      <c r="B560" s="110"/>
      <c r="C560" s="110"/>
      <c r="D560" s="110"/>
      <c r="E560" s="110"/>
      <c r="F560" s="344"/>
      <c r="G560" s="110"/>
      <c r="H560" s="110"/>
      <c r="I560" s="410"/>
      <c r="J560" s="110"/>
      <c r="K560" s="110"/>
      <c r="L560" s="110"/>
      <c r="M560" s="110"/>
      <c r="N560" s="110"/>
      <c r="O560" s="329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</row>
    <row r="561" spans="1:27" ht="15.75" customHeight="1">
      <c r="A561" s="110"/>
      <c r="B561" s="110"/>
      <c r="C561" s="110"/>
      <c r="D561" s="110"/>
      <c r="E561" s="110"/>
      <c r="F561" s="344"/>
      <c r="G561" s="110"/>
      <c r="H561" s="110"/>
      <c r="I561" s="410"/>
      <c r="J561" s="110"/>
      <c r="K561" s="110"/>
      <c r="L561" s="110"/>
      <c r="M561" s="110"/>
      <c r="N561" s="110"/>
      <c r="O561" s="329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spans="1:27" ht="15.75" customHeight="1">
      <c r="A562" s="110"/>
      <c r="B562" s="110"/>
      <c r="C562" s="110"/>
      <c r="D562" s="110"/>
      <c r="E562" s="110"/>
      <c r="F562" s="344"/>
      <c r="G562" s="110"/>
      <c r="H562" s="110"/>
      <c r="I562" s="410"/>
      <c r="J562" s="110"/>
      <c r="K562" s="110"/>
      <c r="L562" s="110"/>
      <c r="M562" s="110"/>
      <c r="N562" s="110"/>
      <c r="O562" s="329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</row>
    <row r="563" spans="1:27" ht="15.75" customHeight="1">
      <c r="A563" s="110"/>
      <c r="B563" s="110"/>
      <c r="C563" s="110"/>
      <c r="D563" s="110"/>
      <c r="E563" s="110"/>
      <c r="F563" s="344"/>
      <c r="G563" s="110"/>
      <c r="H563" s="110"/>
      <c r="I563" s="410"/>
      <c r="J563" s="110"/>
      <c r="K563" s="110"/>
      <c r="L563" s="110"/>
      <c r="M563" s="110"/>
      <c r="N563" s="110"/>
      <c r="O563" s="329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spans="1:27" ht="15.75" customHeight="1">
      <c r="A564" s="110"/>
      <c r="B564" s="110"/>
      <c r="C564" s="110"/>
      <c r="D564" s="110"/>
      <c r="E564" s="110"/>
      <c r="F564" s="344"/>
      <c r="G564" s="110"/>
      <c r="H564" s="110"/>
      <c r="I564" s="410"/>
      <c r="J564" s="110"/>
      <c r="K564" s="110"/>
      <c r="L564" s="110"/>
      <c r="M564" s="110"/>
      <c r="N564" s="110"/>
      <c r="O564" s="329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</row>
    <row r="565" spans="1:27" ht="15.75" customHeight="1">
      <c r="A565" s="110"/>
      <c r="B565" s="110"/>
      <c r="C565" s="110"/>
      <c r="D565" s="110"/>
      <c r="E565" s="110"/>
      <c r="F565" s="344"/>
      <c r="G565" s="110"/>
      <c r="H565" s="110"/>
      <c r="I565" s="410"/>
      <c r="J565" s="110"/>
      <c r="K565" s="110"/>
      <c r="L565" s="110"/>
      <c r="M565" s="110"/>
      <c r="N565" s="110"/>
      <c r="O565" s="329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spans="1:27" ht="15.75" customHeight="1">
      <c r="A566" s="110"/>
      <c r="B566" s="110"/>
      <c r="C566" s="110"/>
      <c r="D566" s="110"/>
      <c r="E566" s="110"/>
      <c r="F566" s="344"/>
      <c r="G566" s="110"/>
      <c r="H566" s="110"/>
      <c r="I566" s="410"/>
      <c r="J566" s="110"/>
      <c r="K566" s="110"/>
      <c r="L566" s="110"/>
      <c r="M566" s="110"/>
      <c r="N566" s="110"/>
      <c r="O566" s="329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</row>
    <row r="567" spans="1:27" ht="15.75" customHeight="1">
      <c r="A567" s="110"/>
      <c r="B567" s="110"/>
      <c r="C567" s="110"/>
      <c r="D567" s="110"/>
      <c r="E567" s="110"/>
      <c r="F567" s="344"/>
      <c r="G567" s="110"/>
      <c r="H567" s="110"/>
      <c r="I567" s="410"/>
      <c r="J567" s="110"/>
      <c r="K567" s="110"/>
      <c r="L567" s="110"/>
      <c r="M567" s="110"/>
      <c r="N567" s="110"/>
      <c r="O567" s="329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spans="1:27" ht="15.75" customHeight="1">
      <c r="A568" s="110"/>
      <c r="B568" s="110"/>
      <c r="C568" s="110"/>
      <c r="D568" s="110"/>
      <c r="E568" s="110"/>
      <c r="F568" s="344"/>
      <c r="G568" s="110"/>
      <c r="H568" s="110"/>
      <c r="I568" s="410"/>
      <c r="J568" s="110"/>
      <c r="K568" s="110"/>
      <c r="L568" s="110"/>
      <c r="M568" s="110"/>
      <c r="N568" s="110"/>
      <c r="O568" s="329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</row>
    <row r="569" spans="1:27" ht="15.75" customHeight="1">
      <c r="A569" s="110"/>
      <c r="B569" s="110"/>
      <c r="C569" s="110"/>
      <c r="D569" s="110"/>
      <c r="E569" s="110"/>
      <c r="F569" s="344"/>
      <c r="G569" s="110"/>
      <c r="H569" s="110"/>
      <c r="I569" s="410"/>
      <c r="J569" s="110"/>
      <c r="K569" s="110"/>
      <c r="L569" s="110"/>
      <c r="M569" s="110"/>
      <c r="N569" s="110"/>
      <c r="O569" s="329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spans="1:27" ht="15.75" customHeight="1">
      <c r="A570" s="110"/>
      <c r="B570" s="110"/>
      <c r="C570" s="110"/>
      <c r="D570" s="110"/>
      <c r="E570" s="110"/>
      <c r="F570" s="344"/>
      <c r="G570" s="110"/>
      <c r="H570" s="110"/>
      <c r="I570" s="410"/>
      <c r="J570" s="110"/>
      <c r="K570" s="110"/>
      <c r="L570" s="110"/>
      <c r="M570" s="110"/>
      <c r="N570" s="110"/>
      <c r="O570" s="329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</row>
    <row r="571" spans="1:27" ht="15.75" customHeight="1">
      <c r="A571" s="110"/>
      <c r="B571" s="110"/>
      <c r="C571" s="110"/>
      <c r="D571" s="110"/>
      <c r="E571" s="110"/>
      <c r="F571" s="344"/>
      <c r="G571" s="110"/>
      <c r="H571" s="110"/>
      <c r="I571" s="410"/>
      <c r="J571" s="110"/>
      <c r="K571" s="110"/>
      <c r="L571" s="110"/>
      <c r="M571" s="110"/>
      <c r="N571" s="110"/>
      <c r="O571" s="329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spans="1:27" ht="15.75" customHeight="1">
      <c r="A572" s="110"/>
      <c r="B572" s="110"/>
      <c r="C572" s="110"/>
      <c r="D572" s="110"/>
      <c r="E572" s="110"/>
      <c r="F572" s="344"/>
      <c r="G572" s="110"/>
      <c r="H572" s="110"/>
      <c r="I572" s="410"/>
      <c r="J572" s="110"/>
      <c r="K572" s="110"/>
      <c r="L572" s="110"/>
      <c r="M572" s="110"/>
      <c r="N572" s="110"/>
      <c r="O572" s="329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</row>
    <row r="573" spans="1:27" ht="15.75" customHeight="1">
      <c r="A573" s="110"/>
      <c r="B573" s="110"/>
      <c r="C573" s="110"/>
      <c r="D573" s="110"/>
      <c r="E573" s="110"/>
      <c r="F573" s="344"/>
      <c r="G573" s="110"/>
      <c r="H573" s="110"/>
      <c r="I573" s="410"/>
      <c r="J573" s="110"/>
      <c r="K573" s="110"/>
      <c r="L573" s="110"/>
      <c r="M573" s="110"/>
      <c r="N573" s="110"/>
      <c r="O573" s="329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spans="1:27" ht="15.75" customHeight="1">
      <c r="A574" s="110"/>
      <c r="B574" s="110"/>
      <c r="C574" s="110"/>
      <c r="D574" s="110"/>
      <c r="E574" s="110"/>
      <c r="F574" s="344"/>
      <c r="G574" s="110"/>
      <c r="H574" s="110"/>
      <c r="I574" s="410"/>
      <c r="J574" s="110"/>
      <c r="K574" s="110"/>
      <c r="L574" s="110"/>
      <c r="M574" s="110"/>
      <c r="N574" s="110"/>
      <c r="O574" s="329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</row>
    <row r="575" spans="1:27" ht="15.75" customHeight="1">
      <c r="A575" s="110"/>
      <c r="B575" s="110"/>
      <c r="C575" s="110"/>
      <c r="D575" s="110"/>
      <c r="E575" s="110"/>
      <c r="F575" s="344"/>
      <c r="G575" s="110"/>
      <c r="H575" s="110"/>
      <c r="I575" s="410"/>
      <c r="J575" s="110"/>
      <c r="K575" s="110"/>
      <c r="L575" s="110"/>
      <c r="M575" s="110"/>
      <c r="N575" s="110"/>
      <c r="O575" s="329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spans="1:27" ht="15.75" customHeight="1">
      <c r="A576" s="110"/>
      <c r="B576" s="110"/>
      <c r="C576" s="110"/>
      <c r="D576" s="110"/>
      <c r="E576" s="110"/>
      <c r="F576" s="344"/>
      <c r="G576" s="110"/>
      <c r="H576" s="110"/>
      <c r="I576" s="410"/>
      <c r="J576" s="110"/>
      <c r="K576" s="110"/>
      <c r="L576" s="110"/>
      <c r="M576" s="110"/>
      <c r="N576" s="110"/>
      <c r="O576" s="329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</row>
    <row r="577" spans="1:27" ht="15.75" customHeight="1">
      <c r="A577" s="110"/>
      <c r="B577" s="110"/>
      <c r="C577" s="110"/>
      <c r="D577" s="110"/>
      <c r="E577" s="110"/>
      <c r="F577" s="344"/>
      <c r="G577" s="110"/>
      <c r="H577" s="110"/>
      <c r="I577" s="410"/>
      <c r="J577" s="110"/>
      <c r="K577" s="110"/>
      <c r="L577" s="110"/>
      <c r="M577" s="110"/>
      <c r="N577" s="110"/>
      <c r="O577" s="329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spans="1:27" ht="15.75" customHeight="1">
      <c r="A578" s="110"/>
      <c r="B578" s="110"/>
      <c r="C578" s="110"/>
      <c r="D578" s="110"/>
      <c r="E578" s="110"/>
      <c r="F578" s="344"/>
      <c r="G578" s="110"/>
      <c r="H578" s="110"/>
      <c r="I578" s="410"/>
      <c r="J578" s="110"/>
      <c r="K578" s="110"/>
      <c r="L578" s="110"/>
      <c r="M578" s="110"/>
      <c r="N578" s="110"/>
      <c r="O578" s="329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</row>
    <row r="579" spans="1:27" ht="15.75" customHeight="1">
      <c r="A579" s="110"/>
      <c r="B579" s="110"/>
      <c r="C579" s="110"/>
      <c r="D579" s="110"/>
      <c r="E579" s="110"/>
      <c r="F579" s="344"/>
      <c r="G579" s="110"/>
      <c r="H579" s="110"/>
      <c r="I579" s="410"/>
      <c r="J579" s="110"/>
      <c r="K579" s="110"/>
      <c r="L579" s="110"/>
      <c r="M579" s="110"/>
      <c r="N579" s="110"/>
      <c r="O579" s="329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spans="1:27" ht="15.75" customHeight="1">
      <c r="A580" s="110"/>
      <c r="B580" s="110"/>
      <c r="C580" s="110"/>
      <c r="D580" s="110"/>
      <c r="E580" s="110"/>
      <c r="F580" s="344"/>
      <c r="G580" s="110"/>
      <c r="H580" s="110"/>
      <c r="I580" s="410"/>
      <c r="J580" s="110"/>
      <c r="K580" s="110"/>
      <c r="L580" s="110"/>
      <c r="M580" s="110"/>
      <c r="N580" s="110"/>
      <c r="O580" s="329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</row>
    <row r="581" spans="1:27" ht="15.75" customHeight="1">
      <c r="A581" s="110"/>
      <c r="B581" s="110"/>
      <c r="C581" s="110"/>
      <c r="D581" s="110"/>
      <c r="E581" s="110"/>
      <c r="F581" s="344"/>
      <c r="G581" s="110"/>
      <c r="H581" s="110"/>
      <c r="I581" s="410"/>
      <c r="J581" s="110"/>
      <c r="K581" s="110"/>
      <c r="L581" s="110"/>
      <c r="M581" s="110"/>
      <c r="N581" s="110"/>
      <c r="O581" s="329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spans="1:27" ht="15.75" customHeight="1">
      <c r="A582" s="110"/>
      <c r="B582" s="110"/>
      <c r="C582" s="110"/>
      <c r="D582" s="110"/>
      <c r="E582" s="110"/>
      <c r="F582" s="344"/>
      <c r="G582" s="110"/>
      <c r="H582" s="110"/>
      <c r="I582" s="410"/>
      <c r="J582" s="110"/>
      <c r="K582" s="110"/>
      <c r="L582" s="110"/>
      <c r="M582" s="110"/>
      <c r="N582" s="110"/>
      <c r="O582" s="329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</row>
    <row r="583" spans="1:27" ht="15.75" customHeight="1">
      <c r="A583" s="110"/>
      <c r="B583" s="110"/>
      <c r="C583" s="110"/>
      <c r="D583" s="110"/>
      <c r="E583" s="110"/>
      <c r="F583" s="344"/>
      <c r="G583" s="110"/>
      <c r="H583" s="110"/>
      <c r="I583" s="410"/>
      <c r="J583" s="110"/>
      <c r="K583" s="110"/>
      <c r="L583" s="110"/>
      <c r="M583" s="110"/>
      <c r="N583" s="110"/>
      <c r="O583" s="329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spans="1:27" ht="15.75" customHeight="1">
      <c r="A584" s="110"/>
      <c r="B584" s="110"/>
      <c r="C584" s="110"/>
      <c r="D584" s="110"/>
      <c r="E584" s="110"/>
      <c r="F584" s="344"/>
      <c r="G584" s="110"/>
      <c r="H584" s="110"/>
      <c r="I584" s="410"/>
      <c r="J584" s="110"/>
      <c r="K584" s="110"/>
      <c r="L584" s="110"/>
      <c r="M584" s="110"/>
      <c r="N584" s="110"/>
      <c r="O584" s="329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</row>
    <row r="585" spans="1:27" ht="15.75" customHeight="1">
      <c r="A585" s="110"/>
      <c r="B585" s="110"/>
      <c r="C585" s="110"/>
      <c r="D585" s="110"/>
      <c r="E585" s="110"/>
      <c r="F585" s="344"/>
      <c r="G585" s="110"/>
      <c r="H585" s="110"/>
      <c r="I585" s="410"/>
      <c r="J585" s="110"/>
      <c r="K585" s="110"/>
      <c r="L585" s="110"/>
      <c r="M585" s="110"/>
      <c r="N585" s="110"/>
      <c r="O585" s="329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spans="1:27" ht="15.75" customHeight="1">
      <c r="A586" s="110"/>
      <c r="B586" s="110"/>
      <c r="C586" s="110"/>
      <c r="D586" s="110"/>
      <c r="E586" s="110"/>
      <c r="F586" s="344"/>
      <c r="G586" s="110"/>
      <c r="H586" s="110"/>
      <c r="I586" s="410"/>
      <c r="J586" s="110"/>
      <c r="K586" s="110"/>
      <c r="L586" s="110"/>
      <c r="M586" s="110"/>
      <c r="N586" s="110"/>
      <c r="O586" s="329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</row>
    <row r="587" spans="1:27" ht="15.75" customHeight="1">
      <c r="A587" s="110"/>
      <c r="B587" s="110"/>
      <c r="C587" s="110"/>
      <c r="D587" s="110"/>
      <c r="E587" s="110"/>
      <c r="F587" s="344"/>
      <c r="G587" s="110"/>
      <c r="H587" s="110"/>
      <c r="I587" s="410"/>
      <c r="J587" s="110"/>
      <c r="K587" s="110"/>
      <c r="L587" s="110"/>
      <c r="M587" s="110"/>
      <c r="N587" s="110"/>
      <c r="O587" s="329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spans="1:27" ht="15.75" customHeight="1">
      <c r="A588" s="110"/>
      <c r="B588" s="110"/>
      <c r="C588" s="110"/>
      <c r="D588" s="110"/>
      <c r="E588" s="110"/>
      <c r="F588" s="344"/>
      <c r="G588" s="110"/>
      <c r="H588" s="110"/>
      <c r="I588" s="410"/>
      <c r="J588" s="110"/>
      <c r="K588" s="110"/>
      <c r="L588" s="110"/>
      <c r="M588" s="110"/>
      <c r="N588" s="110"/>
      <c r="O588" s="329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</row>
    <row r="589" spans="1:27" ht="15.75" customHeight="1">
      <c r="A589" s="110"/>
      <c r="B589" s="110"/>
      <c r="C589" s="110"/>
      <c r="D589" s="110"/>
      <c r="E589" s="110"/>
      <c r="F589" s="344"/>
      <c r="G589" s="110"/>
      <c r="H589" s="110"/>
      <c r="I589" s="410"/>
      <c r="J589" s="110"/>
      <c r="K589" s="110"/>
      <c r="L589" s="110"/>
      <c r="M589" s="110"/>
      <c r="N589" s="110"/>
      <c r="O589" s="329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spans="1:27" ht="15.75" customHeight="1">
      <c r="A590" s="110"/>
      <c r="B590" s="110"/>
      <c r="C590" s="110"/>
      <c r="D590" s="110"/>
      <c r="E590" s="110"/>
      <c r="F590" s="344"/>
      <c r="G590" s="110"/>
      <c r="H590" s="110"/>
      <c r="I590" s="410"/>
      <c r="J590" s="110"/>
      <c r="K590" s="110"/>
      <c r="L590" s="110"/>
      <c r="M590" s="110"/>
      <c r="N590" s="110"/>
      <c r="O590" s="329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</row>
    <row r="591" spans="1:27" ht="15.75" customHeight="1">
      <c r="A591" s="110"/>
      <c r="B591" s="110"/>
      <c r="C591" s="110"/>
      <c r="D591" s="110"/>
      <c r="E591" s="110"/>
      <c r="F591" s="344"/>
      <c r="G591" s="110"/>
      <c r="H591" s="110"/>
      <c r="I591" s="410"/>
      <c r="J591" s="110"/>
      <c r="K591" s="110"/>
      <c r="L591" s="110"/>
      <c r="M591" s="110"/>
      <c r="N591" s="110"/>
      <c r="O591" s="329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spans="1:27" ht="15.75" customHeight="1">
      <c r="A592" s="110"/>
      <c r="B592" s="110"/>
      <c r="C592" s="110"/>
      <c r="D592" s="110"/>
      <c r="E592" s="110"/>
      <c r="F592" s="344"/>
      <c r="G592" s="110"/>
      <c r="H592" s="110"/>
      <c r="I592" s="410"/>
      <c r="J592" s="110"/>
      <c r="K592" s="110"/>
      <c r="L592" s="110"/>
      <c r="M592" s="110"/>
      <c r="N592" s="110"/>
      <c r="O592" s="329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</row>
    <row r="593" spans="1:27" ht="15.75" customHeight="1">
      <c r="A593" s="110"/>
      <c r="B593" s="110"/>
      <c r="C593" s="110"/>
      <c r="D593" s="110"/>
      <c r="E593" s="110"/>
      <c r="F593" s="344"/>
      <c r="G593" s="110"/>
      <c r="H593" s="110"/>
      <c r="I593" s="410"/>
      <c r="J593" s="110"/>
      <c r="K593" s="110"/>
      <c r="L593" s="110"/>
      <c r="M593" s="110"/>
      <c r="N593" s="110"/>
      <c r="O593" s="329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spans="1:27" ht="15.75" customHeight="1">
      <c r="A594" s="110"/>
      <c r="B594" s="110"/>
      <c r="C594" s="110"/>
      <c r="D594" s="110"/>
      <c r="E594" s="110"/>
      <c r="F594" s="344"/>
      <c r="G594" s="110"/>
      <c r="H594" s="110"/>
      <c r="I594" s="410"/>
      <c r="J594" s="110"/>
      <c r="K594" s="110"/>
      <c r="L594" s="110"/>
      <c r="M594" s="110"/>
      <c r="N594" s="110"/>
      <c r="O594" s="329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</row>
    <row r="595" spans="1:27" ht="15.75" customHeight="1">
      <c r="A595" s="110"/>
      <c r="B595" s="110"/>
      <c r="C595" s="110"/>
      <c r="D595" s="110"/>
      <c r="E595" s="110"/>
      <c r="F595" s="344"/>
      <c r="G595" s="110"/>
      <c r="H595" s="110"/>
      <c r="I595" s="410"/>
      <c r="J595" s="110"/>
      <c r="K595" s="110"/>
      <c r="L595" s="110"/>
      <c r="M595" s="110"/>
      <c r="N595" s="110"/>
      <c r="O595" s="329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spans="1:27" ht="15.75" customHeight="1">
      <c r="A596" s="110"/>
      <c r="B596" s="110"/>
      <c r="C596" s="110"/>
      <c r="D596" s="110"/>
      <c r="E596" s="110"/>
      <c r="F596" s="344"/>
      <c r="G596" s="110"/>
      <c r="H596" s="110"/>
      <c r="I596" s="410"/>
      <c r="J596" s="110"/>
      <c r="K596" s="110"/>
      <c r="L596" s="110"/>
      <c r="M596" s="110"/>
      <c r="N596" s="110"/>
      <c r="O596" s="329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</row>
    <row r="597" spans="1:27" ht="15.75" customHeight="1">
      <c r="A597" s="110"/>
      <c r="B597" s="110"/>
      <c r="C597" s="110"/>
      <c r="D597" s="110"/>
      <c r="E597" s="110"/>
      <c r="F597" s="344"/>
      <c r="G597" s="110"/>
      <c r="H597" s="110"/>
      <c r="I597" s="410"/>
      <c r="J597" s="110"/>
      <c r="K597" s="110"/>
      <c r="L597" s="110"/>
      <c r="M597" s="110"/>
      <c r="N597" s="110"/>
      <c r="O597" s="329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spans="1:27" ht="15.75" customHeight="1">
      <c r="A598" s="110"/>
      <c r="B598" s="110"/>
      <c r="C598" s="110"/>
      <c r="D598" s="110"/>
      <c r="E598" s="110"/>
      <c r="F598" s="344"/>
      <c r="G598" s="110"/>
      <c r="H598" s="110"/>
      <c r="I598" s="410"/>
      <c r="J598" s="110"/>
      <c r="K598" s="110"/>
      <c r="L598" s="110"/>
      <c r="M598" s="110"/>
      <c r="N598" s="110"/>
      <c r="O598" s="329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</row>
    <row r="599" spans="1:27" ht="15.75" customHeight="1">
      <c r="A599" s="110"/>
      <c r="B599" s="110"/>
      <c r="C599" s="110"/>
      <c r="D599" s="110"/>
      <c r="E599" s="110"/>
      <c r="F599" s="344"/>
      <c r="G599" s="110"/>
      <c r="H599" s="110"/>
      <c r="I599" s="410"/>
      <c r="J599" s="110"/>
      <c r="K599" s="110"/>
      <c r="L599" s="110"/>
      <c r="M599" s="110"/>
      <c r="N599" s="110"/>
      <c r="O599" s="329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spans="1:27" ht="15.75" customHeight="1">
      <c r="A600" s="110"/>
      <c r="B600" s="110"/>
      <c r="C600" s="110"/>
      <c r="D600" s="110"/>
      <c r="E600" s="110"/>
      <c r="F600" s="344"/>
      <c r="G600" s="110"/>
      <c r="H600" s="110"/>
      <c r="I600" s="410"/>
      <c r="J600" s="110"/>
      <c r="K600" s="110"/>
      <c r="L600" s="110"/>
      <c r="M600" s="110"/>
      <c r="N600" s="110"/>
      <c r="O600" s="329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</row>
    <row r="601" spans="1:27" ht="15.75" customHeight="1">
      <c r="A601" s="110"/>
      <c r="B601" s="110"/>
      <c r="C601" s="110"/>
      <c r="D601" s="110"/>
      <c r="E601" s="110"/>
      <c r="F601" s="344"/>
      <c r="G601" s="110"/>
      <c r="H601" s="110"/>
      <c r="I601" s="410"/>
      <c r="J601" s="110"/>
      <c r="K601" s="110"/>
      <c r="L601" s="110"/>
      <c r="M601" s="110"/>
      <c r="N601" s="110"/>
      <c r="O601" s="329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spans="1:27" ht="15.75" customHeight="1">
      <c r="A602" s="110"/>
      <c r="B602" s="110"/>
      <c r="C602" s="110"/>
      <c r="D602" s="110"/>
      <c r="E602" s="110"/>
      <c r="F602" s="344"/>
      <c r="G602" s="110"/>
      <c r="H602" s="110"/>
      <c r="I602" s="410"/>
      <c r="J602" s="110"/>
      <c r="K602" s="110"/>
      <c r="L602" s="110"/>
      <c r="M602" s="110"/>
      <c r="N602" s="110"/>
      <c r="O602" s="329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</row>
    <row r="603" spans="1:27" ht="15.75" customHeight="1">
      <c r="A603" s="110"/>
      <c r="B603" s="110"/>
      <c r="C603" s="110"/>
      <c r="D603" s="110"/>
      <c r="E603" s="110"/>
      <c r="F603" s="344"/>
      <c r="G603" s="110"/>
      <c r="H603" s="110"/>
      <c r="I603" s="410"/>
      <c r="J603" s="110"/>
      <c r="K603" s="110"/>
      <c r="L603" s="110"/>
      <c r="M603" s="110"/>
      <c r="N603" s="110"/>
      <c r="O603" s="329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spans="1:27" ht="15.75" customHeight="1">
      <c r="A604" s="110"/>
      <c r="B604" s="110"/>
      <c r="C604" s="110"/>
      <c r="D604" s="110"/>
      <c r="E604" s="110"/>
      <c r="F604" s="344"/>
      <c r="G604" s="110"/>
      <c r="H604" s="110"/>
      <c r="I604" s="410"/>
      <c r="J604" s="110"/>
      <c r="K604" s="110"/>
      <c r="L604" s="110"/>
      <c r="M604" s="110"/>
      <c r="N604" s="110"/>
      <c r="O604" s="329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</row>
    <row r="605" spans="1:27" ht="15.75" customHeight="1">
      <c r="A605" s="110"/>
      <c r="B605" s="110"/>
      <c r="C605" s="110"/>
      <c r="D605" s="110"/>
      <c r="E605" s="110"/>
      <c r="F605" s="344"/>
      <c r="G605" s="110"/>
      <c r="H605" s="110"/>
      <c r="I605" s="410"/>
      <c r="J605" s="110"/>
      <c r="K605" s="110"/>
      <c r="L605" s="110"/>
      <c r="M605" s="110"/>
      <c r="N605" s="110"/>
      <c r="O605" s="329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spans="1:27" ht="15.75" customHeight="1">
      <c r="A606" s="110"/>
      <c r="B606" s="110"/>
      <c r="C606" s="110"/>
      <c r="D606" s="110"/>
      <c r="E606" s="110"/>
      <c r="F606" s="344"/>
      <c r="G606" s="110"/>
      <c r="H606" s="110"/>
      <c r="I606" s="410"/>
      <c r="J606" s="110"/>
      <c r="K606" s="110"/>
      <c r="L606" s="110"/>
      <c r="M606" s="110"/>
      <c r="N606" s="110"/>
      <c r="O606" s="329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</row>
    <row r="607" spans="1:27" ht="15.75" customHeight="1">
      <c r="A607" s="110"/>
      <c r="B607" s="110"/>
      <c r="C607" s="110"/>
      <c r="D607" s="110"/>
      <c r="E607" s="110"/>
      <c r="F607" s="344"/>
      <c r="G607" s="110"/>
      <c r="H607" s="110"/>
      <c r="I607" s="410"/>
      <c r="J607" s="110"/>
      <c r="K607" s="110"/>
      <c r="L607" s="110"/>
      <c r="M607" s="110"/>
      <c r="N607" s="110"/>
      <c r="O607" s="329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spans="1:27" ht="15.75" customHeight="1">
      <c r="A608" s="110"/>
      <c r="B608" s="110"/>
      <c r="C608" s="110"/>
      <c r="D608" s="110"/>
      <c r="E608" s="110"/>
      <c r="F608" s="344"/>
      <c r="G608" s="110"/>
      <c r="H608" s="110"/>
      <c r="I608" s="410"/>
      <c r="J608" s="110"/>
      <c r="K608" s="110"/>
      <c r="L608" s="110"/>
      <c r="M608" s="110"/>
      <c r="N608" s="110"/>
      <c r="O608" s="329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</row>
    <row r="609" spans="1:27" ht="15.75" customHeight="1">
      <c r="A609" s="110"/>
      <c r="B609" s="110"/>
      <c r="C609" s="110"/>
      <c r="D609" s="110"/>
      <c r="E609" s="110"/>
      <c r="F609" s="344"/>
      <c r="G609" s="110"/>
      <c r="H609" s="110"/>
      <c r="I609" s="410"/>
      <c r="J609" s="110"/>
      <c r="K609" s="110"/>
      <c r="L609" s="110"/>
      <c r="M609" s="110"/>
      <c r="N609" s="110"/>
      <c r="O609" s="329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spans="1:27" ht="15.75" customHeight="1">
      <c r="A610" s="110"/>
      <c r="B610" s="110"/>
      <c r="C610" s="110"/>
      <c r="D610" s="110"/>
      <c r="E610" s="110"/>
      <c r="F610" s="344"/>
      <c r="G610" s="110"/>
      <c r="H610" s="110"/>
      <c r="I610" s="410"/>
      <c r="J610" s="110"/>
      <c r="K610" s="110"/>
      <c r="L610" s="110"/>
      <c r="M610" s="110"/>
      <c r="N610" s="110"/>
      <c r="O610" s="329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</row>
    <row r="611" spans="1:27" ht="15.75" customHeight="1">
      <c r="A611" s="110"/>
      <c r="B611" s="110"/>
      <c r="C611" s="110"/>
      <c r="D611" s="110"/>
      <c r="E611" s="110"/>
      <c r="F611" s="344"/>
      <c r="G611" s="110"/>
      <c r="H611" s="110"/>
      <c r="I611" s="410"/>
      <c r="J611" s="110"/>
      <c r="K611" s="110"/>
      <c r="L611" s="110"/>
      <c r="M611" s="110"/>
      <c r="N611" s="110"/>
      <c r="O611" s="329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spans="1:27" ht="15.75" customHeight="1">
      <c r="A612" s="110"/>
      <c r="B612" s="110"/>
      <c r="C612" s="110"/>
      <c r="D612" s="110"/>
      <c r="E612" s="110"/>
      <c r="F612" s="344"/>
      <c r="G612" s="110"/>
      <c r="H612" s="110"/>
      <c r="I612" s="410"/>
      <c r="J612" s="110"/>
      <c r="K612" s="110"/>
      <c r="L612" s="110"/>
      <c r="M612" s="110"/>
      <c r="N612" s="110"/>
      <c r="O612" s="329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</row>
    <row r="613" spans="1:27" ht="15.75" customHeight="1">
      <c r="A613" s="110"/>
      <c r="B613" s="110"/>
      <c r="C613" s="110"/>
      <c r="D613" s="110"/>
      <c r="E613" s="110"/>
      <c r="F613" s="344"/>
      <c r="G613" s="110"/>
      <c r="H613" s="110"/>
      <c r="I613" s="410"/>
      <c r="J613" s="110"/>
      <c r="K613" s="110"/>
      <c r="L613" s="110"/>
      <c r="M613" s="110"/>
      <c r="N613" s="110"/>
      <c r="O613" s="329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spans="1:27" ht="15.75" customHeight="1">
      <c r="A614" s="110"/>
      <c r="B614" s="110"/>
      <c r="C614" s="110"/>
      <c r="D614" s="110"/>
      <c r="E614" s="110"/>
      <c r="F614" s="344"/>
      <c r="G614" s="110"/>
      <c r="H614" s="110"/>
      <c r="I614" s="410"/>
      <c r="J614" s="110"/>
      <c r="K614" s="110"/>
      <c r="L614" s="110"/>
      <c r="M614" s="110"/>
      <c r="N614" s="110"/>
      <c r="O614" s="329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</row>
    <row r="615" spans="1:27" ht="15.75" customHeight="1">
      <c r="A615" s="110"/>
      <c r="B615" s="110"/>
      <c r="C615" s="110"/>
      <c r="D615" s="110"/>
      <c r="E615" s="110"/>
      <c r="F615" s="344"/>
      <c r="G615" s="110"/>
      <c r="H615" s="110"/>
      <c r="I615" s="410"/>
      <c r="J615" s="110"/>
      <c r="K615" s="110"/>
      <c r="L615" s="110"/>
      <c r="M615" s="110"/>
      <c r="N615" s="110"/>
      <c r="O615" s="329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spans="1:27" ht="15.75" customHeight="1">
      <c r="A616" s="110"/>
      <c r="B616" s="110"/>
      <c r="C616" s="110"/>
      <c r="D616" s="110"/>
      <c r="E616" s="110"/>
      <c r="F616" s="344"/>
      <c r="G616" s="110"/>
      <c r="H616" s="110"/>
      <c r="I616" s="410"/>
      <c r="J616" s="110"/>
      <c r="K616" s="110"/>
      <c r="L616" s="110"/>
      <c r="M616" s="110"/>
      <c r="N616" s="110"/>
      <c r="O616" s="329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</row>
    <row r="617" spans="1:27" ht="15.75" customHeight="1">
      <c r="A617" s="110"/>
      <c r="B617" s="110"/>
      <c r="C617" s="110"/>
      <c r="D617" s="110"/>
      <c r="E617" s="110"/>
      <c r="F617" s="344"/>
      <c r="G617" s="110"/>
      <c r="H617" s="110"/>
      <c r="I617" s="410"/>
      <c r="J617" s="110"/>
      <c r="K617" s="110"/>
      <c r="L617" s="110"/>
      <c r="M617" s="110"/>
      <c r="N617" s="110"/>
      <c r="O617" s="329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spans="1:27" ht="15.75" customHeight="1">
      <c r="A618" s="110"/>
      <c r="B618" s="110"/>
      <c r="C618" s="110"/>
      <c r="D618" s="110"/>
      <c r="E618" s="110"/>
      <c r="F618" s="344"/>
      <c r="G618" s="110"/>
      <c r="H618" s="110"/>
      <c r="I618" s="410"/>
      <c r="J618" s="110"/>
      <c r="K618" s="110"/>
      <c r="L618" s="110"/>
      <c r="M618" s="110"/>
      <c r="N618" s="110"/>
      <c r="O618" s="329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</row>
    <row r="619" spans="1:27" ht="15.75" customHeight="1">
      <c r="A619" s="110"/>
      <c r="B619" s="110"/>
      <c r="C619" s="110"/>
      <c r="D619" s="110"/>
      <c r="E619" s="110"/>
      <c r="F619" s="344"/>
      <c r="G619" s="110"/>
      <c r="H619" s="110"/>
      <c r="I619" s="410"/>
      <c r="J619" s="110"/>
      <c r="K619" s="110"/>
      <c r="L619" s="110"/>
      <c r="M619" s="110"/>
      <c r="N619" s="110"/>
      <c r="O619" s="329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spans="1:27" ht="15.75" customHeight="1">
      <c r="A620" s="110"/>
      <c r="B620" s="110"/>
      <c r="C620" s="110"/>
      <c r="D620" s="110"/>
      <c r="E620" s="110"/>
      <c r="F620" s="344"/>
      <c r="G620" s="110"/>
      <c r="H620" s="110"/>
      <c r="I620" s="410"/>
      <c r="J620" s="110"/>
      <c r="K620" s="110"/>
      <c r="L620" s="110"/>
      <c r="M620" s="110"/>
      <c r="N620" s="110"/>
      <c r="O620" s="329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</row>
    <row r="621" spans="1:27" ht="15.75" customHeight="1">
      <c r="A621" s="110"/>
      <c r="B621" s="110"/>
      <c r="C621" s="110"/>
      <c r="D621" s="110"/>
      <c r="E621" s="110"/>
      <c r="F621" s="344"/>
      <c r="G621" s="110"/>
      <c r="H621" s="110"/>
      <c r="I621" s="410"/>
      <c r="J621" s="110"/>
      <c r="K621" s="110"/>
      <c r="L621" s="110"/>
      <c r="M621" s="110"/>
      <c r="N621" s="110"/>
      <c r="O621" s="329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spans="1:27" ht="15.75" customHeight="1">
      <c r="A622" s="110"/>
      <c r="B622" s="110"/>
      <c r="C622" s="110"/>
      <c r="D622" s="110"/>
      <c r="E622" s="110"/>
      <c r="F622" s="344"/>
      <c r="G622" s="110"/>
      <c r="H622" s="110"/>
      <c r="I622" s="410"/>
      <c r="J622" s="110"/>
      <c r="K622" s="110"/>
      <c r="L622" s="110"/>
      <c r="M622" s="110"/>
      <c r="N622" s="110"/>
      <c r="O622" s="329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</row>
    <row r="623" spans="1:27" ht="15.75" customHeight="1">
      <c r="A623" s="110"/>
      <c r="B623" s="110"/>
      <c r="C623" s="110"/>
      <c r="D623" s="110"/>
      <c r="E623" s="110"/>
      <c r="F623" s="344"/>
      <c r="G623" s="110"/>
      <c r="H623" s="110"/>
      <c r="I623" s="410"/>
      <c r="J623" s="110"/>
      <c r="K623" s="110"/>
      <c r="L623" s="110"/>
      <c r="M623" s="110"/>
      <c r="N623" s="110"/>
      <c r="O623" s="329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spans="1:27" ht="15.75" customHeight="1">
      <c r="A624" s="110"/>
      <c r="B624" s="110"/>
      <c r="C624" s="110"/>
      <c r="D624" s="110"/>
      <c r="E624" s="110"/>
      <c r="F624" s="344"/>
      <c r="G624" s="110"/>
      <c r="H624" s="110"/>
      <c r="I624" s="410"/>
      <c r="J624" s="110"/>
      <c r="K624" s="110"/>
      <c r="L624" s="110"/>
      <c r="M624" s="110"/>
      <c r="N624" s="110"/>
      <c r="O624" s="329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</row>
    <row r="625" spans="1:27" ht="15.75" customHeight="1">
      <c r="A625" s="110"/>
      <c r="B625" s="110"/>
      <c r="C625" s="110"/>
      <c r="D625" s="110"/>
      <c r="E625" s="110"/>
      <c r="F625" s="344"/>
      <c r="G625" s="110"/>
      <c r="H625" s="110"/>
      <c r="I625" s="410"/>
      <c r="J625" s="110"/>
      <c r="K625" s="110"/>
      <c r="L625" s="110"/>
      <c r="M625" s="110"/>
      <c r="N625" s="110"/>
      <c r="O625" s="329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spans="1:27" ht="15.75" customHeight="1">
      <c r="A626" s="110"/>
      <c r="B626" s="110"/>
      <c r="C626" s="110"/>
      <c r="D626" s="110"/>
      <c r="E626" s="110"/>
      <c r="F626" s="344"/>
      <c r="G626" s="110"/>
      <c r="H626" s="110"/>
      <c r="I626" s="410"/>
      <c r="J626" s="110"/>
      <c r="K626" s="110"/>
      <c r="L626" s="110"/>
      <c r="M626" s="110"/>
      <c r="N626" s="110"/>
      <c r="O626" s="329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</row>
    <row r="627" spans="1:27" ht="15.75" customHeight="1">
      <c r="A627" s="110"/>
      <c r="B627" s="110"/>
      <c r="C627" s="110"/>
      <c r="D627" s="110"/>
      <c r="E627" s="110"/>
      <c r="F627" s="344"/>
      <c r="G627" s="110"/>
      <c r="H627" s="110"/>
      <c r="I627" s="410"/>
      <c r="J627" s="110"/>
      <c r="K627" s="110"/>
      <c r="L627" s="110"/>
      <c r="M627" s="110"/>
      <c r="N627" s="110"/>
      <c r="O627" s="329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spans="1:27" ht="15.75" customHeight="1">
      <c r="A628" s="110"/>
      <c r="B628" s="110"/>
      <c r="C628" s="110"/>
      <c r="D628" s="110"/>
      <c r="E628" s="110"/>
      <c r="F628" s="344"/>
      <c r="G628" s="110"/>
      <c r="H628" s="110"/>
      <c r="I628" s="410"/>
      <c r="J628" s="110"/>
      <c r="K628" s="110"/>
      <c r="L628" s="110"/>
      <c r="M628" s="110"/>
      <c r="N628" s="110"/>
      <c r="O628" s="329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</row>
    <row r="629" spans="1:27" ht="15.75" customHeight="1">
      <c r="A629" s="110"/>
      <c r="B629" s="110"/>
      <c r="C629" s="110"/>
      <c r="D629" s="110"/>
      <c r="E629" s="110"/>
      <c r="F629" s="344"/>
      <c r="G629" s="110"/>
      <c r="H629" s="110"/>
      <c r="I629" s="410"/>
      <c r="J629" s="110"/>
      <c r="K629" s="110"/>
      <c r="L629" s="110"/>
      <c r="M629" s="110"/>
      <c r="N629" s="110"/>
      <c r="O629" s="329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spans="1:27" ht="15.75" customHeight="1">
      <c r="A630" s="110"/>
      <c r="B630" s="110"/>
      <c r="C630" s="110"/>
      <c r="D630" s="110"/>
      <c r="E630" s="110"/>
      <c r="F630" s="344"/>
      <c r="G630" s="110"/>
      <c r="H630" s="110"/>
      <c r="I630" s="410"/>
      <c r="J630" s="110"/>
      <c r="K630" s="110"/>
      <c r="L630" s="110"/>
      <c r="M630" s="110"/>
      <c r="N630" s="110"/>
      <c r="O630" s="329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</row>
    <row r="631" spans="1:27" ht="15.75" customHeight="1">
      <c r="A631" s="110"/>
      <c r="B631" s="110"/>
      <c r="C631" s="110"/>
      <c r="D631" s="110"/>
      <c r="E631" s="110"/>
      <c r="F631" s="344"/>
      <c r="G631" s="110"/>
      <c r="H631" s="110"/>
      <c r="I631" s="410"/>
      <c r="J631" s="110"/>
      <c r="K631" s="110"/>
      <c r="L631" s="110"/>
      <c r="M631" s="110"/>
      <c r="N631" s="110"/>
      <c r="O631" s="329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spans="1:27" ht="15.75" customHeight="1">
      <c r="A632" s="110"/>
      <c r="B632" s="110"/>
      <c r="C632" s="110"/>
      <c r="D632" s="110"/>
      <c r="E632" s="110"/>
      <c r="F632" s="344"/>
      <c r="G632" s="110"/>
      <c r="H632" s="110"/>
      <c r="I632" s="410"/>
      <c r="J632" s="110"/>
      <c r="K632" s="110"/>
      <c r="L632" s="110"/>
      <c r="M632" s="110"/>
      <c r="N632" s="110"/>
      <c r="O632" s="329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</row>
    <row r="633" spans="1:27" ht="15.75" customHeight="1">
      <c r="A633" s="110"/>
      <c r="B633" s="110"/>
      <c r="C633" s="110"/>
      <c r="D633" s="110"/>
      <c r="E633" s="110"/>
      <c r="F633" s="344"/>
      <c r="G633" s="110"/>
      <c r="H633" s="110"/>
      <c r="I633" s="410"/>
      <c r="J633" s="110"/>
      <c r="K633" s="110"/>
      <c r="L633" s="110"/>
      <c r="M633" s="110"/>
      <c r="N633" s="110"/>
      <c r="O633" s="329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spans="1:27" ht="15.75" customHeight="1">
      <c r="A634" s="110"/>
      <c r="B634" s="110"/>
      <c r="C634" s="110"/>
      <c r="D634" s="110"/>
      <c r="E634" s="110"/>
      <c r="F634" s="344"/>
      <c r="G634" s="110"/>
      <c r="H634" s="110"/>
      <c r="I634" s="410"/>
      <c r="J634" s="110"/>
      <c r="K634" s="110"/>
      <c r="L634" s="110"/>
      <c r="M634" s="110"/>
      <c r="N634" s="110"/>
      <c r="O634" s="329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</row>
    <row r="635" spans="1:27" ht="15.75" customHeight="1">
      <c r="A635" s="110"/>
      <c r="B635" s="110"/>
      <c r="C635" s="110"/>
      <c r="D635" s="110"/>
      <c r="E635" s="110"/>
      <c r="F635" s="344"/>
      <c r="G635" s="110"/>
      <c r="H635" s="110"/>
      <c r="I635" s="410"/>
      <c r="J635" s="110"/>
      <c r="K635" s="110"/>
      <c r="L635" s="110"/>
      <c r="M635" s="110"/>
      <c r="N635" s="110"/>
      <c r="O635" s="329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spans="1:27" ht="15.75" customHeight="1">
      <c r="A636" s="110"/>
      <c r="B636" s="110"/>
      <c r="C636" s="110"/>
      <c r="D636" s="110"/>
      <c r="E636" s="110"/>
      <c r="F636" s="344"/>
      <c r="G636" s="110"/>
      <c r="H636" s="110"/>
      <c r="I636" s="410"/>
      <c r="J636" s="110"/>
      <c r="K636" s="110"/>
      <c r="L636" s="110"/>
      <c r="M636" s="110"/>
      <c r="N636" s="110"/>
      <c r="O636" s="329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</row>
    <row r="637" spans="1:27" ht="15.75" customHeight="1">
      <c r="A637" s="110"/>
      <c r="B637" s="110"/>
      <c r="C637" s="110"/>
      <c r="D637" s="110"/>
      <c r="E637" s="110"/>
      <c r="F637" s="344"/>
      <c r="G637" s="110"/>
      <c r="H637" s="110"/>
      <c r="I637" s="410"/>
      <c r="J637" s="110"/>
      <c r="K637" s="110"/>
      <c r="L637" s="110"/>
      <c r="M637" s="110"/>
      <c r="N637" s="110"/>
      <c r="O637" s="329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spans="1:27" ht="15.75" customHeight="1">
      <c r="A638" s="110"/>
      <c r="B638" s="110"/>
      <c r="C638" s="110"/>
      <c r="D638" s="110"/>
      <c r="E638" s="110"/>
      <c r="F638" s="344"/>
      <c r="G638" s="110"/>
      <c r="H638" s="110"/>
      <c r="I638" s="410"/>
      <c r="J638" s="110"/>
      <c r="K638" s="110"/>
      <c r="L638" s="110"/>
      <c r="M638" s="110"/>
      <c r="N638" s="110"/>
      <c r="O638" s="329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</row>
    <row r="639" spans="1:27" ht="15.75" customHeight="1">
      <c r="A639" s="110"/>
      <c r="B639" s="110"/>
      <c r="C639" s="110"/>
      <c r="D639" s="110"/>
      <c r="E639" s="110"/>
      <c r="F639" s="344"/>
      <c r="G639" s="110"/>
      <c r="H639" s="110"/>
      <c r="I639" s="410"/>
      <c r="J639" s="110"/>
      <c r="K639" s="110"/>
      <c r="L639" s="110"/>
      <c r="M639" s="110"/>
      <c r="N639" s="110"/>
      <c r="O639" s="329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spans="1:27" ht="15.75" customHeight="1">
      <c r="A640" s="110"/>
      <c r="B640" s="110"/>
      <c r="C640" s="110"/>
      <c r="D640" s="110"/>
      <c r="E640" s="110"/>
      <c r="F640" s="344"/>
      <c r="G640" s="110"/>
      <c r="H640" s="110"/>
      <c r="I640" s="410"/>
      <c r="J640" s="110"/>
      <c r="K640" s="110"/>
      <c r="L640" s="110"/>
      <c r="M640" s="110"/>
      <c r="N640" s="110"/>
      <c r="O640" s="329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</row>
    <row r="641" spans="1:27" ht="15.75" customHeight="1">
      <c r="A641" s="110"/>
      <c r="B641" s="110"/>
      <c r="C641" s="110"/>
      <c r="D641" s="110"/>
      <c r="E641" s="110"/>
      <c r="F641" s="344"/>
      <c r="G641" s="110"/>
      <c r="H641" s="110"/>
      <c r="I641" s="410"/>
      <c r="J641" s="110"/>
      <c r="K641" s="110"/>
      <c r="L641" s="110"/>
      <c r="M641" s="110"/>
      <c r="N641" s="110"/>
      <c r="O641" s="329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spans="1:27" ht="15.75" customHeight="1">
      <c r="A642" s="110"/>
      <c r="B642" s="110"/>
      <c r="C642" s="110"/>
      <c r="D642" s="110"/>
      <c r="E642" s="110"/>
      <c r="F642" s="344"/>
      <c r="G642" s="110"/>
      <c r="H642" s="110"/>
      <c r="I642" s="410"/>
      <c r="J642" s="110"/>
      <c r="K642" s="110"/>
      <c r="L642" s="110"/>
      <c r="M642" s="110"/>
      <c r="N642" s="110"/>
      <c r="O642" s="329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</row>
    <row r="643" spans="1:27" ht="15.75" customHeight="1">
      <c r="A643" s="110"/>
      <c r="B643" s="110"/>
      <c r="C643" s="110"/>
      <c r="D643" s="110"/>
      <c r="E643" s="110"/>
      <c r="F643" s="344"/>
      <c r="G643" s="110"/>
      <c r="H643" s="110"/>
      <c r="I643" s="410"/>
      <c r="J643" s="110"/>
      <c r="K643" s="110"/>
      <c r="L643" s="110"/>
      <c r="M643" s="110"/>
      <c r="N643" s="110"/>
      <c r="O643" s="329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spans="1:27" ht="15.75" customHeight="1">
      <c r="A644" s="110"/>
      <c r="B644" s="110"/>
      <c r="C644" s="110"/>
      <c r="D644" s="110"/>
      <c r="E644" s="110"/>
      <c r="F644" s="344"/>
      <c r="G644" s="110"/>
      <c r="H644" s="110"/>
      <c r="I644" s="410"/>
      <c r="J644" s="110"/>
      <c r="K644" s="110"/>
      <c r="L644" s="110"/>
      <c r="M644" s="110"/>
      <c r="N644" s="110"/>
      <c r="O644" s="329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</row>
    <row r="645" spans="1:27" ht="15.75" customHeight="1">
      <c r="A645" s="110"/>
      <c r="B645" s="110"/>
      <c r="C645" s="110"/>
      <c r="D645" s="110"/>
      <c r="E645" s="110"/>
      <c r="F645" s="344"/>
      <c r="G645" s="110"/>
      <c r="H645" s="110"/>
      <c r="I645" s="410"/>
      <c r="J645" s="110"/>
      <c r="K645" s="110"/>
      <c r="L645" s="110"/>
      <c r="M645" s="110"/>
      <c r="N645" s="110"/>
      <c r="O645" s="329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spans="1:27" ht="15.75" customHeight="1">
      <c r="A646" s="110"/>
      <c r="B646" s="110"/>
      <c r="C646" s="110"/>
      <c r="D646" s="110"/>
      <c r="E646" s="110"/>
      <c r="F646" s="344"/>
      <c r="G646" s="110"/>
      <c r="H646" s="110"/>
      <c r="I646" s="410"/>
      <c r="J646" s="110"/>
      <c r="K646" s="110"/>
      <c r="L646" s="110"/>
      <c r="M646" s="110"/>
      <c r="N646" s="110"/>
      <c r="O646" s="329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</row>
    <row r="647" spans="1:27" ht="15.75" customHeight="1">
      <c r="A647" s="110"/>
      <c r="B647" s="110"/>
      <c r="C647" s="110"/>
      <c r="D647" s="110"/>
      <c r="E647" s="110"/>
      <c r="F647" s="344"/>
      <c r="G647" s="110"/>
      <c r="H647" s="110"/>
      <c r="I647" s="410"/>
      <c r="J647" s="110"/>
      <c r="K647" s="110"/>
      <c r="L647" s="110"/>
      <c r="M647" s="110"/>
      <c r="N647" s="110"/>
      <c r="O647" s="329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spans="1:27" ht="15.75" customHeight="1">
      <c r="A648" s="110"/>
      <c r="B648" s="110"/>
      <c r="C648" s="110"/>
      <c r="D648" s="110"/>
      <c r="E648" s="110"/>
      <c r="F648" s="344"/>
      <c r="G648" s="110"/>
      <c r="H648" s="110"/>
      <c r="I648" s="410"/>
      <c r="J648" s="110"/>
      <c r="K648" s="110"/>
      <c r="L648" s="110"/>
      <c r="M648" s="110"/>
      <c r="N648" s="110"/>
      <c r="O648" s="329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</row>
    <row r="649" spans="1:27" ht="15.75" customHeight="1">
      <c r="A649" s="110"/>
      <c r="B649" s="110"/>
      <c r="C649" s="110"/>
      <c r="D649" s="110"/>
      <c r="E649" s="110"/>
      <c r="F649" s="344"/>
      <c r="G649" s="110"/>
      <c r="H649" s="110"/>
      <c r="I649" s="410"/>
      <c r="J649" s="110"/>
      <c r="K649" s="110"/>
      <c r="L649" s="110"/>
      <c r="M649" s="110"/>
      <c r="N649" s="110"/>
      <c r="O649" s="329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spans="1:27" ht="15.75" customHeight="1">
      <c r="A650" s="110"/>
      <c r="B650" s="110"/>
      <c r="C650" s="110"/>
      <c r="D650" s="110"/>
      <c r="E650" s="110"/>
      <c r="F650" s="344"/>
      <c r="G650" s="110"/>
      <c r="H650" s="110"/>
      <c r="I650" s="410"/>
      <c r="J650" s="110"/>
      <c r="K650" s="110"/>
      <c r="L650" s="110"/>
      <c r="M650" s="110"/>
      <c r="N650" s="110"/>
      <c r="O650" s="329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</row>
    <row r="651" spans="1:27" ht="15.75" customHeight="1">
      <c r="A651" s="110"/>
      <c r="B651" s="110"/>
      <c r="C651" s="110"/>
      <c r="D651" s="110"/>
      <c r="E651" s="110"/>
      <c r="F651" s="344"/>
      <c r="G651" s="110"/>
      <c r="H651" s="110"/>
      <c r="I651" s="410"/>
      <c r="J651" s="110"/>
      <c r="K651" s="110"/>
      <c r="L651" s="110"/>
      <c r="M651" s="110"/>
      <c r="N651" s="110"/>
      <c r="O651" s="329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spans="1:27" ht="15.75" customHeight="1">
      <c r="A652" s="110"/>
      <c r="B652" s="110"/>
      <c r="C652" s="110"/>
      <c r="D652" s="110"/>
      <c r="E652" s="110"/>
      <c r="F652" s="344"/>
      <c r="G652" s="110"/>
      <c r="H652" s="110"/>
      <c r="I652" s="410"/>
      <c r="J652" s="110"/>
      <c r="K652" s="110"/>
      <c r="L652" s="110"/>
      <c r="M652" s="110"/>
      <c r="N652" s="110"/>
      <c r="O652" s="329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</row>
    <row r="653" spans="1:27" ht="15.75" customHeight="1">
      <c r="A653" s="110"/>
      <c r="B653" s="110"/>
      <c r="C653" s="110"/>
      <c r="D653" s="110"/>
      <c r="E653" s="110"/>
      <c r="F653" s="344"/>
      <c r="G653" s="110"/>
      <c r="H653" s="110"/>
      <c r="I653" s="410"/>
      <c r="J653" s="110"/>
      <c r="K653" s="110"/>
      <c r="L653" s="110"/>
      <c r="M653" s="110"/>
      <c r="N653" s="110"/>
      <c r="O653" s="329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spans="1:27" ht="15.75" customHeight="1">
      <c r="A654" s="110"/>
      <c r="B654" s="110"/>
      <c r="C654" s="110"/>
      <c r="D654" s="110"/>
      <c r="E654" s="110"/>
      <c r="F654" s="344"/>
      <c r="G654" s="110"/>
      <c r="H654" s="110"/>
      <c r="I654" s="410"/>
      <c r="J654" s="110"/>
      <c r="K654" s="110"/>
      <c r="L654" s="110"/>
      <c r="M654" s="110"/>
      <c r="N654" s="110"/>
      <c r="O654" s="329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</row>
    <row r="655" spans="1:27" ht="15.75" customHeight="1">
      <c r="A655" s="110"/>
      <c r="B655" s="110"/>
      <c r="C655" s="110"/>
      <c r="D655" s="110"/>
      <c r="E655" s="110"/>
      <c r="F655" s="344"/>
      <c r="G655" s="110"/>
      <c r="H655" s="110"/>
      <c r="I655" s="410"/>
      <c r="J655" s="110"/>
      <c r="K655" s="110"/>
      <c r="L655" s="110"/>
      <c r="M655" s="110"/>
      <c r="N655" s="110"/>
      <c r="O655" s="329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spans="1:27" ht="15.75" customHeight="1">
      <c r="A656" s="110"/>
      <c r="B656" s="110"/>
      <c r="C656" s="110"/>
      <c r="D656" s="110"/>
      <c r="E656" s="110"/>
      <c r="F656" s="344"/>
      <c r="G656" s="110"/>
      <c r="H656" s="110"/>
      <c r="I656" s="410"/>
      <c r="J656" s="110"/>
      <c r="K656" s="110"/>
      <c r="L656" s="110"/>
      <c r="M656" s="110"/>
      <c r="N656" s="110"/>
      <c r="O656" s="329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</row>
    <row r="657" spans="1:27" ht="15.75" customHeight="1">
      <c r="A657" s="110"/>
      <c r="B657" s="110"/>
      <c r="C657" s="110"/>
      <c r="D657" s="110"/>
      <c r="E657" s="110"/>
      <c r="F657" s="344"/>
      <c r="G657" s="110"/>
      <c r="H657" s="110"/>
      <c r="I657" s="410"/>
      <c r="J657" s="110"/>
      <c r="K657" s="110"/>
      <c r="L657" s="110"/>
      <c r="M657" s="110"/>
      <c r="N657" s="110"/>
      <c r="O657" s="329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spans="1:27" ht="15.75" customHeight="1">
      <c r="A658" s="110"/>
      <c r="B658" s="110"/>
      <c r="C658" s="110"/>
      <c r="D658" s="110"/>
      <c r="E658" s="110"/>
      <c r="F658" s="344"/>
      <c r="G658" s="110"/>
      <c r="H658" s="110"/>
      <c r="I658" s="410"/>
      <c r="J658" s="110"/>
      <c r="K658" s="110"/>
      <c r="L658" s="110"/>
      <c r="M658" s="110"/>
      <c r="N658" s="110"/>
      <c r="O658" s="329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</row>
    <row r="659" spans="1:27" ht="15.75" customHeight="1">
      <c r="A659" s="110"/>
      <c r="B659" s="110"/>
      <c r="C659" s="110"/>
      <c r="D659" s="110"/>
      <c r="E659" s="110"/>
      <c r="F659" s="344"/>
      <c r="G659" s="110"/>
      <c r="H659" s="110"/>
      <c r="I659" s="410"/>
      <c r="J659" s="110"/>
      <c r="K659" s="110"/>
      <c r="L659" s="110"/>
      <c r="M659" s="110"/>
      <c r="N659" s="110"/>
      <c r="O659" s="329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spans="1:27" ht="15.75" customHeight="1">
      <c r="A660" s="110"/>
      <c r="B660" s="110"/>
      <c r="C660" s="110"/>
      <c r="D660" s="110"/>
      <c r="E660" s="110"/>
      <c r="F660" s="344"/>
      <c r="G660" s="110"/>
      <c r="H660" s="110"/>
      <c r="I660" s="410"/>
      <c r="J660" s="110"/>
      <c r="K660" s="110"/>
      <c r="L660" s="110"/>
      <c r="M660" s="110"/>
      <c r="N660" s="110"/>
      <c r="O660" s="329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</row>
    <row r="661" spans="1:27" ht="15.75" customHeight="1">
      <c r="A661" s="110"/>
      <c r="B661" s="110"/>
      <c r="C661" s="110"/>
      <c r="D661" s="110"/>
      <c r="E661" s="110"/>
      <c r="F661" s="344"/>
      <c r="G661" s="110"/>
      <c r="H661" s="110"/>
      <c r="I661" s="410"/>
      <c r="J661" s="110"/>
      <c r="K661" s="110"/>
      <c r="L661" s="110"/>
      <c r="M661" s="110"/>
      <c r="N661" s="110"/>
      <c r="O661" s="329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spans="1:27" ht="15.75" customHeight="1">
      <c r="A662" s="110"/>
      <c r="B662" s="110"/>
      <c r="C662" s="110"/>
      <c r="D662" s="110"/>
      <c r="E662" s="110"/>
      <c r="F662" s="344"/>
      <c r="G662" s="110"/>
      <c r="H662" s="110"/>
      <c r="I662" s="410"/>
      <c r="J662" s="110"/>
      <c r="K662" s="110"/>
      <c r="L662" s="110"/>
      <c r="M662" s="110"/>
      <c r="N662" s="110"/>
      <c r="O662" s="329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</row>
    <row r="663" spans="1:27" ht="15.75" customHeight="1">
      <c r="A663" s="110"/>
      <c r="B663" s="110"/>
      <c r="C663" s="110"/>
      <c r="D663" s="110"/>
      <c r="E663" s="110"/>
      <c r="F663" s="344"/>
      <c r="G663" s="110"/>
      <c r="H663" s="110"/>
      <c r="I663" s="410"/>
      <c r="J663" s="110"/>
      <c r="K663" s="110"/>
      <c r="L663" s="110"/>
      <c r="M663" s="110"/>
      <c r="N663" s="110"/>
      <c r="O663" s="329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spans="1:27" ht="15.75" customHeight="1">
      <c r="A664" s="110"/>
      <c r="B664" s="110"/>
      <c r="C664" s="110"/>
      <c r="D664" s="110"/>
      <c r="E664" s="110"/>
      <c r="F664" s="344"/>
      <c r="G664" s="110"/>
      <c r="H664" s="110"/>
      <c r="I664" s="410"/>
      <c r="J664" s="110"/>
      <c r="K664" s="110"/>
      <c r="L664" s="110"/>
      <c r="M664" s="110"/>
      <c r="N664" s="110"/>
      <c r="O664" s="329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</row>
    <row r="665" spans="1:27" ht="15.75" customHeight="1">
      <c r="A665" s="110"/>
      <c r="B665" s="110"/>
      <c r="C665" s="110"/>
      <c r="D665" s="110"/>
      <c r="E665" s="110"/>
      <c r="F665" s="344"/>
      <c r="G665" s="110"/>
      <c r="H665" s="110"/>
      <c r="I665" s="410"/>
      <c r="J665" s="110"/>
      <c r="K665" s="110"/>
      <c r="L665" s="110"/>
      <c r="M665" s="110"/>
      <c r="N665" s="110"/>
      <c r="O665" s="329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spans="1:27" ht="15.75" customHeight="1">
      <c r="A666" s="110"/>
      <c r="B666" s="110"/>
      <c r="C666" s="110"/>
      <c r="D666" s="110"/>
      <c r="E666" s="110"/>
      <c r="F666" s="344"/>
      <c r="G666" s="110"/>
      <c r="H666" s="110"/>
      <c r="I666" s="410"/>
      <c r="J666" s="110"/>
      <c r="K666" s="110"/>
      <c r="L666" s="110"/>
      <c r="M666" s="110"/>
      <c r="N666" s="110"/>
      <c r="O666" s="329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</row>
    <row r="667" spans="1:27" ht="15.75" customHeight="1">
      <c r="A667" s="110"/>
      <c r="B667" s="110"/>
      <c r="C667" s="110"/>
      <c r="D667" s="110"/>
      <c r="E667" s="110"/>
      <c r="F667" s="344"/>
      <c r="G667" s="110"/>
      <c r="H667" s="110"/>
      <c r="I667" s="410"/>
      <c r="J667" s="110"/>
      <c r="K667" s="110"/>
      <c r="L667" s="110"/>
      <c r="M667" s="110"/>
      <c r="N667" s="110"/>
      <c r="O667" s="329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spans="1:27" ht="15.75" customHeight="1">
      <c r="A668" s="110"/>
      <c r="B668" s="110"/>
      <c r="C668" s="110"/>
      <c r="D668" s="110"/>
      <c r="E668" s="110"/>
      <c r="F668" s="344"/>
      <c r="G668" s="110"/>
      <c r="H668" s="110"/>
      <c r="I668" s="410"/>
      <c r="J668" s="110"/>
      <c r="K668" s="110"/>
      <c r="L668" s="110"/>
      <c r="M668" s="110"/>
      <c r="N668" s="110"/>
      <c r="O668" s="329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</row>
    <row r="669" spans="1:27" ht="15.75" customHeight="1">
      <c r="A669" s="110"/>
      <c r="B669" s="110"/>
      <c r="C669" s="110"/>
      <c r="D669" s="110"/>
      <c r="E669" s="110"/>
      <c r="F669" s="344"/>
      <c r="G669" s="110"/>
      <c r="H669" s="110"/>
      <c r="I669" s="410"/>
      <c r="J669" s="110"/>
      <c r="K669" s="110"/>
      <c r="L669" s="110"/>
      <c r="M669" s="110"/>
      <c r="N669" s="110"/>
      <c r="O669" s="329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spans="1:27" ht="15.75" customHeight="1">
      <c r="A670" s="110"/>
      <c r="B670" s="110"/>
      <c r="C670" s="110"/>
      <c r="D670" s="110"/>
      <c r="E670" s="110"/>
      <c r="F670" s="344"/>
      <c r="G670" s="110"/>
      <c r="H670" s="110"/>
      <c r="I670" s="410"/>
      <c r="J670" s="110"/>
      <c r="K670" s="110"/>
      <c r="L670" s="110"/>
      <c r="M670" s="110"/>
      <c r="N670" s="110"/>
      <c r="O670" s="329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</row>
    <row r="671" spans="1:27" ht="15.75" customHeight="1">
      <c r="A671" s="110"/>
      <c r="B671" s="110"/>
      <c r="C671" s="110"/>
      <c r="D671" s="110"/>
      <c r="E671" s="110"/>
      <c r="F671" s="344"/>
      <c r="G671" s="110"/>
      <c r="H671" s="110"/>
      <c r="I671" s="410"/>
      <c r="J671" s="110"/>
      <c r="K671" s="110"/>
      <c r="L671" s="110"/>
      <c r="M671" s="110"/>
      <c r="N671" s="110"/>
      <c r="O671" s="329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spans="1:27" ht="15.75" customHeight="1">
      <c r="A672" s="110"/>
      <c r="B672" s="110"/>
      <c r="C672" s="110"/>
      <c r="D672" s="110"/>
      <c r="E672" s="110"/>
      <c r="F672" s="344"/>
      <c r="G672" s="110"/>
      <c r="H672" s="110"/>
      <c r="I672" s="410"/>
      <c r="J672" s="110"/>
      <c r="K672" s="110"/>
      <c r="L672" s="110"/>
      <c r="M672" s="110"/>
      <c r="N672" s="110"/>
      <c r="O672" s="329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</row>
    <row r="673" spans="1:27" ht="15.75" customHeight="1">
      <c r="A673" s="110"/>
      <c r="B673" s="110"/>
      <c r="C673" s="110"/>
      <c r="D673" s="110"/>
      <c r="E673" s="110"/>
      <c r="F673" s="344"/>
      <c r="G673" s="110"/>
      <c r="H673" s="110"/>
      <c r="I673" s="410"/>
      <c r="J673" s="110"/>
      <c r="K673" s="110"/>
      <c r="L673" s="110"/>
      <c r="M673" s="110"/>
      <c r="N673" s="110"/>
      <c r="O673" s="329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spans="1:27" ht="15.75" customHeight="1">
      <c r="A674" s="110"/>
      <c r="B674" s="110"/>
      <c r="C674" s="110"/>
      <c r="D674" s="110"/>
      <c r="E674" s="110"/>
      <c r="F674" s="344"/>
      <c r="G674" s="110"/>
      <c r="H674" s="110"/>
      <c r="I674" s="410"/>
      <c r="J674" s="110"/>
      <c r="K674" s="110"/>
      <c r="L674" s="110"/>
      <c r="M674" s="110"/>
      <c r="N674" s="110"/>
      <c r="O674" s="329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</row>
    <row r="675" spans="1:27" ht="15.75" customHeight="1">
      <c r="A675" s="110"/>
      <c r="B675" s="110"/>
      <c r="C675" s="110"/>
      <c r="D675" s="110"/>
      <c r="E675" s="110"/>
      <c r="F675" s="344"/>
      <c r="G675" s="110"/>
      <c r="H675" s="110"/>
      <c r="I675" s="410"/>
      <c r="J675" s="110"/>
      <c r="K675" s="110"/>
      <c r="L675" s="110"/>
      <c r="M675" s="110"/>
      <c r="N675" s="110"/>
      <c r="O675" s="329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spans="1:27" ht="15.75" customHeight="1">
      <c r="A676" s="110"/>
      <c r="B676" s="110"/>
      <c r="C676" s="110"/>
      <c r="D676" s="110"/>
      <c r="E676" s="110"/>
      <c r="F676" s="344"/>
      <c r="G676" s="110"/>
      <c r="H676" s="110"/>
      <c r="I676" s="410"/>
      <c r="J676" s="110"/>
      <c r="K676" s="110"/>
      <c r="L676" s="110"/>
      <c r="M676" s="110"/>
      <c r="N676" s="110"/>
      <c r="O676" s="329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</row>
    <row r="677" spans="1:27" ht="15.75" customHeight="1">
      <c r="A677" s="110"/>
      <c r="B677" s="110"/>
      <c r="C677" s="110"/>
      <c r="D677" s="110"/>
      <c r="E677" s="110"/>
      <c r="F677" s="344"/>
      <c r="G677" s="110"/>
      <c r="H677" s="110"/>
      <c r="I677" s="410"/>
      <c r="J677" s="110"/>
      <c r="K677" s="110"/>
      <c r="L677" s="110"/>
      <c r="M677" s="110"/>
      <c r="N677" s="110"/>
      <c r="O677" s="329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spans="1:27" ht="15.75" customHeight="1">
      <c r="A678" s="110"/>
      <c r="B678" s="110"/>
      <c r="C678" s="110"/>
      <c r="D678" s="110"/>
      <c r="E678" s="110"/>
      <c r="F678" s="344"/>
      <c r="G678" s="110"/>
      <c r="H678" s="110"/>
      <c r="I678" s="410"/>
      <c r="J678" s="110"/>
      <c r="K678" s="110"/>
      <c r="L678" s="110"/>
      <c r="M678" s="110"/>
      <c r="N678" s="110"/>
      <c r="O678" s="329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</row>
    <row r="679" spans="1:27" ht="15.75" customHeight="1">
      <c r="A679" s="110"/>
      <c r="B679" s="110"/>
      <c r="C679" s="110"/>
      <c r="D679" s="110"/>
      <c r="E679" s="110"/>
      <c r="F679" s="344"/>
      <c r="G679" s="110"/>
      <c r="H679" s="110"/>
      <c r="I679" s="410"/>
      <c r="J679" s="110"/>
      <c r="K679" s="110"/>
      <c r="L679" s="110"/>
      <c r="M679" s="110"/>
      <c r="N679" s="110"/>
      <c r="O679" s="329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spans="1:27" ht="15.75" customHeight="1">
      <c r="A680" s="110"/>
      <c r="B680" s="110"/>
      <c r="C680" s="110"/>
      <c r="D680" s="110"/>
      <c r="E680" s="110"/>
      <c r="F680" s="344"/>
      <c r="G680" s="110"/>
      <c r="H680" s="110"/>
      <c r="I680" s="410"/>
      <c r="J680" s="110"/>
      <c r="K680" s="110"/>
      <c r="L680" s="110"/>
      <c r="M680" s="110"/>
      <c r="N680" s="110"/>
      <c r="O680" s="329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</row>
    <row r="681" spans="1:27" ht="15.75" customHeight="1">
      <c r="A681" s="110"/>
      <c r="B681" s="110"/>
      <c r="C681" s="110"/>
      <c r="D681" s="110"/>
      <c r="E681" s="110"/>
      <c r="F681" s="344"/>
      <c r="G681" s="110"/>
      <c r="H681" s="110"/>
      <c r="I681" s="410"/>
      <c r="J681" s="110"/>
      <c r="K681" s="110"/>
      <c r="L681" s="110"/>
      <c r="M681" s="110"/>
      <c r="N681" s="110"/>
      <c r="O681" s="329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spans="1:27" ht="15.75" customHeight="1">
      <c r="A682" s="110"/>
      <c r="B682" s="110"/>
      <c r="C682" s="110"/>
      <c r="D682" s="110"/>
      <c r="E682" s="110"/>
      <c r="F682" s="344"/>
      <c r="G682" s="110"/>
      <c r="H682" s="110"/>
      <c r="I682" s="410"/>
      <c r="J682" s="110"/>
      <c r="K682" s="110"/>
      <c r="L682" s="110"/>
      <c r="M682" s="110"/>
      <c r="N682" s="110"/>
      <c r="O682" s="329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</row>
    <row r="683" spans="1:27" ht="15.75" customHeight="1">
      <c r="A683" s="110"/>
      <c r="B683" s="110"/>
      <c r="C683" s="110"/>
      <c r="D683" s="110"/>
      <c r="E683" s="110"/>
      <c r="F683" s="344"/>
      <c r="G683" s="110"/>
      <c r="H683" s="110"/>
      <c r="I683" s="410"/>
      <c r="J683" s="110"/>
      <c r="K683" s="110"/>
      <c r="L683" s="110"/>
      <c r="M683" s="110"/>
      <c r="N683" s="110"/>
      <c r="O683" s="329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spans="1:27" ht="15.75" customHeight="1">
      <c r="A684" s="110"/>
      <c r="B684" s="110"/>
      <c r="C684" s="110"/>
      <c r="D684" s="110"/>
      <c r="E684" s="110"/>
      <c r="F684" s="344"/>
      <c r="G684" s="110"/>
      <c r="H684" s="110"/>
      <c r="I684" s="410"/>
      <c r="J684" s="110"/>
      <c r="K684" s="110"/>
      <c r="L684" s="110"/>
      <c r="M684" s="110"/>
      <c r="N684" s="110"/>
      <c r="O684" s="329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</row>
    <row r="685" spans="1:27" ht="15.75" customHeight="1">
      <c r="A685" s="110"/>
      <c r="B685" s="110"/>
      <c r="C685" s="110"/>
      <c r="D685" s="110"/>
      <c r="E685" s="110"/>
      <c r="F685" s="344"/>
      <c r="G685" s="110"/>
      <c r="H685" s="110"/>
      <c r="I685" s="410"/>
      <c r="J685" s="110"/>
      <c r="K685" s="110"/>
      <c r="L685" s="110"/>
      <c r="M685" s="110"/>
      <c r="N685" s="110"/>
      <c r="O685" s="329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spans="1:27" ht="15.75" customHeight="1">
      <c r="A686" s="110"/>
      <c r="B686" s="110"/>
      <c r="C686" s="110"/>
      <c r="D686" s="110"/>
      <c r="E686" s="110"/>
      <c r="F686" s="344"/>
      <c r="G686" s="110"/>
      <c r="H686" s="110"/>
      <c r="I686" s="410"/>
      <c r="J686" s="110"/>
      <c r="K686" s="110"/>
      <c r="L686" s="110"/>
      <c r="M686" s="110"/>
      <c r="N686" s="110"/>
      <c r="O686" s="329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</row>
    <row r="687" spans="1:27" ht="15.75" customHeight="1">
      <c r="A687" s="110"/>
      <c r="B687" s="110"/>
      <c r="C687" s="110"/>
      <c r="D687" s="110"/>
      <c r="E687" s="110"/>
      <c r="F687" s="344"/>
      <c r="G687" s="110"/>
      <c r="H687" s="110"/>
      <c r="I687" s="410"/>
      <c r="J687" s="110"/>
      <c r="K687" s="110"/>
      <c r="L687" s="110"/>
      <c r="M687" s="110"/>
      <c r="N687" s="110"/>
      <c r="O687" s="329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spans="1:27" ht="15.75" customHeight="1">
      <c r="A688" s="110"/>
      <c r="B688" s="110"/>
      <c r="C688" s="110"/>
      <c r="D688" s="110"/>
      <c r="E688" s="110"/>
      <c r="F688" s="344"/>
      <c r="G688" s="110"/>
      <c r="H688" s="110"/>
      <c r="I688" s="410"/>
      <c r="J688" s="110"/>
      <c r="K688" s="110"/>
      <c r="L688" s="110"/>
      <c r="M688" s="110"/>
      <c r="N688" s="110"/>
      <c r="O688" s="329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</row>
    <row r="689" spans="1:27" ht="15.75" customHeight="1">
      <c r="A689" s="110"/>
      <c r="B689" s="110"/>
      <c r="C689" s="110"/>
      <c r="D689" s="110"/>
      <c r="E689" s="110"/>
      <c r="F689" s="344"/>
      <c r="G689" s="110"/>
      <c r="H689" s="110"/>
      <c r="I689" s="410"/>
      <c r="J689" s="110"/>
      <c r="K689" s="110"/>
      <c r="L689" s="110"/>
      <c r="M689" s="110"/>
      <c r="N689" s="110"/>
      <c r="O689" s="329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spans="1:27" ht="15.75" customHeight="1">
      <c r="A690" s="110"/>
      <c r="B690" s="110"/>
      <c r="C690" s="110"/>
      <c r="D690" s="110"/>
      <c r="E690" s="110"/>
      <c r="F690" s="344"/>
      <c r="G690" s="110"/>
      <c r="H690" s="110"/>
      <c r="I690" s="410"/>
      <c r="J690" s="110"/>
      <c r="K690" s="110"/>
      <c r="L690" s="110"/>
      <c r="M690" s="110"/>
      <c r="N690" s="110"/>
      <c r="O690" s="329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</row>
    <row r="691" spans="1:27" ht="15.75" customHeight="1">
      <c r="A691" s="110"/>
      <c r="B691" s="110"/>
      <c r="C691" s="110"/>
      <c r="D691" s="110"/>
      <c r="E691" s="110"/>
      <c r="F691" s="344"/>
      <c r="G691" s="110"/>
      <c r="H691" s="110"/>
      <c r="I691" s="410"/>
      <c r="J691" s="110"/>
      <c r="K691" s="110"/>
      <c r="L691" s="110"/>
      <c r="M691" s="110"/>
      <c r="N691" s="110"/>
      <c r="O691" s="329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spans="1:27" ht="15.75" customHeight="1">
      <c r="A692" s="110"/>
      <c r="B692" s="110"/>
      <c r="C692" s="110"/>
      <c r="D692" s="110"/>
      <c r="E692" s="110"/>
      <c r="F692" s="344"/>
      <c r="G692" s="110"/>
      <c r="H692" s="110"/>
      <c r="I692" s="410"/>
      <c r="J692" s="110"/>
      <c r="K692" s="110"/>
      <c r="L692" s="110"/>
      <c r="M692" s="110"/>
      <c r="N692" s="110"/>
      <c r="O692" s="329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</row>
    <row r="693" spans="1:27" ht="15.75" customHeight="1">
      <c r="A693" s="110"/>
      <c r="B693" s="110"/>
      <c r="C693" s="110"/>
      <c r="D693" s="110"/>
      <c r="E693" s="110"/>
      <c r="F693" s="344"/>
      <c r="G693" s="110"/>
      <c r="H693" s="110"/>
      <c r="I693" s="410"/>
      <c r="J693" s="110"/>
      <c r="K693" s="110"/>
      <c r="L693" s="110"/>
      <c r="M693" s="110"/>
      <c r="N693" s="110"/>
      <c r="O693" s="329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spans="1:27" ht="15.75" customHeight="1">
      <c r="A694" s="110"/>
      <c r="B694" s="110"/>
      <c r="C694" s="110"/>
      <c r="D694" s="110"/>
      <c r="E694" s="110"/>
      <c r="F694" s="344"/>
      <c r="G694" s="110"/>
      <c r="H694" s="110"/>
      <c r="I694" s="410"/>
      <c r="J694" s="110"/>
      <c r="K694" s="110"/>
      <c r="L694" s="110"/>
      <c r="M694" s="110"/>
      <c r="N694" s="110"/>
      <c r="O694" s="329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</row>
    <row r="695" spans="1:27" ht="15.75" customHeight="1">
      <c r="A695" s="110"/>
      <c r="B695" s="110"/>
      <c r="C695" s="110"/>
      <c r="D695" s="110"/>
      <c r="E695" s="110"/>
      <c r="F695" s="344"/>
      <c r="G695" s="110"/>
      <c r="H695" s="110"/>
      <c r="I695" s="410"/>
      <c r="J695" s="110"/>
      <c r="K695" s="110"/>
      <c r="L695" s="110"/>
      <c r="M695" s="110"/>
      <c r="N695" s="110"/>
      <c r="O695" s="329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spans="1:27" ht="15.75" customHeight="1">
      <c r="A696" s="110"/>
      <c r="B696" s="110"/>
      <c r="C696" s="110"/>
      <c r="D696" s="110"/>
      <c r="E696" s="110"/>
      <c r="F696" s="344"/>
      <c r="G696" s="110"/>
      <c r="H696" s="110"/>
      <c r="I696" s="410"/>
      <c r="J696" s="110"/>
      <c r="K696" s="110"/>
      <c r="L696" s="110"/>
      <c r="M696" s="110"/>
      <c r="N696" s="110"/>
      <c r="O696" s="329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</row>
    <row r="697" spans="1:27" ht="15.75" customHeight="1">
      <c r="A697" s="110"/>
      <c r="B697" s="110"/>
      <c r="C697" s="110"/>
      <c r="D697" s="110"/>
      <c r="E697" s="110"/>
      <c r="F697" s="344"/>
      <c r="G697" s="110"/>
      <c r="H697" s="110"/>
      <c r="I697" s="410"/>
      <c r="J697" s="110"/>
      <c r="K697" s="110"/>
      <c r="L697" s="110"/>
      <c r="M697" s="110"/>
      <c r="N697" s="110"/>
      <c r="O697" s="329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spans="1:27" ht="15.75" customHeight="1">
      <c r="A698" s="110"/>
      <c r="B698" s="110"/>
      <c r="C698" s="110"/>
      <c r="D698" s="110"/>
      <c r="E698" s="110"/>
      <c r="F698" s="344"/>
      <c r="G698" s="110"/>
      <c r="H698" s="110"/>
      <c r="I698" s="410"/>
      <c r="J698" s="110"/>
      <c r="K698" s="110"/>
      <c r="L698" s="110"/>
      <c r="M698" s="110"/>
      <c r="N698" s="110"/>
      <c r="O698" s="329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</row>
    <row r="699" spans="1:27" ht="15.75" customHeight="1">
      <c r="A699" s="110"/>
      <c r="B699" s="110"/>
      <c r="C699" s="110"/>
      <c r="D699" s="110"/>
      <c r="E699" s="110"/>
      <c r="F699" s="344"/>
      <c r="G699" s="110"/>
      <c r="H699" s="110"/>
      <c r="I699" s="410"/>
      <c r="J699" s="110"/>
      <c r="K699" s="110"/>
      <c r="L699" s="110"/>
      <c r="M699" s="110"/>
      <c r="N699" s="110"/>
      <c r="O699" s="329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spans="1:27" ht="15.75" customHeight="1">
      <c r="A700" s="110"/>
      <c r="B700" s="110"/>
      <c r="C700" s="110"/>
      <c r="D700" s="110"/>
      <c r="E700" s="110"/>
      <c r="F700" s="344"/>
      <c r="G700" s="110"/>
      <c r="H700" s="110"/>
      <c r="I700" s="410"/>
      <c r="J700" s="110"/>
      <c r="K700" s="110"/>
      <c r="L700" s="110"/>
      <c r="M700" s="110"/>
      <c r="N700" s="110"/>
      <c r="O700" s="329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</row>
    <row r="701" spans="1:27" ht="15.75" customHeight="1">
      <c r="A701" s="110"/>
      <c r="B701" s="110"/>
      <c r="C701" s="110"/>
      <c r="D701" s="110"/>
      <c r="E701" s="110"/>
      <c r="F701" s="344"/>
      <c r="G701" s="110"/>
      <c r="H701" s="110"/>
      <c r="I701" s="410"/>
      <c r="J701" s="110"/>
      <c r="K701" s="110"/>
      <c r="L701" s="110"/>
      <c r="M701" s="110"/>
      <c r="N701" s="110"/>
      <c r="O701" s="329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spans="1:27" ht="15.75" customHeight="1">
      <c r="A702" s="110"/>
      <c r="B702" s="110"/>
      <c r="C702" s="110"/>
      <c r="D702" s="110"/>
      <c r="E702" s="110"/>
      <c r="F702" s="344"/>
      <c r="G702" s="110"/>
      <c r="H702" s="110"/>
      <c r="I702" s="410"/>
      <c r="J702" s="110"/>
      <c r="K702" s="110"/>
      <c r="L702" s="110"/>
      <c r="M702" s="110"/>
      <c r="N702" s="110"/>
      <c r="O702" s="329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</row>
    <row r="703" spans="1:27" ht="15.75" customHeight="1">
      <c r="A703" s="110"/>
      <c r="B703" s="110"/>
      <c r="C703" s="110"/>
      <c r="D703" s="110"/>
      <c r="E703" s="110"/>
      <c r="F703" s="344"/>
      <c r="G703" s="110"/>
      <c r="H703" s="110"/>
      <c r="I703" s="410"/>
      <c r="J703" s="110"/>
      <c r="K703" s="110"/>
      <c r="L703" s="110"/>
      <c r="M703" s="110"/>
      <c r="N703" s="110"/>
      <c r="O703" s="329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spans="1:27" ht="15.75" customHeight="1">
      <c r="A704" s="110"/>
      <c r="B704" s="110"/>
      <c r="C704" s="110"/>
      <c r="D704" s="110"/>
      <c r="E704" s="110"/>
      <c r="F704" s="344"/>
      <c r="G704" s="110"/>
      <c r="H704" s="110"/>
      <c r="I704" s="410"/>
      <c r="J704" s="110"/>
      <c r="K704" s="110"/>
      <c r="L704" s="110"/>
      <c r="M704" s="110"/>
      <c r="N704" s="110"/>
      <c r="O704" s="329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</row>
    <row r="705" spans="1:27" ht="15.75" customHeight="1">
      <c r="A705" s="110"/>
      <c r="B705" s="110"/>
      <c r="C705" s="110"/>
      <c r="D705" s="110"/>
      <c r="E705" s="110"/>
      <c r="F705" s="344"/>
      <c r="G705" s="110"/>
      <c r="H705" s="110"/>
      <c r="I705" s="410"/>
      <c r="J705" s="110"/>
      <c r="K705" s="110"/>
      <c r="L705" s="110"/>
      <c r="M705" s="110"/>
      <c r="N705" s="110"/>
      <c r="O705" s="329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spans="1:27" ht="15.75" customHeight="1">
      <c r="A706" s="110"/>
      <c r="B706" s="110"/>
      <c r="C706" s="110"/>
      <c r="D706" s="110"/>
      <c r="E706" s="110"/>
      <c r="F706" s="344"/>
      <c r="G706" s="110"/>
      <c r="H706" s="110"/>
      <c r="I706" s="410"/>
      <c r="J706" s="110"/>
      <c r="K706" s="110"/>
      <c r="L706" s="110"/>
      <c r="M706" s="110"/>
      <c r="N706" s="110"/>
      <c r="O706" s="329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</row>
    <row r="707" spans="1:27" ht="15.75" customHeight="1">
      <c r="A707" s="110"/>
      <c r="B707" s="110"/>
      <c r="C707" s="110"/>
      <c r="D707" s="110"/>
      <c r="E707" s="110"/>
      <c r="F707" s="344"/>
      <c r="G707" s="110"/>
      <c r="H707" s="110"/>
      <c r="I707" s="410"/>
      <c r="J707" s="110"/>
      <c r="K707" s="110"/>
      <c r="L707" s="110"/>
      <c r="M707" s="110"/>
      <c r="N707" s="110"/>
      <c r="O707" s="329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spans="1:27" ht="15.75" customHeight="1">
      <c r="A708" s="110"/>
      <c r="B708" s="110"/>
      <c r="C708" s="110"/>
      <c r="D708" s="110"/>
      <c r="E708" s="110"/>
      <c r="F708" s="344"/>
      <c r="G708" s="110"/>
      <c r="H708" s="110"/>
      <c r="I708" s="410"/>
      <c r="J708" s="110"/>
      <c r="K708" s="110"/>
      <c r="L708" s="110"/>
      <c r="M708" s="110"/>
      <c r="N708" s="110"/>
      <c r="O708" s="329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</row>
    <row r="709" spans="1:27" ht="15.75" customHeight="1">
      <c r="A709" s="110"/>
      <c r="B709" s="110"/>
      <c r="C709" s="110"/>
      <c r="D709" s="110"/>
      <c r="E709" s="110"/>
      <c r="F709" s="344"/>
      <c r="G709" s="110"/>
      <c r="H709" s="110"/>
      <c r="I709" s="410"/>
      <c r="J709" s="110"/>
      <c r="K709" s="110"/>
      <c r="L709" s="110"/>
      <c r="M709" s="110"/>
      <c r="N709" s="110"/>
      <c r="O709" s="329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spans="1:27" ht="15.75" customHeight="1">
      <c r="A710" s="110"/>
      <c r="B710" s="110"/>
      <c r="C710" s="110"/>
      <c r="D710" s="110"/>
      <c r="E710" s="110"/>
      <c r="F710" s="344"/>
      <c r="G710" s="110"/>
      <c r="H710" s="110"/>
      <c r="I710" s="410"/>
      <c r="J710" s="110"/>
      <c r="K710" s="110"/>
      <c r="L710" s="110"/>
      <c r="M710" s="110"/>
      <c r="N710" s="110"/>
      <c r="O710" s="329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</row>
    <row r="711" spans="1:27" ht="15.75" customHeight="1">
      <c r="A711" s="110"/>
      <c r="B711" s="110"/>
      <c r="C711" s="110"/>
      <c r="D711" s="110"/>
      <c r="E711" s="110"/>
      <c r="F711" s="344"/>
      <c r="G711" s="110"/>
      <c r="H711" s="110"/>
      <c r="I711" s="410"/>
      <c r="J711" s="110"/>
      <c r="K711" s="110"/>
      <c r="L711" s="110"/>
      <c r="M711" s="110"/>
      <c r="N711" s="110"/>
      <c r="O711" s="329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spans="1:27" ht="15.75" customHeight="1">
      <c r="A712" s="110"/>
      <c r="B712" s="110"/>
      <c r="C712" s="110"/>
      <c r="D712" s="110"/>
      <c r="E712" s="110"/>
      <c r="F712" s="344"/>
      <c r="G712" s="110"/>
      <c r="H712" s="110"/>
      <c r="I712" s="410"/>
      <c r="J712" s="110"/>
      <c r="K712" s="110"/>
      <c r="L712" s="110"/>
      <c r="M712" s="110"/>
      <c r="N712" s="110"/>
      <c r="O712" s="329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</row>
    <row r="713" spans="1:27" ht="15.75" customHeight="1">
      <c r="A713" s="110"/>
      <c r="B713" s="110"/>
      <c r="C713" s="110"/>
      <c r="D713" s="110"/>
      <c r="E713" s="110"/>
      <c r="F713" s="344"/>
      <c r="G713" s="110"/>
      <c r="H713" s="110"/>
      <c r="I713" s="410"/>
      <c r="J713" s="110"/>
      <c r="K713" s="110"/>
      <c r="L713" s="110"/>
      <c r="M713" s="110"/>
      <c r="N713" s="110"/>
      <c r="O713" s="329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spans="1:27" ht="15.75" customHeight="1">
      <c r="A714" s="110"/>
      <c r="B714" s="110"/>
      <c r="C714" s="110"/>
      <c r="D714" s="110"/>
      <c r="E714" s="110"/>
      <c r="F714" s="344"/>
      <c r="G714" s="110"/>
      <c r="H714" s="110"/>
      <c r="I714" s="410"/>
      <c r="J714" s="110"/>
      <c r="K714" s="110"/>
      <c r="L714" s="110"/>
      <c r="M714" s="110"/>
      <c r="N714" s="110"/>
      <c r="O714" s="329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</row>
    <row r="715" spans="1:27" ht="15.75" customHeight="1">
      <c r="A715" s="110"/>
      <c r="B715" s="110"/>
      <c r="C715" s="110"/>
      <c r="D715" s="110"/>
      <c r="E715" s="110"/>
      <c r="F715" s="344"/>
      <c r="G715" s="110"/>
      <c r="H715" s="110"/>
      <c r="I715" s="410"/>
      <c r="J715" s="110"/>
      <c r="K715" s="110"/>
      <c r="L715" s="110"/>
      <c r="M715" s="110"/>
      <c r="N715" s="110"/>
      <c r="O715" s="329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spans="1:27" ht="15.75" customHeight="1">
      <c r="A716" s="110"/>
      <c r="B716" s="110"/>
      <c r="C716" s="110"/>
      <c r="D716" s="110"/>
      <c r="E716" s="110"/>
      <c r="F716" s="344"/>
      <c r="G716" s="110"/>
      <c r="H716" s="110"/>
      <c r="I716" s="410"/>
      <c r="J716" s="110"/>
      <c r="K716" s="110"/>
      <c r="L716" s="110"/>
      <c r="M716" s="110"/>
      <c r="N716" s="110"/>
      <c r="O716" s="329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</row>
    <row r="717" spans="1:27" ht="15.75" customHeight="1">
      <c r="A717" s="110"/>
      <c r="B717" s="110"/>
      <c r="C717" s="110"/>
      <c r="D717" s="110"/>
      <c r="E717" s="110"/>
      <c r="F717" s="344"/>
      <c r="G717" s="110"/>
      <c r="H717" s="110"/>
      <c r="I717" s="410"/>
      <c r="J717" s="110"/>
      <c r="K717" s="110"/>
      <c r="L717" s="110"/>
      <c r="M717" s="110"/>
      <c r="N717" s="110"/>
      <c r="O717" s="329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spans="1:27" ht="15.75" customHeight="1">
      <c r="A718" s="110"/>
      <c r="B718" s="110"/>
      <c r="C718" s="110"/>
      <c r="D718" s="110"/>
      <c r="E718" s="110"/>
      <c r="F718" s="344"/>
      <c r="G718" s="110"/>
      <c r="H718" s="110"/>
      <c r="I718" s="410"/>
      <c r="J718" s="110"/>
      <c r="K718" s="110"/>
      <c r="L718" s="110"/>
      <c r="M718" s="110"/>
      <c r="N718" s="110"/>
      <c r="O718" s="329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</row>
    <row r="719" spans="1:27" ht="15.75" customHeight="1">
      <c r="A719" s="110"/>
      <c r="B719" s="110"/>
      <c r="C719" s="110"/>
      <c r="D719" s="110"/>
      <c r="E719" s="110"/>
      <c r="F719" s="344"/>
      <c r="G719" s="110"/>
      <c r="H719" s="110"/>
      <c r="I719" s="410"/>
      <c r="J719" s="110"/>
      <c r="K719" s="110"/>
      <c r="L719" s="110"/>
      <c r="M719" s="110"/>
      <c r="N719" s="110"/>
      <c r="O719" s="329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spans="1:27" ht="15.75" customHeight="1">
      <c r="A720" s="110"/>
      <c r="B720" s="110"/>
      <c r="C720" s="110"/>
      <c r="D720" s="110"/>
      <c r="E720" s="110"/>
      <c r="F720" s="344"/>
      <c r="G720" s="110"/>
      <c r="H720" s="110"/>
      <c r="I720" s="410"/>
      <c r="J720" s="110"/>
      <c r="K720" s="110"/>
      <c r="L720" s="110"/>
      <c r="M720" s="110"/>
      <c r="N720" s="110"/>
      <c r="O720" s="329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</row>
    <row r="721" spans="1:27" ht="15.75" customHeight="1">
      <c r="A721" s="110"/>
      <c r="B721" s="110"/>
      <c r="C721" s="110"/>
      <c r="D721" s="110"/>
      <c r="E721" s="110"/>
      <c r="F721" s="344"/>
      <c r="G721" s="110"/>
      <c r="H721" s="110"/>
      <c r="I721" s="410"/>
      <c r="J721" s="110"/>
      <c r="K721" s="110"/>
      <c r="L721" s="110"/>
      <c r="M721" s="110"/>
      <c r="N721" s="110"/>
      <c r="O721" s="329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spans="1:27" ht="15.75" customHeight="1">
      <c r="A722" s="110"/>
      <c r="B722" s="110"/>
      <c r="C722" s="110"/>
      <c r="D722" s="110"/>
      <c r="E722" s="110"/>
      <c r="F722" s="344"/>
      <c r="G722" s="110"/>
      <c r="H722" s="110"/>
      <c r="I722" s="410"/>
      <c r="J722" s="110"/>
      <c r="K722" s="110"/>
      <c r="L722" s="110"/>
      <c r="M722" s="110"/>
      <c r="N722" s="110"/>
      <c r="O722" s="329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</row>
    <row r="723" spans="1:27" ht="15.75" customHeight="1">
      <c r="A723" s="110"/>
      <c r="B723" s="110"/>
      <c r="C723" s="110"/>
      <c r="D723" s="110"/>
      <c r="E723" s="110"/>
      <c r="F723" s="344"/>
      <c r="G723" s="110"/>
      <c r="H723" s="110"/>
      <c r="I723" s="410"/>
      <c r="J723" s="110"/>
      <c r="K723" s="110"/>
      <c r="L723" s="110"/>
      <c r="M723" s="110"/>
      <c r="N723" s="110"/>
      <c r="O723" s="329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spans="1:27" ht="15.75" customHeight="1">
      <c r="A724" s="110"/>
      <c r="B724" s="110"/>
      <c r="C724" s="110"/>
      <c r="D724" s="110"/>
      <c r="E724" s="110"/>
      <c r="F724" s="344"/>
      <c r="G724" s="110"/>
      <c r="H724" s="110"/>
      <c r="I724" s="410"/>
      <c r="J724" s="110"/>
      <c r="K724" s="110"/>
      <c r="L724" s="110"/>
      <c r="M724" s="110"/>
      <c r="N724" s="110"/>
      <c r="O724" s="329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</row>
    <row r="725" spans="1:27" ht="15.75" customHeight="1">
      <c r="A725" s="110"/>
      <c r="B725" s="110"/>
      <c r="C725" s="110"/>
      <c r="D725" s="110"/>
      <c r="E725" s="110"/>
      <c r="F725" s="344"/>
      <c r="G725" s="110"/>
      <c r="H725" s="110"/>
      <c r="I725" s="410"/>
      <c r="J725" s="110"/>
      <c r="K725" s="110"/>
      <c r="L725" s="110"/>
      <c r="M725" s="110"/>
      <c r="N725" s="110"/>
      <c r="O725" s="329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spans="1:27" ht="15.75" customHeight="1">
      <c r="A726" s="110"/>
      <c r="B726" s="110"/>
      <c r="C726" s="110"/>
      <c r="D726" s="110"/>
      <c r="E726" s="110"/>
      <c r="F726" s="344"/>
      <c r="G726" s="110"/>
      <c r="H726" s="110"/>
      <c r="I726" s="410"/>
      <c r="J726" s="110"/>
      <c r="K726" s="110"/>
      <c r="L726" s="110"/>
      <c r="M726" s="110"/>
      <c r="N726" s="110"/>
      <c r="O726" s="329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</row>
    <row r="727" spans="1:27" ht="15.75" customHeight="1">
      <c r="A727" s="110"/>
      <c r="B727" s="110"/>
      <c r="C727" s="110"/>
      <c r="D727" s="110"/>
      <c r="E727" s="110"/>
      <c r="F727" s="344"/>
      <c r="G727" s="110"/>
      <c r="H727" s="110"/>
      <c r="I727" s="410"/>
      <c r="J727" s="110"/>
      <c r="K727" s="110"/>
      <c r="L727" s="110"/>
      <c r="M727" s="110"/>
      <c r="N727" s="110"/>
      <c r="O727" s="329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spans="1:27" ht="15.75" customHeight="1">
      <c r="A728" s="110"/>
      <c r="B728" s="110"/>
      <c r="C728" s="110"/>
      <c r="D728" s="110"/>
      <c r="E728" s="110"/>
      <c r="F728" s="344"/>
      <c r="G728" s="110"/>
      <c r="H728" s="110"/>
      <c r="I728" s="410"/>
      <c r="J728" s="110"/>
      <c r="K728" s="110"/>
      <c r="L728" s="110"/>
      <c r="M728" s="110"/>
      <c r="N728" s="110"/>
      <c r="O728" s="329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</row>
    <row r="729" spans="1:27" ht="15.75" customHeight="1">
      <c r="A729" s="110"/>
      <c r="B729" s="110"/>
      <c r="C729" s="110"/>
      <c r="D729" s="110"/>
      <c r="E729" s="110"/>
      <c r="F729" s="344"/>
      <c r="G729" s="110"/>
      <c r="H729" s="110"/>
      <c r="I729" s="410"/>
      <c r="J729" s="110"/>
      <c r="K729" s="110"/>
      <c r="L729" s="110"/>
      <c r="M729" s="110"/>
      <c r="N729" s="110"/>
      <c r="O729" s="329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spans="1:27" ht="15.75" customHeight="1">
      <c r="A730" s="110"/>
      <c r="B730" s="110"/>
      <c r="C730" s="110"/>
      <c r="D730" s="110"/>
      <c r="E730" s="110"/>
      <c r="F730" s="344"/>
      <c r="G730" s="110"/>
      <c r="H730" s="110"/>
      <c r="I730" s="410"/>
      <c r="J730" s="110"/>
      <c r="K730" s="110"/>
      <c r="L730" s="110"/>
      <c r="M730" s="110"/>
      <c r="N730" s="110"/>
      <c r="O730" s="329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</row>
    <row r="731" spans="1:27" ht="15.75" customHeight="1">
      <c r="A731" s="110"/>
      <c r="B731" s="110"/>
      <c r="C731" s="110"/>
      <c r="D731" s="110"/>
      <c r="E731" s="110"/>
      <c r="F731" s="344"/>
      <c r="G731" s="110"/>
      <c r="H731" s="110"/>
      <c r="I731" s="410"/>
      <c r="J731" s="110"/>
      <c r="K731" s="110"/>
      <c r="L731" s="110"/>
      <c r="M731" s="110"/>
      <c r="N731" s="110"/>
      <c r="O731" s="329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spans="1:27" ht="15.75" customHeight="1">
      <c r="A732" s="110"/>
      <c r="B732" s="110"/>
      <c r="C732" s="110"/>
      <c r="D732" s="110"/>
      <c r="E732" s="110"/>
      <c r="F732" s="344"/>
      <c r="G732" s="110"/>
      <c r="H732" s="110"/>
      <c r="I732" s="410"/>
      <c r="J732" s="110"/>
      <c r="K732" s="110"/>
      <c r="L732" s="110"/>
      <c r="M732" s="110"/>
      <c r="N732" s="110"/>
      <c r="O732" s="329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</row>
    <row r="733" spans="1:27" ht="15.75" customHeight="1">
      <c r="A733" s="110"/>
      <c r="B733" s="110"/>
      <c r="C733" s="110"/>
      <c r="D733" s="110"/>
      <c r="E733" s="110"/>
      <c r="F733" s="344"/>
      <c r="G733" s="110"/>
      <c r="H733" s="110"/>
      <c r="I733" s="410"/>
      <c r="J733" s="110"/>
      <c r="K733" s="110"/>
      <c r="L733" s="110"/>
      <c r="M733" s="110"/>
      <c r="N733" s="110"/>
      <c r="O733" s="329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spans="1:27" ht="15.75" customHeight="1">
      <c r="A734" s="110"/>
      <c r="B734" s="110"/>
      <c r="C734" s="110"/>
      <c r="D734" s="110"/>
      <c r="E734" s="110"/>
      <c r="F734" s="344"/>
      <c r="G734" s="110"/>
      <c r="H734" s="110"/>
      <c r="I734" s="410"/>
      <c r="J734" s="110"/>
      <c r="K734" s="110"/>
      <c r="L734" s="110"/>
      <c r="M734" s="110"/>
      <c r="N734" s="110"/>
      <c r="O734" s="329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</row>
    <row r="735" spans="1:27" ht="15.75" customHeight="1">
      <c r="A735" s="110"/>
      <c r="B735" s="110"/>
      <c r="C735" s="110"/>
      <c r="D735" s="110"/>
      <c r="E735" s="110"/>
      <c r="F735" s="344"/>
      <c r="G735" s="110"/>
      <c r="H735" s="110"/>
      <c r="I735" s="410"/>
      <c r="J735" s="110"/>
      <c r="K735" s="110"/>
      <c r="L735" s="110"/>
      <c r="M735" s="110"/>
      <c r="N735" s="110"/>
      <c r="O735" s="329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spans="1:27" ht="15.75" customHeight="1">
      <c r="A736" s="110"/>
      <c r="B736" s="110"/>
      <c r="C736" s="110"/>
      <c r="D736" s="110"/>
      <c r="E736" s="110"/>
      <c r="F736" s="344"/>
      <c r="G736" s="110"/>
      <c r="H736" s="110"/>
      <c r="I736" s="410"/>
      <c r="J736" s="110"/>
      <c r="K736" s="110"/>
      <c r="L736" s="110"/>
      <c r="M736" s="110"/>
      <c r="N736" s="110"/>
      <c r="O736" s="329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</row>
    <row r="737" spans="1:27" ht="15.75" customHeight="1">
      <c r="A737" s="110"/>
      <c r="B737" s="110"/>
      <c r="C737" s="110"/>
      <c r="D737" s="110"/>
      <c r="E737" s="110"/>
      <c r="F737" s="344"/>
      <c r="G737" s="110"/>
      <c r="H737" s="110"/>
      <c r="I737" s="410"/>
      <c r="J737" s="110"/>
      <c r="K737" s="110"/>
      <c r="L737" s="110"/>
      <c r="M737" s="110"/>
      <c r="N737" s="110"/>
      <c r="O737" s="329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spans="1:27" ht="15.75" customHeight="1">
      <c r="A738" s="110"/>
      <c r="B738" s="110"/>
      <c r="C738" s="110"/>
      <c r="D738" s="110"/>
      <c r="E738" s="110"/>
      <c r="F738" s="344"/>
      <c r="G738" s="110"/>
      <c r="H738" s="110"/>
      <c r="I738" s="410"/>
      <c r="J738" s="110"/>
      <c r="K738" s="110"/>
      <c r="L738" s="110"/>
      <c r="M738" s="110"/>
      <c r="N738" s="110"/>
      <c r="O738" s="329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</row>
    <row r="739" spans="1:27" ht="15.75" customHeight="1">
      <c r="A739" s="110"/>
      <c r="B739" s="110"/>
      <c r="C739" s="110"/>
      <c r="D739" s="110"/>
      <c r="E739" s="110"/>
      <c r="F739" s="344"/>
      <c r="G739" s="110"/>
      <c r="H739" s="110"/>
      <c r="I739" s="410"/>
      <c r="J739" s="110"/>
      <c r="K739" s="110"/>
      <c r="L739" s="110"/>
      <c r="M739" s="110"/>
      <c r="N739" s="110"/>
      <c r="O739" s="329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spans="1:27" ht="15.75" customHeight="1">
      <c r="A740" s="110"/>
      <c r="B740" s="110"/>
      <c r="C740" s="110"/>
      <c r="D740" s="110"/>
      <c r="E740" s="110"/>
      <c r="F740" s="344"/>
      <c r="G740" s="110"/>
      <c r="H740" s="110"/>
      <c r="I740" s="410"/>
      <c r="J740" s="110"/>
      <c r="K740" s="110"/>
      <c r="L740" s="110"/>
      <c r="M740" s="110"/>
      <c r="N740" s="110"/>
      <c r="O740" s="329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</row>
    <row r="741" spans="1:27" ht="15.75" customHeight="1">
      <c r="A741" s="110"/>
      <c r="B741" s="110"/>
      <c r="C741" s="110"/>
      <c r="D741" s="110"/>
      <c r="E741" s="110"/>
      <c r="F741" s="344"/>
      <c r="G741" s="110"/>
      <c r="H741" s="110"/>
      <c r="I741" s="410"/>
      <c r="J741" s="110"/>
      <c r="K741" s="110"/>
      <c r="L741" s="110"/>
      <c r="M741" s="110"/>
      <c r="N741" s="110"/>
      <c r="O741" s="329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spans="1:27" ht="15.75" customHeight="1">
      <c r="A742" s="110"/>
      <c r="B742" s="110"/>
      <c r="C742" s="110"/>
      <c r="D742" s="110"/>
      <c r="E742" s="110"/>
      <c r="F742" s="344"/>
      <c r="G742" s="110"/>
      <c r="H742" s="110"/>
      <c r="I742" s="410"/>
      <c r="J742" s="110"/>
      <c r="K742" s="110"/>
      <c r="L742" s="110"/>
      <c r="M742" s="110"/>
      <c r="N742" s="110"/>
      <c r="O742" s="329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</row>
    <row r="743" spans="1:27" ht="15.75" customHeight="1">
      <c r="A743" s="110"/>
      <c r="B743" s="110"/>
      <c r="C743" s="110"/>
      <c r="D743" s="110"/>
      <c r="E743" s="110"/>
      <c r="F743" s="344"/>
      <c r="G743" s="110"/>
      <c r="H743" s="110"/>
      <c r="I743" s="410"/>
      <c r="J743" s="110"/>
      <c r="K743" s="110"/>
      <c r="L743" s="110"/>
      <c r="M743" s="110"/>
      <c r="N743" s="110"/>
      <c r="O743" s="329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spans="1:27" ht="15.75" customHeight="1">
      <c r="A744" s="110"/>
      <c r="B744" s="110"/>
      <c r="C744" s="110"/>
      <c r="D744" s="110"/>
      <c r="E744" s="110"/>
      <c r="F744" s="344"/>
      <c r="G744" s="110"/>
      <c r="H744" s="110"/>
      <c r="I744" s="410"/>
      <c r="J744" s="110"/>
      <c r="K744" s="110"/>
      <c r="L744" s="110"/>
      <c r="M744" s="110"/>
      <c r="N744" s="110"/>
      <c r="O744" s="329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</row>
    <row r="745" spans="1:27" ht="15.75" customHeight="1">
      <c r="A745" s="110"/>
      <c r="B745" s="110"/>
      <c r="C745" s="110"/>
      <c r="D745" s="110"/>
      <c r="E745" s="110"/>
      <c r="F745" s="344"/>
      <c r="G745" s="110"/>
      <c r="H745" s="110"/>
      <c r="I745" s="410"/>
      <c r="J745" s="110"/>
      <c r="K745" s="110"/>
      <c r="L745" s="110"/>
      <c r="M745" s="110"/>
      <c r="N745" s="110"/>
      <c r="O745" s="329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spans="1:27" ht="15.75" customHeight="1">
      <c r="A746" s="110"/>
      <c r="B746" s="110"/>
      <c r="C746" s="110"/>
      <c r="D746" s="110"/>
      <c r="E746" s="110"/>
      <c r="F746" s="344"/>
      <c r="G746" s="110"/>
      <c r="H746" s="110"/>
      <c r="I746" s="410"/>
      <c r="J746" s="110"/>
      <c r="K746" s="110"/>
      <c r="L746" s="110"/>
      <c r="M746" s="110"/>
      <c r="N746" s="110"/>
      <c r="O746" s="329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</row>
    <row r="747" spans="1:27" ht="15.75" customHeight="1">
      <c r="A747" s="110"/>
      <c r="B747" s="110"/>
      <c r="C747" s="110"/>
      <c r="D747" s="110"/>
      <c r="E747" s="110"/>
      <c r="F747" s="344"/>
      <c r="G747" s="110"/>
      <c r="H747" s="110"/>
      <c r="I747" s="410"/>
      <c r="J747" s="110"/>
      <c r="K747" s="110"/>
      <c r="L747" s="110"/>
      <c r="M747" s="110"/>
      <c r="N747" s="110"/>
      <c r="O747" s="329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spans="1:27" ht="15.75" customHeight="1">
      <c r="A748" s="110"/>
      <c r="B748" s="110"/>
      <c r="C748" s="110"/>
      <c r="D748" s="110"/>
      <c r="E748" s="110"/>
      <c r="F748" s="344"/>
      <c r="G748" s="110"/>
      <c r="H748" s="110"/>
      <c r="I748" s="410"/>
      <c r="J748" s="110"/>
      <c r="K748" s="110"/>
      <c r="L748" s="110"/>
      <c r="M748" s="110"/>
      <c r="N748" s="110"/>
      <c r="O748" s="329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</row>
    <row r="749" spans="1:27" ht="15.75" customHeight="1">
      <c r="A749" s="110"/>
      <c r="B749" s="110"/>
      <c r="C749" s="110"/>
      <c r="D749" s="110"/>
      <c r="E749" s="110"/>
      <c r="F749" s="344"/>
      <c r="G749" s="110"/>
      <c r="H749" s="110"/>
      <c r="I749" s="410"/>
      <c r="J749" s="110"/>
      <c r="K749" s="110"/>
      <c r="L749" s="110"/>
      <c r="M749" s="110"/>
      <c r="N749" s="110"/>
      <c r="O749" s="329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spans="1:27" ht="15.75" customHeight="1">
      <c r="A750" s="110"/>
      <c r="B750" s="110"/>
      <c r="C750" s="110"/>
      <c r="D750" s="110"/>
      <c r="E750" s="110"/>
      <c r="F750" s="344"/>
      <c r="G750" s="110"/>
      <c r="H750" s="110"/>
      <c r="I750" s="410"/>
      <c r="J750" s="110"/>
      <c r="K750" s="110"/>
      <c r="L750" s="110"/>
      <c r="M750" s="110"/>
      <c r="N750" s="110"/>
      <c r="O750" s="329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</row>
    <row r="751" spans="1:27" ht="15.75" customHeight="1">
      <c r="A751" s="110"/>
      <c r="B751" s="110"/>
      <c r="C751" s="110"/>
      <c r="D751" s="110"/>
      <c r="E751" s="110"/>
      <c r="F751" s="344"/>
      <c r="G751" s="110"/>
      <c r="H751" s="110"/>
      <c r="I751" s="410"/>
      <c r="J751" s="110"/>
      <c r="K751" s="110"/>
      <c r="L751" s="110"/>
      <c r="M751" s="110"/>
      <c r="N751" s="110"/>
      <c r="O751" s="329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spans="1:27" ht="15.75" customHeight="1">
      <c r="A752" s="110"/>
      <c r="B752" s="110"/>
      <c r="C752" s="110"/>
      <c r="D752" s="110"/>
      <c r="E752" s="110"/>
      <c r="F752" s="344"/>
      <c r="G752" s="110"/>
      <c r="H752" s="110"/>
      <c r="I752" s="410"/>
      <c r="J752" s="110"/>
      <c r="K752" s="110"/>
      <c r="L752" s="110"/>
      <c r="M752" s="110"/>
      <c r="N752" s="110"/>
      <c r="O752" s="329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</row>
    <row r="753" spans="1:27" ht="15.75" customHeight="1">
      <c r="A753" s="110"/>
      <c r="B753" s="110"/>
      <c r="C753" s="110"/>
      <c r="D753" s="110"/>
      <c r="E753" s="110"/>
      <c r="F753" s="344"/>
      <c r="G753" s="110"/>
      <c r="H753" s="110"/>
      <c r="I753" s="410"/>
      <c r="J753" s="110"/>
      <c r="K753" s="110"/>
      <c r="L753" s="110"/>
      <c r="M753" s="110"/>
      <c r="N753" s="110"/>
      <c r="O753" s="329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spans="1:27" ht="15.75" customHeight="1">
      <c r="A754" s="110"/>
      <c r="B754" s="110"/>
      <c r="C754" s="110"/>
      <c r="D754" s="110"/>
      <c r="E754" s="110"/>
      <c r="F754" s="344"/>
      <c r="G754" s="110"/>
      <c r="H754" s="110"/>
      <c r="I754" s="410"/>
      <c r="J754" s="110"/>
      <c r="K754" s="110"/>
      <c r="L754" s="110"/>
      <c r="M754" s="110"/>
      <c r="N754" s="110"/>
      <c r="O754" s="329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</row>
    <row r="755" spans="1:27" ht="15.75" customHeight="1">
      <c r="A755" s="110"/>
      <c r="B755" s="110"/>
      <c r="C755" s="110"/>
      <c r="D755" s="110"/>
      <c r="E755" s="110"/>
      <c r="F755" s="344"/>
      <c r="G755" s="110"/>
      <c r="H755" s="110"/>
      <c r="I755" s="410"/>
      <c r="J755" s="110"/>
      <c r="K755" s="110"/>
      <c r="L755" s="110"/>
      <c r="M755" s="110"/>
      <c r="N755" s="110"/>
      <c r="O755" s="329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spans="1:27" ht="15.75" customHeight="1">
      <c r="A756" s="110"/>
      <c r="B756" s="110"/>
      <c r="C756" s="110"/>
      <c r="D756" s="110"/>
      <c r="E756" s="110"/>
      <c r="F756" s="344"/>
      <c r="G756" s="110"/>
      <c r="H756" s="110"/>
      <c r="I756" s="410"/>
      <c r="J756" s="110"/>
      <c r="K756" s="110"/>
      <c r="L756" s="110"/>
      <c r="M756" s="110"/>
      <c r="N756" s="110"/>
      <c r="O756" s="329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</row>
    <row r="757" spans="1:27" ht="15.75" customHeight="1">
      <c r="A757" s="110"/>
      <c r="B757" s="110"/>
      <c r="C757" s="110"/>
      <c r="D757" s="110"/>
      <c r="E757" s="110"/>
      <c r="F757" s="344"/>
      <c r="G757" s="110"/>
      <c r="H757" s="110"/>
      <c r="I757" s="410"/>
      <c r="J757" s="110"/>
      <c r="K757" s="110"/>
      <c r="L757" s="110"/>
      <c r="M757" s="110"/>
      <c r="N757" s="110"/>
      <c r="O757" s="329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spans="1:27" ht="15.75" customHeight="1">
      <c r="A758" s="110"/>
      <c r="B758" s="110"/>
      <c r="C758" s="110"/>
      <c r="D758" s="110"/>
      <c r="E758" s="110"/>
      <c r="F758" s="344"/>
      <c r="G758" s="110"/>
      <c r="H758" s="110"/>
      <c r="I758" s="410"/>
      <c r="J758" s="110"/>
      <c r="K758" s="110"/>
      <c r="L758" s="110"/>
      <c r="M758" s="110"/>
      <c r="N758" s="110"/>
      <c r="O758" s="329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</row>
    <row r="759" spans="1:27" ht="15.75" customHeight="1">
      <c r="A759" s="110"/>
      <c r="B759" s="110"/>
      <c r="C759" s="110"/>
      <c r="D759" s="110"/>
      <c r="E759" s="110"/>
      <c r="F759" s="344"/>
      <c r="G759" s="110"/>
      <c r="H759" s="110"/>
      <c r="I759" s="410"/>
      <c r="J759" s="110"/>
      <c r="K759" s="110"/>
      <c r="L759" s="110"/>
      <c r="M759" s="110"/>
      <c r="N759" s="110"/>
      <c r="O759" s="329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spans="1:27" ht="15.75" customHeight="1">
      <c r="A760" s="110"/>
      <c r="B760" s="110"/>
      <c r="C760" s="110"/>
      <c r="D760" s="110"/>
      <c r="E760" s="110"/>
      <c r="F760" s="344"/>
      <c r="G760" s="110"/>
      <c r="H760" s="110"/>
      <c r="I760" s="410"/>
      <c r="J760" s="110"/>
      <c r="K760" s="110"/>
      <c r="L760" s="110"/>
      <c r="M760" s="110"/>
      <c r="N760" s="110"/>
      <c r="O760" s="329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</row>
    <row r="761" spans="1:27" ht="15.75" customHeight="1">
      <c r="A761" s="110"/>
      <c r="B761" s="110"/>
      <c r="C761" s="110"/>
      <c r="D761" s="110"/>
      <c r="E761" s="110"/>
      <c r="F761" s="344"/>
      <c r="G761" s="110"/>
      <c r="H761" s="110"/>
      <c r="I761" s="410"/>
      <c r="J761" s="110"/>
      <c r="K761" s="110"/>
      <c r="L761" s="110"/>
      <c r="M761" s="110"/>
      <c r="N761" s="110"/>
      <c r="O761" s="329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spans="1:27" ht="15.75" customHeight="1">
      <c r="A762" s="110"/>
      <c r="B762" s="110"/>
      <c r="C762" s="110"/>
      <c r="D762" s="110"/>
      <c r="E762" s="110"/>
      <c r="F762" s="344"/>
      <c r="G762" s="110"/>
      <c r="H762" s="110"/>
      <c r="I762" s="410"/>
      <c r="J762" s="110"/>
      <c r="K762" s="110"/>
      <c r="L762" s="110"/>
      <c r="M762" s="110"/>
      <c r="N762" s="110"/>
      <c r="O762" s="329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</row>
    <row r="763" spans="1:27" ht="15.75" customHeight="1">
      <c r="A763" s="110"/>
      <c r="B763" s="110"/>
      <c r="C763" s="110"/>
      <c r="D763" s="110"/>
      <c r="E763" s="110"/>
      <c r="F763" s="344"/>
      <c r="G763" s="110"/>
      <c r="H763" s="110"/>
      <c r="I763" s="410"/>
      <c r="J763" s="110"/>
      <c r="K763" s="110"/>
      <c r="L763" s="110"/>
      <c r="M763" s="110"/>
      <c r="N763" s="110"/>
      <c r="O763" s="329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spans="1:27" ht="15.75" customHeight="1">
      <c r="A764" s="110"/>
      <c r="B764" s="110"/>
      <c r="C764" s="110"/>
      <c r="D764" s="110"/>
      <c r="E764" s="110"/>
      <c r="F764" s="344"/>
      <c r="G764" s="110"/>
      <c r="H764" s="110"/>
      <c r="I764" s="410"/>
      <c r="J764" s="110"/>
      <c r="K764" s="110"/>
      <c r="L764" s="110"/>
      <c r="M764" s="110"/>
      <c r="N764" s="110"/>
      <c r="O764" s="329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</row>
    <row r="765" spans="1:27" ht="15.75" customHeight="1">
      <c r="A765" s="110"/>
      <c r="B765" s="110"/>
      <c r="C765" s="110"/>
      <c r="D765" s="110"/>
      <c r="E765" s="110"/>
      <c r="F765" s="344"/>
      <c r="G765" s="110"/>
      <c r="H765" s="110"/>
      <c r="I765" s="410"/>
      <c r="J765" s="110"/>
      <c r="K765" s="110"/>
      <c r="L765" s="110"/>
      <c r="M765" s="110"/>
      <c r="N765" s="110"/>
      <c r="O765" s="329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spans="1:27" ht="15.75" customHeight="1">
      <c r="A766" s="110"/>
      <c r="B766" s="110"/>
      <c r="C766" s="110"/>
      <c r="D766" s="110"/>
      <c r="E766" s="110"/>
      <c r="F766" s="344"/>
      <c r="G766" s="110"/>
      <c r="H766" s="110"/>
      <c r="I766" s="410"/>
      <c r="J766" s="110"/>
      <c r="K766" s="110"/>
      <c r="L766" s="110"/>
      <c r="M766" s="110"/>
      <c r="N766" s="110"/>
      <c r="O766" s="329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</row>
    <row r="767" spans="1:27" ht="15.75" customHeight="1">
      <c r="A767" s="110"/>
      <c r="B767" s="110"/>
      <c r="C767" s="110"/>
      <c r="D767" s="110"/>
      <c r="E767" s="110"/>
      <c r="F767" s="344"/>
      <c r="G767" s="110"/>
      <c r="H767" s="110"/>
      <c r="I767" s="410"/>
      <c r="J767" s="110"/>
      <c r="K767" s="110"/>
      <c r="L767" s="110"/>
      <c r="M767" s="110"/>
      <c r="N767" s="110"/>
      <c r="O767" s="329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spans="1:27" ht="15.75" customHeight="1">
      <c r="A768" s="110"/>
      <c r="B768" s="110"/>
      <c r="C768" s="110"/>
      <c r="D768" s="110"/>
      <c r="E768" s="110"/>
      <c r="F768" s="344"/>
      <c r="G768" s="110"/>
      <c r="H768" s="110"/>
      <c r="I768" s="410"/>
      <c r="J768" s="110"/>
      <c r="K768" s="110"/>
      <c r="L768" s="110"/>
      <c r="M768" s="110"/>
      <c r="N768" s="110"/>
      <c r="O768" s="329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</row>
    <row r="769" spans="1:27" ht="15.75" customHeight="1">
      <c r="A769" s="110"/>
      <c r="B769" s="110"/>
      <c r="C769" s="110"/>
      <c r="D769" s="110"/>
      <c r="E769" s="110"/>
      <c r="F769" s="344"/>
      <c r="G769" s="110"/>
      <c r="H769" s="110"/>
      <c r="I769" s="410"/>
      <c r="J769" s="110"/>
      <c r="K769" s="110"/>
      <c r="L769" s="110"/>
      <c r="M769" s="110"/>
      <c r="N769" s="110"/>
      <c r="O769" s="329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spans="1:27" ht="15.75" customHeight="1">
      <c r="A770" s="110"/>
      <c r="B770" s="110"/>
      <c r="C770" s="110"/>
      <c r="D770" s="110"/>
      <c r="E770" s="110"/>
      <c r="F770" s="344"/>
      <c r="G770" s="110"/>
      <c r="H770" s="110"/>
      <c r="I770" s="410"/>
      <c r="J770" s="110"/>
      <c r="K770" s="110"/>
      <c r="L770" s="110"/>
      <c r="M770" s="110"/>
      <c r="N770" s="110"/>
      <c r="O770" s="329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</row>
    <row r="771" spans="1:27" ht="15.75" customHeight="1">
      <c r="A771" s="110"/>
      <c r="B771" s="110"/>
      <c r="C771" s="110"/>
      <c r="D771" s="110"/>
      <c r="E771" s="110"/>
      <c r="F771" s="344"/>
      <c r="G771" s="110"/>
      <c r="H771" s="110"/>
      <c r="I771" s="410"/>
      <c r="J771" s="110"/>
      <c r="K771" s="110"/>
      <c r="L771" s="110"/>
      <c r="M771" s="110"/>
      <c r="N771" s="110"/>
      <c r="O771" s="329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spans="1:27" ht="15.75" customHeight="1">
      <c r="A772" s="110"/>
      <c r="B772" s="110"/>
      <c r="C772" s="110"/>
      <c r="D772" s="110"/>
      <c r="E772" s="110"/>
      <c r="F772" s="344"/>
      <c r="G772" s="110"/>
      <c r="H772" s="110"/>
      <c r="I772" s="410"/>
      <c r="J772" s="110"/>
      <c r="K772" s="110"/>
      <c r="L772" s="110"/>
      <c r="M772" s="110"/>
      <c r="N772" s="110"/>
      <c r="O772" s="329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</row>
    <row r="773" spans="1:27" ht="15.75" customHeight="1">
      <c r="A773" s="110"/>
      <c r="B773" s="110"/>
      <c r="C773" s="110"/>
      <c r="D773" s="110"/>
      <c r="E773" s="110"/>
      <c r="F773" s="344"/>
      <c r="G773" s="110"/>
      <c r="H773" s="110"/>
      <c r="I773" s="410"/>
      <c r="J773" s="110"/>
      <c r="K773" s="110"/>
      <c r="L773" s="110"/>
      <c r="M773" s="110"/>
      <c r="N773" s="110"/>
      <c r="O773" s="329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spans="1:27" ht="15.75" customHeight="1">
      <c r="A774" s="110"/>
      <c r="B774" s="110"/>
      <c r="C774" s="110"/>
      <c r="D774" s="110"/>
      <c r="E774" s="110"/>
      <c r="F774" s="344"/>
      <c r="G774" s="110"/>
      <c r="H774" s="110"/>
      <c r="I774" s="410"/>
      <c r="J774" s="110"/>
      <c r="K774" s="110"/>
      <c r="L774" s="110"/>
      <c r="M774" s="110"/>
      <c r="N774" s="110"/>
      <c r="O774" s="329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</row>
    <row r="775" spans="1:27" ht="15.75" customHeight="1">
      <c r="A775" s="110"/>
      <c r="B775" s="110"/>
      <c r="C775" s="110"/>
      <c r="D775" s="110"/>
      <c r="E775" s="110"/>
      <c r="F775" s="344"/>
      <c r="G775" s="110"/>
      <c r="H775" s="110"/>
      <c r="I775" s="410"/>
      <c r="J775" s="110"/>
      <c r="K775" s="110"/>
      <c r="L775" s="110"/>
      <c r="M775" s="110"/>
      <c r="N775" s="110"/>
      <c r="O775" s="329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spans="1:27" ht="15.75" customHeight="1">
      <c r="A776" s="110"/>
      <c r="B776" s="110"/>
      <c r="C776" s="110"/>
      <c r="D776" s="110"/>
      <c r="E776" s="110"/>
      <c r="F776" s="344"/>
      <c r="G776" s="110"/>
      <c r="H776" s="110"/>
      <c r="I776" s="410"/>
      <c r="J776" s="110"/>
      <c r="K776" s="110"/>
      <c r="L776" s="110"/>
      <c r="M776" s="110"/>
      <c r="N776" s="110"/>
      <c r="O776" s="329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</row>
    <row r="777" spans="1:27" ht="15.75" customHeight="1">
      <c r="A777" s="110"/>
      <c r="B777" s="110"/>
      <c r="C777" s="110"/>
      <c r="D777" s="110"/>
      <c r="E777" s="110"/>
      <c r="F777" s="344"/>
      <c r="G777" s="110"/>
      <c r="H777" s="110"/>
      <c r="I777" s="410"/>
      <c r="J777" s="110"/>
      <c r="K777" s="110"/>
      <c r="L777" s="110"/>
      <c r="M777" s="110"/>
      <c r="N777" s="110"/>
      <c r="O777" s="329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spans="1:27" ht="15.75" customHeight="1">
      <c r="A778" s="110"/>
      <c r="B778" s="110"/>
      <c r="C778" s="110"/>
      <c r="D778" s="110"/>
      <c r="E778" s="110"/>
      <c r="F778" s="344"/>
      <c r="G778" s="110"/>
      <c r="H778" s="110"/>
      <c r="I778" s="410"/>
      <c r="J778" s="110"/>
      <c r="K778" s="110"/>
      <c r="L778" s="110"/>
      <c r="M778" s="110"/>
      <c r="N778" s="110"/>
      <c r="O778" s="329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</row>
    <row r="779" spans="1:27" ht="15.75" customHeight="1">
      <c r="A779" s="110"/>
      <c r="B779" s="110"/>
      <c r="C779" s="110"/>
      <c r="D779" s="110"/>
      <c r="E779" s="110"/>
      <c r="F779" s="344"/>
      <c r="G779" s="110"/>
      <c r="H779" s="110"/>
      <c r="I779" s="410"/>
      <c r="J779" s="110"/>
      <c r="K779" s="110"/>
      <c r="L779" s="110"/>
      <c r="M779" s="110"/>
      <c r="N779" s="110"/>
      <c r="O779" s="329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spans="1:27" ht="15.75" customHeight="1">
      <c r="A780" s="110"/>
      <c r="B780" s="110"/>
      <c r="C780" s="110"/>
      <c r="D780" s="110"/>
      <c r="E780" s="110"/>
      <c r="F780" s="344"/>
      <c r="G780" s="110"/>
      <c r="H780" s="110"/>
      <c r="I780" s="410"/>
      <c r="J780" s="110"/>
      <c r="K780" s="110"/>
      <c r="L780" s="110"/>
      <c r="M780" s="110"/>
      <c r="N780" s="110"/>
      <c r="O780" s="329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</row>
    <row r="781" spans="1:27" ht="15.75" customHeight="1">
      <c r="A781" s="110"/>
      <c r="B781" s="110"/>
      <c r="C781" s="110"/>
      <c r="D781" s="110"/>
      <c r="E781" s="110"/>
      <c r="F781" s="344"/>
      <c r="G781" s="110"/>
      <c r="H781" s="110"/>
      <c r="I781" s="410"/>
      <c r="J781" s="110"/>
      <c r="K781" s="110"/>
      <c r="L781" s="110"/>
      <c r="M781" s="110"/>
      <c r="N781" s="110"/>
      <c r="O781" s="329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spans="1:27" ht="15.75" customHeight="1">
      <c r="A782" s="110"/>
      <c r="B782" s="110"/>
      <c r="C782" s="110"/>
      <c r="D782" s="110"/>
      <c r="E782" s="110"/>
      <c r="F782" s="344"/>
      <c r="G782" s="110"/>
      <c r="H782" s="110"/>
      <c r="I782" s="410"/>
      <c r="J782" s="110"/>
      <c r="K782" s="110"/>
      <c r="L782" s="110"/>
      <c r="M782" s="110"/>
      <c r="N782" s="110"/>
      <c r="O782" s="329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</row>
    <row r="783" spans="1:27" ht="15.75" customHeight="1">
      <c r="A783" s="110"/>
      <c r="B783" s="110"/>
      <c r="C783" s="110"/>
      <c r="D783" s="110"/>
      <c r="E783" s="110"/>
      <c r="F783" s="344"/>
      <c r="G783" s="110"/>
      <c r="H783" s="110"/>
      <c r="I783" s="410"/>
      <c r="J783" s="110"/>
      <c r="K783" s="110"/>
      <c r="L783" s="110"/>
      <c r="M783" s="110"/>
      <c r="N783" s="110"/>
      <c r="O783" s="329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spans="1:27" ht="15.75" customHeight="1">
      <c r="A784" s="110"/>
      <c r="B784" s="110"/>
      <c r="C784" s="110"/>
      <c r="D784" s="110"/>
      <c r="E784" s="110"/>
      <c r="F784" s="344"/>
      <c r="G784" s="110"/>
      <c r="H784" s="110"/>
      <c r="I784" s="410"/>
      <c r="J784" s="110"/>
      <c r="K784" s="110"/>
      <c r="L784" s="110"/>
      <c r="M784" s="110"/>
      <c r="N784" s="110"/>
      <c r="O784" s="329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</row>
    <row r="785" spans="1:27" ht="15.75" customHeight="1">
      <c r="A785" s="110"/>
      <c r="B785" s="110"/>
      <c r="C785" s="110"/>
      <c r="D785" s="110"/>
      <c r="E785" s="110"/>
      <c r="F785" s="344"/>
      <c r="G785" s="110"/>
      <c r="H785" s="110"/>
      <c r="I785" s="410"/>
      <c r="J785" s="110"/>
      <c r="K785" s="110"/>
      <c r="L785" s="110"/>
      <c r="M785" s="110"/>
      <c r="N785" s="110"/>
      <c r="O785" s="329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spans="1:27" ht="15.75" customHeight="1">
      <c r="A786" s="110"/>
      <c r="B786" s="110"/>
      <c r="C786" s="110"/>
      <c r="D786" s="110"/>
      <c r="E786" s="110"/>
      <c r="F786" s="344"/>
      <c r="G786" s="110"/>
      <c r="H786" s="110"/>
      <c r="I786" s="410"/>
      <c r="J786" s="110"/>
      <c r="K786" s="110"/>
      <c r="L786" s="110"/>
      <c r="M786" s="110"/>
      <c r="N786" s="110"/>
      <c r="O786" s="329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</row>
    <row r="787" spans="1:27" ht="15.75" customHeight="1">
      <c r="A787" s="110"/>
      <c r="B787" s="110"/>
      <c r="C787" s="110"/>
      <c r="D787" s="110"/>
      <c r="E787" s="110"/>
      <c r="F787" s="344"/>
      <c r="G787" s="110"/>
      <c r="H787" s="110"/>
      <c r="I787" s="410"/>
      <c r="J787" s="110"/>
      <c r="K787" s="110"/>
      <c r="L787" s="110"/>
      <c r="M787" s="110"/>
      <c r="N787" s="110"/>
      <c r="O787" s="329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spans="1:27" ht="15.75" customHeight="1">
      <c r="A788" s="110"/>
      <c r="B788" s="110"/>
      <c r="C788" s="110"/>
      <c r="D788" s="110"/>
      <c r="E788" s="110"/>
      <c r="F788" s="344"/>
      <c r="G788" s="110"/>
      <c r="H788" s="110"/>
      <c r="I788" s="410"/>
      <c r="J788" s="110"/>
      <c r="K788" s="110"/>
      <c r="L788" s="110"/>
      <c r="M788" s="110"/>
      <c r="N788" s="110"/>
      <c r="O788" s="329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</row>
    <row r="789" spans="1:27" ht="15.75" customHeight="1">
      <c r="A789" s="110"/>
      <c r="B789" s="110"/>
      <c r="C789" s="110"/>
      <c r="D789" s="110"/>
      <c r="E789" s="110"/>
      <c r="F789" s="344"/>
      <c r="G789" s="110"/>
      <c r="H789" s="110"/>
      <c r="I789" s="410"/>
      <c r="J789" s="110"/>
      <c r="K789" s="110"/>
      <c r="L789" s="110"/>
      <c r="M789" s="110"/>
      <c r="N789" s="110"/>
      <c r="O789" s="329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spans="1:27" ht="15.75" customHeight="1">
      <c r="A790" s="110"/>
      <c r="B790" s="110"/>
      <c r="C790" s="110"/>
      <c r="D790" s="110"/>
      <c r="E790" s="110"/>
      <c r="F790" s="344"/>
      <c r="G790" s="110"/>
      <c r="H790" s="110"/>
      <c r="I790" s="410"/>
      <c r="J790" s="110"/>
      <c r="K790" s="110"/>
      <c r="L790" s="110"/>
      <c r="M790" s="110"/>
      <c r="N790" s="110"/>
      <c r="O790" s="329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</row>
    <row r="791" spans="1:27" ht="15.75" customHeight="1">
      <c r="A791" s="110"/>
      <c r="B791" s="110"/>
      <c r="C791" s="110"/>
      <c r="D791" s="110"/>
      <c r="E791" s="110"/>
      <c r="F791" s="344"/>
      <c r="G791" s="110"/>
      <c r="H791" s="110"/>
      <c r="I791" s="410"/>
      <c r="J791" s="110"/>
      <c r="K791" s="110"/>
      <c r="L791" s="110"/>
      <c r="M791" s="110"/>
      <c r="N791" s="110"/>
      <c r="O791" s="329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spans="1:27" ht="15.75" customHeight="1">
      <c r="A792" s="110"/>
      <c r="B792" s="110"/>
      <c r="C792" s="110"/>
      <c r="D792" s="110"/>
      <c r="E792" s="110"/>
      <c r="F792" s="344"/>
      <c r="G792" s="110"/>
      <c r="H792" s="110"/>
      <c r="I792" s="410"/>
      <c r="J792" s="110"/>
      <c r="K792" s="110"/>
      <c r="L792" s="110"/>
      <c r="M792" s="110"/>
      <c r="N792" s="110"/>
      <c r="O792" s="329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</row>
    <row r="793" spans="1:27" ht="15.75" customHeight="1">
      <c r="A793" s="110"/>
      <c r="B793" s="110"/>
      <c r="C793" s="110"/>
      <c r="D793" s="110"/>
      <c r="E793" s="110"/>
      <c r="F793" s="344"/>
      <c r="G793" s="110"/>
      <c r="H793" s="110"/>
      <c r="I793" s="410"/>
      <c r="J793" s="110"/>
      <c r="K793" s="110"/>
      <c r="L793" s="110"/>
      <c r="M793" s="110"/>
      <c r="N793" s="110"/>
      <c r="O793" s="329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spans="1:27" ht="15.75" customHeight="1">
      <c r="A794" s="110"/>
      <c r="B794" s="110"/>
      <c r="C794" s="110"/>
      <c r="D794" s="110"/>
      <c r="E794" s="110"/>
      <c r="F794" s="344"/>
      <c r="G794" s="110"/>
      <c r="H794" s="110"/>
      <c r="I794" s="410"/>
      <c r="J794" s="110"/>
      <c r="K794" s="110"/>
      <c r="L794" s="110"/>
      <c r="M794" s="110"/>
      <c r="N794" s="110"/>
      <c r="O794" s="329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</row>
    <row r="795" spans="1:27" ht="15.75" customHeight="1">
      <c r="A795" s="110"/>
      <c r="B795" s="110"/>
      <c r="C795" s="110"/>
      <c r="D795" s="110"/>
      <c r="E795" s="110"/>
      <c r="F795" s="344"/>
      <c r="G795" s="110"/>
      <c r="H795" s="110"/>
      <c r="I795" s="410"/>
      <c r="J795" s="110"/>
      <c r="K795" s="110"/>
      <c r="L795" s="110"/>
      <c r="M795" s="110"/>
      <c r="N795" s="110"/>
      <c r="O795" s="329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spans="1:27" ht="15.75" customHeight="1">
      <c r="A796" s="110"/>
      <c r="B796" s="110"/>
      <c r="C796" s="110"/>
      <c r="D796" s="110"/>
      <c r="E796" s="110"/>
      <c r="F796" s="344"/>
      <c r="G796" s="110"/>
      <c r="H796" s="110"/>
      <c r="I796" s="410"/>
      <c r="J796" s="110"/>
      <c r="K796" s="110"/>
      <c r="L796" s="110"/>
      <c r="M796" s="110"/>
      <c r="N796" s="110"/>
      <c r="O796" s="329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</row>
    <row r="797" spans="1:27" ht="15.75" customHeight="1">
      <c r="A797" s="110"/>
      <c r="B797" s="110"/>
      <c r="C797" s="110"/>
      <c r="D797" s="110"/>
      <c r="E797" s="110"/>
      <c r="F797" s="344"/>
      <c r="G797" s="110"/>
      <c r="H797" s="110"/>
      <c r="I797" s="410"/>
      <c r="J797" s="110"/>
      <c r="K797" s="110"/>
      <c r="L797" s="110"/>
      <c r="M797" s="110"/>
      <c r="N797" s="110"/>
      <c r="O797" s="329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spans="1:27" ht="15.75" customHeight="1">
      <c r="A798" s="110"/>
      <c r="B798" s="110"/>
      <c r="C798" s="110"/>
      <c r="D798" s="110"/>
      <c r="E798" s="110"/>
      <c r="F798" s="344"/>
      <c r="G798" s="110"/>
      <c r="H798" s="110"/>
      <c r="I798" s="410"/>
      <c r="J798" s="110"/>
      <c r="K798" s="110"/>
      <c r="L798" s="110"/>
      <c r="M798" s="110"/>
      <c r="N798" s="110"/>
      <c r="O798" s="329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</row>
    <row r="799" spans="1:27" ht="15.75" customHeight="1">
      <c r="A799" s="110"/>
      <c r="B799" s="110"/>
      <c r="C799" s="110"/>
      <c r="D799" s="110"/>
      <c r="E799" s="110"/>
      <c r="F799" s="344"/>
      <c r="G799" s="110"/>
      <c r="H799" s="110"/>
      <c r="I799" s="410"/>
      <c r="J799" s="110"/>
      <c r="K799" s="110"/>
      <c r="L799" s="110"/>
      <c r="M799" s="110"/>
      <c r="N799" s="110"/>
      <c r="O799" s="329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spans="1:27" ht="15.75" customHeight="1">
      <c r="A800" s="110"/>
      <c r="B800" s="110"/>
      <c r="C800" s="110"/>
      <c r="D800" s="110"/>
      <c r="E800" s="110"/>
      <c r="F800" s="344"/>
      <c r="G800" s="110"/>
      <c r="H800" s="110"/>
      <c r="I800" s="410"/>
      <c r="J800" s="110"/>
      <c r="K800" s="110"/>
      <c r="L800" s="110"/>
      <c r="M800" s="110"/>
      <c r="N800" s="110"/>
      <c r="O800" s="329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</row>
    <row r="801" spans="1:27" ht="15.75" customHeight="1">
      <c r="A801" s="110"/>
      <c r="B801" s="110"/>
      <c r="C801" s="110"/>
      <c r="D801" s="110"/>
      <c r="E801" s="110"/>
      <c r="F801" s="344"/>
      <c r="G801" s="110"/>
      <c r="H801" s="110"/>
      <c r="I801" s="410"/>
      <c r="J801" s="110"/>
      <c r="K801" s="110"/>
      <c r="L801" s="110"/>
      <c r="M801" s="110"/>
      <c r="N801" s="110"/>
      <c r="O801" s="329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spans="1:27" ht="15.75" customHeight="1">
      <c r="A802" s="110"/>
      <c r="B802" s="110"/>
      <c r="C802" s="110"/>
      <c r="D802" s="110"/>
      <c r="E802" s="110"/>
      <c r="F802" s="344"/>
      <c r="G802" s="110"/>
      <c r="H802" s="110"/>
      <c r="I802" s="410"/>
      <c r="J802" s="110"/>
      <c r="K802" s="110"/>
      <c r="L802" s="110"/>
      <c r="M802" s="110"/>
      <c r="N802" s="110"/>
      <c r="O802" s="329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</row>
    <row r="803" spans="1:27" ht="15.75" customHeight="1">
      <c r="A803" s="110"/>
      <c r="B803" s="110"/>
      <c r="C803" s="110"/>
      <c r="D803" s="110"/>
      <c r="E803" s="110"/>
      <c r="F803" s="344"/>
      <c r="G803" s="110"/>
      <c r="H803" s="110"/>
      <c r="I803" s="410"/>
      <c r="J803" s="110"/>
      <c r="K803" s="110"/>
      <c r="L803" s="110"/>
      <c r="M803" s="110"/>
      <c r="N803" s="110"/>
      <c r="O803" s="329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spans="1:27" ht="15.75" customHeight="1">
      <c r="A804" s="110"/>
      <c r="B804" s="110"/>
      <c r="C804" s="110"/>
      <c r="D804" s="110"/>
      <c r="E804" s="110"/>
      <c r="F804" s="344"/>
      <c r="G804" s="110"/>
      <c r="H804" s="110"/>
      <c r="I804" s="410"/>
      <c r="J804" s="110"/>
      <c r="K804" s="110"/>
      <c r="L804" s="110"/>
      <c r="M804" s="110"/>
      <c r="N804" s="110"/>
      <c r="O804" s="329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</row>
    <row r="805" spans="1:27" ht="15.75" customHeight="1">
      <c r="A805" s="110"/>
      <c r="B805" s="110"/>
      <c r="C805" s="110"/>
      <c r="D805" s="110"/>
      <c r="E805" s="110"/>
      <c r="F805" s="344"/>
      <c r="G805" s="110"/>
      <c r="H805" s="110"/>
      <c r="I805" s="410"/>
      <c r="J805" s="110"/>
      <c r="K805" s="110"/>
      <c r="L805" s="110"/>
      <c r="M805" s="110"/>
      <c r="N805" s="110"/>
      <c r="O805" s="329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spans="1:27" ht="15.75" customHeight="1">
      <c r="A806" s="110"/>
      <c r="B806" s="110"/>
      <c r="C806" s="110"/>
      <c r="D806" s="110"/>
      <c r="E806" s="110"/>
      <c r="F806" s="344"/>
      <c r="G806" s="110"/>
      <c r="H806" s="110"/>
      <c r="I806" s="410"/>
      <c r="J806" s="110"/>
      <c r="K806" s="110"/>
      <c r="L806" s="110"/>
      <c r="M806" s="110"/>
      <c r="N806" s="110"/>
      <c r="O806" s="329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</row>
    <row r="807" spans="1:27" ht="15.75" customHeight="1">
      <c r="A807" s="110"/>
      <c r="B807" s="110"/>
      <c r="C807" s="110"/>
      <c r="D807" s="110"/>
      <c r="E807" s="110"/>
      <c r="F807" s="344"/>
      <c r="G807" s="110"/>
      <c r="H807" s="110"/>
      <c r="I807" s="410"/>
      <c r="J807" s="110"/>
      <c r="K807" s="110"/>
      <c r="L807" s="110"/>
      <c r="M807" s="110"/>
      <c r="N807" s="110"/>
      <c r="O807" s="329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spans="1:27" ht="15.75" customHeight="1">
      <c r="A808" s="110"/>
      <c r="B808" s="110"/>
      <c r="C808" s="110"/>
      <c r="D808" s="110"/>
      <c r="E808" s="110"/>
      <c r="F808" s="344"/>
      <c r="G808" s="110"/>
      <c r="H808" s="110"/>
      <c r="I808" s="410"/>
      <c r="J808" s="110"/>
      <c r="K808" s="110"/>
      <c r="L808" s="110"/>
      <c r="M808" s="110"/>
      <c r="N808" s="110"/>
      <c r="O808" s="329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</row>
    <row r="809" spans="1:27" ht="15.75" customHeight="1">
      <c r="A809" s="110"/>
      <c r="B809" s="110"/>
      <c r="C809" s="110"/>
      <c r="D809" s="110"/>
      <c r="E809" s="110"/>
      <c r="F809" s="344"/>
      <c r="G809" s="110"/>
      <c r="H809" s="110"/>
      <c r="I809" s="410"/>
      <c r="J809" s="110"/>
      <c r="K809" s="110"/>
      <c r="L809" s="110"/>
      <c r="M809" s="110"/>
      <c r="N809" s="110"/>
      <c r="O809" s="329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spans="1:27" ht="15.75" customHeight="1">
      <c r="A810" s="110"/>
      <c r="B810" s="110"/>
      <c r="C810" s="110"/>
      <c r="D810" s="110"/>
      <c r="E810" s="110"/>
      <c r="F810" s="344"/>
      <c r="G810" s="110"/>
      <c r="H810" s="110"/>
      <c r="I810" s="410"/>
      <c r="J810" s="110"/>
      <c r="K810" s="110"/>
      <c r="L810" s="110"/>
      <c r="M810" s="110"/>
      <c r="N810" s="110"/>
      <c r="O810" s="329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</row>
    <row r="811" spans="1:27" ht="15.75" customHeight="1">
      <c r="A811" s="110"/>
      <c r="B811" s="110"/>
      <c r="C811" s="110"/>
      <c r="D811" s="110"/>
      <c r="E811" s="110"/>
      <c r="F811" s="344"/>
      <c r="G811" s="110"/>
      <c r="H811" s="110"/>
      <c r="I811" s="410"/>
      <c r="J811" s="110"/>
      <c r="K811" s="110"/>
      <c r="L811" s="110"/>
      <c r="M811" s="110"/>
      <c r="N811" s="110"/>
      <c r="O811" s="329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spans="1:27" ht="15.75" customHeight="1">
      <c r="A812" s="110"/>
      <c r="B812" s="110"/>
      <c r="C812" s="110"/>
      <c r="D812" s="110"/>
      <c r="E812" s="110"/>
      <c r="F812" s="344"/>
      <c r="G812" s="110"/>
      <c r="H812" s="110"/>
      <c r="I812" s="410"/>
      <c r="J812" s="110"/>
      <c r="K812" s="110"/>
      <c r="L812" s="110"/>
      <c r="M812" s="110"/>
      <c r="N812" s="110"/>
      <c r="O812" s="329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</row>
    <row r="813" spans="1:27" ht="15.75" customHeight="1">
      <c r="A813" s="110"/>
      <c r="B813" s="110"/>
      <c r="C813" s="110"/>
      <c r="D813" s="110"/>
      <c r="E813" s="110"/>
      <c r="F813" s="344"/>
      <c r="G813" s="110"/>
      <c r="H813" s="110"/>
      <c r="I813" s="410"/>
      <c r="J813" s="110"/>
      <c r="K813" s="110"/>
      <c r="L813" s="110"/>
      <c r="M813" s="110"/>
      <c r="N813" s="110"/>
      <c r="O813" s="329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spans="1:27" ht="15.75" customHeight="1">
      <c r="A814" s="110"/>
      <c r="B814" s="110"/>
      <c r="C814" s="110"/>
      <c r="D814" s="110"/>
      <c r="E814" s="110"/>
      <c r="F814" s="344"/>
      <c r="G814" s="110"/>
      <c r="H814" s="110"/>
      <c r="I814" s="410"/>
      <c r="J814" s="110"/>
      <c r="K814" s="110"/>
      <c r="L814" s="110"/>
      <c r="M814" s="110"/>
      <c r="N814" s="110"/>
      <c r="O814" s="329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</row>
    <row r="815" spans="1:27" ht="15.75" customHeight="1">
      <c r="A815" s="110"/>
      <c r="B815" s="110"/>
      <c r="C815" s="110"/>
      <c r="D815" s="110"/>
      <c r="E815" s="110"/>
      <c r="F815" s="344"/>
      <c r="G815" s="110"/>
      <c r="H815" s="110"/>
      <c r="I815" s="410"/>
      <c r="J815" s="110"/>
      <c r="K815" s="110"/>
      <c r="L815" s="110"/>
      <c r="M815" s="110"/>
      <c r="N815" s="110"/>
      <c r="O815" s="329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spans="1:27" ht="15.75" customHeight="1">
      <c r="A816" s="110"/>
      <c r="B816" s="110"/>
      <c r="C816" s="110"/>
      <c r="D816" s="110"/>
      <c r="E816" s="110"/>
      <c r="F816" s="344"/>
      <c r="G816" s="110"/>
      <c r="H816" s="110"/>
      <c r="I816" s="410"/>
      <c r="J816" s="110"/>
      <c r="K816" s="110"/>
      <c r="L816" s="110"/>
      <c r="M816" s="110"/>
      <c r="N816" s="110"/>
      <c r="O816" s="329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</row>
    <row r="817" spans="1:27" ht="15.75" customHeight="1">
      <c r="A817" s="110"/>
      <c r="B817" s="110"/>
      <c r="C817" s="110"/>
      <c r="D817" s="110"/>
      <c r="E817" s="110"/>
      <c r="F817" s="344"/>
      <c r="G817" s="110"/>
      <c r="H817" s="110"/>
      <c r="I817" s="410"/>
      <c r="J817" s="110"/>
      <c r="K817" s="110"/>
      <c r="L817" s="110"/>
      <c r="M817" s="110"/>
      <c r="N817" s="110"/>
      <c r="O817" s="329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spans="1:27" ht="15.75" customHeight="1">
      <c r="A818" s="110"/>
      <c r="B818" s="110"/>
      <c r="C818" s="110"/>
      <c r="D818" s="110"/>
      <c r="E818" s="110"/>
      <c r="F818" s="344"/>
      <c r="G818" s="110"/>
      <c r="H818" s="110"/>
      <c r="I818" s="410"/>
      <c r="J818" s="110"/>
      <c r="K818" s="110"/>
      <c r="L818" s="110"/>
      <c r="M818" s="110"/>
      <c r="N818" s="110"/>
      <c r="O818" s="329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</row>
    <row r="819" spans="1:27" ht="15.75" customHeight="1">
      <c r="A819" s="110"/>
      <c r="B819" s="110"/>
      <c r="C819" s="110"/>
      <c r="D819" s="110"/>
      <c r="E819" s="110"/>
      <c r="F819" s="344"/>
      <c r="G819" s="110"/>
      <c r="H819" s="110"/>
      <c r="I819" s="410"/>
      <c r="J819" s="110"/>
      <c r="K819" s="110"/>
      <c r="L819" s="110"/>
      <c r="M819" s="110"/>
      <c r="N819" s="110"/>
      <c r="O819" s="329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spans="1:27" ht="15.75" customHeight="1">
      <c r="A820" s="110"/>
      <c r="B820" s="110"/>
      <c r="C820" s="110"/>
      <c r="D820" s="110"/>
      <c r="E820" s="110"/>
      <c r="F820" s="344"/>
      <c r="G820" s="110"/>
      <c r="H820" s="110"/>
      <c r="I820" s="410"/>
      <c r="J820" s="110"/>
      <c r="K820" s="110"/>
      <c r="L820" s="110"/>
      <c r="M820" s="110"/>
      <c r="N820" s="110"/>
      <c r="O820" s="329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</row>
    <row r="821" spans="1:27" ht="15.75" customHeight="1">
      <c r="A821" s="110"/>
      <c r="B821" s="110"/>
      <c r="C821" s="110"/>
      <c r="D821" s="110"/>
      <c r="E821" s="110"/>
      <c r="F821" s="344"/>
      <c r="G821" s="110"/>
      <c r="H821" s="110"/>
      <c r="I821" s="410"/>
      <c r="J821" s="110"/>
      <c r="K821" s="110"/>
      <c r="L821" s="110"/>
      <c r="M821" s="110"/>
      <c r="N821" s="110"/>
      <c r="O821" s="329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spans="1:27" ht="15.75" customHeight="1">
      <c r="A822" s="110"/>
      <c r="B822" s="110"/>
      <c r="C822" s="110"/>
      <c r="D822" s="110"/>
      <c r="E822" s="110"/>
      <c r="F822" s="344"/>
      <c r="G822" s="110"/>
      <c r="H822" s="110"/>
      <c r="I822" s="410"/>
      <c r="J822" s="110"/>
      <c r="K822" s="110"/>
      <c r="L822" s="110"/>
      <c r="M822" s="110"/>
      <c r="N822" s="110"/>
      <c r="O822" s="329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</row>
    <row r="823" spans="1:27" ht="15.75" customHeight="1">
      <c r="A823" s="110"/>
      <c r="B823" s="110"/>
      <c r="C823" s="110"/>
      <c r="D823" s="110"/>
      <c r="E823" s="110"/>
      <c r="F823" s="344"/>
      <c r="G823" s="110"/>
      <c r="H823" s="110"/>
      <c r="I823" s="410"/>
      <c r="J823" s="110"/>
      <c r="K823" s="110"/>
      <c r="L823" s="110"/>
      <c r="M823" s="110"/>
      <c r="N823" s="110"/>
      <c r="O823" s="329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spans="1:27" ht="15.75" customHeight="1">
      <c r="A824" s="110"/>
      <c r="B824" s="110"/>
      <c r="C824" s="110"/>
      <c r="D824" s="110"/>
      <c r="E824" s="110"/>
      <c r="F824" s="344"/>
      <c r="G824" s="110"/>
      <c r="H824" s="110"/>
      <c r="I824" s="410"/>
      <c r="J824" s="110"/>
      <c r="K824" s="110"/>
      <c r="L824" s="110"/>
      <c r="M824" s="110"/>
      <c r="N824" s="110"/>
      <c r="O824" s="329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</row>
    <row r="825" spans="1:27" ht="15.75" customHeight="1">
      <c r="A825" s="110"/>
      <c r="B825" s="110"/>
      <c r="C825" s="110"/>
      <c r="D825" s="110"/>
      <c r="E825" s="110"/>
      <c r="F825" s="344"/>
      <c r="G825" s="110"/>
      <c r="H825" s="110"/>
      <c r="I825" s="410"/>
      <c r="J825" s="110"/>
      <c r="K825" s="110"/>
      <c r="L825" s="110"/>
      <c r="M825" s="110"/>
      <c r="N825" s="110"/>
      <c r="O825" s="329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spans="1:27" ht="15.75" customHeight="1">
      <c r="A826" s="110"/>
      <c r="B826" s="110"/>
      <c r="C826" s="110"/>
      <c r="D826" s="110"/>
      <c r="E826" s="110"/>
      <c r="F826" s="344"/>
      <c r="G826" s="110"/>
      <c r="H826" s="110"/>
      <c r="I826" s="410"/>
      <c r="J826" s="110"/>
      <c r="K826" s="110"/>
      <c r="L826" s="110"/>
      <c r="M826" s="110"/>
      <c r="N826" s="110"/>
      <c r="O826" s="329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</row>
    <row r="827" spans="1:27" ht="15.75" customHeight="1">
      <c r="A827" s="110"/>
      <c r="B827" s="110"/>
      <c r="C827" s="110"/>
      <c r="D827" s="110"/>
      <c r="E827" s="110"/>
      <c r="F827" s="344"/>
      <c r="G827" s="110"/>
      <c r="H827" s="110"/>
      <c r="I827" s="410"/>
      <c r="J827" s="110"/>
      <c r="K827" s="110"/>
      <c r="L827" s="110"/>
      <c r="M827" s="110"/>
      <c r="N827" s="110"/>
      <c r="O827" s="329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spans="1:27" ht="15.75" customHeight="1">
      <c r="A828" s="110"/>
      <c r="B828" s="110"/>
      <c r="C828" s="110"/>
      <c r="D828" s="110"/>
      <c r="E828" s="110"/>
      <c r="F828" s="344"/>
      <c r="G828" s="110"/>
      <c r="H828" s="110"/>
      <c r="I828" s="410"/>
      <c r="J828" s="110"/>
      <c r="K828" s="110"/>
      <c r="L828" s="110"/>
      <c r="M828" s="110"/>
      <c r="N828" s="110"/>
      <c r="O828" s="329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</row>
    <row r="829" spans="1:27" ht="15.75" customHeight="1">
      <c r="A829" s="110"/>
      <c r="B829" s="110"/>
      <c r="C829" s="110"/>
      <c r="D829" s="110"/>
      <c r="E829" s="110"/>
      <c r="F829" s="344"/>
      <c r="G829" s="110"/>
      <c r="H829" s="110"/>
      <c r="I829" s="410"/>
      <c r="J829" s="110"/>
      <c r="K829" s="110"/>
      <c r="L829" s="110"/>
      <c r="M829" s="110"/>
      <c r="N829" s="110"/>
      <c r="O829" s="329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spans="1:27" ht="15.75" customHeight="1">
      <c r="A830" s="110"/>
      <c r="B830" s="110"/>
      <c r="C830" s="110"/>
      <c r="D830" s="110"/>
      <c r="E830" s="110"/>
      <c r="F830" s="344"/>
      <c r="G830" s="110"/>
      <c r="H830" s="110"/>
      <c r="I830" s="410"/>
      <c r="J830" s="110"/>
      <c r="K830" s="110"/>
      <c r="L830" s="110"/>
      <c r="M830" s="110"/>
      <c r="N830" s="110"/>
      <c r="O830" s="329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</row>
    <row r="831" spans="1:27" ht="15.75" customHeight="1">
      <c r="A831" s="110"/>
      <c r="B831" s="110"/>
      <c r="C831" s="110"/>
      <c r="D831" s="110"/>
      <c r="E831" s="110"/>
      <c r="F831" s="344"/>
      <c r="G831" s="110"/>
      <c r="H831" s="110"/>
      <c r="I831" s="410"/>
      <c r="J831" s="110"/>
      <c r="K831" s="110"/>
      <c r="L831" s="110"/>
      <c r="M831" s="110"/>
      <c r="N831" s="110"/>
      <c r="O831" s="329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spans="1:27" ht="15.75" customHeight="1">
      <c r="A832" s="110"/>
      <c r="B832" s="110"/>
      <c r="C832" s="110"/>
      <c r="D832" s="110"/>
      <c r="E832" s="110"/>
      <c r="F832" s="344"/>
      <c r="G832" s="110"/>
      <c r="H832" s="110"/>
      <c r="I832" s="410"/>
      <c r="J832" s="110"/>
      <c r="K832" s="110"/>
      <c r="L832" s="110"/>
      <c r="M832" s="110"/>
      <c r="N832" s="110"/>
      <c r="O832" s="329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</row>
    <row r="833" spans="1:27" ht="15.75" customHeight="1">
      <c r="A833" s="110"/>
      <c r="B833" s="110"/>
      <c r="C833" s="110"/>
      <c r="D833" s="110"/>
      <c r="E833" s="110"/>
      <c r="F833" s="344"/>
      <c r="G833" s="110"/>
      <c r="H833" s="110"/>
      <c r="I833" s="410"/>
      <c r="J833" s="110"/>
      <c r="K833" s="110"/>
      <c r="L833" s="110"/>
      <c r="M833" s="110"/>
      <c r="N833" s="110"/>
      <c r="O833" s="329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spans="1:27" ht="15.75" customHeight="1">
      <c r="A834" s="110"/>
      <c r="B834" s="110"/>
      <c r="C834" s="110"/>
      <c r="D834" s="110"/>
      <c r="E834" s="110"/>
      <c r="F834" s="344"/>
      <c r="G834" s="110"/>
      <c r="H834" s="110"/>
      <c r="I834" s="410"/>
      <c r="J834" s="110"/>
      <c r="K834" s="110"/>
      <c r="L834" s="110"/>
      <c r="M834" s="110"/>
      <c r="N834" s="110"/>
      <c r="O834" s="329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</row>
    <row r="835" spans="1:27" ht="15.75" customHeight="1">
      <c r="A835" s="110"/>
      <c r="B835" s="110"/>
      <c r="C835" s="110"/>
      <c r="D835" s="110"/>
      <c r="E835" s="110"/>
      <c r="F835" s="344"/>
      <c r="G835" s="110"/>
      <c r="H835" s="110"/>
      <c r="I835" s="410"/>
      <c r="J835" s="110"/>
      <c r="K835" s="110"/>
      <c r="L835" s="110"/>
      <c r="M835" s="110"/>
      <c r="N835" s="110"/>
      <c r="O835" s="329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spans="1:27" ht="15.75" customHeight="1">
      <c r="A836" s="110"/>
      <c r="B836" s="110"/>
      <c r="C836" s="110"/>
      <c r="D836" s="110"/>
      <c r="E836" s="110"/>
      <c r="F836" s="344"/>
      <c r="G836" s="110"/>
      <c r="H836" s="110"/>
      <c r="I836" s="410"/>
      <c r="J836" s="110"/>
      <c r="K836" s="110"/>
      <c r="L836" s="110"/>
      <c r="M836" s="110"/>
      <c r="N836" s="110"/>
      <c r="O836" s="329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</row>
    <row r="837" spans="1:27" ht="15.75" customHeight="1">
      <c r="A837" s="110"/>
      <c r="B837" s="110"/>
      <c r="C837" s="110"/>
      <c r="D837" s="110"/>
      <c r="E837" s="110"/>
      <c r="F837" s="344"/>
      <c r="G837" s="110"/>
      <c r="H837" s="110"/>
      <c r="I837" s="410"/>
      <c r="J837" s="110"/>
      <c r="K837" s="110"/>
      <c r="L837" s="110"/>
      <c r="M837" s="110"/>
      <c r="N837" s="110"/>
      <c r="O837" s="329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spans="1:27" ht="15.75" customHeight="1">
      <c r="A838" s="110"/>
      <c r="B838" s="110"/>
      <c r="C838" s="110"/>
      <c r="D838" s="110"/>
      <c r="E838" s="110"/>
      <c r="F838" s="344"/>
      <c r="G838" s="110"/>
      <c r="H838" s="110"/>
      <c r="I838" s="410"/>
      <c r="J838" s="110"/>
      <c r="K838" s="110"/>
      <c r="L838" s="110"/>
      <c r="M838" s="110"/>
      <c r="N838" s="110"/>
      <c r="O838" s="329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</row>
    <row r="839" spans="1:27" ht="15.75" customHeight="1">
      <c r="A839" s="110"/>
      <c r="B839" s="110"/>
      <c r="C839" s="110"/>
      <c r="D839" s="110"/>
      <c r="E839" s="110"/>
      <c r="F839" s="344"/>
      <c r="G839" s="110"/>
      <c r="H839" s="110"/>
      <c r="I839" s="410"/>
      <c r="J839" s="110"/>
      <c r="K839" s="110"/>
      <c r="L839" s="110"/>
      <c r="M839" s="110"/>
      <c r="N839" s="110"/>
      <c r="O839" s="329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spans="1:27" ht="15.75" customHeight="1">
      <c r="A840" s="110"/>
      <c r="B840" s="110"/>
      <c r="C840" s="110"/>
      <c r="D840" s="110"/>
      <c r="E840" s="110"/>
      <c r="F840" s="344"/>
      <c r="G840" s="110"/>
      <c r="H840" s="110"/>
      <c r="I840" s="410"/>
      <c r="J840" s="110"/>
      <c r="K840" s="110"/>
      <c r="L840" s="110"/>
      <c r="M840" s="110"/>
      <c r="N840" s="110"/>
      <c r="O840" s="329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</row>
    <row r="841" spans="1:27" ht="15.75" customHeight="1">
      <c r="A841" s="110"/>
      <c r="B841" s="110"/>
      <c r="C841" s="110"/>
      <c r="D841" s="110"/>
      <c r="E841" s="110"/>
      <c r="F841" s="344"/>
      <c r="G841" s="110"/>
      <c r="H841" s="110"/>
      <c r="I841" s="410"/>
      <c r="J841" s="110"/>
      <c r="K841" s="110"/>
      <c r="L841" s="110"/>
      <c r="M841" s="110"/>
      <c r="N841" s="110"/>
      <c r="O841" s="329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spans="1:27" ht="15.75" customHeight="1">
      <c r="A842" s="110"/>
      <c r="B842" s="110"/>
      <c r="C842" s="110"/>
      <c r="D842" s="110"/>
      <c r="E842" s="110"/>
      <c r="F842" s="344"/>
      <c r="G842" s="110"/>
      <c r="H842" s="110"/>
      <c r="I842" s="410"/>
      <c r="J842" s="110"/>
      <c r="K842" s="110"/>
      <c r="L842" s="110"/>
      <c r="M842" s="110"/>
      <c r="N842" s="110"/>
      <c r="O842" s="329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</row>
    <row r="843" spans="1:27" ht="15.75" customHeight="1">
      <c r="A843" s="110"/>
      <c r="B843" s="110"/>
      <c r="C843" s="110"/>
      <c r="D843" s="110"/>
      <c r="E843" s="110"/>
      <c r="F843" s="344"/>
      <c r="G843" s="110"/>
      <c r="H843" s="110"/>
      <c r="I843" s="410"/>
      <c r="J843" s="110"/>
      <c r="K843" s="110"/>
      <c r="L843" s="110"/>
      <c r="M843" s="110"/>
      <c r="N843" s="110"/>
      <c r="O843" s="329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spans="1:27" ht="15.75" customHeight="1">
      <c r="A844" s="110"/>
      <c r="B844" s="110"/>
      <c r="C844" s="110"/>
      <c r="D844" s="110"/>
      <c r="E844" s="110"/>
      <c r="F844" s="344"/>
      <c r="G844" s="110"/>
      <c r="H844" s="110"/>
      <c r="I844" s="410"/>
      <c r="J844" s="110"/>
      <c r="K844" s="110"/>
      <c r="L844" s="110"/>
      <c r="M844" s="110"/>
      <c r="N844" s="110"/>
      <c r="O844" s="329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</row>
    <row r="845" spans="1:27" ht="15.75" customHeight="1">
      <c r="A845" s="110"/>
      <c r="B845" s="110"/>
      <c r="C845" s="110"/>
      <c r="D845" s="110"/>
      <c r="E845" s="110"/>
      <c r="F845" s="344"/>
      <c r="G845" s="110"/>
      <c r="H845" s="110"/>
      <c r="I845" s="410"/>
      <c r="J845" s="110"/>
      <c r="K845" s="110"/>
      <c r="L845" s="110"/>
      <c r="M845" s="110"/>
      <c r="N845" s="110"/>
      <c r="O845" s="329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spans="1:27" ht="15.75" customHeight="1">
      <c r="A846" s="110"/>
      <c r="B846" s="110"/>
      <c r="C846" s="110"/>
      <c r="D846" s="110"/>
      <c r="E846" s="110"/>
      <c r="F846" s="344"/>
      <c r="G846" s="110"/>
      <c r="H846" s="110"/>
      <c r="I846" s="410"/>
      <c r="J846" s="110"/>
      <c r="K846" s="110"/>
      <c r="L846" s="110"/>
      <c r="M846" s="110"/>
      <c r="N846" s="110"/>
      <c r="O846" s="329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</row>
    <row r="847" spans="1:27" ht="15.75" customHeight="1">
      <c r="A847" s="110"/>
      <c r="B847" s="110"/>
      <c r="C847" s="110"/>
      <c r="D847" s="110"/>
      <c r="E847" s="110"/>
      <c r="F847" s="344"/>
      <c r="G847" s="110"/>
      <c r="H847" s="110"/>
      <c r="I847" s="410"/>
      <c r="J847" s="110"/>
      <c r="K847" s="110"/>
      <c r="L847" s="110"/>
      <c r="M847" s="110"/>
      <c r="N847" s="110"/>
      <c r="O847" s="329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spans="1:27" ht="15.75" customHeight="1">
      <c r="A848" s="110"/>
      <c r="B848" s="110"/>
      <c r="C848" s="110"/>
      <c r="D848" s="110"/>
      <c r="E848" s="110"/>
      <c r="F848" s="344"/>
      <c r="G848" s="110"/>
      <c r="H848" s="110"/>
      <c r="I848" s="410"/>
      <c r="J848" s="110"/>
      <c r="K848" s="110"/>
      <c r="L848" s="110"/>
      <c r="M848" s="110"/>
      <c r="N848" s="110"/>
      <c r="O848" s="329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</row>
    <row r="849" spans="1:27" ht="15.75" customHeight="1">
      <c r="A849" s="110"/>
      <c r="B849" s="110"/>
      <c r="C849" s="110"/>
      <c r="D849" s="110"/>
      <c r="E849" s="110"/>
      <c r="F849" s="344"/>
      <c r="G849" s="110"/>
      <c r="H849" s="110"/>
      <c r="I849" s="410"/>
      <c r="J849" s="110"/>
      <c r="K849" s="110"/>
      <c r="L849" s="110"/>
      <c r="M849" s="110"/>
      <c r="N849" s="110"/>
      <c r="O849" s="329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spans="1:27" ht="15.75" customHeight="1">
      <c r="A850" s="110"/>
      <c r="B850" s="110"/>
      <c r="C850" s="110"/>
      <c r="D850" s="110"/>
      <c r="E850" s="110"/>
      <c r="F850" s="344"/>
      <c r="G850" s="110"/>
      <c r="H850" s="110"/>
      <c r="I850" s="410"/>
      <c r="J850" s="110"/>
      <c r="K850" s="110"/>
      <c r="L850" s="110"/>
      <c r="M850" s="110"/>
      <c r="N850" s="110"/>
      <c r="O850" s="329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</row>
    <row r="851" spans="1:27" ht="15.75" customHeight="1">
      <c r="A851" s="110"/>
      <c r="B851" s="110"/>
      <c r="C851" s="110"/>
      <c r="D851" s="110"/>
      <c r="E851" s="110"/>
      <c r="F851" s="344"/>
      <c r="G851" s="110"/>
      <c r="H851" s="110"/>
      <c r="I851" s="410"/>
      <c r="J851" s="110"/>
      <c r="K851" s="110"/>
      <c r="L851" s="110"/>
      <c r="M851" s="110"/>
      <c r="N851" s="110"/>
      <c r="O851" s="329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spans="1:27" ht="15.75" customHeight="1">
      <c r="A852" s="110"/>
      <c r="B852" s="110"/>
      <c r="C852" s="110"/>
      <c r="D852" s="110"/>
      <c r="E852" s="110"/>
      <c r="F852" s="344"/>
      <c r="G852" s="110"/>
      <c r="H852" s="110"/>
      <c r="I852" s="410"/>
      <c r="J852" s="110"/>
      <c r="K852" s="110"/>
      <c r="L852" s="110"/>
      <c r="M852" s="110"/>
      <c r="N852" s="110"/>
      <c r="O852" s="329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</row>
    <row r="853" spans="1:27" ht="15.75" customHeight="1">
      <c r="A853" s="110"/>
      <c r="B853" s="110"/>
      <c r="C853" s="110"/>
      <c r="D853" s="110"/>
      <c r="E853" s="110"/>
      <c r="F853" s="344"/>
      <c r="G853" s="110"/>
      <c r="H853" s="110"/>
      <c r="I853" s="410"/>
      <c r="J853" s="110"/>
      <c r="K853" s="110"/>
      <c r="L853" s="110"/>
      <c r="M853" s="110"/>
      <c r="N853" s="110"/>
      <c r="O853" s="329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spans="1:27" ht="15.75" customHeight="1">
      <c r="A854" s="110"/>
      <c r="B854" s="110"/>
      <c r="C854" s="110"/>
      <c r="D854" s="110"/>
      <c r="E854" s="110"/>
      <c r="F854" s="344"/>
      <c r="G854" s="110"/>
      <c r="H854" s="110"/>
      <c r="I854" s="410"/>
      <c r="J854" s="110"/>
      <c r="K854" s="110"/>
      <c r="L854" s="110"/>
      <c r="M854" s="110"/>
      <c r="N854" s="110"/>
      <c r="O854" s="329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</row>
    <row r="855" spans="1:27" ht="15.75" customHeight="1">
      <c r="A855" s="110"/>
      <c r="B855" s="110"/>
      <c r="C855" s="110"/>
      <c r="D855" s="110"/>
      <c r="E855" s="110"/>
      <c r="F855" s="344"/>
      <c r="G855" s="110"/>
      <c r="H855" s="110"/>
      <c r="I855" s="410"/>
      <c r="J855" s="110"/>
      <c r="K855" s="110"/>
      <c r="L855" s="110"/>
      <c r="M855" s="110"/>
      <c r="N855" s="110"/>
      <c r="O855" s="329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spans="1:27" ht="15.75" customHeight="1">
      <c r="A856" s="110"/>
      <c r="B856" s="110"/>
      <c r="C856" s="110"/>
      <c r="D856" s="110"/>
      <c r="E856" s="110"/>
      <c r="F856" s="344"/>
      <c r="G856" s="110"/>
      <c r="H856" s="110"/>
      <c r="I856" s="410"/>
      <c r="J856" s="110"/>
      <c r="K856" s="110"/>
      <c r="L856" s="110"/>
      <c r="M856" s="110"/>
      <c r="N856" s="110"/>
      <c r="O856" s="329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</row>
    <row r="857" spans="1:27" ht="15.75" customHeight="1">
      <c r="A857" s="110"/>
      <c r="B857" s="110"/>
      <c r="C857" s="110"/>
      <c r="D857" s="110"/>
      <c r="E857" s="110"/>
      <c r="F857" s="344"/>
      <c r="G857" s="110"/>
      <c r="H857" s="110"/>
      <c r="I857" s="410"/>
      <c r="J857" s="110"/>
      <c r="K857" s="110"/>
      <c r="L857" s="110"/>
      <c r="M857" s="110"/>
      <c r="N857" s="110"/>
      <c r="O857" s="329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spans="1:27" ht="15.75" customHeight="1">
      <c r="A858" s="110"/>
      <c r="B858" s="110"/>
      <c r="C858" s="110"/>
      <c r="D858" s="110"/>
      <c r="E858" s="110"/>
      <c r="F858" s="344"/>
      <c r="G858" s="110"/>
      <c r="H858" s="110"/>
      <c r="I858" s="410"/>
      <c r="J858" s="110"/>
      <c r="K858" s="110"/>
      <c r="L858" s="110"/>
      <c r="M858" s="110"/>
      <c r="N858" s="110"/>
      <c r="O858" s="329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</row>
    <row r="859" spans="1:27" ht="15.75" customHeight="1">
      <c r="A859" s="110"/>
      <c r="B859" s="110"/>
      <c r="C859" s="110"/>
      <c r="D859" s="110"/>
      <c r="E859" s="110"/>
      <c r="F859" s="344"/>
      <c r="G859" s="110"/>
      <c r="H859" s="110"/>
      <c r="I859" s="410"/>
      <c r="J859" s="110"/>
      <c r="K859" s="110"/>
      <c r="L859" s="110"/>
      <c r="M859" s="110"/>
      <c r="N859" s="110"/>
      <c r="O859" s="329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spans="1:27" ht="15.75" customHeight="1">
      <c r="A860" s="110"/>
      <c r="B860" s="110"/>
      <c r="C860" s="110"/>
      <c r="D860" s="110"/>
      <c r="E860" s="110"/>
      <c r="F860" s="344"/>
      <c r="G860" s="110"/>
      <c r="H860" s="110"/>
      <c r="I860" s="410"/>
      <c r="J860" s="110"/>
      <c r="K860" s="110"/>
      <c r="L860" s="110"/>
      <c r="M860" s="110"/>
      <c r="N860" s="110"/>
      <c r="O860" s="329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</row>
    <row r="861" spans="1:27" ht="15.75" customHeight="1">
      <c r="A861" s="110"/>
      <c r="B861" s="110"/>
      <c r="C861" s="110"/>
      <c r="D861" s="110"/>
      <c r="E861" s="110"/>
      <c r="F861" s="344"/>
      <c r="G861" s="110"/>
      <c r="H861" s="110"/>
      <c r="I861" s="410"/>
      <c r="J861" s="110"/>
      <c r="K861" s="110"/>
      <c r="L861" s="110"/>
      <c r="M861" s="110"/>
      <c r="N861" s="110"/>
      <c r="O861" s="329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spans="1:27" ht="15.75" customHeight="1">
      <c r="A862" s="110"/>
      <c r="B862" s="110"/>
      <c r="C862" s="110"/>
      <c r="D862" s="110"/>
      <c r="E862" s="110"/>
      <c r="F862" s="344"/>
      <c r="G862" s="110"/>
      <c r="H862" s="110"/>
      <c r="I862" s="410"/>
      <c r="J862" s="110"/>
      <c r="K862" s="110"/>
      <c r="L862" s="110"/>
      <c r="M862" s="110"/>
      <c r="N862" s="110"/>
      <c r="O862" s="329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</row>
    <row r="863" spans="1:27" ht="15.75" customHeight="1">
      <c r="A863" s="110"/>
      <c r="B863" s="110"/>
      <c r="C863" s="110"/>
      <c r="D863" s="110"/>
      <c r="E863" s="110"/>
      <c r="F863" s="344"/>
      <c r="G863" s="110"/>
      <c r="H863" s="110"/>
      <c r="I863" s="410"/>
      <c r="J863" s="110"/>
      <c r="K863" s="110"/>
      <c r="L863" s="110"/>
      <c r="M863" s="110"/>
      <c r="N863" s="110"/>
      <c r="O863" s="329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spans="1:27" ht="15.75" customHeight="1">
      <c r="A864" s="110"/>
      <c r="B864" s="110"/>
      <c r="C864" s="110"/>
      <c r="D864" s="110"/>
      <c r="E864" s="110"/>
      <c r="F864" s="344"/>
      <c r="G864" s="110"/>
      <c r="H864" s="110"/>
      <c r="I864" s="410"/>
      <c r="J864" s="110"/>
      <c r="K864" s="110"/>
      <c r="L864" s="110"/>
      <c r="M864" s="110"/>
      <c r="N864" s="110"/>
      <c r="O864" s="329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</row>
    <row r="865" spans="1:27" ht="15.75" customHeight="1">
      <c r="A865" s="110"/>
      <c r="B865" s="110"/>
      <c r="C865" s="110"/>
      <c r="D865" s="110"/>
      <c r="E865" s="110"/>
      <c r="F865" s="344"/>
      <c r="G865" s="110"/>
      <c r="H865" s="110"/>
      <c r="I865" s="410"/>
      <c r="J865" s="110"/>
      <c r="K865" s="110"/>
      <c r="L865" s="110"/>
      <c r="M865" s="110"/>
      <c r="N865" s="110"/>
      <c r="O865" s="329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spans="1:27" ht="15.75" customHeight="1">
      <c r="A866" s="110"/>
      <c r="B866" s="110"/>
      <c r="C866" s="110"/>
      <c r="D866" s="110"/>
      <c r="E866" s="110"/>
      <c r="F866" s="344"/>
      <c r="G866" s="110"/>
      <c r="H866" s="110"/>
      <c r="I866" s="410"/>
      <c r="J866" s="110"/>
      <c r="K866" s="110"/>
      <c r="L866" s="110"/>
      <c r="M866" s="110"/>
      <c r="N866" s="110"/>
      <c r="O866" s="329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</row>
    <row r="867" spans="1:27" ht="15.75" customHeight="1">
      <c r="A867" s="110"/>
      <c r="B867" s="110"/>
      <c r="C867" s="110"/>
      <c r="D867" s="110"/>
      <c r="E867" s="110"/>
      <c r="F867" s="344"/>
      <c r="G867" s="110"/>
      <c r="H867" s="110"/>
      <c r="I867" s="410"/>
      <c r="J867" s="110"/>
      <c r="K867" s="110"/>
      <c r="L867" s="110"/>
      <c r="M867" s="110"/>
      <c r="N867" s="110"/>
      <c r="O867" s="329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spans="1:27" ht="15.75" customHeight="1">
      <c r="A868" s="110"/>
      <c r="B868" s="110"/>
      <c r="C868" s="110"/>
      <c r="D868" s="110"/>
      <c r="E868" s="110"/>
      <c r="F868" s="344"/>
      <c r="G868" s="110"/>
      <c r="H868" s="110"/>
      <c r="I868" s="410"/>
      <c r="J868" s="110"/>
      <c r="K868" s="110"/>
      <c r="L868" s="110"/>
      <c r="M868" s="110"/>
      <c r="N868" s="110"/>
      <c r="O868" s="329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</row>
    <row r="869" spans="1:27" ht="15.75" customHeight="1">
      <c r="A869" s="110"/>
      <c r="B869" s="110"/>
      <c r="C869" s="110"/>
      <c r="D869" s="110"/>
      <c r="E869" s="110"/>
      <c r="F869" s="344"/>
      <c r="G869" s="110"/>
      <c r="H869" s="110"/>
      <c r="I869" s="410"/>
      <c r="J869" s="110"/>
      <c r="K869" s="110"/>
      <c r="L869" s="110"/>
      <c r="M869" s="110"/>
      <c r="N869" s="110"/>
      <c r="O869" s="329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spans="1:27" ht="15.75" customHeight="1">
      <c r="A870" s="110"/>
      <c r="B870" s="110"/>
      <c r="C870" s="110"/>
      <c r="D870" s="110"/>
      <c r="E870" s="110"/>
      <c r="F870" s="344"/>
      <c r="G870" s="110"/>
      <c r="H870" s="110"/>
      <c r="I870" s="410"/>
      <c r="J870" s="110"/>
      <c r="K870" s="110"/>
      <c r="L870" s="110"/>
      <c r="M870" s="110"/>
      <c r="N870" s="110"/>
      <c r="O870" s="329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</row>
    <row r="871" spans="1:27" ht="15.75" customHeight="1">
      <c r="A871" s="110"/>
      <c r="B871" s="110"/>
      <c r="C871" s="110"/>
      <c r="D871" s="110"/>
      <c r="E871" s="110"/>
      <c r="F871" s="344"/>
      <c r="G871" s="110"/>
      <c r="H871" s="110"/>
      <c r="I871" s="410"/>
      <c r="J871" s="110"/>
      <c r="K871" s="110"/>
      <c r="L871" s="110"/>
      <c r="M871" s="110"/>
      <c r="N871" s="110"/>
      <c r="O871" s="329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spans="1:27" ht="15.75" customHeight="1">
      <c r="A872" s="110"/>
      <c r="B872" s="110"/>
      <c r="C872" s="110"/>
      <c r="D872" s="110"/>
      <c r="E872" s="110"/>
      <c r="F872" s="344"/>
      <c r="G872" s="110"/>
      <c r="H872" s="110"/>
      <c r="I872" s="410"/>
      <c r="J872" s="110"/>
      <c r="K872" s="110"/>
      <c r="L872" s="110"/>
      <c r="M872" s="110"/>
      <c r="N872" s="110"/>
      <c r="O872" s="329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</row>
    <row r="873" spans="1:27" ht="15.75" customHeight="1">
      <c r="A873" s="110"/>
      <c r="B873" s="110"/>
      <c r="C873" s="110"/>
      <c r="D873" s="110"/>
      <c r="E873" s="110"/>
      <c r="F873" s="344"/>
      <c r="G873" s="110"/>
      <c r="H873" s="110"/>
      <c r="I873" s="410"/>
      <c r="J873" s="110"/>
      <c r="K873" s="110"/>
      <c r="L873" s="110"/>
      <c r="M873" s="110"/>
      <c r="N873" s="110"/>
      <c r="O873" s="329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spans="1:27" ht="15.75" customHeight="1">
      <c r="A874" s="110"/>
      <c r="B874" s="110"/>
      <c r="C874" s="110"/>
      <c r="D874" s="110"/>
      <c r="E874" s="110"/>
      <c r="F874" s="344"/>
      <c r="G874" s="110"/>
      <c r="H874" s="110"/>
      <c r="I874" s="410"/>
      <c r="J874" s="110"/>
      <c r="K874" s="110"/>
      <c r="L874" s="110"/>
      <c r="M874" s="110"/>
      <c r="N874" s="110"/>
      <c r="O874" s="329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</row>
    <row r="875" spans="1:27" ht="15.75" customHeight="1">
      <c r="A875" s="110"/>
      <c r="B875" s="110"/>
      <c r="C875" s="110"/>
      <c r="D875" s="110"/>
      <c r="E875" s="110"/>
      <c r="F875" s="344"/>
      <c r="G875" s="110"/>
      <c r="H875" s="110"/>
      <c r="I875" s="410"/>
      <c r="J875" s="110"/>
      <c r="K875" s="110"/>
      <c r="L875" s="110"/>
      <c r="M875" s="110"/>
      <c r="N875" s="110"/>
      <c r="O875" s="329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spans="1:27" ht="15.75" customHeight="1">
      <c r="A876" s="110"/>
      <c r="B876" s="110"/>
      <c r="C876" s="110"/>
      <c r="D876" s="110"/>
      <c r="E876" s="110"/>
      <c r="F876" s="344"/>
      <c r="G876" s="110"/>
      <c r="H876" s="110"/>
      <c r="I876" s="410"/>
      <c r="J876" s="110"/>
      <c r="K876" s="110"/>
      <c r="L876" s="110"/>
      <c r="M876" s="110"/>
      <c r="N876" s="110"/>
      <c r="O876" s="329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</row>
    <row r="877" spans="1:27" ht="15.75" customHeight="1">
      <c r="A877" s="110"/>
      <c r="B877" s="110"/>
      <c r="C877" s="110"/>
      <c r="D877" s="110"/>
      <c r="E877" s="110"/>
      <c r="F877" s="344"/>
      <c r="G877" s="110"/>
      <c r="H877" s="110"/>
      <c r="I877" s="410"/>
      <c r="J877" s="110"/>
      <c r="K877" s="110"/>
      <c r="L877" s="110"/>
      <c r="M877" s="110"/>
      <c r="N877" s="110"/>
      <c r="O877" s="329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spans="1:27" ht="15.75" customHeight="1">
      <c r="A878" s="110"/>
      <c r="B878" s="110"/>
      <c r="C878" s="110"/>
      <c r="D878" s="110"/>
      <c r="E878" s="110"/>
      <c r="F878" s="344"/>
      <c r="G878" s="110"/>
      <c r="H878" s="110"/>
      <c r="I878" s="410"/>
      <c r="J878" s="110"/>
      <c r="K878" s="110"/>
      <c r="L878" s="110"/>
      <c r="M878" s="110"/>
      <c r="N878" s="110"/>
      <c r="O878" s="329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</row>
    <row r="879" spans="1:27" ht="15.75" customHeight="1">
      <c r="A879" s="110"/>
      <c r="B879" s="110"/>
      <c r="C879" s="110"/>
      <c r="D879" s="110"/>
      <c r="E879" s="110"/>
      <c r="F879" s="344"/>
      <c r="G879" s="110"/>
      <c r="H879" s="110"/>
      <c r="I879" s="410"/>
      <c r="J879" s="110"/>
      <c r="K879" s="110"/>
      <c r="L879" s="110"/>
      <c r="M879" s="110"/>
      <c r="N879" s="110"/>
      <c r="O879" s="329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spans="1:27" ht="15.75" customHeight="1">
      <c r="A880" s="110"/>
      <c r="B880" s="110"/>
      <c r="C880" s="110"/>
      <c r="D880" s="110"/>
      <c r="E880" s="110"/>
      <c r="F880" s="344"/>
      <c r="G880" s="110"/>
      <c r="H880" s="110"/>
      <c r="I880" s="410"/>
      <c r="J880" s="110"/>
      <c r="K880" s="110"/>
      <c r="L880" s="110"/>
      <c r="M880" s="110"/>
      <c r="N880" s="110"/>
      <c r="O880" s="329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</row>
    <row r="881" spans="1:27" ht="15.75" customHeight="1">
      <c r="A881" s="110"/>
      <c r="B881" s="110"/>
      <c r="C881" s="110"/>
      <c r="D881" s="110"/>
      <c r="E881" s="110"/>
      <c r="F881" s="344"/>
      <c r="G881" s="110"/>
      <c r="H881" s="110"/>
      <c r="I881" s="410"/>
      <c r="J881" s="110"/>
      <c r="K881" s="110"/>
      <c r="L881" s="110"/>
      <c r="M881" s="110"/>
      <c r="N881" s="110"/>
      <c r="O881" s="329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spans="1:27" ht="15.75" customHeight="1">
      <c r="A882" s="110"/>
      <c r="B882" s="110"/>
      <c r="C882" s="110"/>
      <c r="D882" s="110"/>
      <c r="E882" s="110"/>
      <c r="F882" s="344"/>
      <c r="G882" s="110"/>
      <c r="H882" s="110"/>
      <c r="I882" s="410"/>
      <c r="J882" s="110"/>
      <c r="K882" s="110"/>
      <c r="L882" s="110"/>
      <c r="M882" s="110"/>
      <c r="N882" s="110"/>
      <c r="O882" s="329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</row>
    <row r="883" spans="1:27" ht="15.75" customHeight="1">
      <c r="A883" s="110"/>
      <c r="B883" s="110"/>
      <c r="C883" s="110"/>
      <c r="D883" s="110"/>
      <c r="E883" s="110"/>
      <c r="F883" s="344"/>
      <c r="G883" s="110"/>
      <c r="H883" s="110"/>
      <c r="I883" s="410"/>
      <c r="J883" s="110"/>
      <c r="K883" s="110"/>
      <c r="L883" s="110"/>
      <c r="M883" s="110"/>
      <c r="N883" s="110"/>
      <c r="O883" s="329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spans="1:27" ht="15.75" customHeight="1">
      <c r="A884" s="110"/>
      <c r="B884" s="110"/>
      <c r="C884" s="110"/>
      <c r="D884" s="110"/>
      <c r="E884" s="110"/>
      <c r="F884" s="344"/>
      <c r="G884" s="110"/>
      <c r="H884" s="110"/>
      <c r="I884" s="410"/>
      <c r="J884" s="110"/>
      <c r="K884" s="110"/>
      <c r="L884" s="110"/>
      <c r="M884" s="110"/>
      <c r="N884" s="110"/>
      <c r="O884" s="329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</row>
    <row r="885" spans="1:27" ht="15.75" customHeight="1">
      <c r="A885" s="110"/>
      <c r="B885" s="110"/>
      <c r="C885" s="110"/>
      <c r="D885" s="110"/>
      <c r="E885" s="110"/>
      <c r="F885" s="344"/>
      <c r="G885" s="110"/>
      <c r="H885" s="110"/>
      <c r="I885" s="410"/>
      <c r="J885" s="110"/>
      <c r="K885" s="110"/>
      <c r="L885" s="110"/>
      <c r="M885" s="110"/>
      <c r="N885" s="110"/>
      <c r="O885" s="329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spans="1:27" ht="15.75" customHeight="1">
      <c r="A886" s="110"/>
      <c r="B886" s="110"/>
      <c r="C886" s="110"/>
      <c r="D886" s="110"/>
      <c r="E886" s="110"/>
      <c r="F886" s="344"/>
      <c r="G886" s="110"/>
      <c r="H886" s="110"/>
      <c r="I886" s="410"/>
      <c r="J886" s="110"/>
      <c r="K886" s="110"/>
      <c r="L886" s="110"/>
      <c r="M886" s="110"/>
      <c r="N886" s="110"/>
      <c r="O886" s="329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</row>
    <row r="887" spans="1:27" ht="15.75" customHeight="1">
      <c r="A887" s="110"/>
      <c r="B887" s="110"/>
      <c r="C887" s="110"/>
      <c r="D887" s="110"/>
      <c r="E887" s="110"/>
      <c r="F887" s="344"/>
      <c r="G887" s="110"/>
      <c r="H887" s="110"/>
      <c r="I887" s="410"/>
      <c r="J887" s="110"/>
      <c r="K887" s="110"/>
      <c r="L887" s="110"/>
      <c r="M887" s="110"/>
      <c r="N887" s="110"/>
      <c r="O887" s="329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spans="1:27" ht="15.75" customHeight="1">
      <c r="A888" s="110"/>
      <c r="B888" s="110"/>
      <c r="C888" s="110"/>
      <c r="D888" s="110"/>
      <c r="E888" s="110"/>
      <c r="F888" s="344"/>
      <c r="G888" s="110"/>
      <c r="H888" s="110"/>
      <c r="I888" s="410"/>
      <c r="J888" s="110"/>
      <c r="K888" s="110"/>
      <c r="L888" s="110"/>
      <c r="M888" s="110"/>
      <c r="N888" s="110"/>
      <c r="O888" s="329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</row>
    <row r="889" spans="1:27" ht="15.75" customHeight="1">
      <c r="A889" s="110"/>
      <c r="B889" s="110"/>
      <c r="C889" s="110"/>
      <c r="D889" s="110"/>
      <c r="E889" s="110"/>
      <c r="F889" s="344"/>
      <c r="G889" s="110"/>
      <c r="H889" s="110"/>
      <c r="I889" s="410"/>
      <c r="J889" s="110"/>
      <c r="K889" s="110"/>
      <c r="L889" s="110"/>
      <c r="M889" s="110"/>
      <c r="N889" s="110"/>
      <c r="O889" s="329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spans="1:27" ht="15.75" customHeight="1">
      <c r="A890" s="110"/>
      <c r="B890" s="110"/>
      <c r="C890" s="110"/>
      <c r="D890" s="110"/>
      <c r="E890" s="110"/>
      <c r="F890" s="344"/>
      <c r="G890" s="110"/>
      <c r="H890" s="110"/>
      <c r="I890" s="410"/>
      <c r="J890" s="110"/>
      <c r="K890" s="110"/>
      <c r="L890" s="110"/>
      <c r="M890" s="110"/>
      <c r="N890" s="110"/>
      <c r="O890" s="329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</row>
    <row r="891" spans="1:27" ht="15.75" customHeight="1">
      <c r="A891" s="110"/>
      <c r="B891" s="110"/>
      <c r="C891" s="110"/>
      <c r="D891" s="110"/>
      <c r="E891" s="110"/>
      <c r="F891" s="344"/>
      <c r="G891" s="110"/>
      <c r="H891" s="110"/>
      <c r="I891" s="410"/>
      <c r="J891" s="110"/>
      <c r="K891" s="110"/>
      <c r="L891" s="110"/>
      <c r="M891" s="110"/>
      <c r="N891" s="110"/>
      <c r="O891" s="329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spans="1:27" ht="15.75" customHeight="1">
      <c r="A892" s="110"/>
      <c r="B892" s="110"/>
      <c r="C892" s="110"/>
      <c r="D892" s="110"/>
      <c r="E892" s="110"/>
      <c r="F892" s="344"/>
      <c r="G892" s="110"/>
      <c r="H892" s="110"/>
      <c r="I892" s="410"/>
      <c r="J892" s="110"/>
      <c r="K892" s="110"/>
      <c r="L892" s="110"/>
      <c r="M892" s="110"/>
      <c r="N892" s="110"/>
      <c r="O892" s="329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</row>
    <row r="893" spans="1:27" ht="15.75" customHeight="1">
      <c r="A893" s="110"/>
      <c r="B893" s="110"/>
      <c r="C893" s="110"/>
      <c r="D893" s="110"/>
      <c r="E893" s="110"/>
      <c r="F893" s="344"/>
      <c r="G893" s="110"/>
      <c r="H893" s="110"/>
      <c r="I893" s="410"/>
      <c r="J893" s="110"/>
      <c r="K893" s="110"/>
      <c r="L893" s="110"/>
      <c r="M893" s="110"/>
      <c r="N893" s="110"/>
      <c r="O893" s="329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spans="1:27" ht="15.75" customHeight="1">
      <c r="A894" s="110"/>
      <c r="B894" s="110"/>
      <c r="C894" s="110"/>
      <c r="D894" s="110"/>
      <c r="E894" s="110"/>
      <c r="F894" s="344"/>
      <c r="G894" s="110"/>
      <c r="H894" s="110"/>
      <c r="I894" s="410"/>
      <c r="J894" s="110"/>
      <c r="K894" s="110"/>
      <c r="L894" s="110"/>
      <c r="M894" s="110"/>
      <c r="N894" s="110"/>
      <c r="O894" s="329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</row>
    <row r="895" spans="1:27" ht="15.75" customHeight="1">
      <c r="A895" s="110"/>
      <c r="B895" s="110"/>
      <c r="C895" s="110"/>
      <c r="D895" s="110"/>
      <c r="E895" s="110"/>
      <c r="F895" s="344"/>
      <c r="G895" s="110"/>
      <c r="H895" s="110"/>
      <c r="I895" s="410"/>
      <c r="J895" s="110"/>
      <c r="K895" s="110"/>
      <c r="L895" s="110"/>
      <c r="M895" s="110"/>
      <c r="N895" s="110"/>
      <c r="O895" s="329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spans="1:27" ht="15.75" customHeight="1">
      <c r="A896" s="110"/>
      <c r="B896" s="110"/>
      <c r="C896" s="110"/>
      <c r="D896" s="110"/>
      <c r="E896" s="110"/>
      <c r="F896" s="344"/>
      <c r="G896" s="110"/>
      <c r="H896" s="110"/>
      <c r="I896" s="410"/>
      <c r="J896" s="110"/>
      <c r="K896" s="110"/>
      <c r="L896" s="110"/>
      <c r="M896" s="110"/>
      <c r="N896" s="110"/>
      <c r="O896" s="329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</row>
    <row r="897" spans="1:27" ht="15.75" customHeight="1">
      <c r="A897" s="110"/>
      <c r="B897" s="110"/>
      <c r="C897" s="110"/>
      <c r="D897" s="110"/>
      <c r="E897" s="110"/>
      <c r="F897" s="344"/>
      <c r="G897" s="110"/>
      <c r="H897" s="110"/>
      <c r="I897" s="410"/>
      <c r="J897" s="110"/>
      <c r="K897" s="110"/>
      <c r="L897" s="110"/>
      <c r="M897" s="110"/>
      <c r="N897" s="110"/>
      <c r="O897" s="329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spans="1:27" ht="15.75" customHeight="1">
      <c r="A898" s="110"/>
      <c r="B898" s="110"/>
      <c r="C898" s="110"/>
      <c r="D898" s="110"/>
      <c r="E898" s="110"/>
      <c r="F898" s="344"/>
      <c r="G898" s="110"/>
      <c r="H898" s="110"/>
      <c r="I898" s="410"/>
      <c r="J898" s="110"/>
      <c r="K898" s="110"/>
      <c r="L898" s="110"/>
      <c r="M898" s="110"/>
      <c r="N898" s="110"/>
      <c r="O898" s="329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</row>
    <row r="899" spans="1:27" ht="15.75" customHeight="1">
      <c r="A899" s="110"/>
      <c r="B899" s="110"/>
      <c r="C899" s="110"/>
      <c r="D899" s="110"/>
      <c r="E899" s="110"/>
      <c r="F899" s="344"/>
      <c r="G899" s="110"/>
      <c r="H899" s="110"/>
      <c r="I899" s="410"/>
      <c r="J899" s="110"/>
      <c r="K899" s="110"/>
      <c r="L899" s="110"/>
      <c r="M899" s="110"/>
      <c r="N899" s="110"/>
      <c r="O899" s="329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spans="1:27" ht="15.75" customHeight="1">
      <c r="A900" s="110"/>
      <c r="B900" s="110"/>
      <c r="C900" s="110"/>
      <c r="D900" s="110"/>
      <c r="E900" s="110"/>
      <c r="F900" s="344"/>
      <c r="G900" s="110"/>
      <c r="H900" s="110"/>
      <c r="I900" s="410"/>
      <c r="J900" s="110"/>
      <c r="K900" s="110"/>
      <c r="L900" s="110"/>
      <c r="M900" s="110"/>
      <c r="N900" s="110"/>
      <c r="O900" s="329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</row>
    <row r="901" spans="1:27" ht="15.75" customHeight="1">
      <c r="A901" s="110"/>
      <c r="B901" s="110"/>
      <c r="C901" s="110"/>
      <c r="D901" s="110"/>
      <c r="E901" s="110"/>
      <c r="F901" s="344"/>
      <c r="G901" s="110"/>
      <c r="H901" s="110"/>
      <c r="I901" s="410"/>
      <c r="J901" s="110"/>
      <c r="K901" s="110"/>
      <c r="L901" s="110"/>
      <c r="M901" s="110"/>
      <c r="N901" s="110"/>
      <c r="O901" s="329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spans="1:27" ht="15.75" customHeight="1">
      <c r="A902" s="110"/>
      <c r="B902" s="110"/>
      <c r="C902" s="110"/>
      <c r="D902" s="110"/>
      <c r="E902" s="110"/>
      <c r="F902" s="344"/>
      <c r="G902" s="110"/>
      <c r="H902" s="110"/>
      <c r="I902" s="410"/>
      <c r="J902" s="110"/>
      <c r="K902" s="110"/>
      <c r="L902" s="110"/>
      <c r="M902" s="110"/>
      <c r="N902" s="110"/>
      <c r="O902" s="329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</row>
    <row r="903" spans="1:27" ht="15.75" customHeight="1">
      <c r="A903" s="110"/>
      <c r="B903" s="110"/>
      <c r="C903" s="110"/>
      <c r="D903" s="110"/>
      <c r="E903" s="110"/>
      <c r="F903" s="344"/>
      <c r="G903" s="110"/>
      <c r="H903" s="110"/>
      <c r="I903" s="410"/>
      <c r="J903" s="110"/>
      <c r="K903" s="110"/>
      <c r="L903" s="110"/>
      <c r="M903" s="110"/>
      <c r="N903" s="110"/>
      <c r="O903" s="329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spans="1:27" ht="15.75" customHeight="1">
      <c r="A904" s="110"/>
      <c r="B904" s="110"/>
      <c r="C904" s="110"/>
      <c r="D904" s="110"/>
      <c r="E904" s="110"/>
      <c r="F904" s="344"/>
      <c r="G904" s="110"/>
      <c r="H904" s="110"/>
      <c r="I904" s="410"/>
      <c r="J904" s="110"/>
      <c r="K904" s="110"/>
      <c r="L904" s="110"/>
      <c r="M904" s="110"/>
      <c r="N904" s="110"/>
      <c r="O904" s="329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</row>
    <row r="905" spans="1:27" ht="15.75" customHeight="1">
      <c r="A905" s="110"/>
      <c r="B905" s="110"/>
      <c r="C905" s="110"/>
      <c r="D905" s="110"/>
      <c r="E905" s="110"/>
      <c r="F905" s="344"/>
      <c r="G905" s="110"/>
      <c r="H905" s="110"/>
      <c r="I905" s="410"/>
      <c r="J905" s="110"/>
      <c r="K905" s="110"/>
      <c r="L905" s="110"/>
      <c r="M905" s="110"/>
      <c r="N905" s="110"/>
      <c r="O905" s="329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spans="1:27" ht="15.75" customHeight="1">
      <c r="A906" s="110"/>
      <c r="B906" s="110"/>
      <c r="C906" s="110"/>
      <c r="D906" s="110"/>
      <c r="E906" s="110"/>
      <c r="F906" s="344"/>
      <c r="G906" s="110"/>
      <c r="H906" s="110"/>
      <c r="I906" s="410"/>
      <c r="J906" s="110"/>
      <c r="K906" s="110"/>
      <c r="L906" s="110"/>
      <c r="M906" s="110"/>
      <c r="N906" s="110"/>
      <c r="O906" s="329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</row>
    <row r="907" spans="1:27" ht="15.75" customHeight="1">
      <c r="A907" s="110"/>
      <c r="B907" s="110"/>
      <c r="C907" s="110"/>
      <c r="D907" s="110"/>
      <c r="E907" s="110"/>
      <c r="F907" s="344"/>
      <c r="G907" s="110"/>
      <c r="H907" s="110"/>
      <c r="I907" s="410"/>
      <c r="J907" s="110"/>
      <c r="K907" s="110"/>
      <c r="L907" s="110"/>
      <c r="M907" s="110"/>
      <c r="N907" s="110"/>
      <c r="O907" s="329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spans="1:27" ht="15.75" customHeight="1">
      <c r="A908" s="110"/>
      <c r="B908" s="110"/>
      <c r="C908" s="110"/>
      <c r="D908" s="110"/>
      <c r="E908" s="110"/>
      <c r="F908" s="344"/>
      <c r="G908" s="110"/>
      <c r="H908" s="110"/>
      <c r="I908" s="410"/>
      <c r="J908" s="110"/>
      <c r="K908" s="110"/>
      <c r="L908" s="110"/>
      <c r="M908" s="110"/>
      <c r="N908" s="110"/>
      <c r="O908" s="329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</row>
    <row r="909" spans="1:27" ht="15.75" customHeight="1">
      <c r="A909" s="110"/>
      <c r="B909" s="110"/>
      <c r="C909" s="110"/>
      <c r="D909" s="110"/>
      <c r="E909" s="110"/>
      <c r="F909" s="344"/>
      <c r="G909" s="110"/>
      <c r="H909" s="110"/>
      <c r="I909" s="410"/>
      <c r="J909" s="110"/>
      <c r="K909" s="110"/>
      <c r="L909" s="110"/>
      <c r="M909" s="110"/>
      <c r="N909" s="110"/>
      <c r="O909" s="329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spans="1:27" ht="15.75" customHeight="1">
      <c r="A910" s="110"/>
      <c r="B910" s="110"/>
      <c r="C910" s="110"/>
      <c r="D910" s="110"/>
      <c r="E910" s="110"/>
      <c r="F910" s="344"/>
      <c r="G910" s="110"/>
      <c r="H910" s="110"/>
      <c r="I910" s="410"/>
      <c r="J910" s="110"/>
      <c r="K910" s="110"/>
      <c r="L910" s="110"/>
      <c r="M910" s="110"/>
      <c r="N910" s="110"/>
      <c r="O910" s="329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</row>
    <row r="911" spans="1:27" ht="15.75" customHeight="1">
      <c r="A911" s="110"/>
      <c r="B911" s="110"/>
      <c r="C911" s="110"/>
      <c r="D911" s="110"/>
      <c r="E911" s="110"/>
      <c r="F911" s="344"/>
      <c r="G911" s="110"/>
      <c r="H911" s="110"/>
      <c r="I911" s="410"/>
      <c r="J911" s="110"/>
      <c r="K911" s="110"/>
      <c r="L911" s="110"/>
      <c r="M911" s="110"/>
      <c r="N911" s="110"/>
      <c r="O911" s="329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spans="1:27" ht="15.75" customHeight="1">
      <c r="A912" s="110"/>
      <c r="B912" s="110"/>
      <c r="C912" s="110"/>
      <c r="D912" s="110"/>
      <c r="E912" s="110"/>
      <c r="F912" s="344"/>
      <c r="G912" s="110"/>
      <c r="H912" s="110"/>
      <c r="I912" s="410"/>
      <c r="J912" s="110"/>
      <c r="K912" s="110"/>
      <c r="L912" s="110"/>
      <c r="M912" s="110"/>
      <c r="N912" s="110"/>
      <c r="O912" s="329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</row>
    <row r="913" spans="1:27" ht="15.75" customHeight="1">
      <c r="A913" s="110"/>
      <c r="B913" s="110"/>
      <c r="C913" s="110"/>
      <c r="D913" s="110"/>
      <c r="E913" s="110"/>
      <c r="F913" s="344"/>
      <c r="G913" s="110"/>
      <c r="H913" s="110"/>
      <c r="I913" s="410"/>
      <c r="J913" s="110"/>
      <c r="K913" s="110"/>
      <c r="L913" s="110"/>
      <c r="M913" s="110"/>
      <c r="N913" s="110"/>
      <c r="O913" s="329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spans="1:27" ht="15.75" customHeight="1">
      <c r="A914" s="110"/>
      <c r="B914" s="110"/>
      <c r="C914" s="110"/>
      <c r="D914" s="110"/>
      <c r="E914" s="110"/>
      <c r="F914" s="344"/>
      <c r="G914" s="110"/>
      <c r="H914" s="110"/>
      <c r="I914" s="410"/>
      <c r="J914" s="110"/>
      <c r="K914" s="110"/>
      <c r="L914" s="110"/>
      <c r="M914" s="110"/>
      <c r="N914" s="110"/>
      <c r="O914" s="329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</row>
    <row r="915" spans="1:27" ht="15.75" customHeight="1">
      <c r="A915" s="110"/>
      <c r="B915" s="110"/>
      <c r="C915" s="110"/>
      <c r="D915" s="110"/>
      <c r="E915" s="110"/>
      <c r="F915" s="344"/>
      <c r="G915" s="110"/>
      <c r="H915" s="110"/>
      <c r="I915" s="410"/>
      <c r="J915" s="110"/>
      <c r="K915" s="110"/>
      <c r="L915" s="110"/>
      <c r="M915" s="110"/>
      <c r="N915" s="110"/>
      <c r="O915" s="329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spans="1:27" ht="15.75" customHeight="1">
      <c r="A916" s="110"/>
      <c r="B916" s="110"/>
      <c r="C916" s="110"/>
      <c r="D916" s="110"/>
      <c r="E916" s="110"/>
      <c r="F916" s="344"/>
      <c r="G916" s="110"/>
      <c r="H916" s="110"/>
      <c r="I916" s="410"/>
      <c r="J916" s="110"/>
      <c r="K916" s="110"/>
      <c r="L916" s="110"/>
      <c r="M916" s="110"/>
      <c r="N916" s="110"/>
      <c r="O916" s="329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</row>
    <row r="917" spans="1:27" ht="15.75" customHeight="1">
      <c r="A917" s="110"/>
      <c r="B917" s="110"/>
      <c r="C917" s="110"/>
      <c r="D917" s="110"/>
      <c r="E917" s="110"/>
      <c r="F917" s="344"/>
      <c r="G917" s="110"/>
      <c r="H917" s="110"/>
      <c r="I917" s="410"/>
      <c r="J917" s="110"/>
      <c r="K917" s="110"/>
      <c r="L917" s="110"/>
      <c r="M917" s="110"/>
      <c r="N917" s="110"/>
      <c r="O917" s="329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spans="1:27" ht="15.75" customHeight="1">
      <c r="A918" s="110"/>
      <c r="B918" s="110"/>
      <c r="C918" s="110"/>
      <c r="D918" s="110"/>
      <c r="E918" s="110"/>
      <c r="F918" s="344"/>
      <c r="G918" s="110"/>
      <c r="H918" s="110"/>
      <c r="I918" s="410"/>
      <c r="J918" s="110"/>
      <c r="K918" s="110"/>
      <c r="L918" s="110"/>
      <c r="M918" s="110"/>
      <c r="N918" s="110"/>
      <c r="O918" s="329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</row>
    <row r="919" spans="1:27" ht="15.75" customHeight="1">
      <c r="A919" s="110"/>
      <c r="B919" s="110"/>
      <c r="C919" s="110"/>
      <c r="D919" s="110"/>
      <c r="E919" s="110"/>
      <c r="F919" s="344"/>
      <c r="G919" s="110"/>
      <c r="H919" s="110"/>
      <c r="I919" s="410"/>
      <c r="J919" s="110"/>
      <c r="K919" s="110"/>
      <c r="L919" s="110"/>
      <c r="M919" s="110"/>
      <c r="N919" s="110"/>
      <c r="O919" s="329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spans="1:27" ht="15.75" customHeight="1">
      <c r="A920" s="110"/>
      <c r="B920" s="110"/>
      <c r="C920" s="110"/>
      <c r="D920" s="110"/>
      <c r="E920" s="110"/>
      <c r="F920" s="344"/>
      <c r="G920" s="110"/>
      <c r="H920" s="110"/>
      <c r="I920" s="410"/>
      <c r="J920" s="110"/>
      <c r="K920" s="110"/>
      <c r="L920" s="110"/>
      <c r="M920" s="110"/>
      <c r="N920" s="110"/>
      <c r="O920" s="329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</row>
    <row r="921" spans="1:27" ht="15.75" customHeight="1">
      <c r="A921" s="110"/>
      <c r="B921" s="110"/>
      <c r="C921" s="110"/>
      <c r="D921" s="110"/>
      <c r="E921" s="110"/>
      <c r="F921" s="344"/>
      <c r="G921" s="110"/>
      <c r="H921" s="110"/>
      <c r="I921" s="410"/>
      <c r="J921" s="110"/>
      <c r="K921" s="110"/>
      <c r="L921" s="110"/>
      <c r="M921" s="110"/>
      <c r="N921" s="110"/>
      <c r="O921" s="329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spans="1:27" ht="15.75" customHeight="1">
      <c r="A922" s="110"/>
      <c r="B922" s="110"/>
      <c r="C922" s="110"/>
      <c r="D922" s="110"/>
      <c r="E922" s="110"/>
      <c r="F922" s="344"/>
      <c r="G922" s="110"/>
      <c r="H922" s="110"/>
      <c r="I922" s="410"/>
      <c r="J922" s="110"/>
      <c r="K922" s="110"/>
      <c r="L922" s="110"/>
      <c r="M922" s="110"/>
      <c r="N922" s="110"/>
      <c r="O922" s="329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</row>
    <row r="923" spans="1:27" ht="15.75" customHeight="1">
      <c r="A923" s="110"/>
      <c r="B923" s="110"/>
      <c r="C923" s="110"/>
      <c r="D923" s="110"/>
      <c r="E923" s="110"/>
      <c r="F923" s="344"/>
      <c r="G923" s="110"/>
      <c r="H923" s="110"/>
      <c r="I923" s="410"/>
      <c r="J923" s="110"/>
      <c r="K923" s="110"/>
      <c r="L923" s="110"/>
      <c r="M923" s="110"/>
      <c r="N923" s="110"/>
      <c r="O923" s="329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spans="1:27" ht="15.75" customHeight="1">
      <c r="A924" s="110"/>
      <c r="B924" s="110"/>
      <c r="C924" s="110"/>
      <c r="D924" s="110"/>
      <c r="E924" s="110"/>
      <c r="F924" s="344"/>
      <c r="G924" s="110"/>
      <c r="H924" s="110"/>
      <c r="I924" s="410"/>
      <c r="J924" s="110"/>
      <c r="K924" s="110"/>
      <c r="L924" s="110"/>
      <c r="M924" s="110"/>
      <c r="N924" s="110"/>
      <c r="O924" s="329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</row>
    <row r="925" spans="1:27" ht="15.75" customHeight="1">
      <c r="A925" s="110"/>
      <c r="B925" s="110"/>
      <c r="C925" s="110"/>
      <c r="D925" s="110"/>
      <c r="E925" s="110"/>
      <c r="F925" s="344"/>
      <c r="G925" s="110"/>
      <c r="H925" s="110"/>
      <c r="I925" s="410"/>
      <c r="J925" s="110"/>
      <c r="K925" s="110"/>
      <c r="L925" s="110"/>
      <c r="M925" s="110"/>
      <c r="N925" s="110"/>
      <c r="O925" s="329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spans="1:27" ht="15.75" customHeight="1">
      <c r="A926" s="110"/>
      <c r="B926" s="110"/>
      <c r="C926" s="110"/>
      <c r="D926" s="110"/>
      <c r="E926" s="110"/>
      <c r="F926" s="344"/>
      <c r="G926" s="110"/>
      <c r="H926" s="110"/>
      <c r="I926" s="410"/>
      <c r="J926" s="110"/>
      <c r="K926" s="110"/>
      <c r="L926" s="110"/>
      <c r="M926" s="110"/>
      <c r="N926" s="110"/>
      <c r="O926" s="329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</row>
    <row r="927" spans="1:27" ht="15.75" customHeight="1">
      <c r="A927" s="110"/>
      <c r="B927" s="110"/>
      <c r="C927" s="110"/>
      <c r="D927" s="110"/>
      <c r="E927" s="110"/>
      <c r="F927" s="344"/>
      <c r="G927" s="110"/>
      <c r="H927" s="110"/>
      <c r="I927" s="410"/>
      <c r="J927" s="110"/>
      <c r="K927" s="110"/>
      <c r="L927" s="110"/>
      <c r="M927" s="110"/>
      <c r="N927" s="110"/>
      <c r="O927" s="329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spans="1:27" ht="15.75" customHeight="1">
      <c r="A928" s="110"/>
      <c r="B928" s="110"/>
      <c r="C928" s="110"/>
      <c r="D928" s="110"/>
      <c r="E928" s="110"/>
      <c r="F928" s="344"/>
      <c r="G928" s="110"/>
      <c r="H928" s="110"/>
      <c r="I928" s="410"/>
      <c r="J928" s="110"/>
      <c r="K928" s="110"/>
      <c r="L928" s="110"/>
      <c r="M928" s="110"/>
      <c r="N928" s="110"/>
      <c r="O928" s="329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</row>
    <row r="929" spans="1:27" ht="15.75" customHeight="1">
      <c r="A929" s="110"/>
      <c r="B929" s="110"/>
      <c r="C929" s="110"/>
      <c r="D929" s="110"/>
      <c r="E929" s="110"/>
      <c r="F929" s="344"/>
      <c r="G929" s="110"/>
      <c r="H929" s="110"/>
      <c r="I929" s="410"/>
      <c r="J929" s="110"/>
      <c r="K929" s="110"/>
      <c r="L929" s="110"/>
      <c r="M929" s="110"/>
      <c r="N929" s="110"/>
      <c r="O929" s="329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spans="1:27" ht="15.75" customHeight="1">
      <c r="A930" s="110"/>
      <c r="B930" s="110"/>
      <c r="C930" s="110"/>
      <c r="D930" s="110"/>
      <c r="E930" s="110"/>
      <c r="F930" s="344"/>
      <c r="G930" s="110"/>
      <c r="H930" s="110"/>
      <c r="I930" s="410"/>
      <c r="J930" s="110"/>
      <c r="K930" s="110"/>
      <c r="L930" s="110"/>
      <c r="M930" s="110"/>
      <c r="N930" s="110"/>
      <c r="O930" s="329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</row>
    <row r="931" spans="1:27" ht="15.75" customHeight="1">
      <c r="A931" s="110"/>
      <c r="B931" s="110"/>
      <c r="C931" s="110"/>
      <c r="D931" s="110"/>
      <c r="E931" s="110"/>
      <c r="F931" s="344"/>
      <c r="G931" s="110"/>
      <c r="H931" s="110"/>
      <c r="I931" s="410"/>
      <c r="J931" s="110"/>
      <c r="K931" s="110"/>
      <c r="L931" s="110"/>
      <c r="M931" s="110"/>
      <c r="N931" s="110"/>
      <c r="O931" s="329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spans="1:27" ht="15.75" customHeight="1">
      <c r="A932" s="110"/>
      <c r="B932" s="110"/>
      <c r="C932" s="110"/>
      <c r="D932" s="110"/>
      <c r="E932" s="110"/>
      <c r="F932" s="344"/>
      <c r="G932" s="110"/>
      <c r="H932" s="110"/>
      <c r="I932" s="410"/>
      <c r="J932" s="110"/>
      <c r="K932" s="110"/>
      <c r="L932" s="110"/>
      <c r="M932" s="110"/>
      <c r="N932" s="110"/>
      <c r="O932" s="329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</row>
    <row r="933" spans="1:27" ht="15.75" customHeight="1">
      <c r="A933" s="110"/>
      <c r="B933" s="110"/>
      <c r="C933" s="110"/>
      <c r="D933" s="110"/>
      <c r="E933" s="110"/>
      <c r="F933" s="344"/>
      <c r="G933" s="110"/>
      <c r="H933" s="110"/>
      <c r="I933" s="410"/>
      <c r="J933" s="110"/>
      <c r="K933" s="110"/>
      <c r="L933" s="110"/>
      <c r="M933" s="110"/>
      <c r="N933" s="110"/>
      <c r="O933" s="329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spans="1:27" ht="15.75" customHeight="1">
      <c r="A934" s="110"/>
      <c r="B934" s="110"/>
      <c r="C934" s="110"/>
      <c r="D934" s="110"/>
      <c r="E934" s="110"/>
      <c r="F934" s="344"/>
      <c r="G934" s="110"/>
      <c r="H934" s="110"/>
      <c r="I934" s="410"/>
      <c r="J934" s="110"/>
      <c r="K934" s="110"/>
      <c r="L934" s="110"/>
      <c r="M934" s="110"/>
      <c r="N934" s="110"/>
      <c r="O934" s="329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</row>
    <row r="935" spans="1:27" ht="15.75" customHeight="1">
      <c r="A935" s="110"/>
      <c r="B935" s="110"/>
      <c r="C935" s="110"/>
      <c r="D935" s="110"/>
      <c r="E935" s="110"/>
      <c r="F935" s="344"/>
      <c r="G935" s="110"/>
      <c r="H935" s="110"/>
      <c r="I935" s="410"/>
      <c r="J935" s="110"/>
      <c r="K935" s="110"/>
      <c r="L935" s="110"/>
      <c r="M935" s="110"/>
      <c r="N935" s="110"/>
      <c r="O935" s="329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spans="1:27" ht="15.75" customHeight="1">
      <c r="A936" s="110"/>
      <c r="B936" s="110"/>
      <c r="C936" s="110"/>
      <c r="D936" s="110"/>
      <c r="E936" s="110"/>
      <c r="F936" s="344"/>
      <c r="G936" s="110"/>
      <c r="H936" s="110"/>
      <c r="I936" s="410"/>
      <c r="J936" s="110"/>
      <c r="K936" s="110"/>
      <c r="L936" s="110"/>
      <c r="M936" s="110"/>
      <c r="N936" s="110"/>
      <c r="O936" s="329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</row>
    <row r="937" spans="1:27" ht="15.75" customHeight="1">
      <c r="A937" s="110"/>
      <c r="B937" s="110"/>
      <c r="C937" s="110"/>
      <c r="D937" s="110"/>
      <c r="E937" s="110"/>
      <c r="F937" s="344"/>
      <c r="G937" s="110"/>
      <c r="H937" s="110"/>
      <c r="I937" s="410"/>
      <c r="J937" s="110"/>
      <c r="K937" s="110"/>
      <c r="L937" s="110"/>
      <c r="M937" s="110"/>
      <c r="N937" s="110"/>
      <c r="O937" s="329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spans="1:27" ht="15.75" customHeight="1">
      <c r="A938" s="110"/>
      <c r="B938" s="110"/>
      <c r="C938" s="110"/>
      <c r="D938" s="110"/>
      <c r="E938" s="110"/>
      <c r="F938" s="344"/>
      <c r="G938" s="110"/>
      <c r="H938" s="110"/>
      <c r="I938" s="410"/>
      <c r="J938" s="110"/>
      <c r="K938" s="110"/>
      <c r="L938" s="110"/>
      <c r="M938" s="110"/>
      <c r="N938" s="110"/>
      <c r="O938" s="329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</row>
    <row r="939" spans="1:27" ht="15.75" customHeight="1">
      <c r="A939" s="110"/>
      <c r="B939" s="110"/>
      <c r="C939" s="110"/>
      <c r="D939" s="110"/>
      <c r="E939" s="110"/>
      <c r="F939" s="344"/>
      <c r="G939" s="110"/>
      <c r="H939" s="110"/>
      <c r="I939" s="410"/>
      <c r="J939" s="110"/>
      <c r="K939" s="110"/>
      <c r="L939" s="110"/>
      <c r="M939" s="110"/>
      <c r="N939" s="110"/>
      <c r="O939" s="329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spans="1:27" ht="15.75" customHeight="1">
      <c r="A940" s="110"/>
      <c r="B940" s="110"/>
      <c r="C940" s="110"/>
      <c r="D940" s="110"/>
      <c r="E940" s="110"/>
      <c r="F940" s="344"/>
      <c r="G940" s="110"/>
      <c r="H940" s="110"/>
      <c r="I940" s="410"/>
      <c r="J940" s="110"/>
      <c r="K940" s="110"/>
      <c r="L940" s="110"/>
      <c r="M940" s="110"/>
      <c r="N940" s="110"/>
      <c r="O940" s="329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</row>
    <row r="941" spans="1:27" ht="15.75" customHeight="1">
      <c r="A941" s="110"/>
      <c r="B941" s="110"/>
      <c r="C941" s="110"/>
      <c r="D941" s="110"/>
      <c r="E941" s="110"/>
      <c r="F941" s="344"/>
      <c r="G941" s="110"/>
      <c r="H941" s="110"/>
      <c r="I941" s="410"/>
      <c r="J941" s="110"/>
      <c r="K941" s="110"/>
      <c r="L941" s="110"/>
      <c r="M941" s="110"/>
      <c r="N941" s="110"/>
      <c r="O941" s="329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spans="1:27" ht="15.75" customHeight="1">
      <c r="A942" s="110"/>
      <c r="B942" s="110"/>
      <c r="C942" s="110"/>
      <c r="D942" s="110"/>
      <c r="E942" s="110"/>
      <c r="F942" s="344"/>
      <c r="G942" s="110"/>
      <c r="H942" s="110"/>
      <c r="I942" s="410"/>
      <c r="J942" s="110"/>
      <c r="K942" s="110"/>
      <c r="L942" s="110"/>
      <c r="M942" s="110"/>
      <c r="N942" s="110"/>
      <c r="O942" s="329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</row>
    <row r="943" spans="1:27" ht="15.75" customHeight="1">
      <c r="A943" s="110"/>
      <c r="B943" s="110"/>
      <c r="C943" s="110"/>
      <c r="D943" s="110"/>
      <c r="E943" s="110"/>
      <c r="F943" s="344"/>
      <c r="G943" s="110"/>
      <c r="H943" s="110"/>
      <c r="I943" s="410"/>
      <c r="J943" s="110"/>
      <c r="K943" s="110"/>
      <c r="L943" s="110"/>
      <c r="M943" s="110"/>
      <c r="N943" s="110"/>
      <c r="O943" s="329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spans="1:27" ht="15.75" customHeight="1">
      <c r="A944" s="110"/>
      <c r="B944" s="110"/>
      <c r="C944" s="110"/>
      <c r="D944" s="110"/>
      <c r="E944" s="110"/>
      <c r="F944" s="344"/>
      <c r="G944" s="110"/>
      <c r="H944" s="110"/>
      <c r="I944" s="410"/>
      <c r="J944" s="110"/>
      <c r="K944" s="110"/>
      <c r="L944" s="110"/>
      <c r="M944" s="110"/>
      <c r="N944" s="110"/>
      <c r="O944" s="329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</row>
    <row r="945" spans="1:27" ht="15.75" customHeight="1">
      <c r="A945" s="110"/>
      <c r="B945" s="110"/>
      <c r="C945" s="110"/>
      <c r="D945" s="110"/>
      <c r="E945" s="110"/>
      <c r="F945" s="344"/>
      <c r="G945" s="110"/>
      <c r="H945" s="110"/>
      <c r="I945" s="410"/>
      <c r="J945" s="110"/>
      <c r="K945" s="110"/>
      <c r="L945" s="110"/>
      <c r="M945" s="110"/>
      <c r="N945" s="110"/>
      <c r="O945" s="329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spans="1:27" ht="15.75" customHeight="1">
      <c r="A946" s="110"/>
      <c r="B946" s="110"/>
      <c r="C946" s="110"/>
      <c r="D946" s="110"/>
      <c r="E946" s="110"/>
      <c r="F946" s="344"/>
      <c r="G946" s="110"/>
      <c r="H946" s="110"/>
      <c r="I946" s="410"/>
      <c r="J946" s="110"/>
      <c r="K946" s="110"/>
      <c r="L946" s="110"/>
      <c r="M946" s="110"/>
      <c r="N946" s="110"/>
      <c r="O946" s="329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</row>
    <row r="947" spans="1:27" ht="15.75" customHeight="1">
      <c r="A947" s="110"/>
      <c r="B947" s="110"/>
      <c r="C947" s="110"/>
      <c r="D947" s="110"/>
      <c r="E947" s="110"/>
      <c r="F947" s="344"/>
      <c r="G947" s="110"/>
      <c r="H947" s="110"/>
      <c r="I947" s="410"/>
      <c r="J947" s="110"/>
      <c r="K947" s="110"/>
      <c r="L947" s="110"/>
      <c r="M947" s="110"/>
      <c r="N947" s="110"/>
      <c r="O947" s="329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spans="1:27" ht="15.75" customHeight="1">
      <c r="A948" s="110"/>
      <c r="B948" s="110"/>
      <c r="C948" s="110"/>
      <c r="D948" s="110"/>
      <c r="E948" s="110"/>
      <c r="F948" s="344"/>
      <c r="G948" s="110"/>
      <c r="H948" s="110"/>
      <c r="I948" s="410"/>
      <c r="J948" s="110"/>
      <c r="K948" s="110"/>
      <c r="L948" s="110"/>
      <c r="M948" s="110"/>
      <c r="N948" s="110"/>
      <c r="O948" s="329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</row>
    <row r="949" spans="1:27" ht="15.75" customHeight="1">
      <c r="A949" s="110"/>
      <c r="B949" s="110"/>
      <c r="C949" s="110"/>
      <c r="D949" s="110"/>
      <c r="E949" s="110"/>
      <c r="F949" s="344"/>
      <c r="G949" s="110"/>
      <c r="H949" s="110"/>
      <c r="I949" s="410"/>
      <c r="J949" s="110"/>
      <c r="K949" s="110"/>
      <c r="L949" s="110"/>
      <c r="M949" s="110"/>
      <c r="N949" s="110"/>
      <c r="O949" s="329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spans="1:27" ht="15.75" customHeight="1">
      <c r="A950" s="110"/>
      <c r="B950" s="110"/>
      <c r="C950" s="110"/>
      <c r="D950" s="110"/>
      <c r="E950" s="110"/>
      <c r="F950" s="344"/>
      <c r="G950" s="110"/>
      <c r="H950" s="110"/>
      <c r="I950" s="410"/>
      <c r="J950" s="110"/>
      <c r="K950" s="110"/>
      <c r="L950" s="110"/>
      <c r="M950" s="110"/>
      <c r="N950" s="110"/>
      <c r="O950" s="329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</row>
    <row r="951" spans="1:27" ht="15.75" customHeight="1">
      <c r="A951" s="110"/>
      <c r="B951" s="110"/>
      <c r="C951" s="110"/>
      <c r="D951" s="110"/>
      <c r="E951" s="110"/>
      <c r="F951" s="344"/>
      <c r="G951" s="110"/>
      <c r="H951" s="110"/>
      <c r="I951" s="410"/>
      <c r="J951" s="110"/>
      <c r="K951" s="110"/>
      <c r="L951" s="110"/>
      <c r="M951" s="110"/>
      <c r="N951" s="110"/>
      <c r="O951" s="329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spans="1:27" ht="15.75" customHeight="1">
      <c r="A952" s="110"/>
      <c r="B952" s="110"/>
      <c r="C952" s="110"/>
      <c r="D952" s="110"/>
      <c r="E952" s="110"/>
      <c r="F952" s="344"/>
      <c r="G952" s="110"/>
      <c r="H952" s="110"/>
      <c r="I952" s="410"/>
      <c r="J952" s="110"/>
      <c r="K952" s="110"/>
      <c r="L952" s="110"/>
      <c r="M952" s="110"/>
      <c r="N952" s="110"/>
      <c r="O952" s="329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</row>
    <row r="953" spans="1:27" ht="15.75" customHeight="1">
      <c r="A953" s="110"/>
      <c r="B953" s="110"/>
      <c r="C953" s="110"/>
      <c r="D953" s="110"/>
      <c r="E953" s="110"/>
      <c r="F953" s="344"/>
      <c r="G953" s="110"/>
      <c r="H953" s="110"/>
      <c r="I953" s="410"/>
      <c r="J953" s="110"/>
      <c r="K953" s="110"/>
      <c r="L953" s="110"/>
      <c r="M953" s="110"/>
      <c r="N953" s="110"/>
      <c r="O953" s="329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spans="1:27" ht="15.75" customHeight="1">
      <c r="A954" s="110"/>
      <c r="B954" s="110"/>
      <c r="C954" s="110"/>
      <c r="D954" s="110"/>
      <c r="E954" s="110"/>
      <c r="F954" s="344"/>
      <c r="G954" s="110"/>
      <c r="H954" s="110"/>
      <c r="I954" s="410"/>
      <c r="J954" s="110"/>
      <c r="K954" s="110"/>
      <c r="L954" s="110"/>
      <c r="M954" s="110"/>
      <c r="N954" s="110"/>
      <c r="O954" s="329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</row>
    <row r="955" spans="1:27" ht="15.75" customHeight="1">
      <c r="A955" s="110"/>
      <c r="B955" s="110"/>
      <c r="C955" s="110"/>
      <c r="D955" s="110"/>
      <c r="E955" s="110"/>
      <c r="F955" s="344"/>
      <c r="G955" s="110"/>
      <c r="H955" s="110"/>
      <c r="I955" s="410"/>
      <c r="J955" s="110"/>
      <c r="K955" s="110"/>
      <c r="L955" s="110"/>
      <c r="M955" s="110"/>
      <c r="N955" s="110"/>
      <c r="O955" s="329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spans="1:27" ht="15.75" customHeight="1">
      <c r="A956" s="110"/>
      <c r="B956" s="110"/>
      <c r="C956" s="110"/>
      <c r="D956" s="110"/>
      <c r="E956" s="110"/>
      <c r="F956" s="344"/>
      <c r="G956" s="110"/>
      <c r="H956" s="110"/>
      <c r="I956" s="410"/>
      <c r="J956" s="110"/>
      <c r="K956" s="110"/>
      <c r="L956" s="110"/>
      <c r="M956" s="110"/>
      <c r="N956" s="110"/>
      <c r="O956" s="329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</row>
    <row r="957" spans="1:27" ht="15.75" customHeight="1">
      <c r="A957" s="110"/>
      <c r="B957" s="110"/>
      <c r="C957" s="110"/>
      <c r="D957" s="110"/>
      <c r="E957" s="110"/>
      <c r="F957" s="344"/>
      <c r="G957" s="110"/>
      <c r="H957" s="110"/>
      <c r="I957" s="410"/>
      <c r="J957" s="110"/>
      <c r="K957" s="110"/>
      <c r="L957" s="110"/>
      <c r="M957" s="110"/>
      <c r="N957" s="110"/>
      <c r="O957" s="329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spans="1:27" ht="15.75" customHeight="1">
      <c r="A958" s="110"/>
      <c r="B958" s="110"/>
      <c r="C958" s="110"/>
      <c r="D958" s="110"/>
      <c r="E958" s="110"/>
      <c r="F958" s="344"/>
      <c r="G958" s="110"/>
      <c r="H958" s="110"/>
      <c r="I958" s="410"/>
      <c r="J958" s="110"/>
      <c r="K958" s="110"/>
      <c r="L958" s="110"/>
      <c r="M958" s="110"/>
      <c r="N958" s="110"/>
      <c r="O958" s="329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</row>
    <row r="959" spans="1:27" ht="15.75" customHeight="1">
      <c r="A959" s="110"/>
      <c r="B959" s="110"/>
      <c r="C959" s="110"/>
      <c r="D959" s="110"/>
      <c r="E959" s="110"/>
      <c r="F959" s="344"/>
      <c r="G959" s="110"/>
      <c r="H959" s="110"/>
      <c r="I959" s="410"/>
      <c r="J959" s="110"/>
      <c r="K959" s="110"/>
      <c r="L959" s="110"/>
      <c r="M959" s="110"/>
      <c r="N959" s="110"/>
      <c r="O959" s="329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spans="1:27" ht="15.75" customHeight="1">
      <c r="A960" s="110"/>
      <c r="B960" s="110"/>
      <c r="C960" s="110"/>
      <c r="D960" s="110"/>
      <c r="E960" s="110"/>
      <c r="F960" s="344"/>
      <c r="G960" s="110"/>
      <c r="H960" s="110"/>
      <c r="I960" s="410"/>
      <c r="J960" s="110"/>
      <c r="K960" s="110"/>
      <c r="L960" s="110"/>
      <c r="M960" s="110"/>
      <c r="N960" s="110"/>
      <c r="O960" s="329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</row>
    <row r="961" spans="1:27" ht="15.75" customHeight="1">
      <c r="A961" s="110"/>
      <c r="B961" s="110"/>
      <c r="C961" s="110"/>
      <c r="D961" s="110"/>
      <c r="E961" s="110"/>
      <c r="F961" s="344"/>
      <c r="G961" s="110"/>
      <c r="H961" s="110"/>
      <c r="I961" s="410"/>
      <c r="J961" s="110"/>
      <c r="K961" s="110"/>
      <c r="L961" s="110"/>
      <c r="M961" s="110"/>
      <c r="N961" s="110"/>
      <c r="O961" s="329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spans="1:27" ht="15.75" customHeight="1">
      <c r="A962" s="110"/>
      <c r="B962" s="110"/>
      <c r="C962" s="110"/>
      <c r="D962" s="110"/>
      <c r="E962" s="110"/>
      <c r="F962" s="344"/>
      <c r="G962" s="110"/>
      <c r="H962" s="110"/>
      <c r="I962" s="410"/>
      <c r="J962" s="110"/>
      <c r="K962" s="110"/>
      <c r="L962" s="110"/>
      <c r="M962" s="110"/>
      <c r="N962" s="110"/>
      <c r="O962" s="329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</row>
    <row r="963" spans="1:27" ht="15.75" customHeight="1">
      <c r="A963" s="110"/>
      <c r="B963" s="110"/>
      <c r="C963" s="110"/>
      <c r="D963" s="110"/>
      <c r="E963" s="110"/>
      <c r="F963" s="344"/>
      <c r="G963" s="110"/>
      <c r="H963" s="110"/>
      <c r="I963" s="410"/>
      <c r="J963" s="110"/>
      <c r="K963" s="110"/>
      <c r="L963" s="110"/>
      <c r="M963" s="110"/>
      <c r="N963" s="110"/>
      <c r="O963" s="329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spans="1:27" ht="15.75" customHeight="1">
      <c r="A964" s="110"/>
      <c r="B964" s="110"/>
      <c r="C964" s="110"/>
      <c r="D964" s="110"/>
      <c r="E964" s="110"/>
      <c r="F964" s="344"/>
      <c r="G964" s="110"/>
      <c r="H964" s="110"/>
      <c r="I964" s="410"/>
      <c r="J964" s="110"/>
      <c r="K964" s="110"/>
      <c r="L964" s="110"/>
      <c r="M964" s="110"/>
      <c r="N964" s="110"/>
      <c r="O964" s="329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</row>
    <row r="965" spans="1:27" ht="15.75" customHeight="1">
      <c r="A965" s="110"/>
      <c r="B965" s="110"/>
      <c r="C965" s="110"/>
      <c r="D965" s="110"/>
      <c r="E965" s="110"/>
      <c r="F965" s="344"/>
      <c r="G965" s="110"/>
      <c r="H965" s="110"/>
      <c r="I965" s="410"/>
      <c r="J965" s="110"/>
      <c r="K965" s="110"/>
      <c r="L965" s="110"/>
      <c r="M965" s="110"/>
      <c r="N965" s="110"/>
      <c r="O965" s="329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spans="1:27" ht="15.75" customHeight="1">
      <c r="A966" s="110"/>
      <c r="B966" s="110"/>
      <c r="C966" s="110"/>
      <c r="D966" s="110"/>
      <c r="E966" s="110"/>
      <c r="F966" s="344"/>
      <c r="G966" s="110"/>
      <c r="H966" s="110"/>
      <c r="I966" s="410"/>
      <c r="J966" s="110"/>
      <c r="K966" s="110"/>
      <c r="L966" s="110"/>
      <c r="M966" s="110"/>
      <c r="N966" s="110"/>
      <c r="O966" s="329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</row>
    <row r="967" spans="1:27" ht="15.75" customHeight="1">
      <c r="A967" s="110"/>
      <c r="B967" s="110"/>
      <c r="C967" s="110"/>
      <c r="D967" s="110"/>
      <c r="E967" s="110"/>
      <c r="F967" s="344"/>
      <c r="G967" s="110"/>
      <c r="H967" s="110"/>
      <c r="I967" s="410"/>
      <c r="J967" s="110"/>
      <c r="K967" s="110"/>
      <c r="L967" s="110"/>
      <c r="M967" s="110"/>
      <c r="N967" s="110"/>
      <c r="O967" s="329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spans="1:27" ht="15.75" customHeight="1">
      <c r="A968" s="110"/>
      <c r="B968" s="110"/>
      <c r="C968" s="110"/>
      <c r="D968" s="110"/>
      <c r="E968" s="110"/>
      <c r="F968" s="344"/>
      <c r="G968" s="110"/>
      <c r="H968" s="110"/>
      <c r="I968" s="410"/>
      <c r="J968" s="110"/>
      <c r="K968" s="110"/>
      <c r="L968" s="110"/>
      <c r="M968" s="110"/>
      <c r="N968" s="110"/>
      <c r="O968" s="329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</row>
    <row r="969" spans="1:27" ht="15.75" customHeight="1">
      <c r="A969" s="110"/>
      <c r="B969" s="110"/>
      <c r="C969" s="110"/>
      <c r="D969" s="110"/>
      <c r="E969" s="110"/>
      <c r="F969" s="344"/>
      <c r="G969" s="110"/>
      <c r="H969" s="110"/>
      <c r="I969" s="410"/>
      <c r="J969" s="110"/>
      <c r="K969" s="110"/>
      <c r="L969" s="110"/>
      <c r="M969" s="110"/>
      <c r="N969" s="110"/>
      <c r="O969" s="329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spans="1:27" ht="15.75" customHeight="1">
      <c r="A970" s="110"/>
      <c r="B970" s="110"/>
      <c r="C970" s="110"/>
      <c r="D970" s="110"/>
      <c r="E970" s="110"/>
      <c r="F970" s="344"/>
      <c r="G970" s="110"/>
      <c r="H970" s="110"/>
      <c r="I970" s="410"/>
      <c r="J970" s="110"/>
      <c r="K970" s="110"/>
      <c r="L970" s="110"/>
      <c r="M970" s="110"/>
      <c r="N970" s="110"/>
      <c r="O970" s="329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</row>
    <row r="971" spans="1:27" ht="15.75" customHeight="1">
      <c r="A971" s="110"/>
      <c r="B971" s="110"/>
      <c r="C971" s="110"/>
      <c r="D971" s="110"/>
      <c r="E971" s="110"/>
      <c r="F971" s="344"/>
      <c r="G971" s="110"/>
      <c r="H971" s="110"/>
      <c r="I971" s="410"/>
      <c r="J971" s="110"/>
      <c r="K971" s="110"/>
      <c r="L971" s="110"/>
      <c r="M971" s="110"/>
      <c r="N971" s="110"/>
      <c r="O971" s="329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spans="1:27" ht="15.75" customHeight="1">
      <c r="A972" s="110"/>
      <c r="B972" s="110"/>
      <c r="C972" s="110"/>
      <c r="D972" s="110"/>
      <c r="E972" s="110"/>
      <c r="F972" s="344"/>
      <c r="G972" s="110"/>
      <c r="H972" s="110"/>
      <c r="I972" s="410"/>
      <c r="J972" s="110"/>
      <c r="K972" s="110"/>
      <c r="L972" s="110"/>
      <c r="M972" s="110"/>
      <c r="N972" s="110"/>
      <c r="O972" s="329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</row>
    <row r="973" spans="1:27" ht="15.75" customHeight="1">
      <c r="A973" s="110"/>
      <c r="B973" s="110"/>
      <c r="C973" s="110"/>
      <c r="D973" s="110"/>
      <c r="E973" s="110"/>
      <c r="F973" s="344"/>
      <c r="G973" s="110"/>
      <c r="H973" s="110"/>
      <c r="I973" s="410"/>
      <c r="J973" s="110"/>
      <c r="K973" s="110"/>
      <c r="L973" s="110"/>
      <c r="M973" s="110"/>
      <c r="N973" s="110"/>
      <c r="O973" s="329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spans="1:27" ht="15.75" customHeight="1">
      <c r="A974" s="110"/>
      <c r="B974" s="110"/>
      <c r="C974" s="110"/>
      <c r="D974" s="110"/>
      <c r="E974" s="110"/>
      <c r="F974" s="344"/>
      <c r="G974" s="110"/>
      <c r="H974" s="110"/>
      <c r="I974" s="410"/>
      <c r="J974" s="110"/>
      <c r="K974" s="110"/>
      <c r="L974" s="110"/>
      <c r="M974" s="110"/>
      <c r="N974" s="110"/>
      <c r="O974" s="329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</row>
    <row r="975" spans="1:27" ht="15.75" customHeight="1">
      <c r="A975" s="110"/>
      <c r="B975" s="110"/>
      <c r="C975" s="110"/>
      <c r="D975" s="110"/>
      <c r="E975" s="110"/>
      <c r="F975" s="344"/>
      <c r="G975" s="110"/>
      <c r="H975" s="110"/>
      <c r="I975" s="410"/>
      <c r="J975" s="110"/>
      <c r="K975" s="110"/>
      <c r="L975" s="110"/>
      <c r="M975" s="110"/>
      <c r="N975" s="110"/>
      <c r="O975" s="329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spans="1:27" ht="15.75" customHeight="1">
      <c r="A976" s="110"/>
      <c r="B976" s="110"/>
      <c r="C976" s="110"/>
      <c r="D976" s="110"/>
      <c r="E976" s="110"/>
      <c r="F976" s="344"/>
      <c r="G976" s="110"/>
      <c r="H976" s="110"/>
      <c r="I976" s="410"/>
      <c r="J976" s="110"/>
      <c r="K976" s="110"/>
      <c r="L976" s="110"/>
      <c r="M976" s="110"/>
      <c r="N976" s="110"/>
      <c r="O976" s="329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</row>
    <row r="977" spans="1:27" ht="15.75" customHeight="1">
      <c r="A977" s="110"/>
      <c r="B977" s="110"/>
      <c r="C977" s="110"/>
      <c r="D977" s="110"/>
      <c r="E977" s="110"/>
      <c r="F977" s="344"/>
      <c r="G977" s="110"/>
      <c r="H977" s="110"/>
      <c r="I977" s="410"/>
      <c r="J977" s="110"/>
      <c r="K977" s="110"/>
      <c r="L977" s="110"/>
      <c r="M977" s="110"/>
      <c r="N977" s="110"/>
      <c r="O977" s="329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spans="1:27" ht="15.75" customHeight="1">
      <c r="A978" s="110"/>
      <c r="B978" s="110"/>
      <c r="C978" s="110"/>
      <c r="D978" s="110"/>
      <c r="E978" s="110"/>
      <c r="F978" s="344"/>
      <c r="G978" s="110"/>
      <c r="H978" s="110"/>
      <c r="I978" s="410"/>
      <c r="J978" s="110"/>
      <c r="K978" s="110"/>
      <c r="L978" s="110"/>
      <c r="M978" s="110"/>
      <c r="N978" s="110"/>
      <c r="O978" s="329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</row>
    <row r="979" spans="1:27" ht="15.75" customHeight="1">
      <c r="A979" s="110"/>
      <c r="B979" s="110"/>
      <c r="C979" s="110"/>
      <c r="D979" s="110"/>
      <c r="E979" s="110"/>
      <c r="F979" s="344"/>
      <c r="G979" s="110"/>
      <c r="H979" s="110"/>
      <c r="I979" s="410"/>
      <c r="J979" s="110"/>
      <c r="K979" s="110"/>
      <c r="L979" s="110"/>
      <c r="M979" s="110"/>
      <c r="N979" s="110"/>
      <c r="O979" s="329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spans="1:27" ht="15.75" customHeight="1">
      <c r="A980" s="110"/>
      <c r="B980" s="110"/>
      <c r="C980" s="110"/>
      <c r="D980" s="110"/>
      <c r="E980" s="110"/>
      <c r="F980" s="344"/>
      <c r="G980" s="110"/>
      <c r="H980" s="110"/>
      <c r="I980" s="410"/>
      <c r="J980" s="110"/>
      <c r="K980" s="110"/>
      <c r="L980" s="110"/>
      <c r="M980" s="110"/>
      <c r="N980" s="110"/>
      <c r="O980" s="329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</row>
    <row r="981" spans="1:27" ht="15.75" customHeight="1">
      <c r="A981" s="110"/>
      <c r="B981" s="110"/>
      <c r="C981" s="110"/>
      <c r="D981" s="110"/>
      <c r="E981" s="110"/>
      <c r="F981" s="344"/>
      <c r="G981" s="110"/>
      <c r="H981" s="110"/>
      <c r="I981" s="410"/>
      <c r="J981" s="110"/>
      <c r="K981" s="110"/>
      <c r="L981" s="110"/>
      <c r="M981" s="110"/>
      <c r="N981" s="110"/>
      <c r="O981" s="329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spans="1:27" ht="15.75" customHeight="1">
      <c r="A982" s="110"/>
      <c r="B982" s="110"/>
      <c r="C982" s="110"/>
      <c r="D982" s="110"/>
      <c r="E982" s="110"/>
      <c r="F982" s="344"/>
      <c r="G982" s="110"/>
      <c r="H982" s="110"/>
      <c r="I982" s="410"/>
      <c r="J982" s="110"/>
      <c r="K982" s="110"/>
      <c r="L982" s="110"/>
      <c r="M982" s="110"/>
      <c r="N982" s="110"/>
      <c r="O982" s="329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</row>
    <row r="983" spans="1:27" ht="15.75" customHeight="1">
      <c r="A983" s="110"/>
      <c r="B983" s="110"/>
      <c r="C983" s="110"/>
      <c r="D983" s="110"/>
      <c r="E983" s="110"/>
      <c r="F983" s="344"/>
      <c r="G983" s="110"/>
      <c r="H983" s="110"/>
      <c r="I983" s="410"/>
      <c r="J983" s="110"/>
      <c r="K983" s="110"/>
      <c r="L983" s="110"/>
      <c r="M983" s="110"/>
      <c r="N983" s="110"/>
      <c r="O983" s="329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spans="1:27" ht="15.75" customHeight="1">
      <c r="A984" s="110"/>
      <c r="B984" s="110"/>
      <c r="C984" s="110"/>
      <c r="D984" s="110"/>
      <c r="E984" s="110"/>
      <c r="F984" s="344"/>
      <c r="G984" s="110"/>
      <c r="H984" s="110"/>
      <c r="I984" s="410"/>
      <c r="J984" s="110"/>
      <c r="K984" s="110"/>
      <c r="L984" s="110"/>
      <c r="M984" s="110"/>
      <c r="N984" s="110"/>
      <c r="O984" s="329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</row>
    <row r="985" spans="1:27" ht="15.75" customHeight="1">
      <c r="A985" s="110"/>
      <c r="B985" s="110"/>
      <c r="C985" s="110"/>
      <c r="D985" s="110"/>
      <c r="E985" s="110"/>
      <c r="F985" s="344"/>
      <c r="G985" s="110"/>
      <c r="H985" s="110"/>
      <c r="I985" s="410"/>
      <c r="J985" s="110"/>
      <c r="K985" s="110"/>
      <c r="L985" s="110"/>
      <c r="M985" s="110"/>
      <c r="N985" s="110"/>
      <c r="O985" s="329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spans="1:27" ht="15.75" customHeight="1">
      <c r="A986" s="110"/>
      <c r="B986" s="110"/>
      <c r="C986" s="110"/>
      <c r="D986" s="110"/>
      <c r="E986" s="110"/>
      <c r="F986" s="344"/>
      <c r="G986" s="110"/>
      <c r="H986" s="110"/>
      <c r="I986" s="410"/>
      <c r="J986" s="110"/>
      <c r="K986" s="110"/>
      <c r="L986" s="110"/>
      <c r="M986" s="110"/>
      <c r="N986" s="110"/>
      <c r="O986" s="329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</row>
    <row r="987" spans="1:27" ht="15.75" customHeight="1">
      <c r="A987" s="110"/>
      <c r="B987" s="110"/>
      <c r="C987" s="110"/>
      <c r="D987" s="110"/>
      <c r="E987" s="110"/>
      <c r="F987" s="344"/>
      <c r="G987" s="110"/>
      <c r="H987" s="110"/>
      <c r="I987" s="410"/>
      <c r="J987" s="110"/>
      <c r="K987" s="110"/>
      <c r="L987" s="110"/>
      <c r="M987" s="110"/>
      <c r="N987" s="110"/>
      <c r="O987" s="329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spans="1:27" ht="15.75" customHeight="1">
      <c r="A988" s="110"/>
      <c r="B988" s="110"/>
      <c r="C988" s="110"/>
      <c r="D988" s="110"/>
      <c r="E988" s="110"/>
      <c r="F988" s="344"/>
      <c r="G988" s="110"/>
      <c r="H988" s="110"/>
      <c r="I988" s="410"/>
      <c r="J988" s="110"/>
      <c r="K988" s="110"/>
      <c r="L988" s="110"/>
      <c r="M988" s="110"/>
      <c r="N988" s="110"/>
      <c r="O988" s="329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</row>
    <row r="989" spans="1:27" ht="15.75" customHeight="1">
      <c r="A989" s="110"/>
      <c r="B989" s="110"/>
      <c r="C989" s="110"/>
      <c r="D989" s="110"/>
      <c r="E989" s="110"/>
      <c r="F989" s="344"/>
      <c r="G989" s="110"/>
      <c r="H989" s="110"/>
      <c r="I989" s="410"/>
      <c r="J989" s="110"/>
      <c r="K989" s="110"/>
      <c r="L989" s="110"/>
      <c r="M989" s="110"/>
      <c r="N989" s="110"/>
      <c r="O989" s="329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spans="1:27" ht="15.75" customHeight="1">
      <c r="A990" s="110"/>
      <c r="B990" s="110"/>
      <c r="C990" s="110"/>
      <c r="D990" s="110"/>
      <c r="E990" s="110"/>
      <c r="F990" s="344"/>
      <c r="G990" s="110"/>
      <c r="H990" s="110"/>
      <c r="I990" s="410"/>
      <c r="J990" s="110"/>
      <c r="K990" s="110"/>
      <c r="L990" s="110"/>
      <c r="M990" s="110"/>
      <c r="N990" s="110"/>
      <c r="O990" s="329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</row>
    <row r="991" spans="1:27" ht="15.75" customHeight="1">
      <c r="A991" s="110"/>
      <c r="B991" s="110"/>
      <c r="C991" s="110"/>
      <c r="D991" s="110"/>
      <c r="E991" s="110"/>
      <c r="F991" s="344"/>
      <c r="G991" s="110"/>
      <c r="H991" s="110"/>
      <c r="I991" s="410"/>
      <c r="J991" s="110"/>
      <c r="K991" s="110"/>
      <c r="L991" s="110"/>
      <c r="M991" s="110"/>
      <c r="N991" s="110"/>
      <c r="O991" s="329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spans="1:27" ht="15.75" customHeight="1">
      <c r="A992" s="110"/>
      <c r="B992" s="110"/>
      <c r="C992" s="110"/>
      <c r="D992" s="110"/>
      <c r="E992" s="110"/>
      <c r="F992" s="344"/>
      <c r="G992" s="110"/>
      <c r="H992" s="110"/>
      <c r="I992" s="410"/>
      <c r="J992" s="110"/>
      <c r="K992" s="110"/>
      <c r="L992" s="110"/>
      <c r="M992" s="110"/>
      <c r="N992" s="110"/>
      <c r="O992" s="329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</row>
    <row r="993" spans="1:27" ht="15.75" customHeight="1">
      <c r="A993" s="110"/>
      <c r="B993" s="110"/>
      <c r="C993" s="110"/>
      <c r="D993" s="110"/>
      <c r="E993" s="110"/>
      <c r="F993" s="344"/>
      <c r="G993" s="110"/>
      <c r="H993" s="110"/>
      <c r="I993" s="410"/>
      <c r="J993" s="110"/>
      <c r="K993" s="110"/>
      <c r="L993" s="110"/>
      <c r="M993" s="110"/>
      <c r="N993" s="110"/>
      <c r="O993" s="329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spans="1:27" ht="15.75" customHeight="1">
      <c r="A994" s="110"/>
      <c r="B994" s="110"/>
      <c r="C994" s="110"/>
      <c r="D994" s="110"/>
      <c r="E994" s="110"/>
      <c r="F994" s="344"/>
      <c r="G994" s="110"/>
      <c r="H994" s="110"/>
      <c r="I994" s="410"/>
      <c r="J994" s="110"/>
      <c r="K994" s="110"/>
      <c r="L994" s="110"/>
      <c r="M994" s="110"/>
      <c r="N994" s="110"/>
      <c r="O994" s="329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</row>
    <row r="995" spans="1:27" ht="15.75" customHeight="1">
      <c r="A995" s="110"/>
      <c r="B995" s="110"/>
      <c r="C995" s="110"/>
      <c r="D995" s="110"/>
      <c r="E995" s="110"/>
      <c r="F995" s="344"/>
      <c r="G995" s="110"/>
      <c r="H995" s="110"/>
      <c r="I995" s="410"/>
      <c r="J995" s="110"/>
      <c r="K995" s="110"/>
      <c r="L995" s="110"/>
      <c r="M995" s="110"/>
      <c r="N995" s="110"/>
      <c r="O995" s="329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spans="1:27" ht="15.75" customHeight="1">
      <c r="A996" s="110"/>
      <c r="B996" s="110"/>
      <c r="C996" s="110"/>
      <c r="D996" s="110"/>
      <c r="E996" s="110"/>
      <c r="F996" s="344"/>
      <c r="G996" s="110"/>
      <c r="H996" s="110"/>
      <c r="I996" s="410"/>
      <c r="J996" s="110"/>
      <c r="K996" s="110"/>
      <c r="L996" s="110"/>
      <c r="M996" s="110"/>
      <c r="N996" s="110"/>
      <c r="O996" s="329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</row>
    <row r="997" spans="1:27" ht="15.75" customHeight="1">
      <c r="A997" s="110"/>
      <c r="B997" s="110"/>
      <c r="C997" s="110"/>
      <c r="D997" s="110"/>
      <c r="E997" s="110"/>
      <c r="F997" s="344"/>
      <c r="G997" s="110"/>
      <c r="H997" s="110"/>
      <c r="I997" s="410"/>
      <c r="J997" s="110"/>
      <c r="K997" s="110"/>
      <c r="L997" s="110"/>
      <c r="M997" s="110"/>
      <c r="N997" s="110"/>
      <c r="O997" s="329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spans="1:27" ht="15.75" customHeight="1">
      <c r="A998" s="110"/>
      <c r="B998" s="110"/>
      <c r="C998" s="110"/>
      <c r="D998" s="110"/>
      <c r="E998" s="110"/>
      <c r="F998" s="344"/>
      <c r="G998" s="110"/>
      <c r="H998" s="110"/>
      <c r="I998" s="410"/>
      <c r="J998" s="110"/>
      <c r="K998" s="110"/>
      <c r="L998" s="110"/>
      <c r="M998" s="110"/>
      <c r="N998" s="110"/>
      <c r="O998" s="329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</row>
    <row r="999" spans="1:27" ht="15.75" customHeight="1">
      <c r="A999" s="110"/>
      <c r="B999" s="110"/>
      <c r="C999" s="110"/>
      <c r="D999" s="110"/>
      <c r="E999" s="110"/>
      <c r="F999" s="344"/>
      <c r="G999" s="110"/>
      <c r="H999" s="110"/>
      <c r="I999" s="410"/>
      <c r="J999" s="110"/>
      <c r="K999" s="110"/>
      <c r="L999" s="110"/>
      <c r="M999" s="110"/>
      <c r="N999" s="110"/>
      <c r="O999" s="329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spans="1:27" ht="15.75" customHeight="1">
      <c r="A1000" s="110"/>
      <c r="B1000" s="110"/>
      <c r="C1000" s="110"/>
      <c r="D1000" s="110"/>
      <c r="E1000" s="110"/>
      <c r="F1000" s="344"/>
      <c r="G1000" s="110"/>
      <c r="H1000" s="110"/>
      <c r="I1000" s="410"/>
      <c r="J1000" s="110"/>
      <c r="K1000" s="110"/>
      <c r="L1000" s="110"/>
      <c r="M1000" s="110"/>
      <c r="N1000" s="110"/>
      <c r="O1000" s="329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</row>
    <row r="1001" spans="1:27" ht="15.75" customHeight="1">
      <c r="A1001" s="110"/>
      <c r="B1001" s="110"/>
      <c r="C1001" s="110"/>
      <c r="D1001" s="110"/>
      <c r="E1001" s="110"/>
      <c r="F1001" s="344"/>
      <c r="G1001" s="110"/>
      <c r="H1001" s="110"/>
      <c r="I1001" s="410"/>
      <c r="J1001" s="110"/>
      <c r="K1001" s="110"/>
      <c r="L1001" s="110"/>
      <c r="M1001" s="110"/>
      <c r="N1001" s="110"/>
      <c r="O1001" s="329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</row>
  </sheetData>
  <mergeCells count="1">
    <mergeCell ref="B4:C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7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.140625" customWidth="1"/>
    <col min="2" max="2" width="6.5703125" customWidth="1"/>
    <col min="3" max="3" width="40.85546875" customWidth="1"/>
    <col min="4" max="4" width="14.5703125" customWidth="1"/>
    <col min="5" max="5" width="13.42578125" customWidth="1"/>
    <col min="6" max="6" width="14.28515625" customWidth="1"/>
    <col min="7" max="10" width="11.7109375" customWidth="1"/>
    <col min="11" max="22" width="14.42578125" customWidth="1"/>
  </cols>
  <sheetData>
    <row r="1" spans="1:26" ht="13.5" customHeight="1">
      <c r="A1" s="110"/>
      <c r="B1" s="427"/>
      <c r="C1" s="3" t="s">
        <v>5415</v>
      </c>
      <c r="D1" s="408"/>
      <c r="E1" s="344"/>
      <c r="F1" s="110"/>
      <c r="G1" s="110"/>
      <c r="H1" s="110"/>
      <c r="I1" s="110"/>
      <c r="J1" s="34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110"/>
      <c r="X1" s="110"/>
      <c r="Y1" s="110"/>
      <c r="Z1" s="110"/>
    </row>
    <row r="2" spans="1:26" ht="13.5" customHeight="1">
      <c r="A2" s="110"/>
      <c r="B2" s="427"/>
      <c r="C2" s="428" t="s">
        <v>5416</v>
      </c>
      <c r="D2" s="411"/>
      <c r="E2" s="344"/>
      <c r="F2" s="110"/>
      <c r="G2" s="110"/>
      <c r="H2" s="110"/>
      <c r="I2" s="110"/>
      <c r="J2" s="34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10"/>
      <c r="X2" s="110"/>
      <c r="Y2" s="110"/>
      <c r="Z2" s="110"/>
    </row>
    <row r="3" spans="1:26" ht="13.5" customHeight="1">
      <c r="A3" s="110"/>
      <c r="B3" s="103"/>
      <c r="C3" s="428" t="s">
        <v>5409</v>
      </c>
      <c r="D3" s="411"/>
      <c r="E3" s="344"/>
      <c r="F3" s="110"/>
      <c r="G3" s="110"/>
      <c r="H3" s="110"/>
      <c r="I3" s="110"/>
      <c r="J3" s="34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10"/>
      <c r="X3" s="110"/>
      <c r="Y3" s="110"/>
      <c r="Z3" s="110"/>
    </row>
    <row r="4" spans="1:26" ht="13.5" customHeight="1">
      <c r="A4" s="4"/>
      <c r="B4" s="504" t="s">
        <v>1</v>
      </c>
      <c r="C4" s="490"/>
      <c r="D4" s="232" t="s">
        <v>5417</v>
      </c>
      <c r="E4" s="99"/>
      <c r="F4" s="110"/>
      <c r="G4" s="110"/>
      <c r="H4" s="110"/>
      <c r="I4" s="110"/>
      <c r="J4" s="34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10"/>
      <c r="X4" s="110"/>
      <c r="Y4" s="110"/>
      <c r="Z4" s="110"/>
    </row>
    <row r="5" spans="1:26" ht="13.5" customHeight="1">
      <c r="A5" s="4"/>
      <c r="B5" s="491"/>
      <c r="C5" s="480"/>
      <c r="D5" s="232" t="s">
        <v>5410</v>
      </c>
      <c r="E5" s="99"/>
      <c r="F5" s="110"/>
      <c r="G5" s="110"/>
      <c r="H5" s="110"/>
      <c r="I5" s="110"/>
      <c r="J5" s="34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10"/>
      <c r="X5" s="110"/>
      <c r="Y5" s="110"/>
      <c r="Z5" s="110"/>
    </row>
    <row r="6" spans="1:26" ht="13.5" customHeight="1">
      <c r="A6" s="351"/>
      <c r="B6" s="429" t="s">
        <v>3947</v>
      </c>
      <c r="C6" s="430" t="s">
        <v>3948</v>
      </c>
      <c r="D6" s="417"/>
      <c r="E6" s="331"/>
      <c r="F6" s="110"/>
      <c r="G6" s="110"/>
      <c r="H6" s="110"/>
      <c r="I6" s="110"/>
      <c r="J6" s="34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10"/>
      <c r="X6" s="110"/>
      <c r="Y6" s="110"/>
      <c r="Z6" s="110"/>
    </row>
    <row r="7" spans="1:26" ht="13.5" customHeight="1">
      <c r="A7" s="351"/>
      <c r="B7" s="431" t="s">
        <v>3949</v>
      </c>
      <c r="C7" s="22" t="s">
        <v>3950</v>
      </c>
      <c r="D7" s="338"/>
      <c r="E7" s="344"/>
      <c r="F7" s="110"/>
      <c r="G7" s="110"/>
      <c r="H7" s="110"/>
      <c r="I7" s="110"/>
      <c r="J7" s="34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10"/>
      <c r="X7" s="110"/>
      <c r="Y7" s="110"/>
      <c r="Z7" s="110"/>
    </row>
    <row r="8" spans="1:26" ht="13.5" customHeight="1">
      <c r="A8" s="110"/>
      <c r="B8" s="431" t="s">
        <v>3951</v>
      </c>
      <c r="C8" s="22" t="s">
        <v>3952</v>
      </c>
      <c r="D8" s="338">
        <f>SUM(D9:D10)</f>
        <v>21152433</v>
      </c>
      <c r="E8" s="330"/>
      <c r="F8" s="388"/>
      <c r="G8" s="110"/>
      <c r="H8" s="110"/>
      <c r="I8" s="110"/>
      <c r="J8" s="34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10"/>
      <c r="X8" s="110"/>
      <c r="Y8" s="110"/>
      <c r="Z8" s="110"/>
    </row>
    <row r="9" spans="1:26" ht="13.5" customHeight="1">
      <c r="A9" s="110"/>
      <c r="B9" s="68" t="s">
        <v>1745</v>
      </c>
      <c r="C9" s="340" t="s">
        <v>3953</v>
      </c>
      <c r="D9" s="341">
        <f>TB!X10-TB!Y10</f>
        <v>16652433</v>
      </c>
      <c r="E9" s="330"/>
      <c r="F9" s="388"/>
      <c r="G9" s="110"/>
      <c r="H9" s="110"/>
      <c r="I9" s="110"/>
      <c r="J9" s="34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10"/>
      <c r="X9" s="110"/>
      <c r="Y9" s="110"/>
      <c r="Z9" s="110"/>
    </row>
    <row r="10" spans="1:26" ht="13.5" customHeight="1">
      <c r="A10" s="110"/>
      <c r="B10" s="68" t="s">
        <v>39</v>
      </c>
      <c r="C10" s="340" t="s">
        <v>3955</v>
      </c>
      <c r="D10" s="341">
        <f>TB!X11-TB!Y11</f>
        <v>4500000</v>
      </c>
      <c r="E10" s="330"/>
      <c r="F10" s="388"/>
      <c r="G10" s="110"/>
      <c r="H10" s="110"/>
      <c r="I10" s="110"/>
      <c r="J10" s="34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10"/>
      <c r="X10" s="110"/>
      <c r="Y10" s="110"/>
      <c r="Z10" s="110"/>
    </row>
    <row r="11" spans="1:26" ht="13.5" customHeight="1">
      <c r="A11" s="110"/>
      <c r="B11" s="68"/>
      <c r="C11" s="340"/>
      <c r="D11" s="341"/>
      <c r="E11" s="364"/>
      <c r="F11" s="388"/>
      <c r="G11" s="110"/>
      <c r="H11" s="110"/>
      <c r="I11" s="110"/>
      <c r="J11" s="34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10"/>
      <c r="X11" s="110"/>
      <c r="Y11" s="110"/>
      <c r="Z11" s="110"/>
    </row>
    <row r="12" spans="1:26" ht="13.5" customHeight="1">
      <c r="A12" s="351"/>
      <c r="B12" s="431" t="s">
        <v>3956</v>
      </c>
      <c r="C12" s="22" t="s">
        <v>3957</v>
      </c>
      <c r="D12" s="338">
        <f>SUM(D13:D22)</f>
        <v>323053459.82200086</v>
      </c>
      <c r="E12" s="330"/>
      <c r="F12" s="388"/>
      <c r="G12" s="110"/>
      <c r="H12" s="110"/>
      <c r="I12" s="110"/>
      <c r="J12" s="34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10"/>
      <c r="X12" s="110"/>
      <c r="Y12" s="110"/>
      <c r="Z12" s="110"/>
    </row>
    <row r="13" spans="1:26" ht="13.5" customHeight="1">
      <c r="A13" s="110"/>
      <c r="B13" s="68" t="s">
        <v>3958</v>
      </c>
      <c r="C13" s="340" t="s">
        <v>3959</v>
      </c>
      <c r="D13" s="341">
        <f>TB!X13-TB!Y13</f>
        <v>0</v>
      </c>
      <c r="E13" s="330"/>
      <c r="F13" s="388"/>
      <c r="G13" s="110"/>
      <c r="H13" s="110"/>
      <c r="I13" s="110"/>
      <c r="J13" s="34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10"/>
      <c r="X13" s="110"/>
      <c r="Y13" s="110"/>
      <c r="Z13" s="110"/>
    </row>
    <row r="14" spans="1:26" ht="13.5" customHeight="1">
      <c r="A14" s="110"/>
      <c r="B14" s="68" t="s">
        <v>229</v>
      </c>
      <c r="C14" s="340" t="s">
        <v>3960</v>
      </c>
      <c r="D14" s="341">
        <f>TB!X14-TB!Y14</f>
        <v>9432186</v>
      </c>
      <c r="E14" s="330"/>
      <c r="F14" s="388"/>
      <c r="G14" s="110"/>
      <c r="H14" s="110"/>
      <c r="I14" s="110"/>
      <c r="J14" s="34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10"/>
      <c r="X14" s="110"/>
      <c r="Y14" s="110"/>
      <c r="Z14" s="110"/>
    </row>
    <row r="15" spans="1:26" ht="13.5" customHeight="1">
      <c r="A15" s="110"/>
      <c r="B15" s="68" t="s">
        <v>158</v>
      </c>
      <c r="C15" s="340" t="s">
        <v>3961</v>
      </c>
      <c r="D15" s="341">
        <f>TB!X15-TB!Y15</f>
        <v>1443616.928000927</v>
      </c>
      <c r="E15" s="330"/>
      <c r="F15" s="388"/>
      <c r="G15" s="110"/>
      <c r="H15" s="110"/>
      <c r="I15" s="110"/>
      <c r="J15" s="34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10"/>
      <c r="X15" s="110"/>
      <c r="Y15" s="110"/>
      <c r="Z15" s="110"/>
    </row>
    <row r="16" spans="1:26" ht="13.5" customHeight="1">
      <c r="A16" s="110"/>
      <c r="B16" s="68" t="s">
        <v>172</v>
      </c>
      <c r="C16" s="340" t="s">
        <v>3962</v>
      </c>
      <c r="D16" s="341">
        <f>TB!X16-TB!Y16</f>
        <v>349918.0019999966</v>
      </c>
      <c r="E16" s="330"/>
      <c r="F16" s="388"/>
      <c r="G16" s="110"/>
      <c r="H16" s="110"/>
      <c r="I16" s="110"/>
      <c r="J16" s="34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10"/>
      <c r="X16" s="110"/>
      <c r="Y16" s="110"/>
      <c r="Z16" s="110"/>
    </row>
    <row r="17" spans="1:26" ht="13.5" customHeight="1">
      <c r="A17" s="110"/>
      <c r="B17" s="68" t="s">
        <v>219</v>
      </c>
      <c r="C17" s="340" t="s">
        <v>3963</v>
      </c>
      <c r="D17" s="341">
        <f>TB!X17-TB!Y17</f>
        <v>1025127</v>
      </c>
      <c r="E17" s="330"/>
      <c r="F17" s="388"/>
      <c r="G17" s="110"/>
      <c r="H17" s="110"/>
      <c r="I17" s="110"/>
      <c r="J17" s="34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10"/>
      <c r="X17" s="110"/>
      <c r="Y17" s="110"/>
      <c r="Z17" s="110"/>
    </row>
    <row r="18" spans="1:26" ht="13.5" customHeight="1">
      <c r="A18" s="110"/>
      <c r="B18" s="68" t="s">
        <v>122</v>
      </c>
      <c r="C18" s="340" t="str">
        <f>TB!C18</f>
        <v>Cimb Niaga TBB</v>
      </c>
      <c r="D18" s="341">
        <f>TB!X18-TB!Y18</f>
        <v>1055233</v>
      </c>
      <c r="E18" s="330"/>
      <c r="F18" s="388"/>
      <c r="G18" s="110"/>
      <c r="H18" s="110"/>
      <c r="I18" s="110"/>
      <c r="J18" s="34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10"/>
      <c r="X18" s="110"/>
      <c r="Y18" s="110"/>
      <c r="Z18" s="110"/>
    </row>
    <row r="19" spans="1:26" ht="13.5" customHeight="1">
      <c r="A19" s="110"/>
      <c r="B19" s="68" t="s">
        <v>130</v>
      </c>
      <c r="C19" s="340" t="s">
        <v>3965</v>
      </c>
      <c r="D19" s="341">
        <f>TB!X19-TB!Y19</f>
        <v>407132.89199995995</v>
      </c>
      <c r="E19" s="330"/>
      <c r="F19" s="388"/>
      <c r="G19" s="110"/>
      <c r="H19" s="110"/>
      <c r="I19" s="110"/>
      <c r="J19" s="34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10"/>
      <c r="X19" s="110"/>
      <c r="Y19" s="110"/>
      <c r="Z19" s="110"/>
    </row>
    <row r="20" spans="1:26" ht="13.5" customHeight="1">
      <c r="A20" s="110"/>
      <c r="B20" s="68" t="s">
        <v>3966</v>
      </c>
      <c r="C20" s="340" t="s">
        <v>3967</v>
      </c>
      <c r="D20" s="341">
        <f>TB!X20-TB!Y20</f>
        <v>0</v>
      </c>
      <c r="E20" s="330"/>
      <c r="F20" s="388"/>
      <c r="G20" s="110"/>
      <c r="H20" s="110"/>
      <c r="I20" s="110"/>
      <c r="J20" s="34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10"/>
      <c r="X20" s="110"/>
      <c r="Y20" s="110"/>
      <c r="Z20" s="110"/>
    </row>
    <row r="21" spans="1:26" ht="13.5" customHeight="1">
      <c r="A21" s="110"/>
      <c r="B21" s="68" t="str">
        <f>TB!B21</f>
        <v>1-1129</v>
      </c>
      <c r="C21" s="340" t="str">
        <f>TB!C21</f>
        <v>STARXP</v>
      </c>
      <c r="D21" s="341">
        <f>TB!X21-TB!Y21</f>
        <v>309340246</v>
      </c>
      <c r="E21" s="330"/>
      <c r="F21" s="388"/>
      <c r="G21" s="110"/>
      <c r="H21" s="110"/>
      <c r="I21" s="110"/>
      <c r="J21" s="34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10"/>
      <c r="X21" s="110"/>
      <c r="Y21" s="110"/>
      <c r="Z21" s="110"/>
    </row>
    <row r="22" spans="1:26" ht="13.5" customHeight="1">
      <c r="A22" s="110"/>
      <c r="B22" s="68" t="s">
        <v>3969</v>
      </c>
      <c r="C22" s="340" t="s">
        <v>3970</v>
      </c>
      <c r="D22" s="341">
        <f>TB!X22-TB!Y22</f>
        <v>0</v>
      </c>
      <c r="E22" s="330"/>
      <c r="F22" s="388"/>
      <c r="G22" s="110"/>
      <c r="H22" s="110"/>
      <c r="I22" s="110"/>
      <c r="J22" s="34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10"/>
      <c r="X22" s="110"/>
      <c r="Y22" s="110"/>
      <c r="Z22" s="110"/>
    </row>
    <row r="23" spans="1:26" ht="13.5" customHeight="1">
      <c r="A23" s="110"/>
      <c r="B23" s="431" t="s">
        <v>3971</v>
      </c>
      <c r="C23" s="22" t="s">
        <v>3972</v>
      </c>
      <c r="D23" s="338">
        <f>D12+D8</f>
        <v>344205892.82200086</v>
      </c>
      <c r="E23" s="330"/>
      <c r="F23" s="388"/>
      <c r="G23" s="110"/>
      <c r="H23" s="110"/>
      <c r="I23" s="110"/>
      <c r="J23" s="34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10"/>
      <c r="X23" s="110"/>
      <c r="Y23" s="110"/>
      <c r="Z23" s="110"/>
    </row>
    <row r="24" spans="1:26" ht="13.5" customHeight="1">
      <c r="A24" s="110"/>
      <c r="B24" s="68"/>
      <c r="C24" s="340"/>
      <c r="D24" s="341"/>
      <c r="E24" s="364"/>
      <c r="F24" s="388"/>
      <c r="G24" s="110"/>
      <c r="H24" s="110"/>
      <c r="I24" s="110"/>
      <c r="J24" s="34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10"/>
      <c r="X24" s="110"/>
      <c r="Y24" s="110"/>
      <c r="Z24" s="110"/>
    </row>
    <row r="25" spans="1:26" ht="13.5" customHeight="1">
      <c r="A25" s="351"/>
      <c r="B25" s="431" t="s">
        <v>3973</v>
      </c>
      <c r="C25" s="22" t="s">
        <v>3974</v>
      </c>
      <c r="D25" s="338">
        <f>SUM(D26:D28)</f>
        <v>107355431</v>
      </c>
      <c r="E25" s="330"/>
      <c r="F25" s="388"/>
      <c r="G25" s="110"/>
      <c r="H25" s="110"/>
      <c r="I25" s="110"/>
      <c r="J25" s="34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10"/>
      <c r="X25" s="110"/>
      <c r="Y25" s="110"/>
      <c r="Z25" s="110"/>
    </row>
    <row r="26" spans="1:26" ht="13.5" customHeight="1">
      <c r="A26" s="110"/>
      <c r="B26" s="68" t="s">
        <v>3975</v>
      </c>
      <c r="C26" s="340" t="s">
        <v>3976</v>
      </c>
      <c r="D26" s="341">
        <f>TB!X26-TB!Y26</f>
        <v>0</v>
      </c>
      <c r="E26" s="330"/>
      <c r="F26" s="388"/>
      <c r="G26" s="110"/>
      <c r="H26" s="110"/>
      <c r="I26" s="110"/>
      <c r="J26" s="34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10"/>
      <c r="X26" s="110"/>
      <c r="Y26" s="110"/>
      <c r="Z26" s="110"/>
    </row>
    <row r="27" spans="1:26" ht="13.5" customHeight="1">
      <c r="A27" s="110"/>
      <c r="B27" s="68" t="s">
        <v>63</v>
      </c>
      <c r="C27" s="340" t="s">
        <v>3977</v>
      </c>
      <c r="D27" s="341">
        <f>TB!X27-TB!Y27</f>
        <v>80934978</v>
      </c>
      <c r="E27" s="330"/>
      <c r="F27" s="388"/>
      <c r="G27" s="110"/>
      <c r="H27" s="110"/>
      <c r="I27" s="110"/>
      <c r="J27" s="34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10"/>
      <c r="X27" s="110"/>
      <c r="Y27" s="110"/>
      <c r="Z27" s="110"/>
    </row>
    <row r="28" spans="1:26" ht="13.5" customHeight="1">
      <c r="A28" s="110"/>
      <c r="B28" s="68" t="s">
        <v>1573</v>
      </c>
      <c r="C28" s="340" t="s">
        <v>3978</v>
      </c>
      <c r="D28" s="341">
        <f>TB!X28-TB!Y28</f>
        <v>26420453</v>
      </c>
      <c r="E28" s="330"/>
      <c r="F28" s="388"/>
      <c r="G28" s="110"/>
      <c r="H28" s="110"/>
      <c r="I28" s="110"/>
      <c r="J28" s="34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10"/>
      <c r="X28" s="110"/>
      <c r="Y28" s="110"/>
      <c r="Z28" s="110"/>
    </row>
    <row r="29" spans="1:26" ht="13.5" customHeight="1">
      <c r="A29" s="110"/>
      <c r="B29" s="68"/>
      <c r="C29" s="340"/>
      <c r="D29" s="341"/>
      <c r="E29" s="364"/>
      <c r="F29" s="388"/>
      <c r="G29" s="110"/>
      <c r="H29" s="110"/>
      <c r="I29" s="110"/>
      <c r="J29" s="34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10"/>
      <c r="X29" s="110"/>
      <c r="Y29" s="110"/>
      <c r="Z29" s="110"/>
    </row>
    <row r="30" spans="1:26" ht="13.5" customHeight="1">
      <c r="A30" s="351"/>
      <c r="B30" s="431" t="s">
        <v>3979</v>
      </c>
      <c r="C30" s="22" t="s">
        <v>3980</v>
      </c>
      <c r="D30" s="338">
        <f>SUM(D31:D38)</f>
        <v>64703821</v>
      </c>
      <c r="E30" s="330"/>
      <c r="F30" s="388"/>
      <c r="G30" s="110"/>
      <c r="H30" s="110"/>
      <c r="I30" s="110"/>
      <c r="J30" s="34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10"/>
      <c r="X30" s="110"/>
      <c r="Y30" s="110"/>
      <c r="Z30" s="110"/>
    </row>
    <row r="31" spans="1:26" ht="13.5" customHeight="1">
      <c r="A31" s="110"/>
      <c r="B31" s="68" t="s">
        <v>69</v>
      </c>
      <c r="C31" s="328" t="s">
        <v>3981</v>
      </c>
      <c r="D31" s="341">
        <f>TB!X30-TB!Y30</f>
        <v>0</v>
      </c>
      <c r="E31" s="330"/>
      <c r="F31" s="388"/>
      <c r="G31" s="110"/>
      <c r="H31" s="110"/>
      <c r="I31" s="110"/>
      <c r="J31" s="34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10"/>
      <c r="X31" s="110"/>
      <c r="Y31" s="110"/>
      <c r="Z31" s="110"/>
    </row>
    <row r="32" spans="1:26" ht="13.5" customHeight="1">
      <c r="A32" s="110"/>
      <c r="B32" s="68" t="s">
        <v>3982</v>
      </c>
      <c r="C32" s="328" t="s">
        <v>3983</v>
      </c>
      <c r="D32" s="341">
        <f>TB!X31-TB!Y31</f>
        <v>0</v>
      </c>
      <c r="E32" s="330"/>
      <c r="F32" s="388"/>
      <c r="G32" s="110"/>
      <c r="H32" s="110"/>
      <c r="I32" s="110"/>
      <c r="J32" s="34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10"/>
      <c r="X32" s="110"/>
      <c r="Y32" s="110"/>
      <c r="Z32" s="110"/>
    </row>
    <row r="33" spans="1:26" ht="13.5" customHeight="1">
      <c r="A33" s="110"/>
      <c r="B33" s="68" t="s">
        <v>48</v>
      </c>
      <c r="C33" s="328" t="s">
        <v>3984</v>
      </c>
      <c r="D33" s="341">
        <f>TB!X32-TB!Y32</f>
        <v>57780551</v>
      </c>
      <c r="E33" s="330"/>
      <c r="F33" s="388"/>
      <c r="G33" s="110"/>
      <c r="H33" s="110"/>
      <c r="I33" s="110"/>
      <c r="J33" s="34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10"/>
      <c r="X33" s="110"/>
      <c r="Y33" s="110"/>
      <c r="Z33" s="110"/>
    </row>
    <row r="34" spans="1:26" ht="13.5" customHeight="1">
      <c r="A34" s="110"/>
      <c r="B34" s="68" t="s">
        <v>58</v>
      </c>
      <c r="C34" s="328" t="s">
        <v>3985</v>
      </c>
      <c r="D34" s="341">
        <f>TB!X33-TB!Y33</f>
        <v>0</v>
      </c>
      <c r="E34" s="330"/>
      <c r="F34" s="388"/>
      <c r="G34" s="110"/>
      <c r="H34" s="110"/>
      <c r="I34" s="110"/>
      <c r="J34" s="34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10"/>
      <c r="X34" s="110"/>
      <c r="Y34" s="110"/>
      <c r="Z34" s="110"/>
    </row>
    <row r="35" spans="1:26" ht="13.5" customHeight="1">
      <c r="A35" s="110"/>
      <c r="B35" s="68" t="s">
        <v>67</v>
      </c>
      <c r="C35" s="328" t="s">
        <v>3986</v>
      </c>
      <c r="D35" s="341">
        <f>TB!X34-TB!Y34</f>
        <v>143750</v>
      </c>
      <c r="E35" s="330"/>
      <c r="F35" s="388"/>
      <c r="G35" s="110"/>
      <c r="H35" s="110"/>
      <c r="I35" s="110"/>
      <c r="J35" s="34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10"/>
      <c r="X35" s="110"/>
      <c r="Y35" s="110"/>
      <c r="Z35" s="110"/>
    </row>
    <row r="36" spans="1:26" ht="13.5" customHeight="1">
      <c r="A36" s="110"/>
      <c r="B36" s="68" t="s">
        <v>45</v>
      </c>
      <c r="C36" s="328" t="s">
        <v>3987</v>
      </c>
      <c r="D36" s="341">
        <f>TB!X35-TB!Y35</f>
        <v>0</v>
      </c>
      <c r="E36" s="330"/>
      <c r="F36" s="388"/>
      <c r="G36" s="110"/>
      <c r="H36" s="110"/>
      <c r="I36" s="110"/>
      <c r="J36" s="34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10"/>
      <c r="X36" s="110"/>
      <c r="Y36" s="110"/>
      <c r="Z36" s="110"/>
    </row>
    <row r="37" spans="1:26" ht="13.5" customHeight="1">
      <c r="A37" s="110"/>
      <c r="B37" s="68" t="s">
        <v>42</v>
      </c>
      <c r="C37" s="328" t="s">
        <v>3988</v>
      </c>
      <c r="D37" s="341">
        <f>TB!X36-TB!Y36</f>
        <v>6779520</v>
      </c>
      <c r="E37" s="330"/>
      <c r="F37" s="388"/>
      <c r="G37" s="110"/>
      <c r="H37" s="110"/>
      <c r="I37" s="110"/>
      <c r="J37" s="34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10"/>
      <c r="X37" s="110"/>
      <c r="Y37" s="110"/>
      <c r="Z37" s="110"/>
    </row>
    <row r="38" spans="1:26" ht="13.5" customHeight="1">
      <c r="A38" s="110"/>
      <c r="B38" s="68" t="s">
        <v>3989</v>
      </c>
      <c r="C38" s="340" t="str">
        <f>TB!C37</f>
        <v>STARXP</v>
      </c>
      <c r="D38" s="341">
        <f>TB!X37-TB!Y37</f>
        <v>0</v>
      </c>
      <c r="E38" s="330"/>
      <c r="F38" s="388"/>
      <c r="G38" s="110"/>
      <c r="H38" s="110"/>
      <c r="I38" s="110"/>
      <c r="J38" s="34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10"/>
      <c r="X38" s="110"/>
      <c r="Y38" s="110"/>
      <c r="Z38" s="110"/>
    </row>
    <row r="39" spans="1:26" ht="13.5" customHeight="1">
      <c r="A39" s="110"/>
      <c r="B39" s="431" t="s">
        <v>3990</v>
      </c>
      <c r="C39" s="22" t="s">
        <v>3991</v>
      </c>
      <c r="D39" s="338">
        <f>SUM(D40)</f>
        <v>18751704656</v>
      </c>
      <c r="E39" s="330"/>
      <c r="F39" s="388"/>
      <c r="G39" s="110"/>
      <c r="H39" s="110"/>
      <c r="I39" s="110"/>
      <c r="J39" s="34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10"/>
      <c r="X39" s="110"/>
      <c r="Y39" s="110"/>
      <c r="Z39" s="110"/>
    </row>
    <row r="40" spans="1:26" ht="13.5" customHeight="1">
      <c r="A40" s="110"/>
      <c r="B40" s="68" t="s">
        <v>175</v>
      </c>
      <c r="C40" s="340" t="str">
        <f>TB!C40</f>
        <v xml:space="preserve">Intercompany Receivable – Treasury StarPOINTS </v>
      </c>
      <c r="D40" s="341">
        <f>TB!X39-TB!Y39</f>
        <v>18751704656</v>
      </c>
      <c r="E40" s="330"/>
      <c r="F40" s="388"/>
      <c r="G40" s="110"/>
      <c r="H40" s="110"/>
      <c r="I40" s="110"/>
      <c r="J40" s="34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10"/>
      <c r="X40" s="110"/>
      <c r="Y40" s="110"/>
      <c r="Z40" s="110"/>
    </row>
    <row r="41" spans="1:26" ht="13.5" customHeight="1">
      <c r="A41" s="110"/>
      <c r="B41" s="431" t="s">
        <v>3993</v>
      </c>
      <c r="C41" s="22" t="s">
        <v>3994</v>
      </c>
      <c r="D41" s="338">
        <f>D39+D30+D25</f>
        <v>18923763908</v>
      </c>
      <c r="E41" s="330"/>
      <c r="F41" s="388"/>
      <c r="G41" s="110"/>
      <c r="H41" s="110"/>
      <c r="I41" s="110"/>
      <c r="J41" s="34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10"/>
      <c r="X41" s="110"/>
      <c r="Y41" s="110"/>
      <c r="Z41" s="110"/>
    </row>
    <row r="42" spans="1:26" ht="13.5" customHeight="1">
      <c r="A42" s="110"/>
      <c r="B42" s="68"/>
      <c r="C42" s="340"/>
      <c r="D42" s="341"/>
      <c r="E42" s="364"/>
      <c r="F42" s="388"/>
      <c r="G42" s="110"/>
      <c r="H42" s="110"/>
      <c r="I42" s="110"/>
      <c r="J42" s="34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10"/>
      <c r="X42" s="110"/>
      <c r="Y42" s="110"/>
      <c r="Z42" s="110"/>
    </row>
    <row r="43" spans="1:26" ht="13.5" customHeight="1">
      <c r="A43" s="351"/>
      <c r="B43" s="431" t="s">
        <v>3818</v>
      </c>
      <c r="C43" s="22" t="s">
        <v>3819</v>
      </c>
      <c r="D43" s="338"/>
      <c r="E43" s="330"/>
      <c r="F43" s="388"/>
      <c r="G43" s="110"/>
      <c r="H43" s="110"/>
      <c r="I43" s="110"/>
      <c r="J43" s="34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10"/>
      <c r="X43" s="110"/>
      <c r="Y43" s="110"/>
      <c r="Z43" s="110"/>
    </row>
    <row r="44" spans="1:26" ht="13.5" customHeight="1">
      <c r="A44" s="110"/>
      <c r="B44" s="68" t="s">
        <v>3621</v>
      </c>
      <c r="C44" s="340" t="s">
        <v>3820</v>
      </c>
      <c r="D44" s="341">
        <f>TB!X44-TB!Y44</f>
        <v>45808208.406244531</v>
      </c>
      <c r="E44" s="330"/>
      <c r="F44" s="388"/>
      <c r="G44" s="110"/>
      <c r="H44" s="110"/>
      <c r="I44" s="110"/>
      <c r="J44" s="34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10"/>
      <c r="X44" s="110"/>
      <c r="Y44" s="110"/>
      <c r="Z44" s="110"/>
    </row>
    <row r="45" spans="1:26" ht="13.5" customHeight="1">
      <c r="A45" s="110"/>
      <c r="B45" s="68" t="s">
        <v>3623</v>
      </c>
      <c r="C45" s="340" t="s">
        <v>5418</v>
      </c>
      <c r="D45" s="341">
        <f>TB!X334-TB!Y334</f>
        <v>659559404.27843189</v>
      </c>
      <c r="E45" s="330"/>
      <c r="F45" s="388"/>
      <c r="G45" s="110"/>
      <c r="H45" s="110"/>
      <c r="I45" s="110"/>
      <c r="J45" s="34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10"/>
      <c r="X45" s="110"/>
      <c r="Y45" s="110"/>
      <c r="Z45" s="110"/>
    </row>
    <row r="46" spans="1:26" ht="13.5" customHeight="1">
      <c r="A46" s="110"/>
      <c r="B46" s="68" t="s">
        <v>3625</v>
      </c>
      <c r="C46" s="340" t="s">
        <v>5419</v>
      </c>
      <c r="D46" s="341">
        <f>TB!X673-TB!Y673</f>
        <v>3140526.1181818182</v>
      </c>
      <c r="E46" s="330"/>
      <c r="F46" s="388"/>
      <c r="G46" s="110"/>
      <c r="H46" s="110"/>
      <c r="I46" s="110"/>
      <c r="J46" s="344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spans="1:26" ht="13.5" customHeight="1">
      <c r="A47" s="110"/>
      <c r="B47" s="68" t="s">
        <v>3627</v>
      </c>
      <c r="C47" s="340" t="s">
        <v>5420</v>
      </c>
      <c r="D47" s="341">
        <f>TB!X714-TB!Y714</f>
        <v>1594328.423491329</v>
      </c>
      <c r="E47" s="330"/>
      <c r="F47" s="388"/>
      <c r="G47" s="110"/>
      <c r="H47" s="110"/>
      <c r="I47" s="110"/>
      <c r="J47" s="344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spans="1:26" ht="13.5" customHeight="1">
      <c r="A48" s="110"/>
      <c r="B48" s="68" t="s">
        <v>5093</v>
      </c>
      <c r="C48" s="340" t="s">
        <v>5094</v>
      </c>
      <c r="D48" s="341">
        <f>TB!X805-TB!Y805</f>
        <v>60000000</v>
      </c>
      <c r="E48" s="330"/>
      <c r="F48" s="388"/>
      <c r="G48" s="110"/>
      <c r="H48" s="110"/>
      <c r="I48" s="110"/>
      <c r="J48" s="34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10"/>
      <c r="X48" s="110"/>
      <c r="Y48" s="110"/>
      <c r="Z48" s="110"/>
    </row>
    <row r="49" spans="1:26" ht="13.5" customHeight="1">
      <c r="A49" s="110"/>
      <c r="B49" s="68" t="s">
        <v>3629</v>
      </c>
      <c r="C49" s="340" t="s">
        <v>3630</v>
      </c>
      <c r="D49" s="341">
        <f>TB!X757-TB!Y757</f>
        <v>0</v>
      </c>
      <c r="E49" s="330"/>
      <c r="F49" s="388"/>
      <c r="G49" s="110"/>
      <c r="H49" s="110"/>
      <c r="I49" s="110"/>
      <c r="J49" s="34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10"/>
      <c r="X49" s="110"/>
      <c r="Y49" s="110"/>
      <c r="Z49" s="110"/>
    </row>
    <row r="50" spans="1:26" ht="13.5" customHeight="1">
      <c r="A50" s="110"/>
      <c r="B50" s="431" t="s">
        <v>5095</v>
      </c>
      <c r="C50" s="22" t="s">
        <v>5096</v>
      </c>
      <c r="D50" s="338">
        <f>SUM(D44:D49)</f>
        <v>770102467.22634959</v>
      </c>
      <c r="E50" s="330"/>
      <c r="F50" s="388"/>
      <c r="G50" s="110"/>
      <c r="H50" s="110"/>
      <c r="I50" s="110"/>
      <c r="J50" s="34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10"/>
      <c r="X50" s="110"/>
      <c r="Y50" s="110"/>
      <c r="Z50" s="110"/>
    </row>
    <row r="51" spans="1:26" ht="13.5" customHeight="1">
      <c r="A51" s="110"/>
      <c r="B51" s="68"/>
      <c r="C51" s="340"/>
      <c r="D51" s="341"/>
      <c r="E51" s="364"/>
      <c r="F51" s="388"/>
      <c r="G51" s="110"/>
      <c r="H51" s="110"/>
      <c r="I51" s="110"/>
      <c r="J51" s="34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10"/>
      <c r="X51" s="110"/>
      <c r="Y51" s="110"/>
      <c r="Z51" s="110"/>
    </row>
    <row r="52" spans="1:26" ht="13.5" customHeight="1">
      <c r="A52" s="351"/>
      <c r="B52" s="431" t="s">
        <v>5097</v>
      </c>
      <c r="C52" s="22" t="s">
        <v>5098</v>
      </c>
      <c r="D52" s="338"/>
      <c r="E52" s="330"/>
      <c r="F52" s="388"/>
      <c r="G52" s="110"/>
      <c r="H52" s="110"/>
      <c r="I52" s="110"/>
      <c r="J52" s="34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10"/>
      <c r="X52" s="110"/>
      <c r="Y52" s="110"/>
      <c r="Z52" s="110"/>
    </row>
    <row r="53" spans="1:26" ht="13.5" customHeight="1">
      <c r="A53" s="110"/>
      <c r="B53" s="68" t="s">
        <v>5099</v>
      </c>
      <c r="C53" s="340" t="s">
        <v>5100</v>
      </c>
      <c r="D53" s="341">
        <f>TB!X810-TB!Y810</f>
        <v>0</v>
      </c>
      <c r="E53" s="330"/>
      <c r="F53" s="388"/>
      <c r="G53" s="110"/>
      <c r="H53" s="110"/>
      <c r="I53" s="110"/>
      <c r="J53" s="34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10"/>
      <c r="X53" s="110"/>
      <c r="Y53" s="110"/>
      <c r="Z53" s="110"/>
    </row>
    <row r="54" spans="1:26" ht="13.5" customHeight="1">
      <c r="A54" s="110"/>
      <c r="B54" s="68" t="s">
        <v>5101</v>
      </c>
      <c r="C54" s="340" t="s">
        <v>5102</v>
      </c>
      <c r="D54" s="341">
        <f>TB!X811-TB!Y811</f>
        <v>29082000</v>
      </c>
      <c r="E54" s="330"/>
      <c r="F54" s="388"/>
      <c r="G54" s="110"/>
      <c r="H54" s="110"/>
      <c r="I54" s="110"/>
      <c r="J54" s="34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10"/>
      <c r="X54" s="110"/>
      <c r="Y54" s="110"/>
      <c r="Z54" s="110"/>
    </row>
    <row r="55" spans="1:26" ht="13.5" customHeight="1">
      <c r="A55" s="110"/>
      <c r="B55" s="68" t="s">
        <v>1219</v>
      </c>
      <c r="C55" s="340" t="s">
        <v>5103</v>
      </c>
      <c r="D55" s="341">
        <f>TB!X812-TB!Y812</f>
        <v>1500000000</v>
      </c>
      <c r="E55" s="330"/>
      <c r="F55" s="388"/>
      <c r="G55" s="110"/>
      <c r="H55" s="110"/>
      <c r="I55" s="110"/>
      <c r="J55" s="34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10"/>
      <c r="X55" s="110"/>
      <c r="Y55" s="110"/>
      <c r="Z55" s="110"/>
    </row>
    <row r="56" spans="1:26" ht="13.5" customHeight="1">
      <c r="A56" s="110"/>
      <c r="B56" s="68" t="s">
        <v>5104</v>
      </c>
      <c r="C56" s="340" t="s">
        <v>5105</v>
      </c>
      <c r="D56" s="341">
        <f>TB!X813-TB!Y813</f>
        <v>0</v>
      </c>
      <c r="E56" s="330"/>
      <c r="F56" s="388"/>
      <c r="G56" s="110"/>
      <c r="H56" s="110"/>
      <c r="I56" s="110"/>
      <c r="J56" s="34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10"/>
      <c r="X56" s="110"/>
      <c r="Y56" s="110"/>
      <c r="Z56" s="110"/>
    </row>
    <row r="57" spans="1:26" ht="13.5" customHeight="1">
      <c r="A57" s="110"/>
      <c r="B57" s="68" t="s">
        <v>5106</v>
      </c>
      <c r="C57" s="340" t="s">
        <v>5107</v>
      </c>
      <c r="D57" s="341">
        <f>TB!X814-TB!Y814</f>
        <v>0</v>
      </c>
      <c r="E57" s="330"/>
      <c r="F57" s="388"/>
      <c r="G57" s="110"/>
      <c r="H57" s="110"/>
      <c r="I57" s="110"/>
      <c r="J57" s="34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10"/>
      <c r="X57" s="110"/>
      <c r="Y57" s="110"/>
      <c r="Z57" s="110"/>
    </row>
    <row r="58" spans="1:26" ht="13.5" customHeight="1">
      <c r="A58" s="110"/>
      <c r="B58" s="68" t="s">
        <v>5108</v>
      </c>
      <c r="C58" s="340" t="s">
        <v>5109</v>
      </c>
      <c r="D58" s="341">
        <f>TB!X815-TB!Y815</f>
        <v>0</v>
      </c>
      <c r="E58" s="330"/>
      <c r="F58" s="388"/>
      <c r="G58" s="110"/>
      <c r="H58" s="110"/>
      <c r="I58" s="110"/>
      <c r="J58" s="34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10"/>
      <c r="X58" s="110"/>
      <c r="Y58" s="110"/>
      <c r="Z58" s="110"/>
    </row>
    <row r="59" spans="1:26" ht="13.5" customHeight="1">
      <c r="A59" s="110"/>
      <c r="B59" s="68" t="s">
        <v>1712</v>
      </c>
      <c r="C59" s="340" t="s">
        <v>5110</v>
      </c>
      <c r="D59" s="341">
        <f>TB!X816-TB!Y816</f>
        <v>4440000</v>
      </c>
      <c r="E59" s="330"/>
      <c r="F59" s="388"/>
      <c r="G59" s="110"/>
      <c r="H59" s="110"/>
      <c r="I59" s="110"/>
      <c r="J59" s="34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10"/>
      <c r="X59" s="110"/>
      <c r="Y59" s="110"/>
      <c r="Z59" s="110"/>
    </row>
    <row r="60" spans="1:26" ht="13.5" customHeight="1">
      <c r="A60" s="110"/>
      <c r="B60" s="68" t="s">
        <v>5111</v>
      </c>
      <c r="C60" s="340" t="s">
        <v>5112</v>
      </c>
      <c r="D60" s="341">
        <f>TB!X817-TB!Y817</f>
        <v>0</v>
      </c>
      <c r="E60" s="330"/>
      <c r="F60" s="388"/>
      <c r="G60" s="110"/>
      <c r="H60" s="110"/>
      <c r="I60" s="110"/>
      <c r="J60" s="34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10"/>
      <c r="X60" s="110"/>
      <c r="Y60" s="110"/>
      <c r="Z60" s="110"/>
    </row>
    <row r="61" spans="1:26" ht="13.5" customHeight="1">
      <c r="A61" s="110"/>
      <c r="B61" s="68" t="s">
        <v>3687</v>
      </c>
      <c r="C61" s="340" t="s">
        <v>3688</v>
      </c>
      <c r="D61" s="341">
        <f>TB!X818-TB!Y818</f>
        <v>156129983</v>
      </c>
      <c r="E61" s="330"/>
      <c r="F61" s="388"/>
      <c r="G61" s="110"/>
      <c r="H61" s="110"/>
      <c r="I61" s="110"/>
      <c r="J61" s="34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10"/>
      <c r="X61" s="110"/>
      <c r="Y61" s="110"/>
      <c r="Z61" s="110"/>
    </row>
    <row r="62" spans="1:26" ht="13.5" customHeight="1">
      <c r="A62" s="110"/>
      <c r="B62" s="68" t="s">
        <v>140</v>
      </c>
      <c r="C62" s="340" t="s">
        <v>3659</v>
      </c>
      <c r="D62" s="341">
        <f>TB!X819-TB!Y819</f>
        <v>57568115</v>
      </c>
      <c r="E62" s="330"/>
      <c r="F62" s="388"/>
      <c r="G62" s="110"/>
      <c r="H62" s="110"/>
      <c r="I62" s="110"/>
      <c r="J62" s="34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10"/>
      <c r="X62" s="110"/>
      <c r="Y62" s="110"/>
      <c r="Z62" s="110"/>
    </row>
    <row r="63" spans="1:26" ht="13.5" customHeight="1">
      <c r="A63" s="110"/>
      <c r="B63" s="431" t="s">
        <v>5113</v>
      </c>
      <c r="C63" s="22" t="s">
        <v>5114</v>
      </c>
      <c r="D63" s="338">
        <f>SUM(D53:D62)</f>
        <v>1747220098</v>
      </c>
      <c r="E63" s="330"/>
      <c r="F63" s="388"/>
      <c r="G63" s="110"/>
      <c r="H63" s="110"/>
      <c r="I63" s="110"/>
      <c r="J63" s="34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10"/>
      <c r="X63" s="110"/>
      <c r="Y63" s="110"/>
      <c r="Z63" s="110"/>
    </row>
    <row r="64" spans="1:26" ht="13.5" customHeight="1">
      <c r="A64" s="110"/>
      <c r="B64" s="68"/>
      <c r="C64" s="340"/>
      <c r="D64" s="341"/>
      <c r="E64" s="364"/>
      <c r="F64" s="388"/>
      <c r="G64" s="110"/>
      <c r="H64" s="110"/>
      <c r="I64" s="110"/>
      <c r="J64" s="34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10"/>
      <c r="X64" s="110"/>
      <c r="Y64" s="110"/>
      <c r="Z64" s="110"/>
    </row>
    <row r="65" spans="1:26" ht="13.5" customHeight="1">
      <c r="A65" s="351"/>
      <c r="B65" s="431" t="s">
        <v>5115</v>
      </c>
      <c r="C65" s="22" t="s">
        <v>5116</v>
      </c>
      <c r="D65" s="338"/>
      <c r="E65" s="330"/>
      <c r="F65" s="388"/>
      <c r="G65" s="110"/>
      <c r="H65" s="110"/>
      <c r="I65" s="110"/>
      <c r="J65" s="34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10"/>
      <c r="X65" s="110"/>
      <c r="Y65" s="110"/>
      <c r="Z65" s="110"/>
    </row>
    <row r="66" spans="1:26" ht="13.5" customHeight="1">
      <c r="A66" s="110"/>
      <c r="B66" s="68" t="s">
        <v>5117</v>
      </c>
      <c r="C66" s="340" t="s">
        <v>5118</v>
      </c>
      <c r="D66" s="341">
        <f>TB!X823-TB!Y823</f>
        <v>0</v>
      </c>
      <c r="E66" s="330"/>
      <c r="F66" s="388"/>
      <c r="G66" s="110"/>
      <c r="H66" s="110"/>
      <c r="I66" s="110"/>
      <c r="J66" s="34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10"/>
      <c r="X66" s="110"/>
      <c r="Y66" s="110"/>
      <c r="Z66" s="110"/>
    </row>
    <row r="67" spans="1:26" ht="13.5" customHeight="1">
      <c r="A67" s="110"/>
      <c r="B67" s="68" t="s">
        <v>5119</v>
      </c>
      <c r="C67" s="340" t="s">
        <v>5120</v>
      </c>
      <c r="D67" s="341">
        <f>TB!X824-TB!Y824</f>
        <v>0</v>
      </c>
      <c r="E67" s="330"/>
      <c r="F67" s="388"/>
      <c r="G67" s="110"/>
      <c r="H67" s="110"/>
      <c r="I67" s="110"/>
      <c r="J67" s="34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10"/>
      <c r="X67" s="110"/>
      <c r="Y67" s="110"/>
      <c r="Z67" s="110"/>
    </row>
    <row r="68" spans="1:26" ht="13.5" customHeight="1">
      <c r="A68" s="110"/>
      <c r="B68" s="68" t="s">
        <v>5121</v>
      </c>
      <c r="C68" s="340" t="s">
        <v>5122</v>
      </c>
      <c r="D68" s="341">
        <f>TB!X825-TB!Y825</f>
        <v>0</v>
      </c>
      <c r="E68" s="330"/>
      <c r="F68" s="388"/>
      <c r="G68" s="110"/>
      <c r="H68" s="110"/>
      <c r="I68" s="110"/>
      <c r="J68" s="34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10"/>
      <c r="X68" s="110"/>
      <c r="Y68" s="110"/>
      <c r="Z68" s="110"/>
    </row>
    <row r="69" spans="1:26" ht="13.5" customHeight="1">
      <c r="A69" s="110"/>
      <c r="B69" s="68" t="s">
        <v>5123</v>
      </c>
      <c r="C69" s="340" t="s">
        <v>5124</v>
      </c>
      <c r="D69" s="341">
        <f>TB!X826-TB!Y826</f>
        <v>0</v>
      </c>
      <c r="E69" s="330"/>
      <c r="F69" s="388"/>
      <c r="G69" s="110"/>
      <c r="H69" s="110"/>
      <c r="I69" s="110"/>
      <c r="J69" s="34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10"/>
      <c r="X69" s="110"/>
      <c r="Y69" s="110"/>
      <c r="Z69" s="110"/>
    </row>
    <row r="70" spans="1:26" ht="13.5" customHeight="1">
      <c r="A70" s="110"/>
      <c r="B70" s="431" t="s">
        <v>5125</v>
      </c>
      <c r="C70" s="22" t="s">
        <v>5126</v>
      </c>
      <c r="D70" s="341">
        <f>SUM(D66:D69)</f>
        <v>0</v>
      </c>
      <c r="E70" s="330"/>
      <c r="F70" s="388"/>
      <c r="G70" s="110"/>
      <c r="H70" s="110"/>
      <c r="I70" s="110"/>
      <c r="J70" s="34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10"/>
      <c r="X70" s="110"/>
      <c r="Y70" s="110"/>
      <c r="Z70" s="110"/>
    </row>
    <row r="71" spans="1:26" ht="13.5" customHeight="1">
      <c r="A71" s="110"/>
      <c r="B71" s="68"/>
      <c r="C71" s="22"/>
      <c r="D71" s="341"/>
      <c r="E71" s="330"/>
      <c r="F71" s="388"/>
      <c r="G71" s="110"/>
      <c r="H71" s="110"/>
      <c r="I71" s="110"/>
      <c r="J71" s="34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10"/>
      <c r="X71" s="110"/>
      <c r="Y71" s="110"/>
      <c r="Z71" s="110"/>
    </row>
    <row r="72" spans="1:26" ht="13.5" customHeight="1">
      <c r="A72" s="110"/>
      <c r="B72" s="431" t="s">
        <v>5127</v>
      </c>
      <c r="C72" s="22" t="s">
        <v>5128</v>
      </c>
      <c r="D72" s="338">
        <f>D70+D63+D50+D41+D23</f>
        <v>21785292366.048351</v>
      </c>
      <c r="E72" s="330"/>
      <c r="F72" s="388"/>
      <c r="G72" s="110"/>
      <c r="H72" s="110"/>
      <c r="I72" s="110"/>
      <c r="J72" s="34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10"/>
      <c r="X72" s="110"/>
      <c r="Y72" s="110"/>
      <c r="Z72" s="110"/>
    </row>
    <row r="73" spans="1:26" ht="13.5" customHeight="1">
      <c r="A73" s="110"/>
      <c r="B73" s="68"/>
      <c r="C73" s="340"/>
      <c r="D73" s="341"/>
      <c r="E73" s="330"/>
      <c r="F73" s="388"/>
      <c r="G73" s="110"/>
      <c r="H73" s="110"/>
      <c r="I73" s="110"/>
      <c r="J73" s="34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10"/>
      <c r="X73" s="110"/>
      <c r="Y73" s="110"/>
      <c r="Z73" s="110"/>
    </row>
    <row r="74" spans="1:26" ht="13.5" customHeight="1">
      <c r="A74" s="110"/>
      <c r="B74" s="431" t="s">
        <v>5129</v>
      </c>
      <c r="C74" s="22" t="s">
        <v>5130</v>
      </c>
      <c r="D74" s="341"/>
      <c r="E74" s="364"/>
      <c r="F74" s="388"/>
      <c r="G74" s="110"/>
      <c r="H74" s="110"/>
      <c r="I74" s="110"/>
      <c r="J74" s="34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10"/>
      <c r="X74" s="110"/>
      <c r="Y74" s="110"/>
      <c r="Z74" s="110"/>
    </row>
    <row r="75" spans="1:26" ht="13.5" customHeight="1">
      <c r="A75" s="351"/>
      <c r="B75" s="431" t="s">
        <v>5131</v>
      </c>
      <c r="C75" s="22" t="s">
        <v>5132</v>
      </c>
      <c r="D75" s="338"/>
      <c r="E75" s="364"/>
      <c r="F75" s="388"/>
      <c r="G75" s="110"/>
      <c r="H75" s="110"/>
      <c r="I75" s="110"/>
      <c r="J75" s="34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10"/>
      <c r="X75" s="110"/>
      <c r="Y75" s="110"/>
      <c r="Z75" s="110"/>
    </row>
    <row r="76" spans="1:26" ht="13.5" customHeight="1">
      <c r="A76" s="351"/>
      <c r="B76" s="431" t="s">
        <v>5133</v>
      </c>
      <c r="C76" s="418" t="s">
        <v>5134</v>
      </c>
      <c r="D76" s="338"/>
      <c r="E76" s="330"/>
      <c r="F76" s="388"/>
      <c r="G76" s="110"/>
      <c r="H76" s="110"/>
      <c r="I76" s="110"/>
      <c r="J76" s="34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10"/>
      <c r="X76" s="110"/>
      <c r="Y76" s="110"/>
      <c r="Z76" s="110"/>
    </row>
    <row r="77" spans="1:26" ht="13.5" customHeight="1">
      <c r="A77" s="110"/>
      <c r="B77" s="68" t="s">
        <v>5135</v>
      </c>
      <c r="C77" s="390" t="s">
        <v>5136</v>
      </c>
      <c r="D77" s="341">
        <f>TB!X834-TB!Y834</f>
        <v>10023791126</v>
      </c>
      <c r="E77" s="330"/>
      <c r="F77" s="388"/>
      <c r="G77" s="110"/>
      <c r="H77" s="110"/>
      <c r="I77" s="110"/>
      <c r="J77" s="34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10"/>
      <c r="X77" s="110"/>
      <c r="Y77" s="110"/>
      <c r="Z77" s="110"/>
    </row>
    <row r="78" spans="1:26" ht="13.5" customHeight="1">
      <c r="A78" s="110"/>
      <c r="B78" s="68" t="s">
        <v>5137</v>
      </c>
      <c r="C78" s="390" t="s">
        <v>5138</v>
      </c>
      <c r="D78" s="341">
        <f>TB!X835-TB!Y835</f>
        <v>3498061818</v>
      </c>
      <c r="E78" s="330"/>
      <c r="F78" s="388"/>
      <c r="G78" s="110"/>
      <c r="H78" s="110"/>
      <c r="I78" s="110"/>
      <c r="J78" s="34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10"/>
      <c r="X78" s="110"/>
      <c r="Y78" s="110"/>
      <c r="Z78" s="110"/>
    </row>
    <row r="79" spans="1:26" ht="13.5" customHeight="1">
      <c r="A79" s="110"/>
      <c r="B79" s="68" t="s">
        <v>3156</v>
      </c>
      <c r="C79" s="390" t="s">
        <v>5139</v>
      </c>
      <c r="D79" s="341">
        <f>TB!X836-TB!Y836</f>
        <v>6202169449</v>
      </c>
      <c r="E79" s="330"/>
      <c r="F79" s="388"/>
      <c r="G79" s="110"/>
      <c r="H79" s="110"/>
      <c r="I79" s="110"/>
      <c r="J79" s="34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10"/>
      <c r="X79" s="110"/>
      <c r="Y79" s="110"/>
      <c r="Z79" s="110"/>
    </row>
    <row r="80" spans="1:26" ht="13.5" customHeight="1">
      <c r="A80" s="110"/>
      <c r="B80" s="68" t="s">
        <v>5140</v>
      </c>
      <c r="C80" s="390" t="s">
        <v>5141</v>
      </c>
      <c r="D80" s="341">
        <f>TB!X837-TB!Y837</f>
        <v>1128029840</v>
      </c>
      <c r="E80" s="330"/>
      <c r="F80" s="388"/>
      <c r="G80" s="110"/>
      <c r="H80" s="110"/>
      <c r="I80" s="110"/>
      <c r="J80" s="34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10"/>
      <c r="X80" s="110"/>
      <c r="Y80" s="110"/>
      <c r="Z80" s="110"/>
    </row>
    <row r="81" spans="1:26" ht="13.5" customHeight="1">
      <c r="A81" s="110"/>
      <c r="B81" s="68" t="s">
        <v>5142</v>
      </c>
      <c r="C81" s="390" t="s">
        <v>5143</v>
      </c>
      <c r="D81" s="341">
        <f>TB!X838-TB!Y838</f>
        <v>70000000</v>
      </c>
      <c r="E81" s="330"/>
      <c r="F81" s="388"/>
      <c r="G81" s="110"/>
      <c r="H81" s="110"/>
      <c r="I81" s="110"/>
      <c r="J81" s="34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10"/>
      <c r="X81" s="110"/>
      <c r="Y81" s="110"/>
      <c r="Z81" s="110"/>
    </row>
    <row r="82" spans="1:26" ht="13.5" customHeight="1">
      <c r="A82" s="110"/>
      <c r="B82" s="68" t="s">
        <v>5144</v>
      </c>
      <c r="C82" s="390" t="s">
        <v>5145</v>
      </c>
      <c r="D82" s="341">
        <f>TB!X839-TB!Y839</f>
        <v>228000000</v>
      </c>
      <c r="E82" s="330"/>
      <c r="F82" s="388"/>
      <c r="G82" s="110"/>
      <c r="H82" s="110"/>
      <c r="I82" s="110"/>
      <c r="J82" s="34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10"/>
      <c r="X82" s="110"/>
      <c r="Y82" s="110"/>
      <c r="Z82" s="110"/>
    </row>
    <row r="83" spans="1:26" ht="13.5" customHeight="1">
      <c r="A83" s="110"/>
      <c r="B83" s="68" t="s">
        <v>5146</v>
      </c>
      <c r="C83" s="390" t="s">
        <v>5147</v>
      </c>
      <c r="D83" s="341">
        <f>TB!X840-TB!Y840</f>
        <v>287209750</v>
      </c>
      <c r="E83" s="330"/>
      <c r="F83" s="388"/>
      <c r="G83" s="110"/>
      <c r="H83" s="110"/>
      <c r="I83" s="110"/>
      <c r="J83" s="34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10"/>
      <c r="X83" s="110"/>
      <c r="Y83" s="110"/>
      <c r="Z83" s="110"/>
    </row>
    <row r="84" spans="1:26" ht="13.5" customHeight="1">
      <c r="A84" s="110"/>
      <c r="B84" s="68" t="s">
        <v>5148</v>
      </c>
      <c r="C84" s="390" t="s">
        <v>5149</v>
      </c>
      <c r="D84" s="341">
        <f>TB!X841-TB!Y841</f>
        <v>557145000</v>
      </c>
      <c r="E84" s="364"/>
      <c r="F84" s="388"/>
      <c r="G84" s="110"/>
      <c r="H84" s="110"/>
      <c r="I84" s="110"/>
      <c r="J84" s="344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3.5" customHeight="1">
      <c r="A85" s="351"/>
      <c r="B85" s="431" t="s">
        <v>5150</v>
      </c>
      <c r="C85" s="418" t="s">
        <v>5151</v>
      </c>
      <c r="D85" s="338">
        <f>SUM(D76:D84)</f>
        <v>21994406983</v>
      </c>
      <c r="E85" s="364"/>
      <c r="F85" s="388"/>
      <c r="G85" s="110"/>
      <c r="H85" s="110"/>
      <c r="I85" s="110"/>
      <c r="J85" s="34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10"/>
      <c r="X85" s="110"/>
      <c r="Y85" s="110"/>
      <c r="Z85" s="110"/>
    </row>
    <row r="86" spans="1:26" ht="13.5" customHeight="1">
      <c r="A86" s="351"/>
      <c r="B86" s="431" t="s">
        <v>5152</v>
      </c>
      <c r="C86" s="418" t="s">
        <v>5153</v>
      </c>
      <c r="D86" s="338"/>
      <c r="E86" s="330"/>
      <c r="F86" s="388"/>
      <c r="G86" s="110"/>
      <c r="H86" s="110"/>
      <c r="I86" s="110"/>
      <c r="J86" s="34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10"/>
      <c r="X86" s="110"/>
      <c r="Y86" s="110"/>
      <c r="Z86" s="110"/>
    </row>
    <row r="87" spans="1:26" ht="13.5" customHeight="1">
      <c r="A87" s="110"/>
      <c r="B87" s="68" t="s">
        <v>3596</v>
      </c>
      <c r="C87" s="390" t="s">
        <v>5154</v>
      </c>
      <c r="D87" s="341">
        <f>TB!X844-TB!Y844</f>
        <v>-4998541126</v>
      </c>
      <c r="E87" s="330"/>
      <c r="F87" s="388"/>
      <c r="G87" s="110"/>
      <c r="H87" s="110"/>
      <c r="I87" s="110"/>
      <c r="J87" s="34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10"/>
      <c r="X87" s="110"/>
      <c r="Y87" s="110"/>
      <c r="Z87" s="110"/>
    </row>
    <row r="88" spans="1:26" ht="13.5" customHeight="1">
      <c r="A88" s="110"/>
      <c r="B88" s="68" t="s">
        <v>3598</v>
      </c>
      <c r="C88" s="390" t="s">
        <v>3599</v>
      </c>
      <c r="D88" s="341">
        <f>TB!X845-TB!Y845</f>
        <v>-3321450973.2166667</v>
      </c>
      <c r="E88" s="330"/>
      <c r="F88" s="388"/>
      <c r="G88" s="110"/>
      <c r="H88" s="110"/>
      <c r="I88" s="110"/>
      <c r="J88" s="34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10"/>
      <c r="X88" s="110"/>
      <c r="Y88" s="110"/>
      <c r="Z88" s="110"/>
    </row>
    <row r="89" spans="1:26" ht="13.5" customHeight="1">
      <c r="A89" s="110"/>
      <c r="B89" s="68" t="s">
        <v>3600</v>
      </c>
      <c r="C89" s="390" t="s">
        <v>3601</v>
      </c>
      <c r="D89" s="341">
        <f>TB!X846-TB!Y846</f>
        <v>-4194231367.3958335</v>
      </c>
      <c r="E89" s="330"/>
      <c r="F89" s="388"/>
      <c r="G89" s="110"/>
      <c r="H89" s="110"/>
      <c r="I89" s="110"/>
      <c r="J89" s="34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10"/>
      <c r="X89" s="110"/>
      <c r="Y89" s="110"/>
      <c r="Z89" s="110"/>
    </row>
    <row r="90" spans="1:26" ht="13.5" customHeight="1">
      <c r="A90" s="110"/>
      <c r="B90" s="68" t="s">
        <v>3602</v>
      </c>
      <c r="C90" s="390" t="s">
        <v>3603</v>
      </c>
      <c r="D90" s="341">
        <f>TB!X847-TB!Y847</f>
        <v>-1039970999.6666666</v>
      </c>
      <c r="E90" s="330"/>
      <c r="F90" s="388"/>
      <c r="G90" s="110"/>
      <c r="H90" s="110"/>
      <c r="I90" s="110"/>
      <c r="J90" s="34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10"/>
      <c r="X90" s="110"/>
      <c r="Y90" s="110"/>
      <c r="Z90" s="110"/>
    </row>
    <row r="91" spans="1:26" ht="13.5" customHeight="1">
      <c r="A91" s="110"/>
      <c r="B91" s="68" t="s">
        <v>5155</v>
      </c>
      <c r="C91" s="390" t="s">
        <v>5156</v>
      </c>
      <c r="D91" s="341">
        <f>TB!X848-TB!Y848</f>
        <v>-70000002</v>
      </c>
      <c r="E91" s="330"/>
      <c r="F91" s="388"/>
      <c r="G91" s="110"/>
      <c r="H91" s="110"/>
      <c r="I91" s="110"/>
      <c r="J91" s="34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10"/>
      <c r="X91" s="110"/>
      <c r="Y91" s="110"/>
      <c r="Z91" s="110"/>
    </row>
    <row r="92" spans="1:26" ht="13.5" customHeight="1">
      <c r="A92" s="110"/>
      <c r="B92" s="68" t="s">
        <v>3604</v>
      </c>
      <c r="C92" s="390" t="s">
        <v>3605</v>
      </c>
      <c r="D92" s="341">
        <f>TB!X849-TB!Y849</f>
        <v>-153950000</v>
      </c>
      <c r="E92" s="330"/>
      <c r="F92" s="388"/>
      <c r="G92" s="110"/>
      <c r="H92" s="110"/>
      <c r="I92" s="110"/>
      <c r="J92" s="34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10"/>
      <c r="X92" s="110"/>
      <c r="Y92" s="110"/>
      <c r="Z92" s="110"/>
    </row>
    <row r="93" spans="1:26" ht="13.5" customHeight="1">
      <c r="A93" s="110"/>
      <c r="B93" s="68" t="s">
        <v>3606</v>
      </c>
      <c r="C93" s="390" t="s">
        <v>3607</v>
      </c>
      <c r="D93" s="341">
        <f>TB!X850-TB!Y850</f>
        <v>-278938507.58333331</v>
      </c>
      <c r="E93" s="330"/>
      <c r="F93" s="388"/>
      <c r="G93" s="110"/>
      <c r="H93" s="110"/>
      <c r="I93" s="110"/>
      <c r="J93" s="34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10"/>
      <c r="X93" s="110"/>
      <c r="Y93" s="110"/>
      <c r="Z93" s="110"/>
    </row>
    <row r="94" spans="1:26" ht="13.5" customHeight="1">
      <c r="A94" s="110"/>
      <c r="B94" s="68" t="s">
        <v>3608</v>
      </c>
      <c r="C94" s="390" t="s">
        <v>3609</v>
      </c>
      <c r="D94" s="341">
        <f>TB!X851-TB!Y851</f>
        <v>-259859333</v>
      </c>
      <c r="E94" s="364"/>
      <c r="F94" s="388"/>
      <c r="G94" s="110"/>
      <c r="H94" s="110"/>
      <c r="I94" s="110"/>
      <c r="J94" s="344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3.5" customHeight="1">
      <c r="A95" s="351"/>
      <c r="B95" s="431" t="s">
        <v>5157</v>
      </c>
      <c r="C95" s="418" t="s">
        <v>5158</v>
      </c>
      <c r="D95" s="338">
        <f>SUM(D87:D94)</f>
        <v>-14316942308.862501</v>
      </c>
      <c r="E95" s="330"/>
      <c r="F95" s="388"/>
      <c r="G95" s="110"/>
      <c r="H95" s="110"/>
      <c r="I95" s="110"/>
      <c r="J95" s="34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10"/>
      <c r="X95" s="110"/>
      <c r="Y95" s="110"/>
      <c r="Z95" s="110"/>
    </row>
    <row r="96" spans="1:26" ht="13.5" customHeight="1">
      <c r="A96" s="110"/>
      <c r="B96" s="68"/>
      <c r="C96" s="390"/>
      <c r="D96" s="341"/>
      <c r="E96" s="364"/>
      <c r="F96" s="388"/>
      <c r="G96" s="110"/>
      <c r="H96" s="110"/>
      <c r="I96" s="110"/>
      <c r="J96" s="34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10"/>
      <c r="X96" s="110"/>
      <c r="Y96" s="110"/>
      <c r="Z96" s="110"/>
    </row>
    <row r="97" spans="1:26" ht="13.5" customHeight="1">
      <c r="A97" s="351"/>
      <c r="B97" s="431" t="s">
        <v>5159</v>
      </c>
      <c r="C97" s="22" t="s">
        <v>5160</v>
      </c>
      <c r="D97" s="338"/>
      <c r="E97" s="330"/>
      <c r="F97" s="388"/>
      <c r="G97" s="110"/>
      <c r="H97" s="110"/>
      <c r="I97" s="110"/>
      <c r="J97" s="34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10"/>
      <c r="X97" s="110"/>
      <c r="Y97" s="110"/>
      <c r="Z97" s="110"/>
    </row>
    <row r="98" spans="1:26" ht="13.5" customHeight="1">
      <c r="A98" s="110"/>
      <c r="B98" s="68" t="s">
        <v>5161</v>
      </c>
      <c r="C98" s="340" t="s">
        <v>5160</v>
      </c>
      <c r="D98" s="341">
        <f>TB!X855-TB!Y855</f>
        <v>275389400</v>
      </c>
      <c r="E98" s="330"/>
      <c r="F98" s="388"/>
      <c r="G98" s="110"/>
      <c r="H98" s="110"/>
      <c r="I98" s="110"/>
      <c r="J98" s="34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10"/>
      <c r="X98" s="110"/>
      <c r="Y98" s="110"/>
      <c r="Z98" s="110"/>
    </row>
    <row r="99" spans="1:26" ht="13.5" customHeight="1">
      <c r="A99" s="110"/>
      <c r="B99" s="68" t="s">
        <v>5162</v>
      </c>
      <c r="C99" s="340" t="s">
        <v>5163</v>
      </c>
      <c r="D99" s="341">
        <f>TB!X856-TB!Y856</f>
        <v>0</v>
      </c>
      <c r="E99" s="330"/>
      <c r="F99" s="388"/>
      <c r="G99" s="110"/>
      <c r="H99" s="110"/>
      <c r="I99" s="110"/>
      <c r="J99" s="34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110"/>
      <c r="X99" s="110"/>
      <c r="Y99" s="110"/>
      <c r="Z99" s="110"/>
    </row>
    <row r="100" spans="1:26" ht="13.5" customHeight="1">
      <c r="A100" s="110"/>
      <c r="B100" s="68" t="s">
        <v>5164</v>
      </c>
      <c r="C100" s="22" t="s">
        <v>5165</v>
      </c>
      <c r="D100" s="338">
        <f>SUM(D98:D99)</f>
        <v>275389400</v>
      </c>
      <c r="E100" s="330"/>
      <c r="F100" s="388"/>
      <c r="G100" s="110"/>
      <c r="H100" s="110"/>
      <c r="I100" s="110"/>
      <c r="J100" s="34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10"/>
      <c r="X100" s="110"/>
      <c r="Y100" s="110"/>
      <c r="Z100" s="110"/>
    </row>
    <row r="101" spans="1:26" ht="13.5" customHeight="1">
      <c r="A101" s="110"/>
      <c r="B101" s="68"/>
      <c r="C101" s="22"/>
      <c r="D101" s="341"/>
      <c r="E101" s="330"/>
      <c r="F101" s="388"/>
      <c r="G101" s="110"/>
      <c r="H101" s="110"/>
      <c r="I101" s="110"/>
      <c r="J101" s="34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10"/>
      <c r="X101" s="110"/>
      <c r="Y101" s="110"/>
      <c r="Z101" s="110"/>
    </row>
    <row r="102" spans="1:26" ht="13.5" customHeight="1">
      <c r="A102" s="110"/>
      <c r="B102" s="68" t="s">
        <v>5166</v>
      </c>
      <c r="C102" s="22" t="s">
        <v>5167</v>
      </c>
      <c r="D102" s="338">
        <f>D100+D95+D85</f>
        <v>7952854074.1374989</v>
      </c>
      <c r="E102" s="330"/>
      <c r="F102" s="388"/>
      <c r="G102" s="110"/>
      <c r="H102" s="110"/>
      <c r="I102" s="110"/>
      <c r="J102" s="34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10"/>
      <c r="X102" s="110"/>
      <c r="Y102" s="110"/>
      <c r="Z102" s="110"/>
    </row>
    <row r="103" spans="1:26" ht="13.5" customHeight="1">
      <c r="A103" s="110"/>
      <c r="B103" s="68"/>
      <c r="C103" s="22"/>
      <c r="D103" s="338"/>
      <c r="E103" s="330"/>
      <c r="F103" s="388"/>
      <c r="G103" s="110"/>
      <c r="H103" s="110"/>
      <c r="I103" s="110"/>
      <c r="J103" s="34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10"/>
      <c r="X103" s="110"/>
      <c r="Y103" s="110"/>
      <c r="Z103" s="110"/>
    </row>
    <row r="104" spans="1:26" ht="13.5" customHeight="1">
      <c r="A104" s="110"/>
      <c r="B104" s="68" t="s">
        <v>5168</v>
      </c>
      <c r="C104" s="22" t="s">
        <v>5169</v>
      </c>
      <c r="D104" s="338">
        <f>D102+D72</f>
        <v>29738146440.185852</v>
      </c>
      <c r="E104" s="330"/>
      <c r="F104" s="388"/>
      <c r="G104" s="110"/>
      <c r="H104" s="110"/>
      <c r="I104" s="110"/>
      <c r="J104" s="34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10"/>
      <c r="X104" s="110"/>
      <c r="Y104" s="110"/>
      <c r="Z104" s="110"/>
    </row>
    <row r="105" spans="1:26" ht="13.5" customHeight="1">
      <c r="A105" s="110"/>
      <c r="B105" s="68"/>
      <c r="C105" s="390"/>
      <c r="D105" s="341"/>
      <c r="E105" s="364"/>
      <c r="F105" s="388"/>
      <c r="G105" s="110"/>
      <c r="H105" s="110"/>
      <c r="I105" s="110"/>
      <c r="J105" s="34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10"/>
      <c r="X105" s="110"/>
      <c r="Y105" s="110"/>
      <c r="Z105" s="110"/>
    </row>
    <row r="106" spans="1:26" ht="13.5" customHeight="1">
      <c r="A106" s="351"/>
      <c r="B106" s="431" t="s">
        <v>5170</v>
      </c>
      <c r="C106" s="418" t="s">
        <v>5171</v>
      </c>
      <c r="D106" s="338"/>
      <c r="E106" s="364"/>
      <c r="F106" s="388"/>
      <c r="G106" s="110"/>
      <c r="H106" s="110"/>
      <c r="I106" s="110"/>
      <c r="J106" s="34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10"/>
      <c r="X106" s="110"/>
      <c r="Y106" s="110"/>
      <c r="Z106" s="110"/>
    </row>
    <row r="107" spans="1:26" ht="13.5" customHeight="1">
      <c r="A107" s="351"/>
      <c r="B107" s="431" t="s">
        <v>5172</v>
      </c>
      <c r="C107" s="418" t="s">
        <v>5173</v>
      </c>
      <c r="D107" s="338"/>
      <c r="E107" s="330"/>
      <c r="F107" s="388"/>
      <c r="G107" s="110"/>
      <c r="H107" s="110"/>
      <c r="I107" s="110"/>
      <c r="J107" s="34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10"/>
      <c r="X107" s="110"/>
      <c r="Y107" s="110"/>
      <c r="Z107" s="110"/>
    </row>
    <row r="108" spans="1:26" ht="13.5" customHeight="1">
      <c r="A108" s="110"/>
      <c r="B108" s="68" t="s">
        <v>5174</v>
      </c>
      <c r="C108" s="340" t="s">
        <v>5175</v>
      </c>
      <c r="D108" s="341">
        <f>TB!Y865</f>
        <v>107250000</v>
      </c>
      <c r="E108" s="330"/>
      <c r="F108" s="388"/>
      <c r="G108" s="110"/>
      <c r="H108" s="110"/>
      <c r="I108" s="110"/>
      <c r="J108" s="34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10"/>
      <c r="X108" s="110"/>
      <c r="Y108" s="110"/>
      <c r="Z108" s="110"/>
    </row>
    <row r="109" spans="1:26" ht="13.5" customHeight="1">
      <c r="A109" s="110"/>
      <c r="B109" s="68" t="s">
        <v>285</v>
      </c>
      <c r="C109" s="340" t="s">
        <v>5176</v>
      </c>
      <c r="D109" s="341">
        <f>TB!Y866</f>
        <v>1769508988.1600001</v>
      </c>
      <c r="E109" s="330"/>
      <c r="F109" s="388"/>
      <c r="G109" s="110"/>
      <c r="H109" s="110"/>
      <c r="I109" s="110"/>
      <c r="J109" s="34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10"/>
      <c r="X109" s="110"/>
      <c r="Y109" s="110"/>
      <c r="Z109" s="110"/>
    </row>
    <row r="110" spans="1:26" ht="13.5" customHeight="1">
      <c r="A110" s="110"/>
      <c r="B110" s="431"/>
      <c r="C110" s="22"/>
      <c r="D110" s="338"/>
      <c r="E110" s="364"/>
      <c r="F110" s="388"/>
      <c r="G110" s="110"/>
      <c r="H110" s="110"/>
      <c r="I110" s="110"/>
      <c r="J110" s="34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10"/>
      <c r="X110" s="110"/>
      <c r="Y110" s="110"/>
      <c r="Z110" s="110"/>
    </row>
    <row r="111" spans="1:26" ht="13.5" customHeight="1">
      <c r="A111" s="351"/>
      <c r="B111" s="431" t="s">
        <v>5177</v>
      </c>
      <c r="C111" s="418" t="s">
        <v>5178</v>
      </c>
      <c r="D111" s="338">
        <f>SUM(D108:D109)</f>
        <v>1876758988.1600001</v>
      </c>
      <c r="E111" s="330"/>
      <c r="F111" s="388"/>
      <c r="G111" s="110"/>
      <c r="H111" s="110"/>
      <c r="I111" s="110"/>
      <c r="J111" s="34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10"/>
      <c r="X111" s="110"/>
      <c r="Y111" s="110"/>
      <c r="Z111" s="110"/>
    </row>
    <row r="112" spans="1:26" ht="13.5" customHeight="1">
      <c r="A112" s="110"/>
      <c r="B112" s="68"/>
      <c r="C112" s="390"/>
      <c r="D112" s="341"/>
      <c r="E112" s="364"/>
      <c r="F112" s="388"/>
      <c r="G112" s="110"/>
      <c r="H112" s="110"/>
      <c r="I112" s="110"/>
      <c r="J112" s="34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10"/>
      <c r="X112" s="110"/>
      <c r="Y112" s="110"/>
      <c r="Z112" s="110"/>
    </row>
    <row r="113" spans="1:26" ht="13.5" customHeight="1">
      <c r="A113" s="351"/>
      <c r="B113" s="431" t="s">
        <v>5179</v>
      </c>
      <c r="C113" s="418" t="s">
        <v>5180</v>
      </c>
      <c r="D113" s="338"/>
      <c r="E113" s="330"/>
      <c r="F113" s="388"/>
      <c r="G113" s="110"/>
      <c r="H113" s="110"/>
      <c r="I113" s="110"/>
      <c r="J113" s="34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10"/>
      <c r="X113" s="110"/>
      <c r="Y113" s="110"/>
      <c r="Z113" s="110"/>
    </row>
    <row r="114" spans="1:26" ht="13.5" customHeight="1">
      <c r="A114" s="110"/>
      <c r="B114" s="68" t="str">
        <f>TB!B871</f>
        <v>2-2101</v>
      </c>
      <c r="C114" s="390" t="str">
        <f>TB!C871</f>
        <v>Salaries payable</v>
      </c>
      <c r="D114" s="341">
        <f>TB!Y871-TB!X871</f>
        <v>4</v>
      </c>
      <c r="E114" s="330"/>
      <c r="F114" s="388"/>
      <c r="G114" s="110"/>
      <c r="H114" s="110"/>
      <c r="I114" s="110"/>
      <c r="J114" s="34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10"/>
      <c r="X114" s="110"/>
      <c r="Y114" s="110"/>
      <c r="Z114" s="110"/>
    </row>
    <row r="115" spans="1:26" ht="13.5" customHeight="1">
      <c r="A115" s="110"/>
      <c r="B115" s="68" t="str">
        <f>TB!B872</f>
        <v>2-2102</v>
      </c>
      <c r="C115" s="390" t="str">
        <f>TB!C872</f>
        <v>Accrued THR/Bonus</v>
      </c>
      <c r="D115" s="341">
        <f>TB!Y872-TB!X872</f>
        <v>37802011</v>
      </c>
      <c r="E115" s="330"/>
      <c r="F115" s="388"/>
      <c r="G115" s="110"/>
      <c r="H115" s="110"/>
      <c r="I115" s="110"/>
      <c r="J115" s="34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10"/>
      <c r="X115" s="110"/>
      <c r="Y115" s="110"/>
      <c r="Z115" s="110"/>
    </row>
    <row r="116" spans="1:26" ht="13.5" customHeight="1">
      <c r="A116" s="110"/>
      <c r="B116" s="68" t="str">
        <f>TB!B873</f>
        <v>2-2103</v>
      </c>
      <c r="C116" s="390" t="str">
        <f>TB!C873</f>
        <v>Employee Allowance Payable</v>
      </c>
      <c r="D116" s="341">
        <f>TB!Y873-TB!X873</f>
        <v>0</v>
      </c>
      <c r="E116" s="330"/>
      <c r="F116" s="388"/>
      <c r="G116" s="110"/>
      <c r="H116" s="110"/>
      <c r="I116" s="110"/>
      <c r="J116" s="34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10"/>
      <c r="X116" s="110"/>
      <c r="Y116" s="110"/>
      <c r="Z116" s="110"/>
    </row>
    <row r="117" spans="1:26" ht="13.5" customHeight="1">
      <c r="A117" s="110"/>
      <c r="B117" s="68" t="str">
        <f>TB!B874</f>
        <v>2-2104</v>
      </c>
      <c r="C117" s="390" t="str">
        <f>TB!C874</f>
        <v>Jamsostek Payable</v>
      </c>
      <c r="D117" s="341">
        <f>TB!Y874-TB!X874</f>
        <v>76031446</v>
      </c>
      <c r="E117" s="330"/>
      <c r="F117" s="388"/>
      <c r="G117" s="110"/>
      <c r="H117" s="330"/>
      <c r="I117" s="110"/>
      <c r="J117" s="34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110"/>
      <c r="X117" s="110"/>
      <c r="Y117" s="110"/>
      <c r="Z117" s="110"/>
    </row>
    <row r="118" spans="1:26" ht="13.5" customHeight="1">
      <c r="A118" s="110"/>
      <c r="B118" s="68" t="str">
        <f>TB!B875</f>
        <v>2-2105</v>
      </c>
      <c r="C118" s="390" t="str">
        <f>TB!C875</f>
        <v>Customer Deposit</v>
      </c>
      <c r="D118" s="341">
        <f>TB!Y875-TB!X875</f>
        <v>55731833</v>
      </c>
      <c r="E118" s="330"/>
      <c r="F118" s="388"/>
      <c r="G118" s="110"/>
      <c r="H118" s="110"/>
      <c r="I118" s="110"/>
      <c r="J118" s="34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110"/>
      <c r="X118" s="110"/>
      <c r="Y118" s="110"/>
      <c r="Z118" s="110"/>
    </row>
    <row r="119" spans="1:26" ht="13.5" customHeight="1">
      <c r="A119" s="110"/>
      <c r="B119" s="68" t="str">
        <f>TB!B876</f>
        <v>2-2106</v>
      </c>
      <c r="C119" s="390" t="str">
        <f>TB!C876</f>
        <v>Service Charge Payable</v>
      </c>
      <c r="D119" s="341">
        <f>TB!Y876-TB!X876</f>
        <v>134522723.97000003</v>
      </c>
      <c r="E119" s="330"/>
      <c r="F119" s="388"/>
      <c r="G119" s="110"/>
      <c r="H119" s="332"/>
      <c r="I119" s="110"/>
      <c r="J119" s="34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110"/>
      <c r="X119" s="110"/>
      <c r="Y119" s="110"/>
      <c r="Z119" s="110"/>
    </row>
    <row r="120" spans="1:26" ht="13.5" customHeight="1">
      <c r="A120" s="110"/>
      <c r="B120" s="68" t="str">
        <f>TB!B877</f>
        <v>2-2107</v>
      </c>
      <c r="C120" s="390" t="str">
        <f>TB!C877</f>
        <v>Accrued Employee Welfare Payable</v>
      </c>
      <c r="D120" s="341">
        <f>TB!Y877-TB!X877</f>
        <v>1853943088</v>
      </c>
      <c r="E120" s="330"/>
      <c r="F120" s="388"/>
      <c r="G120" s="110"/>
      <c r="H120" s="110"/>
      <c r="I120" s="110"/>
      <c r="J120" s="34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110"/>
      <c r="X120" s="110"/>
      <c r="Y120" s="110"/>
      <c r="Z120" s="110"/>
    </row>
    <row r="121" spans="1:26" ht="13.5" customHeight="1">
      <c r="A121" s="110"/>
      <c r="B121" s="68" t="str">
        <f>TB!B878</f>
        <v>2-2108</v>
      </c>
      <c r="C121" s="390" t="str">
        <f>TB!C878</f>
        <v>Marketing &amp; Entertainment Fee payable</v>
      </c>
      <c r="D121" s="341">
        <f>TB!Y878-TB!X878</f>
        <v>0</v>
      </c>
      <c r="E121" s="330"/>
      <c r="F121" s="388"/>
      <c r="G121" s="110"/>
      <c r="H121" s="330"/>
      <c r="I121" s="110"/>
      <c r="J121" s="34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110"/>
      <c r="X121" s="110"/>
      <c r="Y121" s="110"/>
      <c r="Z121" s="110"/>
    </row>
    <row r="122" spans="1:26" ht="13.5" customHeight="1">
      <c r="A122" s="110"/>
      <c r="B122" s="68" t="str">
        <f>TB!B879</f>
        <v>2-2109</v>
      </c>
      <c r="C122" s="390" t="str">
        <f>TB!C879</f>
        <v>Finance payble</v>
      </c>
      <c r="D122" s="341">
        <f>TB!Y879-TB!X879</f>
        <v>0</v>
      </c>
      <c r="E122" s="330"/>
      <c r="F122" s="388"/>
      <c r="G122" s="110"/>
      <c r="H122" s="344"/>
      <c r="I122" s="110"/>
      <c r="J122" s="34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110"/>
      <c r="X122" s="110"/>
      <c r="Y122" s="110"/>
      <c r="Z122" s="110"/>
    </row>
    <row r="123" spans="1:26" ht="13.5" customHeight="1">
      <c r="A123" s="110"/>
      <c r="B123" s="68" t="str">
        <f>TB!B880</f>
        <v>2-2110</v>
      </c>
      <c r="C123" s="390" t="str">
        <f>TB!C880</f>
        <v>Guest Typing Charges Payable to Staff</v>
      </c>
      <c r="D123" s="341">
        <f>TB!Y880-TB!X880</f>
        <v>63775501.458000004</v>
      </c>
      <c r="E123" s="330"/>
      <c r="F123" s="388"/>
      <c r="G123" s="110"/>
      <c r="H123" s="344"/>
      <c r="I123" s="110"/>
      <c r="J123" s="34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110"/>
      <c r="X123" s="110"/>
      <c r="Y123" s="110"/>
      <c r="Z123" s="110"/>
    </row>
    <row r="124" spans="1:26" ht="13.5" customHeight="1">
      <c r="A124" s="110"/>
      <c r="B124" s="68" t="str">
        <f>TB!B881</f>
        <v>2-2111</v>
      </c>
      <c r="C124" s="390" t="str">
        <f>TB!C881</f>
        <v>BPJS Kesehatan Payable</v>
      </c>
      <c r="D124" s="341">
        <f>TB!Y881-TB!X881</f>
        <v>0</v>
      </c>
      <c r="E124" s="330"/>
      <c r="F124" s="388"/>
      <c r="G124" s="110"/>
      <c r="H124" s="344"/>
      <c r="I124" s="110"/>
      <c r="J124" s="34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110"/>
      <c r="X124" s="110"/>
      <c r="Y124" s="110"/>
      <c r="Z124" s="110"/>
    </row>
    <row r="125" spans="1:26" ht="13.5" customHeight="1">
      <c r="A125" s="110"/>
      <c r="B125" s="68" t="str">
        <f>TB!B882</f>
        <v>2-2112</v>
      </c>
      <c r="C125" s="390" t="str">
        <f>TB!C882</f>
        <v>Accrued rent payable</v>
      </c>
      <c r="D125" s="341">
        <f>TB!Y882-TB!X882</f>
        <v>0</v>
      </c>
      <c r="E125" s="330"/>
      <c r="F125" s="388"/>
      <c r="G125" s="110"/>
      <c r="H125" s="344"/>
      <c r="I125" s="110"/>
      <c r="J125" s="34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110"/>
      <c r="X125" s="110"/>
      <c r="Y125" s="110"/>
      <c r="Z125" s="110"/>
    </row>
    <row r="126" spans="1:26" ht="13.5" customHeight="1">
      <c r="A126" s="110"/>
      <c r="B126" s="68" t="s">
        <v>5197</v>
      </c>
      <c r="C126" s="418" t="s">
        <v>5198</v>
      </c>
      <c r="D126" s="338">
        <f>SUM(D114:D125)</f>
        <v>2221806607.4280005</v>
      </c>
      <c r="E126" s="330"/>
      <c r="F126" s="388"/>
      <c r="G126" s="110"/>
      <c r="H126" s="344"/>
      <c r="I126" s="110"/>
      <c r="J126" s="34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110"/>
      <c r="X126" s="110"/>
      <c r="Y126" s="110"/>
      <c r="Z126" s="110"/>
    </row>
    <row r="127" spans="1:26" ht="13.5" customHeight="1">
      <c r="A127" s="110"/>
      <c r="B127" s="68"/>
      <c r="C127" s="390"/>
      <c r="D127" s="341"/>
      <c r="E127" s="330"/>
      <c r="F127" s="388"/>
      <c r="G127" s="110"/>
      <c r="H127" s="344"/>
      <c r="I127" s="110"/>
      <c r="J127" s="34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110"/>
      <c r="X127" s="110"/>
      <c r="Y127" s="110"/>
      <c r="Z127" s="110"/>
    </row>
    <row r="128" spans="1:26" ht="13.5" customHeight="1">
      <c r="A128" s="351"/>
      <c r="B128" s="431" t="s">
        <v>5199</v>
      </c>
      <c r="C128" s="418" t="s">
        <v>5200</v>
      </c>
      <c r="D128" s="338"/>
      <c r="E128" s="330"/>
      <c r="F128" s="388"/>
      <c r="G128" s="110"/>
      <c r="H128" s="344"/>
      <c r="I128" s="110"/>
      <c r="J128" s="34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110"/>
      <c r="X128" s="110"/>
      <c r="Y128" s="110"/>
      <c r="Z128" s="110"/>
    </row>
    <row r="129" spans="1:26" ht="13.5" customHeight="1">
      <c r="A129" s="110"/>
      <c r="B129" s="68" t="s">
        <v>36</v>
      </c>
      <c r="C129" s="340" t="s">
        <v>5201</v>
      </c>
      <c r="D129" s="341">
        <f>TB!Y886-TB!X886</f>
        <v>858664489.597</v>
      </c>
      <c r="E129" s="330"/>
      <c r="F129" s="388"/>
      <c r="G129" s="110"/>
      <c r="H129" s="110"/>
      <c r="I129" s="110"/>
      <c r="J129" s="34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110"/>
      <c r="X129" s="110"/>
      <c r="Y129" s="110"/>
      <c r="Z129" s="110"/>
    </row>
    <row r="130" spans="1:26" ht="13.5" customHeight="1">
      <c r="A130" s="110"/>
      <c r="B130" s="68" t="s">
        <v>812</v>
      </c>
      <c r="C130" s="340" t="s">
        <v>1577</v>
      </c>
      <c r="D130" s="341">
        <f>TB!Y887-TB!X887</f>
        <v>3824852.44</v>
      </c>
      <c r="E130" s="330"/>
      <c r="F130" s="388"/>
      <c r="G130" s="110"/>
      <c r="H130" s="110"/>
      <c r="I130" s="110"/>
      <c r="J130" s="34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110"/>
      <c r="X130" s="110"/>
      <c r="Y130" s="110"/>
      <c r="Z130" s="110"/>
    </row>
    <row r="131" spans="1:26" ht="13.5" customHeight="1">
      <c r="A131" s="110"/>
      <c r="B131" s="68" t="s">
        <v>5202</v>
      </c>
      <c r="C131" s="340" t="s">
        <v>5203</v>
      </c>
      <c r="D131" s="341">
        <f>TB!Y888-TB!X888</f>
        <v>0</v>
      </c>
      <c r="E131" s="330"/>
      <c r="F131" s="388"/>
      <c r="G131" s="110"/>
      <c r="H131" s="110"/>
      <c r="I131" s="110"/>
      <c r="J131" s="34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110"/>
      <c r="X131" s="110"/>
      <c r="Y131" s="110"/>
      <c r="Z131" s="110"/>
    </row>
    <row r="132" spans="1:26" ht="13.5" customHeight="1">
      <c r="A132" s="110"/>
      <c r="B132" s="68" t="s">
        <v>5204</v>
      </c>
      <c r="C132" s="340" t="s">
        <v>5205</v>
      </c>
      <c r="D132" s="341">
        <f>TB!Y889-TB!X889</f>
        <v>0</v>
      </c>
      <c r="E132" s="330"/>
      <c r="F132" s="388"/>
      <c r="G132" s="110"/>
      <c r="H132" s="110"/>
      <c r="I132" s="110"/>
      <c r="J132" s="34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110"/>
      <c r="X132" s="110"/>
      <c r="Y132" s="110"/>
      <c r="Z132" s="110"/>
    </row>
    <row r="133" spans="1:26" ht="13.5" customHeight="1">
      <c r="A133" s="110"/>
      <c r="B133" s="68" t="s">
        <v>5206</v>
      </c>
      <c r="C133" s="340" t="s">
        <v>5207</v>
      </c>
      <c r="D133" s="341">
        <f>TB!Y890-TB!X890</f>
        <v>0</v>
      </c>
      <c r="E133" s="330"/>
      <c r="F133" s="388"/>
      <c r="G133" s="110"/>
      <c r="H133" s="110"/>
      <c r="I133" s="110"/>
      <c r="J133" s="34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110"/>
      <c r="X133" s="110"/>
      <c r="Y133" s="110"/>
      <c r="Z133" s="110"/>
    </row>
    <row r="134" spans="1:26" ht="13.5" customHeight="1">
      <c r="A134" s="110"/>
      <c r="B134" s="68" t="s">
        <v>5208</v>
      </c>
      <c r="C134" s="340" t="s">
        <v>5421</v>
      </c>
      <c r="D134" s="341">
        <f>TB!Y891-TB!X891</f>
        <v>0</v>
      </c>
      <c r="E134" s="364"/>
      <c r="F134" s="388"/>
      <c r="G134" s="110"/>
      <c r="H134" s="110"/>
      <c r="I134" s="110"/>
      <c r="J134" s="34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10"/>
      <c r="X134" s="110"/>
      <c r="Y134" s="110"/>
      <c r="Z134" s="110"/>
    </row>
    <row r="135" spans="1:26" ht="13.5" customHeight="1">
      <c r="A135" s="351"/>
      <c r="B135" s="431" t="s">
        <v>5210</v>
      </c>
      <c r="C135" s="418" t="s">
        <v>5211</v>
      </c>
      <c r="D135" s="338">
        <f>SUM(D129:D134)</f>
        <v>862489342.03700006</v>
      </c>
      <c r="E135" s="330"/>
      <c r="F135" s="388"/>
      <c r="G135" s="110"/>
      <c r="H135" s="110"/>
      <c r="I135" s="110"/>
      <c r="J135" s="34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110"/>
      <c r="X135" s="110"/>
      <c r="Y135" s="110"/>
      <c r="Z135" s="110"/>
    </row>
    <row r="136" spans="1:26" ht="13.5" customHeight="1">
      <c r="A136" s="110"/>
      <c r="B136" s="68"/>
      <c r="C136" s="390"/>
      <c r="D136" s="341"/>
      <c r="E136" s="364"/>
      <c r="F136" s="388"/>
      <c r="G136" s="110"/>
      <c r="H136" s="110"/>
      <c r="I136" s="110"/>
      <c r="J136" s="34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110"/>
      <c r="X136" s="110"/>
      <c r="Y136" s="110"/>
      <c r="Z136" s="110"/>
    </row>
    <row r="137" spans="1:26" ht="13.5" customHeight="1">
      <c r="A137" s="351"/>
      <c r="B137" s="431" t="s">
        <v>5212</v>
      </c>
      <c r="C137" s="418" t="s">
        <v>5213</v>
      </c>
      <c r="D137" s="338"/>
      <c r="E137" s="330"/>
      <c r="F137" s="388"/>
      <c r="G137" s="110"/>
      <c r="H137" s="110"/>
      <c r="I137" s="110"/>
      <c r="J137" s="34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110"/>
      <c r="X137" s="110"/>
      <c r="Y137" s="110"/>
      <c r="Z137" s="110"/>
    </row>
    <row r="138" spans="1:26" ht="13.5" customHeight="1">
      <c r="A138" s="110"/>
      <c r="B138" s="68" t="s">
        <v>5214</v>
      </c>
      <c r="C138" s="340" t="str">
        <f>TB!C895</f>
        <v>Shareholders Loans - Graham Bristow</v>
      </c>
      <c r="D138" s="341">
        <f>TB!Y895-TB!X895</f>
        <v>3290258713</v>
      </c>
      <c r="E138" s="364"/>
      <c r="F138" s="388"/>
      <c r="G138" s="110"/>
      <c r="H138" s="110"/>
      <c r="I138" s="110"/>
      <c r="J138" s="34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110"/>
      <c r="X138" s="110"/>
      <c r="Y138" s="110"/>
      <c r="Z138" s="110"/>
    </row>
    <row r="139" spans="1:26" ht="13.5" customHeight="1">
      <c r="A139" s="351"/>
      <c r="B139" s="406" t="s">
        <v>1729</v>
      </c>
      <c r="C139" s="340" t="str">
        <f>TB!C896</f>
        <v>Shareholders Loans - William</v>
      </c>
      <c r="D139" s="341">
        <f>TB!Y896-TB!X896</f>
        <v>2655393667</v>
      </c>
      <c r="E139" s="364"/>
      <c r="F139" s="388"/>
      <c r="G139" s="110"/>
      <c r="H139" s="110"/>
      <c r="I139" s="110"/>
      <c r="J139" s="34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110"/>
      <c r="X139" s="110"/>
      <c r="Y139" s="110"/>
      <c r="Z139" s="110"/>
    </row>
    <row r="140" spans="1:26" ht="13.5" customHeight="1">
      <c r="A140" s="351"/>
      <c r="B140" s="68" t="s">
        <v>5216</v>
      </c>
      <c r="C140" s="340" t="str">
        <f>TB!C897</f>
        <v>Rosalita</v>
      </c>
      <c r="D140" s="341">
        <f>TB!Y897-TB!X897</f>
        <v>0</v>
      </c>
      <c r="E140" s="364"/>
      <c r="F140" s="388"/>
      <c r="G140" s="110"/>
      <c r="H140" s="110"/>
      <c r="I140" s="110"/>
      <c r="J140" s="34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110"/>
      <c r="X140" s="110"/>
      <c r="Y140" s="110"/>
      <c r="Z140" s="110"/>
    </row>
    <row r="141" spans="1:26" ht="13.5" customHeight="1">
      <c r="A141" s="351"/>
      <c r="B141" s="68" t="str">
        <f>TB!B898</f>
        <v>2-4104</v>
      </c>
      <c r="C141" s="340" t="str">
        <f>TB!C898</f>
        <v>Zeki</v>
      </c>
      <c r="D141" s="341">
        <f>TB!Y898-TB!X898</f>
        <v>771046887</v>
      </c>
      <c r="E141" s="364"/>
      <c r="F141" s="388"/>
      <c r="G141" s="110"/>
      <c r="H141" s="110"/>
      <c r="I141" s="110"/>
      <c r="J141" s="34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110"/>
      <c r="X141" s="110"/>
      <c r="Y141" s="110"/>
      <c r="Z141" s="110"/>
    </row>
    <row r="142" spans="1:26" ht="13.5" customHeight="1">
      <c r="A142" s="351"/>
      <c r="B142" s="68" t="str">
        <f>TB!B899</f>
        <v>2-4105</v>
      </c>
      <c r="C142" s="340" t="str">
        <f>TB!C899</f>
        <v>THE SOCIAL</v>
      </c>
      <c r="D142" s="341">
        <f>TB!Y899-TB!X899</f>
        <v>0</v>
      </c>
      <c r="E142" s="330"/>
      <c r="F142" s="388"/>
      <c r="G142" s="110"/>
      <c r="H142" s="110"/>
      <c r="I142" s="110"/>
      <c r="J142" s="34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110"/>
      <c r="X142" s="110"/>
      <c r="Y142" s="110"/>
      <c r="Z142" s="110"/>
    </row>
    <row r="143" spans="1:26" ht="13.5" customHeight="1">
      <c r="A143" s="351"/>
      <c r="B143" s="68" t="str">
        <f>TB!B900</f>
        <v>2-4106</v>
      </c>
      <c r="C143" s="340" t="str">
        <f>TB!C900</f>
        <v>Intercompany Payable – PT Star Hospitality Bali</v>
      </c>
      <c r="D143" s="341">
        <f>TB!Y900-TB!X900</f>
        <v>4414627927.7142859</v>
      </c>
      <c r="E143" s="330"/>
      <c r="F143" s="388"/>
      <c r="G143" s="110"/>
      <c r="H143" s="110"/>
      <c r="I143" s="110"/>
      <c r="J143" s="34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110"/>
      <c r="X143" s="110"/>
      <c r="Y143" s="110"/>
      <c r="Z143" s="110"/>
    </row>
    <row r="144" spans="1:26" ht="13.5" customHeight="1">
      <c r="A144" s="351"/>
      <c r="B144" s="68" t="s">
        <v>5223</v>
      </c>
      <c r="C144" s="418" t="s">
        <v>5224</v>
      </c>
      <c r="D144" s="338">
        <f>SUM(D138:D143)</f>
        <v>11131327194.714287</v>
      </c>
      <c r="E144" s="330"/>
      <c r="F144" s="388"/>
      <c r="G144" s="110"/>
      <c r="H144" s="110"/>
      <c r="I144" s="110"/>
      <c r="J144" s="34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110"/>
      <c r="X144" s="110"/>
      <c r="Y144" s="110"/>
      <c r="Z144" s="110"/>
    </row>
    <row r="145" spans="1:26" ht="13.5" customHeight="1">
      <c r="A145" s="110"/>
      <c r="B145" s="68"/>
      <c r="C145" s="390"/>
      <c r="D145" s="338"/>
      <c r="E145" s="330"/>
      <c r="F145" s="388"/>
      <c r="G145" s="110"/>
      <c r="H145" s="110"/>
      <c r="I145" s="110"/>
      <c r="J145" s="34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110"/>
      <c r="X145" s="110"/>
      <c r="Y145" s="110"/>
      <c r="Z145" s="110"/>
    </row>
    <row r="146" spans="1:26" ht="13.5" customHeight="1">
      <c r="A146" s="110"/>
      <c r="B146" s="431" t="s">
        <v>5225</v>
      </c>
      <c r="C146" s="418" t="s">
        <v>5226</v>
      </c>
      <c r="D146" s="338">
        <f>D144+D135+D126+D111</f>
        <v>16092382132.339287</v>
      </c>
      <c r="E146" s="330"/>
      <c r="F146" s="388"/>
      <c r="G146" s="110"/>
      <c r="H146" s="110"/>
      <c r="I146" s="110"/>
      <c r="J146" s="34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110"/>
      <c r="X146" s="110"/>
      <c r="Y146" s="110"/>
      <c r="Z146" s="110"/>
    </row>
    <row r="147" spans="1:26" ht="13.5" customHeight="1">
      <c r="A147" s="110"/>
      <c r="B147" s="68"/>
      <c r="C147" s="390"/>
      <c r="D147" s="341"/>
      <c r="E147" s="364"/>
      <c r="F147" s="388"/>
      <c r="G147" s="110"/>
      <c r="H147" s="110"/>
      <c r="I147" s="110"/>
      <c r="J147" s="34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110"/>
      <c r="X147" s="110"/>
      <c r="Y147" s="110"/>
      <c r="Z147" s="110"/>
    </row>
    <row r="148" spans="1:26" ht="13.5" customHeight="1">
      <c r="A148" s="351"/>
      <c r="B148" s="431" t="s">
        <v>5227</v>
      </c>
      <c r="C148" s="418" t="s">
        <v>5228</v>
      </c>
      <c r="D148" s="338"/>
      <c r="E148" s="330"/>
      <c r="F148" s="388"/>
      <c r="G148" s="110"/>
      <c r="H148" s="110"/>
      <c r="I148" s="110"/>
      <c r="J148" s="34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110"/>
      <c r="X148" s="110"/>
      <c r="Y148" s="110"/>
      <c r="Z148" s="110"/>
    </row>
    <row r="149" spans="1:26" ht="13.5" customHeight="1">
      <c r="A149" s="110"/>
      <c r="B149" s="68" t="s">
        <v>5229</v>
      </c>
      <c r="C149" s="390" t="s">
        <v>5230</v>
      </c>
      <c r="D149" s="341">
        <f>TB!Y906-TB!X906</f>
        <v>0</v>
      </c>
      <c r="E149" s="330"/>
      <c r="F149" s="388"/>
      <c r="G149" s="110"/>
      <c r="H149" s="110"/>
      <c r="I149" s="110"/>
      <c r="J149" s="34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110"/>
      <c r="X149" s="110"/>
      <c r="Y149" s="110"/>
      <c r="Z149" s="110"/>
    </row>
    <row r="150" spans="1:26" ht="13.5" customHeight="1">
      <c r="A150" s="110"/>
      <c r="B150" s="68" t="s">
        <v>5231</v>
      </c>
      <c r="C150" s="390" t="s">
        <v>5232</v>
      </c>
      <c r="D150" s="341">
        <f>TB!Y907-TB!X907</f>
        <v>0</v>
      </c>
      <c r="E150" s="330"/>
      <c r="F150" s="388"/>
      <c r="G150" s="110"/>
      <c r="H150" s="110"/>
      <c r="I150" s="110"/>
      <c r="J150" s="34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110"/>
      <c r="X150" s="110"/>
      <c r="Y150" s="110"/>
      <c r="Z150" s="110"/>
    </row>
    <row r="151" spans="1:26" ht="13.5" customHeight="1">
      <c r="A151" s="110"/>
      <c r="B151" s="68" t="s">
        <v>5233</v>
      </c>
      <c r="C151" s="390" t="s">
        <v>5234</v>
      </c>
      <c r="D151" s="341">
        <f>PL!D138</f>
        <v>-104182314.535936</v>
      </c>
      <c r="E151" s="330"/>
      <c r="F151" s="388"/>
      <c r="G151" s="110"/>
      <c r="H151" s="110"/>
      <c r="I151" s="110"/>
      <c r="J151" s="34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110"/>
      <c r="X151" s="110"/>
      <c r="Y151" s="110"/>
      <c r="Z151" s="110"/>
    </row>
    <row r="152" spans="1:26" ht="13.5" customHeight="1">
      <c r="A152" s="110"/>
      <c r="B152" s="68" t="s">
        <v>5235</v>
      </c>
      <c r="C152" s="390" t="s">
        <v>5236</v>
      </c>
      <c r="D152" s="341">
        <f>TB!Y909-TB!X909</f>
        <v>12749946622</v>
      </c>
      <c r="E152" s="330"/>
      <c r="F152" s="388"/>
      <c r="G152" s="110"/>
      <c r="H152" s="110"/>
      <c r="I152" s="110"/>
      <c r="J152" s="34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110"/>
      <c r="X152" s="110"/>
      <c r="Y152" s="110"/>
      <c r="Z152" s="110"/>
    </row>
    <row r="153" spans="1:26" ht="13.5" customHeight="1">
      <c r="A153" s="110"/>
      <c r="B153" s="68" t="s">
        <v>5237</v>
      </c>
      <c r="C153" s="390" t="s">
        <v>5238</v>
      </c>
      <c r="D153" s="341">
        <f>TB!Y910-TB!X910</f>
        <v>0</v>
      </c>
      <c r="E153" s="330"/>
      <c r="F153" s="388"/>
      <c r="G153" s="110"/>
      <c r="H153" s="110"/>
      <c r="I153" s="110"/>
      <c r="J153" s="34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110"/>
      <c r="X153" s="110"/>
      <c r="Y153" s="110"/>
      <c r="Z153" s="110"/>
    </row>
    <row r="154" spans="1:26" ht="13.5" customHeight="1">
      <c r="A154" s="110"/>
      <c r="B154" s="68" t="s">
        <v>5239</v>
      </c>
      <c r="C154" s="390" t="s">
        <v>5240</v>
      </c>
      <c r="D154" s="341">
        <f>TB!Y911-TB!X911</f>
        <v>0</v>
      </c>
      <c r="E154" s="330"/>
      <c r="F154" s="388"/>
      <c r="G154" s="110"/>
      <c r="H154" s="110"/>
      <c r="I154" s="110"/>
      <c r="J154" s="34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110"/>
      <c r="X154" s="110"/>
      <c r="Y154" s="110"/>
      <c r="Z154" s="110"/>
    </row>
    <row r="155" spans="1:26" ht="13.5" customHeight="1">
      <c r="A155" s="110"/>
      <c r="B155" s="68" t="s">
        <v>5241</v>
      </c>
      <c r="C155" s="390" t="s">
        <v>5242</v>
      </c>
      <c r="D155" s="341">
        <f>TB!Y912-TB!X912</f>
        <v>0</v>
      </c>
      <c r="E155" s="330"/>
      <c r="F155" s="388"/>
      <c r="G155" s="110"/>
      <c r="H155" s="110"/>
      <c r="I155" s="110"/>
      <c r="J155" s="34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110"/>
      <c r="X155" s="110"/>
      <c r="Y155" s="110"/>
      <c r="Z155" s="110"/>
    </row>
    <row r="156" spans="1:26" ht="13.5" customHeight="1">
      <c r="A156" s="110"/>
      <c r="B156" s="68"/>
      <c r="C156" s="390"/>
      <c r="D156" s="341"/>
      <c r="E156" s="364"/>
      <c r="F156" s="388"/>
      <c r="G156" s="110"/>
      <c r="H156" s="110"/>
      <c r="I156" s="110"/>
      <c r="J156" s="34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110"/>
      <c r="X156" s="110"/>
      <c r="Y156" s="110"/>
      <c r="Z156" s="110"/>
    </row>
    <row r="157" spans="1:26" ht="13.5" customHeight="1">
      <c r="A157" s="351"/>
      <c r="B157" s="431" t="s">
        <v>5243</v>
      </c>
      <c r="C157" s="418" t="s">
        <v>5244</v>
      </c>
      <c r="D157" s="338">
        <f>SUM(D158:D160)</f>
        <v>1000000000</v>
      </c>
      <c r="E157" s="330"/>
      <c r="F157" s="388"/>
      <c r="G157" s="110"/>
      <c r="H157" s="110"/>
      <c r="I157" s="110"/>
      <c r="J157" s="34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110"/>
      <c r="X157" s="110"/>
      <c r="Y157" s="110"/>
      <c r="Z157" s="110"/>
    </row>
    <row r="158" spans="1:26" ht="13.5" customHeight="1">
      <c r="A158" s="110"/>
      <c r="B158" s="68" t="s">
        <v>5245</v>
      </c>
      <c r="C158" s="340" t="s">
        <v>5246</v>
      </c>
      <c r="D158" s="341">
        <f>TB!Y914</f>
        <v>500000000</v>
      </c>
      <c r="E158" s="330"/>
      <c r="F158" s="388"/>
      <c r="G158" s="110"/>
      <c r="H158" s="110"/>
      <c r="I158" s="110"/>
      <c r="J158" s="34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110"/>
      <c r="X158" s="110"/>
      <c r="Y158" s="110"/>
      <c r="Z158" s="110"/>
    </row>
    <row r="159" spans="1:26" ht="13.5" customHeight="1">
      <c r="A159" s="110"/>
      <c r="B159" s="68" t="s">
        <v>5247</v>
      </c>
      <c r="C159" s="340" t="s">
        <v>5248</v>
      </c>
      <c r="D159" s="341">
        <f>TB!Y915-TB!X915</f>
        <v>500000000</v>
      </c>
      <c r="E159" s="330"/>
      <c r="F159" s="388"/>
      <c r="G159" s="110"/>
      <c r="H159" s="110"/>
      <c r="I159" s="110"/>
      <c r="J159" s="34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110"/>
      <c r="X159" s="110"/>
      <c r="Y159" s="110"/>
      <c r="Z159" s="110"/>
    </row>
    <row r="160" spans="1:26" ht="13.5" customHeight="1">
      <c r="A160" s="110"/>
      <c r="B160" s="68" t="s">
        <v>5249</v>
      </c>
      <c r="C160" s="340"/>
      <c r="D160" s="341">
        <f>TB!Y916-TB!X916</f>
        <v>0</v>
      </c>
      <c r="E160" s="330"/>
      <c r="F160" s="388"/>
      <c r="G160" s="110"/>
      <c r="H160" s="110"/>
      <c r="I160" s="110"/>
      <c r="J160" s="34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110"/>
      <c r="X160" s="110"/>
      <c r="Y160" s="110"/>
      <c r="Z160" s="110"/>
    </row>
    <row r="161" spans="1:26" ht="13.5" customHeight="1">
      <c r="A161" s="110"/>
      <c r="B161" s="431" t="s">
        <v>5250</v>
      </c>
      <c r="C161" s="418" t="s">
        <v>5251</v>
      </c>
      <c r="D161" s="338">
        <f>SUM(D149:D155)+D157</f>
        <v>13645764307.464064</v>
      </c>
      <c r="E161" s="330"/>
      <c r="F161" s="388"/>
      <c r="G161" s="110"/>
      <c r="H161" s="110"/>
      <c r="I161" s="110"/>
      <c r="J161" s="34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110"/>
      <c r="X161" s="110"/>
      <c r="Y161" s="110"/>
      <c r="Z161" s="110"/>
    </row>
    <row r="162" spans="1:26" ht="13.5" customHeight="1">
      <c r="A162" s="110"/>
      <c r="B162" s="123"/>
      <c r="C162" s="390"/>
      <c r="D162" s="341"/>
      <c r="E162" s="330"/>
      <c r="F162" s="388"/>
      <c r="G162" s="110"/>
      <c r="H162" s="110"/>
      <c r="I162" s="110"/>
      <c r="J162" s="34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110"/>
      <c r="X162" s="110"/>
      <c r="Y162" s="110"/>
      <c r="Z162" s="110"/>
    </row>
    <row r="163" spans="1:26" ht="13.5" customHeight="1">
      <c r="A163" s="110"/>
      <c r="B163" s="432"/>
      <c r="C163" s="398"/>
      <c r="D163" s="374"/>
      <c r="E163" s="81"/>
      <c r="F163" s="388"/>
      <c r="G163" s="110"/>
      <c r="H163" s="110"/>
      <c r="I163" s="110"/>
      <c r="J163" s="34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110"/>
      <c r="X163" s="110"/>
      <c r="Y163" s="110"/>
      <c r="Z163" s="110"/>
    </row>
    <row r="164" spans="1:26" ht="13.5" customHeight="1">
      <c r="A164" s="110"/>
      <c r="B164" s="433"/>
      <c r="C164" s="401"/>
      <c r="D164" s="434">
        <f>D104-D146-D161</f>
        <v>0.38250160217285156</v>
      </c>
      <c r="E164" s="330"/>
      <c r="F164" s="388"/>
      <c r="G164" s="110"/>
      <c r="H164" s="110"/>
      <c r="I164" s="110"/>
      <c r="J164" s="34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110"/>
      <c r="X164" s="110"/>
      <c r="Y164" s="110"/>
      <c r="Z164" s="110"/>
    </row>
    <row r="165" spans="1:26" ht="15" customHeight="1">
      <c r="A165" s="110"/>
      <c r="B165" s="103"/>
      <c r="C165" s="4"/>
      <c r="D165" s="110"/>
      <c r="E165" s="344"/>
      <c r="F165" s="388"/>
      <c r="G165" s="110"/>
      <c r="H165" s="110"/>
      <c r="I165" s="110"/>
      <c r="J165" s="34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110"/>
      <c r="X165" s="110"/>
      <c r="Y165" s="110"/>
      <c r="Z165" s="110"/>
    </row>
    <row r="166" spans="1:26" ht="15" customHeight="1">
      <c r="A166" s="110"/>
      <c r="B166" s="103"/>
      <c r="C166" s="4"/>
      <c r="D166" s="110"/>
      <c r="E166" s="344"/>
      <c r="F166" s="388"/>
      <c r="G166" s="110"/>
      <c r="H166" s="110"/>
      <c r="I166" s="110"/>
      <c r="J166" s="34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110"/>
      <c r="X166" s="110"/>
      <c r="Y166" s="110"/>
      <c r="Z166" s="110"/>
    </row>
    <row r="167" spans="1:26" ht="15" customHeight="1">
      <c r="A167" s="110"/>
      <c r="B167" s="103"/>
      <c r="C167" s="4"/>
      <c r="D167" s="110"/>
      <c r="E167" s="344"/>
      <c r="F167" s="388"/>
      <c r="G167" s="110"/>
      <c r="H167" s="110"/>
      <c r="I167" s="110"/>
      <c r="J167" s="34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110"/>
      <c r="X167" s="110"/>
      <c r="Y167" s="110"/>
      <c r="Z167" s="110"/>
    </row>
    <row r="168" spans="1:26" ht="15" customHeight="1">
      <c r="A168" s="110"/>
      <c r="B168" s="103"/>
      <c r="C168" s="4"/>
      <c r="D168" s="110"/>
      <c r="E168" s="344"/>
      <c r="F168" s="388"/>
      <c r="G168" s="110"/>
      <c r="H168" s="110"/>
      <c r="I168" s="110"/>
      <c r="J168" s="34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110"/>
      <c r="X168" s="110"/>
      <c r="Y168" s="110"/>
      <c r="Z168" s="110"/>
    </row>
    <row r="169" spans="1:26" ht="15" customHeight="1">
      <c r="A169" s="110"/>
      <c r="B169" s="103"/>
      <c r="C169" s="4"/>
      <c r="D169" s="120"/>
      <c r="E169" s="344"/>
      <c r="F169" s="388"/>
      <c r="G169" s="110"/>
      <c r="H169" s="110"/>
      <c r="I169" s="110"/>
      <c r="J169" s="34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110"/>
      <c r="X169" s="110"/>
      <c r="Y169" s="110"/>
      <c r="Z169" s="110"/>
    </row>
    <row r="170" spans="1:26" ht="15" customHeight="1">
      <c r="A170" s="110"/>
      <c r="B170" s="103"/>
      <c r="C170" s="4"/>
      <c r="D170" s="110"/>
      <c r="E170" s="344"/>
      <c r="F170" s="388"/>
      <c r="G170" s="110"/>
      <c r="H170" s="110"/>
      <c r="I170" s="110"/>
      <c r="J170" s="34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110"/>
      <c r="X170" s="110"/>
      <c r="Y170" s="110"/>
      <c r="Z170" s="110"/>
    </row>
    <row r="171" spans="1:26" ht="15" customHeight="1">
      <c r="A171" s="110"/>
      <c r="B171" s="103"/>
      <c r="C171" s="4"/>
      <c r="D171" s="110"/>
      <c r="E171" s="344"/>
      <c r="F171" s="388"/>
      <c r="G171" s="110"/>
      <c r="H171" s="110"/>
      <c r="I171" s="110"/>
      <c r="J171" s="34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110"/>
      <c r="X171" s="110"/>
      <c r="Y171" s="110"/>
      <c r="Z171" s="110"/>
    </row>
    <row r="172" spans="1:26" ht="15" customHeight="1">
      <c r="A172" s="110"/>
      <c r="B172" s="103"/>
      <c r="C172" s="4"/>
      <c r="D172" s="120"/>
      <c r="E172" s="344"/>
      <c r="F172" s="388"/>
      <c r="G172" s="110"/>
      <c r="H172" s="110"/>
      <c r="I172" s="110"/>
      <c r="J172" s="34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110"/>
      <c r="X172" s="110"/>
      <c r="Y172" s="110"/>
      <c r="Z172" s="110"/>
    </row>
    <row r="173" spans="1:26" ht="15" customHeight="1">
      <c r="A173" s="110"/>
      <c r="B173" s="103"/>
      <c r="C173" s="4"/>
      <c r="D173" s="110"/>
      <c r="E173" s="344"/>
      <c r="F173" s="388"/>
      <c r="G173" s="110"/>
      <c r="H173" s="110"/>
      <c r="I173" s="110"/>
      <c r="J173" s="34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110"/>
      <c r="X173" s="110"/>
      <c r="Y173" s="110"/>
      <c r="Z173" s="110"/>
    </row>
    <row r="174" spans="1:26" ht="15" customHeight="1">
      <c r="A174" s="110"/>
      <c r="B174" s="427"/>
      <c r="C174" s="110"/>
      <c r="D174" s="110"/>
      <c r="E174" s="344"/>
      <c r="F174" s="388"/>
      <c r="G174" s="110"/>
      <c r="H174" s="110"/>
      <c r="I174" s="110"/>
      <c r="J174" s="34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110"/>
      <c r="X174" s="110"/>
      <c r="Y174" s="110"/>
      <c r="Z174" s="110"/>
    </row>
    <row r="175" spans="1:26" ht="15" customHeight="1">
      <c r="A175" s="110"/>
      <c r="B175" s="427"/>
      <c r="C175" s="110"/>
      <c r="D175" s="110"/>
      <c r="E175" s="344"/>
      <c r="F175" s="388"/>
      <c r="G175" s="110"/>
      <c r="H175" s="110"/>
      <c r="I175" s="110"/>
      <c r="J175" s="34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110"/>
      <c r="X175" s="110"/>
      <c r="Y175" s="110"/>
      <c r="Z175" s="110"/>
    </row>
    <row r="176" spans="1:26" ht="15" customHeight="1">
      <c r="A176" s="110"/>
      <c r="B176" s="427"/>
      <c r="C176" s="110"/>
      <c r="D176" s="110"/>
      <c r="E176" s="344"/>
      <c r="F176" s="388"/>
      <c r="G176" s="110"/>
      <c r="H176" s="110"/>
      <c r="I176" s="110"/>
      <c r="J176" s="34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110"/>
      <c r="X176" s="110"/>
      <c r="Y176" s="110"/>
      <c r="Z176" s="110"/>
    </row>
    <row r="177" spans="1:26" ht="15" customHeight="1">
      <c r="A177" s="110"/>
      <c r="B177" s="427"/>
      <c r="C177" s="110"/>
      <c r="D177" s="110"/>
      <c r="E177" s="344"/>
      <c r="F177" s="388"/>
      <c r="G177" s="110"/>
      <c r="H177" s="110"/>
      <c r="I177" s="110"/>
      <c r="J177" s="34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110"/>
      <c r="X177" s="110"/>
      <c r="Y177" s="110"/>
      <c r="Z177" s="110"/>
    </row>
    <row r="178" spans="1:26" ht="15" customHeight="1">
      <c r="A178" s="110"/>
      <c r="B178" s="427"/>
      <c r="C178" s="110"/>
      <c r="D178" s="110"/>
      <c r="E178" s="344"/>
      <c r="F178" s="388"/>
      <c r="G178" s="110"/>
      <c r="H178" s="110"/>
      <c r="I178" s="110"/>
      <c r="J178" s="34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110"/>
      <c r="X178" s="110"/>
      <c r="Y178" s="110"/>
      <c r="Z178" s="110"/>
    </row>
    <row r="179" spans="1:26" ht="15" customHeight="1">
      <c r="A179" s="110"/>
      <c r="B179" s="427"/>
      <c r="C179" s="110"/>
      <c r="D179" s="110"/>
      <c r="E179" s="344"/>
      <c r="F179" s="388"/>
      <c r="G179" s="110"/>
      <c r="H179" s="110"/>
      <c r="I179" s="110"/>
      <c r="J179" s="34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110"/>
      <c r="X179" s="110"/>
      <c r="Y179" s="110"/>
      <c r="Z179" s="110"/>
    </row>
    <row r="180" spans="1:26" ht="15" customHeight="1">
      <c r="A180" s="110"/>
      <c r="B180" s="427"/>
      <c r="C180" s="110"/>
      <c r="D180" s="110"/>
      <c r="E180" s="344"/>
      <c r="F180" s="110"/>
      <c r="G180" s="110"/>
      <c r="H180" s="110"/>
      <c r="I180" s="110"/>
      <c r="J180" s="34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110"/>
      <c r="X180" s="110"/>
      <c r="Y180" s="110"/>
      <c r="Z180" s="110"/>
    </row>
    <row r="181" spans="1:26" ht="15" customHeight="1">
      <c r="A181" s="110"/>
      <c r="B181" s="427"/>
      <c r="C181" s="110"/>
      <c r="D181" s="110"/>
      <c r="E181" s="344"/>
      <c r="F181" s="110"/>
      <c r="G181" s="110"/>
      <c r="H181" s="110"/>
      <c r="I181" s="110"/>
      <c r="J181" s="34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110"/>
      <c r="X181" s="110"/>
      <c r="Y181" s="110"/>
      <c r="Z181" s="110"/>
    </row>
    <row r="182" spans="1:26" ht="15" customHeight="1">
      <c r="A182" s="110"/>
      <c r="B182" s="427"/>
      <c r="C182" s="110"/>
      <c r="D182" s="110"/>
      <c r="E182" s="344"/>
      <c r="F182" s="110"/>
      <c r="G182" s="110"/>
      <c r="H182" s="110"/>
      <c r="I182" s="110"/>
      <c r="J182" s="34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110"/>
      <c r="X182" s="110"/>
      <c r="Y182" s="110"/>
      <c r="Z182" s="110"/>
    </row>
    <row r="183" spans="1:26" ht="15" customHeight="1">
      <c r="A183" s="110"/>
      <c r="B183" s="427"/>
      <c r="C183" s="110"/>
      <c r="D183" s="110"/>
      <c r="E183" s="344"/>
      <c r="F183" s="110"/>
      <c r="G183" s="110"/>
      <c r="H183" s="110"/>
      <c r="I183" s="110"/>
      <c r="J183" s="34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110"/>
      <c r="X183" s="110"/>
      <c r="Y183" s="110"/>
      <c r="Z183" s="110"/>
    </row>
    <row r="184" spans="1:26" ht="15" customHeight="1">
      <c r="A184" s="110"/>
      <c r="B184" s="427"/>
      <c r="C184" s="110"/>
      <c r="D184" s="110"/>
      <c r="E184" s="344"/>
      <c r="F184" s="110"/>
      <c r="G184" s="110"/>
      <c r="H184" s="110"/>
      <c r="I184" s="110"/>
      <c r="J184" s="34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110"/>
      <c r="X184" s="110"/>
      <c r="Y184" s="110"/>
      <c r="Z184" s="110"/>
    </row>
    <row r="185" spans="1:26" ht="15" customHeight="1">
      <c r="A185" s="110"/>
      <c r="B185" s="427"/>
      <c r="C185" s="110"/>
      <c r="D185" s="110"/>
      <c r="E185" s="344"/>
      <c r="F185" s="110"/>
      <c r="G185" s="110"/>
      <c r="H185" s="110"/>
      <c r="I185" s="110"/>
      <c r="J185" s="34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110"/>
      <c r="X185" s="110"/>
      <c r="Y185" s="110"/>
      <c r="Z185" s="110"/>
    </row>
    <row r="186" spans="1:26" ht="15" customHeight="1">
      <c r="A186" s="110"/>
      <c r="B186" s="427"/>
      <c r="C186" s="110"/>
      <c r="D186" s="110"/>
      <c r="E186" s="344"/>
      <c r="F186" s="110"/>
      <c r="G186" s="110"/>
      <c r="H186" s="110"/>
      <c r="I186" s="110"/>
      <c r="J186" s="34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110"/>
      <c r="X186" s="110"/>
      <c r="Y186" s="110"/>
      <c r="Z186" s="110"/>
    </row>
    <row r="187" spans="1:26" ht="15" customHeight="1">
      <c r="A187" s="110"/>
      <c r="B187" s="427"/>
      <c r="C187" s="110"/>
      <c r="D187" s="110"/>
      <c r="E187" s="344"/>
      <c r="F187" s="110"/>
      <c r="G187" s="110"/>
      <c r="H187" s="110"/>
      <c r="I187" s="110"/>
      <c r="J187" s="34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110"/>
      <c r="X187" s="110"/>
      <c r="Y187" s="110"/>
      <c r="Z187" s="110"/>
    </row>
    <row r="188" spans="1:26" ht="15" customHeight="1">
      <c r="A188" s="110"/>
      <c r="B188" s="427"/>
      <c r="C188" s="110"/>
      <c r="D188" s="110"/>
      <c r="E188" s="344"/>
      <c r="F188" s="110"/>
      <c r="G188" s="110"/>
      <c r="H188" s="110"/>
      <c r="I188" s="110"/>
      <c r="J188" s="34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110"/>
      <c r="X188" s="110"/>
      <c r="Y188" s="110"/>
      <c r="Z188" s="110"/>
    </row>
    <row r="189" spans="1:26" ht="15" customHeight="1">
      <c r="A189" s="110"/>
      <c r="B189" s="427"/>
      <c r="C189" s="110"/>
      <c r="D189" s="110"/>
      <c r="E189" s="344"/>
      <c r="F189" s="110"/>
      <c r="G189" s="110"/>
      <c r="H189" s="110"/>
      <c r="I189" s="110"/>
      <c r="J189" s="34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110"/>
      <c r="X189" s="110"/>
      <c r="Y189" s="110"/>
      <c r="Z189" s="110"/>
    </row>
    <row r="190" spans="1:26" ht="15" customHeight="1">
      <c r="A190" s="110"/>
      <c r="B190" s="427"/>
      <c r="C190" s="110"/>
      <c r="D190" s="110"/>
      <c r="E190" s="344"/>
      <c r="F190" s="110"/>
      <c r="G190" s="110"/>
      <c r="H190" s="110"/>
      <c r="I190" s="110"/>
      <c r="J190" s="34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110"/>
      <c r="X190" s="110"/>
      <c r="Y190" s="110"/>
      <c r="Z190" s="110"/>
    </row>
    <row r="191" spans="1:26" ht="15" customHeight="1">
      <c r="A191" s="110"/>
      <c r="B191" s="427"/>
      <c r="C191" s="110"/>
      <c r="D191" s="110"/>
      <c r="E191" s="344"/>
      <c r="F191" s="110"/>
      <c r="G191" s="110"/>
      <c r="H191" s="110"/>
      <c r="I191" s="110"/>
      <c r="J191" s="34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110"/>
      <c r="X191" s="110"/>
      <c r="Y191" s="110"/>
      <c r="Z191" s="110"/>
    </row>
    <row r="192" spans="1:26" ht="15" customHeight="1">
      <c r="A192" s="110"/>
      <c r="B192" s="427"/>
      <c r="C192" s="110"/>
      <c r="D192" s="110"/>
      <c r="E192" s="344"/>
      <c r="F192" s="110"/>
      <c r="G192" s="110"/>
      <c r="H192" s="110"/>
      <c r="I192" s="110"/>
      <c r="J192" s="34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110"/>
      <c r="X192" s="110"/>
      <c r="Y192" s="110"/>
      <c r="Z192" s="110"/>
    </row>
    <row r="193" spans="1:26" ht="15" customHeight="1">
      <c r="A193" s="110"/>
      <c r="B193" s="427"/>
      <c r="C193" s="110"/>
      <c r="D193" s="110"/>
      <c r="E193" s="344"/>
      <c r="F193" s="110"/>
      <c r="G193" s="110"/>
      <c r="H193" s="110"/>
      <c r="I193" s="110"/>
      <c r="J193" s="34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110"/>
      <c r="X193" s="110"/>
      <c r="Y193" s="110"/>
      <c r="Z193" s="110"/>
    </row>
    <row r="194" spans="1:26" ht="15" customHeight="1">
      <c r="A194" s="110"/>
      <c r="B194" s="427"/>
      <c r="C194" s="110"/>
      <c r="D194" s="110"/>
      <c r="E194" s="344"/>
      <c r="F194" s="110"/>
      <c r="G194" s="110"/>
      <c r="H194" s="110"/>
      <c r="I194" s="110"/>
      <c r="J194" s="34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110"/>
      <c r="X194" s="110"/>
      <c r="Y194" s="110"/>
      <c r="Z194" s="110"/>
    </row>
    <row r="195" spans="1:26" ht="15" customHeight="1">
      <c r="A195" s="110"/>
      <c r="B195" s="427"/>
      <c r="C195" s="110"/>
      <c r="D195" s="110"/>
      <c r="E195" s="344"/>
      <c r="F195" s="110"/>
      <c r="G195" s="110"/>
      <c r="H195" s="110"/>
      <c r="I195" s="110"/>
      <c r="J195" s="34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110"/>
      <c r="X195" s="110"/>
      <c r="Y195" s="110"/>
      <c r="Z195" s="110"/>
    </row>
    <row r="196" spans="1:26" ht="15" customHeight="1">
      <c r="A196" s="110"/>
      <c r="B196" s="427"/>
      <c r="C196" s="110"/>
      <c r="D196" s="110"/>
      <c r="E196" s="344"/>
      <c r="F196" s="110"/>
      <c r="G196" s="110"/>
      <c r="H196" s="110"/>
      <c r="I196" s="110"/>
      <c r="J196" s="34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110"/>
      <c r="X196" s="110"/>
      <c r="Y196" s="110"/>
      <c r="Z196" s="110"/>
    </row>
    <row r="197" spans="1:26" ht="15" customHeight="1">
      <c r="A197" s="110"/>
      <c r="B197" s="427"/>
      <c r="C197" s="110"/>
      <c r="D197" s="110"/>
      <c r="E197" s="344"/>
      <c r="F197" s="110"/>
      <c r="G197" s="110"/>
      <c r="H197" s="110"/>
      <c r="I197" s="110"/>
      <c r="J197" s="34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110"/>
      <c r="X197" s="110"/>
      <c r="Y197" s="110"/>
      <c r="Z197" s="110"/>
    </row>
    <row r="198" spans="1:26" ht="15" customHeight="1">
      <c r="A198" s="110"/>
      <c r="B198" s="427"/>
      <c r="C198" s="110"/>
      <c r="D198" s="110"/>
      <c r="E198" s="344"/>
      <c r="F198" s="110"/>
      <c r="G198" s="110"/>
      <c r="H198" s="110"/>
      <c r="I198" s="110"/>
      <c r="J198" s="34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110"/>
      <c r="X198" s="110"/>
      <c r="Y198" s="110"/>
      <c r="Z198" s="110"/>
    </row>
    <row r="199" spans="1:26" ht="15" customHeight="1">
      <c r="A199" s="110"/>
      <c r="B199" s="427"/>
      <c r="C199" s="110"/>
      <c r="D199" s="110"/>
      <c r="E199" s="344"/>
      <c r="F199" s="110"/>
      <c r="G199" s="110"/>
      <c r="H199" s="110"/>
      <c r="I199" s="110"/>
      <c r="J199" s="34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110"/>
      <c r="X199" s="110"/>
      <c r="Y199" s="110"/>
      <c r="Z199" s="110"/>
    </row>
    <row r="200" spans="1:26" ht="15" customHeight="1">
      <c r="A200" s="110"/>
      <c r="B200" s="427"/>
      <c r="C200" s="110"/>
      <c r="D200" s="110"/>
      <c r="E200" s="344"/>
      <c r="F200" s="110"/>
      <c r="G200" s="110"/>
      <c r="H200" s="110"/>
      <c r="I200" s="110"/>
      <c r="J200" s="34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110"/>
      <c r="X200" s="110"/>
      <c r="Y200" s="110"/>
      <c r="Z200" s="110"/>
    </row>
    <row r="201" spans="1:26" ht="15" customHeight="1">
      <c r="A201" s="110"/>
      <c r="B201" s="427"/>
      <c r="C201" s="110"/>
      <c r="D201" s="110"/>
      <c r="E201" s="344"/>
      <c r="F201" s="110"/>
      <c r="G201" s="110"/>
      <c r="H201" s="110"/>
      <c r="I201" s="110"/>
      <c r="J201" s="34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110"/>
      <c r="X201" s="110"/>
      <c r="Y201" s="110"/>
      <c r="Z201" s="110"/>
    </row>
    <row r="202" spans="1:26" ht="15" customHeight="1">
      <c r="A202" s="110"/>
      <c r="B202" s="427"/>
      <c r="C202" s="110"/>
      <c r="D202" s="110"/>
      <c r="E202" s="344"/>
      <c r="F202" s="110"/>
      <c r="G202" s="110"/>
      <c r="H202" s="110"/>
      <c r="I202" s="110"/>
      <c r="J202" s="34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110"/>
      <c r="X202" s="110"/>
      <c r="Y202" s="110"/>
      <c r="Z202" s="110"/>
    </row>
    <row r="203" spans="1:26" ht="15" customHeight="1">
      <c r="A203" s="110"/>
      <c r="B203" s="427"/>
      <c r="C203" s="110"/>
      <c r="D203" s="110"/>
      <c r="E203" s="344"/>
      <c r="F203" s="110"/>
      <c r="G203" s="110"/>
      <c r="H203" s="110"/>
      <c r="I203" s="110"/>
      <c r="J203" s="34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110"/>
      <c r="X203" s="110"/>
      <c r="Y203" s="110"/>
      <c r="Z203" s="110"/>
    </row>
    <row r="204" spans="1:26" ht="15" customHeight="1">
      <c r="A204" s="110"/>
      <c r="B204" s="427"/>
      <c r="C204" s="110"/>
      <c r="D204" s="110"/>
      <c r="E204" s="344"/>
      <c r="F204" s="110"/>
      <c r="G204" s="110"/>
      <c r="H204" s="110"/>
      <c r="I204" s="110"/>
      <c r="J204" s="34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110"/>
      <c r="X204" s="110"/>
      <c r="Y204" s="110"/>
      <c r="Z204" s="110"/>
    </row>
    <row r="205" spans="1:26" ht="15" customHeight="1">
      <c r="A205" s="110"/>
      <c r="B205" s="427"/>
      <c r="C205" s="110"/>
      <c r="D205" s="110"/>
      <c r="E205" s="344"/>
      <c r="F205" s="110"/>
      <c r="G205" s="110"/>
      <c r="H205" s="110"/>
      <c r="I205" s="110"/>
      <c r="J205" s="34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110"/>
      <c r="X205" s="110"/>
      <c r="Y205" s="110"/>
      <c r="Z205" s="110"/>
    </row>
    <row r="206" spans="1:26" ht="15" customHeight="1">
      <c r="A206" s="110"/>
      <c r="B206" s="427"/>
      <c r="C206" s="110"/>
      <c r="D206" s="110"/>
      <c r="E206" s="344"/>
      <c r="F206" s="110"/>
      <c r="G206" s="110"/>
      <c r="H206" s="110"/>
      <c r="I206" s="110"/>
      <c r="J206" s="34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110"/>
      <c r="X206" s="110"/>
      <c r="Y206" s="110"/>
      <c r="Z206" s="110"/>
    </row>
    <row r="207" spans="1:26" ht="15" customHeight="1">
      <c r="A207" s="110"/>
      <c r="B207" s="427"/>
      <c r="C207" s="110"/>
      <c r="D207" s="110"/>
      <c r="E207" s="344"/>
      <c r="F207" s="110"/>
      <c r="G207" s="110"/>
      <c r="H207" s="110"/>
      <c r="I207" s="110"/>
      <c r="J207" s="34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110"/>
      <c r="X207" s="110"/>
      <c r="Y207" s="110"/>
      <c r="Z207" s="110"/>
    </row>
    <row r="208" spans="1:26" ht="15" customHeight="1">
      <c r="A208" s="110"/>
      <c r="B208" s="427"/>
      <c r="C208" s="110"/>
      <c r="D208" s="110"/>
      <c r="E208" s="344"/>
      <c r="F208" s="110"/>
      <c r="G208" s="110"/>
      <c r="H208" s="110"/>
      <c r="I208" s="110"/>
      <c r="J208" s="34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110"/>
      <c r="X208" s="110"/>
      <c r="Y208" s="110"/>
      <c r="Z208" s="110"/>
    </row>
    <row r="209" spans="1:26" ht="15" customHeight="1">
      <c r="A209" s="110"/>
      <c r="B209" s="427"/>
      <c r="C209" s="110"/>
      <c r="D209" s="110"/>
      <c r="E209" s="344"/>
      <c r="F209" s="110"/>
      <c r="G209" s="110"/>
      <c r="H209" s="110"/>
      <c r="I209" s="110"/>
      <c r="J209" s="34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110"/>
      <c r="X209" s="110"/>
      <c r="Y209" s="110"/>
      <c r="Z209" s="110"/>
    </row>
    <row r="210" spans="1:26" ht="15" customHeight="1">
      <c r="A210" s="110"/>
      <c r="B210" s="427"/>
      <c r="C210" s="110"/>
      <c r="D210" s="110"/>
      <c r="E210" s="344"/>
      <c r="F210" s="110"/>
      <c r="G210" s="110"/>
      <c r="H210" s="110"/>
      <c r="I210" s="110"/>
      <c r="J210" s="34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110"/>
      <c r="X210" s="110"/>
      <c r="Y210" s="110"/>
      <c r="Z210" s="110"/>
    </row>
    <row r="211" spans="1:26" ht="15" customHeight="1">
      <c r="A211" s="110"/>
      <c r="B211" s="427"/>
      <c r="C211" s="110"/>
      <c r="D211" s="110"/>
      <c r="E211" s="344"/>
      <c r="F211" s="110"/>
      <c r="G211" s="110"/>
      <c r="H211" s="110"/>
      <c r="I211" s="110"/>
      <c r="J211" s="34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110"/>
      <c r="X211" s="110"/>
      <c r="Y211" s="110"/>
      <c r="Z211" s="110"/>
    </row>
    <row r="212" spans="1:26" ht="15" customHeight="1">
      <c r="A212" s="110"/>
      <c r="B212" s="427"/>
      <c r="C212" s="110"/>
      <c r="D212" s="110"/>
      <c r="E212" s="344"/>
      <c r="F212" s="110"/>
      <c r="G212" s="110"/>
      <c r="H212" s="110"/>
      <c r="I212" s="110"/>
      <c r="J212" s="34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110"/>
      <c r="X212" s="110"/>
      <c r="Y212" s="110"/>
      <c r="Z212" s="110"/>
    </row>
    <row r="213" spans="1:26" ht="15" customHeight="1">
      <c r="A213" s="110"/>
      <c r="B213" s="427"/>
      <c r="C213" s="110"/>
      <c r="D213" s="110"/>
      <c r="E213" s="344"/>
      <c r="F213" s="110"/>
      <c r="G213" s="110"/>
      <c r="H213" s="110"/>
      <c r="I213" s="110"/>
      <c r="J213" s="34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110"/>
      <c r="X213" s="110"/>
      <c r="Y213" s="110"/>
      <c r="Z213" s="110"/>
    </row>
    <row r="214" spans="1:26" ht="15" customHeight="1">
      <c r="A214" s="110"/>
      <c r="B214" s="427"/>
      <c r="C214" s="110"/>
      <c r="D214" s="110"/>
      <c r="E214" s="344"/>
      <c r="F214" s="110"/>
      <c r="G214" s="110"/>
      <c r="H214" s="110"/>
      <c r="I214" s="110"/>
      <c r="J214" s="34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110"/>
      <c r="X214" s="110"/>
      <c r="Y214" s="110"/>
      <c r="Z214" s="110"/>
    </row>
    <row r="215" spans="1:26" ht="15" customHeight="1">
      <c r="A215" s="110"/>
      <c r="B215" s="427"/>
      <c r="C215" s="110"/>
      <c r="D215" s="110"/>
      <c r="E215" s="344"/>
      <c r="F215" s="110"/>
      <c r="G215" s="110"/>
      <c r="H215" s="110"/>
      <c r="I215" s="110"/>
      <c r="J215" s="34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110"/>
      <c r="X215" s="110"/>
      <c r="Y215" s="110"/>
      <c r="Z215" s="110"/>
    </row>
    <row r="216" spans="1:26" ht="15" customHeight="1">
      <c r="A216" s="110"/>
      <c r="B216" s="427"/>
      <c r="C216" s="110"/>
      <c r="D216" s="110"/>
      <c r="E216" s="344"/>
      <c r="F216" s="110"/>
      <c r="G216" s="110"/>
      <c r="H216" s="110"/>
      <c r="I216" s="110"/>
      <c r="J216" s="34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110"/>
      <c r="X216" s="110"/>
      <c r="Y216" s="110"/>
      <c r="Z216" s="110"/>
    </row>
    <row r="217" spans="1:26" ht="15" customHeight="1">
      <c r="A217" s="110"/>
      <c r="B217" s="427"/>
      <c r="C217" s="110"/>
      <c r="D217" s="110"/>
      <c r="E217" s="344"/>
      <c r="F217" s="110"/>
      <c r="G217" s="110"/>
      <c r="H217" s="110"/>
      <c r="I217" s="110"/>
      <c r="J217" s="34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110"/>
      <c r="X217" s="110"/>
      <c r="Y217" s="110"/>
      <c r="Z217" s="110"/>
    </row>
    <row r="218" spans="1:26" ht="15" customHeight="1">
      <c r="A218" s="110"/>
      <c r="B218" s="427"/>
      <c r="C218" s="110"/>
      <c r="D218" s="110"/>
      <c r="E218" s="344"/>
      <c r="F218" s="110"/>
      <c r="G218" s="110"/>
      <c r="H218" s="110"/>
      <c r="I218" s="110"/>
      <c r="J218" s="34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110"/>
      <c r="X218" s="110"/>
      <c r="Y218" s="110"/>
      <c r="Z218" s="110"/>
    </row>
    <row r="219" spans="1:26" ht="15" customHeight="1">
      <c r="A219" s="110"/>
      <c r="B219" s="427"/>
      <c r="C219" s="110"/>
      <c r="D219" s="110"/>
      <c r="E219" s="344"/>
      <c r="F219" s="110"/>
      <c r="G219" s="110"/>
      <c r="H219" s="110"/>
      <c r="I219" s="110"/>
      <c r="J219" s="34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110"/>
      <c r="X219" s="110"/>
      <c r="Y219" s="110"/>
      <c r="Z219" s="110"/>
    </row>
    <row r="220" spans="1:26" ht="15" customHeight="1">
      <c r="A220" s="110"/>
      <c r="B220" s="427"/>
      <c r="C220" s="110"/>
      <c r="D220" s="110"/>
      <c r="E220" s="344"/>
      <c r="F220" s="110"/>
      <c r="G220" s="110"/>
      <c r="H220" s="110"/>
      <c r="I220" s="110"/>
      <c r="J220" s="34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110"/>
      <c r="X220" s="110"/>
      <c r="Y220" s="110"/>
      <c r="Z220" s="110"/>
    </row>
    <row r="221" spans="1:26" ht="15" customHeight="1">
      <c r="A221" s="110"/>
      <c r="B221" s="427"/>
      <c r="C221" s="110"/>
      <c r="D221" s="110"/>
      <c r="E221" s="344"/>
      <c r="F221" s="110"/>
      <c r="G221" s="110"/>
      <c r="H221" s="110"/>
      <c r="I221" s="110"/>
      <c r="J221" s="34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110"/>
      <c r="X221" s="110"/>
      <c r="Y221" s="110"/>
      <c r="Z221" s="110"/>
    </row>
    <row r="222" spans="1:26" ht="15" customHeight="1">
      <c r="A222" s="110"/>
      <c r="B222" s="427"/>
      <c r="C222" s="110"/>
      <c r="D222" s="110"/>
      <c r="E222" s="344"/>
      <c r="F222" s="110"/>
      <c r="G222" s="110"/>
      <c r="H222" s="110"/>
      <c r="I222" s="110"/>
      <c r="J222" s="34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110"/>
      <c r="X222" s="110"/>
      <c r="Y222" s="110"/>
      <c r="Z222" s="110"/>
    </row>
    <row r="223" spans="1:26" ht="15" customHeight="1">
      <c r="A223" s="110"/>
      <c r="B223" s="427"/>
      <c r="C223" s="110"/>
      <c r="D223" s="110"/>
      <c r="E223" s="344"/>
      <c r="F223" s="110"/>
      <c r="G223" s="110"/>
      <c r="H223" s="110"/>
      <c r="I223" s="110"/>
      <c r="J223" s="34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110"/>
      <c r="X223" s="110"/>
      <c r="Y223" s="110"/>
      <c r="Z223" s="110"/>
    </row>
    <row r="224" spans="1:26" ht="15" customHeight="1">
      <c r="A224" s="110"/>
      <c r="B224" s="427"/>
      <c r="C224" s="110"/>
      <c r="D224" s="110"/>
      <c r="E224" s="344"/>
      <c r="F224" s="110"/>
      <c r="G224" s="110"/>
      <c r="H224" s="110"/>
      <c r="I224" s="110"/>
      <c r="J224" s="34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110"/>
      <c r="X224" s="110"/>
      <c r="Y224" s="110"/>
      <c r="Z224" s="110"/>
    </row>
    <row r="225" spans="1:26" ht="15" customHeight="1">
      <c r="A225" s="110"/>
      <c r="B225" s="427"/>
      <c r="C225" s="110"/>
      <c r="D225" s="110"/>
      <c r="E225" s="344"/>
      <c r="F225" s="110"/>
      <c r="G225" s="110"/>
      <c r="H225" s="110"/>
      <c r="I225" s="110"/>
      <c r="J225" s="34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110"/>
      <c r="X225" s="110"/>
      <c r="Y225" s="110"/>
      <c r="Z225" s="110"/>
    </row>
    <row r="226" spans="1:26" ht="15" customHeight="1">
      <c r="A226" s="110"/>
      <c r="B226" s="427"/>
      <c r="C226" s="110"/>
      <c r="D226" s="110"/>
      <c r="E226" s="344"/>
      <c r="F226" s="110"/>
      <c r="G226" s="110"/>
      <c r="H226" s="110"/>
      <c r="I226" s="110"/>
      <c r="J226" s="34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110"/>
      <c r="X226" s="110"/>
      <c r="Y226" s="110"/>
      <c r="Z226" s="110"/>
    </row>
    <row r="227" spans="1:26" ht="15" customHeight="1">
      <c r="A227" s="110"/>
      <c r="B227" s="427"/>
      <c r="C227" s="110"/>
      <c r="D227" s="110"/>
      <c r="E227" s="344"/>
      <c r="F227" s="110"/>
      <c r="G227" s="110"/>
      <c r="H227" s="110"/>
      <c r="I227" s="110"/>
      <c r="J227" s="34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110"/>
      <c r="X227" s="110"/>
      <c r="Y227" s="110"/>
      <c r="Z227" s="110"/>
    </row>
    <row r="228" spans="1:26" ht="15" customHeight="1">
      <c r="A228" s="110"/>
      <c r="B228" s="427"/>
      <c r="C228" s="110"/>
      <c r="D228" s="110"/>
      <c r="E228" s="344"/>
      <c r="F228" s="110"/>
      <c r="G228" s="110"/>
      <c r="H228" s="110"/>
      <c r="I228" s="110"/>
      <c r="J228" s="34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110"/>
      <c r="X228" s="110"/>
      <c r="Y228" s="110"/>
      <c r="Z228" s="110"/>
    </row>
    <row r="229" spans="1:26" ht="15" customHeight="1">
      <c r="A229" s="110"/>
      <c r="B229" s="427"/>
      <c r="C229" s="110"/>
      <c r="D229" s="110"/>
      <c r="E229" s="344"/>
      <c r="F229" s="110"/>
      <c r="G229" s="110"/>
      <c r="H229" s="110"/>
      <c r="I229" s="110"/>
      <c r="J229" s="34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110"/>
      <c r="X229" s="110"/>
      <c r="Y229" s="110"/>
      <c r="Z229" s="110"/>
    </row>
    <row r="230" spans="1:26" ht="15" customHeight="1">
      <c r="A230" s="110"/>
      <c r="B230" s="427"/>
      <c r="C230" s="110"/>
      <c r="D230" s="110"/>
      <c r="E230" s="344"/>
      <c r="F230" s="110"/>
      <c r="G230" s="110"/>
      <c r="H230" s="110"/>
      <c r="I230" s="110"/>
      <c r="J230" s="34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110"/>
      <c r="X230" s="110"/>
      <c r="Y230" s="110"/>
      <c r="Z230" s="110"/>
    </row>
    <row r="231" spans="1:26" ht="15" customHeight="1">
      <c r="A231" s="110"/>
      <c r="B231" s="427"/>
      <c r="C231" s="110"/>
      <c r="D231" s="110"/>
      <c r="E231" s="344"/>
      <c r="F231" s="110"/>
      <c r="G231" s="110"/>
      <c r="H231" s="110"/>
      <c r="I231" s="110"/>
      <c r="J231" s="34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110"/>
      <c r="X231" s="110"/>
      <c r="Y231" s="110"/>
      <c r="Z231" s="110"/>
    </row>
    <row r="232" spans="1:26" ht="15" customHeight="1">
      <c r="A232" s="110"/>
      <c r="B232" s="427"/>
      <c r="C232" s="110"/>
      <c r="D232" s="110"/>
      <c r="E232" s="344"/>
      <c r="F232" s="110"/>
      <c r="G232" s="110"/>
      <c r="H232" s="110"/>
      <c r="I232" s="110"/>
      <c r="J232" s="34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110"/>
      <c r="X232" s="110"/>
      <c r="Y232" s="110"/>
      <c r="Z232" s="110"/>
    </row>
    <row r="233" spans="1:26" ht="15" customHeight="1">
      <c r="A233" s="110"/>
      <c r="B233" s="427"/>
      <c r="C233" s="110"/>
      <c r="D233" s="110"/>
      <c r="E233" s="344"/>
      <c r="F233" s="110"/>
      <c r="G233" s="110"/>
      <c r="H233" s="110"/>
      <c r="I233" s="110"/>
      <c r="J233" s="34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110"/>
      <c r="X233" s="110"/>
      <c r="Y233" s="110"/>
      <c r="Z233" s="110"/>
    </row>
    <row r="234" spans="1:26" ht="15" customHeight="1">
      <c r="A234" s="110"/>
      <c r="B234" s="427"/>
      <c r="C234" s="110"/>
      <c r="D234" s="110"/>
      <c r="E234" s="344"/>
      <c r="F234" s="110"/>
      <c r="G234" s="110"/>
      <c r="H234" s="110"/>
      <c r="I234" s="110"/>
      <c r="J234" s="34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110"/>
      <c r="X234" s="110"/>
      <c r="Y234" s="110"/>
      <c r="Z234" s="110"/>
    </row>
    <row r="235" spans="1:26" ht="15" customHeight="1">
      <c r="A235" s="110"/>
      <c r="B235" s="427"/>
      <c r="C235" s="110"/>
      <c r="D235" s="110"/>
      <c r="E235" s="344"/>
      <c r="F235" s="110"/>
      <c r="G235" s="110"/>
      <c r="H235" s="110"/>
      <c r="I235" s="110"/>
      <c r="J235" s="34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110"/>
      <c r="X235" s="110"/>
      <c r="Y235" s="110"/>
      <c r="Z235" s="110"/>
    </row>
    <row r="236" spans="1:26" ht="15" customHeight="1">
      <c r="A236" s="110"/>
      <c r="B236" s="427"/>
      <c r="C236" s="110"/>
      <c r="D236" s="110"/>
      <c r="E236" s="344"/>
      <c r="F236" s="110"/>
      <c r="G236" s="110"/>
      <c r="H236" s="110"/>
      <c r="I236" s="110"/>
      <c r="J236" s="34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110"/>
      <c r="X236" s="110"/>
      <c r="Y236" s="110"/>
      <c r="Z236" s="110"/>
    </row>
    <row r="237" spans="1:26" ht="15" customHeight="1">
      <c r="A237" s="110"/>
      <c r="B237" s="427"/>
      <c r="C237" s="110"/>
      <c r="D237" s="110"/>
      <c r="E237" s="344"/>
      <c r="F237" s="110"/>
      <c r="G237" s="110"/>
      <c r="H237" s="110"/>
      <c r="I237" s="110"/>
      <c r="J237" s="34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110"/>
      <c r="X237" s="110"/>
      <c r="Y237" s="110"/>
      <c r="Z237" s="110"/>
    </row>
    <row r="238" spans="1:26" ht="15" customHeight="1">
      <c r="A238" s="110"/>
      <c r="B238" s="427"/>
      <c r="C238" s="110"/>
      <c r="D238" s="110"/>
      <c r="E238" s="344"/>
      <c r="F238" s="110"/>
      <c r="G238" s="110"/>
      <c r="H238" s="110"/>
      <c r="I238" s="110"/>
      <c r="J238" s="34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110"/>
      <c r="X238" s="110"/>
      <c r="Y238" s="110"/>
      <c r="Z238" s="110"/>
    </row>
    <row r="239" spans="1:26" ht="15" customHeight="1">
      <c r="A239" s="110"/>
      <c r="B239" s="427"/>
      <c r="C239" s="110"/>
      <c r="D239" s="110"/>
      <c r="E239" s="344"/>
      <c r="F239" s="110"/>
      <c r="G239" s="110"/>
      <c r="H239" s="110"/>
      <c r="I239" s="110"/>
      <c r="J239" s="34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110"/>
      <c r="X239" s="110"/>
      <c r="Y239" s="110"/>
      <c r="Z239" s="110"/>
    </row>
    <row r="240" spans="1:26" ht="15" customHeight="1">
      <c r="A240" s="110"/>
      <c r="B240" s="427"/>
      <c r="C240" s="110"/>
      <c r="D240" s="110"/>
      <c r="E240" s="344"/>
      <c r="F240" s="110"/>
      <c r="G240" s="110"/>
      <c r="H240" s="110"/>
      <c r="I240" s="110"/>
      <c r="J240" s="34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110"/>
      <c r="X240" s="110"/>
      <c r="Y240" s="110"/>
      <c r="Z240" s="110"/>
    </row>
    <row r="241" spans="1:26" ht="15" customHeight="1">
      <c r="A241" s="110"/>
      <c r="B241" s="427"/>
      <c r="C241" s="110"/>
      <c r="D241" s="110"/>
      <c r="E241" s="344"/>
      <c r="F241" s="110"/>
      <c r="G241" s="110"/>
      <c r="H241" s="110"/>
      <c r="I241" s="110"/>
      <c r="J241" s="34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110"/>
      <c r="X241" s="110"/>
      <c r="Y241" s="110"/>
      <c r="Z241" s="110"/>
    </row>
    <row r="242" spans="1:26" ht="15" customHeight="1">
      <c r="A242" s="110"/>
      <c r="B242" s="427"/>
      <c r="C242" s="110"/>
      <c r="D242" s="110"/>
      <c r="E242" s="344"/>
      <c r="F242" s="110"/>
      <c r="G242" s="110"/>
      <c r="H242" s="110"/>
      <c r="I242" s="110"/>
      <c r="J242" s="34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110"/>
      <c r="X242" s="110"/>
      <c r="Y242" s="110"/>
      <c r="Z242" s="110"/>
    </row>
    <row r="243" spans="1:26" ht="15" customHeight="1">
      <c r="A243" s="110"/>
      <c r="B243" s="427"/>
      <c r="C243" s="110"/>
      <c r="D243" s="110"/>
      <c r="E243" s="344"/>
      <c r="F243" s="110"/>
      <c r="G243" s="110"/>
      <c r="H243" s="110"/>
      <c r="I243" s="110"/>
      <c r="J243" s="34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110"/>
      <c r="X243" s="110"/>
      <c r="Y243" s="110"/>
      <c r="Z243" s="110"/>
    </row>
    <row r="244" spans="1:26" ht="15" customHeight="1">
      <c r="A244" s="110"/>
      <c r="B244" s="427"/>
      <c r="C244" s="110"/>
      <c r="D244" s="110"/>
      <c r="E244" s="344"/>
      <c r="F244" s="110"/>
      <c r="G244" s="110"/>
      <c r="H244" s="110"/>
      <c r="I244" s="110"/>
      <c r="J244" s="34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110"/>
      <c r="X244" s="110"/>
      <c r="Y244" s="110"/>
      <c r="Z244" s="110"/>
    </row>
    <row r="245" spans="1:26" ht="15" customHeight="1">
      <c r="A245" s="110"/>
      <c r="B245" s="427"/>
      <c r="C245" s="110"/>
      <c r="D245" s="110"/>
      <c r="E245" s="344"/>
      <c r="F245" s="110"/>
      <c r="G245" s="110"/>
      <c r="H245" s="110"/>
      <c r="I245" s="110"/>
      <c r="J245" s="34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110"/>
      <c r="X245" s="110"/>
      <c r="Y245" s="110"/>
      <c r="Z245" s="110"/>
    </row>
    <row r="246" spans="1:26" ht="15" customHeight="1">
      <c r="A246" s="110"/>
      <c r="B246" s="427"/>
      <c r="C246" s="110"/>
      <c r="D246" s="110"/>
      <c r="E246" s="344"/>
      <c r="F246" s="110"/>
      <c r="G246" s="110"/>
      <c r="H246" s="110"/>
      <c r="I246" s="110"/>
      <c r="J246" s="34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110"/>
      <c r="X246" s="110"/>
      <c r="Y246" s="110"/>
      <c r="Z246" s="110"/>
    </row>
    <row r="247" spans="1:26" ht="15" customHeight="1">
      <c r="A247" s="110"/>
      <c r="B247" s="427"/>
      <c r="C247" s="110"/>
      <c r="D247" s="110"/>
      <c r="E247" s="344"/>
      <c r="F247" s="110"/>
      <c r="G247" s="110"/>
      <c r="H247" s="110"/>
      <c r="I247" s="110"/>
      <c r="J247" s="34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110"/>
      <c r="X247" s="110"/>
      <c r="Y247" s="110"/>
      <c r="Z247" s="110"/>
    </row>
    <row r="248" spans="1:26" ht="15" customHeight="1">
      <c r="A248" s="110"/>
      <c r="B248" s="427"/>
      <c r="C248" s="110"/>
      <c r="D248" s="110"/>
      <c r="E248" s="344"/>
      <c r="F248" s="110"/>
      <c r="G248" s="110"/>
      <c r="H248" s="110"/>
      <c r="I248" s="110"/>
      <c r="J248" s="34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110"/>
      <c r="X248" s="110"/>
      <c r="Y248" s="110"/>
      <c r="Z248" s="110"/>
    </row>
    <row r="249" spans="1:26" ht="15" customHeight="1">
      <c r="A249" s="110"/>
      <c r="B249" s="427"/>
      <c r="C249" s="110"/>
      <c r="D249" s="110"/>
      <c r="E249" s="344"/>
      <c r="F249" s="110"/>
      <c r="G249" s="110"/>
      <c r="H249" s="110"/>
      <c r="I249" s="110"/>
      <c r="J249" s="34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110"/>
      <c r="X249" s="110"/>
      <c r="Y249" s="110"/>
      <c r="Z249" s="110"/>
    </row>
    <row r="250" spans="1:26" ht="15" customHeight="1">
      <c r="A250" s="110"/>
      <c r="B250" s="427"/>
      <c r="C250" s="110"/>
      <c r="D250" s="110"/>
      <c r="E250" s="344"/>
      <c r="F250" s="110"/>
      <c r="G250" s="110"/>
      <c r="H250" s="110"/>
      <c r="I250" s="110"/>
      <c r="J250" s="34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110"/>
      <c r="X250" s="110"/>
      <c r="Y250" s="110"/>
      <c r="Z250" s="110"/>
    </row>
    <row r="251" spans="1:26" ht="15" customHeight="1">
      <c r="A251" s="110"/>
      <c r="B251" s="427"/>
      <c r="C251" s="110"/>
      <c r="D251" s="110"/>
      <c r="E251" s="344"/>
      <c r="F251" s="110"/>
      <c r="G251" s="110"/>
      <c r="H251" s="110"/>
      <c r="I251" s="110"/>
      <c r="J251" s="34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110"/>
      <c r="X251" s="110"/>
      <c r="Y251" s="110"/>
      <c r="Z251" s="110"/>
    </row>
    <row r="252" spans="1:26" ht="15" customHeight="1">
      <c r="A252" s="110"/>
      <c r="B252" s="427"/>
      <c r="C252" s="110"/>
      <c r="D252" s="110"/>
      <c r="E252" s="110"/>
      <c r="F252" s="110"/>
      <c r="G252" s="110"/>
      <c r="H252" s="110"/>
      <c r="I252" s="110"/>
      <c r="J252" s="34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110"/>
      <c r="X252" s="110"/>
      <c r="Y252" s="110"/>
      <c r="Z252" s="110"/>
    </row>
    <row r="253" spans="1:26" ht="15" customHeight="1">
      <c r="A253" s="4"/>
      <c r="B253" s="103"/>
      <c r="C253" s="4"/>
      <c r="D253" s="4"/>
      <c r="E253" s="4"/>
      <c r="F253" s="4"/>
      <c r="G253" s="4"/>
      <c r="H253" s="4"/>
      <c r="I253" s="4"/>
      <c r="J253" s="9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110"/>
      <c r="X253" s="110"/>
      <c r="Y253" s="110"/>
      <c r="Z253" s="110"/>
    </row>
    <row r="254" spans="1:26" ht="15.75" customHeight="1">
      <c r="A254" s="4"/>
      <c r="B254" s="103"/>
      <c r="C254" s="4"/>
      <c r="D254" s="4"/>
      <c r="E254" s="4"/>
      <c r="F254" s="4"/>
      <c r="G254" s="4"/>
      <c r="H254" s="4"/>
      <c r="I254" s="4"/>
      <c r="J254" s="9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110"/>
      <c r="X254" s="110"/>
      <c r="Y254" s="110"/>
      <c r="Z254" s="110"/>
    </row>
    <row r="255" spans="1:26" ht="15.75" customHeight="1">
      <c r="A255" s="4"/>
      <c r="B255" s="103"/>
      <c r="C255" s="4"/>
      <c r="D255" s="4"/>
      <c r="E255" s="4"/>
      <c r="F255" s="4"/>
      <c r="G255" s="4"/>
      <c r="H255" s="4"/>
      <c r="I255" s="4"/>
      <c r="J255" s="9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110"/>
      <c r="X255" s="110"/>
      <c r="Y255" s="110"/>
      <c r="Z255" s="110"/>
    </row>
    <row r="256" spans="1:26" ht="15.75" customHeight="1">
      <c r="A256" s="4"/>
      <c r="B256" s="103"/>
      <c r="C256" s="4"/>
      <c r="D256" s="4"/>
      <c r="E256" s="4"/>
      <c r="F256" s="4"/>
      <c r="G256" s="4"/>
      <c r="H256" s="4"/>
      <c r="I256" s="4"/>
      <c r="J256" s="9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110"/>
      <c r="X256" s="110"/>
      <c r="Y256" s="110"/>
      <c r="Z256" s="110"/>
    </row>
    <row r="257" spans="1:26" ht="15.75" customHeight="1">
      <c r="A257" s="4"/>
      <c r="B257" s="103"/>
      <c r="C257" s="4"/>
      <c r="D257" s="4"/>
      <c r="E257" s="4"/>
      <c r="F257" s="4"/>
      <c r="G257" s="4"/>
      <c r="H257" s="4"/>
      <c r="I257" s="4"/>
      <c r="J257" s="9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110"/>
      <c r="X257" s="110"/>
      <c r="Y257" s="110"/>
      <c r="Z257" s="110"/>
    </row>
    <row r="258" spans="1:26" ht="15.75" customHeight="1">
      <c r="A258" s="4"/>
      <c r="B258" s="103"/>
      <c r="C258" s="4"/>
      <c r="D258" s="4"/>
      <c r="E258" s="4"/>
      <c r="F258" s="4"/>
      <c r="G258" s="4"/>
      <c r="H258" s="4"/>
      <c r="I258" s="4"/>
      <c r="J258" s="9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110"/>
      <c r="X258" s="110"/>
      <c r="Y258" s="110"/>
      <c r="Z258" s="110"/>
    </row>
    <row r="259" spans="1:26" ht="15.75" customHeight="1">
      <c r="A259" s="4"/>
      <c r="B259" s="103"/>
      <c r="C259" s="4"/>
      <c r="D259" s="4"/>
      <c r="E259" s="4"/>
      <c r="F259" s="4"/>
      <c r="G259" s="4"/>
      <c r="H259" s="4"/>
      <c r="I259" s="4"/>
      <c r="J259" s="9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110"/>
      <c r="X259" s="110"/>
      <c r="Y259" s="110"/>
      <c r="Z259" s="110"/>
    </row>
    <row r="260" spans="1:26" ht="15.75" customHeight="1">
      <c r="A260" s="4"/>
      <c r="B260" s="103"/>
      <c r="C260" s="4"/>
      <c r="D260" s="4"/>
      <c r="E260" s="4"/>
      <c r="F260" s="4"/>
      <c r="G260" s="4"/>
      <c r="H260" s="4"/>
      <c r="I260" s="4"/>
      <c r="J260" s="9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110"/>
      <c r="X260" s="110"/>
      <c r="Y260" s="110"/>
      <c r="Z260" s="110"/>
    </row>
    <row r="261" spans="1:26" ht="15.75" customHeight="1">
      <c r="A261" s="4"/>
      <c r="B261" s="103"/>
      <c r="C261" s="4"/>
      <c r="D261" s="4"/>
      <c r="E261" s="4"/>
      <c r="F261" s="4"/>
      <c r="G261" s="4"/>
      <c r="H261" s="4"/>
      <c r="I261" s="4"/>
      <c r="J261" s="9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110"/>
      <c r="X261" s="110"/>
      <c r="Y261" s="110"/>
      <c r="Z261" s="110"/>
    </row>
    <row r="262" spans="1:26" ht="15.75" customHeight="1">
      <c r="A262" s="4"/>
      <c r="B262" s="103"/>
      <c r="C262" s="4"/>
      <c r="D262" s="4"/>
      <c r="E262" s="4"/>
      <c r="F262" s="4"/>
      <c r="G262" s="4"/>
      <c r="H262" s="4"/>
      <c r="I262" s="4"/>
      <c r="J262" s="9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110"/>
      <c r="X262" s="110"/>
      <c r="Y262" s="110"/>
      <c r="Z262" s="110"/>
    </row>
    <row r="263" spans="1:26" ht="15.75" customHeight="1">
      <c r="A263" s="4"/>
      <c r="B263" s="103"/>
      <c r="C263" s="4"/>
      <c r="D263" s="4"/>
      <c r="E263" s="4"/>
      <c r="F263" s="4"/>
      <c r="G263" s="4"/>
      <c r="H263" s="4"/>
      <c r="I263" s="4"/>
      <c r="J263" s="9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110"/>
      <c r="X263" s="110"/>
      <c r="Y263" s="110"/>
      <c r="Z263" s="110"/>
    </row>
    <row r="264" spans="1:26" ht="15.75" customHeight="1">
      <c r="A264" s="4"/>
      <c r="B264" s="103"/>
      <c r="C264" s="4"/>
      <c r="D264" s="4"/>
      <c r="E264" s="4"/>
      <c r="F264" s="4"/>
      <c r="G264" s="4"/>
      <c r="H264" s="4"/>
      <c r="I264" s="4"/>
      <c r="J264" s="9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110"/>
      <c r="X264" s="110"/>
      <c r="Y264" s="110"/>
      <c r="Z264" s="110"/>
    </row>
    <row r="265" spans="1:26" ht="15.75" customHeight="1">
      <c r="A265" s="4"/>
      <c r="B265" s="103"/>
      <c r="C265" s="4"/>
      <c r="D265" s="4"/>
      <c r="E265" s="4"/>
      <c r="F265" s="4"/>
      <c r="G265" s="4"/>
      <c r="H265" s="4"/>
      <c r="I265" s="4"/>
      <c r="J265" s="9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110"/>
      <c r="X265" s="110"/>
      <c r="Y265" s="110"/>
      <c r="Z265" s="110"/>
    </row>
    <row r="266" spans="1:26" ht="15.75" customHeight="1">
      <c r="A266" s="4"/>
      <c r="B266" s="103"/>
      <c r="C266" s="4"/>
      <c r="D266" s="4"/>
      <c r="E266" s="4"/>
      <c r="F266" s="4"/>
      <c r="G266" s="4"/>
      <c r="H266" s="4"/>
      <c r="I266" s="4"/>
      <c r="J266" s="9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110"/>
      <c r="X266" s="110"/>
      <c r="Y266" s="110"/>
      <c r="Z266" s="110"/>
    </row>
    <row r="267" spans="1:26" ht="15.75" customHeight="1">
      <c r="A267" s="4"/>
      <c r="B267" s="103"/>
      <c r="C267" s="4"/>
      <c r="D267" s="4"/>
      <c r="E267" s="4"/>
      <c r="F267" s="4"/>
      <c r="G267" s="4"/>
      <c r="H267" s="4"/>
      <c r="I267" s="4"/>
      <c r="J267" s="9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110"/>
      <c r="X267" s="110"/>
      <c r="Y267" s="110"/>
      <c r="Z267" s="110"/>
    </row>
    <row r="268" spans="1:26" ht="15.75" customHeight="1">
      <c r="A268" s="4"/>
      <c r="B268" s="103"/>
      <c r="C268" s="4"/>
      <c r="D268" s="4"/>
      <c r="E268" s="4"/>
      <c r="F268" s="4"/>
      <c r="G268" s="4"/>
      <c r="H268" s="4"/>
      <c r="I268" s="4"/>
      <c r="J268" s="9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110"/>
      <c r="X268" s="110"/>
      <c r="Y268" s="110"/>
      <c r="Z268" s="110"/>
    </row>
    <row r="269" spans="1:26" ht="15.75" customHeight="1">
      <c r="A269" s="4"/>
      <c r="B269" s="103"/>
      <c r="C269" s="4"/>
      <c r="D269" s="4"/>
      <c r="E269" s="4"/>
      <c r="F269" s="4"/>
      <c r="G269" s="4"/>
      <c r="H269" s="4"/>
      <c r="I269" s="4"/>
      <c r="J269" s="9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110"/>
      <c r="X269" s="110"/>
      <c r="Y269" s="110"/>
      <c r="Z269" s="110"/>
    </row>
    <row r="270" spans="1:26" ht="15.75" customHeight="1">
      <c r="A270" s="4"/>
      <c r="B270" s="103"/>
      <c r="C270" s="4"/>
      <c r="D270" s="4"/>
      <c r="E270" s="4"/>
      <c r="F270" s="4"/>
      <c r="G270" s="4"/>
      <c r="H270" s="4"/>
      <c r="I270" s="4"/>
      <c r="J270" s="9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110"/>
      <c r="X270" s="110"/>
      <c r="Y270" s="110"/>
      <c r="Z270" s="110"/>
    </row>
    <row r="271" spans="1:26" ht="15.75" customHeight="1">
      <c r="A271" s="4"/>
      <c r="B271" s="103"/>
      <c r="C271" s="4"/>
      <c r="D271" s="4"/>
      <c r="E271" s="4"/>
      <c r="F271" s="4"/>
      <c r="G271" s="4"/>
      <c r="H271" s="4"/>
      <c r="I271" s="4"/>
      <c r="J271" s="9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110"/>
      <c r="X271" s="110"/>
      <c r="Y271" s="110"/>
      <c r="Z271" s="110"/>
    </row>
    <row r="272" spans="1:26" ht="15.75" customHeight="1">
      <c r="A272" s="4"/>
      <c r="B272" s="103"/>
      <c r="C272" s="4"/>
      <c r="D272" s="4"/>
      <c r="E272" s="4"/>
      <c r="F272" s="4"/>
      <c r="G272" s="4"/>
      <c r="H272" s="4"/>
      <c r="I272" s="4"/>
      <c r="J272" s="9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110"/>
      <c r="X272" s="110"/>
      <c r="Y272" s="110"/>
      <c r="Z272" s="110"/>
    </row>
    <row r="273" spans="1:26" ht="15.75" customHeight="1">
      <c r="A273" s="4"/>
      <c r="B273" s="103"/>
      <c r="C273" s="4"/>
      <c r="D273" s="4"/>
      <c r="E273" s="4"/>
      <c r="F273" s="4"/>
      <c r="G273" s="4"/>
      <c r="H273" s="4"/>
      <c r="I273" s="4"/>
      <c r="J273" s="9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110"/>
      <c r="X273" s="110"/>
      <c r="Y273" s="110"/>
      <c r="Z273" s="110"/>
    </row>
    <row r="274" spans="1:26" ht="15.75" customHeight="1">
      <c r="A274" s="4"/>
      <c r="B274" s="103"/>
      <c r="C274" s="4"/>
      <c r="D274" s="4"/>
      <c r="E274" s="4"/>
      <c r="F274" s="4"/>
      <c r="G274" s="4"/>
      <c r="H274" s="4"/>
      <c r="I274" s="4"/>
      <c r="J274" s="9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110"/>
      <c r="X274" s="110"/>
      <c r="Y274" s="110"/>
      <c r="Z274" s="110"/>
    </row>
    <row r="275" spans="1:26" ht="15.75" customHeight="1">
      <c r="A275" s="4"/>
      <c r="B275" s="103"/>
      <c r="C275" s="4"/>
      <c r="D275" s="4"/>
      <c r="E275" s="4"/>
      <c r="F275" s="4"/>
      <c r="G275" s="4"/>
      <c r="H275" s="4"/>
      <c r="I275" s="4"/>
      <c r="J275" s="9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110"/>
      <c r="X275" s="110"/>
      <c r="Y275" s="110"/>
      <c r="Z275" s="110"/>
    </row>
    <row r="276" spans="1:26" ht="15.75" customHeight="1">
      <c r="A276" s="4"/>
      <c r="B276" s="103"/>
      <c r="C276" s="4"/>
      <c r="D276" s="4"/>
      <c r="E276" s="4"/>
      <c r="F276" s="4"/>
      <c r="G276" s="4"/>
      <c r="H276" s="4"/>
      <c r="I276" s="4"/>
      <c r="J276" s="9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110"/>
      <c r="X276" s="110"/>
      <c r="Y276" s="110"/>
      <c r="Z276" s="110"/>
    </row>
    <row r="277" spans="1:26" ht="15.75" customHeight="1">
      <c r="A277" s="4"/>
      <c r="B277" s="103"/>
      <c r="C277" s="4"/>
      <c r="D277" s="4"/>
      <c r="E277" s="4"/>
      <c r="F277" s="4"/>
      <c r="G277" s="4"/>
      <c r="H277" s="4"/>
      <c r="I277" s="4"/>
      <c r="J277" s="9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110"/>
      <c r="X277" s="110"/>
      <c r="Y277" s="110"/>
      <c r="Z277" s="110"/>
    </row>
    <row r="278" spans="1:26" ht="15.75" customHeight="1">
      <c r="A278" s="4"/>
      <c r="B278" s="103"/>
      <c r="C278" s="4"/>
      <c r="D278" s="4"/>
      <c r="E278" s="4"/>
      <c r="F278" s="4"/>
      <c r="G278" s="4"/>
      <c r="H278" s="4"/>
      <c r="I278" s="4"/>
      <c r="J278" s="9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110"/>
      <c r="X278" s="110"/>
      <c r="Y278" s="110"/>
      <c r="Z278" s="110"/>
    </row>
    <row r="279" spans="1:26" ht="15.75" customHeight="1">
      <c r="A279" s="4"/>
      <c r="B279" s="103"/>
      <c r="C279" s="4"/>
      <c r="D279" s="4"/>
      <c r="E279" s="4"/>
      <c r="F279" s="4"/>
      <c r="G279" s="4"/>
      <c r="H279" s="4"/>
      <c r="I279" s="4"/>
      <c r="J279" s="9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110"/>
      <c r="X279" s="110"/>
      <c r="Y279" s="110"/>
      <c r="Z279" s="110"/>
    </row>
    <row r="280" spans="1:26" ht="15.75" customHeight="1">
      <c r="A280" s="4"/>
      <c r="B280" s="103"/>
      <c r="C280" s="4"/>
      <c r="D280" s="4"/>
      <c r="E280" s="4"/>
      <c r="F280" s="4"/>
      <c r="G280" s="4"/>
      <c r="H280" s="4"/>
      <c r="I280" s="4"/>
      <c r="J280" s="9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110"/>
      <c r="X280" s="110"/>
      <c r="Y280" s="110"/>
      <c r="Z280" s="110"/>
    </row>
    <row r="281" spans="1:26" ht="15.75" customHeight="1">
      <c r="A281" s="4"/>
      <c r="B281" s="103"/>
      <c r="C281" s="4"/>
      <c r="D281" s="4"/>
      <c r="E281" s="4"/>
      <c r="F281" s="4"/>
      <c r="G281" s="4"/>
      <c r="H281" s="4"/>
      <c r="I281" s="4"/>
      <c r="J281" s="9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110"/>
      <c r="X281" s="110"/>
      <c r="Y281" s="110"/>
      <c r="Z281" s="110"/>
    </row>
    <row r="282" spans="1:26" ht="15.75" customHeight="1">
      <c r="A282" s="4"/>
      <c r="B282" s="103"/>
      <c r="C282" s="4"/>
      <c r="D282" s="4"/>
      <c r="E282" s="4"/>
      <c r="F282" s="4"/>
      <c r="G282" s="4"/>
      <c r="H282" s="4"/>
      <c r="I282" s="4"/>
      <c r="J282" s="9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110"/>
      <c r="X282" s="110"/>
      <c r="Y282" s="110"/>
      <c r="Z282" s="110"/>
    </row>
    <row r="283" spans="1:26" ht="15.75" customHeight="1">
      <c r="A283" s="4"/>
      <c r="B283" s="103"/>
      <c r="C283" s="4"/>
      <c r="D283" s="4"/>
      <c r="E283" s="4"/>
      <c r="F283" s="4"/>
      <c r="G283" s="4"/>
      <c r="H283" s="4"/>
      <c r="I283" s="4"/>
      <c r="J283" s="9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110"/>
      <c r="X283" s="110"/>
      <c r="Y283" s="110"/>
      <c r="Z283" s="110"/>
    </row>
    <row r="284" spans="1:26" ht="15.75" customHeight="1">
      <c r="A284" s="4"/>
      <c r="B284" s="103"/>
      <c r="C284" s="4"/>
      <c r="D284" s="4"/>
      <c r="E284" s="4"/>
      <c r="F284" s="4"/>
      <c r="G284" s="4"/>
      <c r="H284" s="4"/>
      <c r="I284" s="4"/>
      <c r="J284" s="9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110"/>
      <c r="X284" s="110"/>
      <c r="Y284" s="110"/>
      <c r="Z284" s="110"/>
    </row>
    <row r="285" spans="1:26" ht="15.75" customHeight="1">
      <c r="A285" s="4"/>
      <c r="B285" s="103"/>
      <c r="C285" s="4"/>
      <c r="D285" s="4"/>
      <c r="E285" s="4"/>
      <c r="F285" s="4"/>
      <c r="G285" s="4"/>
      <c r="H285" s="4"/>
      <c r="I285" s="4"/>
      <c r="J285" s="9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110"/>
      <c r="X285" s="110"/>
      <c r="Y285" s="110"/>
      <c r="Z285" s="110"/>
    </row>
    <row r="286" spans="1:26" ht="15.75" customHeight="1">
      <c r="A286" s="4"/>
      <c r="B286" s="103"/>
      <c r="C286" s="4"/>
      <c r="D286" s="4"/>
      <c r="E286" s="4"/>
      <c r="F286" s="4"/>
      <c r="G286" s="4"/>
      <c r="H286" s="4"/>
      <c r="I286" s="4"/>
      <c r="J286" s="9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110"/>
      <c r="X286" s="110"/>
      <c r="Y286" s="110"/>
      <c r="Z286" s="110"/>
    </row>
    <row r="287" spans="1:26" ht="15.75" customHeight="1">
      <c r="A287" s="4"/>
      <c r="B287" s="103"/>
      <c r="C287" s="4"/>
      <c r="D287" s="4"/>
      <c r="E287" s="4"/>
      <c r="F287" s="4"/>
      <c r="G287" s="4"/>
      <c r="H287" s="4"/>
      <c r="I287" s="4"/>
      <c r="J287" s="9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110"/>
      <c r="X287" s="110"/>
      <c r="Y287" s="110"/>
      <c r="Z287" s="110"/>
    </row>
    <row r="288" spans="1:26" ht="15.75" customHeight="1">
      <c r="A288" s="4"/>
      <c r="B288" s="103"/>
      <c r="C288" s="4"/>
      <c r="D288" s="4"/>
      <c r="E288" s="4"/>
      <c r="F288" s="4"/>
      <c r="G288" s="4"/>
      <c r="H288" s="4"/>
      <c r="I288" s="4"/>
      <c r="J288" s="9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110"/>
      <c r="X288" s="110"/>
      <c r="Y288" s="110"/>
      <c r="Z288" s="110"/>
    </row>
    <row r="289" spans="1:26" ht="15.75" customHeight="1">
      <c r="A289" s="4"/>
      <c r="B289" s="103"/>
      <c r="C289" s="4"/>
      <c r="D289" s="4"/>
      <c r="E289" s="4"/>
      <c r="F289" s="4"/>
      <c r="G289" s="4"/>
      <c r="H289" s="4"/>
      <c r="I289" s="4"/>
      <c r="J289" s="9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110"/>
      <c r="X289" s="110"/>
      <c r="Y289" s="110"/>
      <c r="Z289" s="110"/>
    </row>
    <row r="290" spans="1:26" ht="15.75" customHeight="1">
      <c r="A290" s="4"/>
      <c r="B290" s="103"/>
      <c r="C290" s="4"/>
      <c r="D290" s="4"/>
      <c r="E290" s="4"/>
      <c r="F290" s="4"/>
      <c r="G290" s="4"/>
      <c r="H290" s="4"/>
      <c r="I290" s="4"/>
      <c r="J290" s="9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110"/>
      <c r="X290" s="110"/>
      <c r="Y290" s="110"/>
      <c r="Z290" s="110"/>
    </row>
    <row r="291" spans="1:26" ht="15.75" customHeight="1">
      <c r="A291" s="4"/>
      <c r="B291" s="103"/>
      <c r="C291" s="4"/>
      <c r="D291" s="4"/>
      <c r="E291" s="4"/>
      <c r="F291" s="4"/>
      <c r="G291" s="4"/>
      <c r="H291" s="4"/>
      <c r="I291" s="4"/>
      <c r="J291" s="9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110"/>
      <c r="X291" s="110"/>
      <c r="Y291" s="110"/>
      <c r="Z291" s="110"/>
    </row>
    <row r="292" spans="1:26" ht="15.75" customHeight="1">
      <c r="A292" s="4"/>
      <c r="B292" s="103"/>
      <c r="C292" s="4"/>
      <c r="D292" s="4"/>
      <c r="E292" s="4"/>
      <c r="F292" s="4"/>
      <c r="G292" s="4"/>
      <c r="H292" s="4"/>
      <c r="I292" s="4"/>
      <c r="J292" s="99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110"/>
      <c r="X292" s="110"/>
      <c r="Y292" s="110"/>
      <c r="Z292" s="110"/>
    </row>
    <row r="293" spans="1:26" ht="15.75" customHeight="1">
      <c r="A293" s="4"/>
      <c r="B293" s="103"/>
      <c r="C293" s="4"/>
      <c r="D293" s="4"/>
      <c r="E293" s="4"/>
      <c r="F293" s="4"/>
      <c r="G293" s="4"/>
      <c r="H293" s="4"/>
      <c r="I293" s="4"/>
      <c r="J293" s="99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110"/>
      <c r="X293" s="110"/>
      <c r="Y293" s="110"/>
      <c r="Z293" s="110"/>
    </row>
    <row r="294" spans="1:26" ht="15.75" customHeight="1">
      <c r="A294" s="4"/>
      <c r="B294" s="103"/>
      <c r="C294" s="4"/>
      <c r="D294" s="4"/>
      <c r="E294" s="4"/>
      <c r="F294" s="4"/>
      <c r="G294" s="4"/>
      <c r="H294" s="4"/>
      <c r="I294" s="4"/>
      <c r="J294" s="99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110"/>
      <c r="X294" s="110"/>
      <c r="Y294" s="110"/>
      <c r="Z294" s="110"/>
    </row>
    <row r="295" spans="1:26" ht="15.75" customHeight="1">
      <c r="A295" s="4"/>
      <c r="B295" s="103"/>
      <c r="C295" s="4"/>
      <c r="D295" s="4"/>
      <c r="E295" s="4"/>
      <c r="F295" s="4"/>
      <c r="G295" s="4"/>
      <c r="H295" s="4"/>
      <c r="I295" s="4"/>
      <c r="J295" s="99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110"/>
      <c r="X295" s="110"/>
      <c r="Y295" s="110"/>
      <c r="Z295" s="110"/>
    </row>
    <row r="296" spans="1:26" ht="15.75" customHeight="1">
      <c r="A296" s="4"/>
      <c r="B296" s="103"/>
      <c r="C296" s="4"/>
      <c r="D296" s="4"/>
      <c r="E296" s="4"/>
      <c r="F296" s="4"/>
      <c r="G296" s="4"/>
      <c r="H296" s="4"/>
      <c r="I296" s="4"/>
      <c r="J296" s="99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110"/>
      <c r="X296" s="110"/>
      <c r="Y296" s="110"/>
      <c r="Z296" s="110"/>
    </row>
    <row r="297" spans="1:26" ht="15.75" customHeight="1">
      <c r="A297" s="4"/>
      <c r="B297" s="103"/>
      <c r="C297" s="4"/>
      <c r="D297" s="4"/>
      <c r="E297" s="4"/>
      <c r="F297" s="4"/>
      <c r="G297" s="4"/>
      <c r="H297" s="4"/>
      <c r="I297" s="4"/>
      <c r="J297" s="99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110"/>
      <c r="X297" s="110"/>
      <c r="Y297" s="110"/>
      <c r="Z297" s="110"/>
    </row>
    <row r="298" spans="1:26" ht="15.75" customHeight="1">
      <c r="A298" s="4"/>
      <c r="B298" s="103"/>
      <c r="C298" s="4"/>
      <c r="D298" s="4"/>
      <c r="E298" s="4"/>
      <c r="F298" s="4"/>
      <c r="G298" s="4"/>
      <c r="H298" s="4"/>
      <c r="I298" s="4"/>
      <c r="J298" s="99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110"/>
      <c r="X298" s="110"/>
      <c r="Y298" s="110"/>
      <c r="Z298" s="110"/>
    </row>
    <row r="299" spans="1:26" ht="15.75" customHeight="1">
      <c r="A299" s="4"/>
      <c r="B299" s="103"/>
      <c r="C299" s="4"/>
      <c r="D299" s="4"/>
      <c r="E299" s="4"/>
      <c r="F299" s="4"/>
      <c r="G299" s="4"/>
      <c r="H299" s="4"/>
      <c r="I299" s="4"/>
      <c r="J299" s="99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110"/>
      <c r="X299" s="110"/>
      <c r="Y299" s="110"/>
      <c r="Z299" s="110"/>
    </row>
    <row r="300" spans="1:26" ht="15.75" customHeight="1">
      <c r="A300" s="4"/>
      <c r="B300" s="103"/>
      <c r="C300" s="4"/>
      <c r="D300" s="4"/>
      <c r="E300" s="4"/>
      <c r="F300" s="4"/>
      <c r="G300" s="4"/>
      <c r="H300" s="4"/>
      <c r="I300" s="4"/>
      <c r="J300" s="99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110"/>
      <c r="X300" s="110"/>
      <c r="Y300" s="110"/>
      <c r="Z300" s="110"/>
    </row>
    <row r="301" spans="1:26" ht="15.75" customHeight="1">
      <c r="A301" s="4"/>
      <c r="B301" s="103"/>
      <c r="C301" s="4"/>
      <c r="D301" s="4"/>
      <c r="E301" s="4"/>
      <c r="F301" s="4"/>
      <c r="G301" s="4"/>
      <c r="H301" s="4"/>
      <c r="I301" s="4"/>
      <c r="J301" s="99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110"/>
      <c r="X301" s="110"/>
      <c r="Y301" s="110"/>
      <c r="Z301" s="110"/>
    </row>
    <row r="302" spans="1:26" ht="15.75" customHeight="1">
      <c r="A302" s="4"/>
      <c r="B302" s="103"/>
      <c r="C302" s="4"/>
      <c r="D302" s="4"/>
      <c r="E302" s="4"/>
      <c r="F302" s="4"/>
      <c r="G302" s="4"/>
      <c r="H302" s="4"/>
      <c r="I302" s="4"/>
      <c r="J302" s="99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110"/>
      <c r="X302" s="110"/>
      <c r="Y302" s="110"/>
      <c r="Z302" s="110"/>
    </row>
    <row r="303" spans="1:26" ht="15.75" customHeight="1">
      <c r="A303" s="4"/>
      <c r="B303" s="103"/>
      <c r="C303" s="4"/>
      <c r="D303" s="4"/>
      <c r="E303" s="4"/>
      <c r="F303" s="4"/>
      <c r="G303" s="4"/>
      <c r="H303" s="4"/>
      <c r="I303" s="4"/>
      <c r="J303" s="99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110"/>
      <c r="X303" s="110"/>
      <c r="Y303" s="110"/>
      <c r="Z303" s="110"/>
    </row>
    <row r="304" spans="1:26" ht="15.75" customHeight="1">
      <c r="A304" s="4"/>
      <c r="B304" s="103"/>
      <c r="C304" s="4"/>
      <c r="D304" s="4"/>
      <c r="E304" s="4"/>
      <c r="F304" s="4"/>
      <c r="G304" s="4"/>
      <c r="H304" s="4"/>
      <c r="I304" s="4"/>
      <c r="J304" s="99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110"/>
      <c r="X304" s="110"/>
      <c r="Y304" s="110"/>
      <c r="Z304" s="110"/>
    </row>
    <row r="305" spans="1:26" ht="15.75" customHeight="1">
      <c r="A305" s="4"/>
      <c r="B305" s="103"/>
      <c r="C305" s="4"/>
      <c r="D305" s="4"/>
      <c r="E305" s="4"/>
      <c r="F305" s="4"/>
      <c r="G305" s="4"/>
      <c r="H305" s="4"/>
      <c r="I305" s="4"/>
      <c r="J305" s="99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110"/>
      <c r="X305" s="110"/>
      <c r="Y305" s="110"/>
      <c r="Z305" s="110"/>
    </row>
    <row r="306" spans="1:26" ht="15.75" customHeight="1">
      <c r="A306" s="4"/>
      <c r="B306" s="103"/>
      <c r="C306" s="4"/>
      <c r="D306" s="4"/>
      <c r="E306" s="4"/>
      <c r="F306" s="4"/>
      <c r="G306" s="4"/>
      <c r="H306" s="4"/>
      <c r="I306" s="4"/>
      <c r="J306" s="99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110"/>
      <c r="X306" s="110"/>
      <c r="Y306" s="110"/>
      <c r="Z306" s="110"/>
    </row>
    <row r="307" spans="1:26" ht="15.75" customHeight="1">
      <c r="A307" s="4"/>
      <c r="B307" s="103"/>
      <c r="C307" s="4"/>
      <c r="D307" s="4"/>
      <c r="E307" s="4"/>
      <c r="F307" s="4"/>
      <c r="G307" s="4"/>
      <c r="H307" s="4"/>
      <c r="I307" s="4"/>
      <c r="J307" s="99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110"/>
      <c r="X307" s="110"/>
      <c r="Y307" s="110"/>
      <c r="Z307" s="110"/>
    </row>
    <row r="308" spans="1:26" ht="15.75" customHeight="1">
      <c r="A308" s="4"/>
      <c r="B308" s="103"/>
      <c r="C308" s="4"/>
      <c r="D308" s="4"/>
      <c r="E308" s="4"/>
      <c r="F308" s="4"/>
      <c r="G308" s="4"/>
      <c r="H308" s="4"/>
      <c r="I308" s="4"/>
      <c r="J308" s="99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110"/>
      <c r="X308" s="110"/>
      <c r="Y308" s="110"/>
      <c r="Z308" s="110"/>
    </row>
    <row r="309" spans="1:26" ht="15.75" customHeight="1">
      <c r="A309" s="4"/>
      <c r="B309" s="103"/>
      <c r="C309" s="4"/>
      <c r="D309" s="4"/>
      <c r="E309" s="4"/>
      <c r="F309" s="4"/>
      <c r="G309" s="4"/>
      <c r="H309" s="4"/>
      <c r="I309" s="4"/>
      <c r="J309" s="99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110"/>
      <c r="X309" s="110"/>
      <c r="Y309" s="110"/>
      <c r="Z309" s="110"/>
    </row>
    <row r="310" spans="1:26" ht="15.75" customHeight="1">
      <c r="A310" s="4"/>
      <c r="B310" s="103"/>
      <c r="C310" s="4"/>
      <c r="D310" s="4"/>
      <c r="E310" s="4"/>
      <c r="F310" s="4"/>
      <c r="G310" s="4"/>
      <c r="H310" s="4"/>
      <c r="I310" s="4"/>
      <c r="J310" s="99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110"/>
      <c r="X310" s="110"/>
      <c r="Y310" s="110"/>
      <c r="Z310" s="110"/>
    </row>
    <row r="311" spans="1:26" ht="15.75" customHeight="1">
      <c r="A311" s="4"/>
      <c r="B311" s="103"/>
      <c r="C311" s="4"/>
      <c r="D311" s="4"/>
      <c r="E311" s="4"/>
      <c r="F311" s="4"/>
      <c r="G311" s="4"/>
      <c r="H311" s="4"/>
      <c r="I311" s="4"/>
      <c r="J311" s="99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110"/>
      <c r="X311" s="110"/>
      <c r="Y311" s="110"/>
      <c r="Z311" s="110"/>
    </row>
    <row r="312" spans="1:26" ht="15.75" customHeight="1">
      <c r="A312" s="4"/>
      <c r="B312" s="103"/>
      <c r="C312" s="4"/>
      <c r="D312" s="4"/>
      <c r="E312" s="4"/>
      <c r="F312" s="4"/>
      <c r="G312" s="4"/>
      <c r="H312" s="4"/>
      <c r="I312" s="4"/>
      <c r="J312" s="99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110"/>
      <c r="X312" s="110"/>
      <c r="Y312" s="110"/>
      <c r="Z312" s="110"/>
    </row>
    <row r="313" spans="1:26" ht="15.75" customHeight="1">
      <c r="A313" s="4"/>
      <c r="B313" s="103"/>
      <c r="C313" s="4"/>
      <c r="D313" s="4"/>
      <c r="E313" s="4"/>
      <c r="F313" s="4"/>
      <c r="G313" s="4"/>
      <c r="H313" s="4"/>
      <c r="I313" s="4"/>
      <c r="J313" s="99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110"/>
      <c r="X313" s="110"/>
      <c r="Y313" s="110"/>
      <c r="Z313" s="110"/>
    </row>
    <row r="314" spans="1:26" ht="15.75" customHeight="1">
      <c r="A314" s="4"/>
      <c r="B314" s="103"/>
      <c r="C314" s="4"/>
      <c r="D314" s="4"/>
      <c r="E314" s="4"/>
      <c r="F314" s="4"/>
      <c r="G314" s="4"/>
      <c r="H314" s="4"/>
      <c r="I314" s="4"/>
      <c r="J314" s="99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110"/>
      <c r="X314" s="110"/>
      <c r="Y314" s="110"/>
      <c r="Z314" s="110"/>
    </row>
    <row r="315" spans="1:26" ht="15.75" customHeight="1">
      <c r="A315" s="4"/>
      <c r="B315" s="103"/>
      <c r="C315" s="4"/>
      <c r="D315" s="4"/>
      <c r="E315" s="4"/>
      <c r="F315" s="4"/>
      <c r="G315" s="4"/>
      <c r="H315" s="4"/>
      <c r="I315" s="4"/>
      <c r="J315" s="99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110"/>
      <c r="X315" s="110"/>
      <c r="Y315" s="110"/>
      <c r="Z315" s="110"/>
    </row>
    <row r="316" spans="1:26" ht="15.75" customHeight="1">
      <c r="A316" s="4"/>
      <c r="B316" s="103"/>
      <c r="C316" s="4"/>
      <c r="D316" s="4"/>
      <c r="E316" s="4"/>
      <c r="F316" s="4"/>
      <c r="G316" s="4"/>
      <c r="H316" s="4"/>
      <c r="I316" s="4"/>
      <c r="J316" s="99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110"/>
      <c r="X316" s="110"/>
      <c r="Y316" s="110"/>
      <c r="Z316" s="110"/>
    </row>
    <row r="317" spans="1:26" ht="15.75" customHeight="1">
      <c r="A317" s="4"/>
      <c r="B317" s="103"/>
      <c r="C317" s="4"/>
      <c r="D317" s="4"/>
      <c r="E317" s="4"/>
      <c r="F317" s="4"/>
      <c r="G317" s="4"/>
      <c r="H317" s="4"/>
      <c r="I317" s="4"/>
      <c r="J317" s="99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110"/>
      <c r="X317" s="110"/>
      <c r="Y317" s="110"/>
      <c r="Z317" s="110"/>
    </row>
    <row r="318" spans="1:26" ht="15.75" customHeight="1">
      <c r="A318" s="4"/>
      <c r="B318" s="103"/>
      <c r="C318" s="4"/>
      <c r="D318" s="4"/>
      <c r="E318" s="4"/>
      <c r="F318" s="4"/>
      <c r="G318" s="4"/>
      <c r="H318" s="4"/>
      <c r="I318" s="4"/>
      <c r="J318" s="99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110"/>
      <c r="X318" s="110"/>
      <c r="Y318" s="110"/>
      <c r="Z318" s="110"/>
    </row>
    <row r="319" spans="1:26" ht="15.75" customHeight="1">
      <c r="A319" s="4"/>
      <c r="B319" s="103"/>
      <c r="C319" s="4"/>
      <c r="D319" s="4"/>
      <c r="E319" s="4"/>
      <c r="F319" s="4"/>
      <c r="G319" s="4"/>
      <c r="H319" s="4"/>
      <c r="I319" s="4"/>
      <c r="J319" s="99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110"/>
      <c r="X319" s="110"/>
      <c r="Y319" s="110"/>
      <c r="Z319" s="110"/>
    </row>
    <row r="320" spans="1:26" ht="15.75" customHeight="1">
      <c r="A320" s="4"/>
      <c r="B320" s="103"/>
      <c r="C320" s="4"/>
      <c r="D320" s="4"/>
      <c r="E320" s="4"/>
      <c r="F320" s="4"/>
      <c r="G320" s="4"/>
      <c r="H320" s="4"/>
      <c r="I320" s="4"/>
      <c r="J320" s="99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110"/>
      <c r="X320" s="110"/>
      <c r="Y320" s="110"/>
      <c r="Z320" s="110"/>
    </row>
    <row r="321" spans="1:26" ht="15.75" customHeight="1">
      <c r="A321" s="4"/>
      <c r="B321" s="103"/>
      <c r="C321" s="4"/>
      <c r="D321" s="4"/>
      <c r="E321" s="4"/>
      <c r="F321" s="4"/>
      <c r="G321" s="4"/>
      <c r="H321" s="4"/>
      <c r="I321" s="4"/>
      <c r="J321" s="99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110"/>
      <c r="X321" s="110"/>
      <c r="Y321" s="110"/>
      <c r="Z321" s="110"/>
    </row>
    <row r="322" spans="1:26" ht="15.75" customHeight="1">
      <c r="A322" s="4"/>
      <c r="B322" s="103"/>
      <c r="C322" s="4"/>
      <c r="D322" s="4"/>
      <c r="E322" s="4"/>
      <c r="F322" s="4"/>
      <c r="G322" s="4"/>
      <c r="H322" s="4"/>
      <c r="I322" s="4"/>
      <c r="J322" s="99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110"/>
      <c r="X322" s="110"/>
      <c r="Y322" s="110"/>
      <c r="Z322" s="110"/>
    </row>
    <row r="323" spans="1:26" ht="15.75" customHeight="1">
      <c r="A323" s="4"/>
      <c r="B323" s="103"/>
      <c r="C323" s="4"/>
      <c r="D323" s="4"/>
      <c r="E323" s="4"/>
      <c r="F323" s="4"/>
      <c r="G323" s="4"/>
      <c r="H323" s="4"/>
      <c r="I323" s="4"/>
      <c r="J323" s="99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110"/>
      <c r="X323" s="110"/>
      <c r="Y323" s="110"/>
      <c r="Z323" s="110"/>
    </row>
    <row r="324" spans="1:26" ht="15.75" customHeight="1">
      <c r="A324" s="4"/>
      <c r="B324" s="103"/>
      <c r="C324" s="4"/>
      <c r="D324" s="4"/>
      <c r="E324" s="4"/>
      <c r="F324" s="4"/>
      <c r="G324" s="4"/>
      <c r="H324" s="4"/>
      <c r="I324" s="4"/>
      <c r="J324" s="99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110"/>
      <c r="X324" s="110"/>
      <c r="Y324" s="110"/>
      <c r="Z324" s="110"/>
    </row>
    <row r="325" spans="1:26" ht="15.75" customHeight="1">
      <c r="A325" s="4"/>
      <c r="B325" s="103"/>
      <c r="C325" s="4"/>
      <c r="D325" s="4"/>
      <c r="E325" s="4"/>
      <c r="F325" s="4"/>
      <c r="G325" s="4"/>
      <c r="H325" s="4"/>
      <c r="I325" s="4"/>
      <c r="J325" s="99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110"/>
      <c r="X325" s="110"/>
      <c r="Y325" s="110"/>
      <c r="Z325" s="110"/>
    </row>
    <row r="326" spans="1:26" ht="15.75" customHeight="1">
      <c r="A326" s="4"/>
      <c r="B326" s="103"/>
      <c r="C326" s="4"/>
      <c r="D326" s="4"/>
      <c r="E326" s="4"/>
      <c r="F326" s="4"/>
      <c r="G326" s="4"/>
      <c r="H326" s="4"/>
      <c r="I326" s="4"/>
      <c r="J326" s="99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110"/>
      <c r="X326" s="110"/>
      <c r="Y326" s="110"/>
      <c r="Z326" s="110"/>
    </row>
    <row r="327" spans="1:26" ht="15.75" customHeight="1">
      <c r="A327" s="4"/>
      <c r="B327" s="103"/>
      <c r="C327" s="4"/>
      <c r="D327" s="4"/>
      <c r="E327" s="4"/>
      <c r="F327" s="4"/>
      <c r="G327" s="4"/>
      <c r="H327" s="4"/>
      <c r="I327" s="4"/>
      <c r="J327" s="99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110"/>
      <c r="X327" s="110"/>
      <c r="Y327" s="110"/>
      <c r="Z327" s="110"/>
    </row>
    <row r="328" spans="1:26" ht="15.75" customHeight="1">
      <c r="A328" s="4"/>
      <c r="B328" s="103"/>
      <c r="C328" s="4"/>
      <c r="D328" s="4"/>
      <c r="E328" s="4"/>
      <c r="F328" s="4"/>
      <c r="G328" s="4"/>
      <c r="H328" s="4"/>
      <c r="I328" s="4"/>
      <c r="J328" s="99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110"/>
      <c r="X328" s="110"/>
      <c r="Y328" s="110"/>
      <c r="Z328" s="110"/>
    </row>
    <row r="329" spans="1:26" ht="15.75" customHeight="1">
      <c r="A329" s="4"/>
      <c r="B329" s="103"/>
      <c r="C329" s="4"/>
      <c r="D329" s="4"/>
      <c r="E329" s="4"/>
      <c r="F329" s="4"/>
      <c r="G329" s="4"/>
      <c r="H329" s="4"/>
      <c r="I329" s="4"/>
      <c r="J329" s="99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110"/>
      <c r="X329" s="110"/>
      <c r="Y329" s="110"/>
      <c r="Z329" s="110"/>
    </row>
    <row r="330" spans="1:26" ht="15.75" customHeight="1">
      <c r="A330" s="4"/>
      <c r="B330" s="103"/>
      <c r="C330" s="4"/>
      <c r="D330" s="4"/>
      <c r="E330" s="4"/>
      <c r="F330" s="4"/>
      <c r="G330" s="4"/>
      <c r="H330" s="4"/>
      <c r="I330" s="4"/>
      <c r="J330" s="99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110"/>
      <c r="X330" s="110"/>
      <c r="Y330" s="110"/>
      <c r="Z330" s="110"/>
    </row>
    <row r="331" spans="1:26" ht="15.75" customHeight="1">
      <c r="A331" s="4"/>
      <c r="B331" s="103"/>
      <c r="C331" s="4"/>
      <c r="D331" s="4"/>
      <c r="E331" s="4"/>
      <c r="F331" s="4"/>
      <c r="G331" s="4"/>
      <c r="H331" s="4"/>
      <c r="I331" s="4"/>
      <c r="J331" s="99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110"/>
      <c r="X331" s="110"/>
      <c r="Y331" s="110"/>
      <c r="Z331" s="110"/>
    </row>
    <row r="332" spans="1:26" ht="15.75" customHeight="1">
      <c r="A332" s="4"/>
      <c r="B332" s="103"/>
      <c r="C332" s="4"/>
      <c r="D332" s="4"/>
      <c r="E332" s="4"/>
      <c r="F332" s="4"/>
      <c r="G332" s="4"/>
      <c r="H332" s="4"/>
      <c r="I332" s="4"/>
      <c r="J332" s="99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110"/>
      <c r="X332" s="110"/>
      <c r="Y332" s="110"/>
      <c r="Z332" s="110"/>
    </row>
    <row r="333" spans="1:26" ht="15.75" customHeight="1">
      <c r="A333" s="4"/>
      <c r="B333" s="103"/>
      <c r="C333" s="4"/>
      <c r="D333" s="4"/>
      <c r="E333" s="4"/>
      <c r="F333" s="4"/>
      <c r="G333" s="4"/>
      <c r="H333" s="4"/>
      <c r="I333" s="4"/>
      <c r="J333" s="99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110"/>
      <c r="X333" s="110"/>
      <c r="Y333" s="110"/>
      <c r="Z333" s="110"/>
    </row>
    <row r="334" spans="1:26" ht="15.75" customHeight="1">
      <c r="A334" s="4"/>
      <c r="B334" s="103"/>
      <c r="C334" s="4"/>
      <c r="D334" s="4"/>
      <c r="E334" s="4"/>
      <c r="F334" s="4"/>
      <c r="G334" s="4"/>
      <c r="H334" s="4"/>
      <c r="I334" s="4"/>
      <c r="J334" s="99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110"/>
      <c r="X334" s="110"/>
      <c r="Y334" s="110"/>
      <c r="Z334" s="110"/>
    </row>
    <row r="335" spans="1:26" ht="15.75" customHeight="1">
      <c r="A335" s="4"/>
      <c r="B335" s="103"/>
      <c r="C335" s="4"/>
      <c r="D335" s="4"/>
      <c r="E335" s="4"/>
      <c r="F335" s="4"/>
      <c r="G335" s="4"/>
      <c r="H335" s="4"/>
      <c r="I335" s="4"/>
      <c r="J335" s="99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110"/>
      <c r="X335" s="110"/>
      <c r="Y335" s="110"/>
      <c r="Z335" s="110"/>
    </row>
    <row r="336" spans="1:26" ht="15.75" customHeight="1">
      <c r="A336" s="4"/>
      <c r="B336" s="103"/>
      <c r="C336" s="4"/>
      <c r="D336" s="4"/>
      <c r="E336" s="4"/>
      <c r="F336" s="4"/>
      <c r="G336" s="4"/>
      <c r="H336" s="4"/>
      <c r="I336" s="4"/>
      <c r="J336" s="99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110"/>
      <c r="X336" s="110"/>
      <c r="Y336" s="110"/>
      <c r="Z336" s="110"/>
    </row>
    <row r="337" spans="1:26" ht="15.75" customHeight="1">
      <c r="A337" s="4"/>
      <c r="B337" s="103"/>
      <c r="C337" s="4"/>
      <c r="D337" s="4"/>
      <c r="E337" s="4"/>
      <c r="F337" s="4"/>
      <c r="G337" s="4"/>
      <c r="H337" s="4"/>
      <c r="I337" s="4"/>
      <c r="J337" s="99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110"/>
      <c r="X337" s="110"/>
      <c r="Y337" s="110"/>
      <c r="Z337" s="110"/>
    </row>
    <row r="338" spans="1:26" ht="15.75" customHeight="1">
      <c r="A338" s="4"/>
      <c r="B338" s="103"/>
      <c r="C338" s="4"/>
      <c r="D338" s="4"/>
      <c r="E338" s="4"/>
      <c r="F338" s="4"/>
      <c r="G338" s="4"/>
      <c r="H338" s="4"/>
      <c r="I338" s="4"/>
      <c r="J338" s="99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110"/>
      <c r="X338" s="110"/>
      <c r="Y338" s="110"/>
      <c r="Z338" s="110"/>
    </row>
    <row r="339" spans="1:26" ht="15.75" customHeight="1">
      <c r="A339" s="4"/>
      <c r="B339" s="103"/>
      <c r="C339" s="4"/>
      <c r="D339" s="4"/>
      <c r="E339" s="4"/>
      <c r="F339" s="4"/>
      <c r="G339" s="4"/>
      <c r="H339" s="4"/>
      <c r="I339" s="4"/>
      <c r="J339" s="99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110"/>
      <c r="X339" s="110"/>
      <c r="Y339" s="110"/>
      <c r="Z339" s="110"/>
    </row>
    <row r="340" spans="1:26" ht="15.75" customHeight="1">
      <c r="A340" s="4"/>
      <c r="B340" s="103"/>
      <c r="C340" s="4"/>
      <c r="D340" s="4"/>
      <c r="E340" s="4"/>
      <c r="F340" s="4"/>
      <c r="G340" s="4"/>
      <c r="H340" s="4"/>
      <c r="I340" s="4"/>
      <c r="J340" s="99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110"/>
      <c r="X340" s="110"/>
      <c r="Y340" s="110"/>
      <c r="Z340" s="110"/>
    </row>
    <row r="341" spans="1:26" ht="15.75" customHeight="1">
      <c r="A341" s="4"/>
      <c r="B341" s="103"/>
      <c r="C341" s="4"/>
      <c r="D341" s="4"/>
      <c r="E341" s="4"/>
      <c r="F341" s="4"/>
      <c r="G341" s="4"/>
      <c r="H341" s="4"/>
      <c r="I341" s="4"/>
      <c r="J341" s="99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110"/>
      <c r="X341" s="110"/>
      <c r="Y341" s="110"/>
      <c r="Z341" s="110"/>
    </row>
    <row r="342" spans="1:26" ht="15.75" customHeight="1">
      <c r="A342" s="4"/>
      <c r="B342" s="103"/>
      <c r="C342" s="4"/>
      <c r="D342" s="4"/>
      <c r="E342" s="4"/>
      <c r="F342" s="4"/>
      <c r="G342" s="4"/>
      <c r="H342" s="4"/>
      <c r="I342" s="4"/>
      <c r="J342" s="99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110"/>
      <c r="X342" s="110"/>
      <c r="Y342" s="110"/>
      <c r="Z342" s="110"/>
    </row>
    <row r="343" spans="1:26" ht="15.75" customHeight="1">
      <c r="A343" s="4"/>
      <c r="B343" s="103"/>
      <c r="C343" s="4"/>
      <c r="D343" s="4"/>
      <c r="E343" s="4"/>
      <c r="F343" s="4"/>
      <c r="G343" s="4"/>
      <c r="H343" s="4"/>
      <c r="I343" s="4"/>
      <c r="J343" s="99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110"/>
      <c r="X343" s="110"/>
      <c r="Y343" s="110"/>
      <c r="Z343" s="110"/>
    </row>
    <row r="344" spans="1:26" ht="15.75" customHeight="1">
      <c r="A344" s="4"/>
      <c r="B344" s="103"/>
      <c r="C344" s="4"/>
      <c r="D344" s="4"/>
      <c r="E344" s="4"/>
      <c r="F344" s="4"/>
      <c r="G344" s="4"/>
      <c r="H344" s="4"/>
      <c r="I344" s="4"/>
      <c r="J344" s="99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110"/>
      <c r="X344" s="110"/>
      <c r="Y344" s="110"/>
      <c r="Z344" s="110"/>
    </row>
    <row r="345" spans="1:26" ht="15.75" customHeight="1">
      <c r="A345" s="4"/>
      <c r="B345" s="103"/>
      <c r="C345" s="4"/>
      <c r="D345" s="4"/>
      <c r="E345" s="4"/>
      <c r="F345" s="4"/>
      <c r="G345" s="4"/>
      <c r="H345" s="4"/>
      <c r="I345" s="4"/>
      <c r="J345" s="99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110"/>
      <c r="X345" s="110"/>
      <c r="Y345" s="110"/>
      <c r="Z345" s="110"/>
    </row>
    <row r="346" spans="1:26" ht="15.75" customHeight="1">
      <c r="A346" s="4"/>
      <c r="B346" s="103"/>
      <c r="C346" s="4"/>
      <c r="D346" s="4"/>
      <c r="E346" s="4"/>
      <c r="F346" s="4"/>
      <c r="G346" s="4"/>
      <c r="H346" s="4"/>
      <c r="I346" s="4"/>
      <c r="J346" s="99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110"/>
      <c r="X346" s="110"/>
      <c r="Y346" s="110"/>
      <c r="Z346" s="110"/>
    </row>
    <row r="347" spans="1:26" ht="15.75" customHeight="1">
      <c r="A347" s="4"/>
      <c r="B347" s="103"/>
      <c r="C347" s="4"/>
      <c r="D347" s="4"/>
      <c r="E347" s="4"/>
      <c r="F347" s="4"/>
      <c r="G347" s="4"/>
      <c r="H347" s="4"/>
      <c r="I347" s="4"/>
      <c r="J347" s="99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110"/>
      <c r="X347" s="110"/>
      <c r="Y347" s="110"/>
      <c r="Z347" s="110"/>
    </row>
    <row r="348" spans="1:26" ht="15.75" customHeight="1">
      <c r="A348" s="4"/>
      <c r="B348" s="103"/>
      <c r="C348" s="4"/>
      <c r="D348" s="4"/>
      <c r="E348" s="4"/>
      <c r="F348" s="4"/>
      <c r="G348" s="4"/>
      <c r="H348" s="4"/>
      <c r="I348" s="4"/>
      <c r="J348" s="99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110"/>
      <c r="X348" s="110"/>
      <c r="Y348" s="110"/>
      <c r="Z348" s="110"/>
    </row>
    <row r="349" spans="1:26" ht="15.75" customHeight="1">
      <c r="A349" s="4"/>
      <c r="B349" s="103"/>
      <c r="C349" s="4"/>
      <c r="D349" s="4"/>
      <c r="E349" s="4"/>
      <c r="F349" s="4"/>
      <c r="G349" s="4"/>
      <c r="H349" s="4"/>
      <c r="I349" s="4"/>
      <c r="J349" s="99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110"/>
      <c r="X349" s="110"/>
      <c r="Y349" s="110"/>
      <c r="Z349" s="110"/>
    </row>
    <row r="350" spans="1:26" ht="15.75" customHeight="1">
      <c r="A350" s="4"/>
      <c r="B350" s="103"/>
      <c r="C350" s="4"/>
      <c r="D350" s="4"/>
      <c r="E350" s="4"/>
      <c r="F350" s="4"/>
      <c r="G350" s="4"/>
      <c r="H350" s="4"/>
      <c r="I350" s="4"/>
      <c r="J350" s="99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110"/>
      <c r="X350" s="110"/>
      <c r="Y350" s="110"/>
      <c r="Z350" s="110"/>
    </row>
    <row r="351" spans="1:26" ht="15.75" customHeight="1">
      <c r="A351" s="4"/>
      <c r="B351" s="103"/>
      <c r="C351" s="4"/>
      <c r="D351" s="4"/>
      <c r="E351" s="4"/>
      <c r="F351" s="4"/>
      <c r="G351" s="4"/>
      <c r="H351" s="4"/>
      <c r="I351" s="4"/>
      <c r="J351" s="99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110"/>
      <c r="X351" s="110"/>
      <c r="Y351" s="110"/>
      <c r="Z351" s="110"/>
    </row>
    <row r="352" spans="1:26" ht="15.75" customHeight="1">
      <c r="A352" s="4"/>
      <c r="B352" s="103"/>
      <c r="C352" s="4"/>
      <c r="D352" s="4"/>
      <c r="E352" s="4"/>
      <c r="F352" s="4"/>
      <c r="G352" s="4"/>
      <c r="H352" s="4"/>
      <c r="I352" s="4"/>
      <c r="J352" s="9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110"/>
      <c r="X352" s="110"/>
      <c r="Y352" s="110"/>
      <c r="Z352" s="110"/>
    </row>
    <row r="353" spans="1:26" ht="15.75" customHeight="1">
      <c r="A353" s="4"/>
      <c r="B353" s="103"/>
      <c r="C353" s="4"/>
      <c r="D353" s="4"/>
      <c r="E353" s="4"/>
      <c r="F353" s="4"/>
      <c r="G353" s="4"/>
      <c r="H353" s="4"/>
      <c r="I353" s="4"/>
      <c r="J353" s="99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110"/>
      <c r="X353" s="110"/>
      <c r="Y353" s="110"/>
      <c r="Z353" s="110"/>
    </row>
    <row r="354" spans="1:26" ht="15.75" customHeight="1">
      <c r="A354" s="4"/>
      <c r="B354" s="103"/>
      <c r="C354" s="4"/>
      <c r="D354" s="4"/>
      <c r="E354" s="4"/>
      <c r="F354" s="4"/>
      <c r="G354" s="4"/>
      <c r="H354" s="4"/>
      <c r="I354" s="4"/>
      <c r="J354" s="99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110"/>
      <c r="X354" s="110"/>
      <c r="Y354" s="110"/>
      <c r="Z354" s="110"/>
    </row>
    <row r="355" spans="1:26" ht="15.75" customHeight="1">
      <c r="A355" s="4"/>
      <c r="B355" s="103"/>
      <c r="C355" s="4"/>
      <c r="D355" s="4"/>
      <c r="E355" s="4"/>
      <c r="F355" s="4"/>
      <c r="G355" s="4"/>
      <c r="H355" s="4"/>
      <c r="I355" s="4"/>
      <c r="J355" s="99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110"/>
      <c r="X355" s="110"/>
      <c r="Y355" s="110"/>
      <c r="Z355" s="110"/>
    </row>
    <row r="356" spans="1:26" ht="15.75" customHeight="1">
      <c r="A356" s="4"/>
      <c r="B356" s="103"/>
      <c r="C356" s="4"/>
      <c r="D356" s="4"/>
      <c r="E356" s="4"/>
      <c r="F356" s="4"/>
      <c r="G356" s="4"/>
      <c r="H356" s="4"/>
      <c r="I356" s="4"/>
      <c r="J356" s="99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110"/>
      <c r="X356" s="110"/>
      <c r="Y356" s="110"/>
      <c r="Z356" s="110"/>
    </row>
    <row r="357" spans="1:26" ht="15.75" customHeight="1">
      <c r="A357" s="4"/>
      <c r="B357" s="103"/>
      <c r="C357" s="4"/>
      <c r="D357" s="4"/>
      <c r="E357" s="4"/>
      <c r="F357" s="4"/>
      <c r="G357" s="4"/>
      <c r="H357" s="4"/>
      <c r="I357" s="4"/>
      <c r="J357" s="99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110"/>
      <c r="X357" s="110"/>
      <c r="Y357" s="110"/>
      <c r="Z357" s="110"/>
    </row>
    <row r="358" spans="1:26" ht="15.75" customHeight="1">
      <c r="A358" s="4"/>
      <c r="B358" s="103"/>
      <c r="C358" s="4"/>
      <c r="D358" s="4"/>
      <c r="E358" s="4"/>
      <c r="F358" s="4"/>
      <c r="G358" s="4"/>
      <c r="H358" s="4"/>
      <c r="I358" s="4"/>
      <c r="J358" s="99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110"/>
      <c r="X358" s="110"/>
      <c r="Y358" s="110"/>
      <c r="Z358" s="110"/>
    </row>
    <row r="359" spans="1:26" ht="15.75" customHeight="1">
      <c r="A359" s="4"/>
      <c r="B359" s="103"/>
      <c r="C359" s="4"/>
      <c r="D359" s="4"/>
      <c r="E359" s="4"/>
      <c r="F359" s="4"/>
      <c r="G359" s="4"/>
      <c r="H359" s="4"/>
      <c r="I359" s="4"/>
      <c r="J359" s="99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110"/>
      <c r="X359" s="110"/>
      <c r="Y359" s="110"/>
      <c r="Z359" s="110"/>
    </row>
    <row r="360" spans="1:26" ht="15.75" customHeight="1">
      <c r="A360" s="4"/>
      <c r="B360" s="103"/>
      <c r="C360" s="4"/>
      <c r="D360" s="4"/>
      <c r="E360" s="4"/>
      <c r="F360" s="4"/>
      <c r="G360" s="4"/>
      <c r="H360" s="4"/>
      <c r="I360" s="4"/>
      <c r="J360" s="99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110"/>
      <c r="X360" s="110"/>
      <c r="Y360" s="110"/>
      <c r="Z360" s="110"/>
    </row>
    <row r="361" spans="1:26" ht="15.75" customHeight="1">
      <c r="A361" s="4"/>
      <c r="B361" s="103"/>
      <c r="C361" s="4"/>
      <c r="D361" s="4"/>
      <c r="E361" s="4"/>
      <c r="F361" s="4"/>
      <c r="G361" s="4"/>
      <c r="H361" s="4"/>
      <c r="I361" s="4"/>
      <c r="J361" s="99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110"/>
      <c r="X361" s="110"/>
      <c r="Y361" s="110"/>
      <c r="Z361" s="110"/>
    </row>
    <row r="362" spans="1:26" ht="15.75" customHeight="1">
      <c r="A362" s="4"/>
      <c r="B362" s="103"/>
      <c r="C362" s="4"/>
      <c r="D362" s="4"/>
      <c r="E362" s="4"/>
      <c r="F362" s="4"/>
      <c r="G362" s="4"/>
      <c r="H362" s="4"/>
      <c r="I362" s="4"/>
      <c r="J362" s="99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110"/>
      <c r="X362" s="110"/>
      <c r="Y362" s="110"/>
      <c r="Z362" s="110"/>
    </row>
    <row r="363" spans="1:26" ht="15.75" customHeight="1">
      <c r="A363" s="4"/>
      <c r="B363" s="103"/>
      <c r="C363" s="4"/>
      <c r="D363" s="4"/>
      <c r="E363" s="4"/>
      <c r="F363" s="4"/>
      <c r="G363" s="4"/>
      <c r="H363" s="4"/>
      <c r="I363" s="4"/>
      <c r="J363" s="99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110"/>
      <c r="X363" s="110"/>
      <c r="Y363" s="110"/>
      <c r="Z363" s="110"/>
    </row>
    <row r="364" spans="1:26" ht="15.75" customHeight="1">
      <c r="A364" s="4"/>
      <c r="B364" s="103"/>
      <c r="C364" s="4"/>
      <c r="D364" s="4"/>
      <c r="E364" s="4"/>
      <c r="F364" s="4"/>
      <c r="G364" s="4"/>
      <c r="H364" s="4"/>
      <c r="I364" s="4"/>
      <c r="J364" s="99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110"/>
      <c r="X364" s="110"/>
      <c r="Y364" s="110"/>
      <c r="Z364" s="110"/>
    </row>
    <row r="365" spans="1:26" ht="15.75" customHeight="1">
      <c r="A365" s="110"/>
      <c r="B365" s="427"/>
      <c r="C365" s="110"/>
      <c r="D365" s="110"/>
      <c r="E365" s="110"/>
      <c r="F365" s="110"/>
      <c r="G365" s="110"/>
      <c r="H365" s="110"/>
      <c r="I365" s="110"/>
      <c r="J365" s="344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spans="1:26" ht="15.75" customHeight="1">
      <c r="A366" s="110"/>
      <c r="B366" s="427"/>
      <c r="C366" s="110"/>
      <c r="D366" s="110"/>
      <c r="E366" s="110"/>
      <c r="F366" s="110"/>
      <c r="G366" s="110"/>
      <c r="H366" s="110"/>
      <c r="I366" s="110"/>
      <c r="J366" s="344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spans="1:26" ht="15.75" customHeight="1">
      <c r="A367" s="110"/>
      <c r="B367" s="427"/>
      <c r="C367" s="110"/>
      <c r="D367" s="110"/>
      <c r="E367" s="110"/>
      <c r="F367" s="110"/>
      <c r="G367" s="110"/>
      <c r="H367" s="110"/>
      <c r="I367" s="110"/>
      <c r="J367" s="344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spans="1:26" ht="15.75" customHeight="1">
      <c r="A368" s="110"/>
      <c r="B368" s="427"/>
      <c r="C368" s="110"/>
      <c r="D368" s="110"/>
      <c r="E368" s="110"/>
      <c r="F368" s="110"/>
      <c r="G368" s="110"/>
      <c r="H368" s="110"/>
      <c r="I368" s="110"/>
      <c r="J368" s="344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spans="1:26" ht="15.75" customHeight="1">
      <c r="A369" s="110"/>
      <c r="B369" s="427"/>
      <c r="C369" s="110"/>
      <c r="D369" s="110"/>
      <c r="E369" s="110"/>
      <c r="F369" s="110"/>
      <c r="G369" s="110"/>
      <c r="H369" s="110"/>
      <c r="I369" s="110"/>
      <c r="J369" s="344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spans="1:26" ht="15.75" customHeight="1">
      <c r="A370" s="110"/>
      <c r="B370" s="427"/>
      <c r="C370" s="110"/>
      <c r="D370" s="110"/>
      <c r="E370" s="110"/>
      <c r="F370" s="110"/>
      <c r="G370" s="110"/>
      <c r="H370" s="110"/>
      <c r="I370" s="110"/>
      <c r="J370" s="344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spans="1:26" ht="15.75" customHeight="1">
      <c r="A371" s="110"/>
      <c r="B371" s="427"/>
      <c r="C371" s="110"/>
      <c r="D371" s="110"/>
      <c r="E371" s="110"/>
      <c r="F371" s="110"/>
      <c r="G371" s="110"/>
      <c r="H371" s="110"/>
      <c r="I371" s="110"/>
      <c r="J371" s="344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spans="1:26" ht="15.75" customHeight="1">
      <c r="A372" s="110"/>
      <c r="B372" s="427"/>
      <c r="C372" s="110"/>
      <c r="D372" s="110"/>
      <c r="E372" s="110"/>
      <c r="F372" s="110"/>
      <c r="G372" s="110"/>
      <c r="H372" s="110"/>
      <c r="I372" s="110"/>
      <c r="J372" s="344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spans="1:26" ht="15.75" customHeight="1">
      <c r="A373" s="110"/>
      <c r="B373" s="427"/>
      <c r="C373" s="110"/>
      <c r="D373" s="110"/>
      <c r="E373" s="110"/>
      <c r="F373" s="110"/>
      <c r="G373" s="110"/>
      <c r="H373" s="110"/>
      <c r="I373" s="110"/>
      <c r="J373" s="344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spans="1:26" ht="15.75" customHeight="1">
      <c r="A374" s="110"/>
      <c r="B374" s="427"/>
      <c r="C374" s="110"/>
      <c r="D374" s="110"/>
      <c r="E374" s="110"/>
      <c r="F374" s="110"/>
      <c r="G374" s="110"/>
      <c r="H374" s="110"/>
      <c r="I374" s="110"/>
      <c r="J374" s="344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spans="1:26" ht="15.75" customHeight="1">
      <c r="A375" s="110"/>
      <c r="B375" s="427"/>
      <c r="C375" s="110"/>
      <c r="D375" s="110"/>
      <c r="E375" s="110"/>
      <c r="F375" s="110"/>
      <c r="G375" s="110"/>
      <c r="H375" s="110"/>
      <c r="I375" s="110"/>
      <c r="J375" s="344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spans="1:26" ht="15.75" customHeight="1">
      <c r="A376" s="110"/>
      <c r="B376" s="427"/>
      <c r="C376" s="110"/>
      <c r="D376" s="110"/>
      <c r="E376" s="110"/>
      <c r="F376" s="110"/>
      <c r="G376" s="110"/>
      <c r="H376" s="110"/>
      <c r="I376" s="110"/>
      <c r="J376" s="344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spans="1:26" ht="15.75" customHeight="1">
      <c r="A377" s="110"/>
      <c r="B377" s="427"/>
      <c r="C377" s="110"/>
      <c r="D377" s="110"/>
      <c r="E377" s="110"/>
      <c r="F377" s="110"/>
      <c r="G377" s="110"/>
      <c r="H377" s="110"/>
      <c r="I377" s="110"/>
      <c r="J377" s="344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spans="1:26" ht="15.75" customHeight="1">
      <c r="A378" s="110"/>
      <c r="B378" s="427"/>
      <c r="C378" s="110"/>
      <c r="D378" s="110"/>
      <c r="E378" s="110"/>
      <c r="F378" s="110"/>
      <c r="G378" s="110"/>
      <c r="H378" s="110"/>
      <c r="I378" s="110"/>
      <c r="J378" s="344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spans="1:26" ht="15.75" customHeight="1">
      <c r="A379" s="110"/>
      <c r="B379" s="427"/>
      <c r="C379" s="110"/>
      <c r="D379" s="110"/>
      <c r="E379" s="110"/>
      <c r="F379" s="110"/>
      <c r="G379" s="110"/>
      <c r="H379" s="110"/>
      <c r="I379" s="110"/>
      <c r="J379" s="344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spans="1:26" ht="15.75" customHeight="1">
      <c r="A380" s="110"/>
      <c r="B380" s="427"/>
      <c r="C380" s="110"/>
      <c r="D380" s="110"/>
      <c r="E380" s="110"/>
      <c r="F380" s="110"/>
      <c r="G380" s="110"/>
      <c r="H380" s="110"/>
      <c r="I380" s="110"/>
      <c r="J380" s="344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spans="1:26" ht="15.75" customHeight="1">
      <c r="A381" s="110"/>
      <c r="B381" s="427"/>
      <c r="C381" s="110"/>
      <c r="D381" s="110"/>
      <c r="E381" s="110"/>
      <c r="F381" s="110"/>
      <c r="G381" s="110"/>
      <c r="H381" s="110"/>
      <c r="I381" s="110"/>
      <c r="J381" s="344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spans="1:26" ht="15.75" customHeight="1">
      <c r="A382" s="110"/>
      <c r="B382" s="427"/>
      <c r="C382" s="110"/>
      <c r="D382" s="110"/>
      <c r="E382" s="110"/>
      <c r="F382" s="110"/>
      <c r="G382" s="110"/>
      <c r="H382" s="110"/>
      <c r="I382" s="110"/>
      <c r="J382" s="344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spans="1:26" ht="15.75" customHeight="1">
      <c r="A383" s="110"/>
      <c r="B383" s="427"/>
      <c r="C383" s="110"/>
      <c r="D383" s="110"/>
      <c r="E383" s="110"/>
      <c r="F383" s="110"/>
      <c r="G383" s="110"/>
      <c r="H383" s="110"/>
      <c r="I383" s="110"/>
      <c r="J383" s="344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spans="1:26" ht="15.75" customHeight="1">
      <c r="A384" s="110"/>
      <c r="B384" s="427"/>
      <c r="C384" s="110"/>
      <c r="D384" s="110"/>
      <c r="E384" s="110"/>
      <c r="F384" s="110"/>
      <c r="G384" s="110"/>
      <c r="H384" s="110"/>
      <c r="I384" s="110"/>
      <c r="J384" s="344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spans="1:26" ht="15.75" customHeight="1">
      <c r="A385" s="110"/>
      <c r="B385" s="427"/>
      <c r="C385" s="110"/>
      <c r="D385" s="110"/>
      <c r="E385" s="110"/>
      <c r="F385" s="110"/>
      <c r="G385" s="110"/>
      <c r="H385" s="110"/>
      <c r="I385" s="110"/>
      <c r="J385" s="344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spans="1:26" ht="15.75" customHeight="1">
      <c r="A386" s="110"/>
      <c r="B386" s="427"/>
      <c r="C386" s="110"/>
      <c r="D386" s="110"/>
      <c r="E386" s="110"/>
      <c r="F386" s="110"/>
      <c r="G386" s="110"/>
      <c r="H386" s="110"/>
      <c r="I386" s="110"/>
      <c r="J386" s="344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spans="1:26" ht="15.75" customHeight="1">
      <c r="A387" s="110"/>
      <c r="B387" s="427"/>
      <c r="C387" s="110"/>
      <c r="D387" s="110"/>
      <c r="E387" s="110"/>
      <c r="F387" s="110"/>
      <c r="G387" s="110"/>
      <c r="H387" s="110"/>
      <c r="I387" s="110"/>
      <c r="J387" s="344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spans="1:26" ht="15.75" customHeight="1">
      <c r="A388" s="110"/>
      <c r="B388" s="427"/>
      <c r="C388" s="110"/>
      <c r="D388" s="110"/>
      <c r="E388" s="110"/>
      <c r="F388" s="110"/>
      <c r="G388" s="110"/>
      <c r="H388" s="110"/>
      <c r="I388" s="110"/>
      <c r="J388" s="344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spans="1:26" ht="15.75" customHeight="1">
      <c r="A389" s="110"/>
      <c r="B389" s="427"/>
      <c r="C389" s="110"/>
      <c r="D389" s="110"/>
      <c r="E389" s="110"/>
      <c r="F389" s="110"/>
      <c r="G389" s="110"/>
      <c r="H389" s="110"/>
      <c r="I389" s="110"/>
      <c r="J389" s="344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spans="1:26" ht="15.75" customHeight="1">
      <c r="A390" s="110"/>
      <c r="B390" s="427"/>
      <c r="C390" s="110"/>
      <c r="D390" s="110"/>
      <c r="E390" s="110"/>
      <c r="F390" s="110"/>
      <c r="G390" s="110"/>
      <c r="H390" s="110"/>
      <c r="I390" s="110"/>
      <c r="J390" s="344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spans="1:26" ht="15.75" customHeight="1">
      <c r="A391" s="110"/>
      <c r="B391" s="427"/>
      <c r="C391" s="110"/>
      <c r="D391" s="110"/>
      <c r="E391" s="110"/>
      <c r="F391" s="110"/>
      <c r="G391" s="110"/>
      <c r="H391" s="110"/>
      <c r="I391" s="110"/>
      <c r="J391" s="344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spans="1:26" ht="15.75" customHeight="1">
      <c r="A392" s="110"/>
      <c r="B392" s="427"/>
      <c r="C392" s="110"/>
      <c r="D392" s="110"/>
      <c r="E392" s="110"/>
      <c r="F392" s="110"/>
      <c r="G392" s="110"/>
      <c r="H392" s="110"/>
      <c r="I392" s="110"/>
      <c r="J392" s="344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spans="1:26" ht="15.75" customHeight="1">
      <c r="A393" s="110"/>
      <c r="B393" s="427"/>
      <c r="C393" s="110"/>
      <c r="D393" s="110"/>
      <c r="E393" s="110"/>
      <c r="F393" s="110"/>
      <c r="G393" s="110"/>
      <c r="H393" s="110"/>
      <c r="I393" s="110"/>
      <c r="J393" s="344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spans="1:26" ht="15.75" customHeight="1">
      <c r="A394" s="110"/>
      <c r="B394" s="427"/>
      <c r="C394" s="110"/>
      <c r="D394" s="110"/>
      <c r="E394" s="110"/>
      <c r="F394" s="110"/>
      <c r="G394" s="110"/>
      <c r="H394" s="110"/>
      <c r="I394" s="110"/>
      <c r="J394" s="344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spans="1:26" ht="15.75" customHeight="1">
      <c r="A395" s="110"/>
      <c r="B395" s="427"/>
      <c r="C395" s="110"/>
      <c r="D395" s="110"/>
      <c r="E395" s="110"/>
      <c r="F395" s="110"/>
      <c r="G395" s="110"/>
      <c r="H395" s="110"/>
      <c r="I395" s="110"/>
      <c r="J395" s="344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spans="1:26" ht="15.75" customHeight="1">
      <c r="A396" s="110"/>
      <c r="B396" s="427"/>
      <c r="C396" s="110"/>
      <c r="D396" s="110"/>
      <c r="E396" s="110"/>
      <c r="F396" s="110"/>
      <c r="G396" s="110"/>
      <c r="H396" s="110"/>
      <c r="I396" s="110"/>
      <c r="J396" s="344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spans="1:26" ht="15.75" customHeight="1">
      <c r="A397" s="110"/>
      <c r="B397" s="427"/>
      <c r="C397" s="110"/>
      <c r="D397" s="110"/>
      <c r="E397" s="110"/>
      <c r="F397" s="110"/>
      <c r="G397" s="110"/>
      <c r="H397" s="110"/>
      <c r="I397" s="110"/>
      <c r="J397" s="344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spans="1:26" ht="15.75" customHeight="1">
      <c r="A398" s="110"/>
      <c r="B398" s="427"/>
      <c r="C398" s="110"/>
      <c r="D398" s="110"/>
      <c r="E398" s="110"/>
      <c r="F398" s="110"/>
      <c r="G398" s="110"/>
      <c r="H398" s="110"/>
      <c r="I398" s="110"/>
      <c r="J398" s="344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spans="1:26" ht="15.75" customHeight="1">
      <c r="A399" s="110"/>
      <c r="B399" s="427"/>
      <c r="C399" s="110"/>
      <c r="D399" s="110"/>
      <c r="E399" s="110"/>
      <c r="F399" s="110"/>
      <c r="G399" s="110"/>
      <c r="H399" s="110"/>
      <c r="I399" s="110"/>
      <c r="J399" s="344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spans="1:26" ht="15.75" customHeight="1">
      <c r="A400" s="110"/>
      <c r="B400" s="427"/>
      <c r="C400" s="110"/>
      <c r="D400" s="110"/>
      <c r="E400" s="110"/>
      <c r="F400" s="110"/>
      <c r="G400" s="110"/>
      <c r="H400" s="110"/>
      <c r="I400" s="110"/>
      <c r="J400" s="344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spans="1:26" ht="15.75" customHeight="1">
      <c r="A401" s="110"/>
      <c r="B401" s="427"/>
      <c r="C401" s="110"/>
      <c r="D401" s="110"/>
      <c r="E401" s="110"/>
      <c r="F401" s="110"/>
      <c r="G401" s="110"/>
      <c r="H401" s="110"/>
      <c r="I401" s="110"/>
      <c r="J401" s="344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spans="1:26" ht="15.75" customHeight="1">
      <c r="A402" s="110"/>
      <c r="B402" s="427"/>
      <c r="C402" s="110"/>
      <c r="D402" s="110"/>
      <c r="E402" s="110"/>
      <c r="F402" s="110"/>
      <c r="G402" s="110"/>
      <c r="H402" s="110"/>
      <c r="I402" s="110"/>
      <c r="J402" s="344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spans="1:26" ht="15.75" customHeight="1">
      <c r="A403" s="110"/>
      <c r="B403" s="427"/>
      <c r="C403" s="110"/>
      <c r="D403" s="110"/>
      <c r="E403" s="110"/>
      <c r="F403" s="110"/>
      <c r="G403" s="110"/>
      <c r="H403" s="110"/>
      <c r="I403" s="110"/>
      <c r="J403" s="344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spans="1:26" ht="15.75" customHeight="1">
      <c r="A404" s="110"/>
      <c r="B404" s="427"/>
      <c r="C404" s="110"/>
      <c r="D404" s="110"/>
      <c r="E404" s="110"/>
      <c r="F404" s="110"/>
      <c r="G404" s="110"/>
      <c r="H404" s="110"/>
      <c r="I404" s="110"/>
      <c r="J404" s="344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spans="1:26" ht="15.75" customHeight="1">
      <c r="A405" s="110"/>
      <c r="B405" s="427"/>
      <c r="C405" s="110"/>
      <c r="D405" s="110"/>
      <c r="E405" s="110"/>
      <c r="F405" s="110"/>
      <c r="G405" s="110"/>
      <c r="H405" s="110"/>
      <c r="I405" s="110"/>
      <c r="J405" s="344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spans="1:26" ht="15.75" customHeight="1">
      <c r="A406" s="110"/>
      <c r="B406" s="427"/>
      <c r="C406" s="110"/>
      <c r="D406" s="110"/>
      <c r="E406" s="110"/>
      <c r="F406" s="110"/>
      <c r="G406" s="110"/>
      <c r="H406" s="110"/>
      <c r="I406" s="110"/>
      <c r="J406" s="344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spans="1:26" ht="15.75" customHeight="1">
      <c r="A407" s="110"/>
      <c r="B407" s="427"/>
      <c r="C407" s="110"/>
      <c r="D407" s="110"/>
      <c r="E407" s="110"/>
      <c r="F407" s="110"/>
      <c r="G407" s="110"/>
      <c r="H407" s="110"/>
      <c r="I407" s="110"/>
      <c r="J407" s="344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spans="1:26" ht="15.75" customHeight="1">
      <c r="A408" s="110"/>
      <c r="B408" s="427"/>
      <c r="C408" s="110"/>
      <c r="D408" s="110"/>
      <c r="E408" s="110"/>
      <c r="F408" s="110"/>
      <c r="G408" s="110"/>
      <c r="H408" s="110"/>
      <c r="I408" s="110"/>
      <c r="J408" s="344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spans="1:26" ht="15.75" customHeight="1">
      <c r="A409" s="110"/>
      <c r="B409" s="427"/>
      <c r="C409" s="110"/>
      <c r="D409" s="110"/>
      <c r="E409" s="110"/>
      <c r="F409" s="110"/>
      <c r="G409" s="110"/>
      <c r="H409" s="110"/>
      <c r="I409" s="110"/>
      <c r="J409" s="344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spans="1:26" ht="15.75" customHeight="1">
      <c r="A410" s="110"/>
      <c r="B410" s="427"/>
      <c r="C410" s="110"/>
      <c r="D410" s="110"/>
      <c r="E410" s="110"/>
      <c r="F410" s="110"/>
      <c r="G410" s="110"/>
      <c r="H410" s="110"/>
      <c r="I410" s="110"/>
      <c r="J410" s="344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spans="1:26" ht="15.75" customHeight="1">
      <c r="A411" s="110"/>
      <c r="B411" s="427"/>
      <c r="C411" s="110"/>
      <c r="D411" s="110"/>
      <c r="E411" s="110"/>
      <c r="F411" s="110"/>
      <c r="G411" s="110"/>
      <c r="H411" s="110"/>
      <c r="I411" s="110"/>
      <c r="J411" s="344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spans="1:26" ht="15.75" customHeight="1">
      <c r="A412" s="110"/>
      <c r="B412" s="427"/>
      <c r="C412" s="110"/>
      <c r="D412" s="110"/>
      <c r="E412" s="110"/>
      <c r="F412" s="110"/>
      <c r="G412" s="110"/>
      <c r="H412" s="110"/>
      <c r="I412" s="110"/>
      <c r="J412" s="344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spans="1:26" ht="15.75" customHeight="1">
      <c r="A413" s="110"/>
      <c r="B413" s="427"/>
      <c r="C413" s="110"/>
      <c r="D413" s="110"/>
      <c r="E413" s="110"/>
      <c r="F413" s="110"/>
      <c r="G413" s="110"/>
      <c r="H413" s="110"/>
      <c r="I413" s="110"/>
      <c r="J413" s="344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spans="1:26" ht="15.75" customHeight="1">
      <c r="A414" s="110"/>
      <c r="B414" s="427"/>
      <c r="C414" s="110"/>
      <c r="D414" s="110"/>
      <c r="E414" s="110"/>
      <c r="F414" s="110"/>
      <c r="G414" s="110"/>
      <c r="H414" s="110"/>
      <c r="I414" s="110"/>
      <c r="J414" s="344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spans="1:26" ht="15.75" customHeight="1">
      <c r="A415" s="110"/>
      <c r="B415" s="427"/>
      <c r="C415" s="110"/>
      <c r="D415" s="110"/>
      <c r="E415" s="110"/>
      <c r="F415" s="110"/>
      <c r="G415" s="110"/>
      <c r="H415" s="110"/>
      <c r="I415" s="110"/>
      <c r="J415" s="344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spans="1:26" ht="15.75" customHeight="1">
      <c r="A416" s="110"/>
      <c r="B416" s="427"/>
      <c r="C416" s="110"/>
      <c r="D416" s="110"/>
      <c r="E416" s="110"/>
      <c r="F416" s="110"/>
      <c r="G416" s="110"/>
      <c r="H416" s="110"/>
      <c r="I416" s="110"/>
      <c r="J416" s="344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spans="1:26" ht="15.75" customHeight="1">
      <c r="A417" s="110"/>
      <c r="B417" s="427"/>
      <c r="C417" s="110"/>
      <c r="D417" s="110"/>
      <c r="E417" s="110"/>
      <c r="F417" s="110"/>
      <c r="G417" s="110"/>
      <c r="H417" s="110"/>
      <c r="I417" s="110"/>
      <c r="J417" s="344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spans="1:26" ht="15.75" customHeight="1">
      <c r="A418" s="110"/>
      <c r="B418" s="427"/>
      <c r="C418" s="110"/>
      <c r="D418" s="110"/>
      <c r="E418" s="110"/>
      <c r="F418" s="110"/>
      <c r="G418" s="110"/>
      <c r="H418" s="110"/>
      <c r="I418" s="110"/>
      <c r="J418" s="344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spans="1:26" ht="15.75" customHeight="1">
      <c r="A419" s="110"/>
      <c r="B419" s="427"/>
      <c r="C419" s="110"/>
      <c r="D419" s="110"/>
      <c r="E419" s="110"/>
      <c r="F419" s="110"/>
      <c r="G419" s="110"/>
      <c r="H419" s="110"/>
      <c r="I419" s="110"/>
      <c r="J419" s="344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spans="1:26" ht="15.75" customHeight="1">
      <c r="A420" s="110"/>
      <c r="B420" s="427"/>
      <c r="C420" s="110"/>
      <c r="D420" s="110"/>
      <c r="E420" s="110"/>
      <c r="F420" s="110"/>
      <c r="G420" s="110"/>
      <c r="H420" s="110"/>
      <c r="I420" s="110"/>
      <c r="J420" s="344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spans="1:26" ht="15.75" customHeight="1">
      <c r="A421" s="110"/>
      <c r="B421" s="427"/>
      <c r="C421" s="110"/>
      <c r="D421" s="110"/>
      <c r="E421" s="110"/>
      <c r="F421" s="110"/>
      <c r="G421" s="110"/>
      <c r="H421" s="110"/>
      <c r="I421" s="110"/>
      <c r="J421" s="344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spans="1:26" ht="15.75" customHeight="1">
      <c r="A422" s="110"/>
      <c r="B422" s="427"/>
      <c r="C422" s="110"/>
      <c r="D422" s="110"/>
      <c r="E422" s="110"/>
      <c r="F422" s="110"/>
      <c r="G422" s="110"/>
      <c r="H422" s="110"/>
      <c r="I422" s="110"/>
      <c r="J422" s="344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spans="1:26" ht="15.75" customHeight="1">
      <c r="A423" s="110"/>
      <c r="B423" s="427"/>
      <c r="C423" s="110"/>
      <c r="D423" s="110"/>
      <c r="E423" s="110"/>
      <c r="F423" s="110"/>
      <c r="G423" s="110"/>
      <c r="H423" s="110"/>
      <c r="I423" s="110"/>
      <c r="J423" s="344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spans="1:26" ht="15.75" customHeight="1">
      <c r="A424" s="110"/>
      <c r="B424" s="427"/>
      <c r="C424" s="110"/>
      <c r="D424" s="110"/>
      <c r="E424" s="110"/>
      <c r="F424" s="110"/>
      <c r="G424" s="110"/>
      <c r="H424" s="110"/>
      <c r="I424" s="110"/>
      <c r="J424" s="344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spans="1:26" ht="15.75" customHeight="1">
      <c r="A425" s="110"/>
      <c r="B425" s="427"/>
      <c r="C425" s="110"/>
      <c r="D425" s="110"/>
      <c r="E425" s="110"/>
      <c r="F425" s="110"/>
      <c r="G425" s="110"/>
      <c r="H425" s="110"/>
      <c r="I425" s="110"/>
      <c r="J425" s="344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spans="1:26" ht="15.75" customHeight="1">
      <c r="A426" s="110"/>
      <c r="B426" s="427"/>
      <c r="C426" s="110"/>
      <c r="D426" s="110"/>
      <c r="E426" s="110"/>
      <c r="F426" s="110"/>
      <c r="G426" s="110"/>
      <c r="H426" s="110"/>
      <c r="I426" s="110"/>
      <c r="J426" s="344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spans="1:26" ht="15.75" customHeight="1">
      <c r="A427" s="110"/>
      <c r="B427" s="427"/>
      <c r="C427" s="110"/>
      <c r="D427" s="110"/>
      <c r="E427" s="110"/>
      <c r="F427" s="110"/>
      <c r="G427" s="110"/>
      <c r="H427" s="110"/>
      <c r="I427" s="110"/>
      <c r="J427" s="344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spans="1:26" ht="15.75" customHeight="1">
      <c r="A428" s="110"/>
      <c r="B428" s="427"/>
      <c r="C428" s="110"/>
      <c r="D428" s="110"/>
      <c r="E428" s="110"/>
      <c r="F428" s="110"/>
      <c r="G428" s="110"/>
      <c r="H428" s="110"/>
      <c r="I428" s="110"/>
      <c r="J428" s="344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spans="1:26" ht="15.75" customHeight="1">
      <c r="A429" s="110"/>
      <c r="B429" s="427"/>
      <c r="C429" s="110"/>
      <c r="D429" s="110"/>
      <c r="E429" s="110"/>
      <c r="F429" s="110"/>
      <c r="G429" s="110"/>
      <c r="H429" s="110"/>
      <c r="I429" s="110"/>
      <c r="J429" s="344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spans="1:26" ht="15.75" customHeight="1">
      <c r="A430" s="110"/>
      <c r="B430" s="427"/>
      <c r="C430" s="110"/>
      <c r="D430" s="110"/>
      <c r="E430" s="110"/>
      <c r="F430" s="110"/>
      <c r="G430" s="110"/>
      <c r="H430" s="110"/>
      <c r="I430" s="110"/>
      <c r="J430" s="344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spans="1:26" ht="15.75" customHeight="1">
      <c r="A431" s="110"/>
      <c r="B431" s="427"/>
      <c r="C431" s="110"/>
      <c r="D431" s="110"/>
      <c r="E431" s="110"/>
      <c r="F431" s="110"/>
      <c r="G431" s="110"/>
      <c r="H431" s="110"/>
      <c r="I431" s="110"/>
      <c r="J431" s="344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spans="1:26" ht="15.75" customHeight="1">
      <c r="A432" s="110"/>
      <c r="B432" s="427"/>
      <c r="C432" s="110"/>
      <c r="D432" s="110"/>
      <c r="E432" s="110"/>
      <c r="F432" s="110"/>
      <c r="G432" s="110"/>
      <c r="H432" s="110"/>
      <c r="I432" s="110"/>
      <c r="J432" s="344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spans="1:26" ht="15.75" customHeight="1">
      <c r="A433" s="110"/>
      <c r="B433" s="427"/>
      <c r="C433" s="110"/>
      <c r="D433" s="110"/>
      <c r="E433" s="110"/>
      <c r="F433" s="110"/>
      <c r="G433" s="110"/>
      <c r="H433" s="110"/>
      <c r="I433" s="110"/>
      <c r="J433" s="344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spans="1:26" ht="15.75" customHeight="1">
      <c r="A434" s="110"/>
      <c r="B434" s="427"/>
      <c r="C434" s="110"/>
      <c r="D434" s="110"/>
      <c r="E434" s="110"/>
      <c r="F434" s="110"/>
      <c r="G434" s="110"/>
      <c r="H434" s="110"/>
      <c r="I434" s="110"/>
      <c r="J434" s="344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spans="1:26" ht="15.75" customHeight="1">
      <c r="A435" s="110"/>
      <c r="B435" s="427"/>
      <c r="C435" s="110"/>
      <c r="D435" s="110"/>
      <c r="E435" s="110"/>
      <c r="F435" s="110"/>
      <c r="G435" s="110"/>
      <c r="H435" s="110"/>
      <c r="I435" s="110"/>
      <c r="J435" s="344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spans="1:26" ht="15.75" customHeight="1">
      <c r="A436" s="110"/>
      <c r="B436" s="427"/>
      <c r="C436" s="110"/>
      <c r="D436" s="110"/>
      <c r="E436" s="110"/>
      <c r="F436" s="110"/>
      <c r="G436" s="110"/>
      <c r="H436" s="110"/>
      <c r="I436" s="110"/>
      <c r="J436" s="344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spans="1:26" ht="15.75" customHeight="1">
      <c r="A437" s="110"/>
      <c r="B437" s="427"/>
      <c r="C437" s="110"/>
      <c r="D437" s="110"/>
      <c r="E437" s="110"/>
      <c r="F437" s="110"/>
      <c r="G437" s="110"/>
      <c r="H437" s="110"/>
      <c r="I437" s="110"/>
      <c r="J437" s="344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spans="1:26" ht="15.75" customHeight="1">
      <c r="A438" s="110"/>
      <c r="B438" s="427"/>
      <c r="C438" s="110"/>
      <c r="D438" s="110"/>
      <c r="E438" s="110"/>
      <c r="F438" s="110"/>
      <c r="G438" s="110"/>
      <c r="H438" s="110"/>
      <c r="I438" s="110"/>
      <c r="J438" s="344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spans="1:26" ht="15.75" customHeight="1">
      <c r="A439" s="110"/>
      <c r="B439" s="427"/>
      <c r="C439" s="110"/>
      <c r="D439" s="110"/>
      <c r="E439" s="110"/>
      <c r="F439" s="110"/>
      <c r="G439" s="110"/>
      <c r="H439" s="110"/>
      <c r="I439" s="110"/>
      <c r="J439" s="344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spans="1:26" ht="15.75" customHeight="1">
      <c r="A440" s="110"/>
      <c r="B440" s="427"/>
      <c r="C440" s="110"/>
      <c r="D440" s="110"/>
      <c r="E440" s="110"/>
      <c r="F440" s="110"/>
      <c r="G440" s="110"/>
      <c r="H440" s="110"/>
      <c r="I440" s="110"/>
      <c r="J440" s="344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spans="1:26" ht="15.75" customHeight="1">
      <c r="A441" s="110"/>
      <c r="B441" s="427"/>
      <c r="C441" s="110"/>
      <c r="D441" s="110"/>
      <c r="E441" s="110"/>
      <c r="F441" s="110"/>
      <c r="G441" s="110"/>
      <c r="H441" s="110"/>
      <c r="I441" s="110"/>
      <c r="J441" s="344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spans="1:26" ht="15.75" customHeight="1">
      <c r="A442" s="110"/>
      <c r="B442" s="427"/>
      <c r="C442" s="110"/>
      <c r="D442" s="110"/>
      <c r="E442" s="110"/>
      <c r="F442" s="110"/>
      <c r="G442" s="110"/>
      <c r="H442" s="110"/>
      <c r="I442" s="110"/>
      <c r="J442" s="344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spans="1:26" ht="15.75" customHeight="1">
      <c r="A443" s="110"/>
      <c r="B443" s="427"/>
      <c r="C443" s="110"/>
      <c r="D443" s="110"/>
      <c r="E443" s="110"/>
      <c r="F443" s="110"/>
      <c r="G443" s="110"/>
      <c r="H443" s="110"/>
      <c r="I443" s="110"/>
      <c r="J443" s="344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spans="1:26" ht="15.75" customHeight="1">
      <c r="A444" s="110"/>
      <c r="B444" s="427"/>
      <c r="C444" s="110"/>
      <c r="D444" s="110"/>
      <c r="E444" s="110"/>
      <c r="F444" s="110"/>
      <c r="G444" s="110"/>
      <c r="H444" s="110"/>
      <c r="I444" s="110"/>
      <c r="J444" s="344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spans="1:26" ht="15.75" customHeight="1">
      <c r="A445" s="110"/>
      <c r="B445" s="427"/>
      <c r="C445" s="110"/>
      <c r="D445" s="110"/>
      <c r="E445" s="110"/>
      <c r="F445" s="110"/>
      <c r="G445" s="110"/>
      <c r="H445" s="110"/>
      <c r="I445" s="110"/>
      <c r="J445" s="344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spans="1:26" ht="15.75" customHeight="1">
      <c r="A446" s="110"/>
      <c r="B446" s="427"/>
      <c r="C446" s="110"/>
      <c r="D446" s="110"/>
      <c r="E446" s="110"/>
      <c r="F446" s="110"/>
      <c r="G446" s="110"/>
      <c r="H446" s="110"/>
      <c r="I446" s="110"/>
      <c r="J446" s="344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spans="1:26" ht="15.75" customHeight="1">
      <c r="A447" s="110"/>
      <c r="B447" s="427"/>
      <c r="C447" s="110"/>
      <c r="D447" s="110"/>
      <c r="E447" s="110"/>
      <c r="F447" s="110"/>
      <c r="G447" s="110"/>
      <c r="H447" s="110"/>
      <c r="I447" s="110"/>
      <c r="J447" s="344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spans="1:26" ht="15.75" customHeight="1">
      <c r="A448" s="110"/>
      <c r="B448" s="427"/>
      <c r="C448" s="110"/>
      <c r="D448" s="110"/>
      <c r="E448" s="110"/>
      <c r="F448" s="110"/>
      <c r="G448" s="110"/>
      <c r="H448" s="110"/>
      <c r="I448" s="110"/>
      <c r="J448" s="344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spans="1:26" ht="15.75" customHeight="1">
      <c r="A449" s="110"/>
      <c r="B449" s="427"/>
      <c r="C449" s="110"/>
      <c r="D449" s="110"/>
      <c r="E449" s="110"/>
      <c r="F449" s="110"/>
      <c r="G449" s="110"/>
      <c r="H449" s="110"/>
      <c r="I449" s="110"/>
      <c r="J449" s="344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spans="1:26" ht="15.75" customHeight="1">
      <c r="A450" s="110"/>
      <c r="B450" s="427"/>
      <c r="C450" s="110"/>
      <c r="D450" s="110"/>
      <c r="E450" s="110"/>
      <c r="F450" s="110"/>
      <c r="G450" s="110"/>
      <c r="H450" s="110"/>
      <c r="I450" s="110"/>
      <c r="J450" s="344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spans="1:26" ht="15.75" customHeight="1">
      <c r="A451" s="110"/>
      <c r="B451" s="427"/>
      <c r="C451" s="110"/>
      <c r="D451" s="110"/>
      <c r="E451" s="110"/>
      <c r="F451" s="110"/>
      <c r="G451" s="110"/>
      <c r="H451" s="110"/>
      <c r="I451" s="110"/>
      <c r="J451" s="344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spans="1:26" ht="15.75" customHeight="1">
      <c r="A452" s="110"/>
      <c r="B452" s="427"/>
      <c r="C452" s="110"/>
      <c r="D452" s="110"/>
      <c r="E452" s="110"/>
      <c r="F452" s="110"/>
      <c r="G452" s="110"/>
      <c r="H452" s="110"/>
      <c r="I452" s="110"/>
      <c r="J452" s="344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spans="1:26" ht="15.75" customHeight="1">
      <c r="A453" s="110"/>
      <c r="B453" s="427"/>
      <c r="C453" s="110"/>
      <c r="D453" s="110"/>
      <c r="E453" s="110"/>
      <c r="F453" s="110"/>
      <c r="G453" s="110"/>
      <c r="H453" s="110"/>
      <c r="I453" s="110"/>
      <c r="J453" s="344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spans="1:26" ht="15.75" customHeight="1">
      <c r="A454" s="110"/>
      <c r="B454" s="427"/>
      <c r="C454" s="110"/>
      <c r="D454" s="110"/>
      <c r="E454" s="110"/>
      <c r="F454" s="110"/>
      <c r="G454" s="110"/>
      <c r="H454" s="110"/>
      <c r="I454" s="110"/>
      <c r="J454" s="344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spans="1:26" ht="15.75" customHeight="1">
      <c r="A455" s="110"/>
      <c r="B455" s="427"/>
      <c r="C455" s="110"/>
      <c r="D455" s="110"/>
      <c r="E455" s="110"/>
      <c r="F455" s="110"/>
      <c r="G455" s="110"/>
      <c r="H455" s="110"/>
      <c r="I455" s="110"/>
      <c r="J455" s="344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spans="1:26" ht="15.75" customHeight="1">
      <c r="A456" s="110"/>
      <c r="B456" s="427"/>
      <c r="C456" s="110"/>
      <c r="D456" s="110"/>
      <c r="E456" s="110"/>
      <c r="F456" s="110"/>
      <c r="G456" s="110"/>
      <c r="H456" s="110"/>
      <c r="I456" s="110"/>
      <c r="J456" s="344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spans="1:26" ht="15.75" customHeight="1">
      <c r="A457" s="110"/>
      <c r="B457" s="427"/>
      <c r="C457" s="110"/>
      <c r="D457" s="110"/>
      <c r="E457" s="110"/>
      <c r="F457" s="110"/>
      <c r="G457" s="110"/>
      <c r="H457" s="110"/>
      <c r="I457" s="110"/>
      <c r="J457" s="344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spans="1:26" ht="15.75" customHeight="1">
      <c r="A458" s="110"/>
      <c r="B458" s="427"/>
      <c r="C458" s="110"/>
      <c r="D458" s="110"/>
      <c r="E458" s="110"/>
      <c r="F458" s="110"/>
      <c r="G458" s="110"/>
      <c r="H458" s="110"/>
      <c r="I458" s="110"/>
      <c r="J458" s="344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spans="1:26" ht="15.75" customHeight="1">
      <c r="A459" s="110"/>
      <c r="B459" s="427"/>
      <c r="C459" s="110"/>
      <c r="D459" s="110"/>
      <c r="E459" s="110"/>
      <c r="F459" s="110"/>
      <c r="G459" s="110"/>
      <c r="H459" s="110"/>
      <c r="I459" s="110"/>
      <c r="J459" s="344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spans="1:26" ht="15.75" customHeight="1">
      <c r="A460" s="110"/>
      <c r="B460" s="427"/>
      <c r="C460" s="110"/>
      <c r="D460" s="110"/>
      <c r="E460" s="110"/>
      <c r="F460" s="110"/>
      <c r="G460" s="110"/>
      <c r="H460" s="110"/>
      <c r="I460" s="110"/>
      <c r="J460" s="344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spans="1:26" ht="15.75" customHeight="1">
      <c r="A461" s="110"/>
      <c r="B461" s="427"/>
      <c r="C461" s="110"/>
      <c r="D461" s="110"/>
      <c r="E461" s="110"/>
      <c r="F461" s="110"/>
      <c r="G461" s="110"/>
      <c r="H461" s="110"/>
      <c r="I461" s="110"/>
      <c r="J461" s="344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spans="1:26" ht="15.75" customHeight="1">
      <c r="A462" s="110"/>
      <c r="B462" s="427"/>
      <c r="C462" s="110"/>
      <c r="D462" s="110"/>
      <c r="E462" s="110"/>
      <c r="F462" s="110"/>
      <c r="G462" s="110"/>
      <c r="H462" s="110"/>
      <c r="I462" s="110"/>
      <c r="J462" s="344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spans="1:26" ht="15.75" customHeight="1">
      <c r="A463" s="110"/>
      <c r="B463" s="427"/>
      <c r="C463" s="110"/>
      <c r="D463" s="110"/>
      <c r="E463" s="110"/>
      <c r="F463" s="110"/>
      <c r="G463" s="110"/>
      <c r="H463" s="110"/>
      <c r="I463" s="110"/>
      <c r="J463" s="344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spans="1:26" ht="15.75" customHeight="1">
      <c r="A464" s="110"/>
      <c r="B464" s="427"/>
      <c r="C464" s="110"/>
      <c r="D464" s="110"/>
      <c r="E464" s="110"/>
      <c r="F464" s="110"/>
      <c r="G464" s="110"/>
      <c r="H464" s="110"/>
      <c r="I464" s="110"/>
      <c r="J464" s="344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spans="1:26" ht="15.75" customHeight="1">
      <c r="A465" s="110"/>
      <c r="B465" s="427"/>
      <c r="C465" s="110"/>
      <c r="D465" s="110"/>
      <c r="E465" s="110"/>
      <c r="F465" s="110"/>
      <c r="G465" s="110"/>
      <c r="H465" s="110"/>
      <c r="I465" s="110"/>
      <c r="J465" s="344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spans="1:26" ht="15.75" customHeight="1">
      <c r="A466" s="110"/>
      <c r="B466" s="427"/>
      <c r="C466" s="110"/>
      <c r="D466" s="110"/>
      <c r="E466" s="110"/>
      <c r="F466" s="110"/>
      <c r="G466" s="110"/>
      <c r="H466" s="110"/>
      <c r="I466" s="110"/>
      <c r="J466" s="344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spans="1:26" ht="15.75" customHeight="1">
      <c r="A467" s="110"/>
      <c r="B467" s="427"/>
      <c r="C467" s="110"/>
      <c r="D467" s="110"/>
      <c r="E467" s="110"/>
      <c r="F467" s="110"/>
      <c r="G467" s="110"/>
      <c r="H467" s="110"/>
      <c r="I467" s="110"/>
      <c r="J467" s="344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spans="1:26" ht="15.75" customHeight="1">
      <c r="A468" s="110"/>
      <c r="B468" s="427"/>
      <c r="C468" s="110"/>
      <c r="D468" s="110"/>
      <c r="E468" s="110"/>
      <c r="F468" s="110"/>
      <c r="G468" s="110"/>
      <c r="H468" s="110"/>
      <c r="I468" s="110"/>
      <c r="J468" s="344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spans="1:26" ht="15.75" customHeight="1">
      <c r="A469" s="110"/>
      <c r="B469" s="427"/>
      <c r="C469" s="110"/>
      <c r="D469" s="110"/>
      <c r="E469" s="110"/>
      <c r="F469" s="110"/>
      <c r="G469" s="110"/>
      <c r="H469" s="110"/>
      <c r="I469" s="110"/>
      <c r="J469" s="344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spans="1:26" ht="15.75" customHeight="1">
      <c r="A470" s="110"/>
      <c r="B470" s="427"/>
      <c r="C470" s="110"/>
      <c r="D470" s="110"/>
      <c r="E470" s="110"/>
      <c r="F470" s="110"/>
      <c r="G470" s="110"/>
      <c r="H470" s="110"/>
      <c r="I470" s="110"/>
      <c r="J470" s="344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spans="1:26" ht="15.75" customHeight="1">
      <c r="A471" s="110"/>
      <c r="B471" s="427"/>
      <c r="C471" s="110"/>
      <c r="D471" s="110"/>
      <c r="E471" s="110"/>
      <c r="F471" s="110"/>
      <c r="G471" s="110"/>
      <c r="H471" s="110"/>
      <c r="I471" s="110"/>
      <c r="J471" s="344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spans="1:26" ht="15.75" customHeight="1">
      <c r="A472" s="110"/>
      <c r="B472" s="427"/>
      <c r="C472" s="110"/>
      <c r="D472" s="110"/>
      <c r="E472" s="110"/>
      <c r="F472" s="110"/>
      <c r="G472" s="110"/>
      <c r="H472" s="110"/>
      <c r="I472" s="110"/>
      <c r="J472" s="344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spans="1:26" ht="15.75" customHeight="1">
      <c r="A473" s="110"/>
      <c r="B473" s="427"/>
      <c r="C473" s="110"/>
      <c r="D473" s="110"/>
      <c r="E473" s="110"/>
      <c r="F473" s="110"/>
      <c r="G473" s="110"/>
      <c r="H473" s="110"/>
      <c r="I473" s="110"/>
      <c r="J473" s="344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spans="1:26" ht="15.75" customHeight="1">
      <c r="A474" s="110"/>
      <c r="B474" s="427"/>
      <c r="C474" s="110"/>
      <c r="D474" s="110"/>
      <c r="E474" s="110"/>
      <c r="F474" s="110"/>
      <c r="G474" s="110"/>
      <c r="H474" s="110"/>
      <c r="I474" s="110"/>
      <c r="J474" s="344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spans="1:26" ht="15.75" customHeight="1">
      <c r="A475" s="110"/>
      <c r="B475" s="427"/>
      <c r="C475" s="110"/>
      <c r="D475" s="110"/>
      <c r="E475" s="110"/>
      <c r="F475" s="110"/>
      <c r="G475" s="110"/>
      <c r="H475" s="110"/>
      <c r="I475" s="110"/>
      <c r="J475" s="344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spans="1:26" ht="15.75" customHeight="1">
      <c r="A476" s="110"/>
      <c r="B476" s="427"/>
      <c r="C476" s="110"/>
      <c r="D476" s="110"/>
      <c r="E476" s="110"/>
      <c r="F476" s="110"/>
      <c r="G476" s="110"/>
      <c r="H476" s="110"/>
      <c r="I476" s="110"/>
      <c r="J476" s="344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spans="1:26" ht="15.75" customHeight="1">
      <c r="A477" s="110"/>
      <c r="B477" s="427"/>
      <c r="C477" s="110"/>
      <c r="D477" s="110"/>
      <c r="E477" s="110"/>
      <c r="F477" s="110"/>
      <c r="G477" s="110"/>
      <c r="H477" s="110"/>
      <c r="I477" s="110"/>
      <c r="J477" s="344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spans="1:26" ht="15.75" customHeight="1">
      <c r="A478" s="110"/>
      <c r="B478" s="427"/>
      <c r="C478" s="110"/>
      <c r="D478" s="110"/>
      <c r="E478" s="110"/>
      <c r="F478" s="110"/>
      <c r="G478" s="110"/>
      <c r="H478" s="110"/>
      <c r="I478" s="110"/>
      <c r="J478" s="344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spans="1:26" ht="15.75" customHeight="1">
      <c r="A479" s="110"/>
      <c r="B479" s="427"/>
      <c r="C479" s="110"/>
      <c r="D479" s="110"/>
      <c r="E479" s="110"/>
      <c r="F479" s="110"/>
      <c r="G479" s="110"/>
      <c r="H479" s="110"/>
      <c r="I479" s="110"/>
      <c r="J479" s="344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spans="1:26" ht="15.75" customHeight="1">
      <c r="A480" s="110"/>
      <c r="B480" s="427"/>
      <c r="C480" s="110"/>
      <c r="D480" s="110"/>
      <c r="E480" s="110"/>
      <c r="F480" s="110"/>
      <c r="G480" s="110"/>
      <c r="H480" s="110"/>
      <c r="I480" s="110"/>
      <c r="J480" s="344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spans="1:26" ht="15.75" customHeight="1">
      <c r="A481" s="110"/>
      <c r="B481" s="427"/>
      <c r="C481" s="110"/>
      <c r="D481" s="110"/>
      <c r="E481" s="110"/>
      <c r="F481" s="110"/>
      <c r="G481" s="110"/>
      <c r="H481" s="110"/>
      <c r="I481" s="110"/>
      <c r="J481" s="344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spans="1:26" ht="15.75" customHeight="1">
      <c r="A482" s="110"/>
      <c r="B482" s="427"/>
      <c r="C482" s="110"/>
      <c r="D482" s="110"/>
      <c r="E482" s="110"/>
      <c r="F482" s="110"/>
      <c r="G482" s="110"/>
      <c r="H482" s="110"/>
      <c r="I482" s="110"/>
      <c r="J482" s="344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spans="1:26" ht="15.75" customHeight="1">
      <c r="A483" s="110"/>
      <c r="B483" s="427"/>
      <c r="C483" s="110"/>
      <c r="D483" s="110"/>
      <c r="E483" s="110"/>
      <c r="F483" s="110"/>
      <c r="G483" s="110"/>
      <c r="H483" s="110"/>
      <c r="I483" s="110"/>
      <c r="J483" s="344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spans="1:26" ht="15.75" customHeight="1">
      <c r="A484" s="110"/>
      <c r="B484" s="427"/>
      <c r="C484" s="110"/>
      <c r="D484" s="110"/>
      <c r="E484" s="110"/>
      <c r="F484" s="110"/>
      <c r="G484" s="110"/>
      <c r="H484" s="110"/>
      <c r="I484" s="110"/>
      <c r="J484" s="344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spans="1:26" ht="15.75" customHeight="1">
      <c r="A485" s="110"/>
      <c r="B485" s="427"/>
      <c r="C485" s="110"/>
      <c r="D485" s="110"/>
      <c r="E485" s="110"/>
      <c r="F485" s="110"/>
      <c r="G485" s="110"/>
      <c r="H485" s="110"/>
      <c r="I485" s="110"/>
      <c r="J485" s="344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spans="1:26" ht="15.75" customHeight="1">
      <c r="A486" s="110"/>
      <c r="B486" s="427"/>
      <c r="C486" s="110"/>
      <c r="D486" s="110"/>
      <c r="E486" s="110"/>
      <c r="F486" s="110"/>
      <c r="G486" s="110"/>
      <c r="H486" s="110"/>
      <c r="I486" s="110"/>
      <c r="J486" s="344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spans="1:26" ht="15.75" customHeight="1">
      <c r="A487" s="110"/>
      <c r="B487" s="427"/>
      <c r="C487" s="110"/>
      <c r="D487" s="110"/>
      <c r="E487" s="110"/>
      <c r="F487" s="110"/>
      <c r="G487" s="110"/>
      <c r="H487" s="110"/>
      <c r="I487" s="110"/>
      <c r="J487" s="344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spans="1:26" ht="15.75" customHeight="1">
      <c r="A488" s="110"/>
      <c r="B488" s="427"/>
      <c r="C488" s="110"/>
      <c r="D488" s="110"/>
      <c r="E488" s="110"/>
      <c r="F488" s="110"/>
      <c r="G488" s="110"/>
      <c r="H488" s="110"/>
      <c r="I488" s="110"/>
      <c r="J488" s="344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spans="1:26" ht="15.75" customHeight="1">
      <c r="A489" s="110"/>
      <c r="B489" s="427"/>
      <c r="C489" s="110"/>
      <c r="D489" s="110"/>
      <c r="E489" s="110"/>
      <c r="F489" s="110"/>
      <c r="G489" s="110"/>
      <c r="H489" s="110"/>
      <c r="I489" s="110"/>
      <c r="J489" s="344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spans="1:26" ht="15.75" customHeight="1">
      <c r="A490" s="110"/>
      <c r="B490" s="427"/>
      <c r="C490" s="110"/>
      <c r="D490" s="110"/>
      <c r="E490" s="110"/>
      <c r="F490" s="110"/>
      <c r="G490" s="110"/>
      <c r="H490" s="110"/>
      <c r="I490" s="110"/>
      <c r="J490" s="344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spans="1:26" ht="15.75" customHeight="1">
      <c r="A491" s="110"/>
      <c r="B491" s="427"/>
      <c r="C491" s="110"/>
      <c r="D491" s="110"/>
      <c r="E491" s="110"/>
      <c r="F491" s="110"/>
      <c r="G491" s="110"/>
      <c r="H491" s="110"/>
      <c r="I491" s="110"/>
      <c r="J491" s="344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spans="1:26" ht="15.75" customHeight="1">
      <c r="A492" s="110"/>
      <c r="B492" s="427"/>
      <c r="C492" s="110"/>
      <c r="D492" s="110"/>
      <c r="E492" s="110"/>
      <c r="F492" s="110"/>
      <c r="G492" s="110"/>
      <c r="H492" s="110"/>
      <c r="I492" s="110"/>
      <c r="J492" s="344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spans="1:26" ht="15.75" customHeight="1">
      <c r="A493" s="110"/>
      <c r="B493" s="427"/>
      <c r="C493" s="110"/>
      <c r="D493" s="110"/>
      <c r="E493" s="110"/>
      <c r="F493" s="110"/>
      <c r="G493" s="110"/>
      <c r="H493" s="110"/>
      <c r="I493" s="110"/>
      <c r="J493" s="344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spans="1:26" ht="15.75" customHeight="1">
      <c r="A494" s="110"/>
      <c r="B494" s="427"/>
      <c r="C494" s="110"/>
      <c r="D494" s="110"/>
      <c r="E494" s="110"/>
      <c r="F494" s="110"/>
      <c r="G494" s="110"/>
      <c r="H494" s="110"/>
      <c r="I494" s="110"/>
      <c r="J494" s="344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spans="1:26" ht="15.75" customHeight="1">
      <c r="A495" s="110"/>
      <c r="B495" s="427"/>
      <c r="C495" s="110"/>
      <c r="D495" s="110"/>
      <c r="E495" s="110"/>
      <c r="F495" s="110"/>
      <c r="G495" s="110"/>
      <c r="H495" s="110"/>
      <c r="I495" s="110"/>
      <c r="J495" s="344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spans="1:26" ht="15.75" customHeight="1">
      <c r="A496" s="110"/>
      <c r="B496" s="427"/>
      <c r="C496" s="110"/>
      <c r="D496" s="110"/>
      <c r="E496" s="110"/>
      <c r="F496" s="110"/>
      <c r="G496" s="110"/>
      <c r="H496" s="110"/>
      <c r="I496" s="110"/>
      <c r="J496" s="344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spans="1:26" ht="15.75" customHeight="1">
      <c r="A497" s="110"/>
      <c r="B497" s="427"/>
      <c r="C497" s="110"/>
      <c r="D497" s="110"/>
      <c r="E497" s="110"/>
      <c r="F497" s="110"/>
      <c r="G497" s="110"/>
      <c r="H497" s="110"/>
      <c r="I497" s="110"/>
      <c r="J497" s="344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spans="1:26" ht="15.75" customHeight="1">
      <c r="A498" s="110"/>
      <c r="B498" s="427"/>
      <c r="C498" s="110"/>
      <c r="D498" s="110"/>
      <c r="E498" s="110"/>
      <c r="F498" s="110"/>
      <c r="G498" s="110"/>
      <c r="H498" s="110"/>
      <c r="I498" s="110"/>
      <c r="J498" s="344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spans="1:26" ht="15.75" customHeight="1">
      <c r="A499" s="110"/>
      <c r="B499" s="427"/>
      <c r="C499" s="110"/>
      <c r="D499" s="110"/>
      <c r="E499" s="110"/>
      <c r="F499" s="110"/>
      <c r="G499" s="110"/>
      <c r="H499" s="110"/>
      <c r="I499" s="110"/>
      <c r="J499" s="344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spans="1:26" ht="15.75" customHeight="1">
      <c r="A500" s="110"/>
      <c r="B500" s="427"/>
      <c r="C500" s="110"/>
      <c r="D500" s="110"/>
      <c r="E500" s="110"/>
      <c r="F500" s="110"/>
      <c r="G500" s="110"/>
      <c r="H500" s="110"/>
      <c r="I500" s="110"/>
      <c r="J500" s="344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spans="1:26" ht="15.75" customHeight="1">
      <c r="A501" s="110"/>
      <c r="B501" s="427"/>
      <c r="C501" s="110"/>
      <c r="D501" s="110"/>
      <c r="E501" s="110"/>
      <c r="F501" s="110"/>
      <c r="G501" s="110"/>
      <c r="H501" s="110"/>
      <c r="I501" s="110"/>
      <c r="J501" s="344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spans="1:26" ht="15.75" customHeight="1">
      <c r="A502" s="110"/>
      <c r="B502" s="427"/>
      <c r="C502" s="110"/>
      <c r="D502" s="110"/>
      <c r="E502" s="110"/>
      <c r="F502" s="110"/>
      <c r="G502" s="110"/>
      <c r="H502" s="110"/>
      <c r="I502" s="110"/>
      <c r="J502" s="344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spans="1:26" ht="15.75" customHeight="1">
      <c r="A503" s="110"/>
      <c r="B503" s="427"/>
      <c r="C503" s="110"/>
      <c r="D503" s="110"/>
      <c r="E503" s="110"/>
      <c r="F503" s="110"/>
      <c r="G503" s="110"/>
      <c r="H503" s="110"/>
      <c r="I503" s="110"/>
      <c r="J503" s="344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spans="1:26" ht="15.75" customHeight="1">
      <c r="A504" s="110"/>
      <c r="B504" s="427"/>
      <c r="C504" s="110"/>
      <c r="D504" s="110"/>
      <c r="E504" s="110"/>
      <c r="F504" s="110"/>
      <c r="G504" s="110"/>
      <c r="H504" s="110"/>
      <c r="I504" s="110"/>
      <c r="J504" s="344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spans="1:26" ht="15.75" customHeight="1">
      <c r="A505" s="110"/>
      <c r="B505" s="427"/>
      <c r="C505" s="110"/>
      <c r="D505" s="110"/>
      <c r="E505" s="110"/>
      <c r="F505" s="110"/>
      <c r="G505" s="110"/>
      <c r="H505" s="110"/>
      <c r="I505" s="110"/>
      <c r="J505" s="344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spans="1:26" ht="15.75" customHeight="1">
      <c r="A506" s="110"/>
      <c r="B506" s="427"/>
      <c r="C506" s="110"/>
      <c r="D506" s="110"/>
      <c r="E506" s="110"/>
      <c r="F506" s="110"/>
      <c r="G506" s="110"/>
      <c r="H506" s="110"/>
      <c r="I506" s="110"/>
      <c r="J506" s="344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spans="1:26" ht="15.75" customHeight="1">
      <c r="A507" s="110"/>
      <c r="B507" s="427"/>
      <c r="C507" s="110"/>
      <c r="D507" s="110"/>
      <c r="E507" s="110"/>
      <c r="F507" s="110"/>
      <c r="G507" s="110"/>
      <c r="H507" s="110"/>
      <c r="I507" s="110"/>
      <c r="J507" s="344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spans="1:26" ht="15.75" customHeight="1">
      <c r="A508" s="110"/>
      <c r="B508" s="427"/>
      <c r="C508" s="110"/>
      <c r="D508" s="110"/>
      <c r="E508" s="110"/>
      <c r="F508" s="110"/>
      <c r="G508" s="110"/>
      <c r="H508" s="110"/>
      <c r="I508" s="110"/>
      <c r="J508" s="344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spans="1:26" ht="15.75" customHeight="1">
      <c r="A509" s="110"/>
      <c r="B509" s="427"/>
      <c r="C509" s="110"/>
      <c r="D509" s="110"/>
      <c r="E509" s="110"/>
      <c r="F509" s="110"/>
      <c r="G509" s="110"/>
      <c r="H509" s="110"/>
      <c r="I509" s="110"/>
      <c r="J509" s="344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spans="1:26" ht="15.75" customHeight="1">
      <c r="A510" s="110"/>
      <c r="B510" s="427"/>
      <c r="C510" s="110"/>
      <c r="D510" s="110"/>
      <c r="E510" s="110"/>
      <c r="F510" s="110"/>
      <c r="G510" s="110"/>
      <c r="H510" s="110"/>
      <c r="I510" s="110"/>
      <c r="J510" s="344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spans="1:26" ht="15.75" customHeight="1">
      <c r="A511" s="110"/>
      <c r="B511" s="427"/>
      <c r="C511" s="110"/>
      <c r="D511" s="110"/>
      <c r="E511" s="110"/>
      <c r="F511" s="110"/>
      <c r="G511" s="110"/>
      <c r="H511" s="110"/>
      <c r="I511" s="110"/>
      <c r="J511" s="344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spans="1:26" ht="15.75" customHeight="1">
      <c r="A512" s="110"/>
      <c r="B512" s="427"/>
      <c r="C512" s="110"/>
      <c r="D512" s="110"/>
      <c r="E512" s="110"/>
      <c r="F512" s="110"/>
      <c r="G512" s="110"/>
      <c r="H512" s="110"/>
      <c r="I512" s="110"/>
      <c r="J512" s="344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spans="1:26" ht="15.75" customHeight="1">
      <c r="A513" s="110"/>
      <c r="B513" s="427"/>
      <c r="C513" s="110"/>
      <c r="D513" s="110"/>
      <c r="E513" s="110"/>
      <c r="F513" s="110"/>
      <c r="G513" s="110"/>
      <c r="H513" s="110"/>
      <c r="I513" s="110"/>
      <c r="J513" s="344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spans="1:26" ht="15.75" customHeight="1">
      <c r="A514" s="110"/>
      <c r="B514" s="427"/>
      <c r="C514" s="110"/>
      <c r="D514" s="110"/>
      <c r="E514" s="110"/>
      <c r="F514" s="110"/>
      <c r="G514" s="110"/>
      <c r="H514" s="110"/>
      <c r="I514" s="110"/>
      <c r="J514" s="344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spans="1:26" ht="15.75" customHeight="1">
      <c r="A515" s="110"/>
      <c r="B515" s="427"/>
      <c r="C515" s="110"/>
      <c r="D515" s="110"/>
      <c r="E515" s="110"/>
      <c r="F515" s="110"/>
      <c r="G515" s="110"/>
      <c r="H515" s="110"/>
      <c r="I515" s="110"/>
      <c r="J515" s="344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spans="1:26" ht="15.75" customHeight="1">
      <c r="A516" s="110"/>
      <c r="B516" s="427"/>
      <c r="C516" s="110"/>
      <c r="D516" s="110"/>
      <c r="E516" s="110"/>
      <c r="F516" s="110"/>
      <c r="G516" s="110"/>
      <c r="H516" s="110"/>
      <c r="I516" s="110"/>
      <c r="J516" s="344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spans="1:26" ht="15.75" customHeight="1">
      <c r="A517" s="110"/>
      <c r="B517" s="427"/>
      <c r="C517" s="110"/>
      <c r="D517" s="110"/>
      <c r="E517" s="110"/>
      <c r="F517" s="110"/>
      <c r="G517" s="110"/>
      <c r="H517" s="110"/>
      <c r="I517" s="110"/>
      <c r="J517" s="344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spans="1:26" ht="15.75" customHeight="1">
      <c r="A518" s="110"/>
      <c r="B518" s="427"/>
      <c r="C518" s="110"/>
      <c r="D518" s="110"/>
      <c r="E518" s="110"/>
      <c r="F518" s="110"/>
      <c r="G518" s="110"/>
      <c r="H518" s="110"/>
      <c r="I518" s="110"/>
      <c r="J518" s="344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spans="1:26" ht="15.75" customHeight="1">
      <c r="A519" s="110"/>
      <c r="B519" s="427"/>
      <c r="C519" s="110"/>
      <c r="D519" s="110"/>
      <c r="E519" s="110"/>
      <c r="F519" s="110"/>
      <c r="G519" s="110"/>
      <c r="H519" s="110"/>
      <c r="I519" s="110"/>
      <c r="J519" s="344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spans="1:26" ht="15.75" customHeight="1">
      <c r="A520" s="110"/>
      <c r="B520" s="427"/>
      <c r="C520" s="110"/>
      <c r="D520" s="110"/>
      <c r="E520" s="110"/>
      <c r="F520" s="110"/>
      <c r="G520" s="110"/>
      <c r="H520" s="110"/>
      <c r="I520" s="110"/>
      <c r="J520" s="344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spans="1:26" ht="15.75" customHeight="1">
      <c r="A521" s="110"/>
      <c r="B521" s="427"/>
      <c r="C521" s="110"/>
      <c r="D521" s="110"/>
      <c r="E521" s="110"/>
      <c r="F521" s="110"/>
      <c r="G521" s="110"/>
      <c r="H521" s="110"/>
      <c r="I521" s="110"/>
      <c r="J521" s="344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spans="1:26" ht="15.75" customHeight="1">
      <c r="A522" s="110"/>
      <c r="B522" s="427"/>
      <c r="C522" s="110"/>
      <c r="D522" s="110"/>
      <c r="E522" s="110"/>
      <c r="F522" s="110"/>
      <c r="G522" s="110"/>
      <c r="H522" s="110"/>
      <c r="I522" s="110"/>
      <c r="J522" s="344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spans="1:26" ht="15.75" customHeight="1">
      <c r="A523" s="110"/>
      <c r="B523" s="427"/>
      <c r="C523" s="110"/>
      <c r="D523" s="110"/>
      <c r="E523" s="110"/>
      <c r="F523" s="110"/>
      <c r="G523" s="110"/>
      <c r="H523" s="110"/>
      <c r="I523" s="110"/>
      <c r="J523" s="344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spans="1:26" ht="15.75" customHeight="1">
      <c r="A524" s="110"/>
      <c r="B524" s="427"/>
      <c r="C524" s="110"/>
      <c r="D524" s="110"/>
      <c r="E524" s="110"/>
      <c r="F524" s="110"/>
      <c r="G524" s="110"/>
      <c r="H524" s="110"/>
      <c r="I524" s="110"/>
      <c r="J524" s="344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spans="1:26" ht="15.75" customHeight="1">
      <c r="A525" s="110"/>
      <c r="B525" s="427"/>
      <c r="C525" s="110"/>
      <c r="D525" s="110"/>
      <c r="E525" s="110"/>
      <c r="F525" s="110"/>
      <c r="G525" s="110"/>
      <c r="H525" s="110"/>
      <c r="I525" s="110"/>
      <c r="J525" s="344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spans="1:26" ht="15.75" customHeight="1">
      <c r="A526" s="110"/>
      <c r="B526" s="427"/>
      <c r="C526" s="110"/>
      <c r="D526" s="110"/>
      <c r="E526" s="110"/>
      <c r="F526" s="110"/>
      <c r="G526" s="110"/>
      <c r="H526" s="110"/>
      <c r="I526" s="110"/>
      <c r="J526" s="344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spans="1:26" ht="15.75" customHeight="1">
      <c r="A527" s="110"/>
      <c r="B527" s="427"/>
      <c r="C527" s="110"/>
      <c r="D527" s="110"/>
      <c r="E527" s="110"/>
      <c r="F527" s="110"/>
      <c r="G527" s="110"/>
      <c r="H527" s="110"/>
      <c r="I527" s="110"/>
      <c r="J527" s="344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spans="1:26" ht="15.75" customHeight="1">
      <c r="A528" s="110"/>
      <c r="B528" s="427"/>
      <c r="C528" s="110"/>
      <c r="D528" s="110"/>
      <c r="E528" s="110"/>
      <c r="F528" s="110"/>
      <c r="G528" s="110"/>
      <c r="H528" s="110"/>
      <c r="I528" s="110"/>
      <c r="J528" s="344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spans="1:26" ht="15.75" customHeight="1">
      <c r="A529" s="110"/>
      <c r="B529" s="427"/>
      <c r="C529" s="110"/>
      <c r="D529" s="110"/>
      <c r="E529" s="110"/>
      <c r="F529" s="110"/>
      <c r="G529" s="110"/>
      <c r="H529" s="110"/>
      <c r="I529" s="110"/>
      <c r="J529" s="344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spans="1:26" ht="15.75" customHeight="1">
      <c r="A530" s="110"/>
      <c r="B530" s="427"/>
      <c r="C530" s="110"/>
      <c r="D530" s="110"/>
      <c r="E530" s="110"/>
      <c r="F530" s="110"/>
      <c r="G530" s="110"/>
      <c r="H530" s="110"/>
      <c r="I530" s="110"/>
      <c r="J530" s="344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spans="1:26" ht="15.75" customHeight="1">
      <c r="A531" s="110"/>
      <c r="B531" s="427"/>
      <c r="C531" s="110"/>
      <c r="D531" s="110"/>
      <c r="E531" s="110"/>
      <c r="F531" s="110"/>
      <c r="G531" s="110"/>
      <c r="H531" s="110"/>
      <c r="I531" s="110"/>
      <c r="J531" s="344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spans="1:26" ht="15.75" customHeight="1">
      <c r="A532" s="110"/>
      <c r="B532" s="427"/>
      <c r="C532" s="110"/>
      <c r="D532" s="110"/>
      <c r="E532" s="110"/>
      <c r="F532" s="110"/>
      <c r="G532" s="110"/>
      <c r="H532" s="110"/>
      <c r="I532" s="110"/>
      <c r="J532" s="344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spans="1:26" ht="15.75" customHeight="1">
      <c r="A533" s="110"/>
      <c r="B533" s="427"/>
      <c r="C533" s="110"/>
      <c r="D533" s="110"/>
      <c r="E533" s="110"/>
      <c r="F533" s="110"/>
      <c r="G533" s="110"/>
      <c r="H533" s="110"/>
      <c r="I533" s="110"/>
      <c r="J533" s="344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spans="1:26" ht="15.75" customHeight="1">
      <c r="A534" s="110"/>
      <c r="B534" s="427"/>
      <c r="C534" s="110"/>
      <c r="D534" s="110"/>
      <c r="E534" s="110"/>
      <c r="F534" s="110"/>
      <c r="G534" s="110"/>
      <c r="H534" s="110"/>
      <c r="I534" s="110"/>
      <c r="J534" s="344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spans="1:26" ht="15.75" customHeight="1">
      <c r="A535" s="110"/>
      <c r="B535" s="427"/>
      <c r="C535" s="110"/>
      <c r="D535" s="110"/>
      <c r="E535" s="110"/>
      <c r="F535" s="110"/>
      <c r="G535" s="110"/>
      <c r="H535" s="110"/>
      <c r="I535" s="110"/>
      <c r="J535" s="344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spans="1:26" ht="15.75" customHeight="1">
      <c r="A536" s="110"/>
      <c r="B536" s="427"/>
      <c r="C536" s="110"/>
      <c r="D536" s="110"/>
      <c r="E536" s="110"/>
      <c r="F536" s="110"/>
      <c r="G536" s="110"/>
      <c r="H536" s="110"/>
      <c r="I536" s="110"/>
      <c r="J536" s="344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spans="1:26" ht="15.75" customHeight="1">
      <c r="A537" s="110"/>
      <c r="B537" s="427"/>
      <c r="C537" s="110"/>
      <c r="D537" s="110"/>
      <c r="E537" s="110"/>
      <c r="F537" s="110"/>
      <c r="G537" s="110"/>
      <c r="H537" s="110"/>
      <c r="I537" s="110"/>
      <c r="J537" s="344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spans="1:26" ht="15.75" customHeight="1">
      <c r="A538" s="110"/>
      <c r="B538" s="427"/>
      <c r="C538" s="110"/>
      <c r="D538" s="110"/>
      <c r="E538" s="110"/>
      <c r="F538" s="110"/>
      <c r="G538" s="110"/>
      <c r="H538" s="110"/>
      <c r="I538" s="110"/>
      <c r="J538" s="344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spans="1:26" ht="15.75" customHeight="1">
      <c r="A539" s="110"/>
      <c r="B539" s="427"/>
      <c r="C539" s="110"/>
      <c r="D539" s="110"/>
      <c r="E539" s="110"/>
      <c r="F539" s="110"/>
      <c r="G539" s="110"/>
      <c r="H539" s="110"/>
      <c r="I539" s="110"/>
      <c r="J539" s="344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spans="1:26" ht="15.75" customHeight="1">
      <c r="A540" s="110"/>
      <c r="B540" s="427"/>
      <c r="C540" s="110"/>
      <c r="D540" s="110"/>
      <c r="E540" s="110"/>
      <c r="F540" s="110"/>
      <c r="G540" s="110"/>
      <c r="H540" s="110"/>
      <c r="I540" s="110"/>
      <c r="J540" s="344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spans="1:26" ht="15.75" customHeight="1">
      <c r="A541" s="110"/>
      <c r="B541" s="427"/>
      <c r="C541" s="110"/>
      <c r="D541" s="110"/>
      <c r="E541" s="110"/>
      <c r="F541" s="110"/>
      <c r="G541" s="110"/>
      <c r="H541" s="110"/>
      <c r="I541" s="110"/>
      <c r="J541" s="344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spans="1:26" ht="15.75" customHeight="1">
      <c r="A542" s="110"/>
      <c r="B542" s="427"/>
      <c r="C542" s="110"/>
      <c r="D542" s="110"/>
      <c r="E542" s="110"/>
      <c r="F542" s="110"/>
      <c r="G542" s="110"/>
      <c r="H542" s="110"/>
      <c r="I542" s="110"/>
      <c r="J542" s="344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spans="1:26" ht="15.75" customHeight="1">
      <c r="A543" s="110"/>
      <c r="B543" s="427"/>
      <c r="C543" s="110"/>
      <c r="D543" s="110"/>
      <c r="E543" s="110"/>
      <c r="F543" s="110"/>
      <c r="G543" s="110"/>
      <c r="H543" s="110"/>
      <c r="I543" s="110"/>
      <c r="J543" s="344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spans="1:26" ht="15.75" customHeight="1">
      <c r="A544" s="110"/>
      <c r="B544" s="427"/>
      <c r="C544" s="110"/>
      <c r="D544" s="110"/>
      <c r="E544" s="110"/>
      <c r="F544" s="110"/>
      <c r="G544" s="110"/>
      <c r="H544" s="110"/>
      <c r="I544" s="110"/>
      <c r="J544" s="344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spans="1:26" ht="15.75" customHeight="1">
      <c r="A545" s="110"/>
      <c r="B545" s="427"/>
      <c r="C545" s="110"/>
      <c r="D545" s="110"/>
      <c r="E545" s="110"/>
      <c r="F545" s="110"/>
      <c r="G545" s="110"/>
      <c r="H545" s="110"/>
      <c r="I545" s="110"/>
      <c r="J545" s="344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spans="1:26" ht="15.75" customHeight="1">
      <c r="A546" s="110"/>
      <c r="B546" s="427"/>
      <c r="C546" s="110"/>
      <c r="D546" s="110"/>
      <c r="E546" s="110"/>
      <c r="F546" s="110"/>
      <c r="G546" s="110"/>
      <c r="H546" s="110"/>
      <c r="I546" s="110"/>
      <c r="J546" s="344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spans="1:26" ht="15.75" customHeight="1">
      <c r="A547" s="110"/>
      <c r="B547" s="427"/>
      <c r="C547" s="110"/>
      <c r="D547" s="110"/>
      <c r="E547" s="110"/>
      <c r="F547" s="110"/>
      <c r="G547" s="110"/>
      <c r="H547" s="110"/>
      <c r="I547" s="110"/>
      <c r="J547" s="344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spans="1:26" ht="15.75" customHeight="1">
      <c r="A548" s="110"/>
      <c r="B548" s="427"/>
      <c r="C548" s="110"/>
      <c r="D548" s="110"/>
      <c r="E548" s="110"/>
      <c r="F548" s="110"/>
      <c r="G548" s="110"/>
      <c r="H548" s="110"/>
      <c r="I548" s="110"/>
      <c r="J548" s="344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spans="1:26" ht="15.75" customHeight="1">
      <c r="A549" s="110"/>
      <c r="B549" s="427"/>
      <c r="C549" s="110"/>
      <c r="D549" s="110"/>
      <c r="E549" s="110"/>
      <c r="F549" s="110"/>
      <c r="G549" s="110"/>
      <c r="H549" s="110"/>
      <c r="I549" s="110"/>
      <c r="J549" s="344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spans="1:26" ht="15.75" customHeight="1">
      <c r="A550" s="110"/>
      <c r="B550" s="427"/>
      <c r="C550" s="110"/>
      <c r="D550" s="110"/>
      <c r="E550" s="110"/>
      <c r="F550" s="110"/>
      <c r="G550" s="110"/>
      <c r="H550" s="110"/>
      <c r="I550" s="110"/>
      <c r="J550" s="344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spans="1:26" ht="15.75" customHeight="1">
      <c r="A551" s="110"/>
      <c r="B551" s="427"/>
      <c r="C551" s="110"/>
      <c r="D551" s="110"/>
      <c r="E551" s="110"/>
      <c r="F551" s="110"/>
      <c r="G551" s="110"/>
      <c r="H551" s="110"/>
      <c r="I551" s="110"/>
      <c r="J551" s="344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spans="1:26" ht="15.75" customHeight="1">
      <c r="A552" s="110"/>
      <c r="B552" s="427"/>
      <c r="C552" s="110"/>
      <c r="D552" s="110"/>
      <c r="E552" s="110"/>
      <c r="F552" s="110"/>
      <c r="G552" s="110"/>
      <c r="H552" s="110"/>
      <c r="I552" s="110"/>
      <c r="J552" s="344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spans="1:26" ht="15.75" customHeight="1">
      <c r="A553" s="110"/>
      <c r="B553" s="427"/>
      <c r="C553" s="110"/>
      <c r="D553" s="110"/>
      <c r="E553" s="110"/>
      <c r="F553" s="110"/>
      <c r="G553" s="110"/>
      <c r="H553" s="110"/>
      <c r="I553" s="110"/>
      <c r="J553" s="344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spans="1:26" ht="15.75" customHeight="1">
      <c r="A554" s="110"/>
      <c r="B554" s="427"/>
      <c r="C554" s="110"/>
      <c r="D554" s="110"/>
      <c r="E554" s="110"/>
      <c r="F554" s="110"/>
      <c r="G554" s="110"/>
      <c r="H554" s="110"/>
      <c r="I554" s="110"/>
      <c r="J554" s="344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spans="1:26" ht="15.75" customHeight="1">
      <c r="A555" s="110"/>
      <c r="B555" s="427"/>
      <c r="C555" s="110"/>
      <c r="D555" s="110"/>
      <c r="E555" s="110"/>
      <c r="F555" s="110"/>
      <c r="G555" s="110"/>
      <c r="H555" s="110"/>
      <c r="I555" s="110"/>
      <c r="J555" s="344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spans="1:26" ht="15.75" customHeight="1">
      <c r="A556" s="110"/>
      <c r="B556" s="427"/>
      <c r="C556" s="110"/>
      <c r="D556" s="110"/>
      <c r="E556" s="110"/>
      <c r="F556" s="110"/>
      <c r="G556" s="110"/>
      <c r="H556" s="110"/>
      <c r="I556" s="110"/>
      <c r="J556" s="344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spans="1:26" ht="15.75" customHeight="1">
      <c r="A557" s="110"/>
      <c r="B557" s="427"/>
      <c r="C557" s="110"/>
      <c r="D557" s="110"/>
      <c r="E557" s="110"/>
      <c r="F557" s="110"/>
      <c r="G557" s="110"/>
      <c r="H557" s="110"/>
      <c r="I557" s="110"/>
      <c r="J557" s="344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spans="1:26" ht="15.75" customHeight="1">
      <c r="A558" s="110"/>
      <c r="B558" s="427"/>
      <c r="C558" s="110"/>
      <c r="D558" s="110"/>
      <c r="E558" s="110"/>
      <c r="F558" s="110"/>
      <c r="G558" s="110"/>
      <c r="H558" s="110"/>
      <c r="I558" s="110"/>
      <c r="J558" s="344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spans="1:26" ht="15.75" customHeight="1">
      <c r="A559" s="110"/>
      <c r="B559" s="427"/>
      <c r="C559" s="110"/>
      <c r="D559" s="110"/>
      <c r="E559" s="110"/>
      <c r="F559" s="110"/>
      <c r="G559" s="110"/>
      <c r="H559" s="110"/>
      <c r="I559" s="110"/>
      <c r="J559" s="344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spans="1:26" ht="15.75" customHeight="1">
      <c r="A560" s="110"/>
      <c r="B560" s="427"/>
      <c r="C560" s="110"/>
      <c r="D560" s="110"/>
      <c r="E560" s="110"/>
      <c r="F560" s="110"/>
      <c r="G560" s="110"/>
      <c r="H560" s="110"/>
      <c r="I560" s="110"/>
      <c r="J560" s="344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spans="1:26" ht="15.75" customHeight="1">
      <c r="A561" s="110"/>
      <c r="B561" s="427"/>
      <c r="C561" s="110"/>
      <c r="D561" s="110"/>
      <c r="E561" s="110"/>
      <c r="F561" s="110"/>
      <c r="G561" s="110"/>
      <c r="H561" s="110"/>
      <c r="I561" s="110"/>
      <c r="J561" s="344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spans="1:26" ht="15.75" customHeight="1">
      <c r="A562" s="110"/>
      <c r="B562" s="427"/>
      <c r="C562" s="110"/>
      <c r="D562" s="110"/>
      <c r="E562" s="110"/>
      <c r="F562" s="110"/>
      <c r="G562" s="110"/>
      <c r="H562" s="110"/>
      <c r="I562" s="110"/>
      <c r="J562" s="344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spans="1:26" ht="15.75" customHeight="1">
      <c r="A563" s="110"/>
      <c r="B563" s="427"/>
      <c r="C563" s="110"/>
      <c r="D563" s="110"/>
      <c r="E563" s="110"/>
      <c r="F563" s="110"/>
      <c r="G563" s="110"/>
      <c r="H563" s="110"/>
      <c r="I563" s="110"/>
      <c r="J563" s="344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spans="1:26" ht="15.75" customHeight="1">
      <c r="A564" s="110"/>
      <c r="B564" s="427"/>
      <c r="C564" s="110"/>
      <c r="D564" s="110"/>
      <c r="E564" s="110"/>
      <c r="F564" s="110"/>
      <c r="G564" s="110"/>
      <c r="H564" s="110"/>
      <c r="I564" s="110"/>
      <c r="J564" s="344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spans="1:26" ht="15.75" customHeight="1">
      <c r="A565" s="110"/>
      <c r="B565" s="427"/>
      <c r="C565" s="110"/>
      <c r="D565" s="110"/>
      <c r="E565" s="110"/>
      <c r="F565" s="110"/>
      <c r="G565" s="110"/>
      <c r="H565" s="110"/>
      <c r="I565" s="110"/>
      <c r="J565" s="344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spans="1:26" ht="15.75" customHeight="1">
      <c r="A566" s="110"/>
      <c r="B566" s="427"/>
      <c r="C566" s="110"/>
      <c r="D566" s="110"/>
      <c r="E566" s="110"/>
      <c r="F566" s="110"/>
      <c r="G566" s="110"/>
      <c r="H566" s="110"/>
      <c r="I566" s="110"/>
      <c r="J566" s="344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spans="1:26" ht="15.75" customHeight="1">
      <c r="A567" s="110"/>
      <c r="B567" s="427"/>
      <c r="C567" s="110"/>
      <c r="D567" s="110"/>
      <c r="E567" s="110"/>
      <c r="F567" s="110"/>
      <c r="G567" s="110"/>
      <c r="H567" s="110"/>
      <c r="I567" s="110"/>
      <c r="J567" s="344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spans="1:26" ht="15.75" customHeight="1">
      <c r="A568" s="110"/>
      <c r="B568" s="427"/>
      <c r="C568" s="110"/>
      <c r="D568" s="110"/>
      <c r="E568" s="110"/>
      <c r="F568" s="110"/>
      <c r="G568" s="110"/>
      <c r="H568" s="110"/>
      <c r="I568" s="110"/>
      <c r="J568" s="344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spans="1:26" ht="15.75" customHeight="1">
      <c r="A569" s="110"/>
      <c r="B569" s="427"/>
      <c r="C569" s="110"/>
      <c r="D569" s="110"/>
      <c r="E569" s="110"/>
      <c r="F569" s="110"/>
      <c r="G569" s="110"/>
      <c r="H569" s="110"/>
      <c r="I569" s="110"/>
      <c r="J569" s="344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spans="1:26" ht="15.75" customHeight="1">
      <c r="A570" s="110"/>
      <c r="B570" s="427"/>
      <c r="C570" s="110"/>
      <c r="D570" s="110"/>
      <c r="E570" s="110"/>
      <c r="F570" s="110"/>
      <c r="G570" s="110"/>
      <c r="H570" s="110"/>
      <c r="I570" s="110"/>
      <c r="J570" s="344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spans="1:26" ht="15.75" customHeight="1">
      <c r="A571" s="110"/>
      <c r="B571" s="427"/>
      <c r="C571" s="110"/>
      <c r="D571" s="110"/>
      <c r="E571" s="110"/>
      <c r="F571" s="110"/>
      <c r="G571" s="110"/>
      <c r="H571" s="110"/>
      <c r="I571" s="110"/>
      <c r="J571" s="344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spans="1:26" ht="15.75" customHeight="1">
      <c r="A572" s="110"/>
      <c r="B572" s="427"/>
      <c r="C572" s="110"/>
      <c r="D572" s="110"/>
      <c r="E572" s="110"/>
      <c r="F572" s="110"/>
      <c r="G572" s="110"/>
      <c r="H572" s="110"/>
      <c r="I572" s="110"/>
      <c r="J572" s="344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spans="1:26" ht="15.75" customHeight="1">
      <c r="A573" s="110"/>
      <c r="B573" s="427"/>
      <c r="C573" s="110"/>
      <c r="D573" s="110"/>
      <c r="E573" s="110"/>
      <c r="F573" s="110"/>
      <c r="G573" s="110"/>
      <c r="H573" s="110"/>
      <c r="I573" s="110"/>
      <c r="J573" s="344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spans="1:26" ht="15.75" customHeight="1">
      <c r="A574" s="110"/>
      <c r="B574" s="427"/>
      <c r="C574" s="110"/>
      <c r="D574" s="110"/>
      <c r="E574" s="110"/>
      <c r="F574" s="110"/>
      <c r="G574" s="110"/>
      <c r="H574" s="110"/>
      <c r="I574" s="110"/>
      <c r="J574" s="344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spans="1:26" ht="15.75" customHeight="1">
      <c r="A575" s="110"/>
      <c r="B575" s="427"/>
      <c r="C575" s="110"/>
      <c r="D575" s="110"/>
      <c r="E575" s="110"/>
      <c r="F575" s="110"/>
      <c r="G575" s="110"/>
      <c r="H575" s="110"/>
      <c r="I575" s="110"/>
      <c r="J575" s="344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spans="1:26" ht="15.75" customHeight="1">
      <c r="A576" s="110"/>
      <c r="B576" s="427"/>
      <c r="C576" s="110"/>
      <c r="D576" s="110"/>
      <c r="E576" s="110"/>
      <c r="F576" s="110"/>
      <c r="G576" s="110"/>
      <c r="H576" s="110"/>
      <c r="I576" s="110"/>
      <c r="J576" s="344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spans="1:26" ht="15.75" customHeight="1">
      <c r="A577" s="110"/>
      <c r="B577" s="427"/>
      <c r="C577" s="110"/>
      <c r="D577" s="110"/>
      <c r="E577" s="110"/>
      <c r="F577" s="110"/>
      <c r="G577" s="110"/>
      <c r="H577" s="110"/>
      <c r="I577" s="110"/>
      <c r="J577" s="344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spans="1:26" ht="15.75" customHeight="1">
      <c r="A578" s="110"/>
      <c r="B578" s="427"/>
      <c r="C578" s="110"/>
      <c r="D578" s="110"/>
      <c r="E578" s="110"/>
      <c r="F578" s="110"/>
      <c r="G578" s="110"/>
      <c r="H578" s="110"/>
      <c r="I578" s="110"/>
      <c r="J578" s="344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spans="1:26" ht="15.75" customHeight="1">
      <c r="A579" s="110"/>
      <c r="B579" s="427"/>
      <c r="C579" s="110"/>
      <c r="D579" s="110"/>
      <c r="E579" s="110"/>
      <c r="F579" s="110"/>
      <c r="G579" s="110"/>
      <c r="H579" s="110"/>
      <c r="I579" s="110"/>
      <c r="J579" s="344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spans="1:26" ht="15.75" customHeight="1">
      <c r="A580" s="110"/>
      <c r="B580" s="427"/>
      <c r="C580" s="110"/>
      <c r="D580" s="110"/>
      <c r="E580" s="110"/>
      <c r="F580" s="110"/>
      <c r="G580" s="110"/>
      <c r="H580" s="110"/>
      <c r="I580" s="110"/>
      <c r="J580" s="344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spans="1:26" ht="15.75" customHeight="1">
      <c r="A581" s="110"/>
      <c r="B581" s="427"/>
      <c r="C581" s="110"/>
      <c r="D581" s="110"/>
      <c r="E581" s="110"/>
      <c r="F581" s="110"/>
      <c r="G581" s="110"/>
      <c r="H581" s="110"/>
      <c r="I581" s="110"/>
      <c r="J581" s="344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spans="1:26" ht="15.75" customHeight="1">
      <c r="A582" s="110"/>
      <c r="B582" s="427"/>
      <c r="C582" s="110"/>
      <c r="D582" s="110"/>
      <c r="E582" s="110"/>
      <c r="F582" s="110"/>
      <c r="G582" s="110"/>
      <c r="H582" s="110"/>
      <c r="I582" s="110"/>
      <c r="J582" s="344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spans="1:26" ht="15.75" customHeight="1">
      <c r="A583" s="110"/>
      <c r="B583" s="427"/>
      <c r="C583" s="110"/>
      <c r="D583" s="110"/>
      <c r="E583" s="110"/>
      <c r="F583" s="110"/>
      <c r="G583" s="110"/>
      <c r="H583" s="110"/>
      <c r="I583" s="110"/>
      <c r="J583" s="344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spans="1:26" ht="15.75" customHeight="1">
      <c r="A584" s="110"/>
      <c r="B584" s="427"/>
      <c r="C584" s="110"/>
      <c r="D584" s="110"/>
      <c r="E584" s="110"/>
      <c r="F584" s="110"/>
      <c r="G584" s="110"/>
      <c r="H584" s="110"/>
      <c r="I584" s="110"/>
      <c r="J584" s="344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spans="1:26" ht="15.75" customHeight="1">
      <c r="A585" s="110"/>
      <c r="B585" s="427"/>
      <c r="C585" s="110"/>
      <c r="D585" s="110"/>
      <c r="E585" s="110"/>
      <c r="F585" s="110"/>
      <c r="G585" s="110"/>
      <c r="H585" s="110"/>
      <c r="I585" s="110"/>
      <c r="J585" s="344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spans="1:26" ht="15.75" customHeight="1">
      <c r="A586" s="110"/>
      <c r="B586" s="427"/>
      <c r="C586" s="110"/>
      <c r="D586" s="110"/>
      <c r="E586" s="110"/>
      <c r="F586" s="110"/>
      <c r="G586" s="110"/>
      <c r="H586" s="110"/>
      <c r="I586" s="110"/>
      <c r="J586" s="344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spans="1:26" ht="15.75" customHeight="1">
      <c r="A587" s="110"/>
      <c r="B587" s="427"/>
      <c r="C587" s="110"/>
      <c r="D587" s="110"/>
      <c r="E587" s="110"/>
      <c r="F587" s="110"/>
      <c r="G587" s="110"/>
      <c r="H587" s="110"/>
      <c r="I587" s="110"/>
      <c r="J587" s="344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spans="1:26" ht="15.75" customHeight="1">
      <c r="A588" s="110"/>
      <c r="B588" s="427"/>
      <c r="C588" s="110"/>
      <c r="D588" s="110"/>
      <c r="E588" s="110"/>
      <c r="F588" s="110"/>
      <c r="G588" s="110"/>
      <c r="H588" s="110"/>
      <c r="I588" s="110"/>
      <c r="J588" s="344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spans="1:26" ht="15.75" customHeight="1">
      <c r="A589" s="110"/>
      <c r="B589" s="427"/>
      <c r="C589" s="110"/>
      <c r="D589" s="110"/>
      <c r="E589" s="110"/>
      <c r="F589" s="110"/>
      <c r="G589" s="110"/>
      <c r="H589" s="110"/>
      <c r="I589" s="110"/>
      <c r="J589" s="344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spans="1:26" ht="15.75" customHeight="1">
      <c r="A590" s="110"/>
      <c r="B590" s="427"/>
      <c r="C590" s="110"/>
      <c r="D590" s="110"/>
      <c r="E590" s="110"/>
      <c r="F590" s="110"/>
      <c r="G590" s="110"/>
      <c r="H590" s="110"/>
      <c r="I590" s="110"/>
      <c r="J590" s="344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spans="1:26" ht="15.75" customHeight="1">
      <c r="A591" s="110"/>
      <c r="B591" s="427"/>
      <c r="C591" s="110"/>
      <c r="D591" s="110"/>
      <c r="E591" s="110"/>
      <c r="F591" s="110"/>
      <c r="G591" s="110"/>
      <c r="H591" s="110"/>
      <c r="I591" s="110"/>
      <c r="J591" s="344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spans="1:26" ht="15.75" customHeight="1">
      <c r="A592" s="110"/>
      <c r="B592" s="427"/>
      <c r="C592" s="110"/>
      <c r="D592" s="110"/>
      <c r="E592" s="110"/>
      <c r="F592" s="110"/>
      <c r="G592" s="110"/>
      <c r="H592" s="110"/>
      <c r="I592" s="110"/>
      <c r="J592" s="344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spans="1:26" ht="15.75" customHeight="1">
      <c r="A593" s="110"/>
      <c r="B593" s="427"/>
      <c r="C593" s="110"/>
      <c r="D593" s="110"/>
      <c r="E593" s="110"/>
      <c r="F593" s="110"/>
      <c r="G593" s="110"/>
      <c r="H593" s="110"/>
      <c r="I593" s="110"/>
      <c r="J593" s="344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spans="1:26" ht="15.75" customHeight="1">
      <c r="A594" s="110"/>
      <c r="B594" s="427"/>
      <c r="C594" s="110"/>
      <c r="D594" s="110"/>
      <c r="E594" s="110"/>
      <c r="F594" s="110"/>
      <c r="G594" s="110"/>
      <c r="H594" s="110"/>
      <c r="I594" s="110"/>
      <c r="J594" s="344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spans="1:26" ht="15.75" customHeight="1">
      <c r="A595" s="110"/>
      <c r="B595" s="427"/>
      <c r="C595" s="110"/>
      <c r="D595" s="110"/>
      <c r="E595" s="110"/>
      <c r="F595" s="110"/>
      <c r="G595" s="110"/>
      <c r="H595" s="110"/>
      <c r="I595" s="110"/>
      <c r="J595" s="344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spans="1:26" ht="15.75" customHeight="1">
      <c r="A596" s="110"/>
      <c r="B596" s="427"/>
      <c r="C596" s="110"/>
      <c r="D596" s="110"/>
      <c r="E596" s="110"/>
      <c r="F596" s="110"/>
      <c r="G596" s="110"/>
      <c r="H596" s="110"/>
      <c r="I596" s="110"/>
      <c r="J596" s="344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spans="1:26" ht="15.75" customHeight="1">
      <c r="A597" s="110"/>
      <c r="B597" s="427"/>
      <c r="C597" s="110"/>
      <c r="D597" s="110"/>
      <c r="E597" s="110"/>
      <c r="F597" s="110"/>
      <c r="G597" s="110"/>
      <c r="H597" s="110"/>
      <c r="I597" s="110"/>
      <c r="J597" s="344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spans="1:26" ht="15.75" customHeight="1">
      <c r="A598" s="110"/>
      <c r="B598" s="427"/>
      <c r="C598" s="110"/>
      <c r="D598" s="110"/>
      <c r="E598" s="110"/>
      <c r="F598" s="110"/>
      <c r="G598" s="110"/>
      <c r="H598" s="110"/>
      <c r="I598" s="110"/>
      <c r="J598" s="344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spans="1:26" ht="15.75" customHeight="1">
      <c r="A599" s="110"/>
      <c r="B599" s="427"/>
      <c r="C599" s="110"/>
      <c r="D599" s="110"/>
      <c r="E599" s="110"/>
      <c r="F599" s="110"/>
      <c r="G599" s="110"/>
      <c r="H599" s="110"/>
      <c r="I599" s="110"/>
      <c r="J599" s="344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spans="1:26" ht="15.75" customHeight="1">
      <c r="A600" s="110"/>
      <c r="B600" s="427"/>
      <c r="C600" s="110"/>
      <c r="D600" s="110"/>
      <c r="E600" s="110"/>
      <c r="F600" s="110"/>
      <c r="G600" s="110"/>
      <c r="H600" s="110"/>
      <c r="I600" s="110"/>
      <c r="J600" s="344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spans="1:26" ht="15.75" customHeight="1">
      <c r="A601" s="110"/>
      <c r="B601" s="427"/>
      <c r="C601" s="110"/>
      <c r="D601" s="110"/>
      <c r="E601" s="110"/>
      <c r="F601" s="110"/>
      <c r="G601" s="110"/>
      <c r="H601" s="110"/>
      <c r="I601" s="110"/>
      <c r="J601" s="344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spans="1:26" ht="15.75" customHeight="1">
      <c r="A602" s="110"/>
      <c r="B602" s="427"/>
      <c r="C602" s="110"/>
      <c r="D602" s="110"/>
      <c r="E602" s="110"/>
      <c r="F602" s="110"/>
      <c r="G602" s="110"/>
      <c r="H602" s="110"/>
      <c r="I602" s="110"/>
      <c r="J602" s="344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spans="1:26" ht="15.75" customHeight="1">
      <c r="A603" s="110"/>
      <c r="B603" s="427"/>
      <c r="C603" s="110"/>
      <c r="D603" s="110"/>
      <c r="E603" s="110"/>
      <c r="F603" s="110"/>
      <c r="G603" s="110"/>
      <c r="H603" s="110"/>
      <c r="I603" s="110"/>
      <c r="J603" s="344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spans="1:26" ht="15.75" customHeight="1">
      <c r="A604" s="110"/>
      <c r="B604" s="427"/>
      <c r="C604" s="110"/>
      <c r="D604" s="110"/>
      <c r="E604" s="110"/>
      <c r="F604" s="110"/>
      <c r="G604" s="110"/>
      <c r="H604" s="110"/>
      <c r="I604" s="110"/>
      <c r="J604" s="344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spans="1:26" ht="15.75" customHeight="1">
      <c r="A605" s="110"/>
      <c r="B605" s="427"/>
      <c r="C605" s="110"/>
      <c r="D605" s="110"/>
      <c r="E605" s="110"/>
      <c r="F605" s="110"/>
      <c r="G605" s="110"/>
      <c r="H605" s="110"/>
      <c r="I605" s="110"/>
      <c r="J605" s="344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spans="1:26" ht="15.75" customHeight="1">
      <c r="A606" s="110"/>
      <c r="B606" s="427"/>
      <c r="C606" s="110"/>
      <c r="D606" s="110"/>
      <c r="E606" s="110"/>
      <c r="F606" s="110"/>
      <c r="G606" s="110"/>
      <c r="H606" s="110"/>
      <c r="I606" s="110"/>
      <c r="J606" s="344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spans="1:26" ht="15.75" customHeight="1">
      <c r="A607" s="110"/>
      <c r="B607" s="427"/>
      <c r="C607" s="110"/>
      <c r="D607" s="110"/>
      <c r="E607" s="110"/>
      <c r="F607" s="110"/>
      <c r="G607" s="110"/>
      <c r="H607" s="110"/>
      <c r="I607" s="110"/>
      <c r="J607" s="344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spans="1:26" ht="15.75" customHeight="1">
      <c r="A608" s="110"/>
      <c r="B608" s="427"/>
      <c r="C608" s="110"/>
      <c r="D608" s="110"/>
      <c r="E608" s="110"/>
      <c r="F608" s="110"/>
      <c r="G608" s="110"/>
      <c r="H608" s="110"/>
      <c r="I608" s="110"/>
      <c r="J608" s="344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spans="1:26" ht="15.75" customHeight="1">
      <c r="A609" s="110"/>
      <c r="B609" s="427"/>
      <c r="C609" s="110"/>
      <c r="D609" s="110"/>
      <c r="E609" s="110"/>
      <c r="F609" s="110"/>
      <c r="G609" s="110"/>
      <c r="H609" s="110"/>
      <c r="I609" s="110"/>
      <c r="J609" s="344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spans="1:26" ht="15.75" customHeight="1">
      <c r="A610" s="110"/>
      <c r="B610" s="427"/>
      <c r="C610" s="110"/>
      <c r="D610" s="110"/>
      <c r="E610" s="110"/>
      <c r="F610" s="110"/>
      <c r="G610" s="110"/>
      <c r="H610" s="110"/>
      <c r="I610" s="110"/>
      <c r="J610" s="344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spans="1:26" ht="15.75" customHeight="1">
      <c r="A611" s="110"/>
      <c r="B611" s="427"/>
      <c r="C611" s="110"/>
      <c r="D611" s="110"/>
      <c r="E611" s="110"/>
      <c r="F611" s="110"/>
      <c r="G611" s="110"/>
      <c r="H611" s="110"/>
      <c r="I611" s="110"/>
      <c r="J611" s="344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spans="1:26" ht="15.75" customHeight="1">
      <c r="A612" s="110"/>
      <c r="B612" s="427"/>
      <c r="C612" s="110"/>
      <c r="D612" s="110"/>
      <c r="E612" s="110"/>
      <c r="F612" s="110"/>
      <c r="G612" s="110"/>
      <c r="H612" s="110"/>
      <c r="I612" s="110"/>
      <c r="J612" s="344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spans="1:26" ht="15.75" customHeight="1">
      <c r="A613" s="110"/>
      <c r="B613" s="427"/>
      <c r="C613" s="110"/>
      <c r="D613" s="110"/>
      <c r="E613" s="110"/>
      <c r="F613" s="110"/>
      <c r="G613" s="110"/>
      <c r="H613" s="110"/>
      <c r="I613" s="110"/>
      <c r="J613" s="344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spans="1:26" ht="15.75" customHeight="1">
      <c r="A614" s="110"/>
      <c r="B614" s="427"/>
      <c r="C614" s="110"/>
      <c r="D614" s="110"/>
      <c r="E614" s="110"/>
      <c r="F614" s="110"/>
      <c r="G614" s="110"/>
      <c r="H614" s="110"/>
      <c r="I614" s="110"/>
      <c r="J614" s="344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spans="1:26" ht="15.75" customHeight="1">
      <c r="A615" s="110"/>
      <c r="B615" s="427"/>
      <c r="C615" s="110"/>
      <c r="D615" s="110"/>
      <c r="E615" s="110"/>
      <c r="F615" s="110"/>
      <c r="G615" s="110"/>
      <c r="H615" s="110"/>
      <c r="I615" s="110"/>
      <c r="J615" s="344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spans="1:26" ht="15.75" customHeight="1">
      <c r="A616" s="110"/>
      <c r="B616" s="427"/>
      <c r="C616" s="110"/>
      <c r="D616" s="110"/>
      <c r="E616" s="110"/>
      <c r="F616" s="110"/>
      <c r="G616" s="110"/>
      <c r="H616" s="110"/>
      <c r="I616" s="110"/>
      <c r="J616" s="344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spans="1:26" ht="15.75" customHeight="1">
      <c r="A617" s="110"/>
      <c r="B617" s="427"/>
      <c r="C617" s="110"/>
      <c r="D617" s="110"/>
      <c r="E617" s="110"/>
      <c r="F617" s="110"/>
      <c r="G617" s="110"/>
      <c r="H617" s="110"/>
      <c r="I617" s="110"/>
      <c r="J617" s="344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spans="1:26" ht="15.75" customHeight="1">
      <c r="A618" s="110"/>
      <c r="B618" s="427"/>
      <c r="C618" s="110"/>
      <c r="D618" s="110"/>
      <c r="E618" s="110"/>
      <c r="F618" s="110"/>
      <c r="G618" s="110"/>
      <c r="H618" s="110"/>
      <c r="I618" s="110"/>
      <c r="J618" s="344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spans="1:26" ht="15.75" customHeight="1">
      <c r="A619" s="110"/>
      <c r="B619" s="427"/>
      <c r="C619" s="110"/>
      <c r="D619" s="110"/>
      <c r="E619" s="110"/>
      <c r="F619" s="110"/>
      <c r="G619" s="110"/>
      <c r="H619" s="110"/>
      <c r="I619" s="110"/>
      <c r="J619" s="344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spans="1:26" ht="15.75" customHeight="1">
      <c r="A620" s="110"/>
      <c r="B620" s="427"/>
      <c r="C620" s="110"/>
      <c r="D620" s="110"/>
      <c r="E620" s="110"/>
      <c r="F620" s="110"/>
      <c r="G620" s="110"/>
      <c r="H620" s="110"/>
      <c r="I620" s="110"/>
      <c r="J620" s="344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spans="1:26" ht="15.75" customHeight="1">
      <c r="A621" s="110"/>
      <c r="B621" s="427"/>
      <c r="C621" s="110"/>
      <c r="D621" s="110"/>
      <c r="E621" s="110"/>
      <c r="F621" s="110"/>
      <c r="G621" s="110"/>
      <c r="H621" s="110"/>
      <c r="I621" s="110"/>
      <c r="J621" s="344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spans="1:26" ht="15.75" customHeight="1">
      <c r="A622" s="110"/>
      <c r="B622" s="427"/>
      <c r="C622" s="110"/>
      <c r="D622" s="110"/>
      <c r="E622" s="110"/>
      <c r="F622" s="110"/>
      <c r="G622" s="110"/>
      <c r="H622" s="110"/>
      <c r="I622" s="110"/>
      <c r="J622" s="344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spans="1:26" ht="15.75" customHeight="1">
      <c r="A623" s="110"/>
      <c r="B623" s="427"/>
      <c r="C623" s="110"/>
      <c r="D623" s="110"/>
      <c r="E623" s="110"/>
      <c r="F623" s="110"/>
      <c r="G623" s="110"/>
      <c r="H623" s="110"/>
      <c r="I623" s="110"/>
      <c r="J623" s="344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spans="1:26" ht="15.75" customHeight="1">
      <c r="A624" s="110"/>
      <c r="B624" s="427"/>
      <c r="C624" s="110"/>
      <c r="D624" s="110"/>
      <c r="E624" s="110"/>
      <c r="F624" s="110"/>
      <c r="G624" s="110"/>
      <c r="H624" s="110"/>
      <c r="I624" s="110"/>
      <c r="J624" s="344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spans="1:26" ht="15.75" customHeight="1">
      <c r="A625" s="110"/>
      <c r="B625" s="427"/>
      <c r="C625" s="110"/>
      <c r="D625" s="110"/>
      <c r="E625" s="110"/>
      <c r="F625" s="110"/>
      <c r="G625" s="110"/>
      <c r="H625" s="110"/>
      <c r="I625" s="110"/>
      <c r="J625" s="344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spans="1:26" ht="15.75" customHeight="1">
      <c r="A626" s="110"/>
      <c r="B626" s="427"/>
      <c r="C626" s="110"/>
      <c r="D626" s="110"/>
      <c r="E626" s="110"/>
      <c r="F626" s="110"/>
      <c r="G626" s="110"/>
      <c r="H626" s="110"/>
      <c r="I626" s="110"/>
      <c r="J626" s="344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spans="1:26" ht="15.75" customHeight="1">
      <c r="A627" s="110"/>
      <c r="B627" s="427"/>
      <c r="C627" s="110"/>
      <c r="D627" s="110"/>
      <c r="E627" s="110"/>
      <c r="F627" s="110"/>
      <c r="G627" s="110"/>
      <c r="H627" s="110"/>
      <c r="I627" s="110"/>
      <c r="J627" s="344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spans="1:26" ht="15.75" customHeight="1">
      <c r="A628" s="110"/>
      <c r="B628" s="427"/>
      <c r="C628" s="110"/>
      <c r="D628" s="110"/>
      <c r="E628" s="110"/>
      <c r="F628" s="110"/>
      <c r="G628" s="110"/>
      <c r="H628" s="110"/>
      <c r="I628" s="110"/>
      <c r="J628" s="344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spans="1:26" ht="15.75" customHeight="1">
      <c r="A629" s="110"/>
      <c r="B629" s="427"/>
      <c r="C629" s="110"/>
      <c r="D629" s="110"/>
      <c r="E629" s="110"/>
      <c r="F629" s="110"/>
      <c r="G629" s="110"/>
      <c r="H629" s="110"/>
      <c r="I629" s="110"/>
      <c r="J629" s="344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spans="1:26" ht="15.75" customHeight="1">
      <c r="A630" s="110"/>
      <c r="B630" s="427"/>
      <c r="C630" s="110"/>
      <c r="D630" s="110"/>
      <c r="E630" s="110"/>
      <c r="F630" s="110"/>
      <c r="G630" s="110"/>
      <c r="H630" s="110"/>
      <c r="I630" s="110"/>
      <c r="J630" s="344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spans="1:26" ht="15.75" customHeight="1">
      <c r="A631" s="110"/>
      <c r="B631" s="427"/>
      <c r="C631" s="110"/>
      <c r="D631" s="110"/>
      <c r="E631" s="110"/>
      <c r="F631" s="110"/>
      <c r="G631" s="110"/>
      <c r="H631" s="110"/>
      <c r="I631" s="110"/>
      <c r="J631" s="344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spans="1:26" ht="15.75" customHeight="1">
      <c r="A632" s="110"/>
      <c r="B632" s="427"/>
      <c r="C632" s="110"/>
      <c r="D632" s="110"/>
      <c r="E632" s="110"/>
      <c r="F632" s="110"/>
      <c r="G632" s="110"/>
      <c r="H632" s="110"/>
      <c r="I632" s="110"/>
      <c r="J632" s="344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spans="1:26" ht="15.75" customHeight="1">
      <c r="A633" s="110"/>
      <c r="B633" s="427"/>
      <c r="C633" s="110"/>
      <c r="D633" s="110"/>
      <c r="E633" s="110"/>
      <c r="F633" s="110"/>
      <c r="G633" s="110"/>
      <c r="H633" s="110"/>
      <c r="I633" s="110"/>
      <c r="J633" s="344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spans="1:26" ht="15.75" customHeight="1">
      <c r="A634" s="110"/>
      <c r="B634" s="427"/>
      <c r="C634" s="110"/>
      <c r="D634" s="110"/>
      <c r="E634" s="110"/>
      <c r="F634" s="110"/>
      <c r="G634" s="110"/>
      <c r="H634" s="110"/>
      <c r="I634" s="110"/>
      <c r="J634" s="344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spans="1:26" ht="15.75" customHeight="1">
      <c r="A635" s="110"/>
      <c r="B635" s="427"/>
      <c r="C635" s="110"/>
      <c r="D635" s="110"/>
      <c r="E635" s="110"/>
      <c r="F635" s="110"/>
      <c r="G635" s="110"/>
      <c r="H635" s="110"/>
      <c r="I635" s="110"/>
      <c r="J635" s="344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spans="1:26" ht="15.75" customHeight="1">
      <c r="A636" s="110"/>
      <c r="B636" s="427"/>
      <c r="C636" s="110"/>
      <c r="D636" s="110"/>
      <c r="E636" s="110"/>
      <c r="F636" s="110"/>
      <c r="G636" s="110"/>
      <c r="H636" s="110"/>
      <c r="I636" s="110"/>
      <c r="J636" s="344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spans="1:26" ht="15.75" customHeight="1">
      <c r="A637" s="110"/>
      <c r="B637" s="427"/>
      <c r="C637" s="110"/>
      <c r="D637" s="110"/>
      <c r="E637" s="110"/>
      <c r="F637" s="110"/>
      <c r="G637" s="110"/>
      <c r="H637" s="110"/>
      <c r="I637" s="110"/>
      <c r="J637" s="344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spans="1:26" ht="15.75" customHeight="1">
      <c r="A638" s="110"/>
      <c r="B638" s="427"/>
      <c r="C638" s="110"/>
      <c r="D638" s="110"/>
      <c r="E638" s="110"/>
      <c r="F638" s="110"/>
      <c r="G638" s="110"/>
      <c r="H638" s="110"/>
      <c r="I638" s="110"/>
      <c r="J638" s="344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spans="1:26" ht="15.75" customHeight="1">
      <c r="A639" s="110"/>
      <c r="B639" s="427"/>
      <c r="C639" s="110"/>
      <c r="D639" s="110"/>
      <c r="E639" s="110"/>
      <c r="F639" s="110"/>
      <c r="G639" s="110"/>
      <c r="H639" s="110"/>
      <c r="I639" s="110"/>
      <c r="J639" s="344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spans="1:26" ht="15.75" customHeight="1">
      <c r="A640" s="110"/>
      <c r="B640" s="427"/>
      <c r="C640" s="110"/>
      <c r="D640" s="110"/>
      <c r="E640" s="110"/>
      <c r="F640" s="110"/>
      <c r="G640" s="110"/>
      <c r="H640" s="110"/>
      <c r="I640" s="110"/>
      <c r="J640" s="344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spans="1:26" ht="15.75" customHeight="1">
      <c r="A641" s="110"/>
      <c r="B641" s="427"/>
      <c r="C641" s="110"/>
      <c r="D641" s="110"/>
      <c r="E641" s="110"/>
      <c r="F641" s="110"/>
      <c r="G641" s="110"/>
      <c r="H641" s="110"/>
      <c r="I641" s="110"/>
      <c r="J641" s="344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spans="1:26" ht="15.75" customHeight="1">
      <c r="A642" s="110"/>
      <c r="B642" s="427"/>
      <c r="C642" s="110"/>
      <c r="D642" s="110"/>
      <c r="E642" s="110"/>
      <c r="F642" s="110"/>
      <c r="G642" s="110"/>
      <c r="H642" s="110"/>
      <c r="I642" s="110"/>
      <c r="J642" s="344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spans="1:26" ht="15.75" customHeight="1">
      <c r="A643" s="110"/>
      <c r="B643" s="427"/>
      <c r="C643" s="110"/>
      <c r="D643" s="110"/>
      <c r="E643" s="110"/>
      <c r="F643" s="110"/>
      <c r="G643" s="110"/>
      <c r="H643" s="110"/>
      <c r="I643" s="110"/>
      <c r="J643" s="344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spans="1:26" ht="15.75" customHeight="1">
      <c r="A644" s="110"/>
      <c r="B644" s="427"/>
      <c r="C644" s="110"/>
      <c r="D644" s="110"/>
      <c r="E644" s="110"/>
      <c r="F644" s="110"/>
      <c r="G644" s="110"/>
      <c r="H644" s="110"/>
      <c r="I644" s="110"/>
      <c r="J644" s="344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spans="1:26" ht="15.75" customHeight="1">
      <c r="A645" s="110"/>
      <c r="B645" s="427"/>
      <c r="C645" s="110"/>
      <c r="D645" s="110"/>
      <c r="E645" s="110"/>
      <c r="F645" s="110"/>
      <c r="G645" s="110"/>
      <c r="H645" s="110"/>
      <c r="I645" s="110"/>
      <c r="J645" s="344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spans="1:26" ht="15.75" customHeight="1">
      <c r="A646" s="110"/>
      <c r="B646" s="427"/>
      <c r="C646" s="110"/>
      <c r="D646" s="110"/>
      <c r="E646" s="110"/>
      <c r="F646" s="110"/>
      <c r="G646" s="110"/>
      <c r="H646" s="110"/>
      <c r="I646" s="110"/>
      <c r="J646" s="344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spans="1:26" ht="15.75" customHeight="1">
      <c r="A647" s="110"/>
      <c r="B647" s="427"/>
      <c r="C647" s="110"/>
      <c r="D647" s="110"/>
      <c r="E647" s="110"/>
      <c r="F647" s="110"/>
      <c r="G647" s="110"/>
      <c r="H647" s="110"/>
      <c r="I647" s="110"/>
      <c r="J647" s="344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spans="1:26" ht="15.75" customHeight="1">
      <c r="A648" s="110"/>
      <c r="B648" s="427"/>
      <c r="C648" s="110"/>
      <c r="D648" s="110"/>
      <c r="E648" s="110"/>
      <c r="F648" s="110"/>
      <c r="G648" s="110"/>
      <c r="H648" s="110"/>
      <c r="I648" s="110"/>
      <c r="J648" s="344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spans="1:26" ht="15.75" customHeight="1">
      <c r="A649" s="110"/>
      <c r="B649" s="427"/>
      <c r="C649" s="110"/>
      <c r="D649" s="110"/>
      <c r="E649" s="110"/>
      <c r="F649" s="110"/>
      <c r="G649" s="110"/>
      <c r="H649" s="110"/>
      <c r="I649" s="110"/>
      <c r="J649" s="344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spans="1:26" ht="15.75" customHeight="1">
      <c r="A650" s="110"/>
      <c r="B650" s="427"/>
      <c r="C650" s="110"/>
      <c r="D650" s="110"/>
      <c r="E650" s="110"/>
      <c r="F650" s="110"/>
      <c r="G650" s="110"/>
      <c r="H650" s="110"/>
      <c r="I650" s="110"/>
      <c r="J650" s="344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spans="1:26" ht="15.75" customHeight="1">
      <c r="A651" s="110"/>
      <c r="B651" s="427"/>
      <c r="C651" s="110"/>
      <c r="D651" s="110"/>
      <c r="E651" s="110"/>
      <c r="F651" s="110"/>
      <c r="G651" s="110"/>
      <c r="H651" s="110"/>
      <c r="I651" s="110"/>
      <c r="J651" s="344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spans="1:26" ht="15.75" customHeight="1">
      <c r="A652" s="110"/>
      <c r="B652" s="427"/>
      <c r="C652" s="110"/>
      <c r="D652" s="110"/>
      <c r="E652" s="110"/>
      <c r="F652" s="110"/>
      <c r="G652" s="110"/>
      <c r="H652" s="110"/>
      <c r="I652" s="110"/>
      <c r="J652" s="344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spans="1:26" ht="15.75" customHeight="1">
      <c r="A653" s="110"/>
      <c r="B653" s="427"/>
      <c r="C653" s="110"/>
      <c r="D653" s="110"/>
      <c r="E653" s="110"/>
      <c r="F653" s="110"/>
      <c r="G653" s="110"/>
      <c r="H653" s="110"/>
      <c r="I653" s="110"/>
      <c r="J653" s="344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spans="1:26" ht="15.75" customHeight="1">
      <c r="A654" s="110"/>
      <c r="B654" s="427"/>
      <c r="C654" s="110"/>
      <c r="D654" s="110"/>
      <c r="E654" s="110"/>
      <c r="F654" s="110"/>
      <c r="G654" s="110"/>
      <c r="H654" s="110"/>
      <c r="I654" s="110"/>
      <c r="J654" s="344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spans="1:26" ht="15.75" customHeight="1">
      <c r="A655" s="110"/>
      <c r="B655" s="427"/>
      <c r="C655" s="110"/>
      <c r="D655" s="110"/>
      <c r="E655" s="110"/>
      <c r="F655" s="110"/>
      <c r="G655" s="110"/>
      <c r="H655" s="110"/>
      <c r="I655" s="110"/>
      <c r="J655" s="344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spans="1:26" ht="15.75" customHeight="1">
      <c r="A656" s="110"/>
      <c r="B656" s="427"/>
      <c r="C656" s="110"/>
      <c r="D656" s="110"/>
      <c r="E656" s="110"/>
      <c r="F656" s="110"/>
      <c r="G656" s="110"/>
      <c r="H656" s="110"/>
      <c r="I656" s="110"/>
      <c r="J656" s="344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spans="1:26" ht="15.75" customHeight="1">
      <c r="A657" s="110"/>
      <c r="B657" s="427"/>
      <c r="C657" s="110"/>
      <c r="D657" s="110"/>
      <c r="E657" s="110"/>
      <c r="F657" s="110"/>
      <c r="G657" s="110"/>
      <c r="H657" s="110"/>
      <c r="I657" s="110"/>
      <c r="J657" s="344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spans="1:26" ht="15.75" customHeight="1">
      <c r="A658" s="110"/>
      <c r="B658" s="427"/>
      <c r="C658" s="110"/>
      <c r="D658" s="110"/>
      <c r="E658" s="110"/>
      <c r="F658" s="110"/>
      <c r="G658" s="110"/>
      <c r="H658" s="110"/>
      <c r="I658" s="110"/>
      <c r="J658" s="344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spans="1:26" ht="15.75" customHeight="1">
      <c r="A659" s="110"/>
      <c r="B659" s="427"/>
      <c r="C659" s="110"/>
      <c r="D659" s="110"/>
      <c r="E659" s="110"/>
      <c r="F659" s="110"/>
      <c r="G659" s="110"/>
      <c r="H659" s="110"/>
      <c r="I659" s="110"/>
      <c r="J659" s="344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spans="1:26" ht="15.75" customHeight="1">
      <c r="A660" s="110"/>
      <c r="B660" s="427"/>
      <c r="C660" s="110"/>
      <c r="D660" s="110"/>
      <c r="E660" s="110"/>
      <c r="F660" s="110"/>
      <c r="G660" s="110"/>
      <c r="H660" s="110"/>
      <c r="I660" s="110"/>
      <c r="J660" s="344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spans="1:26" ht="15.75" customHeight="1">
      <c r="A661" s="110"/>
      <c r="B661" s="427"/>
      <c r="C661" s="110"/>
      <c r="D661" s="110"/>
      <c r="E661" s="110"/>
      <c r="F661" s="110"/>
      <c r="G661" s="110"/>
      <c r="H661" s="110"/>
      <c r="I661" s="110"/>
      <c r="J661" s="344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spans="1:26" ht="15.75" customHeight="1">
      <c r="A662" s="110"/>
      <c r="B662" s="427"/>
      <c r="C662" s="110"/>
      <c r="D662" s="110"/>
      <c r="E662" s="110"/>
      <c r="F662" s="110"/>
      <c r="G662" s="110"/>
      <c r="H662" s="110"/>
      <c r="I662" s="110"/>
      <c r="J662" s="344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spans="1:26" ht="15.75" customHeight="1">
      <c r="A663" s="110"/>
      <c r="B663" s="427"/>
      <c r="C663" s="110"/>
      <c r="D663" s="110"/>
      <c r="E663" s="110"/>
      <c r="F663" s="110"/>
      <c r="G663" s="110"/>
      <c r="H663" s="110"/>
      <c r="I663" s="110"/>
      <c r="J663" s="344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spans="1:26" ht="15.75" customHeight="1">
      <c r="A664" s="110"/>
      <c r="B664" s="427"/>
      <c r="C664" s="110"/>
      <c r="D664" s="110"/>
      <c r="E664" s="110"/>
      <c r="F664" s="110"/>
      <c r="G664" s="110"/>
      <c r="H664" s="110"/>
      <c r="I664" s="110"/>
      <c r="J664" s="344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spans="1:26" ht="15.75" customHeight="1">
      <c r="A665" s="110"/>
      <c r="B665" s="427"/>
      <c r="C665" s="110"/>
      <c r="D665" s="110"/>
      <c r="E665" s="110"/>
      <c r="F665" s="110"/>
      <c r="G665" s="110"/>
      <c r="H665" s="110"/>
      <c r="I665" s="110"/>
      <c r="J665" s="344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spans="1:26" ht="15.75" customHeight="1">
      <c r="A666" s="110"/>
      <c r="B666" s="427"/>
      <c r="C666" s="110"/>
      <c r="D666" s="110"/>
      <c r="E666" s="110"/>
      <c r="F666" s="110"/>
      <c r="G666" s="110"/>
      <c r="H666" s="110"/>
      <c r="I666" s="110"/>
      <c r="J666" s="344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spans="1:26" ht="15.75" customHeight="1">
      <c r="A667" s="110"/>
      <c r="B667" s="427"/>
      <c r="C667" s="110"/>
      <c r="D667" s="110"/>
      <c r="E667" s="110"/>
      <c r="F667" s="110"/>
      <c r="G667" s="110"/>
      <c r="H667" s="110"/>
      <c r="I667" s="110"/>
      <c r="J667" s="344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spans="1:26" ht="15.75" customHeight="1">
      <c r="A668" s="110"/>
      <c r="B668" s="427"/>
      <c r="C668" s="110"/>
      <c r="D668" s="110"/>
      <c r="E668" s="110"/>
      <c r="F668" s="110"/>
      <c r="G668" s="110"/>
      <c r="H668" s="110"/>
      <c r="I668" s="110"/>
      <c r="J668" s="344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spans="1:26" ht="15.75" customHeight="1">
      <c r="A669" s="110"/>
      <c r="B669" s="427"/>
      <c r="C669" s="110"/>
      <c r="D669" s="110"/>
      <c r="E669" s="110"/>
      <c r="F669" s="110"/>
      <c r="G669" s="110"/>
      <c r="H669" s="110"/>
      <c r="I669" s="110"/>
      <c r="J669" s="344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spans="1:26" ht="15.75" customHeight="1">
      <c r="A670" s="110"/>
      <c r="B670" s="427"/>
      <c r="C670" s="110"/>
      <c r="D670" s="110"/>
      <c r="E670" s="110"/>
      <c r="F670" s="110"/>
      <c r="G670" s="110"/>
      <c r="H670" s="110"/>
      <c r="I670" s="110"/>
      <c r="J670" s="344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spans="1:26" ht="15.75" customHeight="1">
      <c r="A671" s="110"/>
      <c r="B671" s="427"/>
      <c r="C671" s="110"/>
      <c r="D671" s="110"/>
      <c r="E671" s="110"/>
      <c r="F671" s="110"/>
      <c r="G671" s="110"/>
      <c r="H671" s="110"/>
      <c r="I671" s="110"/>
      <c r="J671" s="344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spans="1:26" ht="15.75" customHeight="1">
      <c r="A672" s="110"/>
      <c r="B672" s="427"/>
      <c r="C672" s="110"/>
      <c r="D672" s="110"/>
      <c r="E672" s="110"/>
      <c r="F672" s="110"/>
      <c r="G672" s="110"/>
      <c r="H672" s="110"/>
      <c r="I672" s="110"/>
      <c r="J672" s="344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spans="1:26" ht="15.75" customHeight="1">
      <c r="A673" s="110"/>
      <c r="B673" s="427"/>
      <c r="C673" s="110"/>
      <c r="D673" s="110"/>
      <c r="E673" s="110"/>
      <c r="F673" s="110"/>
      <c r="G673" s="110"/>
      <c r="H673" s="110"/>
      <c r="I673" s="110"/>
      <c r="J673" s="344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spans="1:26" ht="15.75" customHeight="1">
      <c r="A674" s="110"/>
      <c r="B674" s="427"/>
      <c r="C674" s="110"/>
      <c r="D674" s="110"/>
      <c r="E674" s="110"/>
      <c r="F674" s="110"/>
      <c r="G674" s="110"/>
      <c r="H674" s="110"/>
      <c r="I674" s="110"/>
      <c r="J674" s="344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spans="1:26" ht="15.75" customHeight="1">
      <c r="A675" s="110"/>
      <c r="B675" s="427"/>
      <c r="C675" s="110"/>
      <c r="D675" s="110"/>
      <c r="E675" s="110"/>
      <c r="F675" s="110"/>
      <c r="G675" s="110"/>
      <c r="H675" s="110"/>
      <c r="I675" s="110"/>
      <c r="J675" s="344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spans="1:26" ht="15.75" customHeight="1">
      <c r="A676" s="110"/>
      <c r="B676" s="427"/>
      <c r="C676" s="110"/>
      <c r="D676" s="110"/>
      <c r="E676" s="110"/>
      <c r="F676" s="110"/>
      <c r="G676" s="110"/>
      <c r="H676" s="110"/>
      <c r="I676" s="110"/>
      <c r="J676" s="344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spans="1:26" ht="15.75" customHeight="1">
      <c r="A677" s="110"/>
      <c r="B677" s="427"/>
      <c r="C677" s="110"/>
      <c r="D677" s="110"/>
      <c r="E677" s="110"/>
      <c r="F677" s="110"/>
      <c r="G677" s="110"/>
      <c r="H677" s="110"/>
      <c r="I677" s="110"/>
      <c r="J677" s="344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spans="1:26" ht="15.75" customHeight="1">
      <c r="A678" s="110"/>
      <c r="B678" s="427"/>
      <c r="C678" s="110"/>
      <c r="D678" s="110"/>
      <c r="E678" s="110"/>
      <c r="F678" s="110"/>
      <c r="G678" s="110"/>
      <c r="H678" s="110"/>
      <c r="I678" s="110"/>
      <c r="J678" s="344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spans="1:26" ht="15.75" customHeight="1">
      <c r="A679" s="110"/>
      <c r="B679" s="427"/>
      <c r="C679" s="110"/>
      <c r="D679" s="110"/>
      <c r="E679" s="110"/>
      <c r="F679" s="110"/>
      <c r="G679" s="110"/>
      <c r="H679" s="110"/>
      <c r="I679" s="110"/>
      <c r="J679" s="344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spans="1:26" ht="15.75" customHeight="1">
      <c r="A680" s="110"/>
      <c r="B680" s="427"/>
      <c r="C680" s="110"/>
      <c r="D680" s="110"/>
      <c r="E680" s="110"/>
      <c r="F680" s="110"/>
      <c r="G680" s="110"/>
      <c r="H680" s="110"/>
      <c r="I680" s="110"/>
      <c r="J680" s="344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spans="1:26" ht="15.75" customHeight="1">
      <c r="A681" s="110"/>
      <c r="B681" s="427"/>
      <c r="C681" s="110"/>
      <c r="D681" s="110"/>
      <c r="E681" s="110"/>
      <c r="F681" s="110"/>
      <c r="G681" s="110"/>
      <c r="H681" s="110"/>
      <c r="I681" s="110"/>
      <c r="J681" s="344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spans="1:26" ht="15.75" customHeight="1">
      <c r="A682" s="110"/>
      <c r="B682" s="427"/>
      <c r="C682" s="110"/>
      <c r="D682" s="110"/>
      <c r="E682" s="110"/>
      <c r="F682" s="110"/>
      <c r="G682" s="110"/>
      <c r="H682" s="110"/>
      <c r="I682" s="110"/>
      <c r="J682" s="344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spans="1:26" ht="15.75" customHeight="1">
      <c r="A683" s="110"/>
      <c r="B683" s="427"/>
      <c r="C683" s="110"/>
      <c r="D683" s="110"/>
      <c r="E683" s="110"/>
      <c r="F683" s="110"/>
      <c r="G683" s="110"/>
      <c r="H683" s="110"/>
      <c r="I683" s="110"/>
      <c r="J683" s="344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spans="1:26" ht="15.75" customHeight="1">
      <c r="A684" s="110"/>
      <c r="B684" s="427"/>
      <c r="C684" s="110"/>
      <c r="D684" s="110"/>
      <c r="E684" s="110"/>
      <c r="F684" s="110"/>
      <c r="G684" s="110"/>
      <c r="H684" s="110"/>
      <c r="I684" s="110"/>
      <c r="J684" s="344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spans="1:26" ht="15.75" customHeight="1">
      <c r="A685" s="110"/>
      <c r="B685" s="427"/>
      <c r="C685" s="110"/>
      <c r="D685" s="110"/>
      <c r="E685" s="110"/>
      <c r="F685" s="110"/>
      <c r="G685" s="110"/>
      <c r="H685" s="110"/>
      <c r="I685" s="110"/>
      <c r="J685" s="344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spans="1:26" ht="15.75" customHeight="1">
      <c r="A686" s="110"/>
      <c r="B686" s="427"/>
      <c r="C686" s="110"/>
      <c r="D686" s="110"/>
      <c r="E686" s="110"/>
      <c r="F686" s="110"/>
      <c r="G686" s="110"/>
      <c r="H686" s="110"/>
      <c r="I686" s="110"/>
      <c r="J686" s="344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spans="1:26" ht="15.75" customHeight="1">
      <c r="A687" s="110"/>
      <c r="B687" s="427"/>
      <c r="C687" s="110"/>
      <c r="D687" s="110"/>
      <c r="E687" s="110"/>
      <c r="F687" s="110"/>
      <c r="G687" s="110"/>
      <c r="H687" s="110"/>
      <c r="I687" s="110"/>
      <c r="J687" s="344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spans="1:26" ht="15.75" customHeight="1">
      <c r="A688" s="110"/>
      <c r="B688" s="427"/>
      <c r="C688" s="110"/>
      <c r="D688" s="110"/>
      <c r="E688" s="110"/>
      <c r="F688" s="110"/>
      <c r="G688" s="110"/>
      <c r="H688" s="110"/>
      <c r="I688" s="110"/>
      <c r="J688" s="344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spans="1:26" ht="15.75" customHeight="1">
      <c r="A689" s="110"/>
      <c r="B689" s="427"/>
      <c r="C689" s="110"/>
      <c r="D689" s="110"/>
      <c r="E689" s="110"/>
      <c r="F689" s="110"/>
      <c r="G689" s="110"/>
      <c r="H689" s="110"/>
      <c r="I689" s="110"/>
      <c r="J689" s="344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spans="1:26" ht="15.75" customHeight="1">
      <c r="A690" s="110"/>
      <c r="B690" s="427"/>
      <c r="C690" s="110"/>
      <c r="D690" s="110"/>
      <c r="E690" s="110"/>
      <c r="F690" s="110"/>
      <c r="G690" s="110"/>
      <c r="H690" s="110"/>
      <c r="I690" s="110"/>
      <c r="J690" s="344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spans="1:26" ht="15.75" customHeight="1">
      <c r="A691" s="110"/>
      <c r="B691" s="427"/>
      <c r="C691" s="110"/>
      <c r="D691" s="110"/>
      <c r="E691" s="110"/>
      <c r="F691" s="110"/>
      <c r="G691" s="110"/>
      <c r="H691" s="110"/>
      <c r="I691" s="110"/>
      <c r="J691" s="344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spans="1:26" ht="15.75" customHeight="1">
      <c r="A692" s="110"/>
      <c r="B692" s="427"/>
      <c r="C692" s="110"/>
      <c r="D692" s="110"/>
      <c r="E692" s="110"/>
      <c r="F692" s="110"/>
      <c r="G692" s="110"/>
      <c r="H692" s="110"/>
      <c r="I692" s="110"/>
      <c r="J692" s="344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spans="1:26" ht="15.75" customHeight="1">
      <c r="A693" s="110"/>
      <c r="B693" s="427"/>
      <c r="C693" s="110"/>
      <c r="D693" s="110"/>
      <c r="E693" s="110"/>
      <c r="F693" s="110"/>
      <c r="G693" s="110"/>
      <c r="H693" s="110"/>
      <c r="I693" s="110"/>
      <c r="J693" s="344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spans="1:26" ht="15.75" customHeight="1">
      <c r="A694" s="110"/>
      <c r="B694" s="427"/>
      <c r="C694" s="110"/>
      <c r="D694" s="110"/>
      <c r="E694" s="110"/>
      <c r="F694" s="110"/>
      <c r="G694" s="110"/>
      <c r="H694" s="110"/>
      <c r="I694" s="110"/>
      <c r="J694" s="344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spans="1:26" ht="15.75" customHeight="1">
      <c r="A695" s="110"/>
      <c r="B695" s="427"/>
      <c r="C695" s="110"/>
      <c r="D695" s="110"/>
      <c r="E695" s="110"/>
      <c r="F695" s="110"/>
      <c r="G695" s="110"/>
      <c r="H695" s="110"/>
      <c r="I695" s="110"/>
      <c r="J695" s="344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spans="1:26" ht="15.75" customHeight="1">
      <c r="A696" s="110"/>
      <c r="B696" s="427"/>
      <c r="C696" s="110"/>
      <c r="D696" s="110"/>
      <c r="E696" s="110"/>
      <c r="F696" s="110"/>
      <c r="G696" s="110"/>
      <c r="H696" s="110"/>
      <c r="I696" s="110"/>
      <c r="J696" s="344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spans="1:26" ht="15.75" customHeight="1">
      <c r="A697" s="110"/>
      <c r="B697" s="427"/>
      <c r="C697" s="110"/>
      <c r="D697" s="110"/>
      <c r="E697" s="110"/>
      <c r="F697" s="110"/>
      <c r="G697" s="110"/>
      <c r="H697" s="110"/>
      <c r="I697" s="110"/>
      <c r="J697" s="344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spans="1:26" ht="15.75" customHeight="1">
      <c r="A698" s="110"/>
      <c r="B698" s="427"/>
      <c r="C698" s="110"/>
      <c r="D698" s="110"/>
      <c r="E698" s="110"/>
      <c r="F698" s="110"/>
      <c r="G698" s="110"/>
      <c r="H698" s="110"/>
      <c r="I698" s="110"/>
      <c r="J698" s="344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spans="1:26" ht="15.75" customHeight="1">
      <c r="A699" s="110"/>
      <c r="B699" s="427"/>
      <c r="C699" s="110"/>
      <c r="D699" s="110"/>
      <c r="E699" s="110"/>
      <c r="F699" s="110"/>
      <c r="G699" s="110"/>
      <c r="H699" s="110"/>
      <c r="I699" s="110"/>
      <c r="J699" s="344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spans="1:26" ht="15.75" customHeight="1">
      <c r="A700" s="110"/>
      <c r="B700" s="427"/>
      <c r="C700" s="110"/>
      <c r="D700" s="110"/>
      <c r="E700" s="110"/>
      <c r="F700" s="110"/>
      <c r="G700" s="110"/>
      <c r="H700" s="110"/>
      <c r="I700" s="110"/>
      <c r="J700" s="344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spans="1:26" ht="15.75" customHeight="1">
      <c r="A701" s="110"/>
      <c r="B701" s="427"/>
      <c r="C701" s="110"/>
      <c r="D701" s="110"/>
      <c r="E701" s="110"/>
      <c r="F701" s="110"/>
      <c r="G701" s="110"/>
      <c r="H701" s="110"/>
      <c r="I701" s="110"/>
      <c r="J701" s="344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spans="1:26" ht="15.75" customHeight="1">
      <c r="A702" s="110"/>
      <c r="B702" s="427"/>
      <c r="C702" s="110"/>
      <c r="D702" s="110"/>
      <c r="E702" s="110"/>
      <c r="F702" s="110"/>
      <c r="G702" s="110"/>
      <c r="H702" s="110"/>
      <c r="I702" s="110"/>
      <c r="J702" s="344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spans="1:26" ht="15.75" customHeight="1">
      <c r="A703" s="110"/>
      <c r="B703" s="427"/>
      <c r="C703" s="110"/>
      <c r="D703" s="110"/>
      <c r="E703" s="110"/>
      <c r="F703" s="110"/>
      <c r="G703" s="110"/>
      <c r="H703" s="110"/>
      <c r="I703" s="110"/>
      <c r="J703" s="344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spans="1:26" ht="15.75" customHeight="1">
      <c r="A704" s="110"/>
      <c r="B704" s="427"/>
      <c r="C704" s="110"/>
      <c r="D704" s="110"/>
      <c r="E704" s="110"/>
      <c r="F704" s="110"/>
      <c r="G704" s="110"/>
      <c r="H704" s="110"/>
      <c r="I704" s="110"/>
      <c r="J704" s="344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spans="1:26" ht="15.75" customHeight="1">
      <c r="A705" s="110"/>
      <c r="B705" s="427"/>
      <c r="C705" s="110"/>
      <c r="D705" s="110"/>
      <c r="E705" s="110"/>
      <c r="F705" s="110"/>
      <c r="G705" s="110"/>
      <c r="H705" s="110"/>
      <c r="I705" s="110"/>
      <c r="J705" s="344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spans="1:26" ht="15.75" customHeight="1">
      <c r="A706" s="110"/>
      <c r="B706" s="427"/>
      <c r="C706" s="110"/>
      <c r="D706" s="110"/>
      <c r="E706" s="110"/>
      <c r="F706" s="110"/>
      <c r="G706" s="110"/>
      <c r="H706" s="110"/>
      <c r="I706" s="110"/>
      <c r="J706" s="344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spans="1:26" ht="15.75" customHeight="1">
      <c r="A707" s="110"/>
      <c r="B707" s="427"/>
      <c r="C707" s="110"/>
      <c r="D707" s="110"/>
      <c r="E707" s="110"/>
      <c r="F707" s="110"/>
      <c r="G707" s="110"/>
      <c r="H707" s="110"/>
      <c r="I707" s="110"/>
      <c r="J707" s="344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spans="1:26" ht="15.75" customHeight="1">
      <c r="A708" s="110"/>
      <c r="B708" s="427"/>
      <c r="C708" s="110"/>
      <c r="D708" s="110"/>
      <c r="E708" s="110"/>
      <c r="F708" s="110"/>
      <c r="G708" s="110"/>
      <c r="H708" s="110"/>
      <c r="I708" s="110"/>
      <c r="J708" s="344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spans="1:26" ht="15.75" customHeight="1">
      <c r="A709" s="110"/>
      <c r="B709" s="427"/>
      <c r="C709" s="110"/>
      <c r="D709" s="110"/>
      <c r="E709" s="110"/>
      <c r="F709" s="110"/>
      <c r="G709" s="110"/>
      <c r="H709" s="110"/>
      <c r="I709" s="110"/>
      <c r="J709" s="344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spans="1:26" ht="15.75" customHeight="1">
      <c r="A710" s="110"/>
      <c r="B710" s="427"/>
      <c r="C710" s="110"/>
      <c r="D710" s="110"/>
      <c r="E710" s="110"/>
      <c r="F710" s="110"/>
      <c r="G710" s="110"/>
      <c r="H710" s="110"/>
      <c r="I710" s="110"/>
      <c r="J710" s="344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spans="1:26" ht="15.75" customHeight="1">
      <c r="A711" s="110"/>
      <c r="B711" s="427"/>
      <c r="C711" s="110"/>
      <c r="D711" s="110"/>
      <c r="E711" s="110"/>
      <c r="F711" s="110"/>
      <c r="G711" s="110"/>
      <c r="H711" s="110"/>
      <c r="I711" s="110"/>
      <c r="J711" s="344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spans="1:26" ht="15.75" customHeight="1">
      <c r="A712" s="110"/>
      <c r="B712" s="427"/>
      <c r="C712" s="110"/>
      <c r="D712" s="110"/>
      <c r="E712" s="110"/>
      <c r="F712" s="110"/>
      <c r="G712" s="110"/>
      <c r="H712" s="110"/>
      <c r="I712" s="110"/>
      <c r="J712" s="344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spans="1:26" ht="15.75" customHeight="1">
      <c r="A713" s="110"/>
      <c r="B713" s="427"/>
      <c r="C713" s="110"/>
      <c r="D713" s="110"/>
      <c r="E713" s="110"/>
      <c r="F713" s="110"/>
      <c r="G713" s="110"/>
      <c r="H713" s="110"/>
      <c r="I713" s="110"/>
      <c r="J713" s="344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spans="1:26" ht="15.75" customHeight="1">
      <c r="A714" s="110"/>
      <c r="B714" s="427"/>
      <c r="C714" s="110"/>
      <c r="D714" s="110"/>
      <c r="E714" s="110"/>
      <c r="F714" s="110"/>
      <c r="G714" s="110"/>
      <c r="H714" s="110"/>
      <c r="I714" s="110"/>
      <c r="J714" s="344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spans="1:26" ht="15.75" customHeight="1">
      <c r="A715" s="110"/>
      <c r="B715" s="427"/>
      <c r="C715" s="110"/>
      <c r="D715" s="110"/>
      <c r="E715" s="110"/>
      <c r="F715" s="110"/>
      <c r="G715" s="110"/>
      <c r="H715" s="110"/>
      <c r="I715" s="110"/>
      <c r="J715" s="344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spans="1:26" ht="15.75" customHeight="1">
      <c r="A716" s="110"/>
      <c r="B716" s="427"/>
      <c r="C716" s="110"/>
      <c r="D716" s="110"/>
      <c r="E716" s="110"/>
      <c r="F716" s="110"/>
      <c r="G716" s="110"/>
      <c r="H716" s="110"/>
      <c r="I716" s="110"/>
      <c r="J716" s="344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spans="1:26" ht="15.75" customHeight="1">
      <c r="A717" s="110"/>
      <c r="B717" s="427"/>
      <c r="C717" s="110"/>
      <c r="D717" s="110"/>
      <c r="E717" s="110"/>
      <c r="F717" s="110"/>
      <c r="G717" s="110"/>
      <c r="H717" s="110"/>
      <c r="I717" s="110"/>
      <c r="J717" s="344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spans="1:26" ht="15.75" customHeight="1">
      <c r="A718" s="110"/>
      <c r="B718" s="427"/>
      <c r="C718" s="110"/>
      <c r="D718" s="110"/>
      <c r="E718" s="110"/>
      <c r="F718" s="110"/>
      <c r="G718" s="110"/>
      <c r="H718" s="110"/>
      <c r="I718" s="110"/>
      <c r="J718" s="344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spans="1:26" ht="15.75" customHeight="1">
      <c r="A719" s="110"/>
      <c r="B719" s="427"/>
      <c r="C719" s="110"/>
      <c r="D719" s="110"/>
      <c r="E719" s="110"/>
      <c r="F719" s="110"/>
      <c r="G719" s="110"/>
      <c r="H719" s="110"/>
      <c r="I719" s="110"/>
      <c r="J719" s="344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spans="1:26" ht="15.75" customHeight="1">
      <c r="A720" s="110"/>
      <c r="B720" s="427"/>
      <c r="C720" s="110"/>
      <c r="D720" s="110"/>
      <c r="E720" s="110"/>
      <c r="F720" s="110"/>
      <c r="G720" s="110"/>
      <c r="H720" s="110"/>
      <c r="I720" s="110"/>
      <c r="J720" s="344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spans="1:26" ht="15.75" customHeight="1">
      <c r="A721" s="110"/>
      <c r="B721" s="427"/>
      <c r="C721" s="110"/>
      <c r="D721" s="110"/>
      <c r="E721" s="110"/>
      <c r="F721" s="110"/>
      <c r="G721" s="110"/>
      <c r="H721" s="110"/>
      <c r="I721" s="110"/>
      <c r="J721" s="344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spans="1:26" ht="15.75" customHeight="1">
      <c r="A722" s="110"/>
      <c r="B722" s="427"/>
      <c r="C722" s="110"/>
      <c r="D722" s="110"/>
      <c r="E722" s="110"/>
      <c r="F722" s="110"/>
      <c r="G722" s="110"/>
      <c r="H722" s="110"/>
      <c r="I722" s="110"/>
      <c r="J722" s="344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spans="1:26" ht="15.75" customHeight="1">
      <c r="A723" s="110"/>
      <c r="B723" s="427"/>
      <c r="C723" s="110"/>
      <c r="D723" s="110"/>
      <c r="E723" s="110"/>
      <c r="F723" s="110"/>
      <c r="G723" s="110"/>
      <c r="H723" s="110"/>
      <c r="I723" s="110"/>
      <c r="J723" s="344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spans="1:26" ht="15.75" customHeight="1">
      <c r="A724" s="110"/>
      <c r="B724" s="427"/>
      <c r="C724" s="110"/>
      <c r="D724" s="110"/>
      <c r="E724" s="110"/>
      <c r="F724" s="110"/>
      <c r="G724" s="110"/>
      <c r="H724" s="110"/>
      <c r="I724" s="110"/>
      <c r="J724" s="344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spans="1:26" ht="15.75" customHeight="1">
      <c r="A725" s="110"/>
      <c r="B725" s="427"/>
      <c r="C725" s="110"/>
      <c r="D725" s="110"/>
      <c r="E725" s="110"/>
      <c r="F725" s="110"/>
      <c r="G725" s="110"/>
      <c r="H725" s="110"/>
      <c r="I725" s="110"/>
      <c r="J725" s="344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spans="1:26" ht="15.75" customHeight="1">
      <c r="A726" s="110"/>
      <c r="B726" s="427"/>
      <c r="C726" s="110"/>
      <c r="D726" s="110"/>
      <c r="E726" s="110"/>
      <c r="F726" s="110"/>
      <c r="G726" s="110"/>
      <c r="H726" s="110"/>
      <c r="I726" s="110"/>
      <c r="J726" s="344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spans="1:26" ht="15.75" customHeight="1">
      <c r="A727" s="110"/>
      <c r="B727" s="427"/>
      <c r="C727" s="110"/>
      <c r="D727" s="110"/>
      <c r="E727" s="110"/>
      <c r="F727" s="110"/>
      <c r="G727" s="110"/>
      <c r="H727" s="110"/>
      <c r="I727" s="110"/>
      <c r="J727" s="344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spans="1:26" ht="15.75" customHeight="1">
      <c r="A728" s="110"/>
      <c r="B728" s="427"/>
      <c r="C728" s="110"/>
      <c r="D728" s="110"/>
      <c r="E728" s="110"/>
      <c r="F728" s="110"/>
      <c r="G728" s="110"/>
      <c r="H728" s="110"/>
      <c r="I728" s="110"/>
      <c r="J728" s="344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spans="1:26" ht="15.75" customHeight="1">
      <c r="A729" s="110"/>
      <c r="B729" s="427"/>
      <c r="C729" s="110"/>
      <c r="D729" s="110"/>
      <c r="E729" s="110"/>
      <c r="F729" s="110"/>
      <c r="G729" s="110"/>
      <c r="H729" s="110"/>
      <c r="I729" s="110"/>
      <c r="J729" s="344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spans="1:26" ht="15.75" customHeight="1">
      <c r="A730" s="110"/>
      <c r="B730" s="427"/>
      <c r="C730" s="110"/>
      <c r="D730" s="110"/>
      <c r="E730" s="110"/>
      <c r="F730" s="110"/>
      <c r="G730" s="110"/>
      <c r="H730" s="110"/>
      <c r="I730" s="110"/>
      <c r="J730" s="344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spans="1:26" ht="15.75" customHeight="1">
      <c r="A731" s="110"/>
      <c r="B731" s="427"/>
      <c r="C731" s="110"/>
      <c r="D731" s="110"/>
      <c r="E731" s="110"/>
      <c r="F731" s="110"/>
      <c r="G731" s="110"/>
      <c r="H731" s="110"/>
      <c r="I731" s="110"/>
      <c r="J731" s="344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spans="1:26" ht="15.75" customHeight="1">
      <c r="A732" s="110"/>
      <c r="B732" s="427"/>
      <c r="C732" s="110"/>
      <c r="D732" s="110"/>
      <c r="E732" s="110"/>
      <c r="F732" s="110"/>
      <c r="G732" s="110"/>
      <c r="H732" s="110"/>
      <c r="I732" s="110"/>
      <c r="J732" s="344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spans="1:26" ht="15.75" customHeight="1">
      <c r="A733" s="110"/>
      <c r="B733" s="427"/>
      <c r="C733" s="110"/>
      <c r="D733" s="110"/>
      <c r="E733" s="110"/>
      <c r="F733" s="110"/>
      <c r="G733" s="110"/>
      <c r="H733" s="110"/>
      <c r="I733" s="110"/>
      <c r="J733" s="344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spans="1:26" ht="15.75" customHeight="1">
      <c r="A734" s="110"/>
      <c r="B734" s="427"/>
      <c r="C734" s="110"/>
      <c r="D734" s="110"/>
      <c r="E734" s="110"/>
      <c r="F734" s="110"/>
      <c r="G734" s="110"/>
      <c r="H734" s="110"/>
      <c r="I734" s="110"/>
      <c r="J734" s="344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spans="1:26" ht="15.75" customHeight="1">
      <c r="A735" s="110"/>
      <c r="B735" s="427"/>
      <c r="C735" s="110"/>
      <c r="D735" s="110"/>
      <c r="E735" s="110"/>
      <c r="F735" s="110"/>
      <c r="G735" s="110"/>
      <c r="H735" s="110"/>
      <c r="I735" s="110"/>
      <c r="J735" s="344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spans="1:26" ht="15.75" customHeight="1">
      <c r="A736" s="110"/>
      <c r="B736" s="427"/>
      <c r="C736" s="110"/>
      <c r="D736" s="110"/>
      <c r="E736" s="110"/>
      <c r="F736" s="110"/>
      <c r="G736" s="110"/>
      <c r="H736" s="110"/>
      <c r="I736" s="110"/>
      <c r="J736" s="344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spans="1:26" ht="15.75" customHeight="1">
      <c r="A737" s="110"/>
      <c r="B737" s="427"/>
      <c r="C737" s="110"/>
      <c r="D737" s="110"/>
      <c r="E737" s="110"/>
      <c r="F737" s="110"/>
      <c r="G737" s="110"/>
      <c r="H737" s="110"/>
      <c r="I737" s="110"/>
      <c r="J737" s="344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spans="1:26" ht="15.75" customHeight="1">
      <c r="A738" s="110"/>
      <c r="B738" s="427"/>
      <c r="C738" s="110"/>
      <c r="D738" s="110"/>
      <c r="E738" s="110"/>
      <c r="F738" s="110"/>
      <c r="G738" s="110"/>
      <c r="H738" s="110"/>
      <c r="I738" s="110"/>
      <c r="J738" s="344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spans="1:26" ht="15.75" customHeight="1">
      <c r="A739" s="110"/>
      <c r="B739" s="427"/>
      <c r="C739" s="110"/>
      <c r="D739" s="110"/>
      <c r="E739" s="110"/>
      <c r="F739" s="110"/>
      <c r="G739" s="110"/>
      <c r="H739" s="110"/>
      <c r="I739" s="110"/>
      <c r="J739" s="344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spans="1:26" ht="15.75" customHeight="1">
      <c r="A740" s="110"/>
      <c r="B740" s="427"/>
      <c r="C740" s="110"/>
      <c r="D740" s="110"/>
      <c r="E740" s="110"/>
      <c r="F740" s="110"/>
      <c r="G740" s="110"/>
      <c r="H740" s="110"/>
      <c r="I740" s="110"/>
      <c r="J740" s="344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spans="1:26" ht="15.75" customHeight="1">
      <c r="A741" s="110"/>
      <c r="B741" s="427"/>
      <c r="C741" s="110"/>
      <c r="D741" s="110"/>
      <c r="E741" s="110"/>
      <c r="F741" s="110"/>
      <c r="G741" s="110"/>
      <c r="H741" s="110"/>
      <c r="I741" s="110"/>
      <c r="J741" s="344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spans="1:26" ht="15.75" customHeight="1">
      <c r="A742" s="110"/>
      <c r="B742" s="427"/>
      <c r="C742" s="110"/>
      <c r="D742" s="110"/>
      <c r="E742" s="110"/>
      <c r="F742" s="110"/>
      <c r="G742" s="110"/>
      <c r="H742" s="110"/>
      <c r="I742" s="110"/>
      <c r="J742" s="344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spans="1:26" ht="15.75" customHeight="1">
      <c r="A743" s="110"/>
      <c r="B743" s="427"/>
      <c r="C743" s="110"/>
      <c r="D743" s="110"/>
      <c r="E743" s="110"/>
      <c r="F743" s="110"/>
      <c r="G743" s="110"/>
      <c r="H743" s="110"/>
      <c r="I743" s="110"/>
      <c r="J743" s="344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spans="1:26" ht="15.75" customHeight="1">
      <c r="A744" s="110"/>
      <c r="B744" s="427"/>
      <c r="C744" s="110"/>
      <c r="D744" s="110"/>
      <c r="E744" s="110"/>
      <c r="F744" s="110"/>
      <c r="G744" s="110"/>
      <c r="H744" s="110"/>
      <c r="I744" s="110"/>
      <c r="J744" s="344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spans="1:26" ht="15.75" customHeight="1">
      <c r="A745" s="110"/>
      <c r="B745" s="427"/>
      <c r="C745" s="110"/>
      <c r="D745" s="110"/>
      <c r="E745" s="110"/>
      <c r="F745" s="110"/>
      <c r="G745" s="110"/>
      <c r="H745" s="110"/>
      <c r="I745" s="110"/>
      <c r="J745" s="344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spans="1:26" ht="15.75" customHeight="1">
      <c r="A746" s="110"/>
      <c r="B746" s="427"/>
      <c r="C746" s="110"/>
      <c r="D746" s="110"/>
      <c r="E746" s="110"/>
      <c r="F746" s="110"/>
      <c r="G746" s="110"/>
      <c r="H746" s="110"/>
      <c r="I746" s="110"/>
      <c r="J746" s="344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spans="1:26" ht="15.75" customHeight="1">
      <c r="A747" s="110"/>
      <c r="B747" s="427"/>
      <c r="C747" s="110"/>
      <c r="D747" s="110"/>
      <c r="E747" s="110"/>
      <c r="F747" s="110"/>
      <c r="G747" s="110"/>
      <c r="H747" s="110"/>
      <c r="I747" s="110"/>
      <c r="J747" s="344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spans="1:26" ht="15.75" customHeight="1">
      <c r="A748" s="110"/>
      <c r="B748" s="427"/>
      <c r="C748" s="110"/>
      <c r="D748" s="110"/>
      <c r="E748" s="110"/>
      <c r="F748" s="110"/>
      <c r="G748" s="110"/>
      <c r="H748" s="110"/>
      <c r="I748" s="110"/>
      <c r="J748" s="344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spans="1:26" ht="15.75" customHeight="1">
      <c r="A749" s="110"/>
      <c r="B749" s="427"/>
      <c r="C749" s="110"/>
      <c r="D749" s="110"/>
      <c r="E749" s="110"/>
      <c r="F749" s="110"/>
      <c r="G749" s="110"/>
      <c r="H749" s="110"/>
      <c r="I749" s="110"/>
      <c r="J749" s="344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spans="1:26" ht="15.75" customHeight="1">
      <c r="A750" s="110"/>
      <c r="B750" s="427"/>
      <c r="C750" s="110"/>
      <c r="D750" s="110"/>
      <c r="E750" s="110"/>
      <c r="F750" s="110"/>
      <c r="G750" s="110"/>
      <c r="H750" s="110"/>
      <c r="I750" s="110"/>
      <c r="J750" s="344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spans="1:26" ht="15.75" customHeight="1">
      <c r="A751" s="110"/>
      <c r="B751" s="427"/>
      <c r="C751" s="110"/>
      <c r="D751" s="110"/>
      <c r="E751" s="110"/>
      <c r="F751" s="110"/>
      <c r="G751" s="110"/>
      <c r="H751" s="110"/>
      <c r="I751" s="110"/>
      <c r="J751" s="344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spans="1:26" ht="15.75" customHeight="1">
      <c r="A752" s="110"/>
      <c r="B752" s="427"/>
      <c r="C752" s="110"/>
      <c r="D752" s="110"/>
      <c r="E752" s="110"/>
      <c r="F752" s="110"/>
      <c r="G752" s="110"/>
      <c r="H752" s="110"/>
      <c r="I752" s="110"/>
      <c r="J752" s="344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spans="1:26" ht="15.75" customHeight="1">
      <c r="A753" s="110"/>
      <c r="B753" s="427"/>
      <c r="C753" s="110"/>
      <c r="D753" s="110"/>
      <c r="E753" s="110"/>
      <c r="F753" s="110"/>
      <c r="G753" s="110"/>
      <c r="H753" s="110"/>
      <c r="I753" s="110"/>
      <c r="J753" s="344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spans="1:26" ht="15.75" customHeight="1">
      <c r="A754" s="110"/>
      <c r="B754" s="427"/>
      <c r="C754" s="110"/>
      <c r="D754" s="110"/>
      <c r="E754" s="110"/>
      <c r="F754" s="110"/>
      <c r="G754" s="110"/>
      <c r="H754" s="110"/>
      <c r="I754" s="110"/>
      <c r="J754" s="344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spans="1:26" ht="15.75" customHeight="1">
      <c r="A755" s="110"/>
      <c r="B755" s="427"/>
      <c r="C755" s="110"/>
      <c r="D755" s="110"/>
      <c r="E755" s="110"/>
      <c r="F755" s="110"/>
      <c r="G755" s="110"/>
      <c r="H755" s="110"/>
      <c r="I755" s="110"/>
      <c r="J755" s="344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spans="1:26" ht="15.75" customHeight="1">
      <c r="A756" s="110"/>
      <c r="B756" s="427"/>
      <c r="C756" s="110"/>
      <c r="D756" s="110"/>
      <c r="E756" s="110"/>
      <c r="F756" s="110"/>
      <c r="G756" s="110"/>
      <c r="H756" s="110"/>
      <c r="I756" s="110"/>
      <c r="J756" s="344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spans="1:26" ht="15.75" customHeight="1">
      <c r="A757" s="110"/>
      <c r="B757" s="427"/>
      <c r="C757" s="110"/>
      <c r="D757" s="110"/>
      <c r="E757" s="110"/>
      <c r="F757" s="110"/>
      <c r="G757" s="110"/>
      <c r="H757" s="110"/>
      <c r="I757" s="110"/>
      <c r="J757" s="344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spans="1:26" ht="15.75" customHeight="1">
      <c r="A758" s="110"/>
      <c r="B758" s="427"/>
      <c r="C758" s="110"/>
      <c r="D758" s="110"/>
      <c r="E758" s="110"/>
      <c r="F758" s="110"/>
      <c r="G758" s="110"/>
      <c r="H758" s="110"/>
      <c r="I758" s="110"/>
      <c r="J758" s="344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spans="1:26" ht="15.75" customHeight="1">
      <c r="A759" s="110"/>
      <c r="B759" s="427"/>
      <c r="C759" s="110"/>
      <c r="D759" s="110"/>
      <c r="E759" s="110"/>
      <c r="F759" s="110"/>
      <c r="G759" s="110"/>
      <c r="H759" s="110"/>
      <c r="I759" s="110"/>
      <c r="J759" s="344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spans="1:26" ht="15.75" customHeight="1">
      <c r="A760" s="110"/>
      <c r="B760" s="427"/>
      <c r="C760" s="110"/>
      <c r="D760" s="110"/>
      <c r="E760" s="110"/>
      <c r="F760" s="110"/>
      <c r="G760" s="110"/>
      <c r="H760" s="110"/>
      <c r="I760" s="110"/>
      <c r="J760" s="344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spans="1:26" ht="15.75" customHeight="1">
      <c r="A761" s="110"/>
      <c r="B761" s="427"/>
      <c r="C761" s="110"/>
      <c r="D761" s="110"/>
      <c r="E761" s="110"/>
      <c r="F761" s="110"/>
      <c r="G761" s="110"/>
      <c r="H761" s="110"/>
      <c r="I761" s="110"/>
      <c r="J761" s="344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spans="1:26" ht="15.75" customHeight="1">
      <c r="A762" s="110"/>
      <c r="B762" s="427"/>
      <c r="C762" s="110"/>
      <c r="D762" s="110"/>
      <c r="E762" s="110"/>
      <c r="F762" s="110"/>
      <c r="G762" s="110"/>
      <c r="H762" s="110"/>
      <c r="I762" s="110"/>
      <c r="J762" s="344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spans="1:26" ht="15.75" customHeight="1">
      <c r="A763" s="110"/>
      <c r="B763" s="427"/>
      <c r="C763" s="110"/>
      <c r="D763" s="110"/>
      <c r="E763" s="110"/>
      <c r="F763" s="110"/>
      <c r="G763" s="110"/>
      <c r="H763" s="110"/>
      <c r="I763" s="110"/>
      <c r="J763" s="344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spans="1:26" ht="15.75" customHeight="1">
      <c r="A764" s="110"/>
      <c r="B764" s="427"/>
      <c r="C764" s="110"/>
      <c r="D764" s="110"/>
      <c r="E764" s="110"/>
      <c r="F764" s="110"/>
      <c r="G764" s="110"/>
      <c r="H764" s="110"/>
      <c r="I764" s="110"/>
      <c r="J764" s="344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spans="1:26" ht="15.75" customHeight="1">
      <c r="A765" s="110"/>
      <c r="B765" s="427"/>
      <c r="C765" s="110"/>
      <c r="D765" s="110"/>
      <c r="E765" s="110"/>
      <c r="F765" s="110"/>
      <c r="G765" s="110"/>
      <c r="H765" s="110"/>
      <c r="I765" s="110"/>
      <c r="J765" s="344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spans="1:26" ht="15.75" customHeight="1">
      <c r="A766" s="110"/>
      <c r="B766" s="427"/>
      <c r="C766" s="110"/>
      <c r="D766" s="110"/>
      <c r="E766" s="110"/>
      <c r="F766" s="110"/>
      <c r="G766" s="110"/>
      <c r="H766" s="110"/>
      <c r="I766" s="110"/>
      <c r="J766" s="344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spans="1:26" ht="15.75" customHeight="1">
      <c r="A767" s="110"/>
      <c r="B767" s="427"/>
      <c r="C767" s="110"/>
      <c r="D767" s="110"/>
      <c r="E767" s="110"/>
      <c r="F767" s="110"/>
      <c r="G767" s="110"/>
      <c r="H767" s="110"/>
      <c r="I767" s="110"/>
      <c r="J767" s="344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spans="1:26" ht="15.75" customHeight="1">
      <c r="A768" s="110"/>
      <c r="B768" s="427"/>
      <c r="C768" s="110"/>
      <c r="D768" s="110"/>
      <c r="E768" s="110"/>
      <c r="F768" s="110"/>
      <c r="G768" s="110"/>
      <c r="H768" s="110"/>
      <c r="I768" s="110"/>
      <c r="J768" s="344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spans="1:26" ht="15.75" customHeight="1">
      <c r="A769" s="110"/>
      <c r="B769" s="427"/>
      <c r="C769" s="110"/>
      <c r="D769" s="110"/>
      <c r="E769" s="110"/>
      <c r="F769" s="110"/>
      <c r="G769" s="110"/>
      <c r="H769" s="110"/>
      <c r="I769" s="110"/>
      <c r="J769" s="344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spans="1:26" ht="15.75" customHeight="1">
      <c r="A770" s="110"/>
      <c r="B770" s="427"/>
      <c r="C770" s="110"/>
      <c r="D770" s="110"/>
      <c r="E770" s="110"/>
      <c r="F770" s="110"/>
      <c r="G770" s="110"/>
      <c r="H770" s="110"/>
      <c r="I770" s="110"/>
      <c r="J770" s="344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spans="1:26" ht="15.75" customHeight="1">
      <c r="A771" s="110"/>
      <c r="B771" s="427"/>
      <c r="C771" s="110"/>
      <c r="D771" s="110"/>
      <c r="E771" s="110"/>
      <c r="F771" s="110"/>
      <c r="G771" s="110"/>
      <c r="H771" s="110"/>
      <c r="I771" s="110"/>
      <c r="J771" s="344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spans="1:26" ht="15.75" customHeight="1">
      <c r="A772" s="110"/>
      <c r="B772" s="427"/>
      <c r="C772" s="110"/>
      <c r="D772" s="110"/>
      <c r="E772" s="110"/>
      <c r="F772" s="110"/>
      <c r="G772" s="110"/>
      <c r="H772" s="110"/>
      <c r="I772" s="110"/>
      <c r="J772" s="344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spans="1:26" ht="15.75" customHeight="1">
      <c r="A773" s="110"/>
      <c r="B773" s="427"/>
      <c r="C773" s="110"/>
      <c r="D773" s="110"/>
      <c r="E773" s="110"/>
      <c r="F773" s="110"/>
      <c r="G773" s="110"/>
      <c r="H773" s="110"/>
      <c r="I773" s="110"/>
      <c r="J773" s="344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spans="1:26" ht="15.75" customHeight="1">
      <c r="A774" s="110"/>
      <c r="B774" s="427"/>
      <c r="C774" s="110"/>
      <c r="D774" s="110"/>
      <c r="E774" s="110"/>
      <c r="F774" s="110"/>
      <c r="G774" s="110"/>
      <c r="H774" s="110"/>
      <c r="I774" s="110"/>
      <c r="J774" s="344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spans="1:26" ht="15.75" customHeight="1">
      <c r="A775" s="110"/>
      <c r="B775" s="427"/>
      <c r="C775" s="110"/>
      <c r="D775" s="110"/>
      <c r="E775" s="110"/>
      <c r="F775" s="110"/>
      <c r="G775" s="110"/>
      <c r="H775" s="110"/>
      <c r="I775" s="110"/>
      <c r="J775" s="344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spans="1:26" ht="15.75" customHeight="1">
      <c r="A776" s="110"/>
      <c r="B776" s="427"/>
      <c r="C776" s="110"/>
      <c r="D776" s="110"/>
      <c r="E776" s="110"/>
      <c r="F776" s="110"/>
      <c r="G776" s="110"/>
      <c r="H776" s="110"/>
      <c r="I776" s="110"/>
      <c r="J776" s="344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spans="1:26" ht="15.75" customHeight="1">
      <c r="A777" s="110"/>
      <c r="B777" s="427"/>
      <c r="C777" s="110"/>
      <c r="D777" s="110"/>
      <c r="E777" s="110"/>
      <c r="F777" s="110"/>
      <c r="G777" s="110"/>
      <c r="H777" s="110"/>
      <c r="I777" s="110"/>
      <c r="J777" s="344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spans="1:26" ht="15.75" customHeight="1">
      <c r="A778" s="110"/>
      <c r="B778" s="427"/>
      <c r="C778" s="110"/>
      <c r="D778" s="110"/>
      <c r="E778" s="110"/>
      <c r="F778" s="110"/>
      <c r="G778" s="110"/>
      <c r="H778" s="110"/>
      <c r="I778" s="110"/>
      <c r="J778" s="344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spans="1:26" ht="15.75" customHeight="1">
      <c r="A779" s="110"/>
      <c r="B779" s="427"/>
      <c r="C779" s="110"/>
      <c r="D779" s="110"/>
      <c r="E779" s="110"/>
      <c r="F779" s="110"/>
      <c r="G779" s="110"/>
      <c r="H779" s="110"/>
      <c r="I779" s="110"/>
      <c r="J779" s="344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spans="1:26" ht="15.75" customHeight="1">
      <c r="A780" s="110"/>
      <c r="B780" s="427"/>
      <c r="C780" s="110"/>
      <c r="D780" s="110"/>
      <c r="E780" s="110"/>
      <c r="F780" s="110"/>
      <c r="G780" s="110"/>
      <c r="H780" s="110"/>
      <c r="I780" s="110"/>
      <c r="J780" s="344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spans="1:26" ht="15.75" customHeight="1">
      <c r="A781" s="110"/>
      <c r="B781" s="427"/>
      <c r="C781" s="110"/>
      <c r="D781" s="110"/>
      <c r="E781" s="110"/>
      <c r="F781" s="110"/>
      <c r="G781" s="110"/>
      <c r="H781" s="110"/>
      <c r="I781" s="110"/>
      <c r="J781" s="344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spans="1:26" ht="15.75" customHeight="1">
      <c r="A782" s="110"/>
      <c r="B782" s="427"/>
      <c r="C782" s="110"/>
      <c r="D782" s="110"/>
      <c r="E782" s="110"/>
      <c r="F782" s="110"/>
      <c r="G782" s="110"/>
      <c r="H782" s="110"/>
      <c r="I782" s="110"/>
      <c r="J782" s="344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spans="1:26" ht="15.75" customHeight="1">
      <c r="A783" s="110"/>
      <c r="B783" s="427"/>
      <c r="C783" s="110"/>
      <c r="D783" s="110"/>
      <c r="E783" s="110"/>
      <c r="F783" s="110"/>
      <c r="G783" s="110"/>
      <c r="H783" s="110"/>
      <c r="I783" s="110"/>
      <c r="J783" s="344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spans="1:26" ht="15.75" customHeight="1">
      <c r="A784" s="110"/>
      <c r="B784" s="427"/>
      <c r="C784" s="110"/>
      <c r="D784" s="110"/>
      <c r="E784" s="110"/>
      <c r="F784" s="110"/>
      <c r="G784" s="110"/>
      <c r="H784" s="110"/>
      <c r="I784" s="110"/>
      <c r="J784" s="344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spans="1:26" ht="15.75" customHeight="1">
      <c r="A785" s="110"/>
      <c r="B785" s="427"/>
      <c r="C785" s="110"/>
      <c r="D785" s="110"/>
      <c r="E785" s="110"/>
      <c r="F785" s="110"/>
      <c r="G785" s="110"/>
      <c r="H785" s="110"/>
      <c r="I785" s="110"/>
      <c r="J785" s="344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spans="1:26" ht="15.75" customHeight="1">
      <c r="A786" s="110"/>
      <c r="B786" s="427"/>
      <c r="C786" s="110"/>
      <c r="D786" s="110"/>
      <c r="E786" s="110"/>
      <c r="F786" s="110"/>
      <c r="G786" s="110"/>
      <c r="H786" s="110"/>
      <c r="I786" s="110"/>
      <c r="J786" s="344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spans="1:26" ht="15.75" customHeight="1">
      <c r="A787" s="110"/>
      <c r="B787" s="427"/>
      <c r="C787" s="110"/>
      <c r="D787" s="110"/>
      <c r="E787" s="110"/>
      <c r="F787" s="110"/>
      <c r="G787" s="110"/>
      <c r="H787" s="110"/>
      <c r="I787" s="110"/>
      <c r="J787" s="344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spans="1:26" ht="15.75" customHeight="1">
      <c r="A788" s="110"/>
      <c r="B788" s="427"/>
      <c r="C788" s="110"/>
      <c r="D788" s="110"/>
      <c r="E788" s="110"/>
      <c r="F788" s="110"/>
      <c r="G788" s="110"/>
      <c r="H788" s="110"/>
      <c r="I788" s="110"/>
      <c r="J788" s="344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spans="1:26" ht="15.75" customHeight="1">
      <c r="A789" s="110"/>
      <c r="B789" s="427"/>
      <c r="C789" s="110"/>
      <c r="D789" s="110"/>
      <c r="E789" s="110"/>
      <c r="F789" s="110"/>
      <c r="G789" s="110"/>
      <c r="H789" s="110"/>
      <c r="I789" s="110"/>
      <c r="J789" s="344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spans="1:26" ht="15.75" customHeight="1">
      <c r="A790" s="110"/>
      <c r="B790" s="427"/>
      <c r="C790" s="110"/>
      <c r="D790" s="110"/>
      <c r="E790" s="110"/>
      <c r="F790" s="110"/>
      <c r="G790" s="110"/>
      <c r="H790" s="110"/>
      <c r="I790" s="110"/>
      <c r="J790" s="344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spans="1:26" ht="15.75" customHeight="1">
      <c r="A791" s="110"/>
      <c r="B791" s="427"/>
      <c r="C791" s="110"/>
      <c r="D791" s="110"/>
      <c r="E791" s="110"/>
      <c r="F791" s="110"/>
      <c r="G791" s="110"/>
      <c r="H791" s="110"/>
      <c r="I791" s="110"/>
      <c r="J791" s="344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spans="1:26" ht="15.75" customHeight="1">
      <c r="A792" s="110"/>
      <c r="B792" s="427"/>
      <c r="C792" s="110"/>
      <c r="D792" s="110"/>
      <c r="E792" s="110"/>
      <c r="F792" s="110"/>
      <c r="G792" s="110"/>
      <c r="H792" s="110"/>
      <c r="I792" s="110"/>
      <c r="J792" s="344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spans="1:26" ht="15.75" customHeight="1">
      <c r="A793" s="110"/>
      <c r="B793" s="427"/>
      <c r="C793" s="110"/>
      <c r="D793" s="110"/>
      <c r="E793" s="110"/>
      <c r="F793" s="110"/>
      <c r="G793" s="110"/>
      <c r="H793" s="110"/>
      <c r="I793" s="110"/>
      <c r="J793" s="344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spans="1:26" ht="15.75" customHeight="1">
      <c r="A794" s="110"/>
      <c r="B794" s="427"/>
      <c r="C794" s="110"/>
      <c r="D794" s="110"/>
      <c r="E794" s="110"/>
      <c r="F794" s="110"/>
      <c r="G794" s="110"/>
      <c r="H794" s="110"/>
      <c r="I794" s="110"/>
      <c r="J794" s="344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spans="1:26" ht="15.75" customHeight="1">
      <c r="A795" s="110"/>
      <c r="B795" s="427"/>
      <c r="C795" s="110"/>
      <c r="D795" s="110"/>
      <c r="E795" s="110"/>
      <c r="F795" s="110"/>
      <c r="G795" s="110"/>
      <c r="H795" s="110"/>
      <c r="I795" s="110"/>
      <c r="J795" s="344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spans="1:26" ht="15.75" customHeight="1">
      <c r="A796" s="110"/>
      <c r="B796" s="427"/>
      <c r="C796" s="110"/>
      <c r="D796" s="110"/>
      <c r="E796" s="110"/>
      <c r="F796" s="110"/>
      <c r="G796" s="110"/>
      <c r="H796" s="110"/>
      <c r="I796" s="110"/>
      <c r="J796" s="344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spans="1:26" ht="15.75" customHeight="1">
      <c r="A797" s="110"/>
      <c r="B797" s="427"/>
      <c r="C797" s="110"/>
      <c r="D797" s="110"/>
      <c r="E797" s="110"/>
      <c r="F797" s="110"/>
      <c r="G797" s="110"/>
      <c r="H797" s="110"/>
      <c r="I797" s="110"/>
      <c r="J797" s="344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spans="1:26" ht="15.75" customHeight="1">
      <c r="A798" s="110"/>
      <c r="B798" s="427"/>
      <c r="C798" s="110"/>
      <c r="D798" s="110"/>
      <c r="E798" s="110"/>
      <c r="F798" s="110"/>
      <c r="G798" s="110"/>
      <c r="H798" s="110"/>
      <c r="I798" s="110"/>
      <c r="J798" s="344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spans="1:26" ht="15.75" customHeight="1">
      <c r="A799" s="110"/>
      <c r="B799" s="427"/>
      <c r="C799" s="110"/>
      <c r="D799" s="110"/>
      <c r="E799" s="110"/>
      <c r="F799" s="110"/>
      <c r="G799" s="110"/>
      <c r="H799" s="110"/>
      <c r="I799" s="110"/>
      <c r="J799" s="344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spans="1:26" ht="15.75" customHeight="1">
      <c r="A800" s="110"/>
      <c r="B800" s="427"/>
      <c r="C800" s="110"/>
      <c r="D800" s="110"/>
      <c r="E800" s="110"/>
      <c r="F800" s="110"/>
      <c r="G800" s="110"/>
      <c r="H800" s="110"/>
      <c r="I800" s="110"/>
      <c r="J800" s="344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spans="1:26" ht="15.75" customHeight="1">
      <c r="A801" s="110"/>
      <c r="B801" s="427"/>
      <c r="C801" s="110"/>
      <c r="D801" s="110"/>
      <c r="E801" s="110"/>
      <c r="F801" s="110"/>
      <c r="G801" s="110"/>
      <c r="H801" s="110"/>
      <c r="I801" s="110"/>
      <c r="J801" s="344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spans="1:26" ht="15.75" customHeight="1">
      <c r="A802" s="110"/>
      <c r="B802" s="427"/>
      <c r="C802" s="110"/>
      <c r="D802" s="110"/>
      <c r="E802" s="110"/>
      <c r="F802" s="110"/>
      <c r="G802" s="110"/>
      <c r="H802" s="110"/>
      <c r="I802" s="110"/>
      <c r="J802" s="344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spans="1:26" ht="15.75" customHeight="1">
      <c r="A803" s="110"/>
      <c r="B803" s="427"/>
      <c r="C803" s="110"/>
      <c r="D803" s="110"/>
      <c r="E803" s="110"/>
      <c r="F803" s="110"/>
      <c r="G803" s="110"/>
      <c r="H803" s="110"/>
      <c r="I803" s="110"/>
      <c r="J803" s="344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spans="1:26" ht="15.75" customHeight="1">
      <c r="A804" s="110"/>
      <c r="B804" s="427"/>
      <c r="C804" s="110"/>
      <c r="D804" s="110"/>
      <c r="E804" s="110"/>
      <c r="F804" s="110"/>
      <c r="G804" s="110"/>
      <c r="H804" s="110"/>
      <c r="I804" s="110"/>
      <c r="J804" s="344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spans="1:26" ht="15.75" customHeight="1">
      <c r="A805" s="110"/>
      <c r="B805" s="427"/>
      <c r="C805" s="110"/>
      <c r="D805" s="110"/>
      <c r="E805" s="110"/>
      <c r="F805" s="110"/>
      <c r="G805" s="110"/>
      <c r="H805" s="110"/>
      <c r="I805" s="110"/>
      <c r="J805" s="344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spans="1:26" ht="15.75" customHeight="1">
      <c r="A806" s="110"/>
      <c r="B806" s="427"/>
      <c r="C806" s="110"/>
      <c r="D806" s="110"/>
      <c r="E806" s="110"/>
      <c r="F806" s="110"/>
      <c r="G806" s="110"/>
      <c r="H806" s="110"/>
      <c r="I806" s="110"/>
      <c r="J806" s="344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spans="1:26" ht="15.75" customHeight="1">
      <c r="A807" s="110"/>
      <c r="B807" s="427"/>
      <c r="C807" s="110"/>
      <c r="D807" s="110"/>
      <c r="E807" s="110"/>
      <c r="F807" s="110"/>
      <c r="G807" s="110"/>
      <c r="H807" s="110"/>
      <c r="I807" s="110"/>
      <c r="J807" s="344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spans="1:26" ht="15.75" customHeight="1">
      <c r="A808" s="110"/>
      <c r="B808" s="427"/>
      <c r="C808" s="110"/>
      <c r="D808" s="110"/>
      <c r="E808" s="110"/>
      <c r="F808" s="110"/>
      <c r="G808" s="110"/>
      <c r="H808" s="110"/>
      <c r="I808" s="110"/>
      <c r="J808" s="344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spans="1:26" ht="15.75" customHeight="1">
      <c r="A809" s="110"/>
      <c r="B809" s="427"/>
      <c r="C809" s="110"/>
      <c r="D809" s="110"/>
      <c r="E809" s="110"/>
      <c r="F809" s="110"/>
      <c r="G809" s="110"/>
      <c r="H809" s="110"/>
      <c r="I809" s="110"/>
      <c r="J809" s="344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spans="1:26" ht="15.75" customHeight="1">
      <c r="A810" s="110"/>
      <c r="B810" s="427"/>
      <c r="C810" s="110"/>
      <c r="D810" s="110"/>
      <c r="E810" s="110"/>
      <c r="F810" s="110"/>
      <c r="G810" s="110"/>
      <c r="H810" s="110"/>
      <c r="I810" s="110"/>
      <c r="J810" s="344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spans="1:26" ht="15.75" customHeight="1">
      <c r="A811" s="110"/>
      <c r="B811" s="427"/>
      <c r="C811" s="110"/>
      <c r="D811" s="110"/>
      <c r="E811" s="110"/>
      <c r="F811" s="110"/>
      <c r="G811" s="110"/>
      <c r="H811" s="110"/>
      <c r="I811" s="110"/>
      <c r="J811" s="344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spans="1:26" ht="15.75" customHeight="1">
      <c r="A812" s="110"/>
      <c r="B812" s="427"/>
      <c r="C812" s="110"/>
      <c r="D812" s="110"/>
      <c r="E812" s="110"/>
      <c r="F812" s="110"/>
      <c r="G812" s="110"/>
      <c r="H812" s="110"/>
      <c r="I812" s="110"/>
      <c r="J812" s="344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spans="1:26" ht="15.75" customHeight="1">
      <c r="A813" s="110"/>
      <c r="B813" s="427"/>
      <c r="C813" s="110"/>
      <c r="D813" s="110"/>
      <c r="E813" s="110"/>
      <c r="F813" s="110"/>
      <c r="G813" s="110"/>
      <c r="H813" s="110"/>
      <c r="I813" s="110"/>
      <c r="J813" s="344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spans="1:26" ht="15.75" customHeight="1">
      <c r="A814" s="110"/>
      <c r="B814" s="427"/>
      <c r="C814" s="110"/>
      <c r="D814" s="110"/>
      <c r="E814" s="110"/>
      <c r="F814" s="110"/>
      <c r="G814" s="110"/>
      <c r="H814" s="110"/>
      <c r="I814" s="110"/>
      <c r="J814" s="344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spans="1:26" ht="15.75" customHeight="1">
      <c r="A815" s="110"/>
      <c r="B815" s="427"/>
      <c r="C815" s="110"/>
      <c r="D815" s="110"/>
      <c r="E815" s="110"/>
      <c r="F815" s="110"/>
      <c r="G815" s="110"/>
      <c r="H815" s="110"/>
      <c r="I815" s="110"/>
      <c r="J815" s="344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spans="1:26" ht="15.75" customHeight="1">
      <c r="A816" s="110"/>
      <c r="B816" s="427"/>
      <c r="C816" s="110"/>
      <c r="D816" s="110"/>
      <c r="E816" s="110"/>
      <c r="F816" s="110"/>
      <c r="G816" s="110"/>
      <c r="H816" s="110"/>
      <c r="I816" s="110"/>
      <c r="J816" s="344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spans="1:26" ht="15.75" customHeight="1">
      <c r="A817" s="110"/>
      <c r="B817" s="427"/>
      <c r="C817" s="110"/>
      <c r="D817" s="110"/>
      <c r="E817" s="110"/>
      <c r="F817" s="110"/>
      <c r="G817" s="110"/>
      <c r="H817" s="110"/>
      <c r="I817" s="110"/>
      <c r="J817" s="344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spans="1:26" ht="15.75" customHeight="1">
      <c r="A818" s="110"/>
      <c r="B818" s="427"/>
      <c r="C818" s="110"/>
      <c r="D818" s="110"/>
      <c r="E818" s="110"/>
      <c r="F818" s="110"/>
      <c r="G818" s="110"/>
      <c r="H818" s="110"/>
      <c r="I818" s="110"/>
      <c r="J818" s="344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spans="1:26" ht="15.75" customHeight="1">
      <c r="A819" s="110"/>
      <c r="B819" s="427"/>
      <c r="C819" s="110"/>
      <c r="D819" s="110"/>
      <c r="E819" s="110"/>
      <c r="F819" s="110"/>
      <c r="G819" s="110"/>
      <c r="H819" s="110"/>
      <c r="I819" s="110"/>
      <c r="J819" s="344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spans="1:26" ht="15.75" customHeight="1">
      <c r="A820" s="110"/>
      <c r="B820" s="427"/>
      <c r="C820" s="110"/>
      <c r="D820" s="110"/>
      <c r="E820" s="110"/>
      <c r="F820" s="110"/>
      <c r="G820" s="110"/>
      <c r="H820" s="110"/>
      <c r="I820" s="110"/>
      <c r="J820" s="344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spans="1:26" ht="15.75" customHeight="1">
      <c r="A821" s="110"/>
      <c r="B821" s="427"/>
      <c r="C821" s="110"/>
      <c r="D821" s="110"/>
      <c r="E821" s="110"/>
      <c r="F821" s="110"/>
      <c r="G821" s="110"/>
      <c r="H821" s="110"/>
      <c r="I821" s="110"/>
      <c r="J821" s="344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spans="1:26" ht="15.75" customHeight="1">
      <c r="A822" s="110"/>
      <c r="B822" s="427"/>
      <c r="C822" s="110"/>
      <c r="D822" s="110"/>
      <c r="E822" s="110"/>
      <c r="F822" s="110"/>
      <c r="G822" s="110"/>
      <c r="H822" s="110"/>
      <c r="I822" s="110"/>
      <c r="J822" s="344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spans="1:26" ht="15.75" customHeight="1">
      <c r="A823" s="110"/>
      <c r="B823" s="427"/>
      <c r="C823" s="110"/>
      <c r="D823" s="110"/>
      <c r="E823" s="110"/>
      <c r="F823" s="110"/>
      <c r="G823" s="110"/>
      <c r="H823" s="110"/>
      <c r="I823" s="110"/>
      <c r="J823" s="344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spans="1:26" ht="15.75" customHeight="1">
      <c r="A824" s="110"/>
      <c r="B824" s="427"/>
      <c r="C824" s="110"/>
      <c r="D824" s="110"/>
      <c r="E824" s="110"/>
      <c r="F824" s="110"/>
      <c r="G824" s="110"/>
      <c r="H824" s="110"/>
      <c r="I824" s="110"/>
      <c r="J824" s="344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spans="1:26" ht="15.75" customHeight="1">
      <c r="A825" s="110"/>
      <c r="B825" s="427"/>
      <c r="C825" s="110"/>
      <c r="D825" s="110"/>
      <c r="E825" s="110"/>
      <c r="F825" s="110"/>
      <c r="G825" s="110"/>
      <c r="H825" s="110"/>
      <c r="I825" s="110"/>
      <c r="J825" s="344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spans="1:26" ht="15.75" customHeight="1">
      <c r="A826" s="110"/>
      <c r="B826" s="427"/>
      <c r="C826" s="110"/>
      <c r="D826" s="110"/>
      <c r="E826" s="110"/>
      <c r="F826" s="110"/>
      <c r="G826" s="110"/>
      <c r="H826" s="110"/>
      <c r="I826" s="110"/>
      <c r="J826" s="344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spans="1:26" ht="15.75" customHeight="1">
      <c r="A827" s="110"/>
      <c r="B827" s="427"/>
      <c r="C827" s="110"/>
      <c r="D827" s="110"/>
      <c r="E827" s="110"/>
      <c r="F827" s="110"/>
      <c r="G827" s="110"/>
      <c r="H827" s="110"/>
      <c r="I827" s="110"/>
      <c r="J827" s="344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spans="1:26" ht="15.75" customHeight="1">
      <c r="A828" s="110"/>
      <c r="B828" s="427"/>
      <c r="C828" s="110"/>
      <c r="D828" s="110"/>
      <c r="E828" s="110"/>
      <c r="F828" s="110"/>
      <c r="G828" s="110"/>
      <c r="H828" s="110"/>
      <c r="I828" s="110"/>
      <c r="J828" s="344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spans="1:26" ht="15.75" customHeight="1">
      <c r="A829" s="110"/>
      <c r="B829" s="427"/>
      <c r="C829" s="110"/>
      <c r="D829" s="110"/>
      <c r="E829" s="110"/>
      <c r="F829" s="110"/>
      <c r="G829" s="110"/>
      <c r="H829" s="110"/>
      <c r="I829" s="110"/>
      <c r="J829" s="344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spans="1:26" ht="15.75" customHeight="1">
      <c r="A830" s="110"/>
      <c r="B830" s="427"/>
      <c r="C830" s="110"/>
      <c r="D830" s="110"/>
      <c r="E830" s="110"/>
      <c r="F830" s="110"/>
      <c r="G830" s="110"/>
      <c r="H830" s="110"/>
      <c r="I830" s="110"/>
      <c r="J830" s="344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spans="1:26" ht="15.75" customHeight="1">
      <c r="A831" s="110"/>
      <c r="B831" s="427"/>
      <c r="C831" s="110"/>
      <c r="D831" s="110"/>
      <c r="E831" s="110"/>
      <c r="F831" s="110"/>
      <c r="G831" s="110"/>
      <c r="H831" s="110"/>
      <c r="I831" s="110"/>
      <c r="J831" s="344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spans="1:26" ht="15.75" customHeight="1">
      <c r="A832" s="110"/>
      <c r="B832" s="427"/>
      <c r="C832" s="110"/>
      <c r="D832" s="110"/>
      <c r="E832" s="110"/>
      <c r="F832" s="110"/>
      <c r="G832" s="110"/>
      <c r="H832" s="110"/>
      <c r="I832" s="110"/>
      <c r="J832" s="344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spans="1:26" ht="15.75" customHeight="1">
      <c r="A833" s="110"/>
      <c r="B833" s="427"/>
      <c r="C833" s="110"/>
      <c r="D833" s="110"/>
      <c r="E833" s="110"/>
      <c r="F833" s="110"/>
      <c r="G833" s="110"/>
      <c r="H833" s="110"/>
      <c r="I833" s="110"/>
      <c r="J833" s="344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spans="1:26" ht="15.75" customHeight="1">
      <c r="A834" s="110"/>
      <c r="B834" s="427"/>
      <c r="C834" s="110"/>
      <c r="D834" s="110"/>
      <c r="E834" s="110"/>
      <c r="F834" s="110"/>
      <c r="G834" s="110"/>
      <c r="H834" s="110"/>
      <c r="I834" s="110"/>
      <c r="J834" s="344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spans="1:26" ht="15.75" customHeight="1">
      <c r="A835" s="110"/>
      <c r="B835" s="427"/>
      <c r="C835" s="110"/>
      <c r="D835" s="110"/>
      <c r="E835" s="110"/>
      <c r="F835" s="110"/>
      <c r="G835" s="110"/>
      <c r="H835" s="110"/>
      <c r="I835" s="110"/>
      <c r="J835" s="344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spans="1:26" ht="15.75" customHeight="1">
      <c r="A836" s="110"/>
      <c r="B836" s="427"/>
      <c r="C836" s="110"/>
      <c r="D836" s="110"/>
      <c r="E836" s="110"/>
      <c r="F836" s="110"/>
      <c r="G836" s="110"/>
      <c r="H836" s="110"/>
      <c r="I836" s="110"/>
      <c r="J836" s="344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spans="1:26" ht="15.75" customHeight="1">
      <c r="A837" s="110"/>
      <c r="B837" s="427"/>
      <c r="C837" s="110"/>
      <c r="D837" s="110"/>
      <c r="E837" s="110"/>
      <c r="F837" s="110"/>
      <c r="G837" s="110"/>
      <c r="H837" s="110"/>
      <c r="I837" s="110"/>
      <c r="J837" s="344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spans="1:26" ht="15.75" customHeight="1">
      <c r="A838" s="110"/>
      <c r="B838" s="427"/>
      <c r="C838" s="110"/>
      <c r="D838" s="110"/>
      <c r="E838" s="110"/>
      <c r="F838" s="110"/>
      <c r="G838" s="110"/>
      <c r="H838" s="110"/>
      <c r="I838" s="110"/>
      <c r="J838" s="344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spans="1:26" ht="15.75" customHeight="1">
      <c r="A839" s="110"/>
      <c r="B839" s="427"/>
      <c r="C839" s="110"/>
      <c r="D839" s="110"/>
      <c r="E839" s="110"/>
      <c r="F839" s="110"/>
      <c r="G839" s="110"/>
      <c r="H839" s="110"/>
      <c r="I839" s="110"/>
      <c r="J839" s="344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spans="1:26" ht="15.75" customHeight="1">
      <c r="A840" s="110"/>
      <c r="B840" s="427"/>
      <c r="C840" s="110"/>
      <c r="D840" s="110"/>
      <c r="E840" s="110"/>
      <c r="F840" s="110"/>
      <c r="G840" s="110"/>
      <c r="H840" s="110"/>
      <c r="I840" s="110"/>
      <c r="J840" s="344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spans="1:26" ht="15.75" customHeight="1">
      <c r="A841" s="110"/>
      <c r="B841" s="427"/>
      <c r="C841" s="110"/>
      <c r="D841" s="110"/>
      <c r="E841" s="110"/>
      <c r="F841" s="110"/>
      <c r="G841" s="110"/>
      <c r="H841" s="110"/>
      <c r="I841" s="110"/>
      <c r="J841" s="344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spans="1:26" ht="15.75" customHeight="1">
      <c r="A842" s="110"/>
      <c r="B842" s="427"/>
      <c r="C842" s="110"/>
      <c r="D842" s="110"/>
      <c r="E842" s="110"/>
      <c r="F842" s="110"/>
      <c r="G842" s="110"/>
      <c r="H842" s="110"/>
      <c r="I842" s="110"/>
      <c r="J842" s="344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spans="1:26" ht="15.75" customHeight="1">
      <c r="A843" s="110"/>
      <c r="B843" s="427"/>
      <c r="C843" s="110"/>
      <c r="D843" s="110"/>
      <c r="E843" s="110"/>
      <c r="F843" s="110"/>
      <c r="G843" s="110"/>
      <c r="H843" s="110"/>
      <c r="I843" s="110"/>
      <c r="J843" s="344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spans="1:26" ht="15.75" customHeight="1">
      <c r="A844" s="110"/>
      <c r="B844" s="427"/>
      <c r="C844" s="110"/>
      <c r="D844" s="110"/>
      <c r="E844" s="110"/>
      <c r="F844" s="110"/>
      <c r="G844" s="110"/>
      <c r="H844" s="110"/>
      <c r="I844" s="110"/>
      <c r="J844" s="344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spans="1:26" ht="15.75" customHeight="1">
      <c r="A845" s="110"/>
      <c r="B845" s="427"/>
      <c r="C845" s="110"/>
      <c r="D845" s="110"/>
      <c r="E845" s="110"/>
      <c r="F845" s="110"/>
      <c r="G845" s="110"/>
      <c r="H845" s="110"/>
      <c r="I845" s="110"/>
      <c r="J845" s="344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spans="1:26" ht="15.75" customHeight="1">
      <c r="A846" s="110"/>
      <c r="B846" s="427"/>
      <c r="C846" s="110"/>
      <c r="D846" s="110"/>
      <c r="E846" s="110"/>
      <c r="F846" s="110"/>
      <c r="G846" s="110"/>
      <c r="H846" s="110"/>
      <c r="I846" s="110"/>
      <c r="J846" s="344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spans="1:26" ht="15.75" customHeight="1">
      <c r="A847" s="110"/>
      <c r="B847" s="427"/>
      <c r="C847" s="110"/>
      <c r="D847" s="110"/>
      <c r="E847" s="110"/>
      <c r="F847" s="110"/>
      <c r="G847" s="110"/>
      <c r="H847" s="110"/>
      <c r="I847" s="110"/>
      <c r="J847" s="344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spans="1:26" ht="15.75" customHeight="1">
      <c r="A848" s="110"/>
      <c r="B848" s="427"/>
      <c r="C848" s="110"/>
      <c r="D848" s="110"/>
      <c r="E848" s="110"/>
      <c r="F848" s="110"/>
      <c r="G848" s="110"/>
      <c r="H848" s="110"/>
      <c r="I848" s="110"/>
      <c r="J848" s="344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spans="1:26" ht="15.75" customHeight="1">
      <c r="A849" s="110"/>
      <c r="B849" s="427"/>
      <c r="C849" s="110"/>
      <c r="D849" s="110"/>
      <c r="E849" s="110"/>
      <c r="F849" s="110"/>
      <c r="G849" s="110"/>
      <c r="H849" s="110"/>
      <c r="I849" s="110"/>
      <c r="J849" s="344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spans="1:26" ht="15.75" customHeight="1">
      <c r="A850" s="110"/>
      <c r="B850" s="427"/>
      <c r="C850" s="110"/>
      <c r="D850" s="110"/>
      <c r="E850" s="110"/>
      <c r="F850" s="110"/>
      <c r="G850" s="110"/>
      <c r="H850" s="110"/>
      <c r="I850" s="110"/>
      <c r="J850" s="344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spans="1:26" ht="15.75" customHeight="1">
      <c r="A851" s="110"/>
      <c r="B851" s="427"/>
      <c r="C851" s="110"/>
      <c r="D851" s="110"/>
      <c r="E851" s="110"/>
      <c r="F851" s="110"/>
      <c r="G851" s="110"/>
      <c r="H851" s="110"/>
      <c r="I851" s="110"/>
      <c r="J851" s="344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spans="1:26" ht="15.75" customHeight="1">
      <c r="A852" s="110"/>
      <c r="B852" s="427"/>
      <c r="C852" s="110"/>
      <c r="D852" s="110"/>
      <c r="E852" s="110"/>
      <c r="F852" s="110"/>
      <c r="G852" s="110"/>
      <c r="H852" s="110"/>
      <c r="I852" s="110"/>
      <c r="J852" s="344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spans="1:26" ht="15.75" customHeight="1">
      <c r="A853" s="110"/>
      <c r="B853" s="427"/>
      <c r="C853" s="110"/>
      <c r="D853" s="110"/>
      <c r="E853" s="110"/>
      <c r="F853" s="110"/>
      <c r="G853" s="110"/>
      <c r="H853" s="110"/>
      <c r="I853" s="110"/>
      <c r="J853" s="344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spans="1:26" ht="15.75" customHeight="1">
      <c r="A854" s="110"/>
      <c r="B854" s="427"/>
      <c r="C854" s="110"/>
      <c r="D854" s="110"/>
      <c r="E854" s="110"/>
      <c r="F854" s="110"/>
      <c r="G854" s="110"/>
      <c r="H854" s="110"/>
      <c r="I854" s="110"/>
      <c r="J854" s="344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spans="1:26" ht="15.75" customHeight="1">
      <c r="A855" s="110"/>
      <c r="B855" s="427"/>
      <c r="C855" s="110"/>
      <c r="D855" s="110"/>
      <c r="E855" s="110"/>
      <c r="F855" s="110"/>
      <c r="G855" s="110"/>
      <c r="H855" s="110"/>
      <c r="I855" s="110"/>
      <c r="J855" s="344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spans="1:26" ht="15.75" customHeight="1">
      <c r="A856" s="110"/>
      <c r="B856" s="427"/>
      <c r="C856" s="110"/>
      <c r="D856" s="110"/>
      <c r="E856" s="110"/>
      <c r="F856" s="110"/>
      <c r="G856" s="110"/>
      <c r="H856" s="110"/>
      <c r="I856" s="110"/>
      <c r="J856" s="344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spans="1:26" ht="15.75" customHeight="1">
      <c r="A857" s="110"/>
      <c r="B857" s="427"/>
      <c r="C857" s="110"/>
      <c r="D857" s="110"/>
      <c r="E857" s="110"/>
      <c r="F857" s="110"/>
      <c r="G857" s="110"/>
      <c r="H857" s="110"/>
      <c r="I857" s="110"/>
      <c r="J857" s="344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spans="1:26" ht="15.75" customHeight="1">
      <c r="A858" s="110"/>
      <c r="B858" s="427"/>
      <c r="C858" s="110"/>
      <c r="D858" s="110"/>
      <c r="E858" s="110"/>
      <c r="F858" s="110"/>
      <c r="G858" s="110"/>
      <c r="H858" s="110"/>
      <c r="I858" s="110"/>
      <c r="J858" s="344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spans="1:26" ht="15.75" customHeight="1">
      <c r="A859" s="110"/>
      <c r="B859" s="427"/>
      <c r="C859" s="110"/>
      <c r="D859" s="110"/>
      <c r="E859" s="110"/>
      <c r="F859" s="110"/>
      <c r="G859" s="110"/>
      <c r="H859" s="110"/>
      <c r="I859" s="110"/>
      <c r="J859" s="344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spans="1:26" ht="15.75" customHeight="1">
      <c r="A860" s="110"/>
      <c r="B860" s="427"/>
      <c r="C860" s="110"/>
      <c r="D860" s="110"/>
      <c r="E860" s="110"/>
      <c r="F860" s="110"/>
      <c r="G860" s="110"/>
      <c r="H860" s="110"/>
      <c r="I860" s="110"/>
      <c r="J860" s="344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spans="1:26" ht="15.75" customHeight="1">
      <c r="A861" s="110"/>
      <c r="B861" s="427"/>
      <c r="C861" s="110"/>
      <c r="D861" s="110"/>
      <c r="E861" s="110"/>
      <c r="F861" s="110"/>
      <c r="G861" s="110"/>
      <c r="H861" s="110"/>
      <c r="I861" s="110"/>
      <c r="J861" s="344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spans="1:26" ht="15.75" customHeight="1">
      <c r="A862" s="110"/>
      <c r="B862" s="427"/>
      <c r="C862" s="110"/>
      <c r="D862" s="110"/>
      <c r="E862" s="110"/>
      <c r="F862" s="110"/>
      <c r="G862" s="110"/>
      <c r="H862" s="110"/>
      <c r="I862" s="110"/>
      <c r="J862" s="344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spans="1:26" ht="15.75" customHeight="1">
      <c r="A863" s="110"/>
      <c r="B863" s="427"/>
      <c r="C863" s="110"/>
      <c r="D863" s="110"/>
      <c r="E863" s="110"/>
      <c r="F863" s="110"/>
      <c r="G863" s="110"/>
      <c r="H863" s="110"/>
      <c r="I863" s="110"/>
      <c r="J863" s="344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spans="1:26" ht="15.75" customHeight="1">
      <c r="A864" s="110"/>
      <c r="B864" s="427"/>
      <c r="C864" s="110"/>
      <c r="D864" s="110"/>
      <c r="E864" s="110"/>
      <c r="F864" s="110"/>
      <c r="G864" s="110"/>
      <c r="H864" s="110"/>
      <c r="I864" s="110"/>
      <c r="J864" s="344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spans="1:26" ht="15.75" customHeight="1">
      <c r="A865" s="110"/>
      <c r="B865" s="427"/>
      <c r="C865" s="110"/>
      <c r="D865" s="110"/>
      <c r="E865" s="110"/>
      <c r="F865" s="110"/>
      <c r="G865" s="110"/>
      <c r="H865" s="110"/>
      <c r="I865" s="110"/>
      <c r="J865" s="344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spans="1:26" ht="15.75" customHeight="1">
      <c r="A866" s="110"/>
      <c r="B866" s="427"/>
      <c r="C866" s="110"/>
      <c r="D866" s="110"/>
      <c r="E866" s="110"/>
      <c r="F866" s="110"/>
      <c r="G866" s="110"/>
      <c r="H866" s="110"/>
      <c r="I866" s="110"/>
      <c r="J866" s="344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spans="1:26" ht="15.75" customHeight="1">
      <c r="A867" s="110"/>
      <c r="B867" s="427"/>
      <c r="C867" s="110"/>
      <c r="D867" s="110"/>
      <c r="E867" s="110"/>
      <c r="F867" s="110"/>
      <c r="G867" s="110"/>
      <c r="H867" s="110"/>
      <c r="I867" s="110"/>
      <c r="J867" s="344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spans="1:26" ht="15.75" customHeight="1">
      <c r="A868" s="110"/>
      <c r="B868" s="427"/>
      <c r="C868" s="110"/>
      <c r="D868" s="110"/>
      <c r="E868" s="110"/>
      <c r="F868" s="110"/>
      <c r="G868" s="110"/>
      <c r="H868" s="110"/>
      <c r="I868" s="110"/>
      <c r="J868" s="344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spans="1:26" ht="15.75" customHeight="1">
      <c r="A869" s="110"/>
      <c r="B869" s="427"/>
      <c r="C869" s="110"/>
      <c r="D869" s="110"/>
      <c r="E869" s="110"/>
      <c r="F869" s="110"/>
      <c r="G869" s="110"/>
      <c r="H869" s="110"/>
      <c r="I869" s="110"/>
      <c r="J869" s="344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spans="1:26" ht="15.75" customHeight="1">
      <c r="A870" s="110"/>
      <c r="B870" s="427"/>
      <c r="C870" s="110"/>
      <c r="D870" s="110"/>
      <c r="E870" s="110"/>
      <c r="F870" s="110"/>
      <c r="G870" s="110"/>
      <c r="H870" s="110"/>
      <c r="I870" s="110"/>
      <c r="J870" s="344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spans="1:26" ht="15.75" customHeight="1">
      <c r="A871" s="110"/>
      <c r="B871" s="427"/>
      <c r="C871" s="110"/>
      <c r="D871" s="110"/>
      <c r="E871" s="110"/>
      <c r="F871" s="110"/>
      <c r="G871" s="110"/>
      <c r="H871" s="110"/>
      <c r="I871" s="110"/>
      <c r="J871" s="344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spans="1:26" ht="15.75" customHeight="1">
      <c r="A872" s="110"/>
      <c r="B872" s="427"/>
      <c r="C872" s="110"/>
      <c r="D872" s="110"/>
      <c r="E872" s="110"/>
      <c r="F872" s="110"/>
      <c r="G872" s="110"/>
      <c r="H872" s="110"/>
      <c r="I872" s="110"/>
      <c r="J872" s="344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spans="1:26" ht="15.75" customHeight="1">
      <c r="A873" s="110"/>
      <c r="B873" s="427"/>
      <c r="C873" s="110"/>
      <c r="D873" s="110"/>
      <c r="E873" s="110"/>
      <c r="F873" s="110"/>
      <c r="G873" s="110"/>
      <c r="H873" s="110"/>
      <c r="I873" s="110"/>
      <c r="J873" s="344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spans="1:26" ht="15.75" customHeight="1">
      <c r="A874" s="110"/>
      <c r="B874" s="427"/>
      <c r="C874" s="110"/>
      <c r="D874" s="110"/>
      <c r="E874" s="110"/>
      <c r="F874" s="110"/>
      <c r="G874" s="110"/>
      <c r="H874" s="110"/>
      <c r="I874" s="110"/>
      <c r="J874" s="344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spans="1:26" ht="15.75" customHeight="1">
      <c r="A875" s="110"/>
      <c r="B875" s="427"/>
      <c r="C875" s="110"/>
      <c r="D875" s="110"/>
      <c r="E875" s="110"/>
      <c r="F875" s="110"/>
      <c r="G875" s="110"/>
      <c r="H875" s="110"/>
      <c r="I875" s="110"/>
      <c r="J875" s="344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spans="1:26" ht="15.75" customHeight="1">
      <c r="A876" s="110"/>
      <c r="B876" s="427"/>
      <c r="C876" s="110"/>
      <c r="D876" s="110"/>
      <c r="E876" s="110"/>
      <c r="F876" s="110"/>
      <c r="G876" s="110"/>
      <c r="H876" s="110"/>
      <c r="I876" s="110"/>
      <c r="J876" s="344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spans="1:26" ht="15.75" customHeight="1">
      <c r="A877" s="110"/>
      <c r="B877" s="427"/>
      <c r="C877" s="110"/>
      <c r="D877" s="110"/>
      <c r="E877" s="110"/>
      <c r="F877" s="110"/>
      <c r="G877" s="110"/>
      <c r="H877" s="110"/>
      <c r="I877" s="110"/>
      <c r="J877" s="344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spans="1:26" ht="15.75" customHeight="1">
      <c r="A878" s="110"/>
      <c r="B878" s="427"/>
      <c r="C878" s="110"/>
      <c r="D878" s="110"/>
      <c r="E878" s="110"/>
      <c r="F878" s="110"/>
      <c r="G878" s="110"/>
      <c r="H878" s="110"/>
      <c r="I878" s="110"/>
      <c r="J878" s="344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spans="1:26" ht="15.75" customHeight="1">
      <c r="A879" s="110"/>
      <c r="B879" s="427"/>
      <c r="C879" s="110"/>
      <c r="D879" s="110"/>
      <c r="E879" s="110"/>
      <c r="F879" s="110"/>
      <c r="G879" s="110"/>
      <c r="H879" s="110"/>
      <c r="I879" s="110"/>
      <c r="J879" s="344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spans="1:26" ht="15.75" customHeight="1">
      <c r="A880" s="110"/>
      <c r="B880" s="427"/>
      <c r="C880" s="110"/>
      <c r="D880" s="110"/>
      <c r="E880" s="110"/>
      <c r="F880" s="110"/>
      <c r="G880" s="110"/>
      <c r="H880" s="110"/>
      <c r="I880" s="110"/>
      <c r="J880" s="344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spans="1:26" ht="15.75" customHeight="1">
      <c r="A881" s="110"/>
      <c r="B881" s="427"/>
      <c r="C881" s="110"/>
      <c r="D881" s="110"/>
      <c r="E881" s="110"/>
      <c r="F881" s="110"/>
      <c r="G881" s="110"/>
      <c r="H881" s="110"/>
      <c r="I881" s="110"/>
      <c r="J881" s="344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spans="1:26" ht="15.75" customHeight="1">
      <c r="A882" s="110"/>
      <c r="B882" s="427"/>
      <c r="C882" s="110"/>
      <c r="D882" s="110"/>
      <c r="E882" s="110"/>
      <c r="F882" s="110"/>
      <c r="G882" s="110"/>
      <c r="H882" s="110"/>
      <c r="I882" s="110"/>
      <c r="J882" s="344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spans="1:26" ht="15.75" customHeight="1">
      <c r="A883" s="110"/>
      <c r="B883" s="427"/>
      <c r="C883" s="110"/>
      <c r="D883" s="110"/>
      <c r="E883" s="110"/>
      <c r="F883" s="110"/>
      <c r="G883" s="110"/>
      <c r="H883" s="110"/>
      <c r="I883" s="110"/>
      <c r="J883" s="344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spans="1:26" ht="15.75" customHeight="1">
      <c r="A884" s="110"/>
      <c r="B884" s="427"/>
      <c r="C884" s="110"/>
      <c r="D884" s="110"/>
      <c r="E884" s="110"/>
      <c r="F884" s="110"/>
      <c r="G884" s="110"/>
      <c r="H884" s="110"/>
      <c r="I884" s="110"/>
      <c r="J884" s="344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spans="1:26" ht="15.75" customHeight="1">
      <c r="A885" s="110"/>
      <c r="B885" s="427"/>
      <c r="C885" s="110"/>
      <c r="D885" s="110"/>
      <c r="E885" s="110"/>
      <c r="F885" s="110"/>
      <c r="G885" s="110"/>
      <c r="H885" s="110"/>
      <c r="I885" s="110"/>
      <c r="J885" s="344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spans="1:26" ht="15.75" customHeight="1">
      <c r="A886" s="110"/>
      <c r="B886" s="427"/>
      <c r="C886" s="110"/>
      <c r="D886" s="110"/>
      <c r="E886" s="110"/>
      <c r="F886" s="110"/>
      <c r="G886" s="110"/>
      <c r="H886" s="110"/>
      <c r="I886" s="110"/>
      <c r="J886" s="344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spans="1:26" ht="15.75" customHeight="1">
      <c r="A887" s="110"/>
      <c r="B887" s="427"/>
      <c r="C887" s="110"/>
      <c r="D887" s="110"/>
      <c r="E887" s="110"/>
      <c r="F887" s="110"/>
      <c r="G887" s="110"/>
      <c r="H887" s="110"/>
      <c r="I887" s="110"/>
      <c r="J887" s="344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spans="1:26" ht="15.75" customHeight="1">
      <c r="A888" s="110"/>
      <c r="B888" s="427"/>
      <c r="C888" s="110"/>
      <c r="D888" s="110"/>
      <c r="E888" s="110"/>
      <c r="F888" s="110"/>
      <c r="G888" s="110"/>
      <c r="H888" s="110"/>
      <c r="I888" s="110"/>
      <c r="J888" s="344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spans="1:26" ht="15.75" customHeight="1">
      <c r="A889" s="110"/>
      <c r="B889" s="427"/>
      <c r="C889" s="110"/>
      <c r="D889" s="110"/>
      <c r="E889" s="110"/>
      <c r="F889" s="110"/>
      <c r="G889" s="110"/>
      <c r="H889" s="110"/>
      <c r="I889" s="110"/>
      <c r="J889" s="344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spans="1:26" ht="15.75" customHeight="1">
      <c r="A890" s="110"/>
      <c r="B890" s="427"/>
      <c r="C890" s="110"/>
      <c r="D890" s="110"/>
      <c r="E890" s="110"/>
      <c r="F890" s="110"/>
      <c r="G890" s="110"/>
      <c r="H890" s="110"/>
      <c r="I890" s="110"/>
      <c r="J890" s="344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spans="1:26" ht="15.75" customHeight="1">
      <c r="A891" s="110"/>
      <c r="B891" s="427"/>
      <c r="C891" s="110"/>
      <c r="D891" s="110"/>
      <c r="E891" s="110"/>
      <c r="F891" s="110"/>
      <c r="G891" s="110"/>
      <c r="H891" s="110"/>
      <c r="I891" s="110"/>
      <c r="J891" s="344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spans="1:26" ht="15.75" customHeight="1">
      <c r="A892" s="110"/>
      <c r="B892" s="427"/>
      <c r="C892" s="110"/>
      <c r="D892" s="110"/>
      <c r="E892" s="110"/>
      <c r="F892" s="110"/>
      <c r="G892" s="110"/>
      <c r="H892" s="110"/>
      <c r="I892" s="110"/>
      <c r="J892" s="344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spans="1:26" ht="15.75" customHeight="1">
      <c r="A893" s="110"/>
      <c r="B893" s="427"/>
      <c r="C893" s="110"/>
      <c r="D893" s="110"/>
      <c r="E893" s="110"/>
      <c r="F893" s="110"/>
      <c r="G893" s="110"/>
      <c r="H893" s="110"/>
      <c r="I893" s="110"/>
      <c r="J893" s="344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spans="1:26" ht="15.75" customHeight="1">
      <c r="A894" s="110"/>
      <c r="B894" s="427"/>
      <c r="C894" s="110"/>
      <c r="D894" s="110"/>
      <c r="E894" s="110"/>
      <c r="F894" s="110"/>
      <c r="G894" s="110"/>
      <c r="H894" s="110"/>
      <c r="I894" s="110"/>
      <c r="J894" s="344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spans="1:26" ht="15.75" customHeight="1">
      <c r="A895" s="110"/>
      <c r="B895" s="427"/>
      <c r="C895" s="110"/>
      <c r="D895" s="110"/>
      <c r="E895" s="110"/>
      <c r="F895" s="110"/>
      <c r="G895" s="110"/>
      <c r="H895" s="110"/>
      <c r="I895" s="110"/>
      <c r="J895" s="344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spans="1:26" ht="15.75" customHeight="1">
      <c r="A896" s="110"/>
      <c r="B896" s="427"/>
      <c r="C896" s="110"/>
      <c r="D896" s="110"/>
      <c r="E896" s="110"/>
      <c r="F896" s="110"/>
      <c r="G896" s="110"/>
      <c r="H896" s="110"/>
      <c r="I896" s="110"/>
      <c r="J896" s="344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spans="1:26" ht="15.75" customHeight="1">
      <c r="A897" s="110"/>
      <c r="B897" s="427"/>
      <c r="C897" s="110"/>
      <c r="D897" s="110"/>
      <c r="E897" s="110"/>
      <c r="F897" s="110"/>
      <c r="G897" s="110"/>
      <c r="H897" s="110"/>
      <c r="I897" s="110"/>
      <c r="J897" s="344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spans="1:26" ht="15.75" customHeight="1">
      <c r="A898" s="110"/>
      <c r="B898" s="427"/>
      <c r="C898" s="110"/>
      <c r="D898" s="110"/>
      <c r="E898" s="110"/>
      <c r="F898" s="110"/>
      <c r="G898" s="110"/>
      <c r="H898" s="110"/>
      <c r="I898" s="110"/>
      <c r="J898" s="344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spans="1:26" ht="15.75" customHeight="1">
      <c r="A899" s="110"/>
      <c r="B899" s="427"/>
      <c r="C899" s="110"/>
      <c r="D899" s="110"/>
      <c r="E899" s="110"/>
      <c r="F899" s="110"/>
      <c r="G899" s="110"/>
      <c r="H899" s="110"/>
      <c r="I899" s="110"/>
      <c r="J899" s="344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spans="1:26" ht="15.75" customHeight="1">
      <c r="A900" s="110"/>
      <c r="B900" s="427"/>
      <c r="C900" s="110"/>
      <c r="D900" s="110"/>
      <c r="E900" s="110"/>
      <c r="F900" s="110"/>
      <c r="G900" s="110"/>
      <c r="H900" s="110"/>
      <c r="I900" s="110"/>
      <c r="J900" s="344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spans="1:26" ht="15.75" customHeight="1">
      <c r="A901" s="110"/>
      <c r="B901" s="427"/>
      <c r="C901" s="110"/>
      <c r="D901" s="110"/>
      <c r="E901" s="110"/>
      <c r="F901" s="110"/>
      <c r="G901" s="110"/>
      <c r="H901" s="110"/>
      <c r="I901" s="110"/>
      <c r="J901" s="344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spans="1:26" ht="15.75" customHeight="1">
      <c r="A902" s="110"/>
      <c r="B902" s="427"/>
      <c r="C902" s="110"/>
      <c r="D902" s="110"/>
      <c r="E902" s="110"/>
      <c r="F902" s="110"/>
      <c r="G902" s="110"/>
      <c r="H902" s="110"/>
      <c r="I902" s="110"/>
      <c r="J902" s="344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spans="1:26" ht="15.75" customHeight="1">
      <c r="A903" s="110"/>
      <c r="B903" s="427"/>
      <c r="C903" s="110"/>
      <c r="D903" s="110"/>
      <c r="E903" s="110"/>
      <c r="F903" s="110"/>
      <c r="G903" s="110"/>
      <c r="H903" s="110"/>
      <c r="I903" s="110"/>
      <c r="J903" s="344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spans="1:26" ht="15.75" customHeight="1">
      <c r="A904" s="110"/>
      <c r="B904" s="427"/>
      <c r="C904" s="110"/>
      <c r="D904" s="110"/>
      <c r="E904" s="110"/>
      <c r="F904" s="110"/>
      <c r="G904" s="110"/>
      <c r="H904" s="110"/>
      <c r="I904" s="110"/>
      <c r="J904" s="344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spans="1:26" ht="15.75" customHeight="1">
      <c r="A905" s="110"/>
      <c r="B905" s="427"/>
      <c r="C905" s="110"/>
      <c r="D905" s="110"/>
      <c r="E905" s="110"/>
      <c r="F905" s="110"/>
      <c r="G905" s="110"/>
      <c r="H905" s="110"/>
      <c r="I905" s="110"/>
      <c r="J905" s="344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spans="1:26" ht="15.75" customHeight="1">
      <c r="A906" s="110"/>
      <c r="B906" s="427"/>
      <c r="C906" s="110"/>
      <c r="D906" s="110"/>
      <c r="E906" s="110"/>
      <c r="F906" s="110"/>
      <c r="G906" s="110"/>
      <c r="H906" s="110"/>
      <c r="I906" s="110"/>
      <c r="J906" s="344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spans="1:26" ht="15.75" customHeight="1">
      <c r="A907" s="110"/>
      <c r="B907" s="427"/>
      <c r="C907" s="110"/>
      <c r="D907" s="110"/>
      <c r="E907" s="110"/>
      <c r="F907" s="110"/>
      <c r="G907" s="110"/>
      <c r="H907" s="110"/>
      <c r="I907" s="110"/>
      <c r="J907" s="344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spans="1:26" ht="15.75" customHeight="1">
      <c r="A908" s="110"/>
      <c r="B908" s="427"/>
      <c r="C908" s="110"/>
      <c r="D908" s="110"/>
      <c r="E908" s="110"/>
      <c r="F908" s="110"/>
      <c r="G908" s="110"/>
      <c r="H908" s="110"/>
      <c r="I908" s="110"/>
      <c r="J908" s="344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spans="1:26" ht="15.75" customHeight="1">
      <c r="A909" s="110"/>
      <c r="B909" s="427"/>
      <c r="C909" s="110"/>
      <c r="D909" s="110"/>
      <c r="E909" s="110"/>
      <c r="F909" s="110"/>
      <c r="G909" s="110"/>
      <c r="H909" s="110"/>
      <c r="I909" s="110"/>
      <c r="J909" s="344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spans="1:26" ht="15.75" customHeight="1">
      <c r="A910" s="110"/>
      <c r="B910" s="427"/>
      <c r="C910" s="110"/>
      <c r="D910" s="110"/>
      <c r="E910" s="110"/>
      <c r="F910" s="110"/>
      <c r="G910" s="110"/>
      <c r="H910" s="110"/>
      <c r="I910" s="110"/>
      <c r="J910" s="344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spans="1:26" ht="15.75" customHeight="1">
      <c r="A911" s="110"/>
      <c r="B911" s="427"/>
      <c r="C911" s="110"/>
      <c r="D911" s="110"/>
      <c r="E911" s="110"/>
      <c r="F911" s="110"/>
      <c r="G911" s="110"/>
      <c r="H911" s="110"/>
      <c r="I911" s="110"/>
      <c r="J911" s="344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spans="1:26" ht="15.75" customHeight="1">
      <c r="A912" s="110"/>
      <c r="B912" s="427"/>
      <c r="C912" s="110"/>
      <c r="D912" s="110"/>
      <c r="E912" s="110"/>
      <c r="F912" s="110"/>
      <c r="G912" s="110"/>
      <c r="H912" s="110"/>
      <c r="I912" s="110"/>
      <c r="J912" s="344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spans="1:26" ht="15.75" customHeight="1">
      <c r="A913" s="110"/>
      <c r="B913" s="427"/>
      <c r="C913" s="110"/>
      <c r="D913" s="110"/>
      <c r="E913" s="110"/>
      <c r="F913" s="110"/>
      <c r="G913" s="110"/>
      <c r="H913" s="110"/>
      <c r="I913" s="110"/>
      <c r="J913" s="344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spans="1:26" ht="15.75" customHeight="1">
      <c r="A914" s="110"/>
      <c r="B914" s="427"/>
      <c r="C914" s="110"/>
      <c r="D914" s="110"/>
      <c r="E914" s="110"/>
      <c r="F914" s="110"/>
      <c r="G914" s="110"/>
      <c r="H914" s="110"/>
      <c r="I914" s="110"/>
      <c r="J914" s="344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spans="1:26" ht="15.75" customHeight="1">
      <c r="A915" s="110"/>
      <c r="B915" s="427"/>
      <c r="C915" s="110"/>
      <c r="D915" s="110"/>
      <c r="E915" s="110"/>
      <c r="F915" s="110"/>
      <c r="G915" s="110"/>
      <c r="H915" s="110"/>
      <c r="I915" s="110"/>
      <c r="J915" s="344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spans="1:26" ht="15.75" customHeight="1">
      <c r="A916" s="110"/>
      <c r="B916" s="427"/>
      <c r="C916" s="110"/>
      <c r="D916" s="110"/>
      <c r="E916" s="110"/>
      <c r="F916" s="110"/>
      <c r="G916" s="110"/>
      <c r="H916" s="110"/>
      <c r="I916" s="110"/>
      <c r="J916" s="344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spans="1:26" ht="15.75" customHeight="1">
      <c r="A917" s="110"/>
      <c r="B917" s="427"/>
      <c r="C917" s="110"/>
      <c r="D917" s="110"/>
      <c r="E917" s="110"/>
      <c r="F917" s="110"/>
      <c r="G917" s="110"/>
      <c r="H917" s="110"/>
      <c r="I917" s="110"/>
      <c r="J917" s="344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spans="1:26" ht="15.75" customHeight="1">
      <c r="A918" s="110"/>
      <c r="B918" s="427"/>
      <c r="C918" s="110"/>
      <c r="D918" s="110"/>
      <c r="E918" s="110"/>
      <c r="F918" s="110"/>
      <c r="G918" s="110"/>
      <c r="H918" s="110"/>
      <c r="I918" s="110"/>
      <c r="J918" s="344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spans="1:26" ht="15.75" customHeight="1">
      <c r="A919" s="110"/>
      <c r="B919" s="427"/>
      <c r="C919" s="110"/>
      <c r="D919" s="110"/>
      <c r="E919" s="110"/>
      <c r="F919" s="110"/>
      <c r="G919" s="110"/>
      <c r="H919" s="110"/>
      <c r="I919" s="110"/>
      <c r="J919" s="344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spans="1:26" ht="15.75" customHeight="1">
      <c r="A920" s="110"/>
      <c r="B920" s="427"/>
      <c r="C920" s="110"/>
      <c r="D920" s="110"/>
      <c r="E920" s="110"/>
      <c r="F920" s="110"/>
      <c r="G920" s="110"/>
      <c r="H920" s="110"/>
      <c r="I920" s="110"/>
      <c r="J920" s="344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spans="1:26" ht="15.75" customHeight="1">
      <c r="A921" s="110"/>
      <c r="B921" s="427"/>
      <c r="C921" s="110"/>
      <c r="D921" s="110"/>
      <c r="E921" s="110"/>
      <c r="F921" s="110"/>
      <c r="G921" s="110"/>
      <c r="H921" s="110"/>
      <c r="I921" s="110"/>
      <c r="J921" s="344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spans="1:26" ht="15.75" customHeight="1">
      <c r="A922" s="110"/>
      <c r="B922" s="427"/>
      <c r="C922" s="110"/>
      <c r="D922" s="110"/>
      <c r="E922" s="110"/>
      <c r="F922" s="110"/>
      <c r="G922" s="110"/>
      <c r="H922" s="110"/>
      <c r="I922" s="110"/>
      <c r="J922" s="344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spans="1:26" ht="15.75" customHeight="1">
      <c r="A923" s="110"/>
      <c r="B923" s="427"/>
      <c r="C923" s="110"/>
      <c r="D923" s="110"/>
      <c r="E923" s="110"/>
      <c r="F923" s="110"/>
      <c r="G923" s="110"/>
      <c r="H923" s="110"/>
      <c r="I923" s="110"/>
      <c r="J923" s="344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spans="1:26" ht="15.75" customHeight="1">
      <c r="A924" s="110"/>
      <c r="B924" s="427"/>
      <c r="C924" s="110"/>
      <c r="D924" s="110"/>
      <c r="E924" s="110"/>
      <c r="F924" s="110"/>
      <c r="G924" s="110"/>
      <c r="H924" s="110"/>
      <c r="I924" s="110"/>
      <c r="J924" s="344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spans="1:26" ht="15.75" customHeight="1">
      <c r="A925" s="110"/>
      <c r="B925" s="427"/>
      <c r="C925" s="110"/>
      <c r="D925" s="110"/>
      <c r="E925" s="110"/>
      <c r="F925" s="110"/>
      <c r="G925" s="110"/>
      <c r="H925" s="110"/>
      <c r="I925" s="110"/>
      <c r="J925" s="344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spans="1:26" ht="15.75" customHeight="1">
      <c r="A926" s="110"/>
      <c r="B926" s="427"/>
      <c r="C926" s="110"/>
      <c r="D926" s="110"/>
      <c r="E926" s="110"/>
      <c r="F926" s="110"/>
      <c r="G926" s="110"/>
      <c r="H926" s="110"/>
      <c r="I926" s="110"/>
      <c r="J926" s="344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spans="1:26" ht="15.75" customHeight="1">
      <c r="A927" s="110"/>
      <c r="B927" s="427"/>
      <c r="C927" s="110"/>
      <c r="D927" s="110"/>
      <c r="E927" s="110"/>
      <c r="F927" s="110"/>
      <c r="G927" s="110"/>
      <c r="H927" s="110"/>
      <c r="I927" s="110"/>
      <c r="J927" s="344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spans="1:26" ht="15.75" customHeight="1">
      <c r="A928" s="110"/>
      <c r="B928" s="427"/>
      <c r="C928" s="110"/>
      <c r="D928" s="110"/>
      <c r="E928" s="110"/>
      <c r="F928" s="110"/>
      <c r="G928" s="110"/>
      <c r="H928" s="110"/>
      <c r="I928" s="110"/>
      <c r="J928" s="344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spans="1:26" ht="15.75" customHeight="1">
      <c r="A929" s="110"/>
      <c r="B929" s="427"/>
      <c r="C929" s="110"/>
      <c r="D929" s="110"/>
      <c r="E929" s="110"/>
      <c r="F929" s="110"/>
      <c r="G929" s="110"/>
      <c r="H929" s="110"/>
      <c r="I929" s="110"/>
      <c r="J929" s="344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spans="1:26" ht="15.75" customHeight="1">
      <c r="A930" s="110"/>
      <c r="B930" s="427"/>
      <c r="C930" s="110"/>
      <c r="D930" s="110"/>
      <c r="E930" s="110"/>
      <c r="F930" s="110"/>
      <c r="G930" s="110"/>
      <c r="H930" s="110"/>
      <c r="I930" s="110"/>
      <c r="J930" s="344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spans="1:26" ht="15.75" customHeight="1">
      <c r="A931" s="110"/>
      <c r="B931" s="427"/>
      <c r="C931" s="110"/>
      <c r="D931" s="110"/>
      <c r="E931" s="110"/>
      <c r="F931" s="110"/>
      <c r="G931" s="110"/>
      <c r="H931" s="110"/>
      <c r="I931" s="110"/>
      <c r="J931" s="344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spans="1:26" ht="15.75" customHeight="1">
      <c r="A932" s="110"/>
      <c r="B932" s="427"/>
      <c r="C932" s="110"/>
      <c r="D932" s="110"/>
      <c r="E932" s="110"/>
      <c r="F932" s="110"/>
      <c r="G932" s="110"/>
      <c r="H932" s="110"/>
      <c r="I932" s="110"/>
      <c r="J932" s="344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spans="1:26" ht="15.75" customHeight="1">
      <c r="A933" s="110"/>
      <c r="B933" s="427"/>
      <c r="C933" s="110"/>
      <c r="D933" s="110"/>
      <c r="E933" s="110"/>
      <c r="F933" s="110"/>
      <c r="G933" s="110"/>
      <c r="H933" s="110"/>
      <c r="I933" s="110"/>
      <c r="J933" s="344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spans="1:26" ht="15.75" customHeight="1">
      <c r="A934" s="110"/>
      <c r="B934" s="427"/>
      <c r="C934" s="110"/>
      <c r="D934" s="110"/>
      <c r="E934" s="110"/>
      <c r="F934" s="110"/>
      <c r="G934" s="110"/>
      <c r="H934" s="110"/>
      <c r="I934" s="110"/>
      <c r="J934" s="344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spans="1:26" ht="15.75" customHeight="1">
      <c r="A935" s="110"/>
      <c r="B935" s="427"/>
      <c r="C935" s="110"/>
      <c r="D935" s="110"/>
      <c r="E935" s="110"/>
      <c r="F935" s="110"/>
      <c r="G935" s="110"/>
      <c r="H935" s="110"/>
      <c r="I935" s="110"/>
      <c r="J935" s="344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spans="1:26" ht="15.75" customHeight="1">
      <c r="A936" s="110"/>
      <c r="B936" s="427"/>
      <c r="C936" s="110"/>
      <c r="D936" s="110"/>
      <c r="E936" s="110"/>
      <c r="F936" s="110"/>
      <c r="G936" s="110"/>
      <c r="H936" s="110"/>
      <c r="I936" s="110"/>
      <c r="J936" s="344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spans="1:26" ht="15.75" customHeight="1">
      <c r="A937" s="110"/>
      <c r="B937" s="427"/>
      <c r="C937" s="110"/>
      <c r="D937" s="110"/>
      <c r="E937" s="110"/>
      <c r="F937" s="110"/>
      <c r="G937" s="110"/>
      <c r="H937" s="110"/>
      <c r="I937" s="110"/>
      <c r="J937" s="344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spans="1:26" ht="15.75" customHeight="1">
      <c r="A938" s="110"/>
      <c r="B938" s="427"/>
      <c r="C938" s="110"/>
      <c r="D938" s="110"/>
      <c r="E938" s="110"/>
      <c r="F938" s="110"/>
      <c r="G938" s="110"/>
      <c r="H938" s="110"/>
      <c r="I938" s="110"/>
      <c r="J938" s="344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spans="1:26" ht="15.75" customHeight="1">
      <c r="A939" s="110"/>
      <c r="B939" s="427"/>
      <c r="C939" s="110"/>
      <c r="D939" s="110"/>
      <c r="E939" s="110"/>
      <c r="F939" s="110"/>
      <c r="G939" s="110"/>
      <c r="H939" s="110"/>
      <c r="I939" s="110"/>
      <c r="J939" s="344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spans="1:26" ht="15.75" customHeight="1">
      <c r="A940" s="110"/>
      <c r="B940" s="427"/>
      <c r="C940" s="110"/>
      <c r="D940" s="110"/>
      <c r="E940" s="110"/>
      <c r="F940" s="110"/>
      <c r="G940" s="110"/>
      <c r="H940" s="110"/>
      <c r="I940" s="110"/>
      <c r="J940" s="344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spans="1:26" ht="15.75" customHeight="1">
      <c r="A941" s="110"/>
      <c r="B941" s="427"/>
      <c r="C941" s="110"/>
      <c r="D941" s="110"/>
      <c r="E941" s="110"/>
      <c r="F941" s="110"/>
      <c r="G941" s="110"/>
      <c r="H941" s="110"/>
      <c r="I941" s="110"/>
      <c r="J941" s="344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spans="1:26" ht="15.75" customHeight="1">
      <c r="A942" s="110"/>
      <c r="B942" s="427"/>
      <c r="C942" s="110"/>
      <c r="D942" s="110"/>
      <c r="E942" s="110"/>
      <c r="F942" s="110"/>
      <c r="G942" s="110"/>
      <c r="H942" s="110"/>
      <c r="I942" s="110"/>
      <c r="J942" s="344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spans="1:26" ht="15.75" customHeight="1">
      <c r="A943" s="110"/>
      <c r="B943" s="427"/>
      <c r="C943" s="110"/>
      <c r="D943" s="110"/>
      <c r="E943" s="110"/>
      <c r="F943" s="110"/>
      <c r="G943" s="110"/>
      <c r="H943" s="110"/>
      <c r="I943" s="110"/>
      <c r="J943" s="344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spans="1:26" ht="15.75" customHeight="1">
      <c r="A944" s="110"/>
      <c r="B944" s="427"/>
      <c r="C944" s="110"/>
      <c r="D944" s="110"/>
      <c r="E944" s="110"/>
      <c r="F944" s="110"/>
      <c r="G944" s="110"/>
      <c r="H944" s="110"/>
      <c r="I944" s="110"/>
      <c r="J944" s="344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spans="1:26" ht="15.75" customHeight="1">
      <c r="A945" s="110"/>
      <c r="B945" s="427"/>
      <c r="C945" s="110"/>
      <c r="D945" s="110"/>
      <c r="E945" s="110"/>
      <c r="F945" s="110"/>
      <c r="G945" s="110"/>
      <c r="H945" s="110"/>
      <c r="I945" s="110"/>
      <c r="J945" s="344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spans="1:26" ht="15.75" customHeight="1">
      <c r="A946" s="110"/>
      <c r="B946" s="427"/>
      <c r="C946" s="110"/>
      <c r="D946" s="110"/>
      <c r="E946" s="110"/>
      <c r="F946" s="110"/>
      <c r="G946" s="110"/>
      <c r="H946" s="110"/>
      <c r="I946" s="110"/>
      <c r="J946" s="344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spans="1:26" ht="15.75" customHeight="1">
      <c r="A947" s="110"/>
      <c r="B947" s="427"/>
      <c r="C947" s="110"/>
      <c r="D947" s="110"/>
      <c r="E947" s="110"/>
      <c r="F947" s="110"/>
      <c r="G947" s="110"/>
      <c r="H947" s="110"/>
      <c r="I947" s="110"/>
      <c r="J947" s="344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spans="1:26" ht="15.75" customHeight="1">
      <c r="A948" s="110"/>
      <c r="B948" s="427"/>
      <c r="C948" s="110"/>
      <c r="D948" s="110"/>
      <c r="E948" s="110"/>
      <c r="F948" s="110"/>
      <c r="G948" s="110"/>
      <c r="H948" s="110"/>
      <c r="I948" s="110"/>
      <c r="J948" s="344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spans="1:26" ht="15.75" customHeight="1">
      <c r="A949" s="110"/>
      <c r="B949" s="427"/>
      <c r="C949" s="110"/>
      <c r="D949" s="110"/>
      <c r="E949" s="110"/>
      <c r="F949" s="110"/>
      <c r="G949" s="110"/>
      <c r="H949" s="110"/>
      <c r="I949" s="110"/>
      <c r="J949" s="344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spans="1:26" ht="15.75" customHeight="1">
      <c r="A950" s="110"/>
      <c r="B950" s="427"/>
      <c r="C950" s="110"/>
      <c r="D950" s="110"/>
      <c r="E950" s="110"/>
      <c r="F950" s="110"/>
      <c r="G950" s="110"/>
      <c r="H950" s="110"/>
      <c r="I950" s="110"/>
      <c r="J950" s="344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spans="1:26" ht="15.75" customHeight="1">
      <c r="A951" s="110"/>
      <c r="B951" s="427"/>
      <c r="C951" s="110"/>
      <c r="D951" s="110"/>
      <c r="E951" s="110"/>
      <c r="F951" s="110"/>
      <c r="G951" s="110"/>
      <c r="H951" s="110"/>
      <c r="I951" s="110"/>
      <c r="J951" s="344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spans="1:26" ht="15.75" customHeight="1">
      <c r="A952" s="110"/>
      <c r="B952" s="427"/>
      <c r="C952" s="110"/>
      <c r="D952" s="110"/>
      <c r="E952" s="110"/>
      <c r="F952" s="110"/>
      <c r="G952" s="110"/>
      <c r="H952" s="110"/>
      <c r="I952" s="110"/>
      <c r="J952" s="344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spans="1:26" ht="15.75" customHeight="1">
      <c r="A953" s="110"/>
      <c r="B953" s="427"/>
      <c r="C953" s="110"/>
      <c r="D953" s="110"/>
      <c r="E953" s="110"/>
      <c r="F953" s="110"/>
      <c r="G953" s="110"/>
      <c r="H953" s="110"/>
      <c r="I953" s="110"/>
      <c r="J953" s="344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spans="1:26" ht="15.75" customHeight="1">
      <c r="A954" s="110"/>
      <c r="B954" s="427"/>
      <c r="C954" s="110"/>
      <c r="D954" s="110"/>
      <c r="E954" s="110"/>
      <c r="F954" s="110"/>
      <c r="G954" s="110"/>
      <c r="H954" s="110"/>
      <c r="I954" s="110"/>
      <c r="J954" s="344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spans="1:26" ht="15.75" customHeight="1">
      <c r="A955" s="110"/>
      <c r="B955" s="427"/>
      <c r="C955" s="110"/>
      <c r="D955" s="110"/>
      <c r="E955" s="110"/>
      <c r="F955" s="110"/>
      <c r="G955" s="110"/>
      <c r="H955" s="110"/>
      <c r="I955" s="110"/>
      <c r="J955" s="344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spans="1:26" ht="15.75" customHeight="1">
      <c r="A956" s="110"/>
      <c r="B956" s="427"/>
      <c r="C956" s="110"/>
      <c r="D956" s="110"/>
      <c r="E956" s="110"/>
      <c r="F956" s="110"/>
      <c r="G956" s="110"/>
      <c r="H956" s="110"/>
      <c r="I956" s="110"/>
      <c r="J956" s="344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spans="1:26" ht="15.75" customHeight="1">
      <c r="A957" s="110"/>
      <c r="B957" s="427"/>
      <c r="C957" s="110"/>
      <c r="D957" s="110"/>
      <c r="E957" s="110"/>
      <c r="F957" s="110"/>
      <c r="G957" s="110"/>
      <c r="H957" s="110"/>
      <c r="I957" s="110"/>
      <c r="J957" s="344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spans="1:26" ht="15.75" customHeight="1">
      <c r="A958" s="110"/>
      <c r="B958" s="427"/>
      <c r="C958" s="110"/>
      <c r="D958" s="110"/>
      <c r="E958" s="110"/>
      <c r="F958" s="110"/>
      <c r="G958" s="110"/>
      <c r="H958" s="110"/>
      <c r="I958" s="110"/>
      <c r="J958" s="344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spans="1:26" ht="15.75" customHeight="1">
      <c r="A959" s="110"/>
      <c r="B959" s="427"/>
      <c r="C959" s="110"/>
      <c r="D959" s="110"/>
      <c r="E959" s="110"/>
      <c r="F959" s="110"/>
      <c r="G959" s="110"/>
      <c r="H959" s="110"/>
      <c r="I959" s="110"/>
      <c r="J959" s="344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spans="1:26" ht="15.75" customHeight="1">
      <c r="A960" s="110"/>
      <c r="B960" s="427"/>
      <c r="C960" s="110"/>
      <c r="D960" s="110"/>
      <c r="E960" s="110"/>
      <c r="F960" s="110"/>
      <c r="G960" s="110"/>
      <c r="H960" s="110"/>
      <c r="I960" s="110"/>
      <c r="J960" s="344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spans="1:26" ht="15.75" customHeight="1">
      <c r="A961" s="110"/>
      <c r="B961" s="427"/>
      <c r="C961" s="110"/>
      <c r="D961" s="110"/>
      <c r="E961" s="110"/>
      <c r="F961" s="110"/>
      <c r="G961" s="110"/>
      <c r="H961" s="110"/>
      <c r="I961" s="110"/>
      <c r="J961" s="344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spans="1:26" ht="15.75" customHeight="1">
      <c r="A962" s="110"/>
      <c r="B962" s="427"/>
      <c r="C962" s="110"/>
      <c r="D962" s="110"/>
      <c r="E962" s="110"/>
      <c r="F962" s="110"/>
      <c r="G962" s="110"/>
      <c r="H962" s="110"/>
      <c r="I962" s="110"/>
      <c r="J962" s="344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spans="1:26" ht="15.75" customHeight="1">
      <c r="A963" s="110"/>
      <c r="B963" s="427"/>
      <c r="C963" s="110"/>
      <c r="D963" s="110"/>
      <c r="E963" s="110"/>
      <c r="F963" s="110"/>
      <c r="G963" s="110"/>
      <c r="H963" s="110"/>
      <c r="I963" s="110"/>
      <c r="J963" s="344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spans="1:26" ht="15.75" customHeight="1">
      <c r="A964" s="110"/>
      <c r="B964" s="427"/>
      <c r="C964" s="110"/>
      <c r="D964" s="110"/>
      <c r="E964" s="110"/>
      <c r="F964" s="110"/>
      <c r="G964" s="110"/>
      <c r="H964" s="110"/>
      <c r="I964" s="110"/>
      <c r="J964" s="344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spans="1:26" ht="15.75" customHeight="1">
      <c r="A965" s="110"/>
      <c r="B965" s="427"/>
      <c r="C965" s="110"/>
      <c r="D965" s="110"/>
      <c r="E965" s="110"/>
      <c r="F965" s="110"/>
      <c r="G965" s="110"/>
      <c r="H965" s="110"/>
      <c r="I965" s="110"/>
      <c r="J965" s="344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spans="1:26" ht="15.75" customHeight="1">
      <c r="A966" s="110"/>
      <c r="B966" s="427"/>
      <c r="C966" s="110"/>
      <c r="D966" s="110"/>
      <c r="E966" s="110"/>
      <c r="F966" s="110"/>
      <c r="G966" s="110"/>
      <c r="H966" s="110"/>
      <c r="I966" s="110"/>
      <c r="J966" s="344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spans="1:26" ht="15.75" customHeight="1">
      <c r="A967" s="110"/>
      <c r="B967" s="427"/>
      <c r="C967" s="110"/>
      <c r="D967" s="110"/>
      <c r="E967" s="110"/>
      <c r="F967" s="110"/>
      <c r="G967" s="110"/>
      <c r="H967" s="110"/>
      <c r="I967" s="110"/>
      <c r="J967" s="344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spans="1:26" ht="15.75" customHeight="1">
      <c r="A968" s="110"/>
      <c r="B968" s="427"/>
      <c r="C968" s="110"/>
      <c r="D968" s="110"/>
      <c r="E968" s="110"/>
      <c r="F968" s="110"/>
      <c r="G968" s="110"/>
      <c r="H968" s="110"/>
      <c r="I968" s="110"/>
      <c r="J968" s="344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spans="1:26" ht="15.75" customHeight="1">
      <c r="A969" s="110"/>
      <c r="B969" s="427"/>
      <c r="C969" s="110"/>
      <c r="D969" s="110"/>
      <c r="E969" s="110"/>
      <c r="F969" s="110"/>
      <c r="G969" s="110"/>
      <c r="H969" s="110"/>
      <c r="I969" s="110"/>
      <c r="J969" s="344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spans="1:26" ht="15.75" customHeight="1">
      <c r="A970" s="110"/>
      <c r="B970" s="427"/>
      <c r="C970" s="110"/>
      <c r="D970" s="110"/>
      <c r="E970" s="110"/>
      <c r="F970" s="110"/>
      <c r="G970" s="110"/>
      <c r="H970" s="110"/>
      <c r="I970" s="110"/>
      <c r="J970" s="344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spans="1:26" ht="15.75" customHeight="1">
      <c r="A971" s="110"/>
      <c r="B971" s="427"/>
      <c r="C971" s="110"/>
      <c r="D971" s="110"/>
      <c r="E971" s="110"/>
      <c r="F971" s="110"/>
      <c r="G971" s="110"/>
      <c r="H971" s="110"/>
      <c r="I971" s="110"/>
      <c r="J971" s="344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spans="1:26" ht="15.75" customHeight="1">
      <c r="A972" s="110"/>
      <c r="B972" s="427"/>
      <c r="C972" s="110"/>
      <c r="D972" s="110"/>
      <c r="E972" s="110"/>
      <c r="F972" s="110"/>
      <c r="G972" s="110"/>
      <c r="H972" s="110"/>
      <c r="I972" s="110"/>
      <c r="J972" s="344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spans="1:26" ht="15.75" customHeight="1">
      <c r="A973" s="110"/>
      <c r="B973" s="427"/>
      <c r="C973" s="110"/>
      <c r="D973" s="110"/>
      <c r="E973" s="110"/>
      <c r="F973" s="110"/>
      <c r="G973" s="110"/>
      <c r="H973" s="110"/>
      <c r="I973" s="110"/>
      <c r="J973" s="344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spans="1:26" ht="15.75" customHeight="1">
      <c r="A974" s="110"/>
      <c r="B974" s="427"/>
      <c r="C974" s="110"/>
      <c r="D974" s="110"/>
      <c r="E974" s="110"/>
      <c r="F974" s="110"/>
      <c r="G974" s="110"/>
      <c r="H974" s="110"/>
      <c r="I974" s="110"/>
      <c r="J974" s="344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spans="1:26" ht="15.75" customHeight="1">
      <c r="A975" s="110"/>
      <c r="B975" s="427"/>
      <c r="C975" s="110"/>
      <c r="D975" s="110"/>
      <c r="E975" s="110"/>
      <c r="F975" s="110"/>
      <c r="G975" s="110"/>
      <c r="H975" s="110"/>
      <c r="I975" s="110"/>
      <c r="J975" s="344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spans="1:26" ht="15.75" customHeight="1">
      <c r="A976" s="110"/>
      <c r="B976" s="427"/>
      <c r="C976" s="110"/>
      <c r="D976" s="110"/>
      <c r="E976" s="110"/>
      <c r="F976" s="110"/>
      <c r="G976" s="110"/>
      <c r="H976" s="110"/>
      <c r="I976" s="110"/>
      <c r="J976" s="344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spans="1:26" ht="15.75" customHeight="1">
      <c r="A977" s="110"/>
      <c r="B977" s="427"/>
      <c r="C977" s="110"/>
      <c r="D977" s="110"/>
      <c r="E977" s="110"/>
      <c r="F977" s="110"/>
      <c r="G977" s="110"/>
      <c r="H977" s="110"/>
      <c r="I977" s="110"/>
      <c r="J977" s="344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spans="1:26" ht="15.75" customHeight="1">
      <c r="A978" s="110"/>
      <c r="B978" s="427"/>
      <c r="C978" s="110"/>
      <c r="D978" s="110"/>
      <c r="E978" s="110"/>
      <c r="F978" s="110"/>
      <c r="G978" s="110"/>
      <c r="H978" s="110"/>
      <c r="I978" s="110"/>
      <c r="J978" s="344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spans="1:26" ht="15.75" customHeight="1">
      <c r="A979" s="110"/>
      <c r="B979" s="427"/>
      <c r="C979" s="110"/>
      <c r="D979" s="110"/>
      <c r="E979" s="110"/>
      <c r="F979" s="110"/>
      <c r="G979" s="110"/>
      <c r="H979" s="110"/>
      <c r="I979" s="110"/>
      <c r="J979" s="344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spans="1:26" ht="15.75" customHeight="1">
      <c r="A980" s="110"/>
      <c r="B980" s="427"/>
      <c r="C980" s="110"/>
      <c r="D980" s="110"/>
      <c r="E980" s="110"/>
      <c r="F980" s="110"/>
      <c r="G980" s="110"/>
      <c r="H980" s="110"/>
      <c r="I980" s="110"/>
      <c r="J980" s="344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spans="1:26" ht="15.75" customHeight="1">
      <c r="A981" s="110"/>
      <c r="B981" s="427"/>
      <c r="C981" s="110"/>
      <c r="D981" s="110"/>
      <c r="E981" s="110"/>
      <c r="F981" s="110"/>
      <c r="G981" s="110"/>
      <c r="H981" s="110"/>
      <c r="I981" s="110"/>
      <c r="J981" s="344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spans="1:26" ht="15.75" customHeight="1">
      <c r="A982" s="110"/>
      <c r="B982" s="427"/>
      <c r="C982" s="110"/>
      <c r="D982" s="110"/>
      <c r="E982" s="110"/>
      <c r="F982" s="110"/>
      <c r="G982" s="110"/>
      <c r="H982" s="110"/>
      <c r="I982" s="110"/>
      <c r="J982" s="344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spans="1:26" ht="15.75" customHeight="1">
      <c r="A983" s="110"/>
      <c r="B983" s="427"/>
      <c r="C983" s="110"/>
      <c r="D983" s="110"/>
      <c r="E983" s="110"/>
      <c r="F983" s="110"/>
      <c r="G983" s="110"/>
      <c r="H983" s="110"/>
      <c r="I983" s="110"/>
      <c r="J983" s="344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spans="1:26" ht="15.75" customHeight="1">
      <c r="A984" s="110"/>
      <c r="B984" s="427"/>
      <c r="C984" s="110"/>
      <c r="D984" s="110"/>
      <c r="E984" s="110"/>
      <c r="F984" s="110"/>
      <c r="G984" s="110"/>
      <c r="H984" s="110"/>
      <c r="I984" s="110"/>
      <c r="J984" s="344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spans="1:26" ht="15.75" customHeight="1">
      <c r="A985" s="110"/>
      <c r="B985" s="427"/>
      <c r="C985" s="110"/>
      <c r="D985" s="110"/>
      <c r="E985" s="110"/>
      <c r="F985" s="110"/>
      <c r="G985" s="110"/>
      <c r="H985" s="110"/>
      <c r="I985" s="110"/>
      <c r="J985" s="344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spans="1:26" ht="15.75" customHeight="1">
      <c r="A986" s="110"/>
      <c r="B986" s="427"/>
      <c r="C986" s="110"/>
      <c r="D986" s="110"/>
      <c r="E986" s="110"/>
      <c r="F986" s="110"/>
      <c r="G986" s="110"/>
      <c r="H986" s="110"/>
      <c r="I986" s="110"/>
      <c r="J986" s="344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spans="1:26" ht="15.75" customHeight="1">
      <c r="A987" s="110"/>
      <c r="B987" s="427"/>
      <c r="C987" s="110"/>
      <c r="D987" s="110"/>
      <c r="E987" s="110"/>
      <c r="F987" s="110"/>
      <c r="G987" s="110"/>
      <c r="H987" s="110"/>
      <c r="I987" s="110"/>
      <c r="J987" s="344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spans="1:26" ht="15.75" customHeight="1">
      <c r="A988" s="110"/>
      <c r="B988" s="427"/>
      <c r="C988" s="110"/>
      <c r="D988" s="110"/>
      <c r="E988" s="110"/>
      <c r="F988" s="110"/>
      <c r="G988" s="110"/>
      <c r="H988" s="110"/>
      <c r="I988" s="110"/>
      <c r="J988" s="344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spans="1:26" ht="15.75" customHeight="1">
      <c r="A989" s="110"/>
      <c r="B989" s="427"/>
      <c r="C989" s="110"/>
      <c r="D989" s="110"/>
      <c r="E989" s="110"/>
      <c r="F989" s="110"/>
      <c r="G989" s="110"/>
      <c r="H989" s="110"/>
      <c r="I989" s="110"/>
      <c r="J989" s="344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spans="1:26" ht="15.75" customHeight="1">
      <c r="A990" s="110"/>
      <c r="B990" s="427"/>
      <c r="C990" s="110"/>
      <c r="D990" s="110"/>
      <c r="E990" s="110"/>
      <c r="F990" s="110"/>
      <c r="G990" s="110"/>
      <c r="H990" s="110"/>
      <c r="I990" s="110"/>
      <c r="J990" s="344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spans="1:26" ht="15.75" customHeight="1">
      <c r="A991" s="110"/>
      <c r="B991" s="427"/>
      <c r="C991" s="110"/>
      <c r="D991" s="110"/>
      <c r="E991" s="110"/>
      <c r="F991" s="110"/>
      <c r="G991" s="110"/>
      <c r="H991" s="110"/>
      <c r="I991" s="110"/>
      <c r="J991" s="344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spans="1:26" ht="15.75" customHeight="1">
      <c r="A992" s="110"/>
      <c r="B992" s="427"/>
      <c r="C992" s="110"/>
      <c r="D992" s="110"/>
      <c r="E992" s="110"/>
      <c r="F992" s="110"/>
      <c r="G992" s="110"/>
      <c r="H992" s="110"/>
      <c r="I992" s="110"/>
      <c r="J992" s="344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spans="1:26" ht="15.75" customHeight="1">
      <c r="A993" s="110"/>
      <c r="B993" s="427"/>
      <c r="C993" s="110"/>
      <c r="D993" s="110"/>
      <c r="E993" s="110"/>
      <c r="F993" s="110"/>
      <c r="G993" s="110"/>
      <c r="H993" s="110"/>
      <c r="I993" s="110"/>
      <c r="J993" s="344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spans="1:26" ht="15.75" customHeight="1">
      <c r="A994" s="110"/>
      <c r="B994" s="427"/>
      <c r="C994" s="110"/>
      <c r="D994" s="110"/>
      <c r="E994" s="110"/>
      <c r="F994" s="110"/>
      <c r="G994" s="110"/>
      <c r="H994" s="110"/>
      <c r="I994" s="110"/>
      <c r="J994" s="344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spans="1:26" ht="15.75" customHeight="1">
      <c r="A995" s="110"/>
      <c r="B995" s="427"/>
      <c r="C995" s="110"/>
      <c r="D995" s="110"/>
      <c r="E995" s="110"/>
      <c r="F995" s="110"/>
      <c r="G995" s="110"/>
      <c r="H995" s="110"/>
      <c r="I995" s="110"/>
      <c r="J995" s="344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spans="1:26" ht="15.75" customHeight="1">
      <c r="A996" s="110"/>
      <c r="B996" s="427"/>
      <c r="C996" s="110"/>
      <c r="D996" s="110"/>
      <c r="E996" s="110"/>
      <c r="F996" s="110"/>
      <c r="G996" s="110"/>
      <c r="H996" s="110"/>
      <c r="I996" s="110"/>
      <c r="J996" s="344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spans="1:26" ht="15.75" customHeight="1">
      <c r="A997" s="110"/>
      <c r="B997" s="427"/>
      <c r="C997" s="110"/>
      <c r="D997" s="110"/>
      <c r="E997" s="110"/>
      <c r="F997" s="110"/>
      <c r="G997" s="110"/>
      <c r="H997" s="110"/>
      <c r="I997" s="110"/>
      <c r="J997" s="344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spans="1:26" ht="15.75" customHeight="1">
      <c r="A998" s="110"/>
      <c r="B998" s="427"/>
      <c r="C998" s="110"/>
      <c r="D998" s="110"/>
      <c r="E998" s="110"/>
      <c r="F998" s="110"/>
      <c r="G998" s="110"/>
      <c r="H998" s="110"/>
      <c r="I998" s="110"/>
      <c r="J998" s="344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spans="1:26" ht="15.75" customHeight="1">
      <c r="A999" s="110"/>
      <c r="B999" s="427"/>
      <c r="C999" s="110"/>
      <c r="D999" s="110"/>
      <c r="E999" s="110"/>
      <c r="F999" s="110"/>
      <c r="G999" s="110"/>
      <c r="H999" s="110"/>
      <c r="I999" s="110"/>
      <c r="J999" s="344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spans="1:26" ht="15.75" customHeight="1">
      <c r="A1000" s="110"/>
      <c r="B1000" s="427"/>
      <c r="C1000" s="110"/>
      <c r="D1000" s="110"/>
      <c r="E1000" s="110"/>
      <c r="F1000" s="110"/>
      <c r="G1000" s="110"/>
      <c r="H1000" s="110"/>
      <c r="I1000" s="110"/>
      <c r="J1000" s="344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  <row r="1001" spans="1:26" ht="15.75" customHeight="1">
      <c r="A1001" s="110"/>
      <c r="B1001" s="427"/>
      <c r="C1001" s="110"/>
      <c r="D1001" s="110"/>
      <c r="E1001" s="110"/>
      <c r="F1001" s="110"/>
      <c r="G1001" s="110"/>
      <c r="H1001" s="110"/>
      <c r="I1001" s="110"/>
      <c r="J1001" s="344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</row>
    <row r="1002" spans="1:26" ht="15.75" customHeight="1">
      <c r="A1002" s="110"/>
      <c r="B1002" s="427"/>
      <c r="C1002" s="110"/>
      <c r="D1002" s="110"/>
      <c r="E1002" s="110"/>
      <c r="F1002" s="110"/>
      <c r="G1002" s="110"/>
      <c r="H1002" s="110"/>
      <c r="I1002" s="110"/>
      <c r="J1002" s="344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</row>
    <row r="1003" spans="1:26" ht="15.75" customHeight="1">
      <c r="A1003" s="110"/>
      <c r="B1003" s="427"/>
      <c r="C1003" s="110"/>
      <c r="D1003" s="110"/>
      <c r="E1003" s="110"/>
      <c r="F1003" s="110"/>
      <c r="G1003" s="110"/>
      <c r="H1003" s="110"/>
      <c r="I1003" s="110"/>
      <c r="J1003" s="344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</row>
    <row r="1004" spans="1:26" ht="15.75" customHeight="1">
      <c r="A1004" s="110"/>
      <c r="B1004" s="427"/>
      <c r="C1004" s="110"/>
      <c r="D1004" s="110"/>
      <c r="E1004" s="110"/>
      <c r="F1004" s="110"/>
      <c r="G1004" s="110"/>
      <c r="H1004" s="110"/>
      <c r="I1004" s="110"/>
      <c r="J1004" s="344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</row>
    <row r="1005" spans="1:26" ht="15.75" customHeight="1">
      <c r="A1005" s="110"/>
      <c r="B1005" s="427"/>
      <c r="C1005" s="110"/>
      <c r="D1005" s="110"/>
      <c r="E1005" s="110"/>
      <c r="F1005" s="110"/>
      <c r="G1005" s="110"/>
      <c r="H1005" s="110"/>
      <c r="I1005" s="110"/>
      <c r="J1005" s="344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</row>
    <row r="1006" spans="1:26" ht="15.75" customHeight="1">
      <c r="A1006" s="110"/>
      <c r="B1006" s="427"/>
      <c r="C1006" s="110"/>
      <c r="D1006" s="110"/>
      <c r="E1006" s="110"/>
      <c r="F1006" s="110"/>
      <c r="G1006" s="110"/>
      <c r="H1006" s="110"/>
      <c r="I1006" s="110"/>
      <c r="J1006" s="344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</row>
    <row r="1007" spans="1:26" ht="15.75" customHeight="1">
      <c r="A1007" s="110"/>
      <c r="B1007" s="427"/>
      <c r="C1007" s="110"/>
      <c r="D1007" s="110"/>
      <c r="E1007" s="110"/>
      <c r="F1007" s="110"/>
      <c r="G1007" s="110"/>
      <c r="H1007" s="110"/>
      <c r="I1007" s="110"/>
      <c r="J1007" s="344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</row>
  </sheetData>
  <mergeCells count="1">
    <mergeCell ref="B4:C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J1098"/>
  <sheetViews>
    <sheetView tabSelected="1" workbookViewId="0">
      <pane xSplit="3" ySplit="7" topLeftCell="D710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/>
  <cols>
    <col min="1" max="1" width="1" customWidth="1"/>
    <col min="2" max="2" width="8.28515625" customWidth="1"/>
    <col min="3" max="3" width="29.7109375" customWidth="1"/>
    <col min="4" max="4" width="10" customWidth="1"/>
    <col min="5" max="5" width="13.5703125" customWidth="1"/>
    <col min="6" max="6" width="10" customWidth="1"/>
    <col min="7" max="7" width="14.42578125" customWidth="1"/>
    <col min="8" max="8" width="10" customWidth="1"/>
    <col min="9" max="9" width="9" customWidth="1"/>
    <col min="10" max="10" width="14.5703125" customWidth="1"/>
    <col min="11" max="11" width="13.28515625" customWidth="1"/>
    <col min="12" max="12" width="10" customWidth="1"/>
    <col min="13" max="13" width="14" customWidth="1"/>
    <col min="14" max="14" width="14.5703125" customWidth="1"/>
    <col min="15" max="15" width="9.140625" customWidth="1"/>
    <col min="16" max="16" width="13" customWidth="1"/>
    <col min="17" max="17" width="13.5703125" bestFit="1" customWidth="1"/>
    <col min="18" max="18" width="14.5703125" customWidth="1"/>
    <col min="19" max="19" width="13.28515625" customWidth="1"/>
    <col min="20" max="20" width="15" customWidth="1"/>
    <col min="21" max="21" width="15.7109375" customWidth="1"/>
    <col min="22" max="29" width="14.28515625" customWidth="1"/>
    <col min="30" max="30" width="13.5703125" customWidth="1"/>
    <col min="31" max="31" width="11.7109375" customWidth="1"/>
    <col min="32" max="36" width="6.140625" customWidth="1"/>
  </cols>
  <sheetData>
    <row r="1" spans="1:36" ht="13.5" customHeight="1">
      <c r="A1" s="2"/>
      <c r="B1" s="2"/>
      <c r="C1" s="2"/>
      <c r="D1" s="222"/>
      <c r="E1" s="102"/>
      <c r="F1" s="102"/>
      <c r="G1" s="102"/>
      <c r="H1" s="102"/>
      <c r="I1" s="223"/>
      <c r="J1" s="102"/>
      <c r="K1" s="78"/>
      <c r="L1" s="224"/>
      <c r="M1" s="77"/>
      <c r="N1" s="77"/>
      <c r="O1" s="224"/>
      <c r="P1" s="102"/>
      <c r="Q1" s="102"/>
      <c r="R1" s="102"/>
      <c r="S1" s="225"/>
      <c r="T1" s="226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3.5" customHeight="1">
      <c r="A2" s="4"/>
      <c r="B2" s="227" t="s">
        <v>3807</v>
      </c>
      <c r="C2" s="4"/>
      <c r="D2" s="224"/>
      <c r="E2" s="102"/>
      <c r="F2" s="102"/>
      <c r="G2" s="102"/>
      <c r="H2" s="102"/>
      <c r="I2" s="223"/>
      <c r="J2" s="102"/>
      <c r="K2" s="78"/>
      <c r="L2" s="224"/>
      <c r="M2" s="77"/>
      <c r="N2" s="77"/>
      <c r="O2" s="224"/>
      <c r="P2" s="102"/>
      <c r="Q2" s="102"/>
      <c r="R2" s="102"/>
      <c r="S2" s="225"/>
      <c r="T2" s="226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3.5" customHeight="1">
      <c r="A3" s="4"/>
      <c r="B3" s="228" t="str">
        <f>GL!I3</f>
        <v>MONTH OF June 2026</v>
      </c>
      <c r="C3" s="229"/>
      <c r="D3" s="224"/>
      <c r="E3" s="102"/>
      <c r="F3" s="102"/>
      <c r="G3" s="102"/>
      <c r="H3" s="102"/>
      <c r="I3" s="223"/>
      <c r="J3" s="102"/>
      <c r="K3" s="78"/>
      <c r="L3" s="224"/>
      <c r="M3" s="77"/>
      <c r="N3" s="77"/>
      <c r="O3" s="224"/>
      <c r="P3" s="102"/>
      <c r="Q3" s="102"/>
      <c r="R3" s="102"/>
      <c r="S3" s="225"/>
      <c r="T3" s="226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3.5" customHeight="1">
      <c r="A4" s="2"/>
      <c r="B4" s="489" t="s">
        <v>1</v>
      </c>
      <c r="C4" s="490"/>
      <c r="D4" s="492" t="s">
        <v>89</v>
      </c>
      <c r="E4" s="487" t="s">
        <v>3808</v>
      </c>
      <c r="F4" s="484"/>
      <c r="G4" s="487" t="s">
        <v>3809</v>
      </c>
      <c r="H4" s="484"/>
      <c r="I4" s="493" t="s">
        <v>89</v>
      </c>
      <c r="J4" s="487" t="s">
        <v>3810</v>
      </c>
      <c r="K4" s="484"/>
      <c r="L4" s="494" t="s">
        <v>89</v>
      </c>
      <c r="M4" s="483" t="s">
        <v>3811</v>
      </c>
      <c r="N4" s="484"/>
      <c r="O4" s="485" t="s">
        <v>89</v>
      </c>
      <c r="P4" s="487" t="s">
        <v>3812</v>
      </c>
      <c r="Q4" s="484"/>
      <c r="R4" s="488" t="s">
        <v>3813</v>
      </c>
      <c r="S4" s="230"/>
      <c r="T4" s="231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1:36" ht="13.5" customHeight="1">
      <c r="A5" s="2"/>
      <c r="B5" s="491"/>
      <c r="C5" s="480"/>
      <c r="D5" s="480"/>
      <c r="E5" s="232" t="s">
        <v>3814</v>
      </c>
      <c r="F5" s="232" t="s">
        <v>3815</v>
      </c>
      <c r="G5" s="232" t="s">
        <v>3814</v>
      </c>
      <c r="H5" s="232" t="s">
        <v>3815</v>
      </c>
      <c r="I5" s="486"/>
      <c r="J5" s="233" t="s">
        <v>3816</v>
      </c>
      <c r="K5" s="234" t="s">
        <v>3817</v>
      </c>
      <c r="L5" s="486"/>
      <c r="M5" s="235" t="s">
        <v>3816</v>
      </c>
      <c r="N5" s="235" t="s">
        <v>3817</v>
      </c>
      <c r="O5" s="486"/>
      <c r="P5" s="232" t="s">
        <v>3816</v>
      </c>
      <c r="Q5" s="232" t="s">
        <v>3817</v>
      </c>
      <c r="R5" s="486"/>
      <c r="S5" s="230"/>
      <c r="T5" s="231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36" ht="13.5" customHeight="1">
      <c r="A6" s="2"/>
      <c r="B6" s="236" t="s">
        <v>3818</v>
      </c>
      <c r="C6" s="237" t="s">
        <v>3819</v>
      </c>
      <c r="D6" s="238"/>
      <c r="E6" s="239"/>
      <c r="F6" s="239"/>
      <c r="G6" s="239"/>
      <c r="H6" s="240"/>
      <c r="I6" s="241"/>
      <c r="J6" s="199"/>
      <c r="K6" s="239"/>
      <c r="L6" s="242"/>
      <c r="M6" s="243"/>
      <c r="N6" s="243"/>
      <c r="O6" s="242"/>
      <c r="P6" s="236"/>
      <c r="Q6" s="236"/>
      <c r="R6" s="239"/>
      <c r="S6" s="225"/>
      <c r="T6" s="226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3.5" customHeight="1">
      <c r="A7" s="81"/>
      <c r="B7" s="234" t="s">
        <v>3621</v>
      </c>
      <c r="C7" s="244" t="s">
        <v>3820</v>
      </c>
      <c r="D7" s="245">
        <f t="shared" ref="D7:R7" si="0">SUM(D9:D296)</f>
        <v>2458.0854509803921</v>
      </c>
      <c r="E7" s="245">
        <f t="shared" si="0"/>
        <v>82057462.407499984</v>
      </c>
      <c r="F7" s="245">
        <f t="shared" si="0"/>
        <v>0</v>
      </c>
      <c r="G7" s="245">
        <f t="shared" si="0"/>
        <v>82057462.407499984</v>
      </c>
      <c r="H7" s="245">
        <f t="shared" si="0"/>
        <v>0</v>
      </c>
      <c r="I7" s="245">
        <f t="shared" si="0"/>
        <v>592.74</v>
      </c>
      <c r="J7" s="245">
        <f t="shared" si="0"/>
        <v>10704090</v>
      </c>
      <c r="K7" s="245">
        <f t="shared" si="0"/>
        <v>34932753</v>
      </c>
      <c r="L7" s="245">
        <f t="shared" si="0"/>
        <v>3050.8254509803905</v>
      </c>
      <c r="M7" s="245">
        <f t="shared" si="0"/>
        <v>10986442.182229782</v>
      </c>
      <c r="N7" s="245">
        <f t="shared" si="0"/>
        <v>116990215.40749998</v>
      </c>
      <c r="O7" s="245">
        <f t="shared" si="0"/>
        <v>1046.7300000000002</v>
      </c>
      <c r="P7" s="245">
        <f t="shared" si="0"/>
        <v>10986442.182229782</v>
      </c>
      <c r="Q7" s="245">
        <f t="shared" si="0"/>
        <v>45808209.406244598</v>
      </c>
      <c r="R7" s="245">
        <f t="shared" si="0"/>
        <v>71182006.001255453</v>
      </c>
      <c r="S7" s="246">
        <f>TB!X44</f>
        <v>45808208.406244531</v>
      </c>
      <c r="T7" s="246">
        <f>Q7-S7</f>
        <v>1.0000000670552254</v>
      </c>
      <c r="U7" s="246"/>
      <c r="V7" s="246"/>
      <c r="W7" s="246"/>
      <c r="X7" s="246"/>
      <c r="Y7" s="246"/>
      <c r="Z7" s="246"/>
      <c r="AA7" s="246"/>
      <c r="AB7" s="246"/>
      <c r="AC7" s="246"/>
      <c r="AD7" s="81"/>
      <c r="AE7" s="81"/>
      <c r="AF7" s="81"/>
      <c r="AG7" s="81"/>
      <c r="AH7" s="81"/>
      <c r="AI7" s="81"/>
      <c r="AJ7" s="81"/>
    </row>
    <row r="8" spans="1:36" ht="13.5" customHeight="1">
      <c r="A8" s="4"/>
      <c r="B8" s="236"/>
      <c r="C8" s="247" t="s">
        <v>3821</v>
      </c>
      <c r="D8" s="248"/>
      <c r="E8" s="249"/>
      <c r="F8" s="249"/>
      <c r="G8" s="249"/>
      <c r="H8" s="51"/>
      <c r="I8" s="250"/>
      <c r="J8" s="251"/>
      <c r="K8" s="252"/>
      <c r="L8" s="253"/>
      <c r="M8" s="128"/>
      <c r="N8" s="128">
        <f t="shared" ref="N8:N262" si="1">G8+K8</f>
        <v>0</v>
      </c>
      <c r="O8" s="254"/>
      <c r="P8" s="128">
        <f t="shared" ref="P8:P262" si="2">M8</f>
        <v>0</v>
      </c>
      <c r="Q8" s="18">
        <f t="shared" ref="Q8:Q262" si="3">O8*P8</f>
        <v>0</v>
      </c>
      <c r="R8" s="255">
        <f t="shared" ref="R8:R262" si="4">N8-Q8</f>
        <v>0</v>
      </c>
      <c r="S8" s="230"/>
      <c r="T8" s="231"/>
      <c r="U8" s="30"/>
      <c r="V8" s="30"/>
      <c r="W8" s="30"/>
      <c r="X8" s="30"/>
      <c r="Y8" s="30"/>
      <c r="Z8" s="30"/>
      <c r="AA8" s="30"/>
      <c r="AB8" s="30"/>
      <c r="AC8" s="30"/>
      <c r="AD8" s="1"/>
      <c r="AE8" s="1"/>
      <c r="AF8" s="1"/>
      <c r="AG8" s="1"/>
      <c r="AH8" s="1"/>
      <c r="AI8" s="1"/>
      <c r="AJ8" s="1"/>
    </row>
    <row r="9" spans="1:36" ht="13.5" customHeight="1">
      <c r="A9" s="4"/>
      <c r="B9" s="15" t="str">
        <f>TB!B46</f>
        <v>M001</v>
      </c>
      <c r="C9" s="256" t="str">
        <f>TB!C46</f>
        <v>Minced Beef</v>
      </c>
      <c r="D9" s="257">
        <f>SUMIF(GL!$D$5:$D$6446,B9,GL!$G$5:$G$6446)</f>
        <v>20.14</v>
      </c>
      <c r="E9" s="258">
        <f>SUMIF(GL!$D$6:$D$6484,B9,GL!$H$6:$H$6484)</f>
        <v>2548780</v>
      </c>
      <c r="F9" s="258">
        <f>SUMIF(GL!$D$6:$D$6484,B9,GL!$I$6:$I$6484)</f>
        <v>0</v>
      </c>
      <c r="G9" s="258">
        <f t="shared" ref="G9:G263" si="5">IF(E9&gt;F9,E9-F9,0)</f>
        <v>2548780</v>
      </c>
      <c r="H9" s="258">
        <f t="shared" ref="H9:H263" si="6">IF(F9&gt;E9,F9-E9,0)</f>
        <v>0</v>
      </c>
      <c r="I9" s="250">
        <v>8</v>
      </c>
      <c r="J9" s="251">
        <v>125039</v>
      </c>
      <c r="K9" s="252">
        <v>1000316</v>
      </c>
      <c r="L9" s="253">
        <f>D9+I9</f>
        <v>28.14</v>
      </c>
      <c r="M9" s="128">
        <f>(G9+K9)/L9</f>
        <v>126122.81449893391</v>
      </c>
      <c r="N9" s="128">
        <f t="shared" si="1"/>
        <v>3549096</v>
      </c>
      <c r="O9" s="254">
        <v>13</v>
      </c>
      <c r="P9" s="128">
        <f t="shared" si="2"/>
        <v>126122.81449893391</v>
      </c>
      <c r="Q9" s="18">
        <f t="shared" si="3"/>
        <v>1639596.5884861408</v>
      </c>
      <c r="R9" s="255">
        <f t="shared" si="4"/>
        <v>1909499.4115138592</v>
      </c>
      <c r="S9" s="230"/>
      <c r="T9" s="226">
        <f t="shared" ref="T9:T167" si="7">J9-M9</f>
        <v>-1083.8144989339053</v>
      </c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1"/>
      <c r="AG9" s="1"/>
      <c r="AH9" s="1"/>
      <c r="AI9" s="1"/>
      <c r="AJ9" s="1"/>
    </row>
    <row r="10" spans="1:36" ht="13.5" customHeight="1">
      <c r="A10" s="4"/>
      <c r="B10" s="15" t="str">
        <f>TB!B47</f>
        <v>M002</v>
      </c>
      <c r="C10" s="256" t="str">
        <f>TB!C47</f>
        <v>Sausage/Sosis / Beef</v>
      </c>
      <c r="D10" s="257">
        <f>SUMIF(GL!$D$5:$D$6446,B10,GL!$G$5:$G$6446)</f>
        <v>0</v>
      </c>
      <c r="E10" s="258">
        <f>SUMIF(GL!$D$6:$D$6484,B10,GL!$H$6:$H$6484)</f>
        <v>0</v>
      </c>
      <c r="F10" s="258">
        <f>SUMIF(GL!$D$6:$D$6484,B10,GL!$I$6:$I$6484)</f>
        <v>0</v>
      </c>
      <c r="G10" s="258">
        <f t="shared" si="5"/>
        <v>0</v>
      </c>
      <c r="H10" s="258">
        <f t="shared" si="6"/>
        <v>0</v>
      </c>
      <c r="I10" s="250"/>
      <c r="J10" s="251"/>
      <c r="K10" s="252"/>
      <c r="L10" s="253"/>
      <c r="M10" s="128"/>
      <c r="N10" s="128">
        <f t="shared" si="1"/>
        <v>0</v>
      </c>
      <c r="O10" s="254"/>
      <c r="P10" s="128">
        <f t="shared" si="2"/>
        <v>0</v>
      </c>
      <c r="Q10" s="18">
        <f t="shared" si="3"/>
        <v>0</v>
      </c>
      <c r="R10" s="255">
        <f t="shared" si="4"/>
        <v>0</v>
      </c>
      <c r="S10" s="230"/>
      <c r="T10" s="226">
        <f t="shared" si="7"/>
        <v>0</v>
      </c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1"/>
      <c r="AG10" s="1"/>
      <c r="AH10" s="1"/>
      <c r="AI10" s="1"/>
      <c r="AJ10" s="1"/>
    </row>
    <row r="11" spans="1:36" ht="13.5" customHeight="1">
      <c r="A11" s="4"/>
      <c r="B11" s="15" t="str">
        <f>TB!B48</f>
        <v>M003</v>
      </c>
      <c r="C11" s="256" t="str">
        <f>TB!C48</f>
        <v>Beef Scalopine</v>
      </c>
      <c r="D11" s="257">
        <f>SUMIF(GL!$D$5:$D$6446,B11,GL!$G$5:$G$6446)</f>
        <v>0</v>
      </c>
      <c r="E11" s="258">
        <f>SUMIF(GL!$D$6:$D$6484,B11,GL!$H$6:$H$6484)</f>
        <v>0</v>
      </c>
      <c r="F11" s="258">
        <f>SUMIF(GL!$D$6:$D$6484,B11,GL!$I$6:$I$6484)</f>
        <v>0</v>
      </c>
      <c r="G11" s="258">
        <f t="shared" si="5"/>
        <v>0</v>
      </c>
      <c r="H11" s="258">
        <f t="shared" si="6"/>
        <v>0</v>
      </c>
      <c r="I11" s="250"/>
      <c r="J11" s="251"/>
      <c r="K11" s="252"/>
      <c r="L11" s="253"/>
      <c r="M11" s="128"/>
      <c r="N11" s="128">
        <f t="shared" si="1"/>
        <v>0</v>
      </c>
      <c r="O11" s="254"/>
      <c r="P11" s="128">
        <f t="shared" si="2"/>
        <v>0</v>
      </c>
      <c r="Q11" s="18">
        <f t="shared" si="3"/>
        <v>0</v>
      </c>
      <c r="R11" s="255">
        <f t="shared" si="4"/>
        <v>0</v>
      </c>
      <c r="S11" s="230"/>
      <c r="T11" s="226">
        <f t="shared" si="7"/>
        <v>0</v>
      </c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1"/>
      <c r="AG11" s="1"/>
      <c r="AH11" s="1"/>
      <c r="AI11" s="1"/>
      <c r="AJ11" s="1"/>
    </row>
    <row r="12" spans="1:36" ht="13.5" customHeight="1">
      <c r="A12" s="4"/>
      <c r="B12" s="15" t="str">
        <f>TB!B49</f>
        <v>M004</v>
      </c>
      <c r="C12" s="256" t="str">
        <f>TB!C49</f>
        <v>Beef Pepperoni</v>
      </c>
      <c r="D12" s="257">
        <f>SUMIF(GL!$D$5:$D$6446,B12,GL!$G$5:$G$6446)</f>
        <v>0</v>
      </c>
      <c r="E12" s="258">
        <f>SUMIF(GL!$D$6:$D$6484,B12,GL!$H$6:$H$6484)</f>
        <v>0</v>
      </c>
      <c r="F12" s="258">
        <f>SUMIF(GL!$D$6:$D$6484,B12,GL!$I$6:$I$6484)</f>
        <v>0</v>
      </c>
      <c r="G12" s="258">
        <f t="shared" si="5"/>
        <v>0</v>
      </c>
      <c r="H12" s="258">
        <f t="shared" si="6"/>
        <v>0</v>
      </c>
      <c r="I12" s="250"/>
      <c r="J12" s="251"/>
      <c r="K12" s="252"/>
      <c r="L12" s="253"/>
      <c r="M12" s="128"/>
      <c r="N12" s="128">
        <f t="shared" si="1"/>
        <v>0</v>
      </c>
      <c r="O12" s="254"/>
      <c r="P12" s="128">
        <f t="shared" si="2"/>
        <v>0</v>
      </c>
      <c r="Q12" s="18">
        <f t="shared" si="3"/>
        <v>0</v>
      </c>
      <c r="R12" s="255">
        <f t="shared" si="4"/>
        <v>0</v>
      </c>
      <c r="S12" s="230"/>
      <c r="T12" s="226">
        <f t="shared" si="7"/>
        <v>0</v>
      </c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1"/>
      <c r="AG12" s="1"/>
      <c r="AH12" s="1"/>
      <c r="AI12" s="1"/>
      <c r="AJ12" s="1"/>
    </row>
    <row r="13" spans="1:36" ht="13.5" customHeight="1">
      <c r="A13" s="4"/>
      <c r="B13" s="15" t="str">
        <f>TB!B50</f>
        <v>M005</v>
      </c>
      <c r="C13" s="256" t="str">
        <f>TB!C50</f>
        <v>Chorizo Pork</v>
      </c>
      <c r="D13" s="257">
        <f>SUMIF(GL!$D$5:$D$6446,B13,GL!$G$5:$G$6446)</f>
        <v>4.3</v>
      </c>
      <c r="E13" s="258">
        <f>SUMIF(GL!$D$6:$D$6484,B13,GL!$H$6:$H$6484)</f>
        <v>811410</v>
      </c>
      <c r="F13" s="258">
        <f>SUMIF(GL!$D$6:$D$6484,B13,GL!$I$6:$I$6484)</f>
        <v>0</v>
      </c>
      <c r="G13" s="258">
        <f t="shared" si="5"/>
        <v>811410</v>
      </c>
      <c r="H13" s="258">
        <f t="shared" si="6"/>
        <v>0</v>
      </c>
      <c r="I13" s="250">
        <v>3.35</v>
      </c>
      <c r="J13" s="251">
        <v>185370</v>
      </c>
      <c r="K13" s="252">
        <v>620989</v>
      </c>
      <c r="L13" s="253">
        <f t="shared" ref="L13:L14" si="8">D13+I13</f>
        <v>7.65</v>
      </c>
      <c r="M13" s="128">
        <f t="shared" ref="M13:M14" si="9">(G13+K13)/L13</f>
        <v>187241.69934640522</v>
      </c>
      <c r="N13" s="128">
        <f t="shared" si="1"/>
        <v>1432399</v>
      </c>
      <c r="O13" s="254">
        <v>5.49</v>
      </c>
      <c r="P13" s="128">
        <f t="shared" si="2"/>
        <v>187241.69934640522</v>
      </c>
      <c r="Q13" s="18">
        <f t="shared" si="3"/>
        <v>1027956.9294117647</v>
      </c>
      <c r="R13" s="255">
        <f t="shared" si="4"/>
        <v>404442.07058823528</v>
      </c>
      <c r="S13" s="230"/>
      <c r="T13" s="226">
        <f t="shared" si="7"/>
        <v>-1871.6993464052211</v>
      </c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1"/>
      <c r="AG13" s="1"/>
      <c r="AH13" s="1"/>
      <c r="AI13" s="1"/>
      <c r="AJ13" s="1"/>
    </row>
    <row r="14" spans="1:36" ht="13.5" customHeight="1">
      <c r="A14" s="4"/>
      <c r="B14" s="15" t="str">
        <f>TB!B51</f>
        <v>M006</v>
      </c>
      <c r="C14" s="256" t="str">
        <f>TB!C51</f>
        <v>Salami</v>
      </c>
      <c r="D14" s="257">
        <f>SUMIF(GL!$D$5:$D$6446,B14,GL!$G$5:$G$6446)</f>
        <v>0</v>
      </c>
      <c r="E14" s="258">
        <f>SUMIF(GL!$D$6:$D$6484,B14,GL!$H$6:$H$6484)</f>
        <v>0</v>
      </c>
      <c r="F14" s="258">
        <f>SUMIF(GL!$D$6:$D$6484,B14,GL!$I$6:$I$6484)</f>
        <v>0</v>
      </c>
      <c r="G14" s="258">
        <f t="shared" si="5"/>
        <v>0</v>
      </c>
      <c r="H14" s="258">
        <f t="shared" si="6"/>
        <v>0</v>
      </c>
      <c r="I14" s="250">
        <v>2.15</v>
      </c>
      <c r="J14" s="251">
        <v>148931</v>
      </c>
      <c r="K14" s="252">
        <v>320201</v>
      </c>
      <c r="L14" s="253">
        <f t="shared" si="8"/>
        <v>2.15</v>
      </c>
      <c r="M14" s="128">
        <f t="shared" si="9"/>
        <v>148930.69767441862</v>
      </c>
      <c r="N14" s="128">
        <f t="shared" si="1"/>
        <v>320201</v>
      </c>
      <c r="O14" s="254">
        <v>3.1</v>
      </c>
      <c r="P14" s="128">
        <f t="shared" si="2"/>
        <v>148930.69767441862</v>
      </c>
      <c r="Q14" s="18">
        <f t="shared" si="3"/>
        <v>461685.16279069777</v>
      </c>
      <c r="R14" s="255">
        <f t="shared" si="4"/>
        <v>-141484.16279069777</v>
      </c>
      <c r="S14" s="230"/>
      <c r="T14" s="226">
        <f t="shared" si="7"/>
        <v>0.30232558137504384</v>
      </c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1"/>
      <c r="AG14" s="1"/>
      <c r="AH14" s="1"/>
      <c r="AI14" s="1"/>
      <c r="AJ14" s="1"/>
    </row>
    <row r="15" spans="1:36" ht="13.5" customHeight="1">
      <c r="A15" s="259"/>
      <c r="B15" s="15" t="str">
        <f>TB!B52</f>
        <v>M007</v>
      </c>
      <c r="C15" s="256" t="str">
        <f>TB!C52</f>
        <v>Italia Chick</v>
      </c>
      <c r="D15" s="257">
        <f>SUMIF(GL!$D$5:$D$6446,B15,GL!$G$5:$G$6446)</f>
        <v>0</v>
      </c>
      <c r="E15" s="258">
        <f>SUMIF(GL!$D$6:$D$6484,B15,GL!$H$6:$H$6484)</f>
        <v>0</v>
      </c>
      <c r="F15" s="258">
        <f>SUMIF(GL!$D$6:$D$6484,B15,GL!$I$6:$I$6484)</f>
        <v>0</v>
      </c>
      <c r="G15" s="258">
        <f t="shared" si="5"/>
        <v>0</v>
      </c>
      <c r="H15" s="258">
        <f t="shared" si="6"/>
        <v>0</v>
      </c>
      <c r="I15" s="250"/>
      <c r="J15" s="251"/>
      <c r="K15" s="252"/>
      <c r="L15" s="253"/>
      <c r="M15" s="128"/>
      <c r="N15" s="128">
        <f t="shared" si="1"/>
        <v>0</v>
      </c>
      <c r="O15" s="254"/>
      <c r="P15" s="128">
        <f t="shared" si="2"/>
        <v>0</v>
      </c>
      <c r="Q15" s="18">
        <f t="shared" si="3"/>
        <v>0</v>
      </c>
      <c r="R15" s="255">
        <f t="shared" si="4"/>
        <v>0</v>
      </c>
      <c r="S15" s="230"/>
      <c r="T15" s="226">
        <f t="shared" si="7"/>
        <v>0</v>
      </c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1"/>
      <c r="AG15" s="1"/>
      <c r="AH15" s="1"/>
      <c r="AI15" s="1"/>
      <c r="AJ15" s="1"/>
    </row>
    <row r="16" spans="1:36" ht="13.5" customHeight="1">
      <c r="A16" s="259"/>
      <c r="B16" s="15" t="str">
        <f>TB!B53</f>
        <v>M008</v>
      </c>
      <c r="C16" s="256" t="str">
        <f>TB!C53</f>
        <v>Chorizo Beef/Salami Chorizo</v>
      </c>
      <c r="D16" s="257">
        <f>SUMIF(GL!$D$5:$D$6446,B16,GL!$G$5:$G$6446)</f>
        <v>3.02</v>
      </c>
      <c r="E16" s="258">
        <f>SUMIF(GL!$D$6:$D$6484,B16,GL!$H$6:$H$6484)</f>
        <v>838050</v>
      </c>
      <c r="F16" s="258">
        <f>SUMIF(GL!$D$6:$D$6484,B16,GL!$I$6:$I$6484)</f>
        <v>0</v>
      </c>
      <c r="G16" s="258">
        <f t="shared" si="5"/>
        <v>838050</v>
      </c>
      <c r="H16" s="258">
        <f t="shared" si="6"/>
        <v>0</v>
      </c>
      <c r="I16" s="250"/>
      <c r="J16" s="251">
        <v>277500</v>
      </c>
      <c r="K16" s="252"/>
      <c r="L16" s="253">
        <f>D16+I16</f>
        <v>3.02</v>
      </c>
      <c r="M16" s="128">
        <f>(G16+K16)/L16</f>
        <v>277500</v>
      </c>
      <c r="N16" s="128">
        <f t="shared" si="1"/>
        <v>838050</v>
      </c>
      <c r="O16" s="254"/>
      <c r="P16" s="128">
        <f t="shared" si="2"/>
        <v>277500</v>
      </c>
      <c r="Q16" s="18">
        <f t="shared" si="3"/>
        <v>0</v>
      </c>
      <c r="R16" s="255">
        <f t="shared" si="4"/>
        <v>838050</v>
      </c>
      <c r="S16" s="230"/>
      <c r="T16" s="226">
        <f t="shared" si="7"/>
        <v>0</v>
      </c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1"/>
      <c r="AG16" s="1"/>
      <c r="AH16" s="1"/>
      <c r="AI16" s="1"/>
      <c r="AJ16" s="1"/>
    </row>
    <row r="17" spans="1:36" ht="13.5" customHeight="1">
      <c r="A17" s="259"/>
      <c r="B17" s="15" t="str">
        <f>TB!B54</f>
        <v>M009</v>
      </c>
      <c r="C17" s="256" t="str">
        <f>TB!C54</f>
        <v>Pork Pepperoni</v>
      </c>
      <c r="D17" s="257">
        <f>SUMIF(GL!$D$5:$D$6446,B17,GL!$G$5:$G$6446)</f>
        <v>0</v>
      </c>
      <c r="E17" s="258">
        <f>SUMIF(GL!$D$6:$D$6484,B17,GL!$H$6:$H$6484)</f>
        <v>0</v>
      </c>
      <c r="F17" s="258">
        <f>SUMIF(GL!$D$6:$D$6484,B17,GL!$I$6:$I$6484)</f>
        <v>0</v>
      </c>
      <c r="G17" s="258">
        <f t="shared" si="5"/>
        <v>0</v>
      </c>
      <c r="H17" s="258">
        <f t="shared" si="6"/>
        <v>0</v>
      </c>
      <c r="I17" s="250"/>
      <c r="J17" s="251"/>
      <c r="K17" s="252"/>
      <c r="L17" s="253"/>
      <c r="M17" s="128"/>
      <c r="N17" s="128">
        <f t="shared" si="1"/>
        <v>0</v>
      </c>
      <c r="O17" s="254"/>
      <c r="P17" s="128">
        <f t="shared" si="2"/>
        <v>0</v>
      </c>
      <c r="Q17" s="18">
        <f t="shared" si="3"/>
        <v>0</v>
      </c>
      <c r="R17" s="255">
        <f t="shared" si="4"/>
        <v>0</v>
      </c>
      <c r="S17" s="230"/>
      <c r="T17" s="226">
        <f t="shared" si="7"/>
        <v>0</v>
      </c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1"/>
      <c r="AG17" s="1"/>
      <c r="AH17" s="1"/>
      <c r="AI17" s="1"/>
      <c r="AJ17" s="1"/>
    </row>
    <row r="18" spans="1:36" ht="13.5" customHeight="1">
      <c r="A18" s="259"/>
      <c r="B18" s="15" t="str">
        <f>TB!B55</f>
        <v>M010</v>
      </c>
      <c r="C18" s="256" t="str">
        <f>TB!C55</f>
        <v>Italian Sausage</v>
      </c>
      <c r="D18" s="257">
        <f>SUMIF(GL!$D$5:$D$6446,B18,GL!$G$5:$G$6446)</f>
        <v>0</v>
      </c>
      <c r="E18" s="258">
        <f>SUMIF(GL!$D$6:$D$6484,B18,GL!$H$6:$H$6484)</f>
        <v>0</v>
      </c>
      <c r="F18" s="258">
        <f>SUMIF(GL!$D$6:$D$6484,B18,GL!$I$6:$I$6484)</f>
        <v>0</v>
      </c>
      <c r="G18" s="258">
        <f t="shared" si="5"/>
        <v>0</v>
      </c>
      <c r="H18" s="258">
        <f t="shared" si="6"/>
        <v>0</v>
      </c>
      <c r="I18" s="250"/>
      <c r="J18" s="251"/>
      <c r="K18" s="252"/>
      <c r="L18" s="253"/>
      <c r="M18" s="128"/>
      <c r="N18" s="128">
        <f t="shared" si="1"/>
        <v>0</v>
      </c>
      <c r="O18" s="254"/>
      <c r="P18" s="128">
        <f t="shared" si="2"/>
        <v>0</v>
      </c>
      <c r="Q18" s="18">
        <f t="shared" si="3"/>
        <v>0</v>
      </c>
      <c r="R18" s="255">
        <f t="shared" si="4"/>
        <v>0</v>
      </c>
      <c r="S18" s="230"/>
      <c r="T18" s="226">
        <f t="shared" si="7"/>
        <v>0</v>
      </c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1"/>
      <c r="AG18" s="1"/>
      <c r="AH18" s="1"/>
      <c r="AI18" s="1"/>
      <c r="AJ18" s="1"/>
    </row>
    <row r="19" spans="1:36" ht="13.5" customHeight="1">
      <c r="A19" s="259"/>
      <c r="B19" s="15" t="str">
        <f>TB!B56</f>
        <v>M011</v>
      </c>
      <c r="C19" s="256" t="str">
        <f>TB!C56</f>
        <v>English Banger Sausage</v>
      </c>
      <c r="D19" s="257">
        <f>SUMIF(GL!$D$5:$D$6446,B19,GL!$G$5:$G$6446)</f>
        <v>0</v>
      </c>
      <c r="E19" s="258">
        <f>SUMIF(GL!$D$6:$D$6484,B19,GL!$H$6:$H$6484)</f>
        <v>0</v>
      </c>
      <c r="F19" s="258">
        <f>SUMIF(GL!$D$6:$D$6484,B19,GL!$I$6:$I$6484)</f>
        <v>0</v>
      </c>
      <c r="G19" s="258">
        <f t="shared" si="5"/>
        <v>0</v>
      </c>
      <c r="H19" s="258">
        <f t="shared" si="6"/>
        <v>0</v>
      </c>
      <c r="I19" s="250"/>
      <c r="J19" s="251"/>
      <c r="K19" s="252"/>
      <c r="L19" s="253"/>
      <c r="M19" s="128"/>
      <c r="N19" s="128">
        <f t="shared" si="1"/>
        <v>0</v>
      </c>
      <c r="O19" s="254"/>
      <c r="P19" s="128">
        <f t="shared" si="2"/>
        <v>0</v>
      </c>
      <c r="Q19" s="18">
        <f t="shared" si="3"/>
        <v>0</v>
      </c>
      <c r="R19" s="255">
        <f t="shared" si="4"/>
        <v>0</v>
      </c>
      <c r="S19" s="230"/>
      <c r="T19" s="226">
        <f t="shared" si="7"/>
        <v>0</v>
      </c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"/>
      <c r="AG19" s="1"/>
      <c r="AH19" s="1"/>
      <c r="AI19" s="1"/>
      <c r="AJ19" s="1"/>
    </row>
    <row r="20" spans="1:36" ht="13.5" customHeight="1">
      <c r="A20" s="259"/>
      <c r="B20" s="15" t="str">
        <f>TB!B57</f>
        <v>M012</v>
      </c>
      <c r="C20" s="256" t="str">
        <f>TB!C57</f>
        <v>Minced Pork</v>
      </c>
      <c r="D20" s="257">
        <f>SUMIF(GL!$D$5:$D$6446,B20,GL!$G$5:$G$6446)</f>
        <v>0</v>
      </c>
      <c r="E20" s="258">
        <f>SUMIF(GL!$D$6:$D$6484,B20,GL!$H$6:$H$6484)</f>
        <v>0</v>
      </c>
      <c r="F20" s="258">
        <f>SUMIF(GL!$D$6:$D$6484,B20,GL!$I$6:$I$6484)</f>
        <v>0</v>
      </c>
      <c r="G20" s="258">
        <f t="shared" si="5"/>
        <v>0</v>
      </c>
      <c r="H20" s="258">
        <f t="shared" si="6"/>
        <v>0</v>
      </c>
      <c r="I20" s="250"/>
      <c r="J20" s="251"/>
      <c r="K20" s="252"/>
      <c r="L20" s="253"/>
      <c r="M20" s="128"/>
      <c r="N20" s="128">
        <f t="shared" si="1"/>
        <v>0</v>
      </c>
      <c r="O20" s="254"/>
      <c r="P20" s="128">
        <f t="shared" si="2"/>
        <v>0</v>
      </c>
      <c r="Q20" s="18">
        <f t="shared" si="3"/>
        <v>0</v>
      </c>
      <c r="R20" s="255">
        <f t="shared" si="4"/>
        <v>0</v>
      </c>
      <c r="S20" s="230"/>
      <c r="T20" s="226">
        <f t="shared" si="7"/>
        <v>0</v>
      </c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1"/>
      <c r="AG20" s="1"/>
      <c r="AH20" s="1"/>
      <c r="AI20" s="1"/>
      <c r="AJ20" s="1"/>
    </row>
    <row r="21" spans="1:36" ht="13.5" customHeight="1">
      <c r="A21" s="259"/>
      <c r="B21" s="15" t="str">
        <f>TB!B58</f>
        <v>M013</v>
      </c>
      <c r="C21" s="256" t="str">
        <f>TB!C58</f>
        <v>Sausage Chicken</v>
      </c>
      <c r="D21" s="257">
        <f>SUMIF(GL!$D$5:$D$6446,B21,GL!$G$5:$G$6446)</f>
        <v>1.974</v>
      </c>
      <c r="E21" s="258">
        <f>SUMIF(GL!$D$6:$D$6484,B21,GL!$H$6:$H$6484)</f>
        <v>246750</v>
      </c>
      <c r="F21" s="258">
        <f>SUMIF(GL!$D$6:$D$6484,B21,GL!$I$6:$I$6484)</f>
        <v>0</v>
      </c>
      <c r="G21" s="258">
        <f t="shared" si="5"/>
        <v>246750</v>
      </c>
      <c r="H21" s="258">
        <f t="shared" si="6"/>
        <v>0</v>
      </c>
      <c r="I21" s="250"/>
      <c r="J21" s="251">
        <v>125000</v>
      </c>
      <c r="K21" s="252"/>
      <c r="L21" s="253">
        <f t="shared" ref="L21:L23" si="10">D21+I21</f>
        <v>1.974</v>
      </c>
      <c r="M21" s="128">
        <f t="shared" ref="M21:M23" si="11">(G21+K21)/L21</f>
        <v>125000</v>
      </c>
      <c r="N21" s="128">
        <f t="shared" si="1"/>
        <v>246750</v>
      </c>
      <c r="O21" s="254"/>
      <c r="P21" s="128">
        <f t="shared" si="2"/>
        <v>125000</v>
      </c>
      <c r="Q21" s="18">
        <f t="shared" si="3"/>
        <v>0</v>
      </c>
      <c r="R21" s="255">
        <f t="shared" si="4"/>
        <v>246750</v>
      </c>
      <c r="S21" s="230"/>
      <c r="T21" s="226">
        <f t="shared" si="7"/>
        <v>0</v>
      </c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1"/>
      <c r="AG21" s="1"/>
      <c r="AH21" s="1"/>
      <c r="AI21" s="1"/>
      <c r="AJ21" s="1"/>
    </row>
    <row r="22" spans="1:36" ht="13.5" customHeight="1">
      <c r="A22" s="4"/>
      <c r="B22" s="15" t="str">
        <f>TB!B59</f>
        <v>M014</v>
      </c>
      <c r="C22" s="256" t="str">
        <f>TB!C59</f>
        <v>Pork Rib</v>
      </c>
      <c r="D22" s="257">
        <f>SUMIF(GL!$D$5:$D$6446,B22,GL!$G$5:$G$6446)</f>
        <v>0</v>
      </c>
      <c r="E22" s="258">
        <f>SUMIF(GL!$D$6:$D$6484,B22,GL!$H$6:$H$6484)</f>
        <v>0</v>
      </c>
      <c r="F22" s="258">
        <f>SUMIF(GL!$D$6:$D$6484,B22,GL!$I$6:$I$6484)</f>
        <v>0</v>
      </c>
      <c r="G22" s="258">
        <f t="shared" si="5"/>
        <v>0</v>
      </c>
      <c r="H22" s="258">
        <f t="shared" si="6"/>
        <v>0</v>
      </c>
      <c r="I22" s="250">
        <v>7.25</v>
      </c>
      <c r="J22" s="251">
        <v>122937</v>
      </c>
      <c r="K22" s="252">
        <v>891290</v>
      </c>
      <c r="L22" s="253">
        <f t="shared" si="10"/>
        <v>7.25</v>
      </c>
      <c r="M22" s="128">
        <f t="shared" si="11"/>
        <v>122936.55172413793</v>
      </c>
      <c r="N22" s="128">
        <f t="shared" si="1"/>
        <v>891290</v>
      </c>
      <c r="O22" s="254">
        <v>3.96</v>
      </c>
      <c r="P22" s="128">
        <f t="shared" si="2"/>
        <v>122936.55172413793</v>
      </c>
      <c r="Q22" s="18">
        <f t="shared" si="3"/>
        <v>486828.74482758617</v>
      </c>
      <c r="R22" s="255">
        <f t="shared" si="4"/>
        <v>404461.25517241383</v>
      </c>
      <c r="S22" s="230"/>
      <c r="T22" s="226">
        <f t="shared" si="7"/>
        <v>0.44827586207247805</v>
      </c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1"/>
      <c r="AG22" s="1"/>
      <c r="AH22" s="1"/>
      <c r="AI22" s="1"/>
      <c r="AJ22" s="1"/>
    </row>
    <row r="23" spans="1:36" ht="13.5" customHeight="1">
      <c r="A23" s="259"/>
      <c r="B23" s="15" t="str">
        <f>TB!B60</f>
        <v>M015</v>
      </c>
      <c r="C23" s="256" t="str">
        <f>TB!C60</f>
        <v>Beef Rib</v>
      </c>
      <c r="D23" s="257">
        <f>SUMIF(GL!$D$5:$D$6446,B23,GL!$G$5:$G$6446)</f>
        <v>10.4</v>
      </c>
      <c r="E23" s="258">
        <f>SUMIF(GL!$D$6:$D$6484,B23,GL!$H$6:$H$6484)</f>
        <v>1768000</v>
      </c>
      <c r="F23" s="258">
        <f>SUMIF(GL!$D$6:$D$6484,B23,GL!$I$6:$I$6484)</f>
        <v>0</v>
      </c>
      <c r="G23" s="258">
        <f t="shared" si="5"/>
        <v>1768000</v>
      </c>
      <c r="H23" s="258">
        <f t="shared" si="6"/>
        <v>0</v>
      </c>
      <c r="I23" s="250">
        <v>7.22</v>
      </c>
      <c r="J23" s="251">
        <v>164956</v>
      </c>
      <c r="K23" s="252">
        <v>1190979</v>
      </c>
      <c r="L23" s="253">
        <f t="shared" si="10"/>
        <v>17.62</v>
      </c>
      <c r="M23" s="128">
        <f t="shared" si="11"/>
        <v>167932.97389330305</v>
      </c>
      <c r="N23" s="128">
        <f t="shared" si="1"/>
        <v>2958979</v>
      </c>
      <c r="O23" s="254">
        <v>7.36</v>
      </c>
      <c r="P23" s="128">
        <f t="shared" si="2"/>
        <v>167932.97389330305</v>
      </c>
      <c r="Q23" s="18">
        <f t="shared" si="3"/>
        <v>1235986.6878547105</v>
      </c>
      <c r="R23" s="255">
        <f t="shared" si="4"/>
        <v>1722992.3121452895</v>
      </c>
      <c r="S23" s="230"/>
      <c r="T23" s="226">
        <f t="shared" si="7"/>
        <v>-2976.9738933030458</v>
      </c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1"/>
      <c r="AG23" s="1"/>
      <c r="AH23" s="1"/>
      <c r="AI23" s="1"/>
      <c r="AJ23" s="1"/>
    </row>
    <row r="24" spans="1:36" ht="13.5" customHeight="1">
      <c r="A24" s="259"/>
      <c r="B24" s="15" t="str">
        <f>TB!B61</f>
        <v>M016</v>
      </c>
      <c r="C24" s="256" t="str">
        <f>TB!C61</f>
        <v>Beef Shank Cube</v>
      </c>
      <c r="D24" s="257">
        <f>SUMIF(GL!$D$5:$D$6446,B24,GL!$G$5:$G$6446)</f>
        <v>0</v>
      </c>
      <c r="E24" s="258">
        <f>SUMIF(GL!$D$6:$D$6484,B24,GL!$H$6:$H$6484)</f>
        <v>0</v>
      </c>
      <c r="F24" s="258">
        <f>SUMIF(GL!$D$6:$D$6484,B24,GL!$I$6:$I$6484)</f>
        <v>0</v>
      </c>
      <c r="G24" s="258">
        <f t="shared" si="5"/>
        <v>0</v>
      </c>
      <c r="H24" s="258">
        <f t="shared" si="6"/>
        <v>0</v>
      </c>
      <c r="I24" s="250"/>
      <c r="J24" s="251"/>
      <c r="K24" s="252"/>
      <c r="L24" s="253"/>
      <c r="M24" s="128"/>
      <c r="N24" s="128">
        <f t="shared" si="1"/>
        <v>0</v>
      </c>
      <c r="O24" s="254"/>
      <c r="P24" s="128">
        <f t="shared" si="2"/>
        <v>0</v>
      </c>
      <c r="Q24" s="18">
        <f t="shared" si="3"/>
        <v>0</v>
      </c>
      <c r="R24" s="255">
        <f t="shared" si="4"/>
        <v>0</v>
      </c>
      <c r="S24" s="230"/>
      <c r="T24" s="226">
        <f t="shared" si="7"/>
        <v>0</v>
      </c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1"/>
      <c r="AG24" s="1"/>
      <c r="AH24" s="1"/>
      <c r="AI24" s="1"/>
      <c r="AJ24" s="1"/>
    </row>
    <row r="25" spans="1:36" ht="13.5" customHeight="1">
      <c r="A25" s="259"/>
      <c r="B25" s="15" t="str">
        <f>TB!B62</f>
        <v>M016A</v>
      </c>
      <c r="C25" s="256" t="str">
        <f>TB!C62</f>
        <v>Beef Cuberoll (Rib Eye)</v>
      </c>
      <c r="D25" s="257">
        <f>SUMIF(GL!$D$5:$D$6446,B25,GL!$G$5:$G$6446)</f>
        <v>9.14</v>
      </c>
      <c r="E25" s="258">
        <f>SUMIF(GL!$D$6:$D$6484,B25,GL!$H$6:$H$6484)</f>
        <v>2544048</v>
      </c>
      <c r="F25" s="258">
        <f>SUMIF(GL!$D$6:$D$6484,B25,GL!$I$6:$I$6484)</f>
        <v>0</v>
      </c>
      <c r="G25" s="258">
        <f t="shared" si="5"/>
        <v>2544048</v>
      </c>
      <c r="H25" s="258">
        <f t="shared" si="6"/>
        <v>0</v>
      </c>
      <c r="I25" s="250">
        <v>7.71</v>
      </c>
      <c r="J25" s="251">
        <v>266087</v>
      </c>
      <c r="K25" s="252">
        <v>2051531</v>
      </c>
      <c r="L25" s="253">
        <f t="shared" ref="L25:L28" si="12">D25+I25</f>
        <v>16.850000000000001</v>
      </c>
      <c r="M25" s="128">
        <f t="shared" ref="M25:M28" si="13">(G25+K25)/L25</f>
        <v>272734.65875370917</v>
      </c>
      <c r="N25" s="128">
        <f t="shared" si="1"/>
        <v>4595579</v>
      </c>
      <c r="O25" s="254">
        <v>4.8</v>
      </c>
      <c r="P25" s="128">
        <f t="shared" si="2"/>
        <v>272734.65875370917</v>
      </c>
      <c r="Q25" s="18">
        <f t="shared" si="3"/>
        <v>1309126.3620178041</v>
      </c>
      <c r="R25" s="255">
        <f t="shared" si="4"/>
        <v>3286452.6379821962</v>
      </c>
      <c r="S25" s="230"/>
      <c r="T25" s="226">
        <f t="shared" si="7"/>
        <v>-6647.6587537091691</v>
      </c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1"/>
      <c r="AG25" s="1"/>
      <c r="AH25" s="1"/>
      <c r="AI25" s="1"/>
      <c r="AJ25" s="1"/>
    </row>
    <row r="26" spans="1:36" ht="13.5" customHeight="1">
      <c r="A26" s="259"/>
      <c r="B26" s="15" t="str">
        <f>TB!B63</f>
        <v>M017</v>
      </c>
      <c r="C26" s="256" t="str">
        <f>TB!C63</f>
        <v>Bacon/Pork Bacon</v>
      </c>
      <c r="D26" s="257">
        <f>SUMIF(GL!$D$5:$D$6446,B26,GL!$G$5:$G$6446)</f>
        <v>4.0599999999999996</v>
      </c>
      <c r="E26" s="258">
        <f>SUMIF(GL!$D$6:$D$6484,B26,GL!$H$6:$H$6484)</f>
        <v>761615.4</v>
      </c>
      <c r="F26" s="258">
        <f>SUMIF(GL!$D$6:$D$6484,B26,GL!$I$6:$I$6484)</f>
        <v>0</v>
      </c>
      <c r="G26" s="258">
        <f t="shared" si="5"/>
        <v>761615.4</v>
      </c>
      <c r="H26" s="258">
        <f t="shared" si="6"/>
        <v>0</v>
      </c>
      <c r="I26" s="250">
        <v>2.09</v>
      </c>
      <c r="J26" s="251">
        <v>185896</v>
      </c>
      <c r="K26" s="252">
        <v>388523</v>
      </c>
      <c r="L26" s="253">
        <f t="shared" si="12"/>
        <v>6.1499999999999995</v>
      </c>
      <c r="M26" s="128">
        <f t="shared" si="13"/>
        <v>187014.37398373985</v>
      </c>
      <c r="N26" s="128">
        <f t="shared" si="1"/>
        <v>1150138.3999999999</v>
      </c>
      <c r="O26" s="254">
        <v>4.67</v>
      </c>
      <c r="P26" s="128">
        <f t="shared" si="2"/>
        <v>187014.37398373985</v>
      </c>
      <c r="Q26" s="18">
        <f t="shared" si="3"/>
        <v>873357.12650406512</v>
      </c>
      <c r="R26" s="255">
        <f t="shared" si="4"/>
        <v>276781.27349593479</v>
      </c>
      <c r="S26" s="230"/>
      <c r="T26" s="226">
        <f t="shared" si="7"/>
        <v>-1118.3739837398462</v>
      </c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1"/>
      <c r="AG26" s="1"/>
      <c r="AH26" s="1"/>
      <c r="AI26" s="1"/>
      <c r="AJ26" s="1"/>
    </row>
    <row r="27" spans="1:36" ht="13.5" customHeight="1">
      <c r="A27" s="259"/>
      <c r="B27" s="15" t="str">
        <f>TB!B64</f>
        <v>M018</v>
      </c>
      <c r="C27" s="256" t="str">
        <f>TB!C64</f>
        <v>Ham</v>
      </c>
      <c r="D27" s="257">
        <f>SUMIF(GL!$D$5:$D$6446,B27,GL!$G$5:$G$6446)</f>
        <v>2.04</v>
      </c>
      <c r="E27" s="258">
        <f>SUMIF(GL!$D$6:$D$6484,B27,GL!$H$6:$H$6484)</f>
        <v>418914</v>
      </c>
      <c r="F27" s="258">
        <f>SUMIF(GL!$D$6:$D$6484,B27,GL!$I$6:$I$6484)</f>
        <v>0</v>
      </c>
      <c r="G27" s="258">
        <f t="shared" si="5"/>
        <v>418914</v>
      </c>
      <c r="H27" s="258">
        <f t="shared" si="6"/>
        <v>0</v>
      </c>
      <c r="I27" s="250">
        <v>2.72</v>
      </c>
      <c r="J27" s="251">
        <v>204058</v>
      </c>
      <c r="K27" s="252">
        <v>555038</v>
      </c>
      <c r="L27" s="253">
        <f t="shared" si="12"/>
        <v>4.76</v>
      </c>
      <c r="M27" s="128">
        <f t="shared" si="13"/>
        <v>204611.76470588235</v>
      </c>
      <c r="N27" s="128">
        <f t="shared" si="1"/>
        <v>973952</v>
      </c>
      <c r="O27" s="254">
        <v>3.06</v>
      </c>
      <c r="P27" s="128">
        <f t="shared" si="2"/>
        <v>204611.76470588235</v>
      </c>
      <c r="Q27" s="18">
        <f t="shared" si="3"/>
        <v>626112</v>
      </c>
      <c r="R27" s="255">
        <f t="shared" si="4"/>
        <v>347840</v>
      </c>
      <c r="S27" s="230"/>
      <c r="T27" s="226">
        <f t="shared" si="7"/>
        <v>-553.76470588234952</v>
      </c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1"/>
      <c r="AG27" s="1"/>
      <c r="AH27" s="1"/>
      <c r="AI27" s="1"/>
      <c r="AJ27" s="1"/>
    </row>
    <row r="28" spans="1:36" ht="13.5" customHeight="1">
      <c r="A28" s="259"/>
      <c r="B28" s="15" t="str">
        <f>TB!B65</f>
        <v>M019</v>
      </c>
      <c r="C28" s="256" t="str">
        <f>TB!C65</f>
        <v>Beef Bacon</v>
      </c>
      <c r="D28" s="257">
        <f>SUMIF(GL!$D$5:$D$6446,B28,GL!$G$5:$G$6446)</f>
        <v>2</v>
      </c>
      <c r="E28" s="258">
        <f>SUMIF(GL!$D$6:$D$6484,B28,GL!$H$6:$H$6484)</f>
        <v>366300</v>
      </c>
      <c r="F28" s="258">
        <f>SUMIF(GL!$D$6:$D$6484,B28,GL!$I$6:$I$6484)</f>
        <v>0</v>
      </c>
      <c r="G28" s="258">
        <f t="shared" si="5"/>
        <v>366300</v>
      </c>
      <c r="H28" s="258">
        <f t="shared" si="6"/>
        <v>0</v>
      </c>
      <c r="I28" s="250">
        <v>1.86</v>
      </c>
      <c r="J28" s="251">
        <v>76632</v>
      </c>
      <c r="K28" s="252">
        <v>142535</v>
      </c>
      <c r="L28" s="253">
        <f t="shared" si="12"/>
        <v>3.8600000000000003</v>
      </c>
      <c r="M28" s="128">
        <f t="shared" si="13"/>
        <v>131822.53886010361</v>
      </c>
      <c r="N28" s="128">
        <f t="shared" si="1"/>
        <v>508835</v>
      </c>
      <c r="O28" s="254">
        <v>2.87</v>
      </c>
      <c r="P28" s="128">
        <f t="shared" si="2"/>
        <v>131822.53886010361</v>
      </c>
      <c r="Q28" s="18">
        <f t="shared" si="3"/>
        <v>378330.68652849738</v>
      </c>
      <c r="R28" s="255">
        <f t="shared" si="4"/>
        <v>130504.31347150262</v>
      </c>
      <c r="S28" s="230"/>
      <c r="T28" s="226">
        <f t="shared" si="7"/>
        <v>-55190.53886010361</v>
      </c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1"/>
      <c r="AG28" s="1"/>
      <c r="AH28" s="1"/>
      <c r="AI28" s="1"/>
      <c r="AJ28" s="1"/>
    </row>
    <row r="29" spans="1:36" ht="13.5" customHeight="1">
      <c r="A29" s="259"/>
      <c r="B29" s="15" t="str">
        <f>TB!B66</f>
        <v>M020</v>
      </c>
      <c r="C29" s="256" t="str">
        <f>TB!C66</f>
        <v>Pork Leg</v>
      </c>
      <c r="D29" s="257">
        <f>SUMIF(GL!$D$5:$D$6446,B29,GL!$G$5:$G$6446)</f>
        <v>0</v>
      </c>
      <c r="E29" s="258">
        <f>SUMIF(GL!$D$6:$D$6484,B29,GL!$H$6:$H$6484)</f>
        <v>0</v>
      </c>
      <c r="F29" s="258">
        <f>SUMIF(GL!$D$6:$D$6484,B29,GL!$I$6:$I$6484)</f>
        <v>0</v>
      </c>
      <c r="G29" s="258">
        <f t="shared" si="5"/>
        <v>0</v>
      </c>
      <c r="H29" s="258">
        <f t="shared" si="6"/>
        <v>0</v>
      </c>
      <c r="I29" s="250"/>
      <c r="J29" s="251"/>
      <c r="K29" s="252"/>
      <c r="L29" s="253"/>
      <c r="M29" s="128"/>
      <c r="N29" s="128">
        <f t="shared" si="1"/>
        <v>0</v>
      </c>
      <c r="O29" s="254"/>
      <c r="P29" s="128">
        <f t="shared" si="2"/>
        <v>0</v>
      </c>
      <c r="Q29" s="18">
        <f t="shared" si="3"/>
        <v>0</v>
      </c>
      <c r="R29" s="255">
        <f t="shared" si="4"/>
        <v>0</v>
      </c>
      <c r="S29" s="230"/>
      <c r="T29" s="226">
        <f t="shared" si="7"/>
        <v>0</v>
      </c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1"/>
      <c r="AG29" s="1"/>
      <c r="AH29" s="1"/>
      <c r="AI29" s="1"/>
      <c r="AJ29" s="1"/>
    </row>
    <row r="30" spans="1:36" ht="13.5" customHeight="1">
      <c r="A30" s="259"/>
      <c r="B30" s="15" t="str">
        <f>TB!B67</f>
        <v>M021</v>
      </c>
      <c r="C30" s="256" t="str">
        <f>TB!C67</f>
        <v>Ebi (Udang Kecil Kering)</v>
      </c>
      <c r="D30" s="257">
        <f>SUMIF(GL!$D$5:$D$6446,B30,GL!$G$5:$G$6446)</f>
        <v>0</v>
      </c>
      <c r="E30" s="258">
        <f>SUMIF(GL!$D$6:$D$6484,B30,GL!$H$6:$H$6484)</f>
        <v>0</v>
      </c>
      <c r="F30" s="258">
        <f>SUMIF(GL!$D$6:$D$6484,B30,GL!$I$6:$I$6484)</f>
        <v>0</v>
      </c>
      <c r="G30" s="258">
        <f t="shared" si="5"/>
        <v>0</v>
      </c>
      <c r="H30" s="258">
        <f t="shared" si="6"/>
        <v>0</v>
      </c>
      <c r="I30" s="250">
        <v>0.97</v>
      </c>
      <c r="J30" s="251">
        <v>103051</v>
      </c>
      <c r="K30" s="252">
        <v>99959</v>
      </c>
      <c r="L30" s="253">
        <f>D30+I30</f>
        <v>0.97</v>
      </c>
      <c r="M30" s="128">
        <f>(G30+K30)/L30</f>
        <v>103050.51546391753</v>
      </c>
      <c r="N30" s="128">
        <f t="shared" si="1"/>
        <v>99959</v>
      </c>
      <c r="O30" s="254">
        <v>0.83</v>
      </c>
      <c r="P30" s="128">
        <f t="shared" si="2"/>
        <v>103050.51546391753</v>
      </c>
      <c r="Q30" s="18">
        <f t="shared" si="3"/>
        <v>85531.927835051552</v>
      </c>
      <c r="R30" s="255">
        <f t="shared" si="4"/>
        <v>14427.072164948448</v>
      </c>
      <c r="S30" s="230"/>
      <c r="T30" s="226">
        <f t="shared" si="7"/>
        <v>0.48453608246927615</v>
      </c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1"/>
      <c r="AG30" s="1"/>
      <c r="AH30" s="1"/>
      <c r="AI30" s="1"/>
      <c r="AJ30" s="1"/>
    </row>
    <row r="31" spans="1:36" ht="13.5" customHeight="1">
      <c r="A31" s="259"/>
      <c r="B31" s="15" t="str">
        <f>TB!B68</f>
        <v>M022</v>
      </c>
      <c r="C31" s="256" t="str">
        <f>TB!C68</f>
        <v>Burger Patties</v>
      </c>
      <c r="D31" s="257">
        <f>SUMIF(GL!$D$5:$D$6446,B31,GL!$G$5:$G$6446)</f>
        <v>0</v>
      </c>
      <c r="E31" s="258">
        <f>SUMIF(GL!$D$6:$D$6484,B31,GL!$H$6:$H$6484)</f>
        <v>0</v>
      </c>
      <c r="F31" s="258">
        <f>SUMIF(GL!$D$6:$D$6484,B31,GL!$I$6:$I$6484)</f>
        <v>0</v>
      </c>
      <c r="G31" s="258">
        <f t="shared" si="5"/>
        <v>0</v>
      </c>
      <c r="H31" s="258">
        <f t="shared" si="6"/>
        <v>0</v>
      </c>
      <c r="I31" s="250"/>
      <c r="J31" s="251"/>
      <c r="K31" s="252"/>
      <c r="L31" s="253"/>
      <c r="M31" s="128"/>
      <c r="N31" s="128">
        <f t="shared" si="1"/>
        <v>0</v>
      </c>
      <c r="O31" s="254"/>
      <c r="P31" s="128">
        <f t="shared" si="2"/>
        <v>0</v>
      </c>
      <c r="Q31" s="18">
        <f t="shared" si="3"/>
        <v>0</v>
      </c>
      <c r="R31" s="255">
        <f t="shared" si="4"/>
        <v>0</v>
      </c>
      <c r="S31" s="230"/>
      <c r="T31" s="226">
        <f t="shared" si="7"/>
        <v>0</v>
      </c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1"/>
      <c r="AG31" s="1"/>
      <c r="AH31" s="1"/>
      <c r="AI31" s="1"/>
      <c r="AJ31" s="1"/>
    </row>
    <row r="32" spans="1:36" ht="13.5" customHeight="1">
      <c r="A32" s="259"/>
      <c r="B32" s="15" t="str">
        <f>TB!B69</f>
        <v>M023</v>
      </c>
      <c r="C32" s="256" t="str">
        <f>TB!C69</f>
        <v>Striploin / Sirloin</v>
      </c>
      <c r="D32" s="257">
        <f>SUMIF(GL!$D$5:$D$6446,B32,GL!$G$5:$G$6446)</f>
        <v>23.2</v>
      </c>
      <c r="E32" s="258">
        <f>SUMIF(GL!$D$6:$D$6484,B32,GL!$H$6:$H$6484)</f>
        <v>4524000</v>
      </c>
      <c r="F32" s="258">
        <f>SUMIF(GL!$D$6:$D$6484,B32,GL!$I$6:$I$6484)</f>
        <v>0</v>
      </c>
      <c r="G32" s="258">
        <f t="shared" si="5"/>
        <v>4524000</v>
      </c>
      <c r="H32" s="258">
        <f t="shared" si="6"/>
        <v>0</v>
      </c>
      <c r="I32" s="250">
        <v>7.6</v>
      </c>
      <c r="J32" s="251">
        <v>195000</v>
      </c>
      <c r="K32" s="252">
        <v>1482000</v>
      </c>
      <c r="L32" s="253">
        <f t="shared" ref="L32:L34" si="14">D32+I32</f>
        <v>30.799999999999997</v>
      </c>
      <c r="M32" s="128">
        <f t="shared" ref="M32:M34" si="15">(G32+K32)/L32</f>
        <v>195000.00000000003</v>
      </c>
      <c r="N32" s="128">
        <f t="shared" si="1"/>
        <v>6006000</v>
      </c>
      <c r="O32" s="254">
        <v>10.8</v>
      </c>
      <c r="P32" s="128">
        <f t="shared" si="2"/>
        <v>195000.00000000003</v>
      </c>
      <c r="Q32" s="18">
        <f t="shared" si="3"/>
        <v>2106000.0000000005</v>
      </c>
      <c r="R32" s="255">
        <f t="shared" si="4"/>
        <v>3899999.9999999995</v>
      </c>
      <c r="S32" s="230"/>
      <c r="T32" s="226">
        <f t="shared" si="7"/>
        <v>0</v>
      </c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1"/>
      <c r="AG32" s="1"/>
      <c r="AH32" s="1"/>
      <c r="AI32" s="1"/>
      <c r="AJ32" s="1"/>
    </row>
    <row r="33" spans="1:36" ht="13.5" customHeight="1">
      <c r="A33" s="259"/>
      <c r="B33" s="15" t="str">
        <f>TB!B70</f>
        <v>M024</v>
      </c>
      <c r="C33" s="256" t="str">
        <f>TB!C70</f>
        <v>Chicken Wing / Sayap Ayam</v>
      </c>
      <c r="D33" s="257">
        <f>SUMIF(GL!$D$5:$D$6446,B33,GL!$G$5:$G$6446)</f>
        <v>37</v>
      </c>
      <c r="E33" s="258">
        <f>SUMIF(GL!$D$6:$D$6484,B33,GL!$H$6:$H$6484)</f>
        <v>1416000</v>
      </c>
      <c r="F33" s="258">
        <f>SUMIF(GL!$D$6:$D$6484,B33,GL!$I$6:$I$6484)</f>
        <v>0</v>
      </c>
      <c r="G33" s="258">
        <f t="shared" si="5"/>
        <v>1416000</v>
      </c>
      <c r="H33" s="258">
        <f t="shared" si="6"/>
        <v>0</v>
      </c>
      <c r="I33" s="250">
        <v>16.5</v>
      </c>
      <c r="J33" s="251">
        <v>40432</v>
      </c>
      <c r="K33" s="252">
        <v>667122</v>
      </c>
      <c r="L33" s="253">
        <f t="shared" si="14"/>
        <v>53.5</v>
      </c>
      <c r="M33" s="128">
        <f t="shared" si="15"/>
        <v>38936.859813084113</v>
      </c>
      <c r="N33" s="128">
        <f t="shared" si="1"/>
        <v>2083122</v>
      </c>
      <c r="O33" s="254">
        <v>21.5</v>
      </c>
      <c r="P33" s="128">
        <f t="shared" si="2"/>
        <v>38936.859813084113</v>
      </c>
      <c r="Q33" s="18">
        <f t="shared" si="3"/>
        <v>837142.48598130839</v>
      </c>
      <c r="R33" s="255">
        <f t="shared" si="4"/>
        <v>1245979.5140186916</v>
      </c>
      <c r="S33" s="230"/>
      <c r="T33" s="226">
        <f t="shared" si="7"/>
        <v>1495.1401869158872</v>
      </c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1"/>
      <c r="AG33" s="1"/>
      <c r="AH33" s="1"/>
      <c r="AI33" s="1"/>
      <c r="AJ33" s="1"/>
    </row>
    <row r="34" spans="1:36" ht="13.5" customHeight="1">
      <c r="A34" s="259"/>
      <c r="B34" s="15" t="str">
        <f>TB!B71</f>
        <v>M025</v>
      </c>
      <c r="C34" s="256" t="str">
        <f>TB!C71</f>
        <v>Chicken Breast</v>
      </c>
      <c r="D34" s="257">
        <f>SUMIF(GL!$D$5:$D$6446,B34,GL!$G$5:$G$6446)</f>
        <v>79.61</v>
      </c>
      <c r="E34" s="258">
        <f>SUMIF(GL!$D$6:$D$6484,B34,GL!$H$6:$H$6484)</f>
        <v>4090110</v>
      </c>
      <c r="F34" s="258">
        <f>SUMIF(GL!$D$6:$D$6484,B34,GL!$I$6:$I$6484)</f>
        <v>0</v>
      </c>
      <c r="G34" s="258">
        <f t="shared" si="5"/>
        <v>4090110</v>
      </c>
      <c r="H34" s="258">
        <f t="shared" si="6"/>
        <v>0</v>
      </c>
      <c r="I34" s="250">
        <v>18.3</v>
      </c>
      <c r="J34" s="251">
        <v>57788</v>
      </c>
      <c r="K34" s="252">
        <v>1057512</v>
      </c>
      <c r="L34" s="253">
        <f t="shared" si="14"/>
        <v>97.91</v>
      </c>
      <c r="M34" s="128">
        <f t="shared" si="15"/>
        <v>52575.038300480031</v>
      </c>
      <c r="N34" s="128">
        <f t="shared" si="1"/>
        <v>5147622</v>
      </c>
      <c r="O34" s="254">
        <v>21.3</v>
      </c>
      <c r="P34" s="128">
        <f t="shared" si="2"/>
        <v>52575.038300480031</v>
      </c>
      <c r="Q34" s="18">
        <f t="shared" si="3"/>
        <v>1119848.3158002247</v>
      </c>
      <c r="R34" s="255">
        <f t="shared" si="4"/>
        <v>4027773.6841997756</v>
      </c>
      <c r="S34" s="230"/>
      <c r="T34" s="226">
        <f t="shared" si="7"/>
        <v>5212.9616995199685</v>
      </c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1"/>
      <c r="AG34" s="1"/>
      <c r="AH34" s="1"/>
      <c r="AI34" s="1"/>
      <c r="AJ34" s="1"/>
    </row>
    <row r="35" spans="1:36" ht="13.5" customHeight="1">
      <c r="A35" s="259"/>
      <c r="B35" s="15" t="str">
        <f>TB!B72</f>
        <v>M026</v>
      </c>
      <c r="C35" s="256" t="str">
        <f>TB!C72</f>
        <v>Chicken Leg / Paha Ayam</v>
      </c>
      <c r="D35" s="257">
        <f>SUMIF(GL!$D$5:$D$6446,B35,GL!$G$5:$G$6446)</f>
        <v>0</v>
      </c>
      <c r="E35" s="258">
        <f>SUMIF(GL!$D$6:$D$6484,B35,GL!$H$6:$H$6484)</f>
        <v>0</v>
      </c>
      <c r="F35" s="258">
        <f>SUMIF(GL!$D$6:$D$6484,B35,GL!$I$6:$I$6484)</f>
        <v>0</v>
      </c>
      <c r="G35" s="258">
        <f t="shared" si="5"/>
        <v>0</v>
      </c>
      <c r="H35" s="258">
        <f t="shared" si="6"/>
        <v>0</v>
      </c>
      <c r="I35" s="250"/>
      <c r="J35" s="251"/>
      <c r="K35" s="252"/>
      <c r="L35" s="253"/>
      <c r="M35" s="128"/>
      <c r="N35" s="128">
        <f t="shared" si="1"/>
        <v>0</v>
      </c>
      <c r="O35" s="254"/>
      <c r="P35" s="128">
        <f t="shared" si="2"/>
        <v>0</v>
      </c>
      <c r="Q35" s="18">
        <f t="shared" si="3"/>
        <v>0</v>
      </c>
      <c r="R35" s="255">
        <f t="shared" si="4"/>
        <v>0</v>
      </c>
      <c r="S35" s="230"/>
      <c r="T35" s="226">
        <f t="shared" si="7"/>
        <v>0</v>
      </c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1"/>
      <c r="AG35" s="1"/>
      <c r="AH35" s="1"/>
      <c r="AI35" s="1"/>
      <c r="AJ35" s="1"/>
    </row>
    <row r="36" spans="1:36" ht="13.5" customHeight="1">
      <c r="A36" s="259"/>
      <c r="B36" s="15" t="str">
        <f>TB!B73</f>
        <v>M027</v>
      </c>
      <c r="C36" s="256" t="str">
        <f>TB!C73</f>
        <v>Chicken Leg Bone Less</v>
      </c>
      <c r="D36" s="257">
        <f>SUMIF(GL!$D$5:$D$6446,B36,GL!$G$5:$G$6446)</f>
        <v>0</v>
      </c>
      <c r="E36" s="258">
        <f>SUMIF(GL!$D$6:$D$6484,B36,GL!$H$6:$H$6484)</f>
        <v>0</v>
      </c>
      <c r="F36" s="258">
        <f>SUMIF(GL!$D$6:$D$6484,B36,GL!$I$6:$I$6484)</f>
        <v>0</v>
      </c>
      <c r="G36" s="258">
        <f t="shared" si="5"/>
        <v>0</v>
      </c>
      <c r="H36" s="258">
        <f t="shared" si="6"/>
        <v>0</v>
      </c>
      <c r="I36" s="250"/>
      <c r="J36" s="251"/>
      <c r="K36" s="252"/>
      <c r="L36" s="253"/>
      <c r="M36" s="128"/>
      <c r="N36" s="128">
        <f t="shared" si="1"/>
        <v>0</v>
      </c>
      <c r="O36" s="254"/>
      <c r="P36" s="128">
        <f t="shared" si="2"/>
        <v>0</v>
      </c>
      <c r="Q36" s="18">
        <f t="shared" si="3"/>
        <v>0</v>
      </c>
      <c r="R36" s="255">
        <f t="shared" si="4"/>
        <v>0</v>
      </c>
      <c r="S36" s="230"/>
      <c r="T36" s="226">
        <f t="shared" si="7"/>
        <v>0</v>
      </c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1"/>
      <c r="AG36" s="1"/>
      <c r="AH36" s="1"/>
      <c r="AI36" s="1"/>
      <c r="AJ36" s="1"/>
    </row>
    <row r="37" spans="1:36" ht="13.5" customHeight="1">
      <c r="A37" s="259"/>
      <c r="B37" s="15" t="str">
        <f>TB!B74</f>
        <v>M028</v>
      </c>
      <c r="C37" s="256" t="str">
        <f>TB!C74</f>
        <v>Chicken Leg Fillet/Ayam Penjantan</v>
      </c>
      <c r="D37" s="257">
        <f>SUMIF(GL!$D$5:$D$6446,B37,GL!$G$5:$G$6446)</f>
        <v>16</v>
      </c>
      <c r="E37" s="258">
        <f>SUMIF(GL!$D$6:$D$6484,B37,GL!$H$6:$H$6484)</f>
        <v>1120000</v>
      </c>
      <c r="F37" s="258">
        <f>SUMIF(GL!$D$6:$D$6484,B37,GL!$I$6:$I$6484)</f>
        <v>0</v>
      </c>
      <c r="G37" s="258">
        <f t="shared" si="5"/>
        <v>1120000</v>
      </c>
      <c r="H37" s="258">
        <f t="shared" si="6"/>
        <v>0</v>
      </c>
      <c r="I37" s="250">
        <v>3.84</v>
      </c>
      <c r="J37" s="251">
        <v>69649</v>
      </c>
      <c r="K37" s="252">
        <v>267452</v>
      </c>
      <c r="L37" s="253">
        <f t="shared" ref="L37:L38" si="16">D37+I37</f>
        <v>19.84</v>
      </c>
      <c r="M37" s="128">
        <f t="shared" ref="M37:M38" si="17">(G37+K37)/L37</f>
        <v>69932.056451612909</v>
      </c>
      <c r="N37" s="128">
        <f t="shared" si="1"/>
        <v>1387452</v>
      </c>
      <c r="O37" s="254">
        <v>6.41</v>
      </c>
      <c r="P37" s="128">
        <f t="shared" si="2"/>
        <v>69932.056451612909</v>
      </c>
      <c r="Q37" s="18">
        <f t="shared" si="3"/>
        <v>448264.48185483878</v>
      </c>
      <c r="R37" s="255">
        <f t="shared" si="4"/>
        <v>939187.51814516122</v>
      </c>
      <c r="S37" s="230"/>
      <c r="T37" s="226">
        <f t="shared" si="7"/>
        <v>-283.05645161290886</v>
      </c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1"/>
      <c r="AG37" s="1"/>
      <c r="AH37" s="1"/>
      <c r="AI37" s="1"/>
      <c r="AJ37" s="1"/>
    </row>
    <row r="38" spans="1:36" ht="13.5" customHeight="1">
      <c r="A38" s="259"/>
      <c r="B38" s="15" t="str">
        <f>TB!B75</f>
        <v>M029</v>
      </c>
      <c r="C38" s="256" t="str">
        <f>TB!C75</f>
        <v>Bakso Beef</v>
      </c>
      <c r="D38" s="257">
        <f>SUMIF(GL!$D$5:$D$6446,B38,GL!$G$5:$G$6446)</f>
        <v>0</v>
      </c>
      <c r="E38" s="258">
        <f>SUMIF(GL!$D$6:$D$6484,B38,GL!$H$6:$H$6484)</f>
        <v>0</v>
      </c>
      <c r="F38" s="258">
        <f>SUMIF(GL!$D$6:$D$6484,B38,GL!$I$6:$I$6484)</f>
        <v>0</v>
      </c>
      <c r="G38" s="258">
        <f t="shared" si="5"/>
        <v>0</v>
      </c>
      <c r="H38" s="258">
        <f t="shared" si="6"/>
        <v>0</v>
      </c>
      <c r="I38" s="250">
        <v>1</v>
      </c>
      <c r="J38" s="251">
        <v>118901</v>
      </c>
      <c r="K38" s="252">
        <v>118901</v>
      </c>
      <c r="L38" s="253">
        <f t="shared" si="16"/>
        <v>1</v>
      </c>
      <c r="M38" s="128">
        <f t="shared" si="17"/>
        <v>118901</v>
      </c>
      <c r="N38" s="128">
        <f t="shared" si="1"/>
        <v>118901</v>
      </c>
      <c r="O38" s="254">
        <v>1</v>
      </c>
      <c r="P38" s="128">
        <f t="shared" si="2"/>
        <v>118901</v>
      </c>
      <c r="Q38" s="18">
        <f t="shared" si="3"/>
        <v>118901</v>
      </c>
      <c r="R38" s="255">
        <f t="shared" si="4"/>
        <v>0</v>
      </c>
      <c r="S38" s="230"/>
      <c r="T38" s="226">
        <f t="shared" si="7"/>
        <v>0</v>
      </c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1"/>
      <c r="AG38" s="1"/>
      <c r="AH38" s="1"/>
      <c r="AI38" s="1"/>
      <c r="AJ38" s="1"/>
    </row>
    <row r="39" spans="1:36" ht="13.5" customHeight="1">
      <c r="A39" s="259"/>
      <c r="B39" s="15" t="str">
        <f>TB!B76</f>
        <v>M030</v>
      </c>
      <c r="C39" s="256" t="str">
        <f>TB!C76</f>
        <v>Minced Chicken</v>
      </c>
      <c r="D39" s="257">
        <f>SUMIF(GL!$D$5:$D$6446,B39,GL!$G$5:$G$6446)</f>
        <v>0</v>
      </c>
      <c r="E39" s="258">
        <f>SUMIF(GL!$D$6:$D$6484,B39,GL!$H$6:$H$6484)</f>
        <v>0</v>
      </c>
      <c r="F39" s="258">
        <f>SUMIF(GL!$D$6:$D$6484,B39,GL!$I$6:$I$6484)</f>
        <v>0</v>
      </c>
      <c r="G39" s="258">
        <f t="shared" si="5"/>
        <v>0</v>
      </c>
      <c r="H39" s="258">
        <f t="shared" si="6"/>
        <v>0</v>
      </c>
      <c r="I39" s="250"/>
      <c r="J39" s="251"/>
      <c r="K39" s="252"/>
      <c r="L39" s="253"/>
      <c r="M39" s="128"/>
      <c r="N39" s="128">
        <f t="shared" si="1"/>
        <v>0</v>
      </c>
      <c r="O39" s="254"/>
      <c r="P39" s="128">
        <f t="shared" si="2"/>
        <v>0</v>
      </c>
      <c r="Q39" s="18">
        <f t="shared" si="3"/>
        <v>0</v>
      </c>
      <c r="R39" s="255">
        <f t="shared" si="4"/>
        <v>0</v>
      </c>
      <c r="S39" s="230"/>
      <c r="T39" s="226">
        <f t="shared" si="7"/>
        <v>0</v>
      </c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1"/>
      <c r="AG39" s="1"/>
      <c r="AH39" s="1"/>
      <c r="AI39" s="1"/>
      <c r="AJ39" s="1"/>
    </row>
    <row r="40" spans="1:36" ht="13.5" customHeight="1">
      <c r="A40" s="259"/>
      <c r="B40" s="15" t="str">
        <f>TB!B77</f>
        <v>M031</v>
      </c>
      <c r="C40" s="256" t="str">
        <f>TB!C77</f>
        <v>Beef Meltique Saikoro</v>
      </c>
      <c r="D40" s="257">
        <f>SUMIF(GL!$D$5:$D$6446,B40,GL!$G$5:$G$6446)</f>
        <v>4</v>
      </c>
      <c r="E40" s="258">
        <f>SUMIF(GL!$D$6:$D$6484,B40,GL!$H$6:$H$6484)</f>
        <v>680000</v>
      </c>
      <c r="F40" s="258">
        <f>SUMIF(GL!$D$6:$D$6484,B40,GL!$I$6:$I$6484)</f>
        <v>0</v>
      </c>
      <c r="G40" s="258">
        <f t="shared" si="5"/>
        <v>680000</v>
      </c>
      <c r="H40" s="258">
        <f t="shared" si="6"/>
        <v>0</v>
      </c>
      <c r="I40" s="250">
        <v>1.6</v>
      </c>
      <c r="J40" s="251">
        <v>170173</v>
      </c>
      <c r="K40" s="252">
        <v>272277</v>
      </c>
      <c r="L40" s="253">
        <f>D40+I40</f>
        <v>5.6</v>
      </c>
      <c r="M40" s="128">
        <f>(G40+K40)/L40</f>
        <v>170049.46428571429</v>
      </c>
      <c r="N40" s="128">
        <f t="shared" si="1"/>
        <v>952277</v>
      </c>
      <c r="O40" s="254">
        <v>1.26</v>
      </c>
      <c r="P40" s="128">
        <f t="shared" si="2"/>
        <v>170049.46428571429</v>
      </c>
      <c r="Q40" s="18">
        <f t="shared" si="3"/>
        <v>214262.32500000001</v>
      </c>
      <c r="R40" s="255">
        <f t="shared" si="4"/>
        <v>738014.67500000005</v>
      </c>
      <c r="S40" s="230"/>
      <c r="T40" s="226">
        <f t="shared" si="7"/>
        <v>123.53571428571013</v>
      </c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1"/>
      <c r="AG40" s="1"/>
      <c r="AH40" s="1"/>
      <c r="AI40" s="1"/>
      <c r="AJ40" s="1"/>
    </row>
    <row r="41" spans="1:36" ht="13.5" customHeight="1">
      <c r="A41" s="259"/>
      <c r="B41" s="15" t="str">
        <f>TB!B78</f>
        <v>M032</v>
      </c>
      <c r="C41" s="256" t="str">
        <f>TB!C78</f>
        <v>Chiken Dramstick</v>
      </c>
      <c r="D41" s="257">
        <f>SUMIF(GL!$D$5:$D$6446,B41,GL!$G$5:$G$6446)</f>
        <v>0</v>
      </c>
      <c r="E41" s="258">
        <f>SUMIF(GL!$D$6:$D$6484,B41,GL!$H$6:$H$6484)</f>
        <v>0</v>
      </c>
      <c r="F41" s="258">
        <f>SUMIF(GL!$D$6:$D$6484,B41,GL!$I$6:$I$6484)</f>
        <v>0</v>
      </c>
      <c r="G41" s="258">
        <f t="shared" si="5"/>
        <v>0</v>
      </c>
      <c r="H41" s="258">
        <f t="shared" si="6"/>
        <v>0</v>
      </c>
      <c r="I41" s="250"/>
      <c r="J41" s="251"/>
      <c r="K41" s="252"/>
      <c r="L41" s="253"/>
      <c r="M41" s="128"/>
      <c r="N41" s="128">
        <f t="shared" si="1"/>
        <v>0</v>
      </c>
      <c r="O41" s="254"/>
      <c r="P41" s="128">
        <f t="shared" si="2"/>
        <v>0</v>
      </c>
      <c r="Q41" s="18">
        <f t="shared" si="3"/>
        <v>0</v>
      </c>
      <c r="R41" s="255">
        <f t="shared" si="4"/>
        <v>0</v>
      </c>
      <c r="S41" s="230"/>
      <c r="T41" s="226">
        <f t="shared" si="7"/>
        <v>0</v>
      </c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1"/>
      <c r="AG41" s="1"/>
      <c r="AH41" s="1"/>
      <c r="AI41" s="1"/>
      <c r="AJ41" s="1"/>
    </row>
    <row r="42" spans="1:36" ht="13.5" customHeight="1">
      <c r="A42" s="259"/>
      <c r="B42" s="15" t="str">
        <f>TB!B79</f>
        <v>M033</v>
      </c>
      <c r="C42" s="256" t="str">
        <f>TB!C79</f>
        <v>Tuna</v>
      </c>
      <c r="D42" s="257">
        <f>SUMIF(GL!$D$5:$D$6446,B42,GL!$G$5:$G$6446)</f>
        <v>0</v>
      </c>
      <c r="E42" s="258">
        <f>SUMIF(GL!$D$6:$D$6484,B42,GL!$H$6:$H$6484)</f>
        <v>0</v>
      </c>
      <c r="F42" s="258">
        <f>SUMIF(GL!$D$6:$D$6484,B42,GL!$I$6:$I$6484)</f>
        <v>0</v>
      </c>
      <c r="G42" s="258">
        <f t="shared" si="5"/>
        <v>0</v>
      </c>
      <c r="H42" s="258">
        <f t="shared" si="6"/>
        <v>0</v>
      </c>
      <c r="I42" s="250">
        <v>2.4</v>
      </c>
      <c r="J42" s="251">
        <v>122972</v>
      </c>
      <c r="K42" s="252">
        <v>295132</v>
      </c>
      <c r="L42" s="253">
        <f t="shared" ref="L42:L43" si="18">D42+I42</f>
        <v>2.4</v>
      </c>
      <c r="M42" s="128">
        <f t="shared" ref="M42:M43" si="19">(G42+K42)/L42</f>
        <v>122971.66666666667</v>
      </c>
      <c r="N42" s="128">
        <f t="shared" si="1"/>
        <v>295132</v>
      </c>
      <c r="O42" s="254">
        <v>2.5299999999999998</v>
      </c>
      <c r="P42" s="128">
        <f t="shared" si="2"/>
        <v>122971.66666666667</v>
      </c>
      <c r="Q42" s="18">
        <f t="shared" si="3"/>
        <v>311118.31666666665</v>
      </c>
      <c r="R42" s="255">
        <f t="shared" si="4"/>
        <v>-15986.316666666651</v>
      </c>
      <c r="S42" s="230"/>
      <c r="T42" s="226">
        <f t="shared" si="7"/>
        <v>0.33333333332848269</v>
      </c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1"/>
      <c r="AG42" s="1"/>
      <c r="AH42" s="1"/>
      <c r="AI42" s="1"/>
      <c r="AJ42" s="1"/>
    </row>
    <row r="43" spans="1:36" ht="13.5" customHeight="1">
      <c r="A43" s="259"/>
      <c r="B43" s="15" t="str">
        <f>TB!B80</f>
        <v>M034</v>
      </c>
      <c r="C43" s="256" t="str">
        <f>TB!C80</f>
        <v>Cumi</v>
      </c>
      <c r="D43" s="257">
        <f>SUMIF(GL!$D$5:$D$6446,B43,GL!$G$5:$G$6446)</f>
        <v>9</v>
      </c>
      <c r="E43" s="258">
        <f>SUMIF(GL!$D$6:$D$6484,B43,GL!$H$6:$H$6484)</f>
        <v>711000</v>
      </c>
      <c r="F43" s="258">
        <f>SUMIF(GL!$D$6:$D$6484,B43,GL!$I$6:$I$6484)</f>
        <v>0</v>
      </c>
      <c r="G43" s="258">
        <f t="shared" si="5"/>
        <v>711000</v>
      </c>
      <c r="H43" s="258">
        <f t="shared" si="6"/>
        <v>0</v>
      </c>
      <c r="I43" s="250">
        <v>4.16</v>
      </c>
      <c r="J43" s="251">
        <v>89474</v>
      </c>
      <c r="K43" s="252">
        <v>372211</v>
      </c>
      <c r="L43" s="253">
        <f t="shared" si="18"/>
        <v>13.16</v>
      </c>
      <c r="M43" s="128">
        <f t="shared" si="19"/>
        <v>82310.866261398172</v>
      </c>
      <c r="N43" s="128">
        <f t="shared" si="1"/>
        <v>1083211</v>
      </c>
      <c r="O43" s="254">
        <v>6.98</v>
      </c>
      <c r="P43" s="128">
        <f t="shared" si="2"/>
        <v>82310.866261398172</v>
      </c>
      <c r="Q43" s="18">
        <f t="shared" si="3"/>
        <v>574529.84650455927</v>
      </c>
      <c r="R43" s="255">
        <f t="shared" si="4"/>
        <v>508681.15349544073</v>
      </c>
      <c r="S43" s="230"/>
      <c r="T43" s="226">
        <f t="shared" si="7"/>
        <v>7163.1337386018276</v>
      </c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1"/>
      <c r="AG43" s="1"/>
      <c r="AH43" s="1"/>
      <c r="AI43" s="1"/>
      <c r="AJ43" s="1"/>
    </row>
    <row r="44" spans="1:36" ht="13.5" customHeight="1">
      <c r="A44" s="259"/>
      <c r="B44" s="15" t="str">
        <f>TB!B81</f>
        <v>M035</v>
      </c>
      <c r="C44" s="256" t="str">
        <f>TB!C81</f>
        <v>Udang / Prawn 16"</v>
      </c>
      <c r="D44" s="257">
        <f>SUMIF(GL!$D$5:$D$6446,B44,GL!$G$5:$G$6446)</f>
        <v>0</v>
      </c>
      <c r="E44" s="258">
        <f>SUMIF(GL!$D$6:$D$6484,B44,GL!$H$6:$H$6484)</f>
        <v>0</v>
      </c>
      <c r="F44" s="258">
        <f>SUMIF(GL!$D$6:$D$6484,B44,GL!$I$6:$I$6484)</f>
        <v>0</v>
      </c>
      <c r="G44" s="258">
        <f t="shared" si="5"/>
        <v>0</v>
      </c>
      <c r="H44" s="258">
        <f t="shared" si="6"/>
        <v>0</v>
      </c>
      <c r="I44" s="250"/>
      <c r="J44" s="251"/>
      <c r="K44" s="252"/>
      <c r="L44" s="253"/>
      <c r="M44" s="128"/>
      <c r="N44" s="128">
        <f t="shared" si="1"/>
        <v>0</v>
      </c>
      <c r="O44" s="254"/>
      <c r="P44" s="128">
        <f t="shared" si="2"/>
        <v>0</v>
      </c>
      <c r="Q44" s="18">
        <f t="shared" si="3"/>
        <v>0</v>
      </c>
      <c r="R44" s="255">
        <f t="shared" si="4"/>
        <v>0</v>
      </c>
      <c r="S44" s="230"/>
      <c r="T44" s="226">
        <f t="shared" si="7"/>
        <v>0</v>
      </c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1"/>
      <c r="AG44" s="1"/>
      <c r="AH44" s="1"/>
      <c r="AI44" s="1"/>
      <c r="AJ44" s="1"/>
    </row>
    <row r="45" spans="1:36" ht="13.5" customHeight="1">
      <c r="A45" s="259"/>
      <c r="B45" s="15" t="str">
        <f>TB!B82</f>
        <v>M036</v>
      </c>
      <c r="C45" s="256" t="str">
        <f>TB!C82</f>
        <v>Kakap Fish</v>
      </c>
      <c r="D45" s="257">
        <f>SUMIF(GL!$D$5:$D$6446,B45,GL!$G$5:$G$6446)</f>
        <v>0</v>
      </c>
      <c r="E45" s="258">
        <f>SUMIF(GL!$D$6:$D$6484,B45,GL!$H$6:$H$6484)</f>
        <v>0</v>
      </c>
      <c r="F45" s="258">
        <f>SUMIF(GL!$D$6:$D$6484,B45,GL!$I$6:$I$6484)</f>
        <v>0</v>
      </c>
      <c r="G45" s="258">
        <f t="shared" si="5"/>
        <v>0</v>
      </c>
      <c r="H45" s="258">
        <f t="shared" si="6"/>
        <v>0</v>
      </c>
      <c r="I45" s="250"/>
      <c r="J45" s="251"/>
      <c r="K45" s="252"/>
      <c r="L45" s="253"/>
      <c r="M45" s="128"/>
      <c r="N45" s="128">
        <f t="shared" si="1"/>
        <v>0</v>
      </c>
      <c r="O45" s="254"/>
      <c r="P45" s="128">
        <f t="shared" si="2"/>
        <v>0</v>
      </c>
      <c r="Q45" s="18">
        <f t="shared" si="3"/>
        <v>0</v>
      </c>
      <c r="R45" s="255">
        <f t="shared" si="4"/>
        <v>0</v>
      </c>
      <c r="S45" s="230"/>
      <c r="T45" s="226">
        <f t="shared" si="7"/>
        <v>0</v>
      </c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1"/>
      <c r="AG45" s="1"/>
      <c r="AH45" s="1"/>
      <c r="AI45" s="1"/>
      <c r="AJ45" s="1"/>
    </row>
    <row r="46" spans="1:36" ht="13.5" customHeight="1">
      <c r="A46" s="259"/>
      <c r="B46" s="15" t="str">
        <f>TB!B83</f>
        <v>M037</v>
      </c>
      <c r="C46" s="256" t="str">
        <f>TB!C83</f>
        <v>Squid Baby</v>
      </c>
      <c r="D46" s="257">
        <f>SUMIF(GL!$D$5:$D$6446,B46,GL!$G$5:$G$6446)</f>
        <v>0</v>
      </c>
      <c r="E46" s="258">
        <f>SUMIF(GL!$D$6:$D$6484,B46,GL!$H$6:$H$6484)</f>
        <v>0</v>
      </c>
      <c r="F46" s="258">
        <f>SUMIF(GL!$D$6:$D$6484,B46,GL!$I$6:$I$6484)</f>
        <v>0</v>
      </c>
      <c r="G46" s="258">
        <f t="shared" si="5"/>
        <v>0</v>
      </c>
      <c r="H46" s="258">
        <f t="shared" si="6"/>
        <v>0</v>
      </c>
      <c r="I46" s="250"/>
      <c r="J46" s="251"/>
      <c r="K46" s="252"/>
      <c r="L46" s="253"/>
      <c r="M46" s="128"/>
      <c r="N46" s="128">
        <f t="shared" si="1"/>
        <v>0</v>
      </c>
      <c r="O46" s="254"/>
      <c r="P46" s="128">
        <f t="shared" si="2"/>
        <v>0</v>
      </c>
      <c r="Q46" s="18">
        <f t="shared" si="3"/>
        <v>0</v>
      </c>
      <c r="R46" s="255">
        <f t="shared" si="4"/>
        <v>0</v>
      </c>
      <c r="S46" s="230"/>
      <c r="T46" s="226">
        <f t="shared" si="7"/>
        <v>0</v>
      </c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1"/>
      <c r="AG46" s="1"/>
      <c r="AH46" s="1"/>
      <c r="AI46" s="1"/>
      <c r="AJ46" s="1"/>
    </row>
    <row r="47" spans="1:36" ht="13.5" customHeight="1">
      <c r="A47" s="259"/>
      <c r="B47" s="15" t="str">
        <f>TB!B84</f>
        <v>M038</v>
      </c>
      <c r="C47" s="256" t="str">
        <f>TB!C84</f>
        <v>Anchovies</v>
      </c>
      <c r="D47" s="257">
        <f>SUMIF(GL!$D$5:$D$6446,B47,GL!$G$5:$G$6446)</f>
        <v>0</v>
      </c>
      <c r="E47" s="258">
        <f>SUMIF(GL!$D$6:$D$6484,B47,GL!$H$6:$H$6484)</f>
        <v>0</v>
      </c>
      <c r="F47" s="258">
        <f>SUMIF(GL!$D$6:$D$6484,B47,GL!$I$6:$I$6484)</f>
        <v>0</v>
      </c>
      <c r="G47" s="258">
        <f t="shared" si="5"/>
        <v>0</v>
      </c>
      <c r="H47" s="258">
        <f t="shared" si="6"/>
        <v>0</v>
      </c>
      <c r="I47" s="250"/>
      <c r="J47" s="251"/>
      <c r="K47" s="252"/>
      <c r="L47" s="253"/>
      <c r="M47" s="128"/>
      <c r="N47" s="128">
        <f t="shared" si="1"/>
        <v>0</v>
      </c>
      <c r="O47" s="254"/>
      <c r="P47" s="128">
        <f t="shared" si="2"/>
        <v>0</v>
      </c>
      <c r="Q47" s="18">
        <f t="shared" si="3"/>
        <v>0</v>
      </c>
      <c r="R47" s="255">
        <f t="shared" si="4"/>
        <v>0</v>
      </c>
      <c r="S47" s="230"/>
      <c r="T47" s="226">
        <f t="shared" si="7"/>
        <v>0</v>
      </c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1"/>
      <c r="AG47" s="1"/>
      <c r="AH47" s="1"/>
      <c r="AI47" s="1"/>
      <c r="AJ47" s="1"/>
    </row>
    <row r="48" spans="1:36" ht="13.5" customHeight="1">
      <c r="A48" s="259"/>
      <c r="B48" s="15" t="str">
        <f>TB!B85</f>
        <v>M039</v>
      </c>
      <c r="C48" s="256" t="str">
        <f>TB!C85</f>
        <v>Tenderloin</v>
      </c>
      <c r="D48" s="257">
        <f>SUMIF(GL!$D$5:$D$6446,B48,GL!$G$5:$G$6446)</f>
        <v>7.4399999999999995</v>
      </c>
      <c r="E48" s="258">
        <f>SUMIF(GL!$D$6:$D$6484,B48,GL!$H$6:$H$6484)</f>
        <v>1621920</v>
      </c>
      <c r="F48" s="258">
        <f>SUMIF(GL!$D$6:$D$6484,B48,GL!$I$6:$I$6484)</f>
        <v>0</v>
      </c>
      <c r="G48" s="258">
        <f t="shared" si="5"/>
        <v>1621920</v>
      </c>
      <c r="H48" s="258">
        <f t="shared" si="6"/>
        <v>0</v>
      </c>
      <c r="I48" s="250">
        <v>5.79</v>
      </c>
      <c r="J48" s="251">
        <v>177770</v>
      </c>
      <c r="K48" s="252">
        <v>1029287</v>
      </c>
      <c r="L48" s="253">
        <f t="shared" ref="L48:L50" si="20">D48+I48</f>
        <v>13.23</v>
      </c>
      <c r="M48" s="128">
        <f t="shared" ref="M48:M50" si="21">(G48+K48)/L48</f>
        <v>200393.57520786091</v>
      </c>
      <c r="N48" s="128">
        <f t="shared" si="1"/>
        <v>2651207</v>
      </c>
      <c r="O48" s="254">
        <v>5.49</v>
      </c>
      <c r="P48" s="128">
        <f t="shared" si="2"/>
        <v>200393.57520786091</v>
      </c>
      <c r="Q48" s="18">
        <f t="shared" si="3"/>
        <v>1100160.7278911564</v>
      </c>
      <c r="R48" s="255">
        <f t="shared" si="4"/>
        <v>1551046.2721088436</v>
      </c>
      <c r="S48" s="230" t="s">
        <v>3822</v>
      </c>
      <c r="T48" s="226">
        <f t="shared" si="7"/>
        <v>-22623.575207860908</v>
      </c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1"/>
      <c r="AG48" s="1"/>
      <c r="AH48" s="1"/>
      <c r="AI48" s="1"/>
      <c r="AJ48" s="1"/>
    </row>
    <row r="49" spans="1:36" ht="13.5" customHeight="1">
      <c r="A49" s="259"/>
      <c r="B49" s="15" t="str">
        <f>TB!B86</f>
        <v>M040</v>
      </c>
      <c r="C49" s="256" t="str">
        <f>TB!C86</f>
        <v>Snapper Fillet</v>
      </c>
      <c r="D49" s="257">
        <f>SUMIF(GL!$D$5:$D$6446,B49,GL!$G$5:$G$6446)</f>
        <v>3.3</v>
      </c>
      <c r="E49" s="258">
        <f>SUMIF(GL!$D$6:$D$6484,B49,GL!$H$6:$H$6484)</f>
        <v>396000</v>
      </c>
      <c r="F49" s="258">
        <f>SUMIF(GL!$D$6:$D$6484,B49,GL!$I$6:$I$6484)</f>
        <v>0</v>
      </c>
      <c r="G49" s="258">
        <f t="shared" si="5"/>
        <v>396000</v>
      </c>
      <c r="H49" s="258">
        <f t="shared" si="6"/>
        <v>0</v>
      </c>
      <c r="I49" s="250">
        <v>3.78</v>
      </c>
      <c r="J49" s="251">
        <v>125397</v>
      </c>
      <c r="K49" s="252">
        <v>474002</v>
      </c>
      <c r="L49" s="253">
        <f t="shared" si="20"/>
        <v>7.08</v>
      </c>
      <c r="M49" s="128">
        <f t="shared" si="21"/>
        <v>122881.63841807909</v>
      </c>
      <c r="N49" s="128">
        <f t="shared" si="1"/>
        <v>870002</v>
      </c>
      <c r="O49" s="254">
        <v>6</v>
      </c>
      <c r="P49" s="128">
        <f t="shared" si="2"/>
        <v>122881.63841807909</v>
      </c>
      <c r="Q49" s="18">
        <f t="shared" si="3"/>
        <v>737289.83050847449</v>
      </c>
      <c r="R49" s="255">
        <f t="shared" si="4"/>
        <v>132712.16949152551</v>
      </c>
      <c r="S49" s="230"/>
      <c r="T49" s="226">
        <f t="shared" si="7"/>
        <v>2515.3615819209081</v>
      </c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1"/>
      <c r="AG49" s="1"/>
      <c r="AH49" s="1"/>
      <c r="AI49" s="1"/>
      <c r="AJ49" s="1"/>
    </row>
    <row r="50" spans="1:36" ht="13.5" customHeight="1">
      <c r="A50" s="259"/>
      <c r="B50" s="15" t="str">
        <f>TB!B87</f>
        <v>M041</v>
      </c>
      <c r="C50" s="256" t="str">
        <f>TB!C87</f>
        <v>Udang/Prawn 25"</v>
      </c>
      <c r="D50" s="257">
        <f>SUMIF(GL!$D$5:$D$6446,B50,GL!$G$5:$G$6446)</f>
        <v>40</v>
      </c>
      <c r="E50" s="258">
        <f>SUMIF(GL!$D$6:$D$6484,B50,GL!$H$6:$H$6484)</f>
        <v>6450000</v>
      </c>
      <c r="F50" s="258">
        <f>SUMIF(GL!$D$6:$D$6484,B50,GL!$I$6:$I$6484)</f>
        <v>0</v>
      </c>
      <c r="G50" s="258">
        <f t="shared" si="5"/>
        <v>6450000</v>
      </c>
      <c r="H50" s="258">
        <f t="shared" si="6"/>
        <v>0</v>
      </c>
      <c r="I50" s="250">
        <v>4.55</v>
      </c>
      <c r="J50" s="251">
        <v>160592</v>
      </c>
      <c r="K50" s="252">
        <v>730694</v>
      </c>
      <c r="L50" s="253">
        <f t="shared" si="20"/>
        <v>44.55</v>
      </c>
      <c r="M50" s="128">
        <f t="shared" si="21"/>
        <v>161182.80583613919</v>
      </c>
      <c r="N50" s="128">
        <f t="shared" si="1"/>
        <v>7180694</v>
      </c>
      <c r="O50" s="254">
        <v>13.57</v>
      </c>
      <c r="P50" s="128">
        <f t="shared" si="2"/>
        <v>161182.80583613919</v>
      </c>
      <c r="Q50" s="18">
        <f t="shared" si="3"/>
        <v>2187250.6751964088</v>
      </c>
      <c r="R50" s="255">
        <f t="shared" si="4"/>
        <v>4993443.3248035908</v>
      </c>
      <c r="S50" s="230"/>
      <c r="T50" s="226">
        <f t="shared" si="7"/>
        <v>-590.80583613918861</v>
      </c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1"/>
      <c r="AG50" s="1"/>
      <c r="AH50" s="1"/>
      <c r="AI50" s="1"/>
      <c r="AJ50" s="1"/>
    </row>
    <row r="51" spans="1:36" ht="13.5" customHeight="1">
      <c r="A51" s="259"/>
      <c r="B51" s="15" t="str">
        <f>TB!B88</f>
        <v>M042</v>
      </c>
      <c r="C51" s="256" t="str">
        <f>TB!C88</f>
        <v>Baby Lobster</v>
      </c>
      <c r="D51" s="257">
        <f>SUMIF(GL!$D$5:$D$6446,B51,GL!$G$5:$G$6446)</f>
        <v>0</v>
      </c>
      <c r="E51" s="258">
        <f>SUMIF(GL!$D$6:$D$6484,B51,GL!$H$6:$H$6484)</f>
        <v>0</v>
      </c>
      <c r="F51" s="258">
        <f>SUMIF(GL!$D$6:$D$6484,B51,GL!$I$6:$I$6484)</f>
        <v>0</v>
      </c>
      <c r="G51" s="258">
        <f t="shared" si="5"/>
        <v>0</v>
      </c>
      <c r="H51" s="258">
        <f t="shared" si="6"/>
        <v>0</v>
      </c>
      <c r="I51" s="250"/>
      <c r="J51" s="251"/>
      <c r="K51" s="252"/>
      <c r="L51" s="253"/>
      <c r="M51" s="128"/>
      <c r="N51" s="128">
        <f t="shared" si="1"/>
        <v>0</v>
      </c>
      <c r="O51" s="254"/>
      <c r="P51" s="128">
        <f t="shared" si="2"/>
        <v>0</v>
      </c>
      <c r="Q51" s="18">
        <f t="shared" si="3"/>
        <v>0</v>
      </c>
      <c r="R51" s="255">
        <f t="shared" si="4"/>
        <v>0</v>
      </c>
      <c r="S51" s="230"/>
      <c r="T51" s="226">
        <f t="shared" si="7"/>
        <v>0</v>
      </c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1"/>
      <c r="AG51" s="1"/>
      <c r="AH51" s="1"/>
      <c r="AI51" s="1"/>
      <c r="AJ51" s="1"/>
    </row>
    <row r="52" spans="1:36" ht="13.5" customHeight="1">
      <c r="A52" s="4"/>
      <c r="B52" s="15" t="str">
        <f>TB!B89</f>
        <v>M043</v>
      </c>
      <c r="C52" s="256" t="str">
        <f>TB!C89</f>
        <v>Pork Loin</v>
      </c>
      <c r="D52" s="257">
        <f>SUMIF(GL!$D$5:$D$6446,B52,GL!$G$5:$G$6446)</f>
        <v>0</v>
      </c>
      <c r="E52" s="258">
        <f>SUMIF(GL!$D$6:$D$6484,B52,GL!$H$6:$H$6484)</f>
        <v>0</v>
      </c>
      <c r="F52" s="258">
        <f>SUMIF(GL!$D$6:$D$6484,B52,GL!$I$6:$I$6484)</f>
        <v>0</v>
      </c>
      <c r="G52" s="258">
        <f t="shared" si="5"/>
        <v>0</v>
      </c>
      <c r="H52" s="258">
        <f t="shared" si="6"/>
        <v>0</v>
      </c>
      <c r="I52" s="250">
        <v>4.17</v>
      </c>
      <c r="J52" s="251">
        <v>120331</v>
      </c>
      <c r="K52" s="252">
        <v>501779</v>
      </c>
      <c r="L52" s="253">
        <f>D52+I52</f>
        <v>4.17</v>
      </c>
      <c r="M52" s="128">
        <f>(G52+K52)/L52</f>
        <v>120330.69544364509</v>
      </c>
      <c r="N52" s="128">
        <f t="shared" si="1"/>
        <v>501779</v>
      </c>
      <c r="O52" s="254">
        <v>4.43</v>
      </c>
      <c r="P52" s="128">
        <f t="shared" si="2"/>
        <v>120330.69544364509</v>
      </c>
      <c r="Q52" s="18">
        <f t="shared" si="3"/>
        <v>533064.98081534775</v>
      </c>
      <c r="R52" s="255">
        <f t="shared" si="4"/>
        <v>-31285.98081534775</v>
      </c>
      <c r="S52" s="230"/>
      <c r="T52" s="226">
        <f t="shared" si="7"/>
        <v>0.30455635490943678</v>
      </c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1"/>
      <c r="AG52" s="1"/>
      <c r="AH52" s="1"/>
      <c r="AI52" s="1"/>
      <c r="AJ52" s="1"/>
    </row>
    <row r="53" spans="1:36" ht="13.5" customHeight="1">
      <c r="A53" s="4"/>
      <c r="B53" s="15" t="str">
        <f>TB!B90</f>
        <v>M044</v>
      </c>
      <c r="C53" s="256" t="str">
        <f>TB!C90</f>
        <v>Dori</v>
      </c>
      <c r="D53" s="257">
        <f>SUMIF(GL!$D$5:$D$6446,B53,GL!$G$5:$G$6446)</f>
        <v>0</v>
      </c>
      <c r="E53" s="258">
        <f>SUMIF(GL!$D$6:$D$6484,B53,GL!$H$6:$H$6484)</f>
        <v>0</v>
      </c>
      <c r="F53" s="258">
        <f>SUMIF(GL!$D$6:$D$6484,B53,GL!$I$6:$I$6484)</f>
        <v>0</v>
      </c>
      <c r="G53" s="258">
        <f t="shared" si="5"/>
        <v>0</v>
      </c>
      <c r="H53" s="258">
        <f t="shared" si="6"/>
        <v>0</v>
      </c>
      <c r="I53" s="250"/>
      <c r="J53" s="251"/>
      <c r="K53" s="252"/>
      <c r="L53" s="253"/>
      <c r="M53" s="128"/>
      <c r="N53" s="128">
        <f t="shared" si="1"/>
        <v>0</v>
      </c>
      <c r="O53" s="254"/>
      <c r="P53" s="128">
        <f t="shared" si="2"/>
        <v>0</v>
      </c>
      <c r="Q53" s="18">
        <f t="shared" si="3"/>
        <v>0</v>
      </c>
      <c r="R53" s="255">
        <f t="shared" si="4"/>
        <v>0</v>
      </c>
      <c r="S53" s="230"/>
      <c r="T53" s="226">
        <f t="shared" si="7"/>
        <v>0</v>
      </c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1"/>
      <c r="AG53" s="1"/>
      <c r="AH53" s="1"/>
      <c r="AI53" s="1"/>
      <c r="AJ53" s="1"/>
    </row>
    <row r="54" spans="1:36" ht="13.5" customHeight="1">
      <c r="A54" s="4"/>
      <c r="B54" s="15" t="str">
        <f>TB!B91</f>
        <v>M045</v>
      </c>
      <c r="C54" s="256" t="str">
        <f>TB!C91</f>
        <v>Salmon Steak</v>
      </c>
      <c r="D54" s="257">
        <f>SUMIF(GL!$D$5:$D$6446,B54,GL!$G$5:$G$6446)</f>
        <v>5</v>
      </c>
      <c r="E54" s="258">
        <f>SUMIF(GL!$D$6:$D$6484,B54,GL!$H$6:$H$6484)</f>
        <v>1445000</v>
      </c>
      <c r="F54" s="258">
        <f>SUMIF(GL!$D$6:$D$6484,B54,GL!$I$6:$I$6484)</f>
        <v>0</v>
      </c>
      <c r="G54" s="258">
        <f t="shared" si="5"/>
        <v>1445000</v>
      </c>
      <c r="H54" s="258">
        <f t="shared" si="6"/>
        <v>0</v>
      </c>
      <c r="I54" s="250">
        <v>1.03</v>
      </c>
      <c r="J54" s="251">
        <v>260012</v>
      </c>
      <c r="K54" s="252">
        <v>267813</v>
      </c>
      <c r="L54" s="253">
        <f>D54+I54</f>
        <v>6.03</v>
      </c>
      <c r="M54" s="128">
        <f>(G54+K54)/L54</f>
        <v>284048.59038142621</v>
      </c>
      <c r="N54" s="128">
        <f t="shared" si="1"/>
        <v>1712813</v>
      </c>
      <c r="O54" s="254">
        <v>2</v>
      </c>
      <c r="P54" s="128">
        <f t="shared" si="2"/>
        <v>284048.59038142621</v>
      </c>
      <c r="Q54" s="18">
        <f t="shared" si="3"/>
        <v>568097.18076285243</v>
      </c>
      <c r="R54" s="255">
        <f t="shared" si="4"/>
        <v>1144715.8192371475</v>
      </c>
      <c r="S54" s="230" t="s">
        <v>3823</v>
      </c>
      <c r="T54" s="226">
        <f t="shared" si="7"/>
        <v>-24036.590381426213</v>
      </c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1"/>
      <c r="AG54" s="1"/>
      <c r="AH54" s="1"/>
      <c r="AI54" s="1"/>
      <c r="AJ54" s="1"/>
    </row>
    <row r="55" spans="1:36" ht="13.5" customHeight="1">
      <c r="A55" s="4"/>
      <c r="B55" s="15" t="str">
        <f>TB!B92</f>
        <v>M046</v>
      </c>
      <c r="C55" s="256" t="str">
        <f>TB!C92</f>
        <v>Belly Skin On</v>
      </c>
      <c r="D55" s="257">
        <f>SUMIF(GL!$D$5:$D$6446,B55,GL!$G$5:$G$6446)</f>
        <v>0</v>
      </c>
      <c r="E55" s="258">
        <f>SUMIF(GL!$D$6:$D$6484,B55,GL!$H$6:$H$6484)</f>
        <v>0</v>
      </c>
      <c r="F55" s="258">
        <f>SUMIF(GL!$D$6:$D$6484,B55,GL!$I$6:$I$6484)</f>
        <v>0</v>
      </c>
      <c r="G55" s="258">
        <f t="shared" si="5"/>
        <v>0</v>
      </c>
      <c r="H55" s="258">
        <f t="shared" si="6"/>
        <v>0</v>
      </c>
      <c r="I55" s="250"/>
      <c r="J55" s="251"/>
      <c r="K55" s="252"/>
      <c r="L55" s="253"/>
      <c r="M55" s="128"/>
      <c r="N55" s="128">
        <f t="shared" si="1"/>
        <v>0</v>
      </c>
      <c r="O55" s="254"/>
      <c r="P55" s="128">
        <f t="shared" si="2"/>
        <v>0</v>
      </c>
      <c r="Q55" s="18">
        <f t="shared" si="3"/>
        <v>0</v>
      </c>
      <c r="R55" s="255">
        <f t="shared" si="4"/>
        <v>0</v>
      </c>
      <c r="S55" s="230"/>
      <c r="T55" s="226">
        <f t="shared" si="7"/>
        <v>0</v>
      </c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1"/>
      <c r="AG55" s="1"/>
      <c r="AH55" s="1"/>
      <c r="AI55" s="1"/>
      <c r="AJ55" s="1"/>
    </row>
    <row r="56" spans="1:36" ht="13.5" customHeight="1">
      <c r="A56" s="4"/>
      <c r="B56" s="15" t="str">
        <f>TB!B93</f>
        <v>M047</v>
      </c>
      <c r="C56" s="256" t="str">
        <f>TB!C93</f>
        <v>Pork Toulouse</v>
      </c>
      <c r="D56" s="257">
        <f>SUMIF(GL!$D$5:$D$6446,B56,GL!$G$5:$G$6446)</f>
        <v>8.16</v>
      </c>
      <c r="E56" s="258">
        <f>SUMIF(GL!$D$6:$D$6484,B56,GL!$H$6:$H$6484)</f>
        <v>1168032</v>
      </c>
      <c r="F56" s="258">
        <f>SUMIF(GL!$D$6:$D$6484,B56,GL!$I$6:$I$6484)</f>
        <v>0</v>
      </c>
      <c r="G56" s="258">
        <f t="shared" si="5"/>
        <v>1168032</v>
      </c>
      <c r="H56" s="258">
        <f t="shared" si="6"/>
        <v>0</v>
      </c>
      <c r="I56" s="250">
        <v>3.5</v>
      </c>
      <c r="J56" s="251">
        <v>149045</v>
      </c>
      <c r="K56" s="252">
        <v>521657</v>
      </c>
      <c r="L56" s="253">
        <f t="shared" ref="L56:L58" si="22">D56+I56</f>
        <v>11.66</v>
      </c>
      <c r="M56" s="128">
        <f t="shared" ref="M56:M58" si="23">(G56+K56)/L56</f>
        <v>144913.29331046311</v>
      </c>
      <c r="N56" s="128">
        <f t="shared" si="1"/>
        <v>1689689</v>
      </c>
      <c r="O56" s="254">
        <v>3.04</v>
      </c>
      <c r="P56" s="128">
        <f t="shared" si="2"/>
        <v>144913.29331046311</v>
      </c>
      <c r="Q56" s="18">
        <f t="shared" si="3"/>
        <v>440536.41166380787</v>
      </c>
      <c r="R56" s="255">
        <f t="shared" si="4"/>
        <v>1249152.5883361921</v>
      </c>
      <c r="S56" s="230"/>
      <c r="T56" s="226">
        <f t="shared" si="7"/>
        <v>4131.7066895368916</v>
      </c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1"/>
      <c r="AG56" s="1"/>
      <c r="AH56" s="1"/>
      <c r="AI56" s="1"/>
      <c r="AJ56" s="1"/>
    </row>
    <row r="57" spans="1:36" ht="13.5" customHeight="1">
      <c r="A57" s="4"/>
      <c r="B57" s="15" t="str">
        <f>TB!B94</f>
        <v>M048</v>
      </c>
      <c r="C57" s="256" t="str">
        <f>TB!C94</f>
        <v>Beef Toulouse</v>
      </c>
      <c r="D57" s="257">
        <f>SUMIF(GL!$D$5:$D$6446,B57,GL!$G$5:$G$6446)</f>
        <v>5.0299999999999994</v>
      </c>
      <c r="E57" s="258">
        <f>SUMIF(GL!$D$6:$D$6484,B57,GL!$H$6:$H$6484)</f>
        <v>829950</v>
      </c>
      <c r="F57" s="258">
        <f>SUMIF(GL!$D$6:$D$6484,B57,GL!$I$6:$I$6484)</f>
        <v>0</v>
      </c>
      <c r="G57" s="258">
        <f t="shared" si="5"/>
        <v>829950</v>
      </c>
      <c r="H57" s="258">
        <f t="shared" si="6"/>
        <v>0</v>
      </c>
      <c r="I57" s="250">
        <v>4.87</v>
      </c>
      <c r="J57" s="251">
        <v>165012</v>
      </c>
      <c r="K57" s="252">
        <v>803607</v>
      </c>
      <c r="L57" s="253">
        <f t="shared" si="22"/>
        <v>9.8999999999999986</v>
      </c>
      <c r="M57" s="128">
        <f t="shared" si="23"/>
        <v>165005.7575757576</v>
      </c>
      <c r="N57" s="128">
        <f t="shared" si="1"/>
        <v>1633557</v>
      </c>
      <c r="O57" s="254">
        <v>4.4400000000000004</v>
      </c>
      <c r="P57" s="128">
        <f t="shared" si="2"/>
        <v>165005.7575757576</v>
      </c>
      <c r="Q57" s="18">
        <f t="shared" si="3"/>
        <v>732625.56363636383</v>
      </c>
      <c r="R57" s="255">
        <f t="shared" si="4"/>
        <v>900931.43636363617</v>
      </c>
      <c r="S57" s="230"/>
      <c r="T57" s="226">
        <f t="shared" si="7"/>
        <v>6.2424242424021941</v>
      </c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1"/>
      <c r="AG57" s="1"/>
      <c r="AH57" s="1"/>
      <c r="AI57" s="1"/>
      <c r="AJ57" s="1"/>
    </row>
    <row r="58" spans="1:36" ht="13.5" customHeight="1">
      <c r="A58" s="4"/>
      <c r="B58" s="15" t="str">
        <f>TB!B95</f>
        <v>M049</v>
      </c>
      <c r="C58" s="256" t="str">
        <f>TB!C95</f>
        <v>Chicken Toulouse</v>
      </c>
      <c r="D58" s="257">
        <f>SUMIF(GL!$D$5:$D$6446,B58,GL!$G$5:$G$6446)</f>
        <v>7.52</v>
      </c>
      <c r="E58" s="258">
        <f>SUMIF(GL!$D$6:$D$6484,B58,GL!$H$6:$H$6484)</f>
        <v>1013872</v>
      </c>
      <c r="F58" s="258">
        <f>SUMIF(GL!$D$6:$D$6484,B58,GL!$I$6:$I$6484)</f>
        <v>0</v>
      </c>
      <c r="G58" s="258">
        <f t="shared" si="5"/>
        <v>1013872</v>
      </c>
      <c r="H58" s="258">
        <f t="shared" si="6"/>
        <v>0</v>
      </c>
      <c r="I58" s="250">
        <v>2.1</v>
      </c>
      <c r="J58" s="251">
        <v>154137</v>
      </c>
      <c r="K58" s="252">
        <v>323689</v>
      </c>
      <c r="L58" s="253">
        <f t="shared" si="22"/>
        <v>9.6199999999999992</v>
      </c>
      <c r="M58" s="128">
        <f t="shared" si="23"/>
        <v>139039.604989605</v>
      </c>
      <c r="N58" s="128">
        <f t="shared" si="1"/>
        <v>1337561</v>
      </c>
      <c r="O58" s="254">
        <v>2.85</v>
      </c>
      <c r="P58" s="128">
        <f t="shared" si="2"/>
        <v>139039.604989605</v>
      </c>
      <c r="Q58" s="18">
        <f t="shared" si="3"/>
        <v>396262.87422037427</v>
      </c>
      <c r="R58" s="255">
        <f t="shared" si="4"/>
        <v>941298.12577962573</v>
      </c>
      <c r="S58" s="230"/>
      <c r="T58" s="226">
        <f t="shared" si="7"/>
        <v>15097.395010395005</v>
      </c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1"/>
      <c r="AG58" s="1"/>
      <c r="AH58" s="1"/>
      <c r="AI58" s="1"/>
      <c r="AJ58" s="1"/>
    </row>
    <row r="59" spans="1:36" ht="13.5" customHeight="1">
      <c r="A59" s="4"/>
      <c r="B59" s="15" t="str">
        <f>TB!B96</f>
        <v>M050</v>
      </c>
      <c r="C59" s="256" t="str">
        <f>TB!C96</f>
        <v>Beef Loin</v>
      </c>
      <c r="D59" s="257">
        <f>SUMIF(GL!$D$5:$D$6446,B59,GL!$G$5:$G$6446)</f>
        <v>0</v>
      </c>
      <c r="E59" s="258">
        <f>SUMIF(GL!$D$6:$D$6484,B59,GL!$H$6:$H$6484)</f>
        <v>0</v>
      </c>
      <c r="F59" s="258">
        <f>SUMIF(GL!$D$6:$D$6484,B59,GL!$I$6:$I$6484)</f>
        <v>0</v>
      </c>
      <c r="G59" s="258">
        <f t="shared" si="5"/>
        <v>0</v>
      </c>
      <c r="H59" s="258">
        <f t="shared" si="6"/>
        <v>0</v>
      </c>
      <c r="I59" s="250"/>
      <c r="J59" s="251"/>
      <c r="K59" s="252"/>
      <c r="L59" s="253"/>
      <c r="M59" s="128"/>
      <c r="N59" s="128">
        <f t="shared" si="1"/>
        <v>0</v>
      </c>
      <c r="O59" s="254"/>
      <c r="P59" s="128">
        <f t="shared" si="2"/>
        <v>0</v>
      </c>
      <c r="Q59" s="18">
        <f t="shared" si="3"/>
        <v>0</v>
      </c>
      <c r="R59" s="255">
        <f t="shared" si="4"/>
        <v>0</v>
      </c>
      <c r="S59" s="230"/>
      <c r="T59" s="226">
        <f t="shared" si="7"/>
        <v>0</v>
      </c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1"/>
      <c r="AG59" s="1"/>
      <c r="AH59" s="1"/>
      <c r="AI59" s="1"/>
      <c r="AJ59" s="1"/>
    </row>
    <row r="60" spans="1:36" ht="13.5" customHeight="1">
      <c r="A60" s="4"/>
      <c r="B60" s="15" t="str">
        <f>TB!B97</f>
        <v>M051</v>
      </c>
      <c r="C60" s="256" t="str">
        <f>TB!C97</f>
        <v>Tuna Can</v>
      </c>
      <c r="D60" s="257">
        <f>SUMIF(GL!$D$5:$D$6446,B60,GL!$G$5:$G$6446)</f>
        <v>0</v>
      </c>
      <c r="E60" s="258">
        <f>SUMIF(GL!$D$6:$D$6484,B60,GL!$H$6:$H$6484)</f>
        <v>0</v>
      </c>
      <c r="F60" s="258">
        <f>SUMIF(GL!$D$6:$D$6484,B60,GL!$I$6:$I$6484)</f>
        <v>0</v>
      </c>
      <c r="G60" s="258">
        <f t="shared" si="5"/>
        <v>0</v>
      </c>
      <c r="H60" s="258">
        <f t="shared" si="6"/>
        <v>0</v>
      </c>
      <c r="I60" s="250"/>
      <c r="J60" s="251"/>
      <c r="K60" s="252"/>
      <c r="L60" s="253"/>
      <c r="M60" s="128"/>
      <c r="N60" s="128">
        <f t="shared" si="1"/>
        <v>0</v>
      </c>
      <c r="O60" s="254"/>
      <c r="P60" s="128">
        <f t="shared" si="2"/>
        <v>0</v>
      </c>
      <c r="Q60" s="18">
        <f t="shared" si="3"/>
        <v>0</v>
      </c>
      <c r="R60" s="255">
        <f t="shared" si="4"/>
        <v>0</v>
      </c>
      <c r="S60" s="230"/>
      <c r="T60" s="226">
        <f t="shared" si="7"/>
        <v>0</v>
      </c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1"/>
      <c r="AG60" s="1"/>
      <c r="AH60" s="1"/>
      <c r="AI60" s="1"/>
      <c r="AJ60" s="1"/>
    </row>
    <row r="61" spans="1:36" ht="13.5" customHeight="1">
      <c r="A61" s="4"/>
      <c r="B61" s="15" t="str">
        <f>TB!B98</f>
        <v>M052</v>
      </c>
      <c r="C61" s="256" t="str">
        <f>TB!C98</f>
        <v>Top Side Scolopin</v>
      </c>
      <c r="D61" s="257">
        <f>SUMIF(GL!$D$5:$D$6446,B61,GL!$G$5:$G$6446)</f>
        <v>0</v>
      </c>
      <c r="E61" s="258">
        <f>SUMIF(GL!$D$6:$D$6484,B61,GL!$H$6:$H$6484)</f>
        <v>0</v>
      </c>
      <c r="F61" s="258">
        <f>SUMIF(GL!$D$6:$D$6484,B61,GL!$I$6:$I$6484)</f>
        <v>0</v>
      </c>
      <c r="G61" s="258">
        <f t="shared" si="5"/>
        <v>0</v>
      </c>
      <c r="H61" s="258">
        <f t="shared" si="6"/>
        <v>0</v>
      </c>
      <c r="I61" s="250"/>
      <c r="J61" s="251"/>
      <c r="K61" s="252"/>
      <c r="L61" s="253"/>
      <c r="M61" s="128"/>
      <c r="N61" s="128">
        <f t="shared" si="1"/>
        <v>0</v>
      </c>
      <c r="O61" s="254"/>
      <c r="P61" s="128">
        <f t="shared" si="2"/>
        <v>0</v>
      </c>
      <c r="Q61" s="18">
        <f t="shared" si="3"/>
        <v>0</v>
      </c>
      <c r="R61" s="255">
        <f t="shared" si="4"/>
        <v>0</v>
      </c>
      <c r="S61" s="230"/>
      <c r="T61" s="226">
        <f t="shared" si="7"/>
        <v>0</v>
      </c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1"/>
      <c r="AG61" s="1"/>
      <c r="AH61" s="1"/>
      <c r="AI61" s="1"/>
      <c r="AJ61" s="1"/>
    </row>
    <row r="62" spans="1:36" ht="13.5" customHeight="1">
      <c r="A62" s="4"/>
      <c r="B62" s="15" t="str">
        <f>TB!B99</f>
        <v>M053</v>
      </c>
      <c r="C62" s="256" t="str">
        <f>TB!C99</f>
        <v>Pork Belly Skin Off</v>
      </c>
      <c r="D62" s="257">
        <f>SUMIF(GL!$D$5:$D$6446,B62,GL!$G$5:$G$6446)</f>
        <v>0</v>
      </c>
      <c r="E62" s="258">
        <f>SUMIF(GL!$D$6:$D$6484,B62,GL!$H$6:$H$6484)</f>
        <v>0</v>
      </c>
      <c r="F62" s="258">
        <f>SUMIF(GL!$D$6:$D$6484,B62,GL!$I$6:$I$6484)</f>
        <v>0</v>
      </c>
      <c r="G62" s="258">
        <f t="shared" si="5"/>
        <v>0</v>
      </c>
      <c r="H62" s="258">
        <f t="shared" si="6"/>
        <v>0</v>
      </c>
      <c r="I62" s="250"/>
      <c r="J62" s="251"/>
      <c r="K62" s="252"/>
      <c r="L62" s="253"/>
      <c r="M62" s="128"/>
      <c r="N62" s="128">
        <f t="shared" si="1"/>
        <v>0</v>
      </c>
      <c r="O62" s="254"/>
      <c r="P62" s="128">
        <f t="shared" si="2"/>
        <v>0</v>
      </c>
      <c r="Q62" s="18">
        <f t="shared" si="3"/>
        <v>0</v>
      </c>
      <c r="R62" s="255">
        <f t="shared" si="4"/>
        <v>0</v>
      </c>
      <c r="S62" s="230"/>
      <c r="T62" s="226">
        <f t="shared" si="7"/>
        <v>0</v>
      </c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1"/>
      <c r="AG62" s="1"/>
      <c r="AH62" s="1"/>
      <c r="AI62" s="1"/>
      <c r="AJ62" s="1"/>
    </row>
    <row r="63" spans="1:36" ht="13.5" customHeight="1">
      <c r="A63" s="4"/>
      <c r="B63" s="15" t="str">
        <f>TB!B100</f>
        <v>M053A</v>
      </c>
      <c r="C63" s="256" t="str">
        <f>TB!C100</f>
        <v>Tulang Sapi</v>
      </c>
      <c r="D63" s="257">
        <f>SUMIF(GL!$D$5:$D$6446,B63,GL!$G$5:$G$6446)</f>
        <v>5</v>
      </c>
      <c r="E63" s="258">
        <f>SUMIF(GL!$D$6:$D$6484,B63,GL!$H$6:$H$6484)</f>
        <v>125000</v>
      </c>
      <c r="F63" s="258">
        <f>SUMIF(GL!$D$6:$D$6484,B63,GL!$I$6:$I$6484)</f>
        <v>0</v>
      </c>
      <c r="G63" s="258">
        <f t="shared" si="5"/>
        <v>125000</v>
      </c>
      <c r="H63" s="258">
        <f t="shared" si="6"/>
        <v>0</v>
      </c>
      <c r="I63" s="250">
        <v>2.69</v>
      </c>
      <c r="J63" s="251">
        <v>25000</v>
      </c>
      <c r="K63" s="252">
        <v>67250</v>
      </c>
      <c r="L63" s="253">
        <f>D63+I63</f>
        <v>7.6899999999999995</v>
      </c>
      <c r="M63" s="128">
        <f>(G63+K63)/L63</f>
        <v>25000</v>
      </c>
      <c r="N63" s="128">
        <f t="shared" si="1"/>
        <v>192250</v>
      </c>
      <c r="O63" s="254">
        <v>3.43</v>
      </c>
      <c r="P63" s="128">
        <f t="shared" si="2"/>
        <v>25000</v>
      </c>
      <c r="Q63" s="18">
        <f t="shared" si="3"/>
        <v>85750</v>
      </c>
      <c r="R63" s="255">
        <f t="shared" si="4"/>
        <v>106500</v>
      </c>
      <c r="S63" s="230"/>
      <c r="T63" s="226">
        <f t="shared" si="7"/>
        <v>0</v>
      </c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1"/>
      <c r="AG63" s="1"/>
      <c r="AH63" s="1"/>
      <c r="AI63" s="1"/>
      <c r="AJ63" s="1"/>
    </row>
    <row r="64" spans="1:36" ht="13.5" customHeight="1">
      <c r="A64" s="4"/>
      <c r="B64" s="15">
        <f>TB!B101</f>
        <v>0</v>
      </c>
      <c r="C64" s="256" t="str">
        <f>TB!C101</f>
        <v/>
      </c>
      <c r="D64" s="257">
        <f>SUMIF(GL!$D$5:$D$6446,B64,GL!$G$5:$G$6446)</f>
        <v>0</v>
      </c>
      <c r="E64" s="258">
        <f>SUMIF(GL!$D$6:$D$6484,B64,GL!$H$6:$H$6484)</f>
        <v>0</v>
      </c>
      <c r="F64" s="258">
        <f>SUMIF(GL!$D$6:$D$6484,B64,GL!$I$6:$I$6484)</f>
        <v>0</v>
      </c>
      <c r="G64" s="258">
        <f t="shared" si="5"/>
        <v>0</v>
      </c>
      <c r="H64" s="258">
        <f t="shared" si="6"/>
        <v>0</v>
      </c>
      <c r="I64" s="250"/>
      <c r="J64" s="251"/>
      <c r="K64" s="252"/>
      <c r="L64" s="253"/>
      <c r="M64" s="128"/>
      <c r="N64" s="128">
        <f t="shared" si="1"/>
        <v>0</v>
      </c>
      <c r="O64" s="254"/>
      <c r="P64" s="128">
        <f t="shared" si="2"/>
        <v>0</v>
      </c>
      <c r="Q64" s="18">
        <f t="shared" si="3"/>
        <v>0</v>
      </c>
      <c r="R64" s="255">
        <f t="shared" si="4"/>
        <v>0</v>
      </c>
      <c r="S64" s="230"/>
      <c r="T64" s="226">
        <f t="shared" si="7"/>
        <v>0</v>
      </c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1"/>
      <c r="AG64" s="1"/>
      <c r="AH64" s="1"/>
      <c r="AI64" s="1"/>
      <c r="AJ64" s="1"/>
    </row>
    <row r="65" spans="1:36" ht="13.5" customHeight="1">
      <c r="A65" s="4"/>
      <c r="B65" s="15"/>
      <c r="C65" s="260"/>
      <c r="D65" s="257">
        <f>SUMIF(GL!$D$5:$D$6446,B65,GL!$G$5:$G$6446)</f>
        <v>0</v>
      </c>
      <c r="E65" s="258">
        <f>SUMIF(GL!$D$6:$D$6484,B65,GL!$H$6:$H$6484)</f>
        <v>0</v>
      </c>
      <c r="F65" s="258">
        <f>SUMIF(GL!$D$6:$D$6484,B65,GL!$I$6:$I$6484)</f>
        <v>0</v>
      </c>
      <c r="G65" s="258">
        <f t="shared" si="5"/>
        <v>0</v>
      </c>
      <c r="H65" s="258">
        <f t="shared" si="6"/>
        <v>0</v>
      </c>
      <c r="I65" s="250"/>
      <c r="J65" s="251"/>
      <c r="K65" s="252"/>
      <c r="L65" s="253"/>
      <c r="M65" s="128"/>
      <c r="N65" s="128">
        <f t="shared" si="1"/>
        <v>0</v>
      </c>
      <c r="O65" s="254"/>
      <c r="P65" s="128">
        <f t="shared" si="2"/>
        <v>0</v>
      </c>
      <c r="Q65" s="18">
        <f t="shared" si="3"/>
        <v>0</v>
      </c>
      <c r="R65" s="255">
        <f t="shared" si="4"/>
        <v>0</v>
      </c>
      <c r="S65" s="230"/>
      <c r="T65" s="226">
        <f t="shared" si="7"/>
        <v>0</v>
      </c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1"/>
      <c r="AG65" s="1"/>
      <c r="AH65" s="1"/>
      <c r="AI65" s="1"/>
      <c r="AJ65" s="1"/>
    </row>
    <row r="66" spans="1:36" ht="13.5" customHeight="1">
      <c r="A66" s="4"/>
      <c r="B66" s="15"/>
      <c r="C66" s="260"/>
      <c r="D66" s="257">
        <f>SUMIF(GL!$D$5:$D$6446,B66,GL!$G$5:$G$6446)</f>
        <v>0</v>
      </c>
      <c r="E66" s="258">
        <f>SUMIF(GL!$D$6:$D$6484,B66,GL!$H$6:$H$6484)</f>
        <v>0</v>
      </c>
      <c r="F66" s="258">
        <f>SUMIF(GL!$D$6:$D$6484,B66,GL!$I$6:$I$6484)</f>
        <v>0</v>
      </c>
      <c r="G66" s="258">
        <f t="shared" si="5"/>
        <v>0</v>
      </c>
      <c r="H66" s="258">
        <f t="shared" si="6"/>
        <v>0</v>
      </c>
      <c r="I66" s="250"/>
      <c r="J66" s="251"/>
      <c r="K66" s="252"/>
      <c r="L66" s="253"/>
      <c r="M66" s="128"/>
      <c r="N66" s="128">
        <f t="shared" si="1"/>
        <v>0</v>
      </c>
      <c r="O66" s="254"/>
      <c r="P66" s="128">
        <f t="shared" si="2"/>
        <v>0</v>
      </c>
      <c r="Q66" s="18">
        <f t="shared" si="3"/>
        <v>0</v>
      </c>
      <c r="R66" s="255">
        <f t="shared" si="4"/>
        <v>0</v>
      </c>
      <c r="S66" s="230"/>
      <c r="T66" s="226">
        <f t="shared" si="7"/>
        <v>0</v>
      </c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1"/>
      <c r="AG66" s="1"/>
      <c r="AH66" s="1"/>
      <c r="AI66" s="1"/>
      <c r="AJ66" s="1"/>
    </row>
    <row r="67" spans="1:36" ht="13.5" customHeight="1">
      <c r="A67" s="4"/>
      <c r="B67" s="15"/>
      <c r="C67" s="261" t="s">
        <v>3824</v>
      </c>
      <c r="D67" s="257">
        <f>SUMIF(GL!$D$5:$D$6446,B67,GL!$G$5:$G$6446)</f>
        <v>0</v>
      </c>
      <c r="E67" s="258">
        <f>SUMIF(GL!$D$6:$D$6484,B67,GL!$H$6:$H$6484)</f>
        <v>0</v>
      </c>
      <c r="F67" s="258">
        <f>SUMIF(GL!$D$6:$D$6484,B67,GL!$I$6:$I$6484)</f>
        <v>0</v>
      </c>
      <c r="G67" s="258">
        <f t="shared" si="5"/>
        <v>0</v>
      </c>
      <c r="H67" s="258">
        <f t="shared" si="6"/>
        <v>0</v>
      </c>
      <c r="I67" s="250"/>
      <c r="J67" s="251"/>
      <c r="K67" s="252"/>
      <c r="L67" s="253"/>
      <c r="M67" s="128"/>
      <c r="N67" s="128">
        <f t="shared" si="1"/>
        <v>0</v>
      </c>
      <c r="O67" s="254"/>
      <c r="P67" s="128">
        <f t="shared" si="2"/>
        <v>0</v>
      </c>
      <c r="Q67" s="18">
        <f t="shared" si="3"/>
        <v>0</v>
      </c>
      <c r="R67" s="255">
        <f t="shared" si="4"/>
        <v>0</v>
      </c>
      <c r="S67" s="230"/>
      <c r="T67" s="226">
        <f t="shared" si="7"/>
        <v>0</v>
      </c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1"/>
      <c r="AG67" s="1"/>
      <c r="AH67" s="1"/>
      <c r="AI67" s="1"/>
      <c r="AJ67" s="1"/>
    </row>
    <row r="68" spans="1:36" ht="13.5" customHeight="1">
      <c r="A68" s="4"/>
      <c r="B68" s="15" t="str">
        <f>TB!B104</f>
        <v>V001</v>
      </c>
      <c r="C68" s="256" t="str">
        <f>TB!C104</f>
        <v>Great Chilli / Lombok Besar</v>
      </c>
      <c r="D68" s="257">
        <f>SUMIF(GL!$D$5:$D$6446,B68,GL!$G$5:$G$6446)</f>
        <v>4.37</v>
      </c>
      <c r="E68" s="258">
        <f>SUMIF(GL!$D$6:$D$6484,B68,GL!$H$6:$H$6484)</f>
        <v>214000</v>
      </c>
      <c r="F68" s="258">
        <f>SUMIF(GL!$D$6:$D$6484,B68,GL!$I$6:$I$6484)</f>
        <v>0</v>
      </c>
      <c r="G68" s="258">
        <f t="shared" si="5"/>
        <v>214000</v>
      </c>
      <c r="H68" s="258">
        <f t="shared" si="6"/>
        <v>0</v>
      </c>
      <c r="I68" s="250">
        <v>0.33</v>
      </c>
      <c r="J68" s="251">
        <v>52879</v>
      </c>
      <c r="K68" s="252">
        <v>17450</v>
      </c>
      <c r="L68" s="253">
        <f t="shared" ref="L68:L82" si="24">D68+I68</f>
        <v>4.7</v>
      </c>
      <c r="M68" s="128">
        <f t="shared" ref="M68:M82" si="25">(G68+K68)/L68</f>
        <v>49244.680851063829</v>
      </c>
      <c r="N68" s="128">
        <f t="shared" si="1"/>
        <v>231450</v>
      </c>
      <c r="O68" s="254">
        <v>0.6</v>
      </c>
      <c r="P68" s="128">
        <f t="shared" si="2"/>
        <v>49244.680851063829</v>
      </c>
      <c r="Q68" s="18">
        <f t="shared" si="3"/>
        <v>29546.808510638297</v>
      </c>
      <c r="R68" s="255">
        <f t="shared" si="4"/>
        <v>201903.19148936169</v>
      </c>
      <c r="S68" s="230"/>
      <c r="T68" s="226">
        <f t="shared" si="7"/>
        <v>3634.3191489361707</v>
      </c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1"/>
      <c r="AG68" s="1"/>
      <c r="AH68" s="1"/>
      <c r="AI68" s="1"/>
      <c r="AJ68" s="1"/>
    </row>
    <row r="69" spans="1:36" ht="13.5" customHeight="1">
      <c r="A69" s="4"/>
      <c r="B69" s="15" t="str">
        <f>TB!B105</f>
        <v>V002</v>
      </c>
      <c r="C69" s="256" t="str">
        <f>TB!C105</f>
        <v>Tomato 1 Kg</v>
      </c>
      <c r="D69" s="257">
        <f>SUMIF(GL!$D$5:$D$6446,B69,GL!$G$5:$G$6446)</f>
        <v>19.2</v>
      </c>
      <c r="E69" s="258">
        <f>SUMIF(GL!$D$6:$D$6484,B69,GL!$H$6:$H$6484)</f>
        <v>381000</v>
      </c>
      <c r="F69" s="258">
        <f>SUMIF(GL!$D$6:$D$6484,B69,GL!$I$6:$I$6484)</f>
        <v>0</v>
      </c>
      <c r="G69" s="258">
        <f t="shared" si="5"/>
        <v>381000</v>
      </c>
      <c r="H69" s="258">
        <f t="shared" si="6"/>
        <v>0</v>
      </c>
      <c r="I69" s="250">
        <v>2.2599999999999998</v>
      </c>
      <c r="J69" s="251">
        <v>20176</v>
      </c>
      <c r="K69" s="252">
        <v>45598</v>
      </c>
      <c r="L69" s="253">
        <f t="shared" si="24"/>
        <v>21.46</v>
      </c>
      <c r="M69" s="128">
        <f t="shared" si="25"/>
        <v>19878.751164958059</v>
      </c>
      <c r="N69" s="128">
        <f t="shared" si="1"/>
        <v>426598</v>
      </c>
      <c r="O69" s="254">
        <v>3.1</v>
      </c>
      <c r="P69" s="128">
        <f t="shared" si="2"/>
        <v>19878.751164958059</v>
      </c>
      <c r="Q69" s="18">
        <f t="shared" si="3"/>
        <v>61624.128611369983</v>
      </c>
      <c r="R69" s="255">
        <f t="shared" si="4"/>
        <v>364973.87138863001</v>
      </c>
      <c r="S69" s="230"/>
      <c r="T69" s="226">
        <f t="shared" si="7"/>
        <v>297.24883504194077</v>
      </c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1"/>
      <c r="AG69" s="1"/>
      <c r="AH69" s="1"/>
      <c r="AI69" s="1"/>
      <c r="AJ69" s="1"/>
    </row>
    <row r="70" spans="1:36" ht="13.5" customHeight="1">
      <c r="A70" s="4"/>
      <c r="B70" s="15" t="str">
        <f>TB!B106</f>
        <v>V003</v>
      </c>
      <c r="C70" s="256" t="str">
        <f>TB!C106</f>
        <v>Japanese Cucumber/Timun</v>
      </c>
      <c r="D70" s="257">
        <f>SUMIF(GL!$D$5:$D$6446,B70,GL!$G$5:$G$6446)</f>
        <v>20</v>
      </c>
      <c r="E70" s="258">
        <f>SUMIF(GL!$D$6:$D$6484,B70,GL!$H$6:$H$6484)</f>
        <v>260000</v>
      </c>
      <c r="F70" s="258">
        <f>SUMIF(GL!$D$6:$D$6484,B70,GL!$I$6:$I$6484)</f>
        <v>0</v>
      </c>
      <c r="G70" s="258">
        <f t="shared" si="5"/>
        <v>260000</v>
      </c>
      <c r="H70" s="258">
        <f t="shared" si="6"/>
        <v>0</v>
      </c>
      <c r="I70" s="250">
        <v>0.31</v>
      </c>
      <c r="J70" s="251">
        <v>10000</v>
      </c>
      <c r="K70" s="252">
        <v>3100</v>
      </c>
      <c r="L70" s="253">
        <f t="shared" si="24"/>
        <v>20.309999999999999</v>
      </c>
      <c r="M70" s="128">
        <f t="shared" si="25"/>
        <v>12954.209748892172</v>
      </c>
      <c r="N70" s="128">
        <f t="shared" si="1"/>
        <v>263100</v>
      </c>
      <c r="O70" s="254">
        <v>1.5</v>
      </c>
      <c r="P70" s="128">
        <f t="shared" si="2"/>
        <v>12954.209748892172</v>
      </c>
      <c r="Q70" s="18">
        <f t="shared" si="3"/>
        <v>19431.314623338258</v>
      </c>
      <c r="R70" s="255">
        <f t="shared" si="4"/>
        <v>243668.68537666174</v>
      </c>
      <c r="S70" s="230"/>
      <c r="T70" s="226">
        <f t="shared" si="7"/>
        <v>-2954.2097488921718</v>
      </c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1"/>
      <c r="AG70" s="1"/>
      <c r="AH70" s="1"/>
      <c r="AI70" s="1"/>
      <c r="AJ70" s="1"/>
    </row>
    <row r="71" spans="1:36" ht="13.5" customHeight="1">
      <c r="A71" s="4"/>
      <c r="B71" s="15" t="str">
        <f>TB!B107</f>
        <v>V004</v>
      </c>
      <c r="C71" s="256" t="str">
        <f>TB!C107</f>
        <v>Garlic/Bawang Putih</v>
      </c>
      <c r="D71" s="257">
        <f>SUMIF(GL!$D$5:$D$6446,B71,GL!$G$5:$G$6446)</f>
        <v>3.9329999999999998</v>
      </c>
      <c r="E71" s="258">
        <f>SUMIF(GL!$D$6:$D$6484,B71,GL!$H$6:$H$6484)</f>
        <v>168000</v>
      </c>
      <c r="F71" s="258">
        <f>SUMIF(GL!$D$6:$D$6484,B71,GL!$I$6:$I$6484)</f>
        <v>0</v>
      </c>
      <c r="G71" s="258">
        <f t="shared" si="5"/>
        <v>168000</v>
      </c>
      <c r="H71" s="258">
        <f t="shared" si="6"/>
        <v>0</v>
      </c>
      <c r="I71" s="250">
        <v>0.37</v>
      </c>
      <c r="J71" s="251">
        <v>41265</v>
      </c>
      <c r="K71" s="252">
        <v>15268</v>
      </c>
      <c r="L71" s="253">
        <f t="shared" si="24"/>
        <v>4.3029999999999999</v>
      </c>
      <c r="M71" s="128">
        <f t="shared" si="25"/>
        <v>42590.750639089005</v>
      </c>
      <c r="N71" s="128">
        <f t="shared" si="1"/>
        <v>183268</v>
      </c>
      <c r="O71" s="254">
        <v>0.37</v>
      </c>
      <c r="P71" s="128">
        <f t="shared" si="2"/>
        <v>42590.750639089005</v>
      </c>
      <c r="Q71" s="18">
        <f t="shared" si="3"/>
        <v>15758.577736462932</v>
      </c>
      <c r="R71" s="255">
        <f t="shared" si="4"/>
        <v>167509.42226353707</v>
      </c>
      <c r="S71" s="230"/>
      <c r="T71" s="226">
        <f t="shared" si="7"/>
        <v>-1325.7506390890048</v>
      </c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1"/>
      <c r="AG71" s="1"/>
      <c r="AH71" s="1"/>
      <c r="AI71" s="1"/>
      <c r="AJ71" s="1"/>
    </row>
    <row r="72" spans="1:36" ht="13.5" customHeight="1">
      <c r="A72" s="4"/>
      <c r="B72" s="15" t="str">
        <f>TB!B108</f>
        <v>V005</v>
      </c>
      <c r="C72" s="256" t="str">
        <f>TB!C108</f>
        <v>Shallot/Bawang Merah</v>
      </c>
      <c r="D72" s="257">
        <f>SUMIF(GL!$D$5:$D$6446,B72,GL!$G$5:$G$6446)</f>
        <v>3.25</v>
      </c>
      <c r="E72" s="258">
        <f>SUMIF(GL!$D$6:$D$6484,B72,GL!$H$6:$H$6484)</f>
        <v>170750</v>
      </c>
      <c r="F72" s="258">
        <f>SUMIF(GL!$D$6:$D$6484,B72,GL!$I$6:$I$6484)</f>
        <v>0</v>
      </c>
      <c r="G72" s="258">
        <f t="shared" si="5"/>
        <v>170750</v>
      </c>
      <c r="H72" s="258">
        <f t="shared" si="6"/>
        <v>0</v>
      </c>
      <c r="I72" s="250">
        <v>0.36</v>
      </c>
      <c r="J72" s="251">
        <v>45005</v>
      </c>
      <c r="K72" s="252">
        <v>16202</v>
      </c>
      <c r="L72" s="253">
        <f t="shared" si="24"/>
        <v>3.61</v>
      </c>
      <c r="M72" s="128">
        <f t="shared" si="25"/>
        <v>51787.25761772853</v>
      </c>
      <c r="N72" s="128">
        <f t="shared" si="1"/>
        <v>186952</v>
      </c>
      <c r="O72" s="254">
        <v>0.68</v>
      </c>
      <c r="P72" s="128">
        <f t="shared" si="2"/>
        <v>51787.25761772853</v>
      </c>
      <c r="Q72" s="18">
        <f t="shared" si="3"/>
        <v>35215.335180055401</v>
      </c>
      <c r="R72" s="255">
        <f t="shared" si="4"/>
        <v>151736.66481994459</v>
      </c>
      <c r="S72" s="230"/>
      <c r="T72" s="226">
        <f t="shared" si="7"/>
        <v>-6782.25761772853</v>
      </c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1"/>
      <c r="AG72" s="1"/>
      <c r="AH72" s="1"/>
      <c r="AI72" s="1"/>
      <c r="AJ72" s="1"/>
    </row>
    <row r="73" spans="1:36" ht="13.5" customHeight="1">
      <c r="A73" s="4"/>
      <c r="B73" s="15" t="str">
        <f>TB!B109</f>
        <v>V006</v>
      </c>
      <c r="C73" s="256" t="str">
        <f>TB!C109</f>
        <v>Onion/Bombay</v>
      </c>
      <c r="D73" s="257">
        <f>SUMIF(GL!$D$5:$D$6446,B73,GL!$G$5:$G$6446)</f>
        <v>13.849999999999998</v>
      </c>
      <c r="E73" s="258">
        <f>SUMIF(GL!$D$6:$D$6484,B73,GL!$H$6:$H$6484)</f>
        <v>332600</v>
      </c>
      <c r="F73" s="258">
        <f>SUMIF(GL!$D$6:$D$6484,B73,GL!$I$6:$I$6484)</f>
        <v>0</v>
      </c>
      <c r="G73" s="258">
        <f t="shared" si="5"/>
        <v>332600</v>
      </c>
      <c r="H73" s="258">
        <f t="shared" si="6"/>
        <v>0</v>
      </c>
      <c r="I73" s="250">
        <v>2.2999999999999998</v>
      </c>
      <c r="J73" s="251">
        <v>23268</v>
      </c>
      <c r="K73" s="252">
        <v>53517</v>
      </c>
      <c r="L73" s="253">
        <f t="shared" si="24"/>
        <v>16.149999999999999</v>
      </c>
      <c r="M73" s="128">
        <f t="shared" si="25"/>
        <v>23908.173374613005</v>
      </c>
      <c r="N73" s="128">
        <f t="shared" si="1"/>
        <v>386117</v>
      </c>
      <c r="O73" s="254">
        <v>1</v>
      </c>
      <c r="P73" s="128">
        <f t="shared" si="2"/>
        <v>23908.173374613005</v>
      </c>
      <c r="Q73" s="18">
        <f t="shared" si="3"/>
        <v>23908.173374613005</v>
      </c>
      <c r="R73" s="255">
        <f t="shared" si="4"/>
        <v>362208.82662538701</v>
      </c>
      <c r="S73" s="230"/>
      <c r="T73" s="226">
        <f t="shared" si="7"/>
        <v>-640.17337461300485</v>
      </c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1"/>
      <c r="AG73" s="1"/>
      <c r="AH73" s="1"/>
      <c r="AI73" s="1"/>
      <c r="AJ73" s="1"/>
    </row>
    <row r="74" spans="1:36" ht="13.5" customHeight="1">
      <c r="A74" s="4"/>
      <c r="B74" s="15" t="str">
        <f>TB!B110</f>
        <v>V007</v>
      </c>
      <c r="C74" s="256" t="str">
        <f>TB!C110</f>
        <v>Capsicum/Paprika</v>
      </c>
      <c r="D74" s="257">
        <f>SUMIF(GL!$D$5:$D$6446,B74,GL!$G$5:$G$6446)</f>
        <v>25.93</v>
      </c>
      <c r="E74" s="258">
        <f>SUMIF(GL!$D$6:$D$6484,B74,GL!$H$6:$H$6484)</f>
        <v>2688500</v>
      </c>
      <c r="F74" s="258">
        <f>SUMIF(GL!$D$6:$D$6484,B74,GL!$I$6:$I$6484)</f>
        <v>0</v>
      </c>
      <c r="G74" s="258">
        <f t="shared" si="5"/>
        <v>2688500</v>
      </c>
      <c r="H74" s="258">
        <f t="shared" si="6"/>
        <v>0</v>
      </c>
      <c r="I74" s="250">
        <v>2.0699999999999998</v>
      </c>
      <c r="J74" s="251">
        <v>81882</v>
      </c>
      <c r="K74" s="252">
        <v>169495</v>
      </c>
      <c r="L74" s="253">
        <f t="shared" si="24"/>
        <v>28</v>
      </c>
      <c r="M74" s="128">
        <f t="shared" si="25"/>
        <v>102071.25</v>
      </c>
      <c r="N74" s="128">
        <f t="shared" si="1"/>
        <v>2857995</v>
      </c>
      <c r="O74" s="254">
        <v>2.7</v>
      </c>
      <c r="P74" s="128">
        <f t="shared" si="2"/>
        <v>102071.25</v>
      </c>
      <c r="Q74" s="18">
        <f t="shared" si="3"/>
        <v>275592.375</v>
      </c>
      <c r="R74" s="255">
        <f t="shared" si="4"/>
        <v>2582402.625</v>
      </c>
      <c r="S74" s="230" t="s">
        <v>3825</v>
      </c>
      <c r="T74" s="226">
        <f t="shared" si="7"/>
        <v>-20189.25</v>
      </c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1"/>
      <c r="AG74" s="1"/>
      <c r="AH74" s="1"/>
      <c r="AI74" s="1"/>
      <c r="AJ74" s="1"/>
    </row>
    <row r="75" spans="1:36" ht="13.5" customHeight="1">
      <c r="A75" s="4"/>
      <c r="B75" s="15" t="str">
        <f>TB!B111</f>
        <v>V008</v>
      </c>
      <c r="C75" s="256" t="str">
        <f>TB!C111</f>
        <v>Basil</v>
      </c>
      <c r="D75" s="257">
        <f>SUMIF(GL!$D$5:$D$6446,B75,GL!$G$5:$G$6446)</f>
        <v>3.7</v>
      </c>
      <c r="E75" s="258">
        <f>SUMIF(GL!$D$6:$D$6484,B75,GL!$H$6:$H$6484)</f>
        <v>277500</v>
      </c>
      <c r="F75" s="258">
        <f>SUMIF(GL!$D$6:$D$6484,B75,GL!$I$6:$I$6484)</f>
        <v>0</v>
      </c>
      <c r="G75" s="258">
        <f t="shared" si="5"/>
        <v>277500</v>
      </c>
      <c r="H75" s="258">
        <f t="shared" si="6"/>
        <v>0</v>
      </c>
      <c r="I75" s="250">
        <v>0.36</v>
      </c>
      <c r="J75" s="251">
        <v>73970</v>
      </c>
      <c r="K75" s="252">
        <v>26629</v>
      </c>
      <c r="L75" s="253">
        <f t="shared" si="24"/>
        <v>4.0600000000000005</v>
      </c>
      <c r="M75" s="128">
        <f t="shared" si="25"/>
        <v>74908.620689655159</v>
      </c>
      <c r="N75" s="128">
        <f t="shared" si="1"/>
        <v>304129</v>
      </c>
      <c r="O75" s="254">
        <v>0.73</v>
      </c>
      <c r="P75" s="128">
        <f t="shared" si="2"/>
        <v>74908.620689655159</v>
      </c>
      <c r="Q75" s="18">
        <f t="shared" si="3"/>
        <v>54683.293103448268</v>
      </c>
      <c r="R75" s="255">
        <f t="shared" si="4"/>
        <v>249445.70689655174</v>
      </c>
      <c r="S75" s="230"/>
      <c r="T75" s="226">
        <f t="shared" si="7"/>
        <v>-938.62068965515937</v>
      </c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1"/>
      <c r="AG75" s="1"/>
      <c r="AH75" s="1"/>
      <c r="AI75" s="1"/>
      <c r="AJ75" s="1"/>
    </row>
    <row r="76" spans="1:36" ht="13.5" customHeight="1">
      <c r="A76" s="4"/>
      <c r="B76" s="15" t="str">
        <f>TB!B112</f>
        <v>V009</v>
      </c>
      <c r="C76" s="256" t="str">
        <f>TB!C112</f>
        <v>Parsley</v>
      </c>
      <c r="D76" s="257">
        <f>SUMIF(GL!$D$5:$D$6446,B76,GL!$G$5:$G$6446)</f>
        <v>0.49</v>
      </c>
      <c r="E76" s="258">
        <f>SUMIF(GL!$D$6:$D$6484,B76,GL!$H$6:$H$6484)</f>
        <v>43500</v>
      </c>
      <c r="F76" s="258">
        <f>SUMIF(GL!$D$6:$D$6484,B76,GL!$I$6:$I$6484)</f>
        <v>0</v>
      </c>
      <c r="G76" s="258">
        <f t="shared" si="5"/>
        <v>43500</v>
      </c>
      <c r="H76" s="258">
        <f t="shared" si="6"/>
        <v>0</v>
      </c>
      <c r="I76" s="250">
        <v>0.17</v>
      </c>
      <c r="J76" s="251">
        <v>52999</v>
      </c>
      <c r="K76" s="252">
        <v>9010</v>
      </c>
      <c r="L76" s="253">
        <f t="shared" si="24"/>
        <v>0.66</v>
      </c>
      <c r="M76" s="128">
        <f t="shared" si="25"/>
        <v>79560.606060606064</v>
      </c>
      <c r="N76" s="128">
        <f t="shared" si="1"/>
        <v>52510</v>
      </c>
      <c r="O76" s="254"/>
      <c r="P76" s="128">
        <f t="shared" si="2"/>
        <v>79560.606060606064</v>
      </c>
      <c r="Q76" s="18">
        <f t="shared" si="3"/>
        <v>0</v>
      </c>
      <c r="R76" s="255">
        <f t="shared" si="4"/>
        <v>52510</v>
      </c>
      <c r="S76" s="230" t="s">
        <v>3826</v>
      </c>
      <c r="T76" s="226">
        <f t="shared" si="7"/>
        <v>-26561.606060606064</v>
      </c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1"/>
      <c r="AG76" s="1"/>
      <c r="AH76" s="1"/>
      <c r="AI76" s="1"/>
      <c r="AJ76" s="1"/>
    </row>
    <row r="77" spans="1:36" ht="13.5" customHeight="1">
      <c r="A77" s="4"/>
      <c r="B77" s="15" t="str">
        <f>TB!B113</f>
        <v>V010</v>
      </c>
      <c r="C77" s="256" t="str">
        <f>TB!C113</f>
        <v>Ruccola</v>
      </c>
      <c r="D77" s="257">
        <f>SUMIF(GL!$D$5:$D$6446,B77,GL!$G$5:$G$6446)</f>
        <v>5.21</v>
      </c>
      <c r="E77" s="258">
        <f>SUMIF(GL!$D$6:$D$6484,B77,GL!$H$6:$H$6484)</f>
        <v>373500</v>
      </c>
      <c r="F77" s="258">
        <f>SUMIF(GL!$D$6:$D$6484,B77,GL!$I$6:$I$6484)</f>
        <v>0</v>
      </c>
      <c r="G77" s="258">
        <f t="shared" si="5"/>
        <v>373500</v>
      </c>
      <c r="H77" s="258">
        <f t="shared" si="6"/>
        <v>0</v>
      </c>
      <c r="I77" s="250">
        <v>0.06</v>
      </c>
      <c r="J77" s="251">
        <v>75112</v>
      </c>
      <c r="K77" s="252">
        <v>4507</v>
      </c>
      <c r="L77" s="253">
        <f t="shared" si="24"/>
        <v>5.27</v>
      </c>
      <c r="M77" s="128">
        <f t="shared" si="25"/>
        <v>71728.083491461104</v>
      </c>
      <c r="N77" s="128">
        <f t="shared" si="1"/>
        <v>378007</v>
      </c>
      <c r="O77" s="254">
        <v>0.83</v>
      </c>
      <c r="P77" s="128">
        <f t="shared" si="2"/>
        <v>71728.083491461104</v>
      </c>
      <c r="Q77" s="18">
        <f t="shared" si="3"/>
        <v>59534.30929791271</v>
      </c>
      <c r="R77" s="255">
        <f t="shared" si="4"/>
        <v>318472.6907020873</v>
      </c>
      <c r="S77" s="230"/>
      <c r="T77" s="226">
        <f t="shared" si="7"/>
        <v>3383.9165085388959</v>
      </c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1"/>
      <c r="AG77" s="1"/>
      <c r="AH77" s="1"/>
      <c r="AI77" s="1"/>
      <c r="AJ77" s="1"/>
    </row>
    <row r="78" spans="1:36" ht="13.5" customHeight="1">
      <c r="A78" s="4"/>
      <c r="B78" s="15" t="str">
        <f>TB!B114</f>
        <v>V011</v>
      </c>
      <c r="C78" s="256" t="str">
        <f>TB!C114</f>
        <v>Carrot/Wortel</v>
      </c>
      <c r="D78" s="257">
        <f>SUMIF(GL!$D$5:$D$6446,B78,GL!$G$5:$G$6446)</f>
        <v>10.6</v>
      </c>
      <c r="E78" s="258">
        <f>SUMIF(GL!$D$6:$D$6484,B78,GL!$H$6:$H$6484)</f>
        <v>244000</v>
      </c>
      <c r="F78" s="258">
        <f>SUMIF(GL!$D$6:$D$6484,B78,GL!$I$6:$I$6484)</f>
        <v>0</v>
      </c>
      <c r="G78" s="258">
        <f t="shared" si="5"/>
        <v>244000</v>
      </c>
      <c r="H78" s="258">
        <f t="shared" si="6"/>
        <v>0</v>
      </c>
      <c r="I78" s="250">
        <v>0.71</v>
      </c>
      <c r="J78" s="251">
        <v>18092</v>
      </c>
      <c r="K78" s="252">
        <v>12845</v>
      </c>
      <c r="L78" s="253">
        <f t="shared" si="24"/>
        <v>11.309999999999999</v>
      </c>
      <c r="M78" s="128">
        <f t="shared" si="25"/>
        <v>22709.549071618039</v>
      </c>
      <c r="N78" s="128">
        <f t="shared" si="1"/>
        <v>256845</v>
      </c>
      <c r="O78" s="254">
        <v>1.2</v>
      </c>
      <c r="P78" s="128">
        <f t="shared" si="2"/>
        <v>22709.549071618039</v>
      </c>
      <c r="Q78" s="18">
        <f t="shared" si="3"/>
        <v>27251.458885941647</v>
      </c>
      <c r="R78" s="255">
        <f t="shared" si="4"/>
        <v>229593.54111405835</v>
      </c>
      <c r="S78" s="230"/>
      <c r="T78" s="226">
        <f t="shared" si="7"/>
        <v>-4617.5490716180393</v>
      </c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1"/>
      <c r="AG78" s="1"/>
      <c r="AH78" s="1"/>
      <c r="AI78" s="1"/>
      <c r="AJ78" s="1"/>
    </row>
    <row r="79" spans="1:36" ht="13.5" customHeight="1">
      <c r="A79" s="4"/>
      <c r="B79" s="15" t="str">
        <f>TB!B115</f>
        <v>V011A</v>
      </c>
      <c r="C79" s="256" t="str">
        <f>TB!C115</f>
        <v>Baby Carrot/Wortel</v>
      </c>
      <c r="D79" s="257">
        <f>SUMIF(GL!$D$5:$D$6446,B79,GL!$G$5:$G$6446)</f>
        <v>4.5</v>
      </c>
      <c r="E79" s="258">
        <f>SUMIF(GL!$D$6:$D$6484,B79,GL!$H$6:$H$6484)</f>
        <v>157500</v>
      </c>
      <c r="F79" s="258">
        <f>SUMIF(GL!$D$6:$D$6484,B79,GL!$I$6:$I$6484)</f>
        <v>0</v>
      </c>
      <c r="G79" s="258">
        <f t="shared" si="5"/>
        <v>157500</v>
      </c>
      <c r="H79" s="258">
        <f t="shared" si="6"/>
        <v>0</v>
      </c>
      <c r="I79" s="250">
        <v>0.56000000000000005</v>
      </c>
      <c r="J79" s="251">
        <v>35000</v>
      </c>
      <c r="K79" s="252">
        <v>19600</v>
      </c>
      <c r="L79" s="253">
        <f t="shared" si="24"/>
        <v>5.0600000000000005</v>
      </c>
      <c r="M79" s="128">
        <f t="shared" si="25"/>
        <v>35000</v>
      </c>
      <c r="N79" s="128">
        <f t="shared" si="1"/>
        <v>177100</v>
      </c>
      <c r="O79" s="254">
        <v>0.28000000000000003</v>
      </c>
      <c r="P79" s="128">
        <f t="shared" si="2"/>
        <v>35000</v>
      </c>
      <c r="Q79" s="18">
        <f t="shared" si="3"/>
        <v>9800.0000000000018</v>
      </c>
      <c r="R79" s="255">
        <f t="shared" si="4"/>
        <v>167300</v>
      </c>
      <c r="S79" s="230"/>
      <c r="T79" s="226">
        <f t="shared" si="7"/>
        <v>0</v>
      </c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1"/>
      <c r="AG79" s="1"/>
      <c r="AH79" s="1"/>
      <c r="AI79" s="1"/>
      <c r="AJ79" s="1"/>
    </row>
    <row r="80" spans="1:36" ht="13.5" customHeight="1">
      <c r="A80" s="4"/>
      <c r="B80" s="15" t="str">
        <f>TB!B116</f>
        <v>V012</v>
      </c>
      <c r="C80" s="256" t="str">
        <f>TB!C116</f>
        <v>Hot Chilli / Lombok Kecil</v>
      </c>
      <c r="D80" s="257">
        <f>SUMIF(GL!$D$5:$D$6446,B80,GL!$G$5:$G$6446)</f>
        <v>3.25</v>
      </c>
      <c r="E80" s="258">
        <f>SUMIF(GL!$D$6:$D$6484,B80,GL!$H$6:$H$6484)</f>
        <v>230500</v>
      </c>
      <c r="F80" s="258">
        <f>SUMIF(GL!$D$6:$D$6484,B80,GL!$I$6:$I$6484)</f>
        <v>0</v>
      </c>
      <c r="G80" s="258">
        <f t="shared" si="5"/>
        <v>230500</v>
      </c>
      <c r="H80" s="258">
        <f t="shared" si="6"/>
        <v>0</v>
      </c>
      <c r="I80" s="250">
        <v>0.18</v>
      </c>
      <c r="J80" s="251">
        <v>70437</v>
      </c>
      <c r="K80" s="252">
        <v>12679</v>
      </c>
      <c r="L80" s="253">
        <f t="shared" si="24"/>
        <v>3.43</v>
      </c>
      <c r="M80" s="128">
        <f t="shared" si="25"/>
        <v>70897.667638483967</v>
      </c>
      <c r="N80" s="128">
        <f t="shared" si="1"/>
        <v>243179</v>
      </c>
      <c r="O80" s="254">
        <v>0.27</v>
      </c>
      <c r="P80" s="128">
        <f t="shared" si="2"/>
        <v>70897.667638483967</v>
      </c>
      <c r="Q80" s="18">
        <f t="shared" si="3"/>
        <v>19142.370262390672</v>
      </c>
      <c r="R80" s="255">
        <f t="shared" si="4"/>
        <v>224036.62973760933</v>
      </c>
      <c r="S80" s="230"/>
      <c r="T80" s="226">
        <f t="shared" si="7"/>
        <v>-460.66763848396658</v>
      </c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1"/>
      <c r="AG80" s="1"/>
      <c r="AH80" s="1"/>
      <c r="AI80" s="1"/>
      <c r="AJ80" s="1"/>
    </row>
    <row r="81" spans="1:36" ht="13.5" customHeight="1">
      <c r="A81" s="4"/>
      <c r="B81" s="15" t="str">
        <f>TB!B117</f>
        <v>V013</v>
      </c>
      <c r="C81" s="256" t="str">
        <f>TB!C117</f>
        <v>Cherri Tomato</v>
      </c>
      <c r="D81" s="257">
        <f>SUMIF(GL!$D$5:$D$6446,B81,GL!$G$5:$G$6446)</f>
        <v>2.7549999999999999</v>
      </c>
      <c r="E81" s="258">
        <f>SUMIF(GL!$D$6:$D$6484,B81,GL!$H$6:$H$6484)</f>
        <v>141500</v>
      </c>
      <c r="F81" s="258">
        <f>SUMIF(GL!$D$6:$D$6484,B81,GL!$I$6:$I$6484)</f>
        <v>0</v>
      </c>
      <c r="G81" s="258">
        <f t="shared" si="5"/>
        <v>141500</v>
      </c>
      <c r="H81" s="258">
        <f t="shared" si="6"/>
        <v>0</v>
      </c>
      <c r="I81" s="250">
        <v>0.52</v>
      </c>
      <c r="J81" s="251">
        <v>35290</v>
      </c>
      <c r="K81" s="252">
        <v>18351</v>
      </c>
      <c r="L81" s="253">
        <f t="shared" si="24"/>
        <v>3.2749999999999999</v>
      </c>
      <c r="M81" s="128">
        <f t="shared" si="25"/>
        <v>48809.465648854966</v>
      </c>
      <c r="N81" s="128">
        <f t="shared" si="1"/>
        <v>159851</v>
      </c>
      <c r="O81" s="254">
        <v>0.85</v>
      </c>
      <c r="P81" s="128">
        <f t="shared" si="2"/>
        <v>48809.465648854966</v>
      </c>
      <c r="Q81" s="18">
        <f t="shared" si="3"/>
        <v>41488.045801526721</v>
      </c>
      <c r="R81" s="255">
        <f t="shared" si="4"/>
        <v>118362.95419847328</v>
      </c>
      <c r="S81" s="230" t="s">
        <v>3825</v>
      </c>
      <c r="T81" s="226">
        <f t="shared" si="7"/>
        <v>-13519.465648854966</v>
      </c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1"/>
      <c r="AG81" s="1"/>
      <c r="AH81" s="1"/>
      <c r="AI81" s="1"/>
      <c r="AJ81" s="1"/>
    </row>
    <row r="82" spans="1:36" ht="13.5" customHeight="1">
      <c r="A82" s="4"/>
      <c r="B82" s="15" t="str">
        <f>TB!B118</f>
        <v>V014</v>
      </c>
      <c r="C82" s="256" t="str">
        <f>TB!C118</f>
        <v>Coriander</v>
      </c>
      <c r="D82" s="257">
        <f>SUMIF(GL!$D$5:$D$6446,B82,GL!$G$5:$G$6446)</f>
        <v>0.71</v>
      </c>
      <c r="E82" s="258">
        <f>SUMIF(GL!$D$6:$D$6484,B82,GL!$H$6:$H$6484)</f>
        <v>204000</v>
      </c>
      <c r="F82" s="258">
        <f>SUMIF(GL!$D$6:$D$6484,B82,GL!$I$6:$I$6484)</f>
        <v>0</v>
      </c>
      <c r="G82" s="258">
        <f t="shared" si="5"/>
        <v>204000</v>
      </c>
      <c r="H82" s="258">
        <f t="shared" si="6"/>
        <v>0</v>
      </c>
      <c r="I82" s="250"/>
      <c r="J82" s="251">
        <v>128279</v>
      </c>
      <c r="K82" s="252"/>
      <c r="L82" s="253">
        <f t="shared" si="24"/>
        <v>0.71</v>
      </c>
      <c r="M82" s="128">
        <f t="shared" si="25"/>
        <v>287323.94366197183</v>
      </c>
      <c r="N82" s="128">
        <f t="shared" si="1"/>
        <v>204000</v>
      </c>
      <c r="O82" s="254">
        <v>0.25</v>
      </c>
      <c r="P82" s="128">
        <f t="shared" si="2"/>
        <v>287323.94366197183</v>
      </c>
      <c r="Q82" s="18">
        <f t="shared" si="3"/>
        <v>71830.985915492958</v>
      </c>
      <c r="R82" s="255">
        <f t="shared" si="4"/>
        <v>132169.01408450704</v>
      </c>
      <c r="S82" s="230" t="s">
        <v>3825</v>
      </c>
      <c r="T82" s="226">
        <f t="shared" si="7"/>
        <v>-159044.94366197183</v>
      </c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1"/>
      <c r="AG82" s="1"/>
      <c r="AH82" s="1"/>
      <c r="AI82" s="1"/>
      <c r="AJ82" s="1"/>
    </row>
    <row r="83" spans="1:36" ht="13.5" customHeight="1">
      <c r="A83" s="4"/>
      <c r="B83" s="15" t="str">
        <f>TB!B119</f>
        <v>V015</v>
      </c>
      <c r="C83" s="256" t="str">
        <f>TB!C119</f>
        <v>Toge</v>
      </c>
      <c r="D83" s="257">
        <f>SUMIF(GL!$D$5:$D$6446,B83,GL!$G$5:$G$6446)</f>
        <v>0</v>
      </c>
      <c r="E83" s="258">
        <f>SUMIF(GL!$D$6:$D$6484,B83,GL!$H$6:$H$6484)</f>
        <v>0</v>
      </c>
      <c r="F83" s="258">
        <f>SUMIF(GL!$D$6:$D$6484,B83,GL!$I$6:$I$6484)</f>
        <v>0</v>
      </c>
      <c r="G83" s="258">
        <f t="shared" si="5"/>
        <v>0</v>
      </c>
      <c r="H83" s="258">
        <f t="shared" si="6"/>
        <v>0</v>
      </c>
      <c r="I83" s="250"/>
      <c r="J83" s="251"/>
      <c r="K83" s="252"/>
      <c r="L83" s="253"/>
      <c r="M83" s="128"/>
      <c r="N83" s="128">
        <f t="shared" si="1"/>
        <v>0</v>
      </c>
      <c r="O83" s="254"/>
      <c r="P83" s="128">
        <f t="shared" si="2"/>
        <v>0</v>
      </c>
      <c r="Q83" s="18">
        <f t="shared" si="3"/>
        <v>0</v>
      </c>
      <c r="R83" s="255">
        <f t="shared" si="4"/>
        <v>0</v>
      </c>
      <c r="S83" s="230"/>
      <c r="T83" s="226">
        <f t="shared" si="7"/>
        <v>0</v>
      </c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1"/>
      <c r="AG83" s="1"/>
      <c r="AH83" s="1"/>
      <c r="AI83" s="1"/>
      <c r="AJ83" s="1"/>
    </row>
    <row r="84" spans="1:36" ht="13.5" customHeight="1">
      <c r="A84" s="4"/>
      <c r="B84" s="15" t="str">
        <f>TB!B120</f>
        <v>V016</v>
      </c>
      <c r="C84" s="256" t="str">
        <f>TB!C120</f>
        <v>Thyme</v>
      </c>
      <c r="D84" s="257">
        <f>SUMIF(GL!$D$5:$D$6446,B84,GL!$G$5:$G$6446)</f>
        <v>0.15000000000000002</v>
      </c>
      <c r="E84" s="258">
        <f>SUMIF(GL!$D$6:$D$6484,B84,GL!$H$6:$H$6484)</f>
        <v>25500</v>
      </c>
      <c r="F84" s="258">
        <f>SUMIF(GL!$D$6:$D$6484,B84,GL!$I$6:$I$6484)</f>
        <v>0</v>
      </c>
      <c r="G84" s="258">
        <f t="shared" si="5"/>
        <v>25500</v>
      </c>
      <c r="H84" s="258">
        <f t="shared" si="6"/>
        <v>0</v>
      </c>
      <c r="I84" s="250"/>
      <c r="J84" s="251">
        <v>174118</v>
      </c>
      <c r="K84" s="252"/>
      <c r="L84" s="253">
        <f>D84+I84</f>
        <v>0.15000000000000002</v>
      </c>
      <c r="M84" s="128">
        <f>(G84+K84)/L84</f>
        <v>169999.99999999997</v>
      </c>
      <c r="N84" s="128">
        <f t="shared" si="1"/>
        <v>25500</v>
      </c>
      <c r="O84" s="254"/>
      <c r="P84" s="128">
        <f t="shared" si="2"/>
        <v>169999.99999999997</v>
      </c>
      <c r="Q84" s="18">
        <f t="shared" si="3"/>
        <v>0</v>
      </c>
      <c r="R84" s="255">
        <f t="shared" si="4"/>
        <v>25500</v>
      </c>
      <c r="S84" s="230"/>
      <c r="T84" s="226">
        <f t="shared" si="7"/>
        <v>4118.0000000000291</v>
      </c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1"/>
      <c r="AG84" s="1"/>
      <c r="AH84" s="1"/>
      <c r="AI84" s="1"/>
      <c r="AJ84" s="1"/>
    </row>
    <row r="85" spans="1:36" ht="13.5" customHeight="1">
      <c r="A85" s="4"/>
      <c r="B85" s="15" t="str">
        <f>TB!B121</f>
        <v>V017</v>
      </c>
      <c r="C85" s="256" t="str">
        <f>TB!C121</f>
        <v>Cabbage / Kol</v>
      </c>
      <c r="D85" s="257">
        <f>SUMIF(GL!$D$5:$D$6446,B85,GL!$G$5:$G$6446)</f>
        <v>0</v>
      </c>
      <c r="E85" s="258">
        <f>SUMIF(GL!$D$6:$D$6484,B85,GL!$H$6:$H$6484)</f>
        <v>0</v>
      </c>
      <c r="F85" s="258">
        <f>SUMIF(GL!$D$6:$D$6484,B85,GL!$I$6:$I$6484)</f>
        <v>0</v>
      </c>
      <c r="G85" s="258">
        <f t="shared" si="5"/>
        <v>0</v>
      </c>
      <c r="H85" s="258">
        <f t="shared" si="6"/>
        <v>0</v>
      </c>
      <c r="I85" s="250"/>
      <c r="J85" s="251"/>
      <c r="K85" s="252"/>
      <c r="L85" s="253"/>
      <c r="M85" s="128"/>
      <c r="N85" s="128">
        <f t="shared" si="1"/>
        <v>0</v>
      </c>
      <c r="O85" s="254"/>
      <c r="P85" s="128">
        <f t="shared" si="2"/>
        <v>0</v>
      </c>
      <c r="Q85" s="18">
        <f t="shared" si="3"/>
        <v>0</v>
      </c>
      <c r="R85" s="255">
        <f t="shared" si="4"/>
        <v>0</v>
      </c>
      <c r="S85" s="230"/>
      <c r="T85" s="226">
        <f t="shared" si="7"/>
        <v>0</v>
      </c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1"/>
      <c r="AG85" s="1"/>
      <c r="AH85" s="1"/>
      <c r="AI85" s="1"/>
      <c r="AJ85" s="1"/>
    </row>
    <row r="86" spans="1:36" ht="13.5" customHeight="1">
      <c r="A86" s="4"/>
      <c r="B86" s="15" t="str">
        <f>TB!B122</f>
        <v>V018</v>
      </c>
      <c r="C86" s="256" t="str">
        <f>TB!C122</f>
        <v>Radish / Lobak</v>
      </c>
      <c r="D86" s="257">
        <f>SUMIF(GL!$D$5:$D$6446,B86,GL!$G$5:$G$6446)</f>
        <v>0.5</v>
      </c>
      <c r="E86" s="258">
        <f>SUMIF(GL!$D$6:$D$6484,B86,GL!$H$6:$H$6484)</f>
        <v>6500</v>
      </c>
      <c r="F86" s="258">
        <f>SUMIF(GL!$D$6:$D$6484,B86,GL!$I$6:$I$6484)</f>
        <v>0</v>
      </c>
      <c r="G86" s="258">
        <f t="shared" si="5"/>
        <v>6500</v>
      </c>
      <c r="H86" s="258">
        <f t="shared" si="6"/>
        <v>0</v>
      </c>
      <c r="I86" s="250">
        <v>0.39</v>
      </c>
      <c r="J86" s="251">
        <v>14912</v>
      </c>
      <c r="K86" s="252">
        <v>5816</v>
      </c>
      <c r="L86" s="253">
        <f>D86+I86</f>
        <v>0.89</v>
      </c>
      <c r="M86" s="128">
        <f>(G86+K86)/L86</f>
        <v>13838.202247191011</v>
      </c>
      <c r="N86" s="128">
        <f t="shared" si="1"/>
        <v>12316</v>
      </c>
      <c r="O86" s="254">
        <v>0.67</v>
      </c>
      <c r="P86" s="128">
        <f t="shared" si="2"/>
        <v>13838.202247191011</v>
      </c>
      <c r="Q86" s="18">
        <f t="shared" si="3"/>
        <v>9271.5955056179773</v>
      </c>
      <c r="R86" s="255">
        <f t="shared" si="4"/>
        <v>3044.4044943820227</v>
      </c>
      <c r="S86" s="230"/>
      <c r="T86" s="226">
        <f t="shared" si="7"/>
        <v>1073.7977528089887</v>
      </c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1"/>
      <c r="AG86" s="1"/>
      <c r="AH86" s="1"/>
      <c r="AI86" s="1"/>
      <c r="AJ86" s="1"/>
    </row>
    <row r="87" spans="1:36" ht="13.5" customHeight="1">
      <c r="A87" s="259"/>
      <c r="B87" s="15" t="str">
        <f>TB!B123</f>
        <v>V019</v>
      </c>
      <c r="C87" s="256" t="str">
        <f>TB!C123</f>
        <v>Seledry</v>
      </c>
      <c r="D87" s="257">
        <f>SUMIF(GL!$D$5:$D$6446,B87,GL!$G$5:$G$6446)</f>
        <v>0</v>
      </c>
      <c r="E87" s="258">
        <f>SUMIF(GL!$D$6:$D$6484,B87,GL!$H$6:$H$6484)</f>
        <v>0</v>
      </c>
      <c r="F87" s="258">
        <f>SUMIF(GL!$D$6:$D$6484,B87,GL!$I$6:$I$6484)</f>
        <v>0</v>
      </c>
      <c r="G87" s="258">
        <f t="shared" si="5"/>
        <v>0</v>
      </c>
      <c r="H87" s="258">
        <f t="shared" si="6"/>
        <v>0</v>
      </c>
      <c r="I87" s="250"/>
      <c r="J87" s="251"/>
      <c r="K87" s="252"/>
      <c r="L87" s="253"/>
      <c r="M87" s="128"/>
      <c r="N87" s="128">
        <f t="shared" si="1"/>
        <v>0</v>
      </c>
      <c r="O87" s="254"/>
      <c r="P87" s="128">
        <f t="shared" si="2"/>
        <v>0</v>
      </c>
      <c r="Q87" s="18">
        <f t="shared" si="3"/>
        <v>0</v>
      </c>
      <c r="R87" s="255">
        <f t="shared" si="4"/>
        <v>0</v>
      </c>
      <c r="S87" s="230"/>
      <c r="T87" s="226">
        <f t="shared" si="7"/>
        <v>0</v>
      </c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1"/>
      <c r="AG87" s="1"/>
      <c r="AH87" s="1"/>
      <c r="AI87" s="1"/>
      <c r="AJ87" s="1"/>
    </row>
    <row r="88" spans="1:36" ht="13.5" customHeight="1">
      <c r="A88" s="259"/>
      <c r="B88" s="15" t="str">
        <f>TB!B124</f>
        <v>V020</v>
      </c>
      <c r="C88" s="256" t="str">
        <f>TB!C124</f>
        <v>Potato</v>
      </c>
      <c r="D88" s="257">
        <f>SUMIF(GL!$D$5:$D$6446,B88,GL!$G$5:$G$6446)</f>
        <v>45.5</v>
      </c>
      <c r="E88" s="258">
        <f>SUMIF(GL!$D$6:$D$6484,B88,GL!$H$6:$H$6484)</f>
        <v>886500</v>
      </c>
      <c r="F88" s="258">
        <f>SUMIF(GL!$D$6:$D$6484,B88,GL!$I$6:$I$6484)</f>
        <v>0</v>
      </c>
      <c r="G88" s="258">
        <f t="shared" si="5"/>
        <v>886500</v>
      </c>
      <c r="H88" s="258">
        <f t="shared" si="6"/>
        <v>0</v>
      </c>
      <c r="I88" s="250">
        <v>3.9</v>
      </c>
      <c r="J88" s="251">
        <v>19002</v>
      </c>
      <c r="K88" s="252">
        <v>74107</v>
      </c>
      <c r="L88" s="253">
        <f t="shared" ref="L88:L91" si="26">D88+I88</f>
        <v>49.4</v>
      </c>
      <c r="M88" s="128">
        <f t="shared" ref="M88:M91" si="27">(G88+K88)/L88</f>
        <v>19445.485829959514</v>
      </c>
      <c r="N88" s="128">
        <f t="shared" si="1"/>
        <v>960607</v>
      </c>
      <c r="O88" s="254">
        <v>4.2</v>
      </c>
      <c r="P88" s="128">
        <f t="shared" si="2"/>
        <v>19445.485829959514</v>
      </c>
      <c r="Q88" s="18">
        <f t="shared" si="3"/>
        <v>81671.040485829959</v>
      </c>
      <c r="R88" s="255">
        <f t="shared" si="4"/>
        <v>878935.95951417007</v>
      </c>
      <c r="S88" s="230"/>
      <c r="T88" s="226">
        <f t="shared" si="7"/>
        <v>-443.48582995951438</v>
      </c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1"/>
      <c r="AG88" s="1"/>
      <c r="AH88" s="1"/>
      <c r="AI88" s="1"/>
      <c r="AJ88" s="1"/>
    </row>
    <row r="89" spans="1:36" ht="13.5" customHeight="1">
      <c r="A89" s="259"/>
      <c r="B89" s="15" t="str">
        <f>TB!B125</f>
        <v>V021</v>
      </c>
      <c r="C89" s="256" t="str">
        <f>TB!C125</f>
        <v>Kacang Panjang</v>
      </c>
      <c r="D89" s="257">
        <f>SUMIF(GL!$D$5:$D$6446,B89,GL!$G$5:$G$6446)</f>
        <v>1.05</v>
      </c>
      <c r="E89" s="258">
        <f>SUMIF(GL!$D$6:$D$6484,B89,GL!$H$6:$H$6484)</f>
        <v>21000</v>
      </c>
      <c r="F89" s="258">
        <f>SUMIF(GL!$D$6:$D$6484,B89,GL!$I$6:$I$6484)</f>
        <v>0</v>
      </c>
      <c r="G89" s="258">
        <f t="shared" si="5"/>
        <v>21000</v>
      </c>
      <c r="H89" s="258">
        <f t="shared" si="6"/>
        <v>0</v>
      </c>
      <c r="I89" s="250">
        <v>0.2</v>
      </c>
      <c r="J89" s="251">
        <v>14994</v>
      </c>
      <c r="K89" s="252">
        <v>2999</v>
      </c>
      <c r="L89" s="253">
        <f t="shared" si="26"/>
        <v>1.25</v>
      </c>
      <c r="M89" s="128">
        <f t="shared" si="27"/>
        <v>19199.2</v>
      </c>
      <c r="N89" s="128">
        <f t="shared" si="1"/>
        <v>23999</v>
      </c>
      <c r="O89" s="254">
        <v>0.23</v>
      </c>
      <c r="P89" s="128">
        <f t="shared" si="2"/>
        <v>19199.2</v>
      </c>
      <c r="Q89" s="18">
        <f t="shared" si="3"/>
        <v>4415.8160000000007</v>
      </c>
      <c r="R89" s="255">
        <f t="shared" si="4"/>
        <v>19583.184000000001</v>
      </c>
      <c r="S89" s="230"/>
      <c r="T89" s="226">
        <f t="shared" si="7"/>
        <v>-4205.2000000000007</v>
      </c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1"/>
      <c r="AG89" s="1"/>
      <c r="AH89" s="1"/>
      <c r="AI89" s="1"/>
      <c r="AJ89" s="1"/>
    </row>
    <row r="90" spans="1:36" ht="13.5" customHeight="1">
      <c r="A90" s="259"/>
      <c r="B90" s="15" t="str">
        <f>TB!B126</f>
        <v>V022</v>
      </c>
      <c r="C90" s="256" t="str">
        <f>TB!C126</f>
        <v>Mushrooms Button</v>
      </c>
      <c r="D90" s="257">
        <f>SUMIF(GL!$D$5:$D$6446,B90,GL!$G$5:$G$6446)</f>
        <v>10</v>
      </c>
      <c r="E90" s="258">
        <f>SUMIF(GL!$D$6:$D$6484,B90,GL!$H$6:$H$6484)</f>
        <v>450000</v>
      </c>
      <c r="F90" s="258">
        <f>SUMIF(GL!$D$6:$D$6484,B90,GL!$I$6:$I$6484)</f>
        <v>0</v>
      </c>
      <c r="G90" s="258">
        <f t="shared" si="5"/>
        <v>450000</v>
      </c>
      <c r="H90" s="258">
        <f t="shared" si="6"/>
        <v>0</v>
      </c>
      <c r="I90" s="250">
        <v>0.38</v>
      </c>
      <c r="J90" s="251">
        <v>45000</v>
      </c>
      <c r="K90" s="252">
        <v>17100</v>
      </c>
      <c r="L90" s="253">
        <f t="shared" si="26"/>
        <v>10.38</v>
      </c>
      <c r="M90" s="128">
        <f t="shared" si="27"/>
        <v>45000</v>
      </c>
      <c r="N90" s="128">
        <f t="shared" si="1"/>
        <v>467100</v>
      </c>
      <c r="O90" s="254">
        <v>1.3</v>
      </c>
      <c r="P90" s="128">
        <f t="shared" si="2"/>
        <v>45000</v>
      </c>
      <c r="Q90" s="18">
        <f t="shared" si="3"/>
        <v>58500</v>
      </c>
      <c r="R90" s="255">
        <f t="shared" si="4"/>
        <v>408600</v>
      </c>
      <c r="S90" s="230"/>
      <c r="T90" s="226">
        <f t="shared" si="7"/>
        <v>0</v>
      </c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1"/>
      <c r="AG90" s="1"/>
      <c r="AH90" s="1"/>
      <c r="AI90" s="1"/>
      <c r="AJ90" s="1"/>
    </row>
    <row r="91" spans="1:36" ht="13.5" customHeight="1">
      <c r="A91" s="259"/>
      <c r="B91" s="15" t="str">
        <f>TB!B127</f>
        <v>V023</v>
      </c>
      <c r="C91" s="256" t="str">
        <f>TB!C127</f>
        <v>Leek / Bawang Pre</v>
      </c>
      <c r="D91" s="257">
        <f>SUMIF(GL!$D$5:$D$6446,B91,GL!$G$5:$G$6446)</f>
        <v>0.45599999999999996</v>
      </c>
      <c r="E91" s="258">
        <f>SUMIF(GL!$D$6:$D$6484,B91,GL!$H$6:$H$6484)</f>
        <v>14500</v>
      </c>
      <c r="F91" s="258">
        <f>SUMIF(GL!$D$6:$D$6484,B91,GL!$I$6:$I$6484)</f>
        <v>0</v>
      </c>
      <c r="G91" s="258">
        <f t="shared" si="5"/>
        <v>14500</v>
      </c>
      <c r="H91" s="258">
        <f t="shared" si="6"/>
        <v>0</v>
      </c>
      <c r="I91" s="250"/>
      <c r="J91" s="251">
        <v>35000</v>
      </c>
      <c r="K91" s="252"/>
      <c r="L91" s="253">
        <f t="shared" si="26"/>
        <v>0.45599999999999996</v>
      </c>
      <c r="M91" s="128">
        <f t="shared" si="27"/>
        <v>31798.245614035091</v>
      </c>
      <c r="N91" s="128">
        <f t="shared" si="1"/>
        <v>14500</v>
      </c>
      <c r="O91" s="254">
        <v>0.3</v>
      </c>
      <c r="P91" s="128">
        <f t="shared" si="2"/>
        <v>31798.245614035091</v>
      </c>
      <c r="Q91" s="18">
        <f t="shared" si="3"/>
        <v>9539.4736842105267</v>
      </c>
      <c r="R91" s="255">
        <f t="shared" si="4"/>
        <v>4960.5263157894733</v>
      </c>
      <c r="S91" s="230"/>
      <c r="T91" s="226">
        <f t="shared" si="7"/>
        <v>3201.7543859649086</v>
      </c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1"/>
      <c r="AG91" s="1"/>
      <c r="AH91" s="1"/>
      <c r="AI91" s="1"/>
      <c r="AJ91" s="1"/>
    </row>
    <row r="92" spans="1:36" ht="13.5" customHeight="1">
      <c r="A92" s="259"/>
      <c r="B92" s="15" t="str">
        <f>TB!B128</f>
        <v>V024</v>
      </c>
      <c r="C92" s="256" t="str">
        <f>TB!C128</f>
        <v>Cauliflower/Bunga Kol</v>
      </c>
      <c r="D92" s="257">
        <f>SUMIF(GL!$D$5:$D$6446,B92,GL!$G$5:$G$6446)</f>
        <v>0</v>
      </c>
      <c r="E92" s="258">
        <f>SUMIF(GL!$D$6:$D$6484,B92,GL!$H$6:$H$6484)</f>
        <v>0</v>
      </c>
      <c r="F92" s="258">
        <f>SUMIF(GL!$D$6:$D$6484,B92,GL!$I$6:$I$6484)</f>
        <v>0</v>
      </c>
      <c r="G92" s="258">
        <f t="shared" si="5"/>
        <v>0</v>
      </c>
      <c r="H92" s="258">
        <f t="shared" si="6"/>
        <v>0</v>
      </c>
      <c r="I92" s="250"/>
      <c r="J92" s="251"/>
      <c r="K92" s="252"/>
      <c r="L92" s="253"/>
      <c r="M92" s="128"/>
      <c r="N92" s="128">
        <f t="shared" si="1"/>
        <v>0</v>
      </c>
      <c r="O92" s="254"/>
      <c r="P92" s="128">
        <f t="shared" si="2"/>
        <v>0</v>
      </c>
      <c r="Q92" s="18">
        <f t="shared" si="3"/>
        <v>0</v>
      </c>
      <c r="R92" s="255">
        <f t="shared" si="4"/>
        <v>0</v>
      </c>
      <c r="S92" s="230"/>
      <c r="T92" s="226">
        <f t="shared" si="7"/>
        <v>0</v>
      </c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1"/>
      <c r="AG92" s="1"/>
      <c r="AH92" s="1"/>
      <c r="AI92" s="1"/>
      <c r="AJ92" s="1"/>
    </row>
    <row r="93" spans="1:36" ht="13.5" customHeight="1">
      <c r="A93" s="259"/>
      <c r="B93" s="15" t="str">
        <f>TB!B129</f>
        <v>V025</v>
      </c>
      <c r="C93" s="256" t="str">
        <f>TB!C129</f>
        <v>Jack Fruit/Nangka</v>
      </c>
      <c r="D93" s="257">
        <f>SUMIF(GL!$D$5:$D$6446,B93,GL!$G$5:$G$6446)</f>
        <v>0</v>
      </c>
      <c r="E93" s="258">
        <f>SUMIF(GL!$D$6:$D$6484,B93,GL!$H$6:$H$6484)</f>
        <v>0</v>
      </c>
      <c r="F93" s="258">
        <f>SUMIF(GL!$D$6:$D$6484,B93,GL!$I$6:$I$6484)</f>
        <v>0</v>
      </c>
      <c r="G93" s="258">
        <f t="shared" si="5"/>
        <v>0</v>
      </c>
      <c r="H93" s="258">
        <f t="shared" si="6"/>
        <v>0</v>
      </c>
      <c r="I93" s="250"/>
      <c r="J93" s="251"/>
      <c r="K93" s="252"/>
      <c r="L93" s="253"/>
      <c r="M93" s="128"/>
      <c r="N93" s="128">
        <f t="shared" si="1"/>
        <v>0</v>
      </c>
      <c r="O93" s="254"/>
      <c r="P93" s="128">
        <f t="shared" si="2"/>
        <v>0</v>
      </c>
      <c r="Q93" s="18">
        <f t="shared" si="3"/>
        <v>0</v>
      </c>
      <c r="R93" s="255">
        <f t="shared" si="4"/>
        <v>0</v>
      </c>
      <c r="S93" s="230"/>
      <c r="T93" s="226">
        <f t="shared" si="7"/>
        <v>0</v>
      </c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1"/>
      <c r="AG93" s="1"/>
      <c r="AH93" s="1"/>
      <c r="AI93" s="1"/>
      <c r="AJ93" s="1"/>
    </row>
    <row r="94" spans="1:36" ht="13.5" customHeight="1">
      <c r="A94" s="259"/>
      <c r="B94" s="15" t="str">
        <f>TB!B130</f>
        <v>V026</v>
      </c>
      <c r="C94" s="256" t="str">
        <f>TB!C130</f>
        <v>Daun Bawang/Spring Onion</v>
      </c>
      <c r="D94" s="257">
        <f>SUMIF(GL!$D$5:$D$6446,B94,GL!$G$5:$G$6446)</f>
        <v>0</v>
      </c>
      <c r="E94" s="258">
        <f>SUMIF(GL!$D$6:$D$6484,B94,GL!$H$6:$H$6484)</f>
        <v>0</v>
      </c>
      <c r="F94" s="258">
        <f>SUMIF(GL!$D$6:$D$6484,B94,GL!$I$6:$I$6484)</f>
        <v>0</v>
      </c>
      <c r="G94" s="258">
        <f t="shared" si="5"/>
        <v>0</v>
      </c>
      <c r="H94" s="258">
        <f t="shared" si="6"/>
        <v>0</v>
      </c>
      <c r="I94" s="250"/>
      <c r="J94" s="251"/>
      <c r="K94" s="252"/>
      <c r="L94" s="253"/>
      <c r="M94" s="128"/>
      <c r="N94" s="128">
        <f t="shared" si="1"/>
        <v>0</v>
      </c>
      <c r="O94" s="254"/>
      <c r="P94" s="128">
        <f t="shared" si="2"/>
        <v>0</v>
      </c>
      <c r="Q94" s="18">
        <f t="shared" si="3"/>
        <v>0</v>
      </c>
      <c r="R94" s="255">
        <f t="shared" si="4"/>
        <v>0</v>
      </c>
      <c r="S94" s="230"/>
      <c r="T94" s="226">
        <f t="shared" si="7"/>
        <v>0</v>
      </c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1"/>
      <c r="AG94" s="1"/>
      <c r="AH94" s="1"/>
      <c r="AI94" s="1"/>
      <c r="AJ94" s="1"/>
    </row>
    <row r="95" spans="1:36" ht="13.5" customHeight="1">
      <c r="A95" s="259"/>
      <c r="B95" s="15" t="str">
        <f>TB!B131</f>
        <v>V027</v>
      </c>
      <c r="C95" s="256" t="str">
        <f>TB!C131</f>
        <v>Romaine</v>
      </c>
      <c r="D95" s="257">
        <f>SUMIF(GL!$D$5:$D$6446,B95,GL!$G$5:$G$6446)</f>
        <v>17.100000000000001</v>
      </c>
      <c r="E95" s="258">
        <f>SUMIF(GL!$D$6:$D$6484,B95,GL!$H$6:$H$6484)</f>
        <v>1363000</v>
      </c>
      <c r="F95" s="258">
        <f>SUMIF(GL!$D$6:$D$6484,B95,GL!$I$6:$I$6484)</f>
        <v>0</v>
      </c>
      <c r="G95" s="258">
        <f t="shared" si="5"/>
        <v>1363000</v>
      </c>
      <c r="H95" s="258">
        <f t="shared" si="6"/>
        <v>0</v>
      </c>
      <c r="I95" s="250">
        <v>1.25</v>
      </c>
      <c r="J95" s="251">
        <v>49396</v>
      </c>
      <c r="K95" s="252">
        <v>61745</v>
      </c>
      <c r="L95" s="253">
        <f t="shared" ref="L95:L96" si="28">D95+I95</f>
        <v>18.350000000000001</v>
      </c>
      <c r="M95" s="128">
        <f t="shared" ref="M95:M96" si="29">(G95+K95)/L95</f>
        <v>77642.779291553132</v>
      </c>
      <c r="N95" s="128">
        <f t="shared" si="1"/>
        <v>1424745</v>
      </c>
      <c r="O95" s="254">
        <v>2</v>
      </c>
      <c r="P95" s="128">
        <f t="shared" si="2"/>
        <v>77642.779291553132</v>
      </c>
      <c r="Q95" s="18">
        <f t="shared" si="3"/>
        <v>155285.55858310626</v>
      </c>
      <c r="R95" s="255">
        <f t="shared" si="4"/>
        <v>1269459.4414168936</v>
      </c>
      <c r="S95" s="230" t="s">
        <v>3825</v>
      </c>
      <c r="T95" s="226">
        <f t="shared" si="7"/>
        <v>-28246.779291553132</v>
      </c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1"/>
      <c r="AG95" s="1"/>
      <c r="AH95" s="1"/>
      <c r="AI95" s="1"/>
      <c r="AJ95" s="1"/>
    </row>
    <row r="96" spans="1:36" ht="13.5" customHeight="1">
      <c r="A96" s="259"/>
      <c r="B96" s="15" t="str">
        <f>TB!B132</f>
        <v>V028</v>
      </c>
      <c r="C96" s="256" t="str">
        <f>TB!C132</f>
        <v>Kol Ungu</v>
      </c>
      <c r="D96" s="257">
        <f>SUMIF(GL!$D$5:$D$6446,B96,GL!$G$5:$G$6446)</f>
        <v>0.6</v>
      </c>
      <c r="E96" s="258">
        <f>SUMIF(GL!$D$6:$D$6484,B96,GL!$H$6:$H$6484)</f>
        <v>21000</v>
      </c>
      <c r="F96" s="258">
        <f>SUMIF(GL!$D$6:$D$6484,B96,GL!$I$6:$I$6484)</f>
        <v>0</v>
      </c>
      <c r="G96" s="258">
        <f t="shared" si="5"/>
        <v>21000</v>
      </c>
      <c r="H96" s="258">
        <f t="shared" si="6"/>
        <v>0</v>
      </c>
      <c r="I96" s="250">
        <v>0.55000000000000004</v>
      </c>
      <c r="J96" s="251">
        <v>37423</v>
      </c>
      <c r="K96" s="252">
        <v>20583</v>
      </c>
      <c r="L96" s="253">
        <f t="shared" si="28"/>
        <v>1.1499999999999999</v>
      </c>
      <c r="M96" s="128">
        <f t="shared" si="29"/>
        <v>36159.130434782608</v>
      </c>
      <c r="N96" s="128">
        <f t="shared" si="1"/>
        <v>41583</v>
      </c>
      <c r="O96" s="254">
        <v>0.3</v>
      </c>
      <c r="P96" s="128">
        <f t="shared" si="2"/>
        <v>36159.130434782608</v>
      </c>
      <c r="Q96" s="18">
        <f t="shared" si="3"/>
        <v>10847.739130434782</v>
      </c>
      <c r="R96" s="255">
        <f t="shared" si="4"/>
        <v>30735.260869565216</v>
      </c>
      <c r="S96" s="230"/>
      <c r="T96" s="226">
        <f t="shared" si="7"/>
        <v>1263.8695652173919</v>
      </c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1"/>
      <c r="AG96" s="1"/>
      <c r="AH96" s="1"/>
      <c r="AI96" s="1"/>
      <c r="AJ96" s="1"/>
    </row>
    <row r="97" spans="1:36" ht="13.5" customHeight="1">
      <c r="A97" s="259"/>
      <c r="B97" s="15" t="str">
        <f>TB!B133</f>
        <v>V029</v>
      </c>
      <c r="C97" s="256" t="str">
        <f>TB!C133</f>
        <v>Kulit Pangsit</v>
      </c>
      <c r="D97" s="257">
        <f>SUMIF(GL!$D$5:$D$6446,B97,GL!$G$5:$G$6446)</f>
        <v>0</v>
      </c>
      <c r="E97" s="258">
        <f>SUMIF(GL!$D$6:$D$6484,B97,GL!$H$6:$H$6484)</f>
        <v>0</v>
      </c>
      <c r="F97" s="258">
        <f>SUMIF(GL!$D$6:$D$6484,B97,GL!$I$6:$I$6484)</f>
        <v>0</v>
      </c>
      <c r="G97" s="258">
        <f t="shared" si="5"/>
        <v>0</v>
      </c>
      <c r="H97" s="258">
        <f t="shared" si="6"/>
        <v>0</v>
      </c>
      <c r="I97" s="250"/>
      <c r="J97" s="251"/>
      <c r="K97" s="252"/>
      <c r="L97" s="253"/>
      <c r="M97" s="128"/>
      <c r="N97" s="128">
        <f t="shared" si="1"/>
        <v>0</v>
      </c>
      <c r="O97" s="254"/>
      <c r="P97" s="128">
        <f t="shared" si="2"/>
        <v>0</v>
      </c>
      <c r="Q97" s="18">
        <f t="shared" si="3"/>
        <v>0</v>
      </c>
      <c r="R97" s="255">
        <f t="shared" si="4"/>
        <v>0</v>
      </c>
      <c r="S97" s="230"/>
      <c r="T97" s="226">
        <f t="shared" si="7"/>
        <v>0</v>
      </c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1"/>
      <c r="AG97" s="1"/>
      <c r="AH97" s="1"/>
      <c r="AI97" s="1"/>
      <c r="AJ97" s="1"/>
    </row>
    <row r="98" spans="1:36" ht="13.5" customHeight="1">
      <c r="A98" s="4"/>
      <c r="B98" s="15" t="str">
        <f>TB!B134</f>
        <v>V030</v>
      </c>
      <c r="C98" s="256" t="str">
        <f>TB!C134</f>
        <v>Paprika Powder</v>
      </c>
      <c r="D98" s="257">
        <f>SUMIF(GL!$D$5:$D$6446,B98,GL!$G$5:$G$6446)</f>
        <v>0</v>
      </c>
      <c r="E98" s="258">
        <f>SUMIF(GL!$D$6:$D$6484,B98,GL!$H$6:$H$6484)</f>
        <v>0</v>
      </c>
      <c r="F98" s="258">
        <f>SUMIF(GL!$D$6:$D$6484,B98,GL!$I$6:$I$6484)</f>
        <v>0</v>
      </c>
      <c r="G98" s="258">
        <f t="shared" si="5"/>
        <v>0</v>
      </c>
      <c r="H98" s="258">
        <f t="shared" si="6"/>
        <v>0</v>
      </c>
      <c r="I98" s="250"/>
      <c r="J98" s="251"/>
      <c r="K98" s="252"/>
      <c r="L98" s="253"/>
      <c r="M98" s="128"/>
      <c r="N98" s="128">
        <f t="shared" si="1"/>
        <v>0</v>
      </c>
      <c r="O98" s="254"/>
      <c r="P98" s="128">
        <f t="shared" si="2"/>
        <v>0</v>
      </c>
      <c r="Q98" s="18">
        <f t="shared" si="3"/>
        <v>0</v>
      </c>
      <c r="R98" s="255">
        <f t="shared" si="4"/>
        <v>0</v>
      </c>
      <c r="S98" s="230"/>
      <c r="T98" s="226">
        <f t="shared" si="7"/>
        <v>0</v>
      </c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1"/>
      <c r="AG98" s="1"/>
      <c r="AH98" s="1"/>
      <c r="AI98" s="1"/>
      <c r="AJ98" s="1"/>
    </row>
    <row r="99" spans="1:36" ht="13.5" customHeight="1">
      <c r="A99" s="259"/>
      <c r="B99" s="15" t="str">
        <f>TB!B135</f>
        <v>V031</v>
      </c>
      <c r="C99" s="256" t="str">
        <f>TB!C135</f>
        <v>Salada Keriting</v>
      </c>
      <c r="D99" s="257">
        <f>SUMIF(GL!$D$5:$D$6446,B99,GL!$G$5:$G$6446)</f>
        <v>0</v>
      </c>
      <c r="E99" s="258">
        <f>SUMIF(GL!$D$6:$D$6484,B99,GL!$H$6:$H$6484)</f>
        <v>0</v>
      </c>
      <c r="F99" s="258">
        <f>SUMIF(GL!$D$6:$D$6484,B99,GL!$I$6:$I$6484)</f>
        <v>0</v>
      </c>
      <c r="G99" s="258">
        <f t="shared" si="5"/>
        <v>0</v>
      </c>
      <c r="H99" s="258">
        <f t="shared" si="6"/>
        <v>0</v>
      </c>
      <c r="I99" s="250"/>
      <c r="J99" s="251"/>
      <c r="K99" s="252"/>
      <c r="L99" s="253"/>
      <c r="M99" s="128"/>
      <c r="N99" s="128">
        <f t="shared" si="1"/>
        <v>0</v>
      </c>
      <c r="O99" s="254"/>
      <c r="P99" s="128">
        <f t="shared" si="2"/>
        <v>0</v>
      </c>
      <c r="Q99" s="18">
        <f t="shared" si="3"/>
        <v>0</v>
      </c>
      <c r="R99" s="255">
        <f t="shared" si="4"/>
        <v>0</v>
      </c>
      <c r="S99" s="230"/>
      <c r="T99" s="226">
        <f t="shared" si="7"/>
        <v>0</v>
      </c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1"/>
      <c r="AG99" s="1"/>
      <c r="AH99" s="1"/>
      <c r="AI99" s="1"/>
      <c r="AJ99" s="1"/>
    </row>
    <row r="100" spans="1:36" ht="13.5" customHeight="1">
      <c r="A100" s="259"/>
      <c r="B100" s="15" t="str">
        <f>TB!B136</f>
        <v>V032</v>
      </c>
      <c r="C100" s="256" t="str">
        <f>TB!C136</f>
        <v>Oregano</v>
      </c>
      <c r="D100" s="257">
        <f>SUMIF(GL!$D$5:$D$6446,B100,GL!$G$5:$G$6446)</f>
        <v>0.2</v>
      </c>
      <c r="E100" s="258">
        <f>SUMIF(GL!$D$6:$D$6484,B100,GL!$H$6:$H$6484)</f>
        <v>35000</v>
      </c>
      <c r="F100" s="258">
        <f>SUMIF(GL!$D$6:$D$6484,B100,GL!$I$6:$I$6484)</f>
        <v>0</v>
      </c>
      <c r="G100" s="258">
        <f t="shared" si="5"/>
        <v>35000</v>
      </c>
      <c r="H100" s="258">
        <f t="shared" si="6"/>
        <v>0</v>
      </c>
      <c r="I100" s="250">
        <v>0.14000000000000001</v>
      </c>
      <c r="J100" s="251">
        <v>159350</v>
      </c>
      <c r="K100" s="252">
        <v>22309</v>
      </c>
      <c r="L100" s="253">
        <f t="shared" ref="L100:L101" si="30">D100+I100</f>
        <v>0.34</v>
      </c>
      <c r="M100" s="128">
        <f t="shared" ref="M100:M101" si="31">(G100+K100)/L100</f>
        <v>168555.88235294117</v>
      </c>
      <c r="N100" s="128">
        <f t="shared" si="1"/>
        <v>57309</v>
      </c>
      <c r="O100" s="254">
        <v>0.25</v>
      </c>
      <c r="P100" s="128">
        <f t="shared" si="2"/>
        <v>168555.88235294117</v>
      </c>
      <c r="Q100" s="18">
        <f t="shared" si="3"/>
        <v>42138.970588235294</v>
      </c>
      <c r="R100" s="255">
        <f t="shared" si="4"/>
        <v>15170.029411764706</v>
      </c>
      <c r="S100" s="230"/>
      <c r="T100" s="226">
        <f t="shared" si="7"/>
        <v>-9205.8823529411748</v>
      </c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1"/>
      <c r="AG100" s="1"/>
      <c r="AH100" s="1"/>
      <c r="AI100" s="1"/>
      <c r="AJ100" s="1"/>
    </row>
    <row r="101" spans="1:36" ht="13.5" customHeight="1">
      <c r="A101" s="259"/>
      <c r="B101" s="15" t="str">
        <f>TB!B137</f>
        <v>V033</v>
      </c>
      <c r="C101" s="256" t="str">
        <f>TB!C137</f>
        <v>Rosemary</v>
      </c>
      <c r="D101" s="257">
        <f>SUMIF(GL!$D$5:$D$6446,B101,GL!$G$5:$G$6446)</f>
        <v>0.55000000000000004</v>
      </c>
      <c r="E101" s="258">
        <f>SUMIF(GL!$D$6:$D$6484,B101,GL!$H$6:$H$6484)</f>
        <v>72500</v>
      </c>
      <c r="F101" s="258">
        <f>SUMIF(GL!$D$6:$D$6484,B101,GL!$I$6:$I$6484)</f>
        <v>0</v>
      </c>
      <c r="G101" s="258">
        <f t="shared" si="5"/>
        <v>72500</v>
      </c>
      <c r="H101" s="258">
        <f t="shared" si="6"/>
        <v>0</v>
      </c>
      <c r="I101" s="250">
        <v>0.13</v>
      </c>
      <c r="J101" s="251">
        <v>140000</v>
      </c>
      <c r="K101" s="252">
        <v>18200</v>
      </c>
      <c r="L101" s="253">
        <f t="shared" si="30"/>
        <v>0.68</v>
      </c>
      <c r="M101" s="128">
        <f t="shared" si="31"/>
        <v>133382.35294117645</v>
      </c>
      <c r="N101" s="128">
        <f t="shared" si="1"/>
        <v>90700</v>
      </c>
      <c r="O101" s="254">
        <v>0.19</v>
      </c>
      <c r="P101" s="128">
        <f t="shared" si="2"/>
        <v>133382.35294117645</v>
      </c>
      <c r="Q101" s="18">
        <f t="shared" si="3"/>
        <v>25342.647058823524</v>
      </c>
      <c r="R101" s="255">
        <f t="shared" si="4"/>
        <v>65357.352941176476</v>
      </c>
      <c r="S101" s="230"/>
      <c r="T101" s="226">
        <f t="shared" si="7"/>
        <v>6617.6470588235534</v>
      </c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1"/>
      <c r="AG101" s="1"/>
      <c r="AH101" s="1"/>
      <c r="AI101" s="1"/>
      <c r="AJ101" s="1"/>
    </row>
    <row r="102" spans="1:36" ht="13.5" customHeight="1">
      <c r="A102" s="259"/>
      <c r="B102" s="15" t="str">
        <f>TB!B138</f>
        <v>V034</v>
      </c>
      <c r="C102" s="256" t="str">
        <f>TB!C138</f>
        <v>Kelapa Parut</v>
      </c>
      <c r="D102" s="257">
        <f>SUMIF(GL!$D$5:$D$6446,B102,GL!$G$5:$G$6446)</f>
        <v>0</v>
      </c>
      <c r="E102" s="258">
        <f>SUMIF(GL!$D$6:$D$6484,B102,GL!$H$6:$H$6484)</f>
        <v>0</v>
      </c>
      <c r="F102" s="258">
        <f>SUMIF(GL!$D$6:$D$6484,B102,GL!$I$6:$I$6484)</f>
        <v>0</v>
      </c>
      <c r="G102" s="258">
        <f t="shared" si="5"/>
        <v>0</v>
      </c>
      <c r="H102" s="258">
        <f t="shared" si="6"/>
        <v>0</v>
      </c>
      <c r="I102" s="250"/>
      <c r="J102" s="251"/>
      <c r="K102" s="252"/>
      <c r="L102" s="253"/>
      <c r="M102" s="128"/>
      <c r="N102" s="128">
        <f t="shared" si="1"/>
        <v>0</v>
      </c>
      <c r="O102" s="254"/>
      <c r="P102" s="128">
        <f t="shared" si="2"/>
        <v>0</v>
      </c>
      <c r="Q102" s="18">
        <f t="shared" si="3"/>
        <v>0</v>
      </c>
      <c r="R102" s="255">
        <f t="shared" si="4"/>
        <v>0</v>
      </c>
      <c r="S102" s="230"/>
      <c r="T102" s="226">
        <f t="shared" si="7"/>
        <v>0</v>
      </c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1"/>
      <c r="AG102" s="1"/>
      <c r="AH102" s="1"/>
      <c r="AI102" s="1"/>
      <c r="AJ102" s="1"/>
    </row>
    <row r="103" spans="1:36" ht="13.5" customHeight="1">
      <c r="A103" s="259"/>
      <c r="B103" s="15" t="str">
        <f>TB!B139</f>
        <v>V035</v>
      </c>
      <c r="C103" s="256" t="str">
        <f>TB!C139</f>
        <v>Tempe</v>
      </c>
      <c r="D103" s="257">
        <f>SUMIF(GL!$D$5:$D$6446,B103,GL!$G$5:$G$6446)</f>
        <v>17</v>
      </c>
      <c r="E103" s="258">
        <f>SUMIF(GL!$D$6:$D$6484,B103,GL!$H$6:$H$6484)</f>
        <v>43000</v>
      </c>
      <c r="F103" s="258">
        <f>SUMIF(GL!$D$6:$D$6484,B103,GL!$I$6:$I$6484)</f>
        <v>0</v>
      </c>
      <c r="G103" s="258">
        <f t="shared" si="5"/>
        <v>43000</v>
      </c>
      <c r="H103" s="258">
        <f t="shared" si="6"/>
        <v>0</v>
      </c>
      <c r="I103" s="250">
        <v>0.7</v>
      </c>
      <c r="J103" s="251">
        <v>2622</v>
      </c>
      <c r="K103" s="252">
        <v>1835</v>
      </c>
      <c r="L103" s="253">
        <f>D103+I103</f>
        <v>17.7</v>
      </c>
      <c r="M103" s="128">
        <f>(G103+K103)/L103</f>
        <v>2533.0508474576272</v>
      </c>
      <c r="N103" s="128">
        <f t="shared" si="1"/>
        <v>44835</v>
      </c>
      <c r="O103" s="254">
        <v>0.48</v>
      </c>
      <c r="P103" s="128">
        <f t="shared" si="2"/>
        <v>2533.0508474576272</v>
      </c>
      <c r="Q103" s="18">
        <f t="shared" si="3"/>
        <v>1215.8644067796611</v>
      </c>
      <c r="R103" s="255">
        <f t="shared" si="4"/>
        <v>43619.135593220337</v>
      </c>
      <c r="S103" s="230"/>
      <c r="T103" s="226">
        <f t="shared" si="7"/>
        <v>88.949152542372758</v>
      </c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1"/>
      <c r="AG103" s="1"/>
      <c r="AH103" s="1"/>
      <c r="AI103" s="1"/>
      <c r="AJ103" s="1"/>
    </row>
    <row r="104" spans="1:36" ht="13.5" customHeight="1">
      <c r="A104" s="259"/>
      <c r="B104" s="15" t="str">
        <f>TB!B140</f>
        <v>V036</v>
      </c>
      <c r="C104" s="256" t="str">
        <f>TB!C140</f>
        <v>Tahu</v>
      </c>
      <c r="D104" s="257">
        <f>SUMIF(GL!$D$5:$D$6446,B104,GL!$G$5:$G$6446)</f>
        <v>0</v>
      </c>
      <c r="E104" s="258">
        <f>SUMIF(GL!$D$6:$D$6484,B104,GL!$H$6:$H$6484)</f>
        <v>0</v>
      </c>
      <c r="F104" s="258">
        <f>SUMIF(GL!$D$6:$D$6484,B104,GL!$I$6:$I$6484)</f>
        <v>0</v>
      </c>
      <c r="G104" s="258">
        <f t="shared" si="5"/>
        <v>0</v>
      </c>
      <c r="H104" s="258">
        <f t="shared" si="6"/>
        <v>0</v>
      </c>
      <c r="I104" s="250"/>
      <c r="J104" s="251"/>
      <c r="K104" s="252"/>
      <c r="L104" s="253"/>
      <c r="M104" s="128"/>
      <c r="N104" s="128">
        <f t="shared" si="1"/>
        <v>0</v>
      </c>
      <c r="O104" s="254"/>
      <c r="P104" s="128">
        <f t="shared" si="2"/>
        <v>0</v>
      </c>
      <c r="Q104" s="18">
        <f t="shared" si="3"/>
        <v>0</v>
      </c>
      <c r="R104" s="255">
        <f t="shared" si="4"/>
        <v>0</v>
      </c>
      <c r="S104" s="230"/>
      <c r="T104" s="226">
        <f t="shared" si="7"/>
        <v>0</v>
      </c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1"/>
      <c r="AG104" s="1"/>
      <c r="AH104" s="1"/>
      <c r="AI104" s="1"/>
      <c r="AJ104" s="1"/>
    </row>
    <row r="105" spans="1:36" ht="13.5" customHeight="1">
      <c r="A105" s="259"/>
      <c r="B105" s="15" t="str">
        <f>TB!B141</f>
        <v>V037</v>
      </c>
      <c r="C105" s="256" t="str">
        <f>TB!C141</f>
        <v>Pok Coy</v>
      </c>
      <c r="D105" s="257">
        <f>SUMIF(GL!$D$5:$D$6446,B105,GL!$G$5:$G$6446)</f>
        <v>25.35</v>
      </c>
      <c r="E105" s="258">
        <f>SUMIF(GL!$D$6:$D$6484,B105,GL!$H$6:$H$6484)</f>
        <v>380250</v>
      </c>
      <c r="F105" s="258">
        <f>SUMIF(GL!$D$6:$D$6484,B105,GL!$I$6:$I$6484)</f>
        <v>0</v>
      </c>
      <c r="G105" s="258">
        <f t="shared" si="5"/>
        <v>380250</v>
      </c>
      <c r="H105" s="258">
        <f t="shared" si="6"/>
        <v>0</v>
      </c>
      <c r="I105" s="250">
        <v>1.8</v>
      </c>
      <c r="J105" s="251">
        <v>16848</v>
      </c>
      <c r="K105" s="252">
        <v>30326</v>
      </c>
      <c r="L105" s="253">
        <f>D105+I105</f>
        <v>27.150000000000002</v>
      </c>
      <c r="M105" s="128">
        <f>(G105+K105)/L105</f>
        <v>15122.504604051564</v>
      </c>
      <c r="N105" s="128">
        <f t="shared" si="1"/>
        <v>410576</v>
      </c>
      <c r="O105" s="254">
        <v>1.3</v>
      </c>
      <c r="P105" s="128">
        <f t="shared" si="2"/>
        <v>15122.504604051564</v>
      </c>
      <c r="Q105" s="18">
        <f t="shared" si="3"/>
        <v>19659.255985267035</v>
      </c>
      <c r="R105" s="255">
        <f t="shared" si="4"/>
        <v>390916.74401473295</v>
      </c>
      <c r="S105" s="230"/>
      <c r="T105" s="226">
        <f t="shared" si="7"/>
        <v>1725.4953959484355</v>
      </c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1"/>
      <c r="AG105" s="1"/>
      <c r="AH105" s="1"/>
      <c r="AI105" s="1"/>
      <c r="AJ105" s="1"/>
    </row>
    <row r="106" spans="1:36" ht="13.5" customHeight="1">
      <c r="A106" s="259"/>
      <c r="B106" s="15" t="str">
        <f>TB!B142</f>
        <v>V038</v>
      </c>
      <c r="C106" s="256" t="str">
        <f>TB!C142</f>
        <v>Croissant Butter 60 Gr</v>
      </c>
      <c r="D106" s="257">
        <f>SUMIF(GL!$D$5:$D$6446,B106,GL!$G$5:$G$6446)</f>
        <v>0</v>
      </c>
      <c r="E106" s="258">
        <f>SUMIF(GL!$D$6:$D$6484,B106,GL!$H$6:$H$6484)</f>
        <v>0</v>
      </c>
      <c r="F106" s="258">
        <f>SUMIF(GL!$D$6:$D$6484,B106,GL!$I$6:$I$6484)</f>
        <v>0</v>
      </c>
      <c r="G106" s="258">
        <f t="shared" si="5"/>
        <v>0</v>
      </c>
      <c r="H106" s="258">
        <f t="shared" si="6"/>
        <v>0</v>
      </c>
      <c r="I106" s="250"/>
      <c r="J106" s="251"/>
      <c r="K106" s="252"/>
      <c r="L106" s="253"/>
      <c r="M106" s="128"/>
      <c r="N106" s="128">
        <f t="shared" si="1"/>
        <v>0</v>
      </c>
      <c r="O106" s="254"/>
      <c r="P106" s="128">
        <f t="shared" si="2"/>
        <v>0</v>
      </c>
      <c r="Q106" s="18">
        <f t="shared" si="3"/>
        <v>0</v>
      </c>
      <c r="R106" s="255">
        <f t="shared" si="4"/>
        <v>0</v>
      </c>
      <c r="S106" s="230"/>
      <c r="T106" s="226">
        <f t="shared" si="7"/>
        <v>0</v>
      </c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1"/>
      <c r="AG106" s="1"/>
      <c r="AH106" s="1"/>
      <c r="AI106" s="1"/>
      <c r="AJ106" s="1"/>
    </row>
    <row r="107" spans="1:36" ht="13.5" customHeight="1">
      <c r="A107" s="259"/>
      <c r="B107" s="15" t="str">
        <f>TB!B143</f>
        <v>V039</v>
      </c>
      <c r="C107" s="256" t="str">
        <f>TB!C143</f>
        <v>Danish Raissin 60 Gr</v>
      </c>
      <c r="D107" s="257">
        <f>SUMIF(GL!$D$5:$D$6446,B107,GL!$G$5:$G$6446)</f>
        <v>0</v>
      </c>
      <c r="E107" s="258">
        <f>SUMIF(GL!$D$6:$D$6484,B107,GL!$H$6:$H$6484)</f>
        <v>0</v>
      </c>
      <c r="F107" s="258">
        <f>SUMIF(GL!$D$6:$D$6484,B107,GL!$I$6:$I$6484)</f>
        <v>0</v>
      </c>
      <c r="G107" s="258">
        <f t="shared" si="5"/>
        <v>0</v>
      </c>
      <c r="H107" s="258">
        <f t="shared" si="6"/>
        <v>0</v>
      </c>
      <c r="I107" s="250"/>
      <c r="J107" s="251"/>
      <c r="K107" s="252"/>
      <c r="L107" s="253"/>
      <c r="M107" s="128"/>
      <c r="N107" s="128">
        <f t="shared" si="1"/>
        <v>0</v>
      </c>
      <c r="O107" s="254"/>
      <c r="P107" s="128">
        <f t="shared" si="2"/>
        <v>0</v>
      </c>
      <c r="Q107" s="18">
        <f t="shared" si="3"/>
        <v>0</v>
      </c>
      <c r="R107" s="255">
        <f t="shared" si="4"/>
        <v>0</v>
      </c>
      <c r="S107" s="230"/>
      <c r="T107" s="226">
        <f t="shared" si="7"/>
        <v>0</v>
      </c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1"/>
      <c r="AG107" s="1"/>
      <c r="AH107" s="1"/>
      <c r="AI107" s="1"/>
      <c r="AJ107" s="1"/>
    </row>
    <row r="108" spans="1:36" ht="13.5" customHeight="1">
      <c r="A108" s="259"/>
      <c r="B108" s="15" t="str">
        <f>TB!B144</f>
        <v>V040</v>
      </c>
      <c r="C108" s="256" t="str">
        <f>TB!C144</f>
        <v>Muffin Chocolate Choco Chips 60 Gr</v>
      </c>
      <c r="D108" s="257">
        <f>SUMIF(GL!$D$5:$D$6446,B108,GL!$G$5:$G$6446)</f>
        <v>0</v>
      </c>
      <c r="E108" s="258">
        <f>SUMIF(GL!$D$6:$D$6484,B108,GL!$H$6:$H$6484)</f>
        <v>0</v>
      </c>
      <c r="F108" s="258">
        <f>SUMIF(GL!$D$6:$D$6484,B108,GL!$I$6:$I$6484)</f>
        <v>0</v>
      </c>
      <c r="G108" s="258">
        <f t="shared" si="5"/>
        <v>0</v>
      </c>
      <c r="H108" s="258">
        <f t="shared" si="6"/>
        <v>0</v>
      </c>
      <c r="I108" s="250"/>
      <c r="J108" s="251"/>
      <c r="K108" s="252"/>
      <c r="L108" s="253"/>
      <c r="M108" s="128"/>
      <c r="N108" s="128">
        <f t="shared" si="1"/>
        <v>0</v>
      </c>
      <c r="O108" s="254"/>
      <c r="P108" s="128">
        <f t="shared" si="2"/>
        <v>0</v>
      </c>
      <c r="Q108" s="18">
        <f t="shared" si="3"/>
        <v>0</v>
      </c>
      <c r="R108" s="255">
        <f t="shared" si="4"/>
        <v>0</v>
      </c>
      <c r="S108" s="230"/>
      <c r="T108" s="226">
        <f t="shared" si="7"/>
        <v>0</v>
      </c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1"/>
      <c r="AG108" s="1"/>
      <c r="AH108" s="1"/>
      <c r="AI108" s="1"/>
      <c r="AJ108" s="1"/>
    </row>
    <row r="109" spans="1:36" ht="13.5" customHeight="1">
      <c r="A109" s="259"/>
      <c r="B109" s="15" t="str">
        <f>TB!B145</f>
        <v>V041</v>
      </c>
      <c r="C109" s="256" t="str">
        <f>TB!C145</f>
        <v>Croissant Chocolate 60 Gr</v>
      </c>
      <c r="D109" s="257">
        <f>SUMIF(GL!$D$5:$D$6446,B109,GL!$G$5:$G$6446)</f>
        <v>0</v>
      </c>
      <c r="E109" s="258">
        <f>SUMIF(GL!$D$6:$D$6484,B109,GL!$H$6:$H$6484)</f>
        <v>0</v>
      </c>
      <c r="F109" s="258">
        <f>SUMIF(GL!$D$6:$D$6484,B109,GL!$I$6:$I$6484)</f>
        <v>0</v>
      </c>
      <c r="G109" s="258">
        <f t="shared" si="5"/>
        <v>0</v>
      </c>
      <c r="H109" s="258">
        <f t="shared" si="6"/>
        <v>0</v>
      </c>
      <c r="I109" s="250"/>
      <c r="J109" s="251"/>
      <c r="K109" s="252"/>
      <c r="L109" s="253"/>
      <c r="M109" s="128"/>
      <c r="N109" s="128">
        <f t="shared" si="1"/>
        <v>0</v>
      </c>
      <c r="O109" s="254"/>
      <c r="P109" s="128">
        <f t="shared" si="2"/>
        <v>0</v>
      </c>
      <c r="Q109" s="18">
        <f t="shared" si="3"/>
        <v>0</v>
      </c>
      <c r="R109" s="255">
        <f t="shared" si="4"/>
        <v>0</v>
      </c>
      <c r="S109" s="230"/>
      <c r="T109" s="226">
        <f t="shared" si="7"/>
        <v>0</v>
      </c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1"/>
      <c r="AG109" s="1"/>
      <c r="AH109" s="1"/>
      <c r="AI109" s="1"/>
      <c r="AJ109" s="1"/>
    </row>
    <row r="110" spans="1:36" ht="13.5" customHeight="1">
      <c r="A110" s="259"/>
      <c r="B110" s="15" t="str">
        <f>TB!B146</f>
        <v>V042</v>
      </c>
      <c r="C110" s="256" t="str">
        <f>TB!C146</f>
        <v>Buncis</v>
      </c>
      <c r="D110" s="257">
        <f>SUMIF(GL!$D$5:$D$6446,B110,GL!$G$5:$G$6446)</f>
        <v>5.5</v>
      </c>
      <c r="E110" s="258">
        <f>SUMIF(GL!$D$6:$D$6484,B110,GL!$H$6:$H$6484)</f>
        <v>123750</v>
      </c>
      <c r="F110" s="258">
        <f>SUMIF(GL!$D$6:$D$6484,B110,GL!$I$6:$I$6484)</f>
        <v>0</v>
      </c>
      <c r="G110" s="258">
        <f t="shared" si="5"/>
        <v>123750</v>
      </c>
      <c r="H110" s="258">
        <f t="shared" si="6"/>
        <v>0</v>
      </c>
      <c r="I110" s="250">
        <v>0.1</v>
      </c>
      <c r="J110" s="251">
        <v>14828</v>
      </c>
      <c r="K110" s="252">
        <v>1483</v>
      </c>
      <c r="L110" s="253">
        <f t="shared" ref="L110:L113" si="32">D110+I110</f>
        <v>5.6</v>
      </c>
      <c r="M110" s="128">
        <f t="shared" ref="M110:M113" si="33">(G110+K110)/L110</f>
        <v>22363.035714285717</v>
      </c>
      <c r="N110" s="128">
        <f t="shared" si="1"/>
        <v>125233</v>
      </c>
      <c r="O110" s="254">
        <v>0.15</v>
      </c>
      <c r="P110" s="128">
        <f t="shared" si="2"/>
        <v>22363.035714285717</v>
      </c>
      <c r="Q110" s="18">
        <f t="shared" si="3"/>
        <v>3354.4553571428573</v>
      </c>
      <c r="R110" s="255">
        <f t="shared" si="4"/>
        <v>121878.54464285714</v>
      </c>
      <c r="S110" s="230"/>
      <c r="T110" s="226">
        <f t="shared" si="7"/>
        <v>-7535.0357142857174</v>
      </c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1"/>
      <c r="AG110" s="1"/>
      <c r="AH110" s="1"/>
      <c r="AI110" s="1"/>
      <c r="AJ110" s="1"/>
    </row>
    <row r="111" spans="1:36" ht="13.5" customHeight="1">
      <c r="A111" s="259"/>
      <c r="B111" s="15" t="str">
        <f>TB!B147</f>
        <v>V042A</v>
      </c>
      <c r="C111" s="256" t="str">
        <f>TB!C147</f>
        <v>Baby Buncis</v>
      </c>
      <c r="D111" s="257">
        <f>SUMIF(GL!$D$5:$D$6446,B111,GL!$G$5:$G$6446)</f>
        <v>2.25</v>
      </c>
      <c r="E111" s="258">
        <f>SUMIF(GL!$D$6:$D$6484,B111,GL!$H$6:$H$6484)</f>
        <v>150000</v>
      </c>
      <c r="F111" s="258">
        <f>SUMIF(GL!$D$6:$D$6484,B111,GL!$I$6:$I$6484)</f>
        <v>0</v>
      </c>
      <c r="G111" s="258">
        <f t="shared" si="5"/>
        <v>150000</v>
      </c>
      <c r="H111" s="258">
        <f t="shared" si="6"/>
        <v>0</v>
      </c>
      <c r="I111" s="250">
        <v>0.15</v>
      </c>
      <c r="J111" s="251">
        <v>60006</v>
      </c>
      <c r="K111" s="252">
        <v>9001</v>
      </c>
      <c r="L111" s="253">
        <f t="shared" si="32"/>
        <v>2.4</v>
      </c>
      <c r="M111" s="128">
        <f t="shared" si="33"/>
        <v>66250.416666666672</v>
      </c>
      <c r="N111" s="128">
        <f t="shared" si="1"/>
        <v>159001</v>
      </c>
      <c r="O111" s="254">
        <v>0.15</v>
      </c>
      <c r="P111" s="128">
        <f t="shared" si="2"/>
        <v>66250.416666666672</v>
      </c>
      <c r="Q111" s="18">
        <f t="shared" si="3"/>
        <v>9937.5625</v>
      </c>
      <c r="R111" s="255">
        <f t="shared" si="4"/>
        <v>149063.4375</v>
      </c>
      <c r="S111" s="230"/>
      <c r="T111" s="226">
        <f t="shared" si="7"/>
        <v>-6244.4166666666715</v>
      </c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1"/>
      <c r="AG111" s="1"/>
      <c r="AH111" s="1"/>
      <c r="AI111" s="1"/>
      <c r="AJ111" s="1"/>
    </row>
    <row r="112" spans="1:36" ht="13.5" customHeight="1">
      <c r="A112" s="259"/>
      <c r="B112" s="15" t="str">
        <f>TB!B148</f>
        <v>V043</v>
      </c>
      <c r="C112" s="256" t="str">
        <f>TB!C148</f>
        <v>Kacang Tanah</v>
      </c>
      <c r="D112" s="257">
        <f>SUMIF(GL!$D$5:$D$6446,B112,GL!$G$5:$G$6446)</f>
        <v>1.81</v>
      </c>
      <c r="E112" s="258">
        <f>SUMIF(GL!$D$6:$D$6484,B112,GL!$H$6:$H$6484)</f>
        <v>69400</v>
      </c>
      <c r="F112" s="258">
        <f>SUMIF(GL!$D$6:$D$6484,B112,GL!$I$6:$I$6484)</f>
        <v>0</v>
      </c>
      <c r="G112" s="258">
        <f t="shared" si="5"/>
        <v>69400</v>
      </c>
      <c r="H112" s="258">
        <f t="shared" si="6"/>
        <v>0</v>
      </c>
      <c r="I112" s="250">
        <v>0.21</v>
      </c>
      <c r="J112" s="251">
        <v>38350</v>
      </c>
      <c r="K112" s="252">
        <v>8053</v>
      </c>
      <c r="L112" s="253">
        <f t="shared" si="32"/>
        <v>2.02</v>
      </c>
      <c r="M112" s="128">
        <f t="shared" si="33"/>
        <v>38343.069306930694</v>
      </c>
      <c r="N112" s="128">
        <f t="shared" si="1"/>
        <v>77453</v>
      </c>
      <c r="O112" s="254">
        <v>1.4</v>
      </c>
      <c r="P112" s="128">
        <f t="shared" si="2"/>
        <v>38343.069306930694</v>
      </c>
      <c r="Q112" s="18">
        <f t="shared" si="3"/>
        <v>53680.297029702968</v>
      </c>
      <c r="R112" s="255">
        <f t="shared" si="4"/>
        <v>23772.702970297032</v>
      </c>
      <c r="S112" s="230"/>
      <c r="T112" s="226">
        <f t="shared" si="7"/>
        <v>6.9306930693055619</v>
      </c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1"/>
      <c r="AG112" s="1"/>
      <c r="AH112" s="1"/>
      <c r="AI112" s="1"/>
      <c r="AJ112" s="1"/>
    </row>
    <row r="113" spans="1:36" ht="13.5" customHeight="1">
      <c r="A113" s="259"/>
      <c r="B113" s="15" t="str">
        <f>TB!B149</f>
        <v>V044</v>
      </c>
      <c r="C113" s="256" t="str">
        <f>TB!C149</f>
        <v>Pear</v>
      </c>
      <c r="D113" s="257">
        <f>SUMIF(GL!$D$5:$D$6446,B113,GL!$G$5:$G$6446)</f>
        <v>3.7</v>
      </c>
      <c r="E113" s="258">
        <f>SUMIF(GL!$D$6:$D$6484,B113,GL!$H$6:$H$6484)</f>
        <v>105200</v>
      </c>
      <c r="F113" s="258">
        <f>SUMIF(GL!$D$6:$D$6484,B113,GL!$I$6:$I$6484)</f>
        <v>0</v>
      </c>
      <c r="G113" s="258">
        <f t="shared" si="5"/>
        <v>105200</v>
      </c>
      <c r="H113" s="258">
        <f t="shared" si="6"/>
        <v>0</v>
      </c>
      <c r="I113" s="250">
        <v>0.57999999999999996</v>
      </c>
      <c r="J113" s="251">
        <v>31128</v>
      </c>
      <c r="K113" s="252">
        <v>18054</v>
      </c>
      <c r="L113" s="253">
        <f t="shared" si="32"/>
        <v>4.28</v>
      </c>
      <c r="M113" s="128">
        <f t="shared" si="33"/>
        <v>28797.663551401867</v>
      </c>
      <c r="N113" s="128">
        <f t="shared" si="1"/>
        <v>123254</v>
      </c>
      <c r="O113" s="254">
        <v>0.98</v>
      </c>
      <c r="P113" s="128">
        <f t="shared" si="2"/>
        <v>28797.663551401867</v>
      </c>
      <c r="Q113" s="18">
        <f t="shared" si="3"/>
        <v>28221.710280373831</v>
      </c>
      <c r="R113" s="255">
        <f t="shared" si="4"/>
        <v>95032.289719626162</v>
      </c>
      <c r="S113" s="230"/>
      <c r="T113" s="226">
        <f t="shared" si="7"/>
        <v>2330.3364485981328</v>
      </c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1"/>
      <c r="AG113" s="1"/>
      <c r="AH113" s="1"/>
      <c r="AI113" s="1"/>
      <c r="AJ113" s="1"/>
    </row>
    <row r="114" spans="1:36" ht="13.5" customHeight="1">
      <c r="A114" s="259"/>
      <c r="B114" s="15" t="str">
        <f>TB!B150</f>
        <v>V045</v>
      </c>
      <c r="C114" s="256" t="str">
        <f>TB!C150</f>
        <v>Green Bean</v>
      </c>
      <c r="D114" s="257">
        <f>SUMIF(GL!$D$5:$D$6446,B114,GL!$G$5:$G$6446)</f>
        <v>0</v>
      </c>
      <c r="E114" s="258">
        <f>SUMIF(GL!$D$6:$D$6484,B114,GL!$H$6:$H$6484)</f>
        <v>0</v>
      </c>
      <c r="F114" s="258">
        <f>SUMIF(GL!$D$6:$D$6484,B114,GL!$I$6:$I$6484)</f>
        <v>0</v>
      </c>
      <c r="G114" s="258">
        <f t="shared" si="5"/>
        <v>0</v>
      </c>
      <c r="H114" s="258">
        <f t="shared" si="6"/>
        <v>0</v>
      </c>
      <c r="I114" s="250"/>
      <c r="J114" s="251"/>
      <c r="K114" s="252"/>
      <c r="L114" s="253"/>
      <c r="M114" s="128"/>
      <c r="N114" s="128">
        <f t="shared" si="1"/>
        <v>0</v>
      </c>
      <c r="O114" s="254"/>
      <c r="P114" s="128">
        <f t="shared" si="2"/>
        <v>0</v>
      </c>
      <c r="Q114" s="18">
        <f t="shared" si="3"/>
        <v>0</v>
      </c>
      <c r="R114" s="255">
        <f t="shared" si="4"/>
        <v>0</v>
      </c>
      <c r="S114" s="230"/>
      <c r="T114" s="226">
        <f t="shared" si="7"/>
        <v>0</v>
      </c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1"/>
      <c r="AG114" s="1"/>
      <c r="AH114" s="1"/>
      <c r="AI114" s="1"/>
      <c r="AJ114" s="1"/>
    </row>
    <row r="115" spans="1:36" ht="13.5" customHeight="1">
      <c r="A115" s="259"/>
      <c r="B115" s="15" t="str">
        <f>TB!B151</f>
        <v>V046</v>
      </c>
      <c r="C115" s="256" t="str">
        <f>TB!C151</f>
        <v>Melon fruit</v>
      </c>
      <c r="D115" s="257">
        <f>SUMIF(GL!$D$5:$D$6446,B115,GL!$G$5:$G$6446)</f>
        <v>10</v>
      </c>
      <c r="E115" s="258">
        <f>SUMIF(GL!$D$6:$D$6484,B115,GL!$H$6:$H$6484)</f>
        <v>172400</v>
      </c>
      <c r="F115" s="258">
        <f>SUMIF(GL!$D$6:$D$6484,B115,GL!$I$6:$I$6484)</f>
        <v>0</v>
      </c>
      <c r="G115" s="258">
        <f t="shared" si="5"/>
        <v>172400</v>
      </c>
      <c r="H115" s="258">
        <f t="shared" si="6"/>
        <v>0</v>
      </c>
      <c r="I115" s="250">
        <v>1.9</v>
      </c>
      <c r="J115" s="251">
        <v>19837</v>
      </c>
      <c r="K115" s="252">
        <v>37691</v>
      </c>
      <c r="L115" s="253">
        <f t="shared" ref="L115:L117" si="34">D115+I115</f>
        <v>11.9</v>
      </c>
      <c r="M115" s="128">
        <f t="shared" ref="M115:M117" si="35">(G115+K115)/L115</f>
        <v>17654.705882352941</v>
      </c>
      <c r="N115" s="128">
        <f t="shared" si="1"/>
        <v>210091</v>
      </c>
      <c r="O115" s="254">
        <v>4.2</v>
      </c>
      <c r="P115" s="128">
        <f t="shared" si="2"/>
        <v>17654.705882352941</v>
      </c>
      <c r="Q115" s="18">
        <f t="shared" si="3"/>
        <v>74149.76470588235</v>
      </c>
      <c r="R115" s="255">
        <f t="shared" si="4"/>
        <v>135941.23529411765</v>
      </c>
      <c r="S115" s="230"/>
      <c r="T115" s="226">
        <f t="shared" si="7"/>
        <v>2182.2941176470595</v>
      </c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1"/>
      <c r="AG115" s="1"/>
      <c r="AH115" s="1"/>
      <c r="AI115" s="1"/>
      <c r="AJ115" s="1"/>
    </row>
    <row r="116" spans="1:36" ht="13.5" customHeight="1">
      <c r="A116" s="259"/>
      <c r="B116" s="15" t="str">
        <f>TB!B152</f>
        <v>V047</v>
      </c>
      <c r="C116" s="256" t="str">
        <f>TB!C152</f>
        <v>Cabe Hijau/Cabe Keriting</v>
      </c>
      <c r="D116" s="257">
        <f>SUMIF(GL!$D$5:$D$6446,B116,GL!$G$5:$G$6446)</f>
        <v>0.75</v>
      </c>
      <c r="E116" s="258">
        <f>SUMIF(GL!$D$6:$D$6484,B116,GL!$H$6:$H$6484)</f>
        <v>48750</v>
      </c>
      <c r="F116" s="258">
        <f>SUMIF(GL!$D$6:$D$6484,B116,GL!$I$6:$I$6484)</f>
        <v>0</v>
      </c>
      <c r="G116" s="258">
        <f t="shared" si="5"/>
        <v>48750</v>
      </c>
      <c r="H116" s="258">
        <f t="shared" si="6"/>
        <v>0</v>
      </c>
      <c r="I116" s="250"/>
      <c r="J116" s="251">
        <v>52823</v>
      </c>
      <c r="K116" s="252"/>
      <c r="L116" s="253">
        <f t="shared" si="34"/>
        <v>0.75</v>
      </c>
      <c r="M116" s="128">
        <f t="shared" si="35"/>
        <v>65000</v>
      </c>
      <c r="N116" s="128">
        <f t="shared" si="1"/>
        <v>48750</v>
      </c>
      <c r="O116" s="254"/>
      <c r="P116" s="128">
        <f t="shared" si="2"/>
        <v>65000</v>
      </c>
      <c r="Q116" s="18">
        <f t="shared" si="3"/>
        <v>0</v>
      </c>
      <c r="R116" s="255">
        <f t="shared" si="4"/>
        <v>48750</v>
      </c>
      <c r="S116" s="230"/>
      <c r="T116" s="226">
        <f t="shared" si="7"/>
        <v>-12177</v>
      </c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1"/>
      <c r="AG116" s="1"/>
      <c r="AH116" s="1"/>
      <c r="AI116" s="1"/>
      <c r="AJ116" s="1"/>
    </row>
    <row r="117" spans="1:36" ht="13.5" customHeight="1">
      <c r="A117" s="259"/>
      <c r="B117" s="15" t="str">
        <f>TB!B153</f>
        <v>V048</v>
      </c>
      <c r="C117" s="256" t="str">
        <f>TB!C153</f>
        <v>Mix Salad</v>
      </c>
      <c r="D117" s="257">
        <f>SUMIF(GL!$D$5:$D$6446,B117,GL!$G$5:$G$6446)</f>
        <v>1.7</v>
      </c>
      <c r="E117" s="258">
        <f>SUMIF(GL!$D$6:$D$6484,B117,GL!$H$6:$H$6484)</f>
        <v>85000</v>
      </c>
      <c r="F117" s="258">
        <f>SUMIF(GL!$D$6:$D$6484,B117,GL!$I$6:$I$6484)</f>
        <v>0</v>
      </c>
      <c r="G117" s="258">
        <f t="shared" si="5"/>
        <v>85000</v>
      </c>
      <c r="H117" s="258">
        <f t="shared" si="6"/>
        <v>0</v>
      </c>
      <c r="I117" s="250">
        <v>0.27</v>
      </c>
      <c r="J117" s="251">
        <v>48028</v>
      </c>
      <c r="K117" s="252">
        <v>12968</v>
      </c>
      <c r="L117" s="253">
        <f t="shared" si="34"/>
        <v>1.97</v>
      </c>
      <c r="M117" s="128">
        <f t="shared" si="35"/>
        <v>49729.94923857868</v>
      </c>
      <c r="N117" s="128">
        <f t="shared" si="1"/>
        <v>97968</v>
      </c>
      <c r="O117" s="254">
        <v>0.57999999999999996</v>
      </c>
      <c r="P117" s="128">
        <f t="shared" si="2"/>
        <v>49729.94923857868</v>
      </c>
      <c r="Q117" s="18">
        <f t="shared" si="3"/>
        <v>28843.370558375631</v>
      </c>
      <c r="R117" s="255">
        <f t="shared" si="4"/>
        <v>69124.629441624362</v>
      </c>
      <c r="S117" s="230"/>
      <c r="T117" s="226">
        <f t="shared" si="7"/>
        <v>-1701.9492385786798</v>
      </c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1"/>
      <c r="AG117" s="1"/>
      <c r="AH117" s="1"/>
      <c r="AI117" s="1"/>
      <c r="AJ117" s="1"/>
    </row>
    <row r="118" spans="1:36" ht="13.5" customHeight="1">
      <c r="A118" s="259"/>
      <c r="B118" s="15" t="str">
        <f>TB!B154</f>
        <v>V049</v>
      </c>
      <c r="C118" s="256" t="str">
        <f>TB!C154</f>
        <v>Croissant Butter 30 Gr</v>
      </c>
      <c r="D118" s="257">
        <f>SUMIF(GL!$D$5:$D$6446,B118,GL!$G$5:$G$6446)</f>
        <v>0</v>
      </c>
      <c r="E118" s="258">
        <f>SUMIF(GL!$D$6:$D$6484,B118,GL!$H$6:$H$6484)</f>
        <v>0</v>
      </c>
      <c r="F118" s="258">
        <f>SUMIF(GL!$D$6:$D$6484,B118,GL!$I$6:$I$6484)</f>
        <v>0</v>
      </c>
      <c r="G118" s="258">
        <f t="shared" si="5"/>
        <v>0</v>
      </c>
      <c r="H118" s="258">
        <f t="shared" si="6"/>
        <v>0</v>
      </c>
      <c r="I118" s="250"/>
      <c r="J118" s="251"/>
      <c r="K118" s="252"/>
      <c r="L118" s="253"/>
      <c r="M118" s="128"/>
      <c r="N118" s="128">
        <f t="shared" si="1"/>
        <v>0</v>
      </c>
      <c r="O118" s="254"/>
      <c r="P118" s="128">
        <f t="shared" si="2"/>
        <v>0</v>
      </c>
      <c r="Q118" s="18">
        <f t="shared" si="3"/>
        <v>0</v>
      </c>
      <c r="R118" s="255">
        <f t="shared" si="4"/>
        <v>0</v>
      </c>
      <c r="S118" s="230"/>
      <c r="T118" s="226">
        <f t="shared" si="7"/>
        <v>0</v>
      </c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1"/>
      <c r="AG118" s="1"/>
      <c r="AH118" s="1"/>
      <c r="AI118" s="1"/>
      <c r="AJ118" s="1"/>
    </row>
    <row r="119" spans="1:36" ht="13.5" customHeight="1">
      <c r="A119" s="259"/>
      <c r="B119" s="15" t="str">
        <f>TB!B155</f>
        <v>V050</v>
      </c>
      <c r="C119" s="256" t="str">
        <f>TB!C155</f>
        <v>Mie Fresh/Mie Burung Dara</v>
      </c>
      <c r="D119" s="257">
        <f>SUMIF(GL!$D$5:$D$6446,B119,GL!$G$5:$G$6446)</f>
        <v>36</v>
      </c>
      <c r="E119" s="258">
        <f>SUMIF(GL!$D$6:$D$6484,B119,GL!$H$6:$H$6484)</f>
        <v>120000</v>
      </c>
      <c r="F119" s="258">
        <f>SUMIF(GL!$D$6:$D$6484,B119,GL!$I$6:$I$6484)</f>
        <v>0</v>
      </c>
      <c r="G119" s="258">
        <f t="shared" si="5"/>
        <v>120000</v>
      </c>
      <c r="H119" s="258">
        <f t="shared" si="6"/>
        <v>0</v>
      </c>
      <c r="I119" s="250">
        <v>2.7</v>
      </c>
      <c r="J119" s="251">
        <v>3895</v>
      </c>
      <c r="K119" s="252">
        <v>10515</v>
      </c>
      <c r="L119" s="253">
        <f t="shared" ref="L119:L122" si="36">D119+I119</f>
        <v>38.700000000000003</v>
      </c>
      <c r="M119" s="128">
        <f t="shared" ref="M119:M122" si="37">(G119+K119)/L119</f>
        <v>3372.4806201550387</v>
      </c>
      <c r="N119" s="128">
        <f t="shared" si="1"/>
        <v>130515</v>
      </c>
      <c r="O119" s="254">
        <v>2.2999999999999998</v>
      </c>
      <c r="P119" s="128">
        <f t="shared" si="2"/>
        <v>3372.4806201550387</v>
      </c>
      <c r="Q119" s="18">
        <f t="shared" si="3"/>
        <v>7756.7054263565879</v>
      </c>
      <c r="R119" s="255">
        <f t="shared" si="4"/>
        <v>122758.29457364342</v>
      </c>
      <c r="S119" s="230"/>
      <c r="T119" s="226">
        <f t="shared" si="7"/>
        <v>522.51937984496135</v>
      </c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1"/>
      <c r="AG119" s="1"/>
      <c r="AH119" s="1"/>
      <c r="AI119" s="1"/>
      <c r="AJ119" s="1"/>
    </row>
    <row r="120" spans="1:36" ht="13.5" customHeight="1">
      <c r="A120" s="259"/>
      <c r="B120" s="15" t="str">
        <f>TB!B156</f>
        <v>V051</v>
      </c>
      <c r="C120" s="256" t="str">
        <f>TB!C156</f>
        <v>Baby Potato</v>
      </c>
      <c r="D120" s="257">
        <f>SUMIF(GL!$D$5:$D$6446,B120,GL!$G$5:$G$6446)</f>
        <v>2.75</v>
      </c>
      <c r="E120" s="258">
        <f>SUMIF(GL!$D$6:$D$6484,B120,GL!$H$6:$H$6484)</f>
        <v>44000</v>
      </c>
      <c r="F120" s="258">
        <f>SUMIF(GL!$D$6:$D$6484,B120,GL!$I$6:$I$6484)</f>
        <v>0</v>
      </c>
      <c r="G120" s="258">
        <f t="shared" si="5"/>
        <v>44000</v>
      </c>
      <c r="H120" s="258">
        <f t="shared" si="6"/>
        <v>0</v>
      </c>
      <c r="I120" s="250">
        <v>0.8</v>
      </c>
      <c r="J120" s="251">
        <v>16005</v>
      </c>
      <c r="K120" s="252">
        <v>12804</v>
      </c>
      <c r="L120" s="253">
        <f t="shared" si="36"/>
        <v>3.55</v>
      </c>
      <c r="M120" s="128">
        <f t="shared" si="37"/>
        <v>16001.12676056338</v>
      </c>
      <c r="N120" s="128">
        <f t="shared" si="1"/>
        <v>56804</v>
      </c>
      <c r="O120" s="254">
        <v>0.52</v>
      </c>
      <c r="P120" s="128">
        <f t="shared" si="2"/>
        <v>16001.12676056338</v>
      </c>
      <c r="Q120" s="18">
        <f t="shared" si="3"/>
        <v>8320.5859154929585</v>
      </c>
      <c r="R120" s="255">
        <f t="shared" si="4"/>
        <v>48483.414084507043</v>
      </c>
      <c r="S120" s="230"/>
      <c r="T120" s="226">
        <f t="shared" si="7"/>
        <v>3.8732394366197695</v>
      </c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1"/>
      <c r="AG120" s="1"/>
      <c r="AH120" s="1"/>
      <c r="AI120" s="1"/>
      <c r="AJ120" s="1"/>
    </row>
    <row r="121" spans="1:36" ht="13.5" customHeight="1">
      <c r="A121" s="259"/>
      <c r="B121" s="15" t="str">
        <f>TB!B157</f>
        <v>V052</v>
      </c>
      <c r="C121" s="256" t="str">
        <f>TB!C157</f>
        <v>Avocado</v>
      </c>
      <c r="D121" s="257">
        <f>SUMIF(GL!$D$5:$D$6446,B121,GL!$G$5:$G$6446)</f>
        <v>9.5400000000000009</v>
      </c>
      <c r="E121" s="258">
        <f>SUMIF(GL!$D$6:$D$6484,B121,GL!$H$6:$H$6484)</f>
        <v>375200</v>
      </c>
      <c r="F121" s="258">
        <f>SUMIF(GL!$D$6:$D$6484,B121,GL!$I$6:$I$6484)</f>
        <v>0</v>
      </c>
      <c r="G121" s="258">
        <f t="shared" si="5"/>
        <v>375200</v>
      </c>
      <c r="H121" s="258">
        <f t="shared" si="6"/>
        <v>0</v>
      </c>
      <c r="I121" s="250">
        <v>1.1000000000000001</v>
      </c>
      <c r="J121" s="251">
        <v>35449</v>
      </c>
      <c r="K121" s="252">
        <v>38994</v>
      </c>
      <c r="L121" s="253">
        <f t="shared" si="36"/>
        <v>10.64</v>
      </c>
      <c r="M121" s="128">
        <f t="shared" si="37"/>
        <v>38928.007518796992</v>
      </c>
      <c r="N121" s="128">
        <f t="shared" si="1"/>
        <v>414194</v>
      </c>
      <c r="O121" s="254">
        <v>0.97</v>
      </c>
      <c r="P121" s="128">
        <f t="shared" si="2"/>
        <v>38928.007518796992</v>
      </c>
      <c r="Q121" s="18">
        <f t="shared" si="3"/>
        <v>37760.167293233084</v>
      </c>
      <c r="R121" s="255">
        <f t="shared" si="4"/>
        <v>376433.8327067669</v>
      </c>
      <c r="S121" s="230"/>
      <c r="T121" s="226">
        <f t="shared" si="7"/>
        <v>-3479.0075187969924</v>
      </c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1"/>
      <c r="AG121" s="1"/>
      <c r="AH121" s="1"/>
      <c r="AI121" s="1"/>
      <c r="AJ121" s="1"/>
    </row>
    <row r="122" spans="1:36" ht="13.5" customHeight="1">
      <c r="A122" s="259"/>
      <c r="B122" s="15" t="str">
        <f>TB!B158</f>
        <v>V053</v>
      </c>
      <c r="C122" s="256" t="str">
        <f>TB!C158</f>
        <v>Papaya Fruit</v>
      </c>
      <c r="D122" s="257">
        <f>SUMIF(GL!$D$5:$D$6446,B122,GL!$G$5:$G$6446)</f>
        <v>12.2</v>
      </c>
      <c r="E122" s="258">
        <f>SUMIF(GL!$D$6:$D$6484,B122,GL!$H$6:$H$6484)</f>
        <v>172600</v>
      </c>
      <c r="F122" s="258">
        <f>SUMIF(GL!$D$6:$D$6484,B122,GL!$I$6:$I$6484)</f>
        <v>0</v>
      </c>
      <c r="G122" s="258">
        <f t="shared" si="5"/>
        <v>172600</v>
      </c>
      <c r="H122" s="258">
        <f t="shared" si="6"/>
        <v>0</v>
      </c>
      <c r="I122" s="250">
        <v>0.98</v>
      </c>
      <c r="J122" s="251">
        <v>15006</v>
      </c>
      <c r="K122" s="252">
        <v>14706</v>
      </c>
      <c r="L122" s="253">
        <f t="shared" si="36"/>
        <v>13.18</v>
      </c>
      <c r="M122" s="128">
        <f t="shared" si="37"/>
        <v>14211.380880121396</v>
      </c>
      <c r="N122" s="128">
        <f t="shared" si="1"/>
        <v>187306</v>
      </c>
      <c r="O122" s="254">
        <v>2.5</v>
      </c>
      <c r="P122" s="128">
        <f t="shared" si="2"/>
        <v>14211.380880121396</v>
      </c>
      <c r="Q122" s="18">
        <f t="shared" si="3"/>
        <v>35528.452200303494</v>
      </c>
      <c r="R122" s="255">
        <f t="shared" si="4"/>
        <v>151777.54779969651</v>
      </c>
      <c r="S122" s="230"/>
      <c r="T122" s="226">
        <f t="shared" si="7"/>
        <v>794.61911987860367</v>
      </c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1"/>
      <c r="AG122" s="1"/>
      <c r="AH122" s="1"/>
      <c r="AI122" s="1"/>
      <c r="AJ122" s="1"/>
    </row>
    <row r="123" spans="1:36" ht="13.5" customHeight="1">
      <c r="A123" s="259"/>
      <c r="B123" s="15" t="str">
        <f>TB!B159</f>
        <v>V054</v>
      </c>
      <c r="C123" s="256" t="str">
        <f>TB!C159</f>
        <v>Baby Corn</v>
      </c>
      <c r="D123" s="257">
        <f>SUMIF(GL!$D$5:$D$6446,B123,GL!$G$5:$G$6446)</f>
        <v>0</v>
      </c>
      <c r="E123" s="258">
        <f>SUMIF(GL!$D$6:$D$6484,B123,GL!$H$6:$H$6484)</f>
        <v>0</v>
      </c>
      <c r="F123" s="258">
        <f>SUMIF(GL!$D$6:$D$6484,B123,GL!$I$6:$I$6484)</f>
        <v>0</v>
      </c>
      <c r="G123" s="258">
        <f t="shared" si="5"/>
        <v>0</v>
      </c>
      <c r="H123" s="258">
        <f t="shared" si="6"/>
        <v>0</v>
      </c>
      <c r="I123" s="250"/>
      <c r="J123" s="251"/>
      <c r="K123" s="252"/>
      <c r="L123" s="253"/>
      <c r="M123" s="128"/>
      <c r="N123" s="128">
        <f t="shared" si="1"/>
        <v>0</v>
      </c>
      <c r="O123" s="254"/>
      <c r="P123" s="128">
        <f t="shared" si="2"/>
        <v>0</v>
      </c>
      <c r="Q123" s="18">
        <f t="shared" si="3"/>
        <v>0</v>
      </c>
      <c r="R123" s="255">
        <f t="shared" si="4"/>
        <v>0</v>
      </c>
      <c r="S123" s="230"/>
      <c r="T123" s="226">
        <f t="shared" si="7"/>
        <v>0</v>
      </c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1"/>
      <c r="AG123" s="1"/>
      <c r="AH123" s="1"/>
      <c r="AI123" s="1"/>
      <c r="AJ123" s="1"/>
    </row>
    <row r="124" spans="1:36" ht="13.5" customHeight="1">
      <c r="A124" s="259"/>
      <c r="B124" s="15" t="str">
        <f>TB!B160</f>
        <v>V055</v>
      </c>
      <c r="C124" s="256" t="str">
        <f>TB!C160</f>
        <v>Mushroom Shimeji / Bunapi</v>
      </c>
      <c r="D124" s="257">
        <f>SUMIF(GL!$D$5:$D$6446,B124,GL!$G$5:$G$6446)</f>
        <v>53</v>
      </c>
      <c r="E124" s="258">
        <f>SUMIF(GL!$D$6:$D$6484,B124,GL!$H$6:$H$6484)</f>
        <v>901000</v>
      </c>
      <c r="F124" s="258">
        <f>SUMIF(GL!$D$6:$D$6484,B124,GL!$I$6:$I$6484)</f>
        <v>0</v>
      </c>
      <c r="G124" s="258">
        <f t="shared" si="5"/>
        <v>901000</v>
      </c>
      <c r="H124" s="258">
        <f t="shared" si="6"/>
        <v>0</v>
      </c>
      <c r="I124" s="250">
        <v>0.9</v>
      </c>
      <c r="J124" s="251">
        <v>17000</v>
      </c>
      <c r="K124" s="252">
        <v>15300</v>
      </c>
      <c r="L124" s="253">
        <f>D124+I124</f>
        <v>53.9</v>
      </c>
      <c r="M124" s="128">
        <f>(G124+K124)/L124</f>
        <v>17000</v>
      </c>
      <c r="N124" s="128">
        <f t="shared" si="1"/>
        <v>916300</v>
      </c>
      <c r="O124" s="254">
        <v>1.3</v>
      </c>
      <c r="P124" s="128">
        <f t="shared" si="2"/>
        <v>17000</v>
      </c>
      <c r="Q124" s="18">
        <f t="shared" si="3"/>
        <v>22100</v>
      </c>
      <c r="R124" s="255">
        <f t="shared" si="4"/>
        <v>894200</v>
      </c>
      <c r="S124" s="230"/>
      <c r="T124" s="226">
        <f t="shared" si="7"/>
        <v>0</v>
      </c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1"/>
      <c r="AG124" s="1"/>
      <c r="AH124" s="1"/>
      <c r="AI124" s="1"/>
      <c r="AJ124" s="1"/>
    </row>
    <row r="125" spans="1:36" ht="13.5" customHeight="1">
      <c r="A125" s="259"/>
      <c r="B125" s="15" t="str">
        <f>TB!B161</f>
        <v>V056</v>
      </c>
      <c r="C125" s="256" t="str">
        <f>TB!C161</f>
        <v>Red Cobbage</v>
      </c>
      <c r="D125" s="257">
        <f>SUMIF(GL!$D$5:$D$6446,B125,GL!$G$5:$G$6446)</f>
        <v>0</v>
      </c>
      <c r="E125" s="258">
        <f>SUMIF(GL!$D$6:$D$6484,B125,GL!$H$6:$H$6484)</f>
        <v>0</v>
      </c>
      <c r="F125" s="258">
        <f>SUMIF(GL!$D$6:$D$6484,B125,GL!$I$6:$I$6484)</f>
        <v>0</v>
      </c>
      <c r="G125" s="258">
        <f t="shared" si="5"/>
        <v>0</v>
      </c>
      <c r="H125" s="258">
        <f t="shared" si="6"/>
        <v>0</v>
      </c>
      <c r="I125" s="250"/>
      <c r="J125" s="251"/>
      <c r="K125" s="252"/>
      <c r="L125" s="253"/>
      <c r="M125" s="128"/>
      <c r="N125" s="128">
        <f t="shared" si="1"/>
        <v>0</v>
      </c>
      <c r="O125" s="254"/>
      <c r="P125" s="128">
        <f t="shared" si="2"/>
        <v>0</v>
      </c>
      <c r="Q125" s="18">
        <f t="shared" si="3"/>
        <v>0</v>
      </c>
      <c r="R125" s="255">
        <f t="shared" si="4"/>
        <v>0</v>
      </c>
      <c r="S125" s="230"/>
      <c r="T125" s="226">
        <f t="shared" si="7"/>
        <v>0</v>
      </c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1"/>
      <c r="AG125" s="1"/>
      <c r="AH125" s="1"/>
      <c r="AI125" s="1"/>
      <c r="AJ125" s="1"/>
    </row>
    <row r="126" spans="1:36" ht="13.5" customHeight="1">
      <c r="A126" s="259"/>
      <c r="B126" s="15" t="str">
        <f>TB!B162</f>
        <v>V057</v>
      </c>
      <c r="C126" s="256" t="str">
        <f>TB!C162</f>
        <v>Lolo Green Loose</v>
      </c>
      <c r="D126" s="257">
        <f>SUMIF(GL!$D$5:$D$6446,B126,GL!$G$5:$G$6446)</f>
        <v>0</v>
      </c>
      <c r="E126" s="258">
        <f>SUMIF(GL!$D$6:$D$6484,B126,GL!$H$6:$H$6484)</f>
        <v>0</v>
      </c>
      <c r="F126" s="258">
        <f>SUMIF(GL!$D$6:$D$6484,B126,GL!$I$6:$I$6484)</f>
        <v>0</v>
      </c>
      <c r="G126" s="258">
        <f t="shared" si="5"/>
        <v>0</v>
      </c>
      <c r="H126" s="258">
        <f t="shared" si="6"/>
        <v>0</v>
      </c>
      <c r="I126" s="250"/>
      <c r="J126" s="251"/>
      <c r="K126" s="252"/>
      <c r="L126" s="253"/>
      <c r="M126" s="128"/>
      <c r="N126" s="128">
        <f t="shared" si="1"/>
        <v>0</v>
      </c>
      <c r="O126" s="254"/>
      <c r="P126" s="128">
        <f t="shared" si="2"/>
        <v>0</v>
      </c>
      <c r="Q126" s="18">
        <f t="shared" si="3"/>
        <v>0</v>
      </c>
      <c r="R126" s="255">
        <f t="shared" si="4"/>
        <v>0</v>
      </c>
      <c r="S126" s="230"/>
      <c r="T126" s="226">
        <f t="shared" si="7"/>
        <v>0</v>
      </c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1"/>
      <c r="AG126" s="1"/>
      <c r="AH126" s="1"/>
      <c r="AI126" s="1"/>
      <c r="AJ126" s="1"/>
    </row>
    <row r="127" spans="1:36" ht="13.5" customHeight="1">
      <c r="A127" s="259"/>
      <c r="B127" s="15" t="str">
        <f>TB!B163</f>
        <v>V058</v>
      </c>
      <c r="C127" s="256" t="str">
        <f>TB!C163</f>
        <v>Red Onion</v>
      </c>
      <c r="D127" s="257">
        <f>SUMIF(GL!$D$5:$D$6446,B127,GL!$G$5:$G$6446)</f>
        <v>0</v>
      </c>
      <c r="E127" s="258">
        <f>SUMIF(GL!$D$6:$D$6484,B127,GL!$H$6:$H$6484)</f>
        <v>0</v>
      </c>
      <c r="F127" s="258">
        <f>SUMIF(GL!$D$6:$D$6484,B127,GL!$I$6:$I$6484)</f>
        <v>0</v>
      </c>
      <c r="G127" s="258">
        <f t="shared" si="5"/>
        <v>0</v>
      </c>
      <c r="H127" s="258">
        <f t="shared" si="6"/>
        <v>0</v>
      </c>
      <c r="I127" s="250"/>
      <c r="J127" s="251"/>
      <c r="K127" s="252"/>
      <c r="L127" s="253"/>
      <c r="M127" s="128"/>
      <c r="N127" s="128">
        <f t="shared" si="1"/>
        <v>0</v>
      </c>
      <c r="O127" s="254"/>
      <c r="P127" s="128">
        <f t="shared" si="2"/>
        <v>0</v>
      </c>
      <c r="Q127" s="18">
        <f t="shared" si="3"/>
        <v>0</v>
      </c>
      <c r="R127" s="255">
        <f t="shared" si="4"/>
        <v>0</v>
      </c>
      <c r="S127" s="230"/>
      <c r="T127" s="226">
        <f t="shared" si="7"/>
        <v>0</v>
      </c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1"/>
      <c r="AG127" s="1"/>
      <c r="AH127" s="1"/>
      <c r="AI127" s="1"/>
      <c r="AJ127" s="1"/>
    </row>
    <row r="128" spans="1:36" ht="13.5" customHeight="1">
      <c r="A128" s="259"/>
      <c r="B128" s="15" t="str">
        <f>TB!B164</f>
        <v>V059</v>
      </c>
      <c r="C128" s="256" t="str">
        <f>TB!C164</f>
        <v>Kale Nero</v>
      </c>
      <c r="D128" s="257">
        <f>SUMIF(GL!$D$5:$D$6446,B128,GL!$G$5:$G$6446)</f>
        <v>0</v>
      </c>
      <c r="E128" s="258">
        <f>SUMIF(GL!$D$6:$D$6484,B128,GL!$H$6:$H$6484)</f>
        <v>0</v>
      </c>
      <c r="F128" s="258">
        <f>SUMIF(GL!$D$6:$D$6484,B128,GL!$I$6:$I$6484)</f>
        <v>0</v>
      </c>
      <c r="G128" s="258">
        <f t="shared" si="5"/>
        <v>0</v>
      </c>
      <c r="H128" s="258">
        <f t="shared" si="6"/>
        <v>0</v>
      </c>
      <c r="I128" s="250"/>
      <c r="J128" s="251"/>
      <c r="K128" s="252"/>
      <c r="L128" s="253"/>
      <c r="M128" s="128"/>
      <c r="N128" s="128">
        <f t="shared" si="1"/>
        <v>0</v>
      </c>
      <c r="O128" s="254"/>
      <c r="P128" s="128">
        <f t="shared" si="2"/>
        <v>0</v>
      </c>
      <c r="Q128" s="18">
        <f t="shared" si="3"/>
        <v>0</v>
      </c>
      <c r="R128" s="255">
        <f t="shared" si="4"/>
        <v>0</v>
      </c>
      <c r="S128" s="230"/>
      <c r="T128" s="226">
        <f t="shared" si="7"/>
        <v>0</v>
      </c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1"/>
      <c r="AG128" s="1"/>
      <c r="AH128" s="1"/>
      <c r="AI128" s="1"/>
      <c r="AJ128" s="1"/>
    </row>
    <row r="129" spans="1:36" ht="13.5" customHeight="1">
      <c r="A129" s="259"/>
      <c r="B129" s="15" t="str">
        <f>TB!B165</f>
        <v>V060</v>
      </c>
      <c r="C129" s="256" t="str">
        <f>TB!C165</f>
        <v>Biva Putih</v>
      </c>
      <c r="D129" s="257">
        <f>SUMIF(GL!$D$5:$D$6446,B129,GL!$G$5:$G$6446)</f>
        <v>0</v>
      </c>
      <c r="E129" s="258">
        <f>SUMIF(GL!$D$6:$D$6484,B129,GL!$H$6:$H$6484)</f>
        <v>0</v>
      </c>
      <c r="F129" s="258">
        <f>SUMIF(GL!$D$6:$D$6484,B129,GL!$I$6:$I$6484)</f>
        <v>0</v>
      </c>
      <c r="G129" s="258">
        <f t="shared" si="5"/>
        <v>0</v>
      </c>
      <c r="H129" s="258">
        <f t="shared" si="6"/>
        <v>0</v>
      </c>
      <c r="I129" s="250"/>
      <c r="J129" s="251"/>
      <c r="K129" s="252"/>
      <c r="L129" s="253"/>
      <c r="M129" s="128"/>
      <c r="N129" s="128">
        <f t="shared" si="1"/>
        <v>0</v>
      </c>
      <c r="O129" s="254"/>
      <c r="P129" s="128">
        <f t="shared" si="2"/>
        <v>0</v>
      </c>
      <c r="Q129" s="18">
        <f t="shared" si="3"/>
        <v>0</v>
      </c>
      <c r="R129" s="255">
        <f t="shared" si="4"/>
        <v>0</v>
      </c>
      <c r="S129" s="230"/>
      <c r="T129" s="226">
        <f t="shared" si="7"/>
        <v>0</v>
      </c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1"/>
      <c r="AG129" s="1"/>
      <c r="AH129" s="1"/>
      <c r="AI129" s="1"/>
      <c r="AJ129" s="1"/>
    </row>
    <row r="130" spans="1:36" ht="13.5" customHeight="1">
      <c r="A130" s="4"/>
      <c r="B130" s="15" t="str">
        <f>TB!B166</f>
        <v>V061</v>
      </c>
      <c r="C130" s="256" t="str">
        <f>TB!C166</f>
        <v>Biva Brown</v>
      </c>
      <c r="D130" s="257">
        <f>SUMIF(GL!$D$5:$D$6446,B130,GL!$G$5:$G$6446)</f>
        <v>0</v>
      </c>
      <c r="E130" s="258">
        <f>SUMIF(GL!$D$6:$D$6484,B130,GL!$H$6:$H$6484)</f>
        <v>0</v>
      </c>
      <c r="F130" s="258">
        <f>SUMIF(GL!$D$6:$D$6484,B130,GL!$I$6:$I$6484)</f>
        <v>0</v>
      </c>
      <c r="G130" s="258">
        <f t="shared" si="5"/>
        <v>0</v>
      </c>
      <c r="H130" s="258">
        <f t="shared" si="6"/>
        <v>0</v>
      </c>
      <c r="I130" s="250"/>
      <c r="J130" s="251"/>
      <c r="K130" s="252"/>
      <c r="L130" s="253"/>
      <c r="M130" s="128"/>
      <c r="N130" s="128">
        <f t="shared" si="1"/>
        <v>0</v>
      </c>
      <c r="O130" s="254"/>
      <c r="P130" s="128">
        <f t="shared" si="2"/>
        <v>0</v>
      </c>
      <c r="Q130" s="18">
        <f t="shared" si="3"/>
        <v>0</v>
      </c>
      <c r="R130" s="255">
        <f t="shared" si="4"/>
        <v>0</v>
      </c>
      <c r="S130" s="230"/>
      <c r="T130" s="226">
        <f t="shared" si="7"/>
        <v>0</v>
      </c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1"/>
      <c r="AG130" s="1"/>
      <c r="AH130" s="1"/>
      <c r="AI130" s="1"/>
      <c r="AJ130" s="1"/>
    </row>
    <row r="131" spans="1:36" ht="13.5" customHeight="1">
      <c r="A131" s="4"/>
      <c r="B131" s="15" t="str">
        <f>TB!B167</f>
        <v>V062</v>
      </c>
      <c r="C131" s="256" t="str">
        <f>TB!C167</f>
        <v>Small Biva</v>
      </c>
      <c r="D131" s="257">
        <f>SUMIF(GL!$D$5:$D$6446,B131,GL!$G$5:$G$6446)</f>
        <v>0</v>
      </c>
      <c r="E131" s="258">
        <f>SUMIF(GL!$D$6:$D$6484,B131,GL!$H$6:$H$6484)</f>
        <v>0</v>
      </c>
      <c r="F131" s="258">
        <f>SUMIF(GL!$D$6:$D$6484,B131,GL!$I$6:$I$6484)</f>
        <v>0</v>
      </c>
      <c r="G131" s="258">
        <f t="shared" si="5"/>
        <v>0</v>
      </c>
      <c r="H131" s="258">
        <f t="shared" si="6"/>
        <v>0</v>
      </c>
      <c r="I131" s="250"/>
      <c r="J131" s="251"/>
      <c r="K131" s="252"/>
      <c r="L131" s="253"/>
      <c r="M131" s="128"/>
      <c r="N131" s="128">
        <f t="shared" si="1"/>
        <v>0</v>
      </c>
      <c r="O131" s="254"/>
      <c r="P131" s="128">
        <f t="shared" si="2"/>
        <v>0</v>
      </c>
      <c r="Q131" s="18">
        <f t="shared" si="3"/>
        <v>0</v>
      </c>
      <c r="R131" s="255">
        <f t="shared" si="4"/>
        <v>0</v>
      </c>
      <c r="S131" s="230"/>
      <c r="T131" s="226">
        <f t="shared" si="7"/>
        <v>0</v>
      </c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1"/>
      <c r="AG131" s="1"/>
      <c r="AH131" s="1"/>
      <c r="AI131" s="1"/>
      <c r="AJ131" s="1"/>
    </row>
    <row r="132" spans="1:36" ht="13.5" customHeight="1">
      <c r="A132" s="4"/>
      <c r="B132" s="15" t="str">
        <f>TB!B168</f>
        <v>V063</v>
      </c>
      <c r="C132" s="256" t="str">
        <f>TB!C168</f>
        <v>Fillone</v>
      </c>
      <c r="D132" s="257">
        <f>SUMIF(GL!$D$5:$D$6446,B132,GL!$G$5:$G$6446)</f>
        <v>0</v>
      </c>
      <c r="E132" s="258">
        <f>SUMIF(GL!$D$6:$D$6484,B132,GL!$H$6:$H$6484)</f>
        <v>0</v>
      </c>
      <c r="F132" s="258">
        <f>SUMIF(GL!$D$6:$D$6484,B132,GL!$I$6:$I$6484)</f>
        <v>0</v>
      </c>
      <c r="G132" s="258">
        <f t="shared" si="5"/>
        <v>0</v>
      </c>
      <c r="H132" s="258">
        <f t="shared" si="6"/>
        <v>0</v>
      </c>
      <c r="I132" s="250"/>
      <c r="J132" s="251"/>
      <c r="K132" s="252"/>
      <c r="L132" s="253"/>
      <c r="M132" s="128"/>
      <c r="N132" s="128">
        <f t="shared" si="1"/>
        <v>0</v>
      </c>
      <c r="O132" s="254"/>
      <c r="P132" s="128">
        <f t="shared" si="2"/>
        <v>0</v>
      </c>
      <c r="Q132" s="18">
        <f t="shared" si="3"/>
        <v>0</v>
      </c>
      <c r="R132" s="255">
        <f t="shared" si="4"/>
        <v>0</v>
      </c>
      <c r="S132" s="230"/>
      <c r="T132" s="226">
        <f t="shared" si="7"/>
        <v>0</v>
      </c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1"/>
      <c r="AG132" s="1"/>
      <c r="AH132" s="1"/>
      <c r="AI132" s="1"/>
      <c r="AJ132" s="1"/>
    </row>
    <row r="133" spans="1:36" ht="13.5" customHeight="1">
      <c r="A133" s="4"/>
      <c r="B133" s="15" t="str">
        <f>TB!B169</f>
        <v>V064</v>
      </c>
      <c r="C133" s="256" t="str">
        <f>TB!C169</f>
        <v>Sereh</v>
      </c>
      <c r="D133" s="257">
        <f>SUMIF(GL!$D$5:$D$6446,B133,GL!$G$5:$G$6446)</f>
        <v>0.6</v>
      </c>
      <c r="E133" s="258">
        <f>SUMIF(GL!$D$6:$D$6484,B133,GL!$H$6:$H$6484)</f>
        <v>12000</v>
      </c>
      <c r="F133" s="258">
        <f>SUMIF(GL!$D$6:$D$6484,B133,GL!$I$6:$I$6484)</f>
        <v>0</v>
      </c>
      <c r="G133" s="258">
        <f t="shared" si="5"/>
        <v>12000</v>
      </c>
      <c r="H133" s="258">
        <f t="shared" si="6"/>
        <v>0</v>
      </c>
      <c r="I133" s="250">
        <v>0.23</v>
      </c>
      <c r="J133" s="251">
        <v>18000</v>
      </c>
      <c r="K133" s="252">
        <v>4140</v>
      </c>
      <c r="L133" s="253">
        <f>D133+I133</f>
        <v>0.83</v>
      </c>
      <c r="M133" s="128">
        <f>(G133+K133)/L133</f>
        <v>19445.783132530123</v>
      </c>
      <c r="N133" s="128">
        <f t="shared" si="1"/>
        <v>16140</v>
      </c>
      <c r="O133" s="254">
        <v>0.23</v>
      </c>
      <c r="P133" s="128">
        <f t="shared" si="2"/>
        <v>19445.783132530123</v>
      </c>
      <c r="Q133" s="18">
        <f t="shared" si="3"/>
        <v>4472.5301204819289</v>
      </c>
      <c r="R133" s="255">
        <f t="shared" si="4"/>
        <v>11667.46987951807</v>
      </c>
      <c r="S133" s="230"/>
      <c r="T133" s="226">
        <f t="shared" si="7"/>
        <v>-1445.7831325301231</v>
      </c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1"/>
      <c r="AG133" s="1"/>
      <c r="AH133" s="1"/>
      <c r="AI133" s="1"/>
      <c r="AJ133" s="1"/>
    </row>
    <row r="134" spans="1:36" ht="13.5" customHeight="1">
      <c r="A134" s="4"/>
      <c r="B134" s="15" t="str">
        <f>TB!B170</f>
        <v>V065</v>
      </c>
      <c r="C134" s="256" t="str">
        <f>TB!C170</f>
        <v>Red Cherry</v>
      </c>
      <c r="D134" s="257">
        <f>SUMIF(GL!$D$5:$D$6446,B134,GL!$G$5:$G$6446)</f>
        <v>0</v>
      </c>
      <c r="E134" s="258">
        <f>SUMIF(GL!$D$6:$D$6484,B134,GL!$H$6:$H$6484)</f>
        <v>0</v>
      </c>
      <c r="F134" s="258">
        <f>SUMIF(GL!$D$6:$D$6484,B134,GL!$I$6:$I$6484)</f>
        <v>0</v>
      </c>
      <c r="G134" s="258">
        <f t="shared" si="5"/>
        <v>0</v>
      </c>
      <c r="H134" s="258">
        <f t="shared" si="6"/>
        <v>0</v>
      </c>
      <c r="I134" s="250"/>
      <c r="J134" s="251">
        <v>70000</v>
      </c>
      <c r="K134" s="252"/>
      <c r="L134" s="253"/>
      <c r="M134" s="128"/>
      <c r="N134" s="128">
        <f t="shared" si="1"/>
        <v>0</v>
      </c>
      <c r="O134" s="254"/>
      <c r="P134" s="128">
        <f t="shared" si="2"/>
        <v>0</v>
      </c>
      <c r="Q134" s="18">
        <f t="shared" si="3"/>
        <v>0</v>
      </c>
      <c r="R134" s="255">
        <f t="shared" si="4"/>
        <v>0</v>
      </c>
      <c r="S134" s="230"/>
      <c r="T134" s="226">
        <f t="shared" si="7"/>
        <v>70000</v>
      </c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1"/>
      <c r="AG134" s="1"/>
      <c r="AH134" s="1"/>
      <c r="AI134" s="1"/>
      <c r="AJ134" s="1"/>
    </row>
    <row r="135" spans="1:36" ht="13.5" customHeight="1">
      <c r="A135" s="4"/>
      <c r="B135" s="15" t="str">
        <f>TB!B171</f>
        <v>V066</v>
      </c>
      <c r="C135" s="256" t="str">
        <f>TB!C171</f>
        <v>Baby Spinach</v>
      </c>
      <c r="D135" s="257">
        <f>SUMIF(GL!$D$5:$D$6446,B135,GL!$G$5:$G$6446)</f>
        <v>1.05</v>
      </c>
      <c r="E135" s="258">
        <f>SUMIF(GL!$D$6:$D$6484,B135,GL!$H$6:$H$6484)</f>
        <v>120000</v>
      </c>
      <c r="F135" s="258">
        <f>SUMIF(GL!$D$6:$D$6484,B135,GL!$I$6:$I$6484)</f>
        <v>0</v>
      </c>
      <c r="G135" s="258">
        <f t="shared" si="5"/>
        <v>120000</v>
      </c>
      <c r="H135" s="258">
        <f t="shared" si="6"/>
        <v>0</v>
      </c>
      <c r="I135" s="250">
        <v>0.34</v>
      </c>
      <c r="J135" s="251">
        <v>128946</v>
      </c>
      <c r="K135" s="252">
        <v>43841</v>
      </c>
      <c r="L135" s="253">
        <f>D135+I135</f>
        <v>1.3900000000000001</v>
      </c>
      <c r="M135" s="128">
        <f>(G135+K135)/L135</f>
        <v>117871.22302158273</v>
      </c>
      <c r="N135" s="128">
        <f t="shared" si="1"/>
        <v>163841</v>
      </c>
      <c r="O135" s="254"/>
      <c r="P135" s="128">
        <f t="shared" si="2"/>
        <v>117871.22302158273</v>
      </c>
      <c r="Q135" s="18">
        <f t="shared" si="3"/>
        <v>0</v>
      </c>
      <c r="R135" s="255">
        <f t="shared" si="4"/>
        <v>163841</v>
      </c>
      <c r="S135" s="230"/>
      <c r="T135" s="226">
        <f t="shared" si="7"/>
        <v>11074.776978417271</v>
      </c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1"/>
      <c r="AG135" s="1"/>
      <c r="AH135" s="1"/>
      <c r="AI135" s="1"/>
      <c r="AJ135" s="1"/>
    </row>
    <row r="136" spans="1:36" ht="13.5" customHeight="1">
      <c r="A136" s="4"/>
      <c r="B136" s="15" t="str">
        <f>TB!B172</f>
        <v>V067</v>
      </c>
      <c r="C136" s="256" t="str">
        <f>TB!C172</f>
        <v>Danish Plain 60Gr</v>
      </c>
      <c r="D136" s="257">
        <f>SUMIF(GL!$D$5:$D$6446,B136,GL!$G$5:$G$6446)</f>
        <v>0</v>
      </c>
      <c r="E136" s="258">
        <f>SUMIF(GL!$D$6:$D$6484,B136,GL!$H$6:$H$6484)</f>
        <v>0</v>
      </c>
      <c r="F136" s="258">
        <f>SUMIF(GL!$D$6:$D$6484,B136,GL!$I$6:$I$6484)</f>
        <v>0</v>
      </c>
      <c r="G136" s="258">
        <f t="shared" si="5"/>
        <v>0</v>
      </c>
      <c r="H136" s="258">
        <f t="shared" si="6"/>
        <v>0</v>
      </c>
      <c r="I136" s="250"/>
      <c r="J136" s="251"/>
      <c r="K136" s="252"/>
      <c r="L136" s="253"/>
      <c r="M136" s="128"/>
      <c r="N136" s="128">
        <f t="shared" si="1"/>
        <v>0</v>
      </c>
      <c r="O136" s="254"/>
      <c r="P136" s="128">
        <f t="shared" si="2"/>
        <v>0</v>
      </c>
      <c r="Q136" s="18">
        <f t="shared" si="3"/>
        <v>0</v>
      </c>
      <c r="R136" s="255">
        <f t="shared" si="4"/>
        <v>0</v>
      </c>
      <c r="S136" s="230"/>
      <c r="T136" s="226">
        <f t="shared" si="7"/>
        <v>0</v>
      </c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1"/>
      <c r="AG136" s="1"/>
      <c r="AH136" s="1"/>
      <c r="AI136" s="1"/>
      <c r="AJ136" s="1"/>
    </row>
    <row r="137" spans="1:36" ht="13.5" customHeight="1">
      <c r="A137" s="4"/>
      <c r="B137" s="15" t="str">
        <f>TB!B173</f>
        <v>V068</v>
      </c>
      <c r="C137" s="256" t="str">
        <f>TB!C173</f>
        <v>Croissant Chocolate 30 Gr</v>
      </c>
      <c r="D137" s="257">
        <f>SUMIF(GL!$D$5:$D$6446,B137,GL!$G$5:$G$6446)</f>
        <v>0</v>
      </c>
      <c r="E137" s="258">
        <f>SUMIF(GL!$D$6:$D$6484,B137,GL!$H$6:$H$6484)</f>
        <v>0</v>
      </c>
      <c r="F137" s="258">
        <f>SUMIF(GL!$D$6:$D$6484,B137,GL!$I$6:$I$6484)</f>
        <v>0</v>
      </c>
      <c r="G137" s="258">
        <f t="shared" si="5"/>
        <v>0</v>
      </c>
      <c r="H137" s="258">
        <f t="shared" si="6"/>
        <v>0</v>
      </c>
      <c r="I137" s="250"/>
      <c r="J137" s="251"/>
      <c r="K137" s="252"/>
      <c r="L137" s="253"/>
      <c r="M137" s="128"/>
      <c r="N137" s="128">
        <f t="shared" si="1"/>
        <v>0</v>
      </c>
      <c r="O137" s="254"/>
      <c r="P137" s="128">
        <f t="shared" si="2"/>
        <v>0</v>
      </c>
      <c r="Q137" s="18">
        <f t="shared" si="3"/>
        <v>0</v>
      </c>
      <c r="R137" s="255">
        <f t="shared" si="4"/>
        <v>0</v>
      </c>
      <c r="S137" s="230"/>
      <c r="T137" s="226">
        <f t="shared" si="7"/>
        <v>0</v>
      </c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1"/>
      <c r="AG137" s="1"/>
      <c r="AH137" s="1"/>
      <c r="AI137" s="1"/>
      <c r="AJ137" s="1"/>
    </row>
    <row r="138" spans="1:36" ht="13.5" customHeight="1">
      <c r="A138" s="4"/>
      <c r="B138" s="15" t="str">
        <f>TB!B174</f>
        <v>V069</v>
      </c>
      <c r="C138" s="256" t="str">
        <f>TB!C174</f>
        <v>Muffin Chocolate Choco Chips 80 Gr</v>
      </c>
      <c r="D138" s="257">
        <f>SUMIF(GL!$D$5:$D$6446,B138,GL!$G$5:$G$6446)</f>
        <v>0</v>
      </c>
      <c r="E138" s="258">
        <f>SUMIF(GL!$D$6:$D$6484,B138,GL!$H$6:$H$6484)</f>
        <v>0</v>
      </c>
      <c r="F138" s="258">
        <f>SUMIF(GL!$D$6:$D$6484,B138,GL!$I$6:$I$6484)</f>
        <v>0</v>
      </c>
      <c r="G138" s="258">
        <f t="shared" si="5"/>
        <v>0</v>
      </c>
      <c r="H138" s="258">
        <f t="shared" si="6"/>
        <v>0</v>
      </c>
      <c r="I138" s="250"/>
      <c r="J138" s="251"/>
      <c r="K138" s="252"/>
      <c r="L138" s="253"/>
      <c r="M138" s="128"/>
      <c r="N138" s="128">
        <f t="shared" si="1"/>
        <v>0</v>
      </c>
      <c r="O138" s="254"/>
      <c r="P138" s="128">
        <f t="shared" si="2"/>
        <v>0</v>
      </c>
      <c r="Q138" s="18">
        <f t="shared" si="3"/>
        <v>0</v>
      </c>
      <c r="R138" s="255">
        <f t="shared" si="4"/>
        <v>0</v>
      </c>
      <c r="S138" s="230"/>
      <c r="T138" s="226">
        <f t="shared" si="7"/>
        <v>0</v>
      </c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1"/>
      <c r="AG138" s="1"/>
      <c r="AH138" s="1"/>
      <c r="AI138" s="1"/>
      <c r="AJ138" s="1"/>
    </row>
    <row r="139" spans="1:36" ht="13.5" customHeight="1">
      <c r="A139" s="4"/>
      <c r="B139" s="15" t="str">
        <f>TB!B175</f>
        <v>V070</v>
      </c>
      <c r="C139" s="256" t="str">
        <f>TB!C175</f>
        <v>Ciabatta</v>
      </c>
      <c r="D139" s="257">
        <f>SUMIF(GL!$D$5:$D$6446,B139,GL!$G$5:$G$6446)</f>
        <v>50</v>
      </c>
      <c r="E139" s="258">
        <f>SUMIF(GL!$D$6:$D$6484,B139,GL!$H$6:$H$6484)</f>
        <v>350000</v>
      </c>
      <c r="F139" s="258">
        <f>SUMIF(GL!$D$6:$D$6484,B139,GL!$I$6:$I$6484)</f>
        <v>0</v>
      </c>
      <c r="G139" s="258">
        <f t="shared" si="5"/>
        <v>350000</v>
      </c>
      <c r="H139" s="258">
        <f t="shared" si="6"/>
        <v>0</v>
      </c>
      <c r="I139" s="250">
        <v>10</v>
      </c>
      <c r="J139" s="251">
        <v>7000</v>
      </c>
      <c r="K139" s="252">
        <v>70000</v>
      </c>
      <c r="L139" s="253">
        <f>D139+I139</f>
        <v>60</v>
      </c>
      <c r="M139" s="128">
        <f>(G139+K139)/L139</f>
        <v>7000</v>
      </c>
      <c r="N139" s="128">
        <f t="shared" si="1"/>
        <v>420000</v>
      </c>
      <c r="O139" s="254">
        <v>13</v>
      </c>
      <c r="P139" s="128">
        <f t="shared" si="2"/>
        <v>7000</v>
      </c>
      <c r="Q139" s="18">
        <f t="shared" si="3"/>
        <v>91000</v>
      </c>
      <c r="R139" s="255">
        <f t="shared" si="4"/>
        <v>329000</v>
      </c>
      <c r="S139" s="230"/>
      <c r="T139" s="226">
        <f t="shared" si="7"/>
        <v>0</v>
      </c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1"/>
      <c r="AG139" s="1"/>
      <c r="AH139" s="1"/>
      <c r="AI139" s="1"/>
      <c r="AJ139" s="1"/>
    </row>
    <row r="140" spans="1:36" ht="13.5" customHeight="1">
      <c r="A140" s="4"/>
      <c r="B140" s="15" t="str">
        <f>TB!B176</f>
        <v>V071</v>
      </c>
      <c r="C140" s="256" t="str">
        <f>TB!C176</f>
        <v>Sour Dough</v>
      </c>
      <c r="D140" s="257">
        <f>SUMIF(GL!$D$5:$D$6446,B140,GL!$G$5:$G$6446)</f>
        <v>0</v>
      </c>
      <c r="E140" s="258">
        <f>SUMIF(GL!$D$6:$D$6484,B140,GL!$H$6:$H$6484)</f>
        <v>0</v>
      </c>
      <c r="F140" s="258">
        <f>SUMIF(GL!$D$6:$D$6484,B140,GL!$I$6:$I$6484)</f>
        <v>0</v>
      </c>
      <c r="G140" s="258">
        <f t="shared" si="5"/>
        <v>0</v>
      </c>
      <c r="H140" s="258">
        <f t="shared" si="6"/>
        <v>0</v>
      </c>
      <c r="I140" s="250"/>
      <c r="J140" s="251"/>
      <c r="K140" s="252"/>
      <c r="L140" s="253"/>
      <c r="M140" s="128"/>
      <c r="N140" s="128">
        <f t="shared" si="1"/>
        <v>0</v>
      </c>
      <c r="O140" s="254"/>
      <c r="P140" s="128">
        <f t="shared" si="2"/>
        <v>0</v>
      </c>
      <c r="Q140" s="18">
        <f t="shared" si="3"/>
        <v>0</v>
      </c>
      <c r="R140" s="255">
        <f t="shared" si="4"/>
        <v>0</v>
      </c>
      <c r="S140" s="230"/>
      <c r="T140" s="226">
        <f t="shared" si="7"/>
        <v>0</v>
      </c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1"/>
      <c r="AG140" s="1"/>
      <c r="AH140" s="1"/>
      <c r="AI140" s="1"/>
      <c r="AJ140" s="1"/>
    </row>
    <row r="141" spans="1:36" ht="13.5" customHeight="1">
      <c r="A141" s="4"/>
      <c r="B141" s="15" t="str">
        <f>TB!B177</f>
        <v>V072</v>
      </c>
      <c r="C141" s="256" t="str">
        <f>TB!C177</f>
        <v>Pumkin/Labu</v>
      </c>
      <c r="D141" s="257">
        <f>SUMIF(GL!$D$5:$D$6446,B141,GL!$G$5:$G$6446)</f>
        <v>5.6</v>
      </c>
      <c r="E141" s="258">
        <f>SUMIF(GL!$D$6:$D$6484,B141,GL!$H$6:$H$6484)</f>
        <v>67200</v>
      </c>
      <c r="F141" s="258">
        <f>SUMIF(GL!$D$6:$D$6484,B141,GL!$I$6:$I$6484)</f>
        <v>0</v>
      </c>
      <c r="G141" s="258">
        <f t="shared" si="5"/>
        <v>67200</v>
      </c>
      <c r="H141" s="258">
        <f t="shared" si="6"/>
        <v>0</v>
      </c>
      <c r="I141" s="250">
        <v>0.79</v>
      </c>
      <c r="J141" s="251">
        <v>12398</v>
      </c>
      <c r="K141" s="252">
        <v>9794</v>
      </c>
      <c r="L141" s="253">
        <f>D141+I141</f>
        <v>6.39</v>
      </c>
      <c r="M141" s="128">
        <f>(G141+K141)/L141</f>
        <v>12049.139280125197</v>
      </c>
      <c r="N141" s="128">
        <f t="shared" si="1"/>
        <v>76994</v>
      </c>
      <c r="O141" s="254">
        <v>1</v>
      </c>
      <c r="P141" s="128">
        <f t="shared" si="2"/>
        <v>12049.139280125197</v>
      </c>
      <c r="Q141" s="18">
        <f t="shared" si="3"/>
        <v>12049.139280125197</v>
      </c>
      <c r="R141" s="255">
        <f t="shared" si="4"/>
        <v>64944.860719874807</v>
      </c>
      <c r="S141" s="230"/>
      <c r="T141" s="226">
        <f t="shared" si="7"/>
        <v>348.86071987480318</v>
      </c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1"/>
      <c r="AG141" s="1"/>
      <c r="AH141" s="1"/>
      <c r="AI141" s="1"/>
      <c r="AJ141" s="1"/>
    </row>
    <row r="142" spans="1:36" ht="13.5" customHeight="1">
      <c r="A142" s="4"/>
      <c r="B142" s="15" t="str">
        <f>TB!B178</f>
        <v>V073</v>
      </c>
      <c r="C142" s="256" t="str">
        <f>TB!C178</f>
        <v>Kurma</v>
      </c>
      <c r="D142" s="257">
        <f>SUMIF(GL!$D$5:$D$6446,B142,GL!$G$5:$G$6446)</f>
        <v>0</v>
      </c>
      <c r="E142" s="258">
        <f>SUMIF(GL!$D$6:$D$6484,B142,GL!$H$6:$H$6484)</f>
        <v>0</v>
      </c>
      <c r="F142" s="258">
        <f>SUMIF(GL!$D$6:$D$6484,B142,GL!$I$6:$I$6484)</f>
        <v>0</v>
      </c>
      <c r="G142" s="258">
        <f t="shared" si="5"/>
        <v>0</v>
      </c>
      <c r="H142" s="258">
        <f t="shared" si="6"/>
        <v>0</v>
      </c>
      <c r="I142" s="250"/>
      <c r="J142" s="251"/>
      <c r="K142" s="252"/>
      <c r="L142" s="253"/>
      <c r="M142" s="128"/>
      <c r="N142" s="128">
        <f t="shared" si="1"/>
        <v>0</v>
      </c>
      <c r="O142" s="254"/>
      <c r="P142" s="128">
        <f t="shared" si="2"/>
        <v>0</v>
      </c>
      <c r="Q142" s="18">
        <f t="shared" si="3"/>
        <v>0</v>
      </c>
      <c r="R142" s="255">
        <f t="shared" si="4"/>
        <v>0</v>
      </c>
      <c r="S142" s="230"/>
      <c r="T142" s="226">
        <f t="shared" si="7"/>
        <v>0</v>
      </c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1"/>
      <c r="AG142" s="1"/>
      <c r="AH142" s="1"/>
      <c r="AI142" s="1"/>
      <c r="AJ142" s="1"/>
    </row>
    <row r="143" spans="1:36" ht="13.5" customHeight="1">
      <c r="A143" s="4"/>
      <c r="B143" s="15" t="str">
        <f>TB!B179</f>
        <v>V074</v>
      </c>
      <c r="C143" s="256" t="str">
        <f>TB!C179</f>
        <v>Oyster Fresh</v>
      </c>
      <c r="D143" s="257">
        <f>SUMIF(GL!$D$5:$D$6446,B143,GL!$G$5:$G$6446)</f>
        <v>0</v>
      </c>
      <c r="E143" s="258">
        <f>SUMIF(GL!$D$6:$D$6484,B143,GL!$H$6:$H$6484)</f>
        <v>0</v>
      </c>
      <c r="F143" s="258">
        <f>SUMIF(GL!$D$6:$D$6484,B143,GL!$I$6:$I$6484)</f>
        <v>0</v>
      </c>
      <c r="G143" s="258">
        <f t="shared" si="5"/>
        <v>0</v>
      </c>
      <c r="H143" s="258">
        <f t="shared" si="6"/>
        <v>0</v>
      </c>
      <c r="I143" s="250"/>
      <c r="J143" s="251"/>
      <c r="K143" s="252"/>
      <c r="L143" s="253"/>
      <c r="M143" s="128"/>
      <c r="N143" s="128">
        <f t="shared" si="1"/>
        <v>0</v>
      </c>
      <c r="O143" s="254"/>
      <c r="P143" s="128">
        <f t="shared" si="2"/>
        <v>0</v>
      </c>
      <c r="Q143" s="18">
        <f t="shared" si="3"/>
        <v>0</v>
      </c>
      <c r="R143" s="255">
        <f t="shared" si="4"/>
        <v>0</v>
      </c>
      <c r="S143" s="230"/>
      <c r="T143" s="226">
        <f t="shared" si="7"/>
        <v>0</v>
      </c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1"/>
      <c r="AG143" s="1"/>
      <c r="AH143" s="1"/>
      <c r="AI143" s="1"/>
      <c r="AJ143" s="1"/>
    </row>
    <row r="144" spans="1:36" ht="13.5" customHeight="1">
      <c r="A144" s="4"/>
      <c r="B144" s="15" t="str">
        <f>TB!B180</f>
        <v>V075</v>
      </c>
      <c r="C144" s="256" t="str">
        <f>TB!C180</f>
        <v>Brloche Bread / BrIOCHE</v>
      </c>
      <c r="D144" s="257">
        <f>SUMIF(GL!$D$5:$D$6446,B144,GL!$G$5:$G$6446)</f>
        <v>1</v>
      </c>
      <c r="E144" s="258">
        <f>SUMIF(GL!$D$6:$D$6484,B144,GL!$H$6:$H$6484)</f>
        <v>7500</v>
      </c>
      <c r="F144" s="258">
        <f>SUMIF(GL!$D$6:$D$6484,B144,GL!$I$6:$I$6484)</f>
        <v>0</v>
      </c>
      <c r="G144" s="258">
        <f t="shared" si="5"/>
        <v>7500</v>
      </c>
      <c r="H144" s="258">
        <f t="shared" si="6"/>
        <v>0</v>
      </c>
      <c r="I144" s="250">
        <v>1.5</v>
      </c>
      <c r="J144" s="251">
        <v>80000</v>
      </c>
      <c r="K144" s="252">
        <v>120000</v>
      </c>
      <c r="L144" s="253">
        <f>D144+I144</f>
        <v>2.5</v>
      </c>
      <c r="M144" s="128">
        <f>(G144+K144)/L144</f>
        <v>51000</v>
      </c>
      <c r="N144" s="128">
        <f t="shared" si="1"/>
        <v>127500</v>
      </c>
      <c r="O144" s="254">
        <v>1</v>
      </c>
      <c r="P144" s="128">
        <f t="shared" si="2"/>
        <v>51000</v>
      </c>
      <c r="Q144" s="18">
        <f t="shared" si="3"/>
        <v>51000</v>
      </c>
      <c r="R144" s="255">
        <f t="shared" si="4"/>
        <v>76500</v>
      </c>
      <c r="S144" s="230"/>
      <c r="T144" s="226">
        <f t="shared" si="7"/>
        <v>29000</v>
      </c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1"/>
      <c r="AG144" s="1"/>
      <c r="AH144" s="1"/>
      <c r="AI144" s="1"/>
      <c r="AJ144" s="1"/>
    </row>
    <row r="145" spans="1:36" ht="13.5" customHeight="1">
      <c r="A145" s="4"/>
      <c r="B145" s="15" t="str">
        <f>TB!B181</f>
        <v>V076</v>
      </c>
      <c r="C145" s="256" t="str">
        <f>TB!C181</f>
        <v>Croissant Plain 60Gr</v>
      </c>
      <c r="D145" s="257">
        <f>SUMIF(GL!$D$5:$D$6446,B145,GL!$G$5:$G$6446)</f>
        <v>0</v>
      </c>
      <c r="E145" s="258">
        <f>SUMIF(GL!$D$6:$D$6484,B145,GL!$H$6:$H$6484)</f>
        <v>0</v>
      </c>
      <c r="F145" s="258">
        <f>SUMIF(GL!$D$6:$D$6484,B145,GL!$I$6:$I$6484)</f>
        <v>0</v>
      </c>
      <c r="G145" s="258">
        <f t="shared" si="5"/>
        <v>0</v>
      </c>
      <c r="H145" s="258">
        <f t="shared" si="6"/>
        <v>0</v>
      </c>
      <c r="I145" s="250"/>
      <c r="J145" s="251"/>
      <c r="K145" s="252"/>
      <c r="L145" s="253"/>
      <c r="M145" s="128"/>
      <c r="N145" s="128">
        <f t="shared" si="1"/>
        <v>0</v>
      </c>
      <c r="O145" s="254"/>
      <c r="P145" s="128">
        <f t="shared" si="2"/>
        <v>0</v>
      </c>
      <c r="Q145" s="18">
        <f t="shared" si="3"/>
        <v>0</v>
      </c>
      <c r="R145" s="255">
        <f t="shared" si="4"/>
        <v>0</v>
      </c>
      <c r="S145" s="230"/>
      <c r="T145" s="226">
        <f t="shared" si="7"/>
        <v>0</v>
      </c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1"/>
      <c r="AG145" s="1"/>
      <c r="AH145" s="1"/>
      <c r="AI145" s="1"/>
      <c r="AJ145" s="1"/>
    </row>
    <row r="146" spans="1:36" ht="13.5" customHeight="1">
      <c r="A146" s="4"/>
      <c r="B146" s="15" t="str">
        <f>TB!B182</f>
        <v>V077</v>
      </c>
      <c r="C146" s="256" t="str">
        <f>TB!C182</f>
        <v>Cookies Almond 100Gr</v>
      </c>
      <c r="D146" s="257">
        <f>SUMIF(GL!$D$5:$D$6446,B146,GL!$G$5:$G$6446)</f>
        <v>0</v>
      </c>
      <c r="E146" s="258">
        <f>SUMIF(GL!$D$6:$D$6484,B146,GL!$H$6:$H$6484)</f>
        <v>0</v>
      </c>
      <c r="F146" s="258">
        <f>SUMIF(GL!$D$6:$D$6484,B146,GL!$I$6:$I$6484)</f>
        <v>0</v>
      </c>
      <c r="G146" s="258">
        <f t="shared" si="5"/>
        <v>0</v>
      </c>
      <c r="H146" s="258">
        <f t="shared" si="6"/>
        <v>0</v>
      </c>
      <c r="I146" s="250"/>
      <c r="J146" s="251"/>
      <c r="K146" s="252"/>
      <c r="L146" s="253"/>
      <c r="M146" s="128"/>
      <c r="N146" s="128">
        <f t="shared" si="1"/>
        <v>0</v>
      </c>
      <c r="O146" s="254"/>
      <c r="P146" s="128">
        <f t="shared" si="2"/>
        <v>0</v>
      </c>
      <c r="Q146" s="18">
        <f t="shared" si="3"/>
        <v>0</v>
      </c>
      <c r="R146" s="255">
        <f t="shared" si="4"/>
        <v>0</v>
      </c>
      <c r="S146" s="230"/>
      <c r="T146" s="226">
        <f t="shared" si="7"/>
        <v>0</v>
      </c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1"/>
      <c r="AG146" s="1"/>
      <c r="AH146" s="1"/>
      <c r="AI146" s="1"/>
      <c r="AJ146" s="1"/>
    </row>
    <row r="147" spans="1:36" ht="13.5" customHeight="1">
      <c r="A147" s="4"/>
      <c r="B147" s="15" t="str">
        <f>TB!B183</f>
        <v>V078</v>
      </c>
      <c r="C147" s="256" t="str">
        <f>TB!C183</f>
        <v>Burger Bun 60Gr</v>
      </c>
      <c r="D147" s="257">
        <f>SUMIF(GL!$D$5:$D$6446,B147,GL!$G$5:$G$6446)</f>
        <v>0</v>
      </c>
      <c r="E147" s="258">
        <f>SUMIF(GL!$D$6:$D$6484,B147,GL!$H$6:$H$6484)</f>
        <v>0</v>
      </c>
      <c r="F147" s="258">
        <f>SUMIF(GL!$D$6:$D$6484,B147,GL!$I$6:$I$6484)</f>
        <v>0</v>
      </c>
      <c r="G147" s="258">
        <f t="shared" si="5"/>
        <v>0</v>
      </c>
      <c r="H147" s="258">
        <f t="shared" si="6"/>
        <v>0</v>
      </c>
      <c r="I147" s="250"/>
      <c r="J147" s="251"/>
      <c r="K147" s="252"/>
      <c r="L147" s="253"/>
      <c r="M147" s="128"/>
      <c r="N147" s="128">
        <f t="shared" si="1"/>
        <v>0</v>
      </c>
      <c r="O147" s="254"/>
      <c r="P147" s="128">
        <f t="shared" si="2"/>
        <v>0</v>
      </c>
      <c r="Q147" s="18">
        <f t="shared" si="3"/>
        <v>0</v>
      </c>
      <c r="R147" s="255">
        <f t="shared" si="4"/>
        <v>0</v>
      </c>
      <c r="S147" s="230"/>
      <c r="T147" s="226">
        <f t="shared" si="7"/>
        <v>0</v>
      </c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1"/>
      <c r="AG147" s="1"/>
      <c r="AH147" s="1"/>
      <c r="AI147" s="1"/>
      <c r="AJ147" s="1"/>
    </row>
    <row r="148" spans="1:36" ht="13.5" customHeight="1">
      <c r="A148" s="4"/>
      <c r="B148" s="15" t="str">
        <f>TB!B184</f>
        <v>V079</v>
      </c>
      <c r="C148" s="256" t="str">
        <f>TB!C184</f>
        <v>Burger Brioche Bun 60Gr</v>
      </c>
      <c r="D148" s="257">
        <f>SUMIF(GL!$D$5:$D$6446,B148,GL!$G$5:$G$6446)</f>
        <v>0</v>
      </c>
      <c r="E148" s="258">
        <f>SUMIF(GL!$D$6:$D$6484,B148,GL!$H$6:$H$6484)</f>
        <v>0</v>
      </c>
      <c r="F148" s="258">
        <f>SUMIF(GL!$D$6:$D$6484,B148,GL!$I$6:$I$6484)</f>
        <v>0</v>
      </c>
      <c r="G148" s="258">
        <f t="shared" si="5"/>
        <v>0</v>
      </c>
      <c r="H148" s="258">
        <f t="shared" si="6"/>
        <v>0</v>
      </c>
      <c r="I148" s="250"/>
      <c r="J148" s="251"/>
      <c r="K148" s="252"/>
      <c r="L148" s="253"/>
      <c r="M148" s="128"/>
      <c r="N148" s="128">
        <f t="shared" si="1"/>
        <v>0</v>
      </c>
      <c r="O148" s="254"/>
      <c r="P148" s="128">
        <f t="shared" si="2"/>
        <v>0</v>
      </c>
      <c r="Q148" s="18">
        <f t="shared" si="3"/>
        <v>0</v>
      </c>
      <c r="R148" s="255">
        <f t="shared" si="4"/>
        <v>0</v>
      </c>
      <c r="S148" s="230"/>
      <c r="T148" s="226">
        <f t="shared" si="7"/>
        <v>0</v>
      </c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1"/>
      <c r="AG148" s="1"/>
      <c r="AH148" s="1"/>
      <c r="AI148" s="1"/>
      <c r="AJ148" s="1"/>
    </row>
    <row r="149" spans="1:36" ht="13.5" customHeight="1">
      <c r="A149" s="4"/>
      <c r="B149" s="15" t="str">
        <f>TB!B185</f>
        <v>V080</v>
      </c>
      <c r="C149" s="256" t="str">
        <f>TB!C185</f>
        <v>Baguette Paris 300Gr Long</v>
      </c>
      <c r="D149" s="257">
        <f>SUMIF(GL!$D$5:$D$6446,B149,GL!$G$5:$G$6446)</f>
        <v>0</v>
      </c>
      <c r="E149" s="258">
        <f>SUMIF(GL!$D$6:$D$6484,B149,GL!$H$6:$H$6484)</f>
        <v>0</v>
      </c>
      <c r="F149" s="258">
        <f>SUMIF(GL!$D$6:$D$6484,B149,GL!$I$6:$I$6484)</f>
        <v>0</v>
      </c>
      <c r="G149" s="258">
        <f t="shared" si="5"/>
        <v>0</v>
      </c>
      <c r="H149" s="258">
        <f t="shared" si="6"/>
        <v>0</v>
      </c>
      <c r="I149" s="250"/>
      <c r="J149" s="251"/>
      <c r="K149" s="252"/>
      <c r="L149" s="253"/>
      <c r="M149" s="128"/>
      <c r="N149" s="128">
        <f t="shared" si="1"/>
        <v>0</v>
      </c>
      <c r="O149" s="254"/>
      <c r="P149" s="128">
        <f t="shared" si="2"/>
        <v>0</v>
      </c>
      <c r="Q149" s="18">
        <f t="shared" si="3"/>
        <v>0</v>
      </c>
      <c r="R149" s="255">
        <f t="shared" si="4"/>
        <v>0</v>
      </c>
      <c r="S149" s="230"/>
      <c r="T149" s="226">
        <f t="shared" si="7"/>
        <v>0</v>
      </c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1"/>
      <c r="AG149" s="1"/>
      <c r="AH149" s="1"/>
      <c r="AI149" s="1"/>
      <c r="AJ149" s="1"/>
    </row>
    <row r="150" spans="1:36" ht="13.5" customHeight="1">
      <c r="A150" s="4"/>
      <c r="B150" s="15" t="str">
        <f>TB!B186</f>
        <v>V054A</v>
      </c>
      <c r="C150" s="256" t="str">
        <f>TB!C186</f>
        <v>Jagung / Corn</v>
      </c>
      <c r="D150" s="257">
        <f>SUMIF(GL!$D$5:$D$6446,B150,GL!$G$5:$G$6446)</f>
        <v>1.2</v>
      </c>
      <c r="E150" s="258">
        <f>SUMIF(GL!$D$6:$D$6484,B150,GL!$H$6:$H$6484)</f>
        <v>16800</v>
      </c>
      <c r="F150" s="258">
        <f>SUMIF(GL!$D$6:$D$6484,B150,GL!$I$6:$I$6484)</f>
        <v>0</v>
      </c>
      <c r="G150" s="258">
        <f t="shared" si="5"/>
        <v>16800</v>
      </c>
      <c r="H150" s="258">
        <f t="shared" si="6"/>
        <v>0</v>
      </c>
      <c r="I150" s="250">
        <v>0.05</v>
      </c>
      <c r="J150" s="251"/>
      <c r="K150" s="252"/>
      <c r="L150" s="253">
        <f>D150+I150</f>
        <v>1.25</v>
      </c>
      <c r="M150" s="128">
        <f>(G150+K150)/L150</f>
        <v>13440</v>
      </c>
      <c r="N150" s="128">
        <f t="shared" si="1"/>
        <v>16800</v>
      </c>
      <c r="O150" s="254">
        <v>0.7</v>
      </c>
      <c r="P150" s="128">
        <f t="shared" si="2"/>
        <v>13440</v>
      </c>
      <c r="Q150" s="18">
        <f t="shared" si="3"/>
        <v>9408</v>
      </c>
      <c r="R150" s="255">
        <f t="shared" si="4"/>
        <v>7392</v>
      </c>
      <c r="S150" s="230"/>
      <c r="T150" s="226">
        <f t="shared" si="7"/>
        <v>-13440</v>
      </c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1"/>
      <c r="AG150" s="1"/>
      <c r="AH150" s="1"/>
      <c r="AI150" s="1"/>
      <c r="AJ150" s="1"/>
    </row>
    <row r="151" spans="1:36" ht="13.5" customHeight="1">
      <c r="A151" s="4"/>
      <c r="B151" s="15">
        <f>TB!B187</f>
        <v>0</v>
      </c>
      <c r="C151" s="256">
        <f>TB!C187</f>
        <v>0</v>
      </c>
      <c r="D151" s="257">
        <f>SUMIF(GL!$D$5:$D$6446,B151,GL!$G$5:$G$6446)</f>
        <v>0</v>
      </c>
      <c r="E151" s="258">
        <f>SUMIF(GL!$D$6:$D$6484,B151,GL!$H$6:$H$6484)</f>
        <v>0</v>
      </c>
      <c r="F151" s="258">
        <f>SUMIF(GL!$D$6:$D$6484,B151,GL!$I$6:$I$6484)</f>
        <v>0</v>
      </c>
      <c r="G151" s="258">
        <f t="shared" si="5"/>
        <v>0</v>
      </c>
      <c r="H151" s="258">
        <f t="shared" si="6"/>
        <v>0</v>
      </c>
      <c r="I151" s="250"/>
      <c r="J151" s="251"/>
      <c r="K151" s="252"/>
      <c r="L151" s="253"/>
      <c r="M151" s="128"/>
      <c r="N151" s="128">
        <f t="shared" si="1"/>
        <v>0</v>
      </c>
      <c r="O151" s="254"/>
      <c r="P151" s="128">
        <f t="shared" si="2"/>
        <v>0</v>
      </c>
      <c r="Q151" s="18">
        <f t="shared" si="3"/>
        <v>0</v>
      </c>
      <c r="R151" s="255">
        <f t="shared" si="4"/>
        <v>0</v>
      </c>
      <c r="S151" s="230"/>
      <c r="T151" s="226">
        <f t="shared" si="7"/>
        <v>0</v>
      </c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1"/>
      <c r="AG151" s="1"/>
      <c r="AH151" s="1"/>
      <c r="AI151" s="1"/>
      <c r="AJ151" s="1"/>
    </row>
    <row r="152" spans="1:36" ht="13.5" customHeight="1">
      <c r="A152" s="4"/>
      <c r="B152" s="15"/>
      <c r="C152" s="260"/>
      <c r="D152" s="257">
        <f>SUMIF(GL!$D$5:$D$6446,B152,GL!$G$5:$G$6446)</f>
        <v>0</v>
      </c>
      <c r="E152" s="258">
        <f>SUMIF(GL!$D$6:$D$6484,B152,GL!$H$6:$H$6484)</f>
        <v>0</v>
      </c>
      <c r="F152" s="258">
        <f>SUMIF(GL!$D$6:$D$6484,B152,GL!$I$6:$I$6484)</f>
        <v>0</v>
      </c>
      <c r="G152" s="258">
        <f t="shared" si="5"/>
        <v>0</v>
      </c>
      <c r="H152" s="258">
        <f t="shared" si="6"/>
        <v>0</v>
      </c>
      <c r="I152" s="250"/>
      <c r="J152" s="251"/>
      <c r="K152" s="252"/>
      <c r="L152" s="253"/>
      <c r="M152" s="128"/>
      <c r="N152" s="128">
        <f t="shared" si="1"/>
        <v>0</v>
      </c>
      <c r="O152" s="254"/>
      <c r="P152" s="128">
        <f t="shared" si="2"/>
        <v>0</v>
      </c>
      <c r="Q152" s="18">
        <f t="shared" si="3"/>
        <v>0</v>
      </c>
      <c r="R152" s="255">
        <f t="shared" si="4"/>
        <v>0</v>
      </c>
      <c r="S152" s="230"/>
      <c r="T152" s="226">
        <f t="shared" si="7"/>
        <v>0</v>
      </c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1"/>
      <c r="AG152" s="1"/>
      <c r="AH152" s="1"/>
      <c r="AI152" s="1"/>
      <c r="AJ152" s="1"/>
    </row>
    <row r="153" spans="1:36" ht="13.5" customHeight="1">
      <c r="A153" s="4"/>
      <c r="B153" s="15"/>
      <c r="C153" s="260"/>
      <c r="D153" s="257">
        <f>SUMIF(GL!$D$5:$D$6446,B153,GL!$G$5:$G$6446)</f>
        <v>0</v>
      </c>
      <c r="E153" s="258">
        <f>SUMIF(GL!$D$6:$D$6484,B153,GL!$H$6:$H$6484)</f>
        <v>0</v>
      </c>
      <c r="F153" s="258">
        <f>SUMIF(GL!$D$6:$D$6484,B153,GL!$I$6:$I$6484)</f>
        <v>0</v>
      </c>
      <c r="G153" s="258">
        <f t="shared" si="5"/>
        <v>0</v>
      </c>
      <c r="H153" s="258">
        <f t="shared" si="6"/>
        <v>0</v>
      </c>
      <c r="I153" s="250"/>
      <c r="J153" s="251"/>
      <c r="K153" s="252"/>
      <c r="L153" s="253"/>
      <c r="M153" s="128"/>
      <c r="N153" s="128">
        <f t="shared" si="1"/>
        <v>0</v>
      </c>
      <c r="O153" s="254"/>
      <c r="P153" s="128">
        <f t="shared" si="2"/>
        <v>0</v>
      </c>
      <c r="Q153" s="18">
        <f t="shared" si="3"/>
        <v>0</v>
      </c>
      <c r="R153" s="255">
        <f t="shared" si="4"/>
        <v>0</v>
      </c>
      <c r="S153" s="230"/>
      <c r="T153" s="226">
        <f t="shared" si="7"/>
        <v>0</v>
      </c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1"/>
      <c r="AG153" s="1"/>
      <c r="AH153" s="1"/>
      <c r="AI153" s="1"/>
      <c r="AJ153" s="1"/>
    </row>
    <row r="154" spans="1:36" ht="13.5" customHeight="1">
      <c r="A154" s="4"/>
      <c r="B154" s="15"/>
      <c r="C154" s="260"/>
      <c r="D154" s="257">
        <f>SUMIF(GL!$D$5:$D$6446,B154,GL!$G$5:$G$6446)</f>
        <v>0</v>
      </c>
      <c r="E154" s="258">
        <f>SUMIF(GL!$D$6:$D$6484,B154,GL!$H$6:$H$6484)</f>
        <v>0</v>
      </c>
      <c r="F154" s="258">
        <f>SUMIF(GL!$D$6:$D$6484,B154,GL!$I$6:$I$6484)</f>
        <v>0</v>
      </c>
      <c r="G154" s="258">
        <f t="shared" si="5"/>
        <v>0</v>
      </c>
      <c r="H154" s="258">
        <f t="shared" si="6"/>
        <v>0</v>
      </c>
      <c r="I154" s="250"/>
      <c r="J154" s="251"/>
      <c r="K154" s="252"/>
      <c r="L154" s="253"/>
      <c r="M154" s="128"/>
      <c r="N154" s="128">
        <f t="shared" si="1"/>
        <v>0</v>
      </c>
      <c r="O154" s="254"/>
      <c r="P154" s="128">
        <f t="shared" si="2"/>
        <v>0</v>
      </c>
      <c r="Q154" s="18">
        <f t="shared" si="3"/>
        <v>0</v>
      </c>
      <c r="R154" s="255">
        <f t="shared" si="4"/>
        <v>0</v>
      </c>
      <c r="S154" s="230"/>
      <c r="T154" s="226">
        <f t="shared" si="7"/>
        <v>0</v>
      </c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1"/>
      <c r="AG154" s="1"/>
      <c r="AH154" s="1"/>
      <c r="AI154" s="1"/>
      <c r="AJ154" s="1"/>
    </row>
    <row r="155" spans="1:36" ht="13.5" customHeight="1">
      <c r="A155" s="4"/>
      <c r="B155" s="15"/>
      <c r="C155" s="260"/>
      <c r="D155" s="257">
        <f>SUMIF(GL!$D$5:$D$6446,B155,GL!$G$5:$G$6446)</f>
        <v>0</v>
      </c>
      <c r="E155" s="258">
        <f>SUMIF(GL!$D$6:$D$6484,B155,GL!$H$6:$H$6484)</f>
        <v>0</v>
      </c>
      <c r="F155" s="258">
        <f>SUMIF(GL!$D$6:$D$6484,B155,GL!$I$6:$I$6484)</f>
        <v>0</v>
      </c>
      <c r="G155" s="258">
        <f t="shared" si="5"/>
        <v>0</v>
      </c>
      <c r="H155" s="258">
        <f t="shared" si="6"/>
        <v>0</v>
      </c>
      <c r="I155" s="250"/>
      <c r="J155" s="251"/>
      <c r="K155" s="252"/>
      <c r="L155" s="253"/>
      <c r="M155" s="128"/>
      <c r="N155" s="128">
        <f t="shared" si="1"/>
        <v>0</v>
      </c>
      <c r="O155" s="254"/>
      <c r="P155" s="128">
        <f t="shared" si="2"/>
        <v>0</v>
      </c>
      <c r="Q155" s="18">
        <f t="shared" si="3"/>
        <v>0</v>
      </c>
      <c r="R155" s="255">
        <f t="shared" si="4"/>
        <v>0</v>
      </c>
      <c r="S155" s="230"/>
      <c r="T155" s="226">
        <f t="shared" si="7"/>
        <v>0</v>
      </c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1"/>
      <c r="AG155" s="1"/>
      <c r="AH155" s="1"/>
      <c r="AI155" s="1"/>
      <c r="AJ155" s="1"/>
    </row>
    <row r="156" spans="1:36" ht="13.5" customHeight="1">
      <c r="A156" s="4"/>
      <c r="B156" s="15"/>
      <c r="C156" s="260"/>
      <c r="D156" s="257">
        <f>SUMIF(GL!$D$5:$D$6446,B156,GL!$G$5:$G$6446)</f>
        <v>0</v>
      </c>
      <c r="E156" s="258">
        <f>SUMIF(GL!$D$6:$D$6484,B156,GL!$H$6:$H$6484)</f>
        <v>0</v>
      </c>
      <c r="F156" s="258">
        <f>SUMIF(GL!$D$6:$D$6484,B156,GL!$I$6:$I$6484)</f>
        <v>0</v>
      </c>
      <c r="G156" s="258">
        <f t="shared" si="5"/>
        <v>0</v>
      </c>
      <c r="H156" s="258">
        <f t="shared" si="6"/>
        <v>0</v>
      </c>
      <c r="I156" s="250"/>
      <c r="J156" s="251"/>
      <c r="K156" s="252"/>
      <c r="L156" s="253"/>
      <c r="M156" s="128"/>
      <c r="N156" s="128">
        <f t="shared" si="1"/>
        <v>0</v>
      </c>
      <c r="O156" s="254"/>
      <c r="P156" s="128">
        <f t="shared" si="2"/>
        <v>0</v>
      </c>
      <c r="Q156" s="18">
        <f t="shared" si="3"/>
        <v>0</v>
      </c>
      <c r="R156" s="255">
        <f t="shared" si="4"/>
        <v>0</v>
      </c>
      <c r="S156" s="230"/>
      <c r="T156" s="226">
        <f t="shared" si="7"/>
        <v>0</v>
      </c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1"/>
      <c r="AG156" s="1"/>
      <c r="AH156" s="1"/>
      <c r="AI156" s="1"/>
      <c r="AJ156" s="1"/>
    </row>
    <row r="157" spans="1:36" ht="13.5" customHeight="1">
      <c r="A157" s="4"/>
      <c r="B157" s="15"/>
      <c r="C157" s="260"/>
      <c r="D157" s="257">
        <f>SUMIF(GL!$D$5:$D$6446,B157,GL!$G$5:$G$6446)</f>
        <v>0</v>
      </c>
      <c r="E157" s="258">
        <f>SUMIF(GL!$D$6:$D$6484,B157,GL!$H$6:$H$6484)</f>
        <v>0</v>
      </c>
      <c r="F157" s="258">
        <f>SUMIF(GL!$D$6:$D$6484,B157,GL!$I$6:$I$6484)</f>
        <v>0</v>
      </c>
      <c r="G157" s="258">
        <f t="shared" si="5"/>
        <v>0</v>
      </c>
      <c r="H157" s="258">
        <f t="shared" si="6"/>
        <v>0</v>
      </c>
      <c r="I157" s="250"/>
      <c r="J157" s="251"/>
      <c r="K157" s="252"/>
      <c r="L157" s="253"/>
      <c r="M157" s="128"/>
      <c r="N157" s="128">
        <f t="shared" si="1"/>
        <v>0</v>
      </c>
      <c r="O157" s="254"/>
      <c r="P157" s="128">
        <f t="shared" si="2"/>
        <v>0</v>
      </c>
      <c r="Q157" s="18">
        <f t="shared" si="3"/>
        <v>0</v>
      </c>
      <c r="R157" s="255">
        <f t="shared" si="4"/>
        <v>0</v>
      </c>
      <c r="S157" s="230"/>
      <c r="T157" s="226">
        <f t="shared" si="7"/>
        <v>0</v>
      </c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1"/>
      <c r="AG157" s="1"/>
      <c r="AH157" s="1"/>
      <c r="AI157" s="1"/>
      <c r="AJ157" s="1"/>
    </row>
    <row r="158" spans="1:36" ht="13.5" customHeight="1">
      <c r="A158" s="4"/>
      <c r="B158" s="15"/>
      <c r="C158" s="260"/>
      <c r="D158" s="257">
        <f>SUMIF(GL!$D$5:$D$6446,B158,GL!$G$5:$G$6446)</f>
        <v>0</v>
      </c>
      <c r="E158" s="258">
        <f>SUMIF(GL!$D$6:$D$6484,B158,GL!$H$6:$H$6484)</f>
        <v>0</v>
      </c>
      <c r="F158" s="258">
        <f>SUMIF(GL!$D$6:$D$6484,B158,GL!$I$6:$I$6484)</f>
        <v>0</v>
      </c>
      <c r="G158" s="258">
        <f t="shared" si="5"/>
        <v>0</v>
      </c>
      <c r="H158" s="258">
        <f t="shared" si="6"/>
        <v>0</v>
      </c>
      <c r="I158" s="250"/>
      <c r="J158" s="251"/>
      <c r="K158" s="252"/>
      <c r="L158" s="253"/>
      <c r="M158" s="128"/>
      <c r="N158" s="128">
        <f t="shared" si="1"/>
        <v>0</v>
      </c>
      <c r="O158" s="254"/>
      <c r="P158" s="128">
        <f t="shared" si="2"/>
        <v>0</v>
      </c>
      <c r="Q158" s="18">
        <f t="shared" si="3"/>
        <v>0</v>
      </c>
      <c r="R158" s="255">
        <f t="shared" si="4"/>
        <v>0</v>
      </c>
      <c r="S158" s="230"/>
      <c r="T158" s="226">
        <f t="shared" si="7"/>
        <v>0</v>
      </c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1"/>
      <c r="AG158" s="1"/>
      <c r="AH158" s="1"/>
      <c r="AI158" s="1"/>
      <c r="AJ158" s="1"/>
    </row>
    <row r="159" spans="1:36" ht="13.5" customHeight="1">
      <c r="A159" s="4"/>
      <c r="B159" s="15"/>
      <c r="C159" s="260"/>
      <c r="D159" s="257">
        <f>SUMIF(GL!$D$5:$D$6446,B159,GL!$G$5:$G$6446)</f>
        <v>0</v>
      </c>
      <c r="E159" s="258">
        <f>SUMIF(GL!$D$6:$D$6484,B159,GL!$H$6:$H$6484)</f>
        <v>0</v>
      </c>
      <c r="F159" s="258">
        <f>SUMIF(GL!$D$6:$D$6484,B159,GL!$I$6:$I$6484)</f>
        <v>0</v>
      </c>
      <c r="G159" s="258">
        <f t="shared" si="5"/>
        <v>0</v>
      </c>
      <c r="H159" s="258">
        <f t="shared" si="6"/>
        <v>0</v>
      </c>
      <c r="I159" s="250"/>
      <c r="J159" s="251"/>
      <c r="K159" s="252"/>
      <c r="L159" s="253"/>
      <c r="M159" s="128"/>
      <c r="N159" s="128">
        <f t="shared" si="1"/>
        <v>0</v>
      </c>
      <c r="O159" s="254"/>
      <c r="P159" s="128">
        <f t="shared" si="2"/>
        <v>0</v>
      </c>
      <c r="Q159" s="18">
        <f t="shared" si="3"/>
        <v>0</v>
      </c>
      <c r="R159" s="255">
        <f t="shared" si="4"/>
        <v>0</v>
      </c>
      <c r="S159" s="230"/>
      <c r="T159" s="226">
        <f t="shared" si="7"/>
        <v>0</v>
      </c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1"/>
      <c r="AG159" s="1"/>
      <c r="AH159" s="1"/>
      <c r="AI159" s="1"/>
      <c r="AJ159" s="1"/>
    </row>
    <row r="160" spans="1:36" ht="13.5" customHeight="1">
      <c r="A160" s="4"/>
      <c r="B160" s="15"/>
      <c r="C160" s="262"/>
      <c r="D160" s="257">
        <f>SUMIF(GL!$D$5:$D$6446,B160,GL!$G$5:$G$6446)</f>
        <v>0</v>
      </c>
      <c r="E160" s="258">
        <f>SUMIF(GL!$D$6:$D$6484,B160,GL!$H$6:$H$6484)</f>
        <v>0</v>
      </c>
      <c r="F160" s="258">
        <f>SUMIF(GL!$D$6:$D$6484,B160,GL!$I$6:$I$6484)</f>
        <v>0</v>
      </c>
      <c r="G160" s="258">
        <f t="shared" si="5"/>
        <v>0</v>
      </c>
      <c r="H160" s="258">
        <f t="shared" si="6"/>
        <v>0</v>
      </c>
      <c r="I160" s="250"/>
      <c r="J160" s="251"/>
      <c r="K160" s="252"/>
      <c r="L160" s="253"/>
      <c r="M160" s="128"/>
      <c r="N160" s="128">
        <f t="shared" si="1"/>
        <v>0</v>
      </c>
      <c r="O160" s="254"/>
      <c r="P160" s="128">
        <f t="shared" si="2"/>
        <v>0</v>
      </c>
      <c r="Q160" s="18">
        <f t="shared" si="3"/>
        <v>0</v>
      </c>
      <c r="R160" s="255">
        <f t="shared" si="4"/>
        <v>0</v>
      </c>
      <c r="S160" s="230"/>
      <c r="T160" s="226">
        <f t="shared" si="7"/>
        <v>0</v>
      </c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1"/>
      <c r="AG160" s="1"/>
      <c r="AH160" s="1"/>
      <c r="AI160" s="1"/>
      <c r="AJ160" s="1"/>
    </row>
    <row r="161" spans="1:36" ht="13.5" customHeight="1">
      <c r="A161" s="4"/>
      <c r="B161" s="15"/>
      <c r="C161" s="261" t="s">
        <v>3827</v>
      </c>
      <c r="D161" s="257">
        <f>SUMIF(GL!$D$5:$D$6446,B161,GL!$G$5:$G$6446)</f>
        <v>0</v>
      </c>
      <c r="E161" s="258">
        <f>SUMIF(GL!$D$6:$D$6484,B161,GL!$H$6:$H$6484)</f>
        <v>0</v>
      </c>
      <c r="F161" s="258">
        <f>SUMIF(GL!$D$6:$D$6484,B161,GL!$I$6:$I$6484)</f>
        <v>0</v>
      </c>
      <c r="G161" s="258">
        <f t="shared" si="5"/>
        <v>0</v>
      </c>
      <c r="H161" s="258">
        <f t="shared" si="6"/>
        <v>0</v>
      </c>
      <c r="I161" s="250"/>
      <c r="J161" s="251"/>
      <c r="K161" s="252"/>
      <c r="L161" s="253"/>
      <c r="M161" s="128"/>
      <c r="N161" s="128">
        <f t="shared" si="1"/>
        <v>0</v>
      </c>
      <c r="O161" s="254"/>
      <c r="P161" s="128">
        <f t="shared" si="2"/>
        <v>0</v>
      </c>
      <c r="Q161" s="18">
        <f t="shared" si="3"/>
        <v>0</v>
      </c>
      <c r="R161" s="255">
        <f t="shared" si="4"/>
        <v>0</v>
      </c>
      <c r="S161" s="230"/>
      <c r="T161" s="226">
        <f t="shared" si="7"/>
        <v>0</v>
      </c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1"/>
      <c r="AG161" s="1"/>
      <c r="AH161" s="1"/>
      <c r="AI161" s="1"/>
      <c r="AJ161" s="1"/>
    </row>
    <row r="162" spans="1:36" ht="13.5" customHeight="1">
      <c r="A162" s="4"/>
      <c r="B162" s="15" t="str">
        <f>TB!B198</f>
        <v>G001</v>
      </c>
      <c r="C162" s="256" t="str">
        <f>TB!C198</f>
        <v>Oyster Sauce @ 510Ltr</v>
      </c>
      <c r="D162" s="257">
        <f>SUMIF(GL!$D$5:$D$6446,B162,GL!$G$5:$G$6446)</f>
        <v>8.6274509803921582</v>
      </c>
      <c r="E162" s="258">
        <f>SUMIF(GL!$D$6:$D$6484,B162,GL!$H$6:$H$6484)</f>
        <v>218914</v>
      </c>
      <c r="F162" s="258">
        <f>SUMIF(GL!$D$6:$D$6484,B162,GL!$I$6:$I$6484)</f>
        <v>0</v>
      </c>
      <c r="G162" s="258">
        <f t="shared" si="5"/>
        <v>218914</v>
      </c>
      <c r="H162" s="258">
        <f t="shared" si="6"/>
        <v>0</v>
      </c>
      <c r="I162" s="250">
        <v>4.4000000000000004</v>
      </c>
      <c r="J162" s="251">
        <v>25523</v>
      </c>
      <c r="K162" s="252">
        <v>112301</v>
      </c>
      <c r="L162" s="253">
        <f>D162+I162</f>
        <v>13.027450980392159</v>
      </c>
      <c r="M162" s="128">
        <f>(G162+K162)/L162</f>
        <v>25424.390427453338</v>
      </c>
      <c r="N162" s="128">
        <f t="shared" si="1"/>
        <v>331215</v>
      </c>
      <c r="O162" s="254">
        <v>4.2</v>
      </c>
      <c r="P162" s="128">
        <f t="shared" si="2"/>
        <v>25424.390427453338</v>
      </c>
      <c r="Q162" s="18">
        <f t="shared" si="3"/>
        <v>106782.43979530402</v>
      </c>
      <c r="R162" s="255">
        <f t="shared" si="4"/>
        <v>224432.56020469597</v>
      </c>
      <c r="S162" s="230"/>
      <c r="T162" s="226">
        <f t="shared" si="7"/>
        <v>98.609572546662093</v>
      </c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1"/>
      <c r="AG162" s="1"/>
      <c r="AH162" s="1"/>
      <c r="AI162" s="1"/>
      <c r="AJ162" s="1"/>
    </row>
    <row r="163" spans="1:36" ht="13.5" customHeight="1">
      <c r="A163" s="4"/>
      <c r="B163" s="15" t="str">
        <f>TB!B199</f>
        <v>G002</v>
      </c>
      <c r="C163" s="256" t="str">
        <f>TB!C199</f>
        <v>Pine Nuts</v>
      </c>
      <c r="D163" s="257">
        <f>SUMIF(GL!$D$5:$D$6446,B163,GL!$G$5:$G$6446)</f>
        <v>0</v>
      </c>
      <c r="E163" s="258">
        <f>SUMIF(GL!$D$6:$D$6484,B163,GL!$H$6:$H$6484)</f>
        <v>0</v>
      </c>
      <c r="F163" s="258">
        <f>SUMIF(GL!$D$6:$D$6484,B163,GL!$I$6:$I$6484)</f>
        <v>0</v>
      </c>
      <c r="G163" s="258">
        <f t="shared" si="5"/>
        <v>0</v>
      </c>
      <c r="H163" s="258">
        <f t="shared" si="6"/>
        <v>0</v>
      </c>
      <c r="I163" s="250"/>
      <c r="J163" s="251"/>
      <c r="K163" s="252"/>
      <c r="L163" s="253"/>
      <c r="M163" s="128"/>
      <c r="N163" s="128">
        <f t="shared" si="1"/>
        <v>0</v>
      </c>
      <c r="O163" s="254"/>
      <c r="P163" s="128">
        <f t="shared" si="2"/>
        <v>0</v>
      </c>
      <c r="Q163" s="18">
        <f t="shared" si="3"/>
        <v>0</v>
      </c>
      <c r="R163" s="255">
        <f t="shared" si="4"/>
        <v>0</v>
      </c>
      <c r="S163" s="230"/>
      <c r="T163" s="226">
        <f t="shared" si="7"/>
        <v>0</v>
      </c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1"/>
      <c r="AG163" s="1"/>
      <c r="AH163" s="1"/>
      <c r="AI163" s="1"/>
      <c r="AJ163" s="1"/>
    </row>
    <row r="164" spans="1:36" ht="13.5" customHeight="1">
      <c r="A164" s="4"/>
      <c r="B164" s="15" t="str">
        <f>TB!B200</f>
        <v>G003</v>
      </c>
      <c r="C164" s="256" t="str">
        <f>TB!C200</f>
        <v>Dill Daun</v>
      </c>
      <c r="D164" s="257">
        <f>SUMIF(GL!$D$5:$D$6446,B164,GL!$G$5:$G$6446)</f>
        <v>0.2</v>
      </c>
      <c r="E164" s="258">
        <f>SUMIF(GL!$D$6:$D$6484,B164,GL!$H$6:$H$6484)</f>
        <v>29000</v>
      </c>
      <c r="F164" s="258">
        <f>SUMIF(GL!$D$6:$D$6484,B164,GL!$I$6:$I$6484)</f>
        <v>0</v>
      </c>
      <c r="G164" s="258">
        <f t="shared" si="5"/>
        <v>29000</v>
      </c>
      <c r="H164" s="258">
        <f t="shared" si="6"/>
        <v>0</v>
      </c>
      <c r="I164" s="250">
        <v>0.11</v>
      </c>
      <c r="J164" s="251">
        <v>127779</v>
      </c>
      <c r="K164" s="252">
        <v>14056</v>
      </c>
      <c r="L164" s="253">
        <f>D164+I164</f>
        <v>0.31</v>
      </c>
      <c r="M164" s="128">
        <f>(G164+K164)/L164</f>
        <v>138890.32258064515</v>
      </c>
      <c r="N164" s="128">
        <f t="shared" si="1"/>
        <v>43056</v>
      </c>
      <c r="O164" s="254"/>
      <c r="P164" s="128">
        <f t="shared" si="2"/>
        <v>138890.32258064515</v>
      </c>
      <c r="Q164" s="18">
        <f t="shared" si="3"/>
        <v>0</v>
      </c>
      <c r="R164" s="255">
        <f t="shared" si="4"/>
        <v>43056</v>
      </c>
      <c r="S164" s="230"/>
      <c r="T164" s="226">
        <f t="shared" si="7"/>
        <v>-11111.322580645152</v>
      </c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1"/>
      <c r="AG164" s="1"/>
      <c r="AH164" s="1"/>
      <c r="AI164" s="1"/>
      <c r="AJ164" s="1"/>
    </row>
    <row r="165" spans="1:36" ht="13.5" customHeight="1">
      <c r="A165" s="4"/>
      <c r="B165" s="15" t="str">
        <f>TB!B201</f>
        <v>G004</v>
      </c>
      <c r="C165" s="256" t="str">
        <f>TB!C201</f>
        <v xml:space="preserve"> Whipping Cream </v>
      </c>
      <c r="D165" s="257">
        <f>SUMIF(GL!$D$5:$D$6446,B165,GL!$G$5:$G$6446)</f>
        <v>0</v>
      </c>
      <c r="E165" s="258">
        <f>SUMIF(GL!$D$6:$D$6484,B165,GL!$H$6:$H$6484)</f>
        <v>0</v>
      </c>
      <c r="F165" s="258">
        <f>SUMIF(GL!$D$6:$D$6484,B165,GL!$I$6:$I$6484)</f>
        <v>0</v>
      </c>
      <c r="G165" s="258">
        <f t="shared" si="5"/>
        <v>0</v>
      </c>
      <c r="H165" s="258">
        <f t="shared" si="6"/>
        <v>0</v>
      </c>
      <c r="I165" s="250"/>
      <c r="J165" s="251">
        <v>109000</v>
      </c>
      <c r="K165" s="252"/>
      <c r="L165" s="253"/>
      <c r="M165" s="128"/>
      <c r="N165" s="128">
        <f t="shared" si="1"/>
        <v>0</v>
      </c>
      <c r="O165" s="254"/>
      <c r="P165" s="128">
        <f t="shared" si="2"/>
        <v>0</v>
      </c>
      <c r="Q165" s="18">
        <f t="shared" si="3"/>
        <v>0</v>
      </c>
      <c r="R165" s="255">
        <f t="shared" si="4"/>
        <v>0</v>
      </c>
      <c r="S165" s="230"/>
      <c r="T165" s="226">
        <f t="shared" si="7"/>
        <v>109000</v>
      </c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1"/>
      <c r="AG165" s="1"/>
      <c r="AH165" s="1"/>
      <c r="AI165" s="1"/>
      <c r="AJ165" s="1"/>
    </row>
    <row r="166" spans="1:36" ht="13.5" customHeight="1">
      <c r="A166" s="4"/>
      <c r="B166" s="15" t="str">
        <f>TB!B202</f>
        <v>G005</v>
      </c>
      <c r="C166" s="256" t="str">
        <f>TB!C202</f>
        <v>Green Peas/Kacang Polong</v>
      </c>
      <c r="D166" s="257">
        <f>SUMIF(GL!$D$5:$D$6446,B166,GL!$G$5:$G$6446)</f>
        <v>2</v>
      </c>
      <c r="E166" s="258">
        <f>SUMIF(GL!$D$6:$D$6484,B166,GL!$H$6:$H$6484)</f>
        <v>150000</v>
      </c>
      <c r="F166" s="258">
        <f>SUMIF(GL!$D$6:$D$6484,B166,GL!$I$6:$I$6484)</f>
        <v>0</v>
      </c>
      <c r="G166" s="258">
        <f t="shared" si="5"/>
        <v>150000</v>
      </c>
      <c r="H166" s="258">
        <f t="shared" si="6"/>
        <v>0</v>
      </c>
      <c r="I166" s="250">
        <v>0.78</v>
      </c>
      <c r="J166" s="251">
        <v>64724</v>
      </c>
      <c r="K166" s="252">
        <v>50485</v>
      </c>
      <c r="L166" s="253">
        <f>D166+I166</f>
        <v>2.7800000000000002</v>
      </c>
      <c r="M166" s="128">
        <f>(G166+K166)/L166</f>
        <v>72116.906474820134</v>
      </c>
      <c r="N166" s="128">
        <f t="shared" si="1"/>
        <v>200485</v>
      </c>
      <c r="O166" s="254">
        <v>0.56999999999999995</v>
      </c>
      <c r="P166" s="128">
        <f t="shared" si="2"/>
        <v>72116.906474820134</v>
      </c>
      <c r="Q166" s="18">
        <f t="shared" si="3"/>
        <v>41106.636690647472</v>
      </c>
      <c r="R166" s="255">
        <f t="shared" si="4"/>
        <v>159378.36330935254</v>
      </c>
      <c r="S166" s="230"/>
      <c r="T166" s="226">
        <f t="shared" si="7"/>
        <v>-7392.9064748201345</v>
      </c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1"/>
      <c r="AG166" s="1"/>
      <c r="AH166" s="1"/>
      <c r="AI166" s="1"/>
      <c r="AJ166" s="1"/>
    </row>
    <row r="167" spans="1:36" ht="13.5" customHeight="1">
      <c r="A167" s="4"/>
      <c r="B167" s="15" t="str">
        <f>TB!B203</f>
        <v>G006</v>
      </c>
      <c r="C167" s="256" t="str">
        <f>TB!C203</f>
        <v>Corn Flake</v>
      </c>
      <c r="D167" s="257">
        <f>SUMIF(GL!$D$5:$D$6446,B167,GL!$G$5:$G$6446)</f>
        <v>0</v>
      </c>
      <c r="E167" s="258">
        <f>SUMIF(GL!$D$6:$D$6484,B167,GL!$H$6:$H$6484)</f>
        <v>0</v>
      </c>
      <c r="F167" s="258">
        <f>SUMIF(GL!$D$6:$D$6484,B167,GL!$I$6:$I$6484)</f>
        <v>0</v>
      </c>
      <c r="G167" s="258">
        <f t="shared" si="5"/>
        <v>0</v>
      </c>
      <c r="H167" s="258">
        <f t="shared" si="6"/>
        <v>0</v>
      </c>
      <c r="I167" s="250"/>
      <c r="J167" s="251"/>
      <c r="K167" s="252"/>
      <c r="L167" s="253"/>
      <c r="M167" s="128"/>
      <c r="N167" s="128">
        <f t="shared" si="1"/>
        <v>0</v>
      </c>
      <c r="O167" s="254"/>
      <c r="P167" s="128">
        <f t="shared" si="2"/>
        <v>0</v>
      </c>
      <c r="Q167" s="18">
        <f t="shared" si="3"/>
        <v>0</v>
      </c>
      <c r="R167" s="255">
        <f t="shared" si="4"/>
        <v>0</v>
      </c>
      <c r="S167" s="230"/>
      <c r="T167" s="226">
        <f t="shared" si="7"/>
        <v>0</v>
      </c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1"/>
      <c r="AG167" s="1"/>
      <c r="AH167" s="1"/>
      <c r="AI167" s="1"/>
      <c r="AJ167" s="1"/>
    </row>
    <row r="168" spans="1:36" ht="13.5" customHeight="1">
      <c r="A168" s="4"/>
      <c r="B168" s="15" t="str">
        <f>TB!B204</f>
        <v>G007</v>
      </c>
      <c r="C168" s="256" t="str">
        <f>TB!C204</f>
        <v>Figaro Caper Vngr</v>
      </c>
      <c r="D168" s="257">
        <f>SUMIF(GL!$D$5:$D$6446,B168,GL!$G$5:$G$6446)</f>
        <v>0</v>
      </c>
      <c r="E168" s="258">
        <f>SUMIF(GL!$D$6:$D$6484,B168,GL!$H$6:$H$6484)</f>
        <v>0</v>
      </c>
      <c r="F168" s="258">
        <f>SUMIF(GL!$D$6:$D$6484,B168,GL!$I$6:$I$6484)</f>
        <v>0</v>
      </c>
      <c r="G168" s="258">
        <f t="shared" si="5"/>
        <v>0</v>
      </c>
      <c r="H168" s="258">
        <f t="shared" si="6"/>
        <v>0</v>
      </c>
      <c r="I168" s="250">
        <v>7.0000000000000007E-2</v>
      </c>
      <c r="J168" s="251" t="s">
        <v>3828</v>
      </c>
      <c r="K168" s="252"/>
      <c r="L168" s="253">
        <f t="shared" ref="L168:L179" si="38">D168+I168</f>
        <v>7.0000000000000007E-2</v>
      </c>
      <c r="M168" s="128">
        <f t="shared" ref="M168:M179" si="39">(G168+K168)/L168</f>
        <v>0</v>
      </c>
      <c r="N168" s="128">
        <f t="shared" si="1"/>
        <v>0</v>
      </c>
      <c r="O168" s="254">
        <v>0.4</v>
      </c>
      <c r="P168" s="128">
        <f t="shared" si="2"/>
        <v>0</v>
      </c>
      <c r="Q168" s="18">
        <f t="shared" si="3"/>
        <v>0</v>
      </c>
      <c r="R168" s="255">
        <f t="shared" si="4"/>
        <v>0</v>
      </c>
      <c r="S168" s="230"/>
      <c r="T168" s="226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1"/>
      <c r="AG168" s="1"/>
      <c r="AH168" s="1"/>
      <c r="AI168" s="1"/>
      <c r="AJ168" s="1"/>
    </row>
    <row r="169" spans="1:36" ht="13.5" customHeight="1">
      <c r="A169" s="4"/>
      <c r="B169" s="15" t="str">
        <f>TB!B205</f>
        <v>G008</v>
      </c>
      <c r="C169" s="256" t="str">
        <f>TB!C205</f>
        <v>Cooking Oil 1 Ltr</v>
      </c>
      <c r="D169" s="257">
        <f>SUMIF(GL!$D$5:$D$6446,B169,GL!$G$5:$G$6446)</f>
        <v>144</v>
      </c>
      <c r="E169" s="258">
        <f>SUMIF(GL!$D$6:$D$6484,B169,GL!$H$6:$H$6484)</f>
        <v>3148000.0044</v>
      </c>
      <c r="F169" s="258">
        <f>SUMIF(GL!$D$6:$D$6484,B169,GL!$I$6:$I$6484)</f>
        <v>0</v>
      </c>
      <c r="G169" s="258">
        <f t="shared" si="5"/>
        <v>3148000.0044</v>
      </c>
      <c r="H169" s="258">
        <f t="shared" si="6"/>
        <v>0</v>
      </c>
      <c r="I169" s="250">
        <v>152</v>
      </c>
      <c r="J169" s="251">
        <v>21795</v>
      </c>
      <c r="K169" s="252">
        <v>3312902</v>
      </c>
      <c r="L169" s="253">
        <f t="shared" si="38"/>
        <v>296</v>
      </c>
      <c r="M169" s="128">
        <f t="shared" si="39"/>
        <v>21827.371636486485</v>
      </c>
      <c r="N169" s="128">
        <f t="shared" si="1"/>
        <v>6460902.0044</v>
      </c>
      <c r="O169" s="254">
        <v>90</v>
      </c>
      <c r="P169" s="128">
        <f t="shared" si="2"/>
        <v>21827.371636486485</v>
      </c>
      <c r="Q169" s="18">
        <f t="shared" si="3"/>
        <v>1964463.4472837837</v>
      </c>
      <c r="R169" s="255">
        <f t="shared" si="4"/>
        <v>4496438.557116216</v>
      </c>
      <c r="S169" s="230"/>
      <c r="T169" s="226">
        <f t="shared" ref="T169:T176" si="40">J169-M169</f>
        <v>-32.371636486484931</v>
      </c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1"/>
      <c r="AG169" s="1"/>
      <c r="AH169" s="1"/>
      <c r="AI169" s="1"/>
      <c r="AJ169" s="1"/>
    </row>
    <row r="170" spans="1:36" ht="13.5" customHeight="1">
      <c r="A170" s="4"/>
      <c r="B170" s="15" t="str">
        <f>TB!B206</f>
        <v>G009</v>
      </c>
      <c r="C170" s="256" t="str">
        <f>TB!C206</f>
        <v>Kemiri</v>
      </c>
      <c r="D170" s="257">
        <f>SUMIF(GL!$D$5:$D$6446,B170,GL!$G$5:$G$6446)</f>
        <v>0.25</v>
      </c>
      <c r="E170" s="258">
        <f>SUMIF(GL!$D$6:$D$6484,B170,GL!$H$6:$H$6484)</f>
        <v>13750</v>
      </c>
      <c r="F170" s="258">
        <f>SUMIF(GL!$D$6:$D$6484,B170,GL!$I$6:$I$6484)</f>
        <v>0</v>
      </c>
      <c r="G170" s="258">
        <f t="shared" si="5"/>
        <v>13750</v>
      </c>
      <c r="H170" s="258">
        <f t="shared" si="6"/>
        <v>0</v>
      </c>
      <c r="I170" s="250"/>
      <c r="J170" s="251">
        <v>55000</v>
      </c>
      <c r="K170" s="252"/>
      <c r="L170" s="253">
        <f t="shared" si="38"/>
        <v>0.25</v>
      </c>
      <c r="M170" s="128">
        <f t="shared" si="39"/>
        <v>55000</v>
      </c>
      <c r="N170" s="128">
        <f t="shared" si="1"/>
        <v>13750</v>
      </c>
      <c r="O170" s="254">
        <v>0.14000000000000001</v>
      </c>
      <c r="P170" s="128">
        <f t="shared" si="2"/>
        <v>55000</v>
      </c>
      <c r="Q170" s="18">
        <f t="shared" si="3"/>
        <v>7700.0000000000009</v>
      </c>
      <c r="R170" s="255">
        <f t="shared" si="4"/>
        <v>6049.9999999999991</v>
      </c>
      <c r="S170" s="230"/>
      <c r="T170" s="226">
        <f t="shared" si="40"/>
        <v>0</v>
      </c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1"/>
      <c r="AG170" s="1"/>
      <c r="AH170" s="1"/>
      <c r="AI170" s="1"/>
      <c r="AJ170" s="1"/>
    </row>
    <row r="171" spans="1:36" ht="13.5" customHeight="1">
      <c r="A171" s="4"/>
      <c r="B171" s="15" t="str">
        <f>TB!B207</f>
        <v>G010</v>
      </c>
      <c r="C171" s="256" t="str">
        <f>TB!C207</f>
        <v>Tomato Ketchup</v>
      </c>
      <c r="D171" s="257">
        <f>SUMIF(GL!$D$5:$D$6446,B171,GL!$G$5:$G$6446)</f>
        <v>28.5</v>
      </c>
      <c r="E171" s="258">
        <f>SUMIF(GL!$D$6:$D$6484,B171,GL!$H$6:$H$6484)</f>
        <v>463495</v>
      </c>
      <c r="F171" s="258">
        <f>SUMIF(GL!$D$6:$D$6484,B171,GL!$I$6:$I$6484)</f>
        <v>0</v>
      </c>
      <c r="G171" s="258">
        <f t="shared" si="5"/>
        <v>463495</v>
      </c>
      <c r="H171" s="258">
        <f t="shared" si="6"/>
        <v>0</v>
      </c>
      <c r="I171" s="250">
        <v>16.399999999999999</v>
      </c>
      <c r="J171" s="251">
        <v>19597</v>
      </c>
      <c r="K171" s="252">
        <v>321385</v>
      </c>
      <c r="L171" s="253">
        <f t="shared" si="38"/>
        <v>44.9</v>
      </c>
      <c r="M171" s="128">
        <f t="shared" si="39"/>
        <v>17480.623608017817</v>
      </c>
      <c r="N171" s="128">
        <f t="shared" si="1"/>
        <v>784880</v>
      </c>
      <c r="O171" s="254">
        <v>19.5</v>
      </c>
      <c r="P171" s="128">
        <f t="shared" si="2"/>
        <v>17480.623608017817</v>
      </c>
      <c r="Q171" s="18">
        <f t="shared" si="3"/>
        <v>340872.16035634745</v>
      </c>
      <c r="R171" s="255">
        <f t="shared" si="4"/>
        <v>444007.83964365255</v>
      </c>
      <c r="S171" s="230"/>
      <c r="T171" s="226">
        <f t="shared" si="40"/>
        <v>2116.3763919821831</v>
      </c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1"/>
      <c r="AG171" s="1"/>
      <c r="AH171" s="1"/>
      <c r="AI171" s="1"/>
      <c r="AJ171" s="1"/>
    </row>
    <row r="172" spans="1:36" ht="13.5" customHeight="1">
      <c r="A172" s="4"/>
      <c r="B172" s="15" t="str">
        <f>TB!B208</f>
        <v>G011</v>
      </c>
      <c r="C172" s="256" t="str">
        <f>TB!C208</f>
        <v>Honey/Madu</v>
      </c>
      <c r="D172" s="257">
        <f>SUMIF(GL!$D$5:$D$6446,B172,GL!$G$5:$G$6446)</f>
        <v>1.25</v>
      </c>
      <c r="E172" s="258">
        <f>SUMIF(GL!$D$6:$D$6484,B172,GL!$H$6:$H$6484)</f>
        <v>71000</v>
      </c>
      <c r="F172" s="258">
        <f>SUMIF(GL!$D$6:$D$6484,B172,GL!$I$6:$I$6484)</f>
        <v>0</v>
      </c>
      <c r="G172" s="258">
        <f t="shared" si="5"/>
        <v>71000</v>
      </c>
      <c r="H172" s="258">
        <f t="shared" si="6"/>
        <v>0</v>
      </c>
      <c r="I172" s="250">
        <v>0.1</v>
      </c>
      <c r="J172" s="251">
        <v>82400</v>
      </c>
      <c r="K172" s="252">
        <v>8240</v>
      </c>
      <c r="L172" s="253">
        <f t="shared" si="38"/>
        <v>1.35</v>
      </c>
      <c r="M172" s="128">
        <f t="shared" si="39"/>
        <v>58696.296296296292</v>
      </c>
      <c r="N172" s="128">
        <f t="shared" si="1"/>
        <v>79240</v>
      </c>
      <c r="O172" s="254">
        <v>0.4</v>
      </c>
      <c r="P172" s="128">
        <f t="shared" si="2"/>
        <v>58696.296296296292</v>
      </c>
      <c r="Q172" s="18">
        <f t="shared" si="3"/>
        <v>23478.518518518518</v>
      </c>
      <c r="R172" s="255">
        <f t="shared" si="4"/>
        <v>55761.481481481482</v>
      </c>
      <c r="S172" s="230"/>
      <c r="T172" s="226">
        <f t="shared" si="40"/>
        <v>23703.703703703708</v>
      </c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1"/>
      <c r="AG172" s="1"/>
      <c r="AH172" s="1"/>
      <c r="AI172" s="1"/>
      <c r="AJ172" s="1"/>
    </row>
    <row r="173" spans="1:36" ht="13.5" customHeight="1">
      <c r="A173" s="4"/>
      <c r="B173" s="15" t="str">
        <f>TB!B209</f>
        <v>G012</v>
      </c>
      <c r="C173" s="256" t="str">
        <f>TB!C209</f>
        <v>Red Wine Vinegar/CAPE DIS CAB MERLOT</v>
      </c>
      <c r="D173" s="257">
        <f>SUMIF(GL!$D$5:$D$6446,B173,GL!$G$5:$G$6446)</f>
        <v>0</v>
      </c>
      <c r="E173" s="258">
        <f>SUMIF(GL!$D$6:$D$6484,B173,GL!$H$6:$H$6484)</f>
        <v>0</v>
      </c>
      <c r="F173" s="258">
        <f>SUMIF(GL!$D$6:$D$6484,B173,GL!$I$6:$I$6484)</f>
        <v>0</v>
      </c>
      <c r="G173" s="258">
        <f t="shared" si="5"/>
        <v>0</v>
      </c>
      <c r="H173" s="258">
        <f t="shared" si="6"/>
        <v>0</v>
      </c>
      <c r="I173" s="250">
        <v>0.6</v>
      </c>
      <c r="J173" s="251">
        <v>160000</v>
      </c>
      <c r="K173" s="252">
        <v>96000</v>
      </c>
      <c r="L173" s="253">
        <f t="shared" si="38"/>
        <v>0.6</v>
      </c>
      <c r="M173" s="128">
        <f t="shared" si="39"/>
        <v>160000</v>
      </c>
      <c r="N173" s="128">
        <f t="shared" si="1"/>
        <v>96000</v>
      </c>
      <c r="O173" s="254">
        <v>0.3</v>
      </c>
      <c r="P173" s="128">
        <f t="shared" si="2"/>
        <v>160000</v>
      </c>
      <c r="Q173" s="18">
        <f t="shared" si="3"/>
        <v>48000</v>
      </c>
      <c r="R173" s="255">
        <f t="shared" si="4"/>
        <v>48000</v>
      </c>
      <c r="S173" s="230"/>
      <c r="T173" s="226">
        <f t="shared" si="40"/>
        <v>0</v>
      </c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1"/>
      <c r="AG173" s="1"/>
      <c r="AH173" s="1"/>
      <c r="AI173" s="1"/>
      <c r="AJ173" s="1"/>
    </row>
    <row r="174" spans="1:36" ht="13.5" customHeight="1">
      <c r="A174" s="4"/>
      <c r="B174" s="15" t="str">
        <f>TB!B210</f>
        <v>G013</v>
      </c>
      <c r="C174" s="256" t="str">
        <f>TB!C210</f>
        <v>Tepung Roti</v>
      </c>
      <c r="D174" s="257">
        <f>SUMIF(GL!$D$5:$D$6446,B174,GL!$G$5:$G$6446)</f>
        <v>5</v>
      </c>
      <c r="E174" s="258">
        <f>SUMIF(GL!$D$6:$D$6484,B174,GL!$H$6:$H$6484)</f>
        <v>70000</v>
      </c>
      <c r="F174" s="258">
        <f>SUMIF(GL!$D$6:$D$6484,B174,GL!$I$6:$I$6484)</f>
        <v>0</v>
      </c>
      <c r="G174" s="258">
        <f t="shared" si="5"/>
        <v>70000</v>
      </c>
      <c r="H174" s="258">
        <f t="shared" si="6"/>
        <v>0</v>
      </c>
      <c r="I174" s="250"/>
      <c r="J174" s="251"/>
      <c r="K174" s="252"/>
      <c r="L174" s="253">
        <f t="shared" si="38"/>
        <v>5</v>
      </c>
      <c r="M174" s="128">
        <f t="shared" si="39"/>
        <v>14000</v>
      </c>
      <c r="N174" s="128">
        <f t="shared" si="1"/>
        <v>70000</v>
      </c>
      <c r="O174" s="254"/>
      <c r="P174" s="128">
        <f t="shared" si="2"/>
        <v>14000</v>
      </c>
      <c r="Q174" s="18">
        <f t="shared" si="3"/>
        <v>0</v>
      </c>
      <c r="R174" s="255">
        <f t="shared" si="4"/>
        <v>70000</v>
      </c>
      <c r="S174" s="230"/>
      <c r="T174" s="226">
        <f t="shared" si="40"/>
        <v>-14000</v>
      </c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1"/>
      <c r="AG174" s="1"/>
      <c r="AH174" s="1"/>
      <c r="AI174" s="1"/>
      <c r="AJ174" s="1"/>
    </row>
    <row r="175" spans="1:36" ht="13.5" customHeight="1">
      <c r="A175" s="4"/>
      <c r="B175" s="15" t="str">
        <f>TB!B211</f>
        <v>G014</v>
      </c>
      <c r="C175" s="256" t="str">
        <f>TB!C211</f>
        <v>Nachos Chips @500 Gr</v>
      </c>
      <c r="D175" s="257">
        <f>SUMIF(GL!$D$5:$D$6446,B175,GL!$G$5:$G$6446)</f>
        <v>6</v>
      </c>
      <c r="E175" s="258">
        <f>SUMIF(GL!$D$6:$D$6484,B175,GL!$H$6:$H$6484)</f>
        <v>306360</v>
      </c>
      <c r="F175" s="258">
        <f>SUMIF(GL!$D$6:$D$6484,B175,GL!$I$6:$I$6484)</f>
        <v>0</v>
      </c>
      <c r="G175" s="258">
        <f t="shared" si="5"/>
        <v>306360</v>
      </c>
      <c r="H175" s="258">
        <f t="shared" si="6"/>
        <v>0</v>
      </c>
      <c r="I175" s="250">
        <v>4</v>
      </c>
      <c r="J175" s="251">
        <v>50153</v>
      </c>
      <c r="K175" s="252">
        <v>200614</v>
      </c>
      <c r="L175" s="253">
        <f t="shared" si="38"/>
        <v>10</v>
      </c>
      <c r="M175" s="128">
        <f t="shared" si="39"/>
        <v>50697.4</v>
      </c>
      <c r="N175" s="128">
        <f t="shared" si="1"/>
        <v>506974</v>
      </c>
      <c r="O175" s="254">
        <v>4.3899999999999997</v>
      </c>
      <c r="P175" s="128">
        <f t="shared" si="2"/>
        <v>50697.4</v>
      </c>
      <c r="Q175" s="18">
        <f t="shared" si="3"/>
        <v>222561.58599999998</v>
      </c>
      <c r="R175" s="255">
        <f t="shared" si="4"/>
        <v>284412.41399999999</v>
      </c>
      <c r="S175" s="230"/>
      <c r="T175" s="226">
        <f t="shared" si="40"/>
        <v>-544.40000000000146</v>
      </c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1"/>
      <c r="AG175" s="1"/>
      <c r="AH175" s="1"/>
      <c r="AI175" s="1"/>
      <c r="AJ175" s="1"/>
    </row>
    <row r="176" spans="1:36" ht="13.5" customHeight="1">
      <c r="A176" s="4"/>
      <c r="B176" s="15" t="str">
        <f>TB!B212</f>
        <v>G015</v>
      </c>
      <c r="C176" s="256" t="str">
        <f>TB!C212</f>
        <v>Tepung Terigu 1 Kg/Flour</v>
      </c>
      <c r="D176" s="257">
        <f>SUMIF(GL!$D$5:$D$6446,B176,GL!$G$5:$G$6446)</f>
        <v>50</v>
      </c>
      <c r="E176" s="258">
        <f>SUMIF(GL!$D$6:$D$6484,B176,GL!$H$6:$H$6484)</f>
        <v>660450</v>
      </c>
      <c r="F176" s="258">
        <f>SUMIF(GL!$D$6:$D$6484,B176,GL!$I$6:$I$6484)</f>
        <v>0</v>
      </c>
      <c r="G176" s="258">
        <f t="shared" si="5"/>
        <v>660450</v>
      </c>
      <c r="H176" s="258">
        <f t="shared" si="6"/>
        <v>0</v>
      </c>
      <c r="I176" s="250">
        <v>37.299999999999997</v>
      </c>
      <c r="J176" s="251">
        <v>13058</v>
      </c>
      <c r="K176" s="252">
        <v>487072</v>
      </c>
      <c r="L176" s="253">
        <f t="shared" si="38"/>
        <v>87.3</v>
      </c>
      <c r="M176" s="128">
        <f t="shared" si="39"/>
        <v>13144.581901489119</v>
      </c>
      <c r="N176" s="128">
        <f t="shared" si="1"/>
        <v>1147522</v>
      </c>
      <c r="O176" s="254">
        <v>28.5</v>
      </c>
      <c r="P176" s="128">
        <f t="shared" si="2"/>
        <v>13144.581901489119</v>
      </c>
      <c r="Q176" s="18">
        <f t="shared" si="3"/>
        <v>374620.58419243986</v>
      </c>
      <c r="R176" s="255">
        <f t="shared" si="4"/>
        <v>772901.41580756009</v>
      </c>
      <c r="S176" s="230"/>
      <c r="T176" s="226">
        <f t="shared" si="40"/>
        <v>-86.581901489118536</v>
      </c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1"/>
      <c r="AG176" s="1"/>
      <c r="AH176" s="1"/>
      <c r="AI176" s="1"/>
      <c r="AJ176" s="1"/>
    </row>
    <row r="177" spans="1:36" ht="13.5" customHeight="1">
      <c r="A177" s="4"/>
      <c r="B177" s="15" t="str">
        <f>TB!B213</f>
        <v>G016</v>
      </c>
      <c r="C177" s="256" t="str">
        <f>TB!C213</f>
        <v>Bbq Sauce</v>
      </c>
      <c r="D177" s="257">
        <f>SUMIF(GL!$D$5:$D$6446,B177,GL!$G$5:$G$6446)</f>
        <v>0</v>
      </c>
      <c r="E177" s="258">
        <f>SUMIF(GL!$D$6:$D$6484,B177,GL!$H$6:$H$6484)</f>
        <v>0</v>
      </c>
      <c r="F177" s="258">
        <f>SUMIF(GL!$D$6:$D$6484,B177,GL!$I$6:$I$6484)</f>
        <v>0</v>
      </c>
      <c r="G177" s="258">
        <f t="shared" si="5"/>
        <v>0</v>
      </c>
      <c r="H177" s="258">
        <f t="shared" si="6"/>
        <v>0</v>
      </c>
      <c r="I177" s="250">
        <v>0.25</v>
      </c>
      <c r="J177" s="251" t="s">
        <v>3828</v>
      </c>
      <c r="K177" s="252"/>
      <c r="L177" s="253">
        <f t="shared" si="38"/>
        <v>0.25</v>
      </c>
      <c r="M177" s="128">
        <f t="shared" si="39"/>
        <v>0</v>
      </c>
      <c r="N177" s="128">
        <f t="shared" si="1"/>
        <v>0</v>
      </c>
      <c r="O177" s="254"/>
      <c r="P177" s="128">
        <f t="shared" si="2"/>
        <v>0</v>
      </c>
      <c r="Q177" s="18">
        <f t="shared" si="3"/>
        <v>0</v>
      </c>
      <c r="R177" s="255">
        <f t="shared" si="4"/>
        <v>0</v>
      </c>
      <c r="S177" s="230"/>
      <c r="T177" s="226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1"/>
      <c r="AG177" s="1"/>
      <c r="AH177" s="1"/>
      <c r="AI177" s="1"/>
      <c r="AJ177" s="1"/>
    </row>
    <row r="178" spans="1:36" ht="13.5" customHeight="1">
      <c r="A178" s="4"/>
      <c r="B178" s="15" t="str">
        <f>TB!B214</f>
        <v>G017</v>
      </c>
      <c r="C178" s="256" t="str">
        <f>TB!C214</f>
        <v>Tomato Peeled</v>
      </c>
      <c r="D178" s="257">
        <f>SUMIF(GL!$D$5:$D$6446,B178,GL!$G$5:$G$6446)</f>
        <v>24</v>
      </c>
      <c r="E178" s="258">
        <f>SUMIF(GL!$D$6:$D$6484,B178,GL!$H$6:$H$6484)</f>
        <v>2297432</v>
      </c>
      <c r="F178" s="258">
        <f>SUMIF(GL!$D$6:$D$6484,B178,GL!$I$6:$I$6484)</f>
        <v>0</v>
      </c>
      <c r="G178" s="258">
        <f t="shared" si="5"/>
        <v>2297432</v>
      </c>
      <c r="H178" s="258">
        <f t="shared" si="6"/>
        <v>0</v>
      </c>
      <c r="I178" s="250">
        <v>12</v>
      </c>
      <c r="J178" s="251">
        <v>90252</v>
      </c>
      <c r="K178" s="252">
        <v>1083026</v>
      </c>
      <c r="L178" s="253">
        <f t="shared" si="38"/>
        <v>36</v>
      </c>
      <c r="M178" s="128">
        <f t="shared" si="39"/>
        <v>93901.611111111109</v>
      </c>
      <c r="N178" s="128">
        <f t="shared" si="1"/>
        <v>3380458</v>
      </c>
      <c r="O178" s="254">
        <v>30</v>
      </c>
      <c r="P178" s="128">
        <f t="shared" si="2"/>
        <v>93901.611111111109</v>
      </c>
      <c r="Q178" s="18">
        <f t="shared" si="3"/>
        <v>2817048.3333333335</v>
      </c>
      <c r="R178" s="255">
        <f t="shared" si="4"/>
        <v>563409.66666666651</v>
      </c>
      <c r="S178" s="230"/>
      <c r="T178" s="226">
        <f t="shared" ref="T178:T184" si="41">J178-M178</f>
        <v>-3649.6111111111095</v>
      </c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1"/>
      <c r="AG178" s="1"/>
      <c r="AH178" s="1"/>
      <c r="AI178" s="1"/>
      <c r="AJ178" s="1"/>
    </row>
    <row r="179" spans="1:36" ht="13.5" customHeight="1">
      <c r="A179" s="4"/>
      <c r="B179" s="15" t="str">
        <f>TB!B215</f>
        <v>G018</v>
      </c>
      <c r="C179" s="256" t="str">
        <f>TB!C215</f>
        <v>Salt</v>
      </c>
      <c r="D179" s="257">
        <f>SUMIF(GL!$D$5:$D$6446,B179,GL!$G$5:$G$6446)</f>
        <v>4</v>
      </c>
      <c r="E179" s="258">
        <f>SUMIF(GL!$D$6:$D$6484,B179,GL!$H$6:$H$6484)</f>
        <v>83000</v>
      </c>
      <c r="F179" s="258">
        <f>SUMIF(GL!$D$6:$D$6484,B179,GL!$I$6:$I$6484)</f>
        <v>0</v>
      </c>
      <c r="G179" s="258">
        <f t="shared" si="5"/>
        <v>83000</v>
      </c>
      <c r="H179" s="258">
        <f t="shared" si="6"/>
        <v>0</v>
      </c>
      <c r="I179" s="250">
        <v>0.5</v>
      </c>
      <c r="J179" s="251">
        <v>24649</v>
      </c>
      <c r="K179" s="252">
        <v>12325</v>
      </c>
      <c r="L179" s="253">
        <f t="shared" si="38"/>
        <v>4.5</v>
      </c>
      <c r="M179" s="128">
        <f t="shared" si="39"/>
        <v>21183.333333333332</v>
      </c>
      <c r="N179" s="128">
        <f t="shared" si="1"/>
        <v>95325</v>
      </c>
      <c r="O179" s="254">
        <v>0.4</v>
      </c>
      <c r="P179" s="128">
        <f t="shared" si="2"/>
        <v>21183.333333333332</v>
      </c>
      <c r="Q179" s="18">
        <f t="shared" si="3"/>
        <v>8473.3333333333339</v>
      </c>
      <c r="R179" s="255">
        <f t="shared" si="4"/>
        <v>86851.666666666672</v>
      </c>
      <c r="S179" s="230"/>
      <c r="T179" s="226">
        <f t="shared" si="41"/>
        <v>3465.6666666666679</v>
      </c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1"/>
      <c r="AG179" s="1"/>
      <c r="AH179" s="1"/>
      <c r="AI179" s="1"/>
      <c r="AJ179" s="1"/>
    </row>
    <row r="180" spans="1:36" ht="13.5" customHeight="1">
      <c r="A180" s="4"/>
      <c r="B180" s="15" t="str">
        <f>TB!B216</f>
        <v>G019</v>
      </c>
      <c r="C180" s="256" t="str">
        <f>TB!C216</f>
        <v>Chesse Sandwich</v>
      </c>
      <c r="D180" s="257">
        <f>SUMIF(GL!$D$5:$D$6446,B180,GL!$G$5:$G$6446)</f>
        <v>0</v>
      </c>
      <c r="E180" s="258">
        <f>SUMIF(GL!$D$6:$D$6484,B180,GL!$H$6:$H$6484)</f>
        <v>0</v>
      </c>
      <c r="F180" s="258">
        <f>SUMIF(GL!$D$6:$D$6484,B180,GL!$I$6:$I$6484)</f>
        <v>0</v>
      </c>
      <c r="G180" s="258">
        <f t="shared" si="5"/>
        <v>0</v>
      </c>
      <c r="H180" s="258">
        <f t="shared" si="6"/>
        <v>0</v>
      </c>
      <c r="I180" s="250"/>
      <c r="J180" s="251"/>
      <c r="K180" s="252"/>
      <c r="L180" s="253"/>
      <c r="M180" s="128"/>
      <c r="N180" s="128">
        <f t="shared" si="1"/>
        <v>0</v>
      </c>
      <c r="O180" s="254"/>
      <c r="P180" s="128">
        <f t="shared" si="2"/>
        <v>0</v>
      </c>
      <c r="Q180" s="18">
        <f t="shared" si="3"/>
        <v>0</v>
      </c>
      <c r="R180" s="255">
        <f t="shared" si="4"/>
        <v>0</v>
      </c>
      <c r="S180" s="230"/>
      <c r="T180" s="226">
        <f t="shared" si="41"/>
        <v>0</v>
      </c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1"/>
      <c r="AG180" s="1"/>
      <c r="AH180" s="1"/>
      <c r="AI180" s="1"/>
      <c r="AJ180" s="1"/>
    </row>
    <row r="181" spans="1:36" ht="13.5" customHeight="1">
      <c r="A181" s="4"/>
      <c r="B181" s="15" t="str">
        <f>TB!B217</f>
        <v>G020</v>
      </c>
      <c r="C181" s="256" t="str">
        <f>TB!C217</f>
        <v>Frestive - Kuhne Feine Corn (Acar)</v>
      </c>
      <c r="D181" s="257">
        <f>SUMIF(GL!$D$5:$D$6446,B181,GL!$G$5:$G$6446)</f>
        <v>0</v>
      </c>
      <c r="E181" s="258">
        <f>SUMIF(GL!$D$6:$D$6484,B181,GL!$H$6:$H$6484)</f>
        <v>0</v>
      </c>
      <c r="F181" s="258">
        <f>SUMIF(GL!$D$6:$D$6484,B181,GL!$I$6:$I$6484)</f>
        <v>0</v>
      </c>
      <c r="G181" s="258">
        <f t="shared" si="5"/>
        <v>0</v>
      </c>
      <c r="H181" s="258">
        <f t="shared" si="6"/>
        <v>0</v>
      </c>
      <c r="I181" s="250">
        <v>0.33</v>
      </c>
      <c r="J181" s="251"/>
      <c r="K181" s="252"/>
      <c r="L181" s="253">
        <f t="shared" ref="L181:L189" si="42">D181+I181</f>
        <v>0.33</v>
      </c>
      <c r="M181" s="128">
        <f t="shared" ref="M181:M189" si="43">(G181+K181)/L181</f>
        <v>0</v>
      </c>
      <c r="N181" s="128">
        <f t="shared" si="1"/>
        <v>0</v>
      </c>
      <c r="O181" s="254">
        <v>0.35</v>
      </c>
      <c r="P181" s="128">
        <f t="shared" si="2"/>
        <v>0</v>
      </c>
      <c r="Q181" s="18">
        <f t="shared" si="3"/>
        <v>0</v>
      </c>
      <c r="R181" s="255">
        <f t="shared" si="4"/>
        <v>0</v>
      </c>
      <c r="S181" s="230"/>
      <c r="T181" s="226">
        <f t="shared" si="41"/>
        <v>0</v>
      </c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1"/>
      <c r="AG181" s="1"/>
      <c r="AH181" s="1"/>
      <c r="AI181" s="1"/>
      <c r="AJ181" s="1"/>
    </row>
    <row r="182" spans="1:36" ht="13.5" customHeight="1">
      <c r="A182" s="4"/>
      <c r="B182" s="15" t="str">
        <f>TB!B218</f>
        <v>G021</v>
      </c>
      <c r="C182" s="256" t="str">
        <f>TB!C218</f>
        <v>Fetta Chesse</v>
      </c>
      <c r="D182" s="257">
        <f>SUMIF(GL!$D$5:$D$6446,B182,GL!$G$5:$G$6446)</f>
        <v>0</v>
      </c>
      <c r="E182" s="258">
        <f>SUMIF(GL!$D$6:$D$6484,B182,GL!$H$6:$H$6484)</f>
        <v>0</v>
      </c>
      <c r="F182" s="258">
        <f>SUMIF(GL!$D$6:$D$6484,B182,GL!$I$6:$I$6484)</f>
        <v>0</v>
      </c>
      <c r="G182" s="258">
        <f t="shared" si="5"/>
        <v>0</v>
      </c>
      <c r="H182" s="258">
        <f t="shared" si="6"/>
        <v>0</v>
      </c>
      <c r="I182" s="250">
        <v>0.93</v>
      </c>
      <c r="J182" s="251">
        <v>153471</v>
      </c>
      <c r="K182" s="252">
        <v>142728</v>
      </c>
      <c r="L182" s="253">
        <f t="shared" si="42"/>
        <v>0.93</v>
      </c>
      <c r="M182" s="128">
        <f t="shared" si="43"/>
        <v>153470.96774193548</v>
      </c>
      <c r="N182" s="128">
        <f t="shared" si="1"/>
        <v>142728</v>
      </c>
      <c r="O182" s="254">
        <v>0.81</v>
      </c>
      <c r="P182" s="128">
        <f t="shared" si="2"/>
        <v>153470.96774193548</v>
      </c>
      <c r="Q182" s="18">
        <f t="shared" si="3"/>
        <v>124311.48387096776</v>
      </c>
      <c r="R182" s="255">
        <f t="shared" si="4"/>
        <v>18416.516129032243</v>
      </c>
      <c r="S182" s="230"/>
      <c r="T182" s="226">
        <f t="shared" si="41"/>
        <v>3.2258064515190199E-2</v>
      </c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1"/>
      <c r="AG182" s="1"/>
      <c r="AH182" s="1"/>
      <c r="AI182" s="1"/>
      <c r="AJ182" s="1"/>
    </row>
    <row r="183" spans="1:36" ht="13.5" customHeight="1">
      <c r="A183" s="4"/>
      <c r="B183" s="15" t="str">
        <f>TB!B219</f>
        <v>G022</v>
      </c>
      <c r="C183" s="256" t="str">
        <f>TB!C219</f>
        <v>Cheese Mozzarella</v>
      </c>
      <c r="D183" s="257">
        <f>SUMIF(GL!$D$5:$D$6446,B183,GL!$G$5:$G$6446)</f>
        <v>50.6</v>
      </c>
      <c r="E183" s="258">
        <f>SUMIF(GL!$D$6:$D$6484,B183,GL!$H$6:$H$6484)</f>
        <v>7357746</v>
      </c>
      <c r="F183" s="258">
        <f>SUMIF(GL!$D$6:$D$6484,B183,GL!$I$6:$I$6484)</f>
        <v>0</v>
      </c>
      <c r="G183" s="258">
        <f t="shared" si="5"/>
        <v>7357746</v>
      </c>
      <c r="H183" s="258">
        <f t="shared" si="6"/>
        <v>0</v>
      </c>
      <c r="I183" s="250">
        <v>36.47</v>
      </c>
      <c r="J183" s="251">
        <v>144874</v>
      </c>
      <c r="K183" s="252">
        <v>5283551</v>
      </c>
      <c r="L183" s="253">
        <f t="shared" si="42"/>
        <v>87.07</v>
      </c>
      <c r="M183" s="128">
        <f t="shared" si="43"/>
        <v>145185.44848972093</v>
      </c>
      <c r="N183" s="128">
        <f t="shared" si="1"/>
        <v>12641297</v>
      </c>
      <c r="O183" s="254">
        <v>49.17</v>
      </c>
      <c r="P183" s="128">
        <f t="shared" si="2"/>
        <v>145185.44848972093</v>
      </c>
      <c r="Q183" s="18">
        <f t="shared" si="3"/>
        <v>7138768.5022395784</v>
      </c>
      <c r="R183" s="255">
        <f t="shared" si="4"/>
        <v>5502528.4977604216</v>
      </c>
      <c r="S183" s="230"/>
      <c r="T183" s="226">
        <f t="shared" si="41"/>
        <v>-311.44848972093314</v>
      </c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1"/>
      <c r="AG183" s="1"/>
      <c r="AH183" s="1"/>
      <c r="AI183" s="1"/>
      <c r="AJ183" s="1"/>
    </row>
    <row r="184" spans="1:36" ht="13.5" customHeight="1">
      <c r="A184" s="263"/>
      <c r="B184" s="15" t="str">
        <f>TB!B220</f>
        <v>G023</v>
      </c>
      <c r="C184" s="256" t="str">
        <f>TB!C220</f>
        <v>Egg/Telur</v>
      </c>
      <c r="D184" s="257">
        <f>SUMIF(GL!$D$5:$D$6446,B184,GL!$G$5:$G$6446)</f>
        <v>960</v>
      </c>
      <c r="E184" s="258">
        <f>SUMIF(GL!$D$6:$D$6484,B184,GL!$H$6:$H$6484)</f>
        <v>1759000</v>
      </c>
      <c r="F184" s="258">
        <f>SUMIF(GL!$D$6:$D$6484,B184,GL!$I$6:$I$6484)</f>
        <v>0</v>
      </c>
      <c r="G184" s="258">
        <f t="shared" si="5"/>
        <v>1759000</v>
      </c>
      <c r="H184" s="258">
        <f t="shared" si="6"/>
        <v>0</v>
      </c>
      <c r="I184" s="250">
        <v>0.83</v>
      </c>
      <c r="J184" s="251">
        <v>1834</v>
      </c>
      <c r="K184" s="252">
        <v>1522</v>
      </c>
      <c r="L184" s="253">
        <f t="shared" si="42"/>
        <v>960.83</v>
      </c>
      <c r="M184" s="128">
        <f t="shared" si="43"/>
        <v>1832.2929134186068</v>
      </c>
      <c r="N184" s="128">
        <f t="shared" si="1"/>
        <v>1760522</v>
      </c>
      <c r="O184" s="254">
        <v>316</v>
      </c>
      <c r="P184" s="128">
        <f t="shared" si="2"/>
        <v>1832.2929134186068</v>
      </c>
      <c r="Q184" s="18">
        <f t="shared" si="3"/>
        <v>579004.56064027979</v>
      </c>
      <c r="R184" s="255">
        <f t="shared" si="4"/>
        <v>1181517.4393597203</v>
      </c>
      <c r="S184" s="230"/>
      <c r="T184" s="226">
        <f t="shared" si="41"/>
        <v>1.7070865813932414</v>
      </c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1"/>
      <c r="AG184" s="1"/>
      <c r="AH184" s="1"/>
      <c r="AI184" s="1"/>
      <c r="AJ184" s="1"/>
    </row>
    <row r="185" spans="1:36" ht="13.5" customHeight="1">
      <c r="A185" s="4"/>
      <c r="B185" s="15" t="str">
        <f>TB!B221</f>
        <v>G024</v>
      </c>
      <c r="C185" s="256" t="str">
        <f>TB!C221</f>
        <v>Saos Sriracha 200Ml</v>
      </c>
      <c r="D185" s="257">
        <f>SUMIF(GL!$D$5:$D$6446,B185,GL!$G$5:$G$6446)</f>
        <v>0</v>
      </c>
      <c r="E185" s="258">
        <f>SUMIF(GL!$D$6:$D$6484,B185,GL!$H$6:$H$6484)</f>
        <v>0</v>
      </c>
      <c r="F185" s="258">
        <f>SUMIF(GL!$D$6:$D$6484,B185,GL!$I$6:$I$6484)</f>
        <v>0</v>
      </c>
      <c r="G185" s="258">
        <f t="shared" si="5"/>
        <v>0</v>
      </c>
      <c r="H185" s="258">
        <f t="shared" si="6"/>
        <v>0</v>
      </c>
      <c r="I185" s="250">
        <v>0.18</v>
      </c>
      <c r="J185" s="251" t="s">
        <v>3828</v>
      </c>
      <c r="K185" s="252"/>
      <c r="L185" s="253">
        <f t="shared" si="42"/>
        <v>0.18</v>
      </c>
      <c r="M185" s="128">
        <f t="shared" si="43"/>
        <v>0</v>
      </c>
      <c r="N185" s="128">
        <f t="shared" si="1"/>
        <v>0</v>
      </c>
      <c r="O185" s="254"/>
      <c r="P185" s="128">
        <f t="shared" si="2"/>
        <v>0</v>
      </c>
      <c r="Q185" s="18">
        <f t="shared" si="3"/>
        <v>0</v>
      </c>
      <c r="R185" s="255">
        <f t="shared" si="4"/>
        <v>0</v>
      </c>
      <c r="S185" s="230"/>
      <c r="T185" s="226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1"/>
      <c r="AG185" s="1"/>
      <c r="AH185" s="1"/>
      <c r="AI185" s="1"/>
      <c r="AJ185" s="1"/>
    </row>
    <row r="186" spans="1:36" ht="13.5" customHeight="1">
      <c r="A186" s="4"/>
      <c r="B186" s="15" t="str">
        <f>TB!B222</f>
        <v>G025</v>
      </c>
      <c r="C186" s="256" t="str">
        <f>TB!C222</f>
        <v>Tepung Maizena</v>
      </c>
      <c r="D186" s="257">
        <f>SUMIF(GL!$D$5:$D$6446,B186,GL!$G$5:$G$6446)</f>
        <v>2</v>
      </c>
      <c r="E186" s="258">
        <f>SUMIF(GL!$D$6:$D$6484,B186,GL!$H$6:$H$6484)</f>
        <v>50000</v>
      </c>
      <c r="F186" s="258">
        <f>SUMIF(GL!$D$6:$D$6484,B186,GL!$I$6:$I$6484)</f>
        <v>0</v>
      </c>
      <c r="G186" s="258">
        <f t="shared" si="5"/>
        <v>50000</v>
      </c>
      <c r="H186" s="258">
        <f t="shared" si="6"/>
        <v>0</v>
      </c>
      <c r="I186" s="250">
        <v>0.7</v>
      </c>
      <c r="J186" s="251">
        <v>25840</v>
      </c>
      <c r="K186" s="252">
        <v>18088</v>
      </c>
      <c r="L186" s="253">
        <f t="shared" si="42"/>
        <v>2.7</v>
      </c>
      <c r="M186" s="128">
        <f t="shared" si="43"/>
        <v>25217.777777777777</v>
      </c>
      <c r="N186" s="128">
        <f t="shared" si="1"/>
        <v>68088</v>
      </c>
      <c r="O186" s="254">
        <v>1</v>
      </c>
      <c r="P186" s="128">
        <f t="shared" si="2"/>
        <v>25217.777777777777</v>
      </c>
      <c r="Q186" s="18">
        <f t="shared" si="3"/>
        <v>25217.777777777777</v>
      </c>
      <c r="R186" s="255">
        <f t="shared" si="4"/>
        <v>42870.222222222219</v>
      </c>
      <c r="S186" s="230"/>
      <c r="T186" s="226">
        <f t="shared" ref="T186:T221" si="44">J186-M186</f>
        <v>622.22222222222263</v>
      </c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1"/>
      <c r="AG186" s="1"/>
      <c r="AH186" s="1"/>
      <c r="AI186" s="1"/>
      <c r="AJ186" s="1"/>
    </row>
    <row r="187" spans="1:36" ht="13.5" customHeight="1">
      <c r="A187" s="4"/>
      <c r="B187" s="15" t="str">
        <f>TB!B223</f>
        <v>G026</v>
      </c>
      <c r="C187" s="256" t="str">
        <f>TB!C223</f>
        <v>Butter</v>
      </c>
      <c r="D187" s="257">
        <f>SUMIF(GL!$D$5:$D$6446,B187,GL!$G$5:$G$6446)</f>
        <v>5</v>
      </c>
      <c r="E187" s="258">
        <f>SUMIF(GL!$D$6:$D$6484,B187,GL!$H$6:$H$6484)</f>
        <v>1282216</v>
      </c>
      <c r="F187" s="258">
        <f>SUMIF(GL!$D$6:$D$6484,B187,GL!$I$6:$I$6484)</f>
        <v>0</v>
      </c>
      <c r="G187" s="258">
        <f t="shared" si="5"/>
        <v>1282216</v>
      </c>
      <c r="H187" s="258">
        <f t="shared" si="6"/>
        <v>0</v>
      </c>
      <c r="I187" s="250">
        <v>5.45</v>
      </c>
      <c r="J187" s="251">
        <v>71177</v>
      </c>
      <c r="K187" s="252">
        <v>387917</v>
      </c>
      <c r="L187" s="253">
        <f t="shared" si="42"/>
        <v>10.45</v>
      </c>
      <c r="M187" s="128">
        <f t="shared" si="43"/>
        <v>159821.33971291868</v>
      </c>
      <c r="N187" s="128">
        <f t="shared" si="1"/>
        <v>1670133</v>
      </c>
      <c r="O187" s="254">
        <v>0.98</v>
      </c>
      <c r="P187" s="128">
        <f t="shared" si="2"/>
        <v>159821.33971291868</v>
      </c>
      <c r="Q187" s="18">
        <f t="shared" si="3"/>
        <v>156624.91291866029</v>
      </c>
      <c r="R187" s="255">
        <f t="shared" si="4"/>
        <v>1513508.0870813397</v>
      </c>
      <c r="S187" s="230"/>
      <c r="T187" s="226">
        <f t="shared" si="44"/>
        <v>-88644.339712918678</v>
      </c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1"/>
      <c r="AG187" s="1"/>
      <c r="AH187" s="1"/>
      <c r="AI187" s="1"/>
      <c r="AJ187" s="1"/>
    </row>
    <row r="188" spans="1:36" ht="13.5" customHeight="1">
      <c r="A188" s="4"/>
      <c r="B188" s="15" t="str">
        <f>TB!B224</f>
        <v>G027</v>
      </c>
      <c r="C188" s="256" t="str">
        <f>TB!C224</f>
        <v>French Fries / Straight Cut</v>
      </c>
      <c r="D188" s="257">
        <f>SUMIF(GL!$D$5:$D$6446,B188,GL!$G$5:$G$6446)</f>
        <v>120</v>
      </c>
      <c r="E188" s="258">
        <f>SUMIF(GL!$D$6:$D$6484,B188,GL!$H$6:$H$6484)</f>
        <v>3480000</v>
      </c>
      <c r="F188" s="258">
        <f>SUMIF(GL!$D$6:$D$6484,B188,GL!$I$6:$I$6484)</f>
        <v>0</v>
      </c>
      <c r="G188" s="258">
        <f t="shared" si="5"/>
        <v>3480000</v>
      </c>
      <c r="H188" s="258">
        <f t="shared" si="6"/>
        <v>0</v>
      </c>
      <c r="I188" s="250">
        <v>14.7</v>
      </c>
      <c r="J188" s="251">
        <v>29000</v>
      </c>
      <c r="K188" s="252">
        <v>426300</v>
      </c>
      <c r="L188" s="253">
        <f t="shared" si="42"/>
        <v>134.69999999999999</v>
      </c>
      <c r="M188" s="128">
        <f t="shared" si="43"/>
        <v>29000.000000000004</v>
      </c>
      <c r="N188" s="128">
        <f t="shared" si="1"/>
        <v>3906300</v>
      </c>
      <c r="O188" s="254">
        <v>37.4</v>
      </c>
      <c r="P188" s="128">
        <f t="shared" si="2"/>
        <v>29000.000000000004</v>
      </c>
      <c r="Q188" s="18">
        <f t="shared" si="3"/>
        <v>1084600</v>
      </c>
      <c r="R188" s="255">
        <f t="shared" si="4"/>
        <v>2821700</v>
      </c>
      <c r="S188" s="230"/>
      <c r="T188" s="226">
        <f t="shared" si="44"/>
        <v>0</v>
      </c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1"/>
      <c r="AG188" s="1"/>
      <c r="AH188" s="1"/>
      <c r="AI188" s="1"/>
      <c r="AJ188" s="1"/>
    </row>
    <row r="189" spans="1:36" ht="13.5" customHeight="1">
      <c r="A189" s="4"/>
      <c r="B189" s="15" t="str">
        <f>TB!B225</f>
        <v>G028</v>
      </c>
      <c r="C189" s="256" t="str">
        <f>TB!C225</f>
        <v>Frestive - Berni Artchks</v>
      </c>
      <c r="D189" s="257">
        <f>SUMIF(GL!$D$5:$D$6446,B189,GL!$G$5:$G$6446)</f>
        <v>1</v>
      </c>
      <c r="E189" s="258">
        <f>SUMIF(GL!$D$6:$D$6484,B189,GL!$H$6:$H$6484)</f>
        <v>126000</v>
      </c>
      <c r="F189" s="258">
        <f>SUMIF(GL!$D$6:$D$6484,B189,GL!$I$6:$I$6484)</f>
        <v>0</v>
      </c>
      <c r="G189" s="258">
        <f t="shared" si="5"/>
        <v>126000</v>
      </c>
      <c r="H189" s="258">
        <f t="shared" si="6"/>
        <v>0</v>
      </c>
      <c r="I189" s="250">
        <v>7.0000000000000007E-2</v>
      </c>
      <c r="J189" s="251">
        <v>126000</v>
      </c>
      <c r="K189" s="252">
        <v>8820</v>
      </c>
      <c r="L189" s="253">
        <f t="shared" si="42"/>
        <v>1.07</v>
      </c>
      <c r="M189" s="128">
        <f t="shared" si="43"/>
        <v>125999.99999999999</v>
      </c>
      <c r="N189" s="128">
        <f t="shared" si="1"/>
        <v>134820</v>
      </c>
      <c r="O189" s="254">
        <v>0.88</v>
      </c>
      <c r="P189" s="128">
        <f t="shared" si="2"/>
        <v>125999.99999999999</v>
      </c>
      <c r="Q189" s="18">
        <f t="shared" si="3"/>
        <v>110879.99999999999</v>
      </c>
      <c r="R189" s="255">
        <f t="shared" si="4"/>
        <v>23940.000000000015</v>
      </c>
      <c r="S189" s="230"/>
      <c r="T189" s="226">
        <f t="shared" si="44"/>
        <v>0</v>
      </c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1"/>
      <c r="AG189" s="1"/>
      <c r="AH189" s="1"/>
      <c r="AI189" s="1"/>
      <c r="AJ189" s="1"/>
    </row>
    <row r="190" spans="1:36" ht="13.5" customHeight="1">
      <c r="A190" s="4"/>
      <c r="B190" s="15" t="str">
        <f>TB!B226</f>
        <v>G029</v>
      </c>
      <c r="C190" s="256" t="str">
        <f>TB!C226</f>
        <v>Salt Sachet</v>
      </c>
      <c r="D190" s="257">
        <f>SUMIF(GL!$D$5:$D$6446,B190,GL!$G$5:$G$6446)</f>
        <v>0</v>
      </c>
      <c r="E190" s="258">
        <f>SUMIF(GL!$D$6:$D$6484,B190,GL!$H$6:$H$6484)</f>
        <v>0</v>
      </c>
      <c r="F190" s="258">
        <f>SUMIF(GL!$D$6:$D$6484,B190,GL!$I$6:$I$6484)</f>
        <v>0</v>
      </c>
      <c r="G190" s="258">
        <f t="shared" si="5"/>
        <v>0</v>
      </c>
      <c r="H190" s="258">
        <f t="shared" si="6"/>
        <v>0</v>
      </c>
      <c r="I190" s="250"/>
      <c r="J190" s="251">
        <v>11000</v>
      </c>
      <c r="K190" s="252"/>
      <c r="L190" s="253"/>
      <c r="M190" s="128"/>
      <c r="N190" s="128">
        <f t="shared" si="1"/>
        <v>0</v>
      </c>
      <c r="O190" s="254"/>
      <c r="P190" s="128">
        <f t="shared" si="2"/>
        <v>0</v>
      </c>
      <c r="Q190" s="18">
        <f t="shared" si="3"/>
        <v>0</v>
      </c>
      <c r="R190" s="255">
        <f t="shared" si="4"/>
        <v>0</v>
      </c>
      <c r="S190" s="230"/>
      <c r="T190" s="226">
        <f t="shared" si="44"/>
        <v>11000</v>
      </c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1"/>
      <c r="AG190" s="1"/>
      <c r="AH190" s="1"/>
      <c r="AI190" s="1"/>
      <c r="AJ190" s="1"/>
    </row>
    <row r="191" spans="1:36" ht="13.5" customHeight="1">
      <c r="A191" s="259"/>
      <c r="B191" s="15" t="str">
        <f>TB!B227</f>
        <v>G030</v>
      </c>
      <c r="C191" s="256" t="str">
        <f>TB!C227</f>
        <v>Sambal Kethcup</v>
      </c>
      <c r="D191" s="257">
        <f>SUMIF(GL!$D$5:$D$6446,B191,GL!$G$5:$G$6446)</f>
        <v>13</v>
      </c>
      <c r="E191" s="258">
        <f>SUMIF(GL!$D$6:$D$6484,B191,GL!$H$6:$H$6484)</f>
        <v>297100</v>
      </c>
      <c r="F191" s="258">
        <f>SUMIF(GL!$D$6:$D$6484,B191,GL!$I$6:$I$6484)</f>
        <v>0</v>
      </c>
      <c r="G191" s="258">
        <f t="shared" si="5"/>
        <v>297100</v>
      </c>
      <c r="H191" s="258">
        <f t="shared" si="6"/>
        <v>0</v>
      </c>
      <c r="I191" s="250">
        <v>24.4</v>
      </c>
      <c r="J191" s="251">
        <v>26291</v>
      </c>
      <c r="K191" s="252">
        <v>641499</v>
      </c>
      <c r="L191" s="253">
        <f>D191+I191</f>
        <v>37.4</v>
      </c>
      <c r="M191" s="128">
        <f>(G191+K191)/L191</f>
        <v>25096.229946524065</v>
      </c>
      <c r="N191" s="128">
        <f t="shared" si="1"/>
        <v>938599</v>
      </c>
      <c r="O191" s="254">
        <v>22</v>
      </c>
      <c r="P191" s="128">
        <f t="shared" si="2"/>
        <v>25096.229946524065</v>
      </c>
      <c r="Q191" s="18">
        <f t="shared" si="3"/>
        <v>552117.0588235294</v>
      </c>
      <c r="R191" s="255">
        <f t="shared" si="4"/>
        <v>386481.9411764706</v>
      </c>
      <c r="S191" s="230"/>
      <c r="T191" s="226">
        <f t="shared" si="44"/>
        <v>1194.7700534759351</v>
      </c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1"/>
      <c r="AG191" s="1"/>
      <c r="AH191" s="1"/>
      <c r="AI191" s="1"/>
      <c r="AJ191" s="1"/>
    </row>
    <row r="192" spans="1:36" ht="13.5" customHeight="1">
      <c r="A192" s="259"/>
      <c r="B192" s="15" t="str">
        <f>TB!B228</f>
        <v>G031</v>
      </c>
      <c r="C192" s="256" t="str">
        <f>TB!C228</f>
        <v>Olive Oil</v>
      </c>
      <c r="D192" s="257">
        <f>SUMIF(GL!$D$5:$D$6446,B192,GL!$G$5:$G$6446)</f>
        <v>0</v>
      </c>
      <c r="E192" s="258">
        <f>SUMIF(GL!$D$6:$D$6484,B192,GL!$H$6:$H$6484)</f>
        <v>0</v>
      </c>
      <c r="F192" s="258">
        <f>SUMIF(GL!$D$6:$D$6484,B192,GL!$I$6:$I$6484)</f>
        <v>0</v>
      </c>
      <c r="G192" s="258">
        <f t="shared" si="5"/>
        <v>0</v>
      </c>
      <c r="H192" s="258">
        <f t="shared" si="6"/>
        <v>0</v>
      </c>
      <c r="I192" s="250"/>
      <c r="J192" s="251"/>
      <c r="K192" s="252"/>
      <c r="L192" s="253"/>
      <c r="M192" s="128"/>
      <c r="N192" s="128">
        <f t="shared" si="1"/>
        <v>0</v>
      </c>
      <c r="O192" s="254"/>
      <c r="P192" s="128">
        <f t="shared" si="2"/>
        <v>0</v>
      </c>
      <c r="Q192" s="18">
        <f t="shared" si="3"/>
        <v>0</v>
      </c>
      <c r="R192" s="255">
        <f t="shared" si="4"/>
        <v>0</v>
      </c>
      <c r="S192" s="230"/>
      <c r="T192" s="226">
        <f t="shared" si="44"/>
        <v>0</v>
      </c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1"/>
      <c r="AG192" s="1"/>
      <c r="AH192" s="1"/>
      <c r="AI192" s="1"/>
      <c r="AJ192" s="1"/>
    </row>
    <row r="193" spans="1:36" ht="13.5" customHeight="1">
      <c r="A193" s="259"/>
      <c r="B193" s="15" t="str">
        <f>TB!B229</f>
        <v>G032</v>
      </c>
      <c r="C193" s="256" t="str">
        <f>TB!C229</f>
        <v>Red Sour Cherry</v>
      </c>
      <c r="D193" s="257">
        <f>SUMIF(GL!$D$5:$D$6446,B193,GL!$G$5:$G$6446)</f>
        <v>0</v>
      </c>
      <c r="E193" s="258">
        <f>SUMIF(GL!$D$6:$D$6484,B193,GL!$H$6:$H$6484)</f>
        <v>0</v>
      </c>
      <c r="F193" s="258">
        <f>SUMIF(GL!$D$6:$D$6484,B193,GL!$I$6:$I$6484)</f>
        <v>0</v>
      </c>
      <c r="G193" s="258">
        <f t="shared" si="5"/>
        <v>0</v>
      </c>
      <c r="H193" s="258">
        <f t="shared" si="6"/>
        <v>0</v>
      </c>
      <c r="I193" s="250"/>
      <c r="J193" s="251"/>
      <c r="K193" s="252"/>
      <c r="L193" s="253"/>
      <c r="M193" s="128"/>
      <c r="N193" s="128">
        <f t="shared" si="1"/>
        <v>0</v>
      </c>
      <c r="O193" s="254"/>
      <c r="P193" s="128">
        <f t="shared" si="2"/>
        <v>0</v>
      </c>
      <c r="Q193" s="18">
        <f t="shared" si="3"/>
        <v>0</v>
      </c>
      <c r="R193" s="255">
        <f t="shared" si="4"/>
        <v>0</v>
      </c>
      <c r="S193" s="230"/>
      <c r="T193" s="226">
        <f t="shared" si="44"/>
        <v>0</v>
      </c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1"/>
      <c r="AG193" s="1"/>
      <c r="AH193" s="1"/>
      <c r="AI193" s="1"/>
      <c r="AJ193" s="1"/>
    </row>
    <row r="194" spans="1:36" ht="13.5" customHeight="1">
      <c r="A194" s="259"/>
      <c r="B194" s="15" t="str">
        <f>TB!B230</f>
        <v>G033</v>
      </c>
      <c r="C194" s="256" t="str">
        <f>TB!C230</f>
        <v>Oat</v>
      </c>
      <c r="D194" s="257">
        <f>SUMIF(GL!$D$5:$D$6446,B194,GL!$G$5:$G$6446)</f>
        <v>0</v>
      </c>
      <c r="E194" s="258">
        <f>SUMIF(GL!$D$6:$D$6484,B194,GL!$H$6:$H$6484)</f>
        <v>0</v>
      </c>
      <c r="F194" s="258">
        <f>SUMIF(GL!$D$6:$D$6484,B194,GL!$I$6:$I$6484)</f>
        <v>0</v>
      </c>
      <c r="G194" s="258">
        <f t="shared" si="5"/>
        <v>0</v>
      </c>
      <c r="H194" s="258">
        <f t="shared" si="6"/>
        <v>0</v>
      </c>
      <c r="I194" s="250"/>
      <c r="J194" s="251"/>
      <c r="K194" s="252"/>
      <c r="L194" s="253"/>
      <c r="M194" s="128"/>
      <c r="N194" s="128">
        <f t="shared" si="1"/>
        <v>0</v>
      </c>
      <c r="O194" s="254"/>
      <c r="P194" s="128">
        <f t="shared" si="2"/>
        <v>0</v>
      </c>
      <c r="Q194" s="18">
        <f t="shared" si="3"/>
        <v>0</v>
      </c>
      <c r="R194" s="255">
        <f t="shared" si="4"/>
        <v>0</v>
      </c>
      <c r="S194" s="230"/>
      <c r="T194" s="226">
        <f t="shared" si="44"/>
        <v>0</v>
      </c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1"/>
      <c r="AG194" s="1"/>
      <c r="AH194" s="1"/>
      <c r="AI194" s="1"/>
      <c r="AJ194" s="1"/>
    </row>
    <row r="195" spans="1:36" ht="13.5" customHeight="1">
      <c r="A195" s="259"/>
      <c r="B195" s="15" t="str">
        <f>TB!B231</f>
        <v>G034</v>
      </c>
      <c r="C195" s="256" t="str">
        <f>TB!C231</f>
        <v>Potato Wedges</v>
      </c>
      <c r="D195" s="257">
        <f>SUMIF(GL!$D$5:$D$6446,B195,GL!$G$5:$G$6446)</f>
        <v>0</v>
      </c>
      <c r="E195" s="258">
        <f>SUMIF(GL!$D$6:$D$6484,B195,GL!$H$6:$H$6484)</f>
        <v>0</v>
      </c>
      <c r="F195" s="258">
        <f>SUMIF(GL!$D$6:$D$6484,B195,GL!$I$6:$I$6484)</f>
        <v>0</v>
      </c>
      <c r="G195" s="258">
        <f t="shared" si="5"/>
        <v>0</v>
      </c>
      <c r="H195" s="258">
        <f t="shared" si="6"/>
        <v>0</v>
      </c>
      <c r="I195" s="250"/>
      <c r="J195" s="251"/>
      <c r="K195" s="252"/>
      <c r="L195" s="253"/>
      <c r="M195" s="128"/>
      <c r="N195" s="128">
        <f t="shared" si="1"/>
        <v>0</v>
      </c>
      <c r="O195" s="254"/>
      <c r="P195" s="128">
        <f t="shared" si="2"/>
        <v>0</v>
      </c>
      <c r="Q195" s="18">
        <f t="shared" si="3"/>
        <v>0</v>
      </c>
      <c r="R195" s="255">
        <f t="shared" si="4"/>
        <v>0</v>
      </c>
      <c r="S195" s="230"/>
      <c r="T195" s="226">
        <f t="shared" si="44"/>
        <v>0</v>
      </c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1"/>
      <c r="AG195" s="1"/>
      <c r="AH195" s="1"/>
      <c r="AI195" s="1"/>
      <c r="AJ195" s="1"/>
    </row>
    <row r="196" spans="1:36" ht="13.5" customHeight="1">
      <c r="A196" s="259"/>
      <c r="B196" s="15" t="str">
        <f>TB!B232</f>
        <v>G035</v>
      </c>
      <c r="C196" s="256" t="str">
        <f>TB!C232</f>
        <v>Kwepie Mayo @ 3Kg</v>
      </c>
      <c r="D196" s="257">
        <f>SUMIF(GL!$D$5:$D$6446,B196,GL!$G$5:$G$6446)</f>
        <v>12</v>
      </c>
      <c r="E196" s="258">
        <f>SUMIF(GL!$D$6:$D$6484,B196,GL!$H$6:$H$6484)</f>
        <v>541680</v>
      </c>
      <c r="F196" s="258">
        <f>SUMIF(GL!$D$6:$D$6484,B196,GL!$I$6:$I$6484)</f>
        <v>0</v>
      </c>
      <c r="G196" s="258">
        <f t="shared" si="5"/>
        <v>541680</v>
      </c>
      <c r="H196" s="258">
        <f t="shared" si="6"/>
        <v>0</v>
      </c>
      <c r="I196" s="250">
        <v>3</v>
      </c>
      <c r="J196" s="251">
        <v>45096</v>
      </c>
      <c r="K196" s="252">
        <v>135288</v>
      </c>
      <c r="L196" s="253">
        <f t="shared" ref="L196:L198" si="45">D196+I196</f>
        <v>15</v>
      </c>
      <c r="M196" s="128">
        <f t="shared" ref="M196:M198" si="46">(G196+K196)/L196</f>
        <v>45131.199999999997</v>
      </c>
      <c r="N196" s="128">
        <f t="shared" si="1"/>
        <v>676968</v>
      </c>
      <c r="O196" s="254">
        <v>7</v>
      </c>
      <c r="P196" s="128">
        <f t="shared" si="2"/>
        <v>45131.199999999997</v>
      </c>
      <c r="Q196" s="18">
        <f t="shared" si="3"/>
        <v>315918.39999999997</v>
      </c>
      <c r="R196" s="255">
        <f t="shared" si="4"/>
        <v>361049.60000000003</v>
      </c>
      <c r="S196" s="230"/>
      <c r="T196" s="226">
        <f t="shared" si="44"/>
        <v>-35.19999999999709</v>
      </c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1"/>
      <c r="AG196" s="1"/>
      <c r="AH196" s="1"/>
      <c r="AI196" s="1"/>
      <c r="AJ196" s="1"/>
    </row>
    <row r="197" spans="1:36" ht="13.5" customHeight="1">
      <c r="A197" s="259"/>
      <c r="B197" s="15" t="str">
        <f>TB!B233</f>
        <v>G036</v>
      </c>
      <c r="C197" s="256" t="str">
        <f>TB!C233</f>
        <v>Rice/Beras</v>
      </c>
      <c r="D197" s="257">
        <f>SUMIF(GL!$D$5:$D$6446,B197,GL!$G$5:$G$6446)</f>
        <v>45</v>
      </c>
      <c r="E197" s="258">
        <f>SUMIF(GL!$D$6:$D$6484,B197,GL!$H$6:$H$6484)</f>
        <v>765000</v>
      </c>
      <c r="F197" s="258">
        <f>SUMIF(GL!$D$6:$D$6484,B197,GL!$I$6:$I$6484)</f>
        <v>0</v>
      </c>
      <c r="G197" s="258">
        <f t="shared" si="5"/>
        <v>765000</v>
      </c>
      <c r="H197" s="258">
        <f t="shared" si="6"/>
        <v>0</v>
      </c>
      <c r="I197" s="250">
        <v>9</v>
      </c>
      <c r="J197" s="251">
        <v>16931</v>
      </c>
      <c r="K197" s="252">
        <v>152376</v>
      </c>
      <c r="L197" s="253">
        <f t="shared" si="45"/>
        <v>54</v>
      </c>
      <c r="M197" s="128">
        <f t="shared" si="46"/>
        <v>16988.444444444445</v>
      </c>
      <c r="N197" s="128">
        <f t="shared" si="1"/>
        <v>917376</v>
      </c>
      <c r="O197" s="254">
        <v>8.5</v>
      </c>
      <c r="P197" s="128">
        <f t="shared" si="2"/>
        <v>16988.444444444445</v>
      </c>
      <c r="Q197" s="18">
        <f t="shared" si="3"/>
        <v>144401.77777777778</v>
      </c>
      <c r="R197" s="255">
        <f t="shared" si="4"/>
        <v>772974.22222222225</v>
      </c>
      <c r="S197" s="230"/>
      <c r="T197" s="226">
        <f t="shared" si="44"/>
        <v>-57.444444444445253</v>
      </c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1"/>
      <c r="AG197" s="1"/>
      <c r="AH197" s="1"/>
      <c r="AI197" s="1"/>
      <c r="AJ197" s="1"/>
    </row>
    <row r="198" spans="1:36" ht="13.5" customHeight="1">
      <c r="A198" s="259"/>
      <c r="B198" s="15" t="str">
        <f>TB!B234</f>
        <v>G037</v>
      </c>
      <c r="C198" s="256" t="str">
        <f>TB!C234</f>
        <v>Chilly Dry Flakes 500Gr</v>
      </c>
      <c r="D198" s="257">
        <f>SUMIF(GL!$D$5:$D$6446,B198,GL!$G$5:$G$6446)</f>
        <v>1</v>
      </c>
      <c r="E198" s="258">
        <f>SUMIF(GL!$D$6:$D$6484,B198,GL!$H$6:$H$6484)</f>
        <v>65000</v>
      </c>
      <c r="F198" s="258">
        <f>SUMIF(GL!$D$6:$D$6484,B198,GL!$I$6:$I$6484)</f>
        <v>0</v>
      </c>
      <c r="G198" s="258">
        <f t="shared" si="5"/>
        <v>65000</v>
      </c>
      <c r="H198" s="258">
        <f t="shared" si="6"/>
        <v>0</v>
      </c>
      <c r="I198" s="250">
        <v>0.11</v>
      </c>
      <c r="J198" s="251">
        <v>60423</v>
      </c>
      <c r="K198" s="252">
        <v>6647</v>
      </c>
      <c r="L198" s="253">
        <f t="shared" si="45"/>
        <v>1.1100000000000001</v>
      </c>
      <c r="M198" s="128">
        <f t="shared" si="46"/>
        <v>64546.846846846842</v>
      </c>
      <c r="N198" s="128">
        <f t="shared" si="1"/>
        <v>71647</v>
      </c>
      <c r="O198" s="254">
        <v>0.4</v>
      </c>
      <c r="P198" s="128">
        <f t="shared" si="2"/>
        <v>64546.846846846842</v>
      </c>
      <c r="Q198" s="18">
        <f t="shared" si="3"/>
        <v>25818.738738738739</v>
      </c>
      <c r="R198" s="255">
        <f t="shared" si="4"/>
        <v>45828.261261261257</v>
      </c>
      <c r="S198" s="230"/>
      <c r="T198" s="226">
        <f t="shared" si="44"/>
        <v>-4123.8468468468418</v>
      </c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1"/>
      <c r="AG198" s="1"/>
      <c r="AH198" s="1"/>
      <c r="AI198" s="1"/>
      <c r="AJ198" s="1"/>
    </row>
    <row r="199" spans="1:36" ht="13.5" customHeight="1">
      <c r="A199" s="259"/>
      <c r="B199" s="15" t="str">
        <f>TB!B235</f>
        <v>G038</v>
      </c>
      <c r="C199" s="256" t="str">
        <f>TB!C235</f>
        <v>Pepper Powder</v>
      </c>
      <c r="D199" s="257">
        <f>SUMIF(GL!$D$5:$D$6446,B199,GL!$G$5:$G$6446)</f>
        <v>0</v>
      </c>
      <c r="E199" s="258">
        <f>SUMIF(GL!$D$6:$D$6484,B199,GL!$H$6:$H$6484)</f>
        <v>0</v>
      </c>
      <c r="F199" s="258">
        <f>SUMIF(GL!$D$6:$D$6484,B199,GL!$I$6:$I$6484)</f>
        <v>0</v>
      </c>
      <c r="G199" s="258">
        <f t="shared" si="5"/>
        <v>0</v>
      </c>
      <c r="H199" s="258">
        <f t="shared" si="6"/>
        <v>0</v>
      </c>
      <c r="I199" s="250"/>
      <c r="J199" s="251"/>
      <c r="K199" s="252"/>
      <c r="L199" s="253"/>
      <c r="M199" s="128"/>
      <c r="N199" s="128">
        <f t="shared" si="1"/>
        <v>0</v>
      </c>
      <c r="O199" s="254"/>
      <c r="P199" s="128">
        <f t="shared" si="2"/>
        <v>0</v>
      </c>
      <c r="Q199" s="18">
        <f t="shared" si="3"/>
        <v>0</v>
      </c>
      <c r="R199" s="255">
        <f t="shared" si="4"/>
        <v>0</v>
      </c>
      <c r="S199" s="230"/>
      <c r="T199" s="226">
        <f t="shared" si="44"/>
        <v>0</v>
      </c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1"/>
      <c r="AG199" s="1"/>
      <c r="AH199" s="1"/>
      <c r="AI199" s="1"/>
      <c r="AJ199" s="1"/>
    </row>
    <row r="200" spans="1:36" ht="13.5" customHeight="1">
      <c r="A200" s="259"/>
      <c r="B200" s="15" t="str">
        <f>TB!B236</f>
        <v>G039</v>
      </c>
      <c r="C200" s="256" t="str">
        <f>TB!C236</f>
        <v>Tortilla Corn 6"</v>
      </c>
      <c r="D200" s="257">
        <f>SUMIF(GL!$D$5:$D$6446,B200,GL!$G$5:$G$6446)</f>
        <v>0</v>
      </c>
      <c r="E200" s="258">
        <f>SUMIF(GL!$D$6:$D$6484,B200,GL!$H$6:$H$6484)</f>
        <v>0</v>
      </c>
      <c r="F200" s="258">
        <f>SUMIF(GL!$D$6:$D$6484,B200,GL!$I$6:$I$6484)</f>
        <v>0</v>
      </c>
      <c r="G200" s="258">
        <f t="shared" si="5"/>
        <v>0</v>
      </c>
      <c r="H200" s="258">
        <f t="shared" si="6"/>
        <v>0</v>
      </c>
      <c r="I200" s="250"/>
      <c r="J200" s="251"/>
      <c r="K200" s="252"/>
      <c r="L200" s="253"/>
      <c r="M200" s="128"/>
      <c r="N200" s="128">
        <f t="shared" si="1"/>
        <v>0</v>
      </c>
      <c r="O200" s="254"/>
      <c r="P200" s="128">
        <f t="shared" si="2"/>
        <v>0</v>
      </c>
      <c r="Q200" s="18">
        <f t="shared" si="3"/>
        <v>0</v>
      </c>
      <c r="R200" s="255">
        <f t="shared" si="4"/>
        <v>0</v>
      </c>
      <c r="S200" s="230"/>
      <c r="T200" s="226">
        <f t="shared" si="44"/>
        <v>0</v>
      </c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1"/>
      <c r="AG200" s="1"/>
      <c r="AH200" s="1"/>
      <c r="AI200" s="1"/>
      <c r="AJ200" s="1"/>
    </row>
    <row r="201" spans="1:36" ht="13.5" customHeight="1">
      <c r="A201" s="259"/>
      <c r="B201" s="15" t="str">
        <f>TB!B237</f>
        <v>G040</v>
      </c>
      <c r="C201" s="256" t="str">
        <f>TB!C237</f>
        <v>Cooking Cream</v>
      </c>
      <c r="D201" s="257">
        <f>SUMIF(GL!$D$5:$D$6446,B201,GL!$G$5:$G$6446)</f>
        <v>12</v>
      </c>
      <c r="E201" s="258">
        <f>SUMIF(GL!$D$6:$D$6484,B201,GL!$H$6:$H$6484)</f>
        <v>1912752</v>
      </c>
      <c r="F201" s="258">
        <f>SUMIF(GL!$D$6:$D$6484,B201,GL!$I$6:$I$6484)</f>
        <v>0</v>
      </c>
      <c r="G201" s="258">
        <f t="shared" si="5"/>
        <v>1912752</v>
      </c>
      <c r="H201" s="258">
        <f t="shared" si="6"/>
        <v>0</v>
      </c>
      <c r="I201" s="250">
        <v>9</v>
      </c>
      <c r="J201" s="251">
        <v>155485</v>
      </c>
      <c r="K201" s="252">
        <v>1399365</v>
      </c>
      <c r="L201" s="253">
        <f t="shared" ref="L201:L207" si="47">D201+I201</f>
        <v>21</v>
      </c>
      <c r="M201" s="128">
        <f t="shared" ref="M201:M207" si="48">(G201+K201)/L201</f>
        <v>157719.85714285713</v>
      </c>
      <c r="N201" s="128">
        <f t="shared" si="1"/>
        <v>3312117</v>
      </c>
      <c r="O201" s="254">
        <v>12</v>
      </c>
      <c r="P201" s="128">
        <f t="shared" si="2"/>
        <v>157719.85714285713</v>
      </c>
      <c r="Q201" s="18">
        <f t="shared" si="3"/>
        <v>1892638.2857142854</v>
      </c>
      <c r="R201" s="255">
        <f t="shared" si="4"/>
        <v>1419478.7142857146</v>
      </c>
      <c r="S201" s="230"/>
      <c r="T201" s="226">
        <f t="shared" si="44"/>
        <v>-2234.8571428571304</v>
      </c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1"/>
      <c r="AG201" s="1"/>
      <c r="AH201" s="1"/>
      <c r="AI201" s="1"/>
      <c r="AJ201" s="1"/>
    </row>
    <row r="202" spans="1:36" ht="13.5" customHeight="1">
      <c r="A202" s="259"/>
      <c r="B202" s="15" t="str">
        <f>TB!B238</f>
        <v>G041</v>
      </c>
      <c r="C202" s="256" t="str">
        <f>TB!C238</f>
        <v>Spaghetti</v>
      </c>
      <c r="D202" s="257">
        <f>SUMIF(GL!$D$5:$D$6446,B202,GL!$G$5:$G$6446)</f>
        <v>19</v>
      </c>
      <c r="E202" s="258">
        <f>SUMIF(GL!$D$6:$D$6484,B202,GL!$H$6:$H$6484)</f>
        <v>780330</v>
      </c>
      <c r="F202" s="258">
        <f>SUMIF(GL!$D$6:$D$6484,B202,GL!$I$6:$I$6484)</f>
        <v>0</v>
      </c>
      <c r="G202" s="258">
        <f t="shared" si="5"/>
        <v>780330</v>
      </c>
      <c r="H202" s="258">
        <f t="shared" si="6"/>
        <v>0</v>
      </c>
      <c r="I202" s="250">
        <v>3</v>
      </c>
      <c r="J202" s="251">
        <v>36122</v>
      </c>
      <c r="K202" s="252">
        <v>108366</v>
      </c>
      <c r="L202" s="253">
        <f t="shared" si="47"/>
        <v>22</v>
      </c>
      <c r="M202" s="128">
        <f t="shared" si="48"/>
        <v>40395.272727272728</v>
      </c>
      <c r="N202" s="128">
        <f t="shared" si="1"/>
        <v>888696</v>
      </c>
      <c r="O202" s="254">
        <v>7.2</v>
      </c>
      <c r="P202" s="128">
        <f t="shared" si="2"/>
        <v>40395.272727272728</v>
      </c>
      <c r="Q202" s="18">
        <f t="shared" si="3"/>
        <v>290845.96363636362</v>
      </c>
      <c r="R202" s="255">
        <f t="shared" si="4"/>
        <v>597850.03636363638</v>
      </c>
      <c r="S202" s="230"/>
      <c r="T202" s="226">
        <f t="shared" si="44"/>
        <v>-4273.2727272727279</v>
      </c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1"/>
      <c r="AG202" s="1"/>
      <c r="AH202" s="1"/>
      <c r="AI202" s="1"/>
      <c r="AJ202" s="1"/>
    </row>
    <row r="203" spans="1:36" ht="13.5" customHeight="1">
      <c r="A203" s="259"/>
      <c r="B203" s="15" t="str">
        <f>TB!B239</f>
        <v>G042</v>
      </c>
      <c r="C203" s="256" t="str">
        <f>TB!C239</f>
        <v>Coconut Cream</v>
      </c>
      <c r="D203" s="257">
        <f>SUMIF(GL!$D$5:$D$6446,B203,GL!$G$5:$G$6446)</f>
        <v>0.26</v>
      </c>
      <c r="E203" s="258">
        <f>SUMIF(GL!$D$6:$D$6484,B203,GL!$H$6:$H$6484)</f>
        <v>30000</v>
      </c>
      <c r="F203" s="258">
        <f>SUMIF(GL!$D$6:$D$6484,B203,GL!$I$6:$I$6484)</f>
        <v>0</v>
      </c>
      <c r="G203" s="258">
        <f t="shared" si="5"/>
        <v>30000</v>
      </c>
      <c r="H203" s="258">
        <f t="shared" si="6"/>
        <v>0</v>
      </c>
      <c r="I203" s="250">
        <v>0.3</v>
      </c>
      <c r="J203" s="251">
        <v>90311</v>
      </c>
      <c r="K203" s="252">
        <v>27093</v>
      </c>
      <c r="L203" s="253">
        <f t="shared" si="47"/>
        <v>0.56000000000000005</v>
      </c>
      <c r="M203" s="128">
        <f t="shared" si="48"/>
        <v>101951.78571428571</v>
      </c>
      <c r="N203" s="128">
        <f t="shared" si="1"/>
        <v>57093</v>
      </c>
      <c r="O203" s="254">
        <v>0.25</v>
      </c>
      <c r="P203" s="128">
        <f t="shared" si="2"/>
        <v>101951.78571428571</v>
      </c>
      <c r="Q203" s="18">
        <f t="shared" si="3"/>
        <v>25487.946428571428</v>
      </c>
      <c r="R203" s="255">
        <f t="shared" si="4"/>
        <v>31605.053571428572</v>
      </c>
      <c r="S203" s="230"/>
      <c r="T203" s="226">
        <f t="shared" si="44"/>
        <v>-11640.78571428571</v>
      </c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1"/>
      <c r="AG203" s="1"/>
      <c r="AH203" s="1"/>
      <c r="AI203" s="1"/>
      <c r="AJ203" s="1"/>
    </row>
    <row r="204" spans="1:36" ht="13.5" customHeight="1">
      <c r="A204" s="259"/>
      <c r="B204" s="15" t="str">
        <f>TB!B240</f>
        <v>G043</v>
      </c>
      <c r="C204" s="256" t="str">
        <f>TB!C240</f>
        <v>Balsamic Vinegar</v>
      </c>
      <c r="D204" s="257">
        <f>SUMIF(GL!$D$5:$D$6446,B204,GL!$G$5:$G$6446)</f>
        <v>0</v>
      </c>
      <c r="E204" s="258">
        <f>SUMIF(GL!$D$6:$D$6484,B204,GL!$H$6:$H$6484)</f>
        <v>0</v>
      </c>
      <c r="F204" s="258">
        <f>SUMIF(GL!$D$6:$D$6484,B204,GL!$I$6:$I$6484)</f>
        <v>0</v>
      </c>
      <c r="G204" s="258">
        <f t="shared" si="5"/>
        <v>0</v>
      </c>
      <c r="H204" s="258">
        <f t="shared" si="6"/>
        <v>0</v>
      </c>
      <c r="I204" s="250">
        <v>0.04</v>
      </c>
      <c r="J204" s="251">
        <v>81554</v>
      </c>
      <c r="K204" s="252">
        <v>3262</v>
      </c>
      <c r="L204" s="253">
        <f t="shared" si="47"/>
        <v>0.04</v>
      </c>
      <c r="M204" s="128">
        <f t="shared" si="48"/>
        <v>81550</v>
      </c>
      <c r="N204" s="128">
        <f t="shared" si="1"/>
        <v>3262</v>
      </c>
      <c r="O204" s="254">
        <v>0.45</v>
      </c>
      <c r="P204" s="128">
        <f t="shared" si="2"/>
        <v>81550</v>
      </c>
      <c r="Q204" s="18">
        <f t="shared" si="3"/>
        <v>36697.5</v>
      </c>
      <c r="R204" s="255">
        <f t="shared" si="4"/>
        <v>-33435.5</v>
      </c>
      <c r="S204" s="230"/>
      <c r="T204" s="226">
        <f t="shared" si="44"/>
        <v>4</v>
      </c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1"/>
      <c r="AG204" s="1"/>
      <c r="AH204" s="1"/>
      <c r="AI204" s="1"/>
      <c r="AJ204" s="1"/>
    </row>
    <row r="205" spans="1:36" ht="13.5" customHeight="1">
      <c r="A205" s="259"/>
      <c r="B205" s="15" t="str">
        <f>TB!B241</f>
        <v>G044</v>
      </c>
      <c r="C205" s="256" t="str">
        <f>TB!C241</f>
        <v>Lea &amp; Perrins (Kecap Inggris)</v>
      </c>
      <c r="D205" s="257">
        <f>SUMIF(GL!$D$5:$D$6446,B205,GL!$G$5:$G$6446)</f>
        <v>2</v>
      </c>
      <c r="E205" s="258">
        <f>SUMIF(GL!$D$6:$D$6484,B205,GL!$H$6:$H$6484)</f>
        <v>68000</v>
      </c>
      <c r="F205" s="258">
        <f>SUMIF(GL!$D$6:$D$6484,B205,GL!$I$6:$I$6484)</f>
        <v>0</v>
      </c>
      <c r="G205" s="258">
        <f t="shared" si="5"/>
        <v>68000</v>
      </c>
      <c r="H205" s="258">
        <f t="shared" si="6"/>
        <v>0</v>
      </c>
      <c r="I205" s="250">
        <v>0.6</v>
      </c>
      <c r="J205" s="251">
        <v>47000</v>
      </c>
      <c r="K205" s="252">
        <v>28200</v>
      </c>
      <c r="L205" s="253">
        <f t="shared" si="47"/>
        <v>2.6</v>
      </c>
      <c r="M205" s="128">
        <f t="shared" si="48"/>
        <v>37000</v>
      </c>
      <c r="N205" s="128">
        <f t="shared" si="1"/>
        <v>96200</v>
      </c>
      <c r="O205" s="254">
        <v>0.8</v>
      </c>
      <c r="P205" s="128">
        <f t="shared" si="2"/>
        <v>37000</v>
      </c>
      <c r="Q205" s="18">
        <f t="shared" si="3"/>
        <v>29600</v>
      </c>
      <c r="R205" s="255">
        <f t="shared" si="4"/>
        <v>66600</v>
      </c>
      <c r="S205" s="230"/>
      <c r="T205" s="226">
        <f t="shared" si="44"/>
        <v>10000</v>
      </c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1"/>
      <c r="AG205" s="1"/>
      <c r="AH205" s="1"/>
      <c r="AI205" s="1"/>
      <c r="AJ205" s="1"/>
    </row>
    <row r="206" spans="1:36" ht="13.5" customHeight="1">
      <c r="A206" s="259"/>
      <c r="B206" s="15" t="str">
        <f>TB!B242</f>
        <v>G045</v>
      </c>
      <c r="C206" s="256" t="str">
        <f>TB!C242</f>
        <v>Sesame Oil</v>
      </c>
      <c r="D206" s="257">
        <f>SUMIF(GL!$D$5:$D$6446,B206,GL!$G$5:$G$6446)</f>
        <v>2</v>
      </c>
      <c r="E206" s="258">
        <f>SUMIF(GL!$D$6:$D$6484,B206,GL!$H$6:$H$6484)</f>
        <v>88000</v>
      </c>
      <c r="F206" s="258">
        <f>SUMIF(GL!$D$6:$D$6484,B206,GL!$I$6:$I$6484)</f>
        <v>0</v>
      </c>
      <c r="G206" s="258">
        <f t="shared" si="5"/>
        <v>88000</v>
      </c>
      <c r="H206" s="258">
        <f t="shared" si="6"/>
        <v>0</v>
      </c>
      <c r="I206" s="250">
        <v>0.62</v>
      </c>
      <c r="J206" s="251">
        <v>43625</v>
      </c>
      <c r="K206" s="252">
        <v>27048</v>
      </c>
      <c r="L206" s="253">
        <f t="shared" si="47"/>
        <v>2.62</v>
      </c>
      <c r="M206" s="128">
        <f t="shared" si="48"/>
        <v>43911.450381679388</v>
      </c>
      <c r="N206" s="128">
        <f t="shared" si="1"/>
        <v>115048</v>
      </c>
      <c r="O206" s="254">
        <v>1.4</v>
      </c>
      <c r="P206" s="128">
        <f t="shared" si="2"/>
        <v>43911.450381679388</v>
      </c>
      <c r="Q206" s="18">
        <f t="shared" si="3"/>
        <v>61476.030534351135</v>
      </c>
      <c r="R206" s="255">
        <f t="shared" si="4"/>
        <v>53571.969465648865</v>
      </c>
      <c r="S206" s="230"/>
      <c r="T206" s="226">
        <f t="shared" si="44"/>
        <v>-286.45038167938765</v>
      </c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1"/>
      <c r="AG206" s="1"/>
      <c r="AH206" s="1"/>
      <c r="AI206" s="1"/>
      <c r="AJ206" s="1"/>
    </row>
    <row r="207" spans="1:36" ht="13.5" customHeight="1">
      <c r="A207" s="259"/>
      <c r="B207" s="15" t="str">
        <f>TB!B243</f>
        <v>G046</v>
      </c>
      <c r="C207" s="256" t="str">
        <f>TB!C243</f>
        <v>Parmesan Chesse</v>
      </c>
      <c r="D207" s="257">
        <f>SUMIF(GL!$D$5:$D$6446,B207,GL!$G$5:$G$6446)</f>
        <v>0</v>
      </c>
      <c r="E207" s="258">
        <f>SUMIF(GL!$D$6:$D$6484,B207,GL!$H$6:$H$6484)</f>
        <v>0</v>
      </c>
      <c r="F207" s="258">
        <f>SUMIF(GL!$D$6:$D$6484,B207,GL!$I$6:$I$6484)</f>
        <v>0</v>
      </c>
      <c r="G207" s="258">
        <f t="shared" si="5"/>
        <v>0</v>
      </c>
      <c r="H207" s="258">
        <f t="shared" si="6"/>
        <v>0</v>
      </c>
      <c r="I207" s="250">
        <v>2.42</v>
      </c>
      <c r="J207" s="251">
        <v>238427</v>
      </c>
      <c r="K207" s="252">
        <v>576992</v>
      </c>
      <c r="L207" s="253">
        <f t="shared" si="47"/>
        <v>2.42</v>
      </c>
      <c r="M207" s="128">
        <f t="shared" si="48"/>
        <v>238426.44628099175</v>
      </c>
      <c r="N207" s="128">
        <f t="shared" si="1"/>
        <v>576992</v>
      </c>
      <c r="O207" s="254">
        <v>1.34</v>
      </c>
      <c r="P207" s="128">
        <f t="shared" si="2"/>
        <v>238426.44628099175</v>
      </c>
      <c r="Q207" s="18">
        <f t="shared" si="3"/>
        <v>319491.43801652896</v>
      </c>
      <c r="R207" s="255">
        <f t="shared" si="4"/>
        <v>257500.56198347104</v>
      </c>
      <c r="S207" s="230"/>
      <c r="T207" s="226">
        <f t="shared" si="44"/>
        <v>0.55371900825412013</v>
      </c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1"/>
      <c r="AG207" s="1"/>
      <c r="AH207" s="1"/>
      <c r="AI207" s="1"/>
      <c r="AJ207" s="1"/>
    </row>
    <row r="208" spans="1:36" ht="13.5" customHeight="1">
      <c r="A208" s="259"/>
      <c r="B208" s="15" t="str">
        <f>TB!B244</f>
        <v>G047</v>
      </c>
      <c r="C208" s="256" t="str">
        <f>TB!C244</f>
        <v>Pasta Fetucine</v>
      </c>
      <c r="D208" s="257">
        <f>SUMIF(GL!$D$5:$D$6446,B208,GL!$G$5:$G$6446)</f>
        <v>0</v>
      </c>
      <c r="E208" s="258">
        <f>SUMIF(GL!$D$6:$D$6484,B208,GL!$H$6:$H$6484)</f>
        <v>0</v>
      </c>
      <c r="F208" s="258">
        <f>SUMIF(GL!$D$6:$D$6484,B208,GL!$I$6:$I$6484)</f>
        <v>0</v>
      </c>
      <c r="G208" s="258">
        <f t="shared" si="5"/>
        <v>0</v>
      </c>
      <c r="H208" s="258">
        <f t="shared" si="6"/>
        <v>0</v>
      </c>
      <c r="I208" s="250"/>
      <c r="J208" s="251"/>
      <c r="K208" s="252"/>
      <c r="L208" s="253"/>
      <c r="M208" s="128"/>
      <c r="N208" s="128">
        <f t="shared" si="1"/>
        <v>0</v>
      </c>
      <c r="O208" s="254"/>
      <c r="P208" s="128">
        <f t="shared" si="2"/>
        <v>0</v>
      </c>
      <c r="Q208" s="18">
        <f t="shared" si="3"/>
        <v>0</v>
      </c>
      <c r="R208" s="255">
        <f t="shared" si="4"/>
        <v>0</v>
      </c>
      <c r="S208" s="230"/>
      <c r="T208" s="226">
        <f t="shared" si="44"/>
        <v>0</v>
      </c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1"/>
      <c r="AG208" s="1"/>
      <c r="AH208" s="1"/>
      <c r="AI208" s="1"/>
      <c r="AJ208" s="1"/>
    </row>
    <row r="209" spans="1:36" ht="13.5" customHeight="1">
      <c r="A209" s="259"/>
      <c r="B209" s="15" t="str">
        <f>TB!B245</f>
        <v>G048</v>
      </c>
      <c r="C209" s="256" t="str">
        <f>TB!C245</f>
        <v>Tepung Pisang Goreng 210 Gr</v>
      </c>
      <c r="D209" s="257">
        <f>SUMIF(GL!$D$5:$D$6446,B209,GL!$G$5:$G$6446)</f>
        <v>0</v>
      </c>
      <c r="E209" s="258">
        <f>SUMIF(GL!$D$6:$D$6484,B209,GL!$H$6:$H$6484)</f>
        <v>0</v>
      </c>
      <c r="F209" s="258">
        <f>SUMIF(GL!$D$6:$D$6484,B209,GL!$I$6:$I$6484)</f>
        <v>0</v>
      </c>
      <c r="G209" s="258">
        <f t="shared" si="5"/>
        <v>0</v>
      </c>
      <c r="H209" s="258">
        <f t="shared" si="6"/>
        <v>0</v>
      </c>
      <c r="I209" s="250">
        <v>0.14000000000000001</v>
      </c>
      <c r="J209" s="251">
        <v>10000</v>
      </c>
      <c r="K209" s="252">
        <v>1400</v>
      </c>
      <c r="L209" s="253">
        <f>D209+I209</f>
        <v>0.14000000000000001</v>
      </c>
      <c r="M209" s="128">
        <f>(G209+K209)/L209</f>
        <v>9999.9999999999982</v>
      </c>
      <c r="N209" s="128">
        <f t="shared" si="1"/>
        <v>1400</v>
      </c>
      <c r="O209" s="254">
        <v>0.43</v>
      </c>
      <c r="P209" s="128">
        <f t="shared" si="2"/>
        <v>9999.9999999999982</v>
      </c>
      <c r="Q209" s="18">
        <f t="shared" si="3"/>
        <v>4299.9999999999991</v>
      </c>
      <c r="R209" s="255">
        <f t="shared" si="4"/>
        <v>-2899.9999999999991</v>
      </c>
      <c r="S209" s="230"/>
      <c r="T209" s="226">
        <f t="shared" si="44"/>
        <v>0</v>
      </c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1"/>
      <c r="AG209" s="1"/>
      <c r="AH209" s="1"/>
      <c r="AI209" s="1"/>
      <c r="AJ209" s="1"/>
    </row>
    <row r="210" spans="1:36" ht="13.5" customHeight="1">
      <c r="A210" s="259"/>
      <c r="B210" s="15" t="str">
        <f>TB!B246</f>
        <v>G049</v>
      </c>
      <c r="C210" s="256" t="str">
        <f>TB!C246</f>
        <v>Thyme Powder</v>
      </c>
      <c r="D210" s="257">
        <f>SUMIF(GL!$D$5:$D$6446,B210,GL!$G$5:$G$6446)</f>
        <v>0</v>
      </c>
      <c r="E210" s="258">
        <f>SUMIF(GL!$D$6:$D$6484,B210,GL!$H$6:$H$6484)</f>
        <v>0</v>
      </c>
      <c r="F210" s="258">
        <f>SUMIF(GL!$D$6:$D$6484,B210,GL!$I$6:$I$6484)</f>
        <v>0</v>
      </c>
      <c r="G210" s="258">
        <f t="shared" si="5"/>
        <v>0</v>
      </c>
      <c r="H210" s="258">
        <f t="shared" si="6"/>
        <v>0</v>
      </c>
      <c r="I210" s="250"/>
      <c r="J210" s="251"/>
      <c r="K210" s="252"/>
      <c r="L210" s="253"/>
      <c r="M210" s="128"/>
      <c r="N210" s="128">
        <f t="shared" si="1"/>
        <v>0</v>
      </c>
      <c r="O210" s="254"/>
      <c r="P210" s="128">
        <f t="shared" si="2"/>
        <v>0</v>
      </c>
      <c r="Q210" s="18">
        <f t="shared" si="3"/>
        <v>0</v>
      </c>
      <c r="R210" s="255">
        <f t="shared" si="4"/>
        <v>0</v>
      </c>
      <c r="S210" s="230"/>
      <c r="T210" s="226">
        <f t="shared" si="44"/>
        <v>0</v>
      </c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1"/>
      <c r="AG210" s="1"/>
      <c r="AH210" s="1"/>
      <c r="AI210" s="1"/>
      <c r="AJ210" s="1"/>
    </row>
    <row r="211" spans="1:36" ht="13.5" customHeight="1">
      <c r="A211" s="259"/>
      <c r="B211" s="15" t="str">
        <f>TB!B247</f>
        <v>G050</v>
      </c>
      <c r="C211" s="256" t="str">
        <f>TB!C247</f>
        <v>Curry Powder</v>
      </c>
      <c r="D211" s="257">
        <f>SUMIF(GL!$D$5:$D$6446,B211,GL!$G$5:$G$6446)</f>
        <v>0</v>
      </c>
      <c r="E211" s="258">
        <f>SUMIF(GL!$D$6:$D$6484,B211,GL!$H$6:$H$6484)</f>
        <v>0</v>
      </c>
      <c r="F211" s="258">
        <f>SUMIF(GL!$D$6:$D$6484,B211,GL!$I$6:$I$6484)</f>
        <v>0</v>
      </c>
      <c r="G211" s="258">
        <f t="shared" si="5"/>
        <v>0</v>
      </c>
      <c r="H211" s="258">
        <f t="shared" si="6"/>
        <v>0</v>
      </c>
      <c r="I211" s="250"/>
      <c r="J211" s="251"/>
      <c r="K211" s="252"/>
      <c r="L211" s="253"/>
      <c r="M211" s="128"/>
      <c r="N211" s="128">
        <f t="shared" si="1"/>
        <v>0</v>
      </c>
      <c r="O211" s="254">
        <v>0.45</v>
      </c>
      <c r="P211" s="128">
        <f t="shared" si="2"/>
        <v>0</v>
      </c>
      <c r="Q211" s="18">
        <f t="shared" si="3"/>
        <v>0</v>
      </c>
      <c r="R211" s="255">
        <f t="shared" si="4"/>
        <v>0</v>
      </c>
      <c r="S211" s="230"/>
      <c r="T211" s="226">
        <f t="shared" si="44"/>
        <v>0</v>
      </c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1"/>
      <c r="AG211" s="1"/>
      <c r="AH211" s="1"/>
      <c r="AI211" s="1"/>
      <c r="AJ211" s="1"/>
    </row>
    <row r="212" spans="1:36" ht="13.5" customHeight="1">
      <c r="A212" s="259"/>
      <c r="B212" s="15" t="str">
        <f>TB!B248</f>
        <v>G051</v>
      </c>
      <c r="C212" s="256" t="str">
        <f>TB!C248</f>
        <v>Sunflower Kernels</v>
      </c>
      <c r="D212" s="257">
        <f>SUMIF(GL!$D$5:$D$6446,B212,GL!$G$5:$G$6446)</f>
        <v>0</v>
      </c>
      <c r="E212" s="258">
        <f>SUMIF(GL!$D$6:$D$6484,B212,GL!$H$6:$H$6484)</f>
        <v>0</v>
      </c>
      <c r="F212" s="258">
        <f>SUMIF(GL!$D$6:$D$6484,B212,GL!$I$6:$I$6484)</f>
        <v>0</v>
      </c>
      <c r="G212" s="258">
        <f t="shared" si="5"/>
        <v>0</v>
      </c>
      <c r="H212" s="258">
        <f t="shared" si="6"/>
        <v>0</v>
      </c>
      <c r="I212" s="250"/>
      <c r="J212" s="251"/>
      <c r="K212" s="252"/>
      <c r="L212" s="253"/>
      <c r="M212" s="128"/>
      <c r="N212" s="128">
        <f t="shared" si="1"/>
        <v>0</v>
      </c>
      <c r="O212" s="254"/>
      <c r="P212" s="128">
        <f t="shared" si="2"/>
        <v>0</v>
      </c>
      <c r="Q212" s="18">
        <f t="shared" si="3"/>
        <v>0</v>
      </c>
      <c r="R212" s="255">
        <f t="shared" si="4"/>
        <v>0</v>
      </c>
      <c r="S212" s="230"/>
      <c r="T212" s="226">
        <f t="shared" si="44"/>
        <v>0</v>
      </c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1"/>
      <c r="AG212" s="1"/>
      <c r="AH212" s="1"/>
      <c r="AI212" s="1"/>
      <c r="AJ212" s="1"/>
    </row>
    <row r="213" spans="1:36" ht="13.5" customHeight="1">
      <c r="A213" s="259"/>
      <c r="B213" s="15" t="str">
        <f>TB!B249</f>
        <v>G052</v>
      </c>
      <c r="C213" s="256" t="str">
        <f>TB!C249</f>
        <v>Yoghurt</v>
      </c>
      <c r="D213" s="257">
        <f>SUMIF(GL!$D$5:$D$6446,B213,GL!$G$5:$G$6446)</f>
        <v>2.5</v>
      </c>
      <c r="E213" s="258">
        <f>SUMIF(GL!$D$6:$D$6484,B213,GL!$H$6:$H$6484)</f>
        <v>185000</v>
      </c>
      <c r="F213" s="258">
        <f>SUMIF(GL!$D$6:$D$6484,B213,GL!$I$6:$I$6484)</f>
        <v>0</v>
      </c>
      <c r="G213" s="258">
        <f t="shared" si="5"/>
        <v>185000</v>
      </c>
      <c r="H213" s="258">
        <f t="shared" si="6"/>
        <v>0</v>
      </c>
      <c r="I213" s="250">
        <v>0.4</v>
      </c>
      <c r="J213" s="251">
        <v>74841</v>
      </c>
      <c r="K213" s="252">
        <v>29937</v>
      </c>
      <c r="L213" s="253">
        <f>D213+I213</f>
        <v>2.9</v>
      </c>
      <c r="M213" s="128">
        <f>(G213+K213)/L213</f>
        <v>74116.206896551725</v>
      </c>
      <c r="N213" s="128">
        <f t="shared" si="1"/>
        <v>214937</v>
      </c>
      <c r="O213" s="254">
        <v>0.7</v>
      </c>
      <c r="P213" s="128">
        <f t="shared" si="2"/>
        <v>74116.206896551725</v>
      </c>
      <c r="Q213" s="18">
        <f t="shared" si="3"/>
        <v>51881.344827586203</v>
      </c>
      <c r="R213" s="255">
        <f t="shared" si="4"/>
        <v>163055.6551724138</v>
      </c>
      <c r="S213" s="230"/>
      <c r="T213" s="226">
        <f t="shared" si="44"/>
        <v>724.79310344827536</v>
      </c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1"/>
      <c r="AG213" s="1"/>
      <c r="AH213" s="1"/>
      <c r="AI213" s="1"/>
      <c r="AJ213" s="1"/>
    </row>
    <row r="214" spans="1:36" ht="13.5" customHeight="1">
      <c r="A214" s="259"/>
      <c r="B214" s="15" t="str">
        <f>TB!B250</f>
        <v>G053</v>
      </c>
      <c r="C214" s="256" t="str">
        <f>TB!C250</f>
        <v>Grains Semulina / Gandum</v>
      </c>
      <c r="D214" s="257">
        <f>SUMIF(GL!$D$5:$D$6446,B214,GL!$G$5:$G$6446)</f>
        <v>0</v>
      </c>
      <c r="E214" s="258">
        <f>SUMIF(GL!$D$6:$D$6484,B214,GL!$H$6:$H$6484)</f>
        <v>0</v>
      </c>
      <c r="F214" s="258">
        <f>SUMIF(GL!$D$6:$D$6484,B214,GL!$I$6:$I$6484)</f>
        <v>0</v>
      </c>
      <c r="G214" s="258">
        <f t="shared" si="5"/>
        <v>0</v>
      </c>
      <c r="H214" s="258">
        <f t="shared" si="6"/>
        <v>0</v>
      </c>
      <c r="I214" s="250"/>
      <c r="J214" s="251"/>
      <c r="K214" s="252"/>
      <c r="L214" s="253"/>
      <c r="M214" s="128"/>
      <c r="N214" s="128">
        <f t="shared" si="1"/>
        <v>0</v>
      </c>
      <c r="O214" s="254"/>
      <c r="P214" s="128">
        <f t="shared" si="2"/>
        <v>0</v>
      </c>
      <c r="Q214" s="18">
        <f t="shared" si="3"/>
        <v>0</v>
      </c>
      <c r="R214" s="255">
        <f t="shared" si="4"/>
        <v>0</v>
      </c>
      <c r="S214" s="230"/>
      <c r="T214" s="226">
        <f t="shared" si="44"/>
        <v>0</v>
      </c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1"/>
      <c r="AG214" s="1"/>
      <c r="AH214" s="1"/>
      <c r="AI214" s="1"/>
      <c r="AJ214" s="1"/>
    </row>
    <row r="215" spans="1:36" ht="13.5" customHeight="1">
      <c r="A215" s="259"/>
      <c r="B215" s="15" t="str">
        <f>TB!B251</f>
        <v>G054</v>
      </c>
      <c r="C215" s="256" t="str">
        <f>TB!C251</f>
        <v>Clove</v>
      </c>
      <c r="D215" s="257">
        <f>SUMIF(GL!$D$5:$D$6446,B215,GL!$G$5:$G$6446)</f>
        <v>0</v>
      </c>
      <c r="E215" s="258">
        <f>SUMIF(GL!$D$6:$D$6484,B215,GL!$H$6:$H$6484)</f>
        <v>0</v>
      </c>
      <c r="F215" s="258">
        <f>SUMIF(GL!$D$6:$D$6484,B215,GL!$I$6:$I$6484)</f>
        <v>0</v>
      </c>
      <c r="G215" s="258">
        <f t="shared" si="5"/>
        <v>0</v>
      </c>
      <c r="H215" s="258">
        <f t="shared" si="6"/>
        <v>0</v>
      </c>
      <c r="I215" s="250"/>
      <c r="J215" s="251"/>
      <c r="K215" s="252"/>
      <c r="L215" s="253"/>
      <c r="M215" s="128"/>
      <c r="N215" s="128">
        <f t="shared" si="1"/>
        <v>0</v>
      </c>
      <c r="O215" s="254"/>
      <c r="P215" s="128">
        <f t="shared" si="2"/>
        <v>0</v>
      </c>
      <c r="Q215" s="18">
        <f t="shared" si="3"/>
        <v>0</v>
      </c>
      <c r="R215" s="255">
        <f t="shared" si="4"/>
        <v>0</v>
      </c>
      <c r="S215" s="230"/>
      <c r="T215" s="226">
        <f t="shared" si="44"/>
        <v>0</v>
      </c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1"/>
      <c r="AG215" s="1"/>
      <c r="AH215" s="1"/>
      <c r="AI215" s="1"/>
      <c r="AJ215" s="1"/>
    </row>
    <row r="216" spans="1:36" ht="13.5" customHeight="1">
      <c r="A216" s="259"/>
      <c r="B216" s="15" t="str">
        <f>TB!B252</f>
        <v>G055</v>
      </c>
      <c r="C216" s="256" t="str">
        <f>TB!C252</f>
        <v>Danish 30 Gr</v>
      </c>
      <c r="D216" s="257">
        <f>SUMIF(GL!$D$5:$D$6446,B216,GL!$G$5:$G$6446)</f>
        <v>0</v>
      </c>
      <c r="E216" s="258">
        <f>SUMIF(GL!$D$6:$D$6484,B216,GL!$H$6:$H$6484)</f>
        <v>0</v>
      </c>
      <c r="F216" s="258">
        <f>SUMIF(GL!$D$6:$D$6484,B216,GL!$I$6:$I$6484)</f>
        <v>0</v>
      </c>
      <c r="G216" s="258">
        <f t="shared" si="5"/>
        <v>0</v>
      </c>
      <c r="H216" s="258">
        <f t="shared" si="6"/>
        <v>0</v>
      </c>
      <c r="I216" s="250"/>
      <c r="J216" s="251"/>
      <c r="K216" s="252"/>
      <c r="L216" s="253"/>
      <c r="M216" s="128"/>
      <c r="N216" s="128">
        <f t="shared" si="1"/>
        <v>0</v>
      </c>
      <c r="O216" s="254"/>
      <c r="P216" s="128">
        <f t="shared" si="2"/>
        <v>0</v>
      </c>
      <c r="Q216" s="18">
        <f t="shared" si="3"/>
        <v>0</v>
      </c>
      <c r="R216" s="255">
        <f t="shared" si="4"/>
        <v>0</v>
      </c>
      <c r="S216" s="230"/>
      <c r="T216" s="226">
        <f t="shared" si="44"/>
        <v>0</v>
      </c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1"/>
      <c r="AG216" s="1"/>
      <c r="AH216" s="1"/>
      <c r="AI216" s="1"/>
      <c r="AJ216" s="1"/>
    </row>
    <row r="217" spans="1:36" ht="13.5" customHeight="1">
      <c r="A217" s="259"/>
      <c r="B217" s="15" t="str">
        <f>TB!B253</f>
        <v>G056</v>
      </c>
      <c r="C217" s="256" t="str">
        <f>TB!C253</f>
        <v>Ragi</v>
      </c>
      <c r="D217" s="257">
        <f>SUMIF(GL!$D$5:$D$6446,B217,GL!$G$5:$G$6446)</f>
        <v>0</v>
      </c>
      <c r="E217" s="258">
        <f>SUMIF(GL!$D$6:$D$6484,B217,GL!$H$6:$H$6484)</f>
        <v>0</v>
      </c>
      <c r="F217" s="258">
        <f>SUMIF(GL!$D$6:$D$6484,B217,GL!$I$6:$I$6484)</f>
        <v>0</v>
      </c>
      <c r="G217" s="258">
        <f t="shared" si="5"/>
        <v>0</v>
      </c>
      <c r="H217" s="258">
        <f t="shared" si="6"/>
        <v>0</v>
      </c>
      <c r="I217" s="250"/>
      <c r="J217" s="251"/>
      <c r="K217" s="252"/>
      <c r="L217" s="253"/>
      <c r="M217" s="128"/>
      <c r="N217" s="128">
        <f t="shared" si="1"/>
        <v>0</v>
      </c>
      <c r="O217" s="254"/>
      <c r="P217" s="128">
        <f t="shared" si="2"/>
        <v>0</v>
      </c>
      <c r="Q217" s="18">
        <f t="shared" si="3"/>
        <v>0</v>
      </c>
      <c r="R217" s="255">
        <f t="shared" si="4"/>
        <v>0</v>
      </c>
      <c r="S217" s="230"/>
      <c r="T217" s="226">
        <f t="shared" si="44"/>
        <v>0</v>
      </c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1"/>
      <c r="AG217" s="1"/>
      <c r="AH217" s="1"/>
      <c r="AI217" s="1"/>
      <c r="AJ217" s="1"/>
    </row>
    <row r="218" spans="1:36" ht="13.5" customHeight="1">
      <c r="A218" s="259"/>
      <c r="B218" s="15" t="str">
        <f>TB!B254</f>
        <v>G057</v>
      </c>
      <c r="C218" s="256" t="str">
        <f>TB!C254</f>
        <v>Dijon / French Mustard</v>
      </c>
      <c r="D218" s="257">
        <f>SUMIF(GL!$D$5:$D$6446,B218,GL!$G$5:$G$6446)</f>
        <v>6</v>
      </c>
      <c r="E218" s="258">
        <f>SUMIF(GL!$D$6:$D$6484,B218,GL!$H$6:$H$6484)</f>
        <v>832500</v>
      </c>
      <c r="F218" s="258">
        <f>SUMIF(GL!$D$6:$D$6484,B218,GL!$I$6:$I$6484)</f>
        <v>0</v>
      </c>
      <c r="G218" s="258">
        <f t="shared" si="5"/>
        <v>832500</v>
      </c>
      <c r="H218" s="258">
        <f t="shared" si="6"/>
        <v>0</v>
      </c>
      <c r="I218" s="250">
        <v>0.1</v>
      </c>
      <c r="J218" s="251">
        <v>138692</v>
      </c>
      <c r="K218" s="252">
        <v>13869</v>
      </c>
      <c r="L218" s="253">
        <f>D218+I218</f>
        <v>6.1</v>
      </c>
      <c r="M218" s="128">
        <f>(G218+K218)/L218</f>
        <v>138749.01639344264</v>
      </c>
      <c r="N218" s="128">
        <f t="shared" si="1"/>
        <v>846369</v>
      </c>
      <c r="O218" s="254">
        <v>3.5</v>
      </c>
      <c r="P218" s="128">
        <f t="shared" si="2"/>
        <v>138749.01639344264</v>
      </c>
      <c r="Q218" s="18">
        <f t="shared" si="3"/>
        <v>485621.55737704923</v>
      </c>
      <c r="R218" s="255">
        <f t="shared" si="4"/>
        <v>360747.44262295077</v>
      </c>
      <c r="S218" s="230"/>
      <c r="T218" s="226">
        <f t="shared" si="44"/>
        <v>-57.016393442638218</v>
      </c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1"/>
      <c r="AG218" s="1"/>
      <c r="AH218" s="1"/>
      <c r="AI218" s="1"/>
      <c r="AJ218" s="1"/>
    </row>
    <row r="219" spans="1:36" ht="13.5" customHeight="1">
      <c r="A219" s="259"/>
      <c r="B219" s="15" t="str">
        <f>TB!B255</f>
        <v>G058</v>
      </c>
      <c r="C219" s="256" t="str">
        <f>TB!C255</f>
        <v>Capers Loiremella Vinegar</v>
      </c>
      <c r="D219" s="257">
        <f>SUMIF(GL!$D$5:$D$6446,B219,GL!$G$5:$G$6446)</f>
        <v>0</v>
      </c>
      <c r="E219" s="258">
        <f>SUMIF(GL!$D$6:$D$6484,B219,GL!$H$6:$H$6484)</f>
        <v>0</v>
      </c>
      <c r="F219" s="258">
        <f>SUMIF(GL!$D$6:$D$6484,B219,GL!$I$6:$I$6484)</f>
        <v>0</v>
      </c>
      <c r="G219" s="258">
        <f t="shared" si="5"/>
        <v>0</v>
      </c>
      <c r="H219" s="258">
        <f t="shared" si="6"/>
        <v>0</v>
      </c>
      <c r="I219" s="250"/>
      <c r="J219" s="251"/>
      <c r="K219" s="252"/>
      <c r="L219" s="253"/>
      <c r="M219" s="128"/>
      <c r="N219" s="128">
        <f t="shared" si="1"/>
        <v>0</v>
      </c>
      <c r="O219" s="254"/>
      <c r="P219" s="128">
        <f t="shared" si="2"/>
        <v>0</v>
      </c>
      <c r="Q219" s="18">
        <f t="shared" si="3"/>
        <v>0</v>
      </c>
      <c r="R219" s="255">
        <f t="shared" si="4"/>
        <v>0</v>
      </c>
      <c r="S219" s="230"/>
      <c r="T219" s="226">
        <f t="shared" si="44"/>
        <v>0</v>
      </c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1"/>
      <c r="AG219" s="1"/>
      <c r="AH219" s="1"/>
      <c r="AI219" s="1"/>
      <c r="AJ219" s="1"/>
    </row>
    <row r="220" spans="1:36" ht="13.5" customHeight="1">
      <c r="A220" s="259"/>
      <c r="B220" s="15" t="str">
        <f>TB!B256</f>
        <v>G059</v>
      </c>
      <c r="C220" s="256" t="str">
        <f>TB!C256</f>
        <v>Dragon Fruit / Buah Naga</v>
      </c>
      <c r="D220" s="257">
        <f>SUMIF(GL!$D$5:$D$6446,B220,GL!$G$5:$G$6446)</f>
        <v>4.5999999999999996</v>
      </c>
      <c r="E220" s="258">
        <f>SUMIF(GL!$D$6:$D$6484,B220,GL!$H$6:$H$6484)</f>
        <v>119600</v>
      </c>
      <c r="F220" s="258">
        <f>SUMIF(GL!$D$6:$D$6484,B220,GL!$I$6:$I$6484)</f>
        <v>0</v>
      </c>
      <c r="G220" s="258">
        <f t="shared" si="5"/>
        <v>119600</v>
      </c>
      <c r="H220" s="258">
        <f t="shared" si="6"/>
        <v>0</v>
      </c>
      <c r="I220" s="250">
        <v>1.1000000000000001</v>
      </c>
      <c r="J220" s="251">
        <v>26224</v>
      </c>
      <c r="K220" s="252">
        <v>28847</v>
      </c>
      <c r="L220" s="253">
        <f>D220+I220</f>
        <v>5.6999999999999993</v>
      </c>
      <c r="M220" s="128">
        <f>(G220+K220)/L220</f>
        <v>26043.333333333336</v>
      </c>
      <c r="N220" s="128">
        <f t="shared" si="1"/>
        <v>148447</v>
      </c>
      <c r="O220" s="254">
        <v>1.2</v>
      </c>
      <c r="P220" s="128">
        <f t="shared" si="2"/>
        <v>26043.333333333336</v>
      </c>
      <c r="Q220" s="18">
        <f t="shared" si="3"/>
        <v>31252</v>
      </c>
      <c r="R220" s="255">
        <f t="shared" si="4"/>
        <v>117195</v>
      </c>
      <c r="S220" s="230"/>
      <c r="T220" s="226">
        <f t="shared" si="44"/>
        <v>180.66666666666424</v>
      </c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1"/>
      <c r="AG220" s="1"/>
      <c r="AH220" s="1"/>
      <c r="AI220" s="1"/>
      <c r="AJ220" s="1"/>
    </row>
    <row r="221" spans="1:36" ht="13.5" customHeight="1">
      <c r="A221" s="259"/>
      <c r="B221" s="15" t="str">
        <f>TB!B257</f>
        <v>G060</v>
      </c>
      <c r="C221" s="256" t="str">
        <f>TB!C257</f>
        <v>Salsiccia Notmale</v>
      </c>
      <c r="D221" s="257">
        <f>SUMIF(GL!$D$5:$D$6446,B221,GL!$G$5:$G$6446)</f>
        <v>0</v>
      </c>
      <c r="E221" s="258">
        <f>SUMIF(GL!$D$6:$D$6484,B221,GL!$H$6:$H$6484)</f>
        <v>0</v>
      </c>
      <c r="F221" s="258">
        <f>SUMIF(GL!$D$6:$D$6484,B221,GL!$I$6:$I$6484)</f>
        <v>0</v>
      </c>
      <c r="G221" s="258">
        <f t="shared" si="5"/>
        <v>0</v>
      </c>
      <c r="H221" s="258">
        <f t="shared" si="6"/>
        <v>0</v>
      </c>
      <c r="I221" s="250"/>
      <c r="J221" s="251"/>
      <c r="K221" s="252"/>
      <c r="L221" s="253"/>
      <c r="M221" s="128"/>
      <c r="N221" s="128">
        <f t="shared" si="1"/>
        <v>0</v>
      </c>
      <c r="O221" s="254"/>
      <c r="P221" s="128">
        <f t="shared" si="2"/>
        <v>0</v>
      </c>
      <c r="Q221" s="18">
        <f t="shared" si="3"/>
        <v>0</v>
      </c>
      <c r="R221" s="255">
        <f t="shared" si="4"/>
        <v>0</v>
      </c>
      <c r="S221" s="230"/>
      <c r="T221" s="226">
        <f t="shared" si="44"/>
        <v>0</v>
      </c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1"/>
      <c r="AG221" s="1"/>
      <c r="AH221" s="1"/>
      <c r="AI221" s="1"/>
      <c r="AJ221" s="1"/>
    </row>
    <row r="222" spans="1:36" ht="13.5" customHeight="1">
      <c r="A222" s="259"/>
      <c r="B222" s="15" t="str">
        <f>TB!B258</f>
        <v>G061</v>
      </c>
      <c r="C222" s="256" t="str">
        <f>TB!C258</f>
        <v>Black Olives 1600Ml</v>
      </c>
      <c r="D222" s="257">
        <f>SUMIF(GL!$D$5:$D$6446,B222,GL!$G$5:$G$6446)</f>
        <v>0</v>
      </c>
      <c r="E222" s="258">
        <f>SUMIF(GL!$D$6:$D$6484,B222,GL!$H$6:$H$6484)</f>
        <v>0</v>
      </c>
      <c r="F222" s="258">
        <f>SUMIF(GL!$D$6:$D$6484,B222,GL!$I$6:$I$6484)</f>
        <v>0</v>
      </c>
      <c r="G222" s="258">
        <f t="shared" si="5"/>
        <v>0</v>
      </c>
      <c r="H222" s="258">
        <f t="shared" si="6"/>
        <v>0</v>
      </c>
      <c r="I222" s="250"/>
      <c r="J222" s="251" t="s">
        <v>3828</v>
      </c>
      <c r="K222" s="252"/>
      <c r="L222" s="253"/>
      <c r="M222" s="128"/>
      <c r="N222" s="128">
        <f t="shared" si="1"/>
        <v>0</v>
      </c>
      <c r="O222" s="254"/>
      <c r="P222" s="128">
        <f t="shared" si="2"/>
        <v>0</v>
      </c>
      <c r="Q222" s="18">
        <f t="shared" si="3"/>
        <v>0</v>
      </c>
      <c r="R222" s="255">
        <f t="shared" si="4"/>
        <v>0</v>
      </c>
      <c r="S222" s="230"/>
      <c r="T222" s="226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1"/>
      <c r="AG222" s="1"/>
      <c r="AH222" s="1"/>
      <c r="AI222" s="1"/>
      <c r="AJ222" s="1"/>
    </row>
    <row r="223" spans="1:36" ht="13.5" customHeight="1">
      <c r="A223" s="259"/>
      <c r="B223" s="15" t="str">
        <f>TB!B259</f>
        <v>G062</v>
      </c>
      <c r="C223" s="256" t="str">
        <f>TB!C259</f>
        <v>Palm Sugar</v>
      </c>
      <c r="D223" s="257">
        <f>SUMIF(GL!$D$5:$D$6446,B223,GL!$G$5:$G$6446)</f>
        <v>0</v>
      </c>
      <c r="E223" s="258">
        <f>SUMIF(GL!$D$6:$D$6484,B223,GL!$H$6:$H$6484)</f>
        <v>0</v>
      </c>
      <c r="F223" s="258">
        <f>SUMIF(GL!$D$6:$D$6484,B223,GL!$I$6:$I$6484)</f>
        <v>0</v>
      </c>
      <c r="G223" s="258">
        <f t="shared" si="5"/>
        <v>0</v>
      </c>
      <c r="H223" s="258">
        <f t="shared" si="6"/>
        <v>0</v>
      </c>
      <c r="I223" s="250"/>
      <c r="J223" s="251"/>
      <c r="K223" s="252"/>
      <c r="L223" s="253"/>
      <c r="M223" s="128"/>
      <c r="N223" s="128">
        <f t="shared" si="1"/>
        <v>0</v>
      </c>
      <c r="O223" s="254"/>
      <c r="P223" s="128">
        <f t="shared" si="2"/>
        <v>0</v>
      </c>
      <c r="Q223" s="18">
        <f t="shared" si="3"/>
        <v>0</v>
      </c>
      <c r="R223" s="255">
        <f t="shared" si="4"/>
        <v>0</v>
      </c>
      <c r="S223" s="230"/>
      <c r="T223" s="226">
        <f t="shared" ref="T223:T233" si="49">J223-M223</f>
        <v>0</v>
      </c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1"/>
      <c r="AG223" s="1"/>
      <c r="AH223" s="1"/>
      <c r="AI223" s="1"/>
      <c r="AJ223" s="1"/>
    </row>
    <row r="224" spans="1:36" ht="13.5" customHeight="1">
      <c r="A224" s="259"/>
      <c r="B224" s="15" t="str">
        <f>TB!B260</f>
        <v>G063</v>
      </c>
      <c r="C224" s="256" t="str">
        <f>TB!C260</f>
        <v>Black Pepper</v>
      </c>
      <c r="D224" s="257">
        <f>SUMIF(GL!$D$5:$D$6446,B224,GL!$G$5:$G$6446)</f>
        <v>1</v>
      </c>
      <c r="E224" s="258">
        <f>SUMIF(GL!$D$6:$D$6484,B224,GL!$H$6:$H$6484)</f>
        <v>150000</v>
      </c>
      <c r="F224" s="258">
        <f>SUMIF(GL!$D$6:$D$6484,B224,GL!$I$6:$I$6484)</f>
        <v>0</v>
      </c>
      <c r="G224" s="258">
        <f t="shared" si="5"/>
        <v>150000</v>
      </c>
      <c r="H224" s="258">
        <f t="shared" si="6"/>
        <v>0</v>
      </c>
      <c r="I224" s="250">
        <v>0.12</v>
      </c>
      <c r="J224" s="251">
        <v>150000</v>
      </c>
      <c r="K224" s="252">
        <v>18000</v>
      </c>
      <c r="L224" s="253">
        <f t="shared" ref="L224:L225" si="50">D224+I224</f>
        <v>1.1200000000000001</v>
      </c>
      <c r="M224" s="128">
        <f t="shared" ref="M224:M225" si="51">(G224+K224)/L224</f>
        <v>150000</v>
      </c>
      <c r="N224" s="128">
        <f t="shared" si="1"/>
        <v>168000</v>
      </c>
      <c r="O224" s="254">
        <v>0.15</v>
      </c>
      <c r="P224" s="128">
        <f t="shared" si="2"/>
        <v>150000</v>
      </c>
      <c r="Q224" s="18">
        <f t="shared" si="3"/>
        <v>22500</v>
      </c>
      <c r="R224" s="255">
        <f t="shared" si="4"/>
        <v>145500</v>
      </c>
      <c r="S224" s="230"/>
      <c r="T224" s="226">
        <f t="shared" si="49"/>
        <v>0</v>
      </c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1"/>
      <c r="AG224" s="1"/>
      <c r="AH224" s="1"/>
      <c r="AI224" s="1"/>
      <c r="AJ224" s="1"/>
    </row>
    <row r="225" spans="1:36" ht="13.5" customHeight="1">
      <c r="A225" s="259"/>
      <c r="B225" s="15" t="str">
        <f>TB!B261</f>
        <v>G064</v>
      </c>
      <c r="C225" s="256" t="str">
        <f>TB!C261</f>
        <v>Extra Virgin Oil</v>
      </c>
      <c r="D225" s="257">
        <f>SUMIF(GL!$D$5:$D$6446,B225,GL!$G$5:$G$6446)</f>
        <v>10</v>
      </c>
      <c r="E225" s="258">
        <f>SUMIF(GL!$D$6:$D$6484,B225,GL!$H$6:$H$6484)</f>
        <v>1443000</v>
      </c>
      <c r="F225" s="258">
        <f>SUMIF(GL!$D$6:$D$6484,B225,GL!$I$6:$I$6484)</f>
        <v>0</v>
      </c>
      <c r="G225" s="258">
        <f t="shared" si="5"/>
        <v>1443000</v>
      </c>
      <c r="H225" s="258">
        <f t="shared" si="6"/>
        <v>0</v>
      </c>
      <c r="I225" s="250">
        <v>7</v>
      </c>
      <c r="J225" s="251">
        <v>145571</v>
      </c>
      <c r="K225" s="252">
        <v>1018996</v>
      </c>
      <c r="L225" s="253">
        <f t="shared" si="50"/>
        <v>17</v>
      </c>
      <c r="M225" s="128">
        <f t="shared" si="51"/>
        <v>144823.29411764705</v>
      </c>
      <c r="N225" s="128">
        <f t="shared" si="1"/>
        <v>2461996</v>
      </c>
      <c r="O225" s="254">
        <v>6</v>
      </c>
      <c r="P225" s="128">
        <f t="shared" si="2"/>
        <v>144823.29411764705</v>
      </c>
      <c r="Q225" s="18">
        <f t="shared" si="3"/>
        <v>868939.76470588229</v>
      </c>
      <c r="R225" s="255">
        <f t="shared" si="4"/>
        <v>1593056.2352941176</v>
      </c>
      <c r="S225" s="230"/>
      <c r="T225" s="226">
        <f t="shared" si="49"/>
        <v>747.70588235295145</v>
      </c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1"/>
      <c r="AG225" s="1"/>
      <c r="AH225" s="1"/>
      <c r="AI225" s="1"/>
      <c r="AJ225" s="1"/>
    </row>
    <row r="226" spans="1:36" ht="13.5" customHeight="1">
      <c r="A226" s="259"/>
      <c r="B226" s="15" t="str">
        <f>TB!B262</f>
        <v>G065</v>
      </c>
      <c r="C226" s="256" t="str">
        <f>TB!C262</f>
        <v>Sesame Seeds</v>
      </c>
      <c r="D226" s="257">
        <f>SUMIF(GL!$D$5:$D$6446,B226,GL!$G$5:$G$6446)</f>
        <v>0</v>
      </c>
      <c r="E226" s="258">
        <f>SUMIF(GL!$D$6:$D$6484,B226,GL!$H$6:$H$6484)</f>
        <v>0</v>
      </c>
      <c r="F226" s="258">
        <f>SUMIF(GL!$D$6:$D$6484,B226,GL!$I$6:$I$6484)</f>
        <v>0</v>
      </c>
      <c r="G226" s="258">
        <f t="shared" si="5"/>
        <v>0</v>
      </c>
      <c r="H226" s="258">
        <f t="shared" si="6"/>
        <v>0</v>
      </c>
      <c r="I226" s="250"/>
      <c r="J226" s="251"/>
      <c r="K226" s="252"/>
      <c r="L226" s="253"/>
      <c r="M226" s="128"/>
      <c r="N226" s="128">
        <f t="shared" si="1"/>
        <v>0</v>
      </c>
      <c r="O226" s="254"/>
      <c r="P226" s="128">
        <f t="shared" si="2"/>
        <v>0</v>
      </c>
      <c r="Q226" s="18">
        <f t="shared" si="3"/>
        <v>0</v>
      </c>
      <c r="R226" s="255">
        <f t="shared" si="4"/>
        <v>0</v>
      </c>
      <c r="S226" s="230"/>
      <c r="T226" s="226">
        <f t="shared" si="49"/>
        <v>0</v>
      </c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1"/>
      <c r="AG226" s="1"/>
      <c r="AH226" s="1"/>
      <c r="AI226" s="1"/>
      <c r="AJ226" s="1"/>
    </row>
    <row r="227" spans="1:36" ht="14.25" customHeight="1">
      <c r="A227" s="259"/>
      <c r="B227" s="15" t="str">
        <f>TB!B263</f>
        <v>G066</v>
      </c>
      <c r="C227" s="256" t="str">
        <f>TB!C263</f>
        <v>Soya Souce</v>
      </c>
      <c r="D227" s="257">
        <f>SUMIF(GL!$D$5:$D$6446,B227,GL!$G$5:$G$6446)</f>
        <v>0</v>
      </c>
      <c r="E227" s="258">
        <f>SUMIF(GL!$D$6:$D$6484,B227,GL!$H$6:$H$6484)</f>
        <v>0</v>
      </c>
      <c r="F227" s="258">
        <f>SUMIF(GL!$D$6:$D$6484,B227,GL!$I$6:$I$6484)</f>
        <v>0</v>
      </c>
      <c r="G227" s="258">
        <f t="shared" si="5"/>
        <v>0</v>
      </c>
      <c r="H227" s="258">
        <f t="shared" si="6"/>
        <v>0</v>
      </c>
      <c r="I227" s="250"/>
      <c r="J227" s="251"/>
      <c r="K227" s="252"/>
      <c r="L227" s="253"/>
      <c r="M227" s="128"/>
      <c r="N227" s="128">
        <f t="shared" si="1"/>
        <v>0</v>
      </c>
      <c r="O227" s="254"/>
      <c r="P227" s="128">
        <f t="shared" si="2"/>
        <v>0</v>
      </c>
      <c r="Q227" s="18">
        <f t="shared" si="3"/>
        <v>0</v>
      </c>
      <c r="R227" s="255">
        <f t="shared" si="4"/>
        <v>0</v>
      </c>
      <c r="S227" s="230"/>
      <c r="T227" s="226">
        <f t="shared" si="49"/>
        <v>0</v>
      </c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1"/>
      <c r="AG227" s="1"/>
      <c r="AH227" s="1"/>
      <c r="AI227" s="1"/>
      <c r="AJ227" s="1"/>
    </row>
    <row r="228" spans="1:36" ht="13.5" customHeight="1">
      <c r="A228" s="259"/>
      <c r="B228" s="15" t="str">
        <f>TB!B264</f>
        <v>G067</v>
      </c>
      <c r="C228" s="256" t="str">
        <f>TB!C264</f>
        <v>Olive Kalamata @3Kg</v>
      </c>
      <c r="D228" s="257">
        <f>SUMIF(GL!$D$5:$D$6446,B228,GL!$G$5:$G$6446)</f>
        <v>0</v>
      </c>
      <c r="E228" s="258">
        <f>SUMIF(GL!$D$6:$D$6484,B228,GL!$H$6:$H$6484)</f>
        <v>0</v>
      </c>
      <c r="F228" s="258">
        <f>SUMIF(GL!$D$6:$D$6484,B228,GL!$I$6:$I$6484)</f>
        <v>0</v>
      </c>
      <c r="G228" s="258">
        <f t="shared" si="5"/>
        <v>0</v>
      </c>
      <c r="H228" s="258">
        <f t="shared" si="6"/>
        <v>0</v>
      </c>
      <c r="I228" s="250">
        <v>0.93</v>
      </c>
      <c r="J228" s="251"/>
      <c r="K228" s="252"/>
      <c r="L228" s="253">
        <f t="shared" ref="L228:L229" si="52">D228+I228</f>
        <v>0.93</v>
      </c>
      <c r="M228" s="128">
        <f t="shared" ref="M228:M229" si="53">(G228+K228)/L228</f>
        <v>0</v>
      </c>
      <c r="N228" s="128">
        <f t="shared" si="1"/>
        <v>0</v>
      </c>
      <c r="O228" s="254">
        <v>4</v>
      </c>
      <c r="P228" s="128">
        <f t="shared" si="2"/>
        <v>0</v>
      </c>
      <c r="Q228" s="18">
        <f t="shared" si="3"/>
        <v>0</v>
      </c>
      <c r="R228" s="255">
        <f t="shared" si="4"/>
        <v>0</v>
      </c>
      <c r="S228" s="230"/>
      <c r="T228" s="226">
        <f t="shared" si="49"/>
        <v>0</v>
      </c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1"/>
      <c r="AG228" s="1"/>
      <c r="AH228" s="1"/>
      <c r="AI228" s="1"/>
      <c r="AJ228" s="1"/>
    </row>
    <row r="229" spans="1:36" ht="13.5" customHeight="1">
      <c r="A229" s="259"/>
      <c r="B229" s="15" t="str">
        <f>TB!B265</f>
        <v>G068</v>
      </c>
      <c r="C229" s="256" t="str">
        <f>TB!C265</f>
        <v>Knor Chicken</v>
      </c>
      <c r="D229" s="257">
        <f>SUMIF(GL!$D$5:$D$6446,B229,GL!$G$5:$G$6446)</f>
        <v>2</v>
      </c>
      <c r="E229" s="258">
        <f>SUMIF(GL!$D$6:$D$6484,B229,GL!$H$6:$H$6484)</f>
        <v>220000</v>
      </c>
      <c r="F229" s="258">
        <f>SUMIF(GL!$D$6:$D$6484,B229,GL!$I$6:$I$6484)</f>
        <v>0</v>
      </c>
      <c r="G229" s="258">
        <f t="shared" si="5"/>
        <v>220000</v>
      </c>
      <c r="H229" s="258">
        <f t="shared" si="6"/>
        <v>0</v>
      </c>
      <c r="I229" s="250">
        <v>0.13</v>
      </c>
      <c r="J229" s="251">
        <v>108986</v>
      </c>
      <c r="K229" s="252">
        <v>14168</v>
      </c>
      <c r="L229" s="253">
        <f t="shared" si="52"/>
        <v>2.13</v>
      </c>
      <c r="M229" s="128">
        <f t="shared" si="53"/>
        <v>109938.02816901408</v>
      </c>
      <c r="N229" s="128">
        <f t="shared" si="1"/>
        <v>234168</v>
      </c>
      <c r="O229" s="254">
        <v>0.9</v>
      </c>
      <c r="P229" s="128">
        <f t="shared" si="2"/>
        <v>109938.02816901408</v>
      </c>
      <c r="Q229" s="18">
        <f t="shared" si="3"/>
        <v>98944.225352112684</v>
      </c>
      <c r="R229" s="255">
        <f t="shared" si="4"/>
        <v>135223.77464788733</v>
      </c>
      <c r="S229" s="230"/>
      <c r="T229" s="226">
        <f t="shared" si="49"/>
        <v>-952.02816901408369</v>
      </c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1"/>
      <c r="AG229" s="1"/>
      <c r="AH229" s="1"/>
      <c r="AI229" s="1"/>
      <c r="AJ229" s="1"/>
    </row>
    <row r="230" spans="1:36" ht="13.5" customHeight="1">
      <c r="A230" s="259"/>
      <c r="B230" s="15" t="str">
        <f>TB!B266</f>
        <v>G069</v>
      </c>
      <c r="C230" s="256" t="str">
        <f>TB!C266</f>
        <v>Tahini</v>
      </c>
      <c r="D230" s="257">
        <f>SUMIF(GL!$D$5:$D$6446,B230,GL!$G$5:$G$6446)</f>
        <v>0</v>
      </c>
      <c r="E230" s="258">
        <f>SUMIF(GL!$D$6:$D$6484,B230,GL!$H$6:$H$6484)</f>
        <v>0</v>
      </c>
      <c r="F230" s="258">
        <f>SUMIF(GL!$D$6:$D$6484,B230,GL!$I$6:$I$6484)</f>
        <v>0</v>
      </c>
      <c r="G230" s="258">
        <f t="shared" si="5"/>
        <v>0</v>
      </c>
      <c r="H230" s="258">
        <f t="shared" si="6"/>
        <v>0</v>
      </c>
      <c r="I230" s="250"/>
      <c r="J230" s="251"/>
      <c r="K230" s="252"/>
      <c r="L230" s="253"/>
      <c r="M230" s="128"/>
      <c r="N230" s="128">
        <f t="shared" si="1"/>
        <v>0</v>
      </c>
      <c r="O230" s="254"/>
      <c r="P230" s="128">
        <f t="shared" si="2"/>
        <v>0</v>
      </c>
      <c r="Q230" s="18">
        <f t="shared" si="3"/>
        <v>0</v>
      </c>
      <c r="R230" s="255">
        <f t="shared" si="4"/>
        <v>0</v>
      </c>
      <c r="S230" s="230"/>
      <c r="T230" s="226">
        <f t="shared" si="49"/>
        <v>0</v>
      </c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1"/>
      <c r="AG230" s="1"/>
      <c r="AH230" s="1"/>
      <c r="AI230" s="1"/>
      <c r="AJ230" s="1"/>
    </row>
    <row r="231" spans="1:36" ht="13.5" customHeight="1">
      <c r="A231" s="259"/>
      <c r="B231" s="15" t="str">
        <f>TB!B267</f>
        <v>G070</v>
      </c>
      <c r="C231" s="256" t="str">
        <f>TB!C267</f>
        <v>Ketchup Sweet</v>
      </c>
      <c r="D231" s="257">
        <f>SUMIF(GL!$D$5:$D$6446,B231,GL!$G$5:$G$6446)</f>
        <v>12</v>
      </c>
      <c r="E231" s="258">
        <f>SUMIF(GL!$D$6:$D$6484,B231,GL!$H$6:$H$6484)</f>
        <v>336560.00310000003</v>
      </c>
      <c r="F231" s="258">
        <f>SUMIF(GL!$D$6:$D$6484,B231,GL!$I$6:$I$6484)</f>
        <v>0</v>
      </c>
      <c r="G231" s="258">
        <f t="shared" si="5"/>
        <v>336560.00310000003</v>
      </c>
      <c r="H231" s="258">
        <f t="shared" si="6"/>
        <v>0</v>
      </c>
      <c r="I231" s="250">
        <v>1</v>
      </c>
      <c r="J231" s="251">
        <v>31657</v>
      </c>
      <c r="K231" s="252">
        <v>31657</v>
      </c>
      <c r="L231" s="253">
        <f t="shared" ref="L231:L232" si="54">D231+I231</f>
        <v>13</v>
      </c>
      <c r="M231" s="128">
        <f t="shared" ref="M231:M232" si="55">(G231+K231)/L231</f>
        <v>28324.384853846157</v>
      </c>
      <c r="N231" s="128">
        <f t="shared" si="1"/>
        <v>368217.00310000003</v>
      </c>
      <c r="O231" s="254">
        <v>9</v>
      </c>
      <c r="P231" s="128">
        <f t="shared" si="2"/>
        <v>28324.384853846157</v>
      </c>
      <c r="Q231" s="18">
        <f t="shared" si="3"/>
        <v>254919.46368461542</v>
      </c>
      <c r="R231" s="255">
        <f t="shared" si="4"/>
        <v>113297.53941538461</v>
      </c>
      <c r="S231" s="230"/>
      <c r="T231" s="226">
        <f t="shared" si="49"/>
        <v>3332.6151461538429</v>
      </c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1"/>
      <c r="AG231" s="1"/>
      <c r="AH231" s="1"/>
      <c r="AI231" s="1"/>
      <c r="AJ231" s="1"/>
    </row>
    <row r="232" spans="1:36" ht="13.5" customHeight="1">
      <c r="A232" s="259"/>
      <c r="B232" s="15" t="str">
        <f>TB!B268</f>
        <v>G071</v>
      </c>
      <c r="C232" s="256" t="str">
        <f>TB!C268</f>
        <v>Orange Slice Cheese</v>
      </c>
      <c r="D232" s="257">
        <f>SUMIF(GL!$D$5:$D$6446,B232,GL!$G$5:$G$6446)</f>
        <v>84</v>
      </c>
      <c r="E232" s="258">
        <f>SUMIF(GL!$D$6:$D$6484,B232,GL!$H$6:$H$6484)</f>
        <v>428000</v>
      </c>
      <c r="F232" s="258">
        <f>SUMIF(GL!$D$6:$D$6484,B232,GL!$I$6:$I$6484)</f>
        <v>0</v>
      </c>
      <c r="G232" s="258">
        <f t="shared" si="5"/>
        <v>428000</v>
      </c>
      <c r="H232" s="258">
        <f t="shared" si="6"/>
        <v>0</v>
      </c>
      <c r="I232" s="250">
        <v>42</v>
      </c>
      <c r="J232" s="251">
        <v>1000</v>
      </c>
      <c r="K232" s="252">
        <v>42000</v>
      </c>
      <c r="L232" s="253">
        <f t="shared" si="54"/>
        <v>126</v>
      </c>
      <c r="M232" s="128">
        <f t="shared" si="55"/>
        <v>3730.1587301587301</v>
      </c>
      <c r="N232" s="128">
        <f t="shared" si="1"/>
        <v>470000</v>
      </c>
      <c r="O232" s="254">
        <v>115</v>
      </c>
      <c r="P232" s="128">
        <f t="shared" si="2"/>
        <v>3730.1587301587301</v>
      </c>
      <c r="Q232" s="18">
        <f t="shared" si="3"/>
        <v>428968.25396825396</v>
      </c>
      <c r="R232" s="255">
        <f t="shared" si="4"/>
        <v>41031.746031746035</v>
      </c>
      <c r="S232" s="230"/>
      <c r="T232" s="226">
        <f t="shared" si="49"/>
        <v>-2730.1587301587301</v>
      </c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1"/>
      <c r="AG232" s="1"/>
      <c r="AH232" s="1"/>
      <c r="AI232" s="1"/>
      <c r="AJ232" s="1"/>
    </row>
    <row r="233" spans="1:36" ht="13.5" customHeight="1">
      <c r="A233" s="259"/>
      <c r="B233" s="15" t="str">
        <f>TB!B269</f>
        <v>G072</v>
      </c>
      <c r="C233" s="256" t="str">
        <f>TB!C269</f>
        <v>Cheese Orange Block</v>
      </c>
      <c r="D233" s="257">
        <f>SUMIF(GL!$D$5:$D$6446,B233,GL!$G$5:$G$6446)</f>
        <v>0</v>
      </c>
      <c r="E233" s="258">
        <f>SUMIF(GL!$D$6:$D$6484,B233,GL!$H$6:$H$6484)</f>
        <v>0</v>
      </c>
      <c r="F233" s="258">
        <f>SUMIF(GL!$D$6:$D$6484,B233,GL!$I$6:$I$6484)</f>
        <v>0</v>
      </c>
      <c r="G233" s="258">
        <f t="shared" si="5"/>
        <v>0</v>
      </c>
      <c r="H233" s="258">
        <f t="shared" si="6"/>
        <v>0</v>
      </c>
      <c r="I233" s="250"/>
      <c r="J233" s="251"/>
      <c r="K233" s="252"/>
      <c r="L233" s="253"/>
      <c r="M233" s="128"/>
      <c r="N233" s="128">
        <f t="shared" si="1"/>
        <v>0</v>
      </c>
      <c r="O233" s="254"/>
      <c r="P233" s="128">
        <f t="shared" si="2"/>
        <v>0</v>
      </c>
      <c r="Q233" s="18">
        <f t="shared" si="3"/>
        <v>0</v>
      </c>
      <c r="R233" s="255">
        <f t="shared" si="4"/>
        <v>0</v>
      </c>
      <c r="S233" s="230"/>
      <c r="T233" s="226">
        <f t="shared" si="49"/>
        <v>0</v>
      </c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1"/>
      <c r="AG233" s="1"/>
      <c r="AH233" s="1"/>
      <c r="AI233" s="1"/>
      <c r="AJ233" s="1"/>
    </row>
    <row r="234" spans="1:36" ht="13.5" customHeight="1">
      <c r="A234" s="259"/>
      <c r="B234" s="15" t="str">
        <f>TB!B270</f>
        <v>G073</v>
      </c>
      <c r="C234" s="256" t="str">
        <f>TB!C270</f>
        <v>Cayanne Pepper</v>
      </c>
      <c r="D234" s="257">
        <f>SUMIF(GL!$D$5:$D$6446,B234,GL!$G$5:$G$6446)</f>
        <v>0</v>
      </c>
      <c r="E234" s="258">
        <f>SUMIF(GL!$D$6:$D$6484,B234,GL!$H$6:$H$6484)</f>
        <v>0</v>
      </c>
      <c r="F234" s="258">
        <f>SUMIF(GL!$D$6:$D$6484,B234,GL!$I$6:$I$6484)</f>
        <v>0</v>
      </c>
      <c r="G234" s="258">
        <f t="shared" si="5"/>
        <v>0</v>
      </c>
      <c r="H234" s="258">
        <f t="shared" si="6"/>
        <v>0</v>
      </c>
      <c r="I234" s="250">
        <v>0.12</v>
      </c>
      <c r="J234" s="251" t="s">
        <v>3828</v>
      </c>
      <c r="K234" s="252"/>
      <c r="L234" s="253">
        <f>D234+I234</f>
        <v>0.12</v>
      </c>
      <c r="M234" s="128">
        <f>(G234+K234)/L234</f>
        <v>0</v>
      </c>
      <c r="N234" s="128">
        <f t="shared" si="1"/>
        <v>0</v>
      </c>
      <c r="O234" s="254">
        <v>0.12</v>
      </c>
      <c r="P234" s="128">
        <f t="shared" si="2"/>
        <v>0</v>
      </c>
      <c r="Q234" s="18">
        <f t="shared" si="3"/>
        <v>0</v>
      </c>
      <c r="R234" s="255">
        <f t="shared" si="4"/>
        <v>0</v>
      </c>
      <c r="S234" s="230"/>
      <c r="T234" s="226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1"/>
      <c r="AG234" s="1"/>
      <c r="AH234" s="1"/>
      <c r="AI234" s="1"/>
      <c r="AJ234" s="1"/>
    </row>
    <row r="235" spans="1:36" ht="13.5" customHeight="1">
      <c r="A235" s="259"/>
      <c r="B235" s="15" t="str">
        <f>TB!B271</f>
        <v>G074</v>
      </c>
      <c r="C235" s="256" t="str">
        <f>TB!C271</f>
        <v>Garlic Powder</v>
      </c>
      <c r="D235" s="257">
        <f>SUMIF(GL!$D$5:$D$6446,B235,GL!$G$5:$G$6446)</f>
        <v>0</v>
      </c>
      <c r="E235" s="258">
        <f>SUMIF(GL!$D$6:$D$6484,B235,GL!$H$6:$H$6484)</f>
        <v>0</v>
      </c>
      <c r="F235" s="258">
        <f>SUMIF(GL!$D$6:$D$6484,B235,GL!$I$6:$I$6484)</f>
        <v>0</v>
      </c>
      <c r="G235" s="258">
        <f t="shared" si="5"/>
        <v>0</v>
      </c>
      <c r="H235" s="258">
        <f t="shared" si="6"/>
        <v>0</v>
      </c>
      <c r="I235" s="250"/>
      <c r="J235" s="251"/>
      <c r="K235" s="252"/>
      <c r="L235" s="253"/>
      <c r="M235" s="128"/>
      <c r="N235" s="128">
        <f t="shared" si="1"/>
        <v>0</v>
      </c>
      <c r="O235" s="254"/>
      <c r="P235" s="128">
        <f t="shared" si="2"/>
        <v>0</v>
      </c>
      <c r="Q235" s="18">
        <f t="shared" si="3"/>
        <v>0</v>
      </c>
      <c r="R235" s="255">
        <f t="shared" si="4"/>
        <v>0</v>
      </c>
      <c r="S235" s="230"/>
      <c r="T235" s="226">
        <f t="shared" ref="T235:T239" si="56">J235-M235</f>
        <v>0</v>
      </c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1"/>
      <c r="AG235" s="1"/>
      <c r="AH235" s="1"/>
      <c r="AI235" s="1"/>
      <c r="AJ235" s="1"/>
    </row>
    <row r="236" spans="1:36" ht="13.5" customHeight="1">
      <c r="A236" s="259"/>
      <c r="B236" s="15" t="str">
        <f>TB!B272</f>
        <v>G075</v>
      </c>
      <c r="C236" s="256" t="str">
        <f>TB!C272</f>
        <v>Sunflower Oil</v>
      </c>
      <c r="D236" s="257">
        <f>SUMIF(GL!$D$5:$D$6446,B236,GL!$G$5:$G$6446)</f>
        <v>0</v>
      </c>
      <c r="E236" s="258">
        <f>SUMIF(GL!$D$6:$D$6484,B236,GL!$H$6:$H$6484)</f>
        <v>0</v>
      </c>
      <c r="F236" s="258">
        <f>SUMIF(GL!$D$6:$D$6484,B236,GL!$I$6:$I$6484)</f>
        <v>0</v>
      </c>
      <c r="G236" s="258">
        <f t="shared" si="5"/>
        <v>0</v>
      </c>
      <c r="H236" s="258">
        <f t="shared" si="6"/>
        <v>0</v>
      </c>
      <c r="I236" s="250"/>
      <c r="J236" s="251"/>
      <c r="K236" s="252"/>
      <c r="L236" s="253"/>
      <c r="M236" s="128"/>
      <c r="N236" s="128">
        <f t="shared" si="1"/>
        <v>0</v>
      </c>
      <c r="O236" s="254"/>
      <c r="P236" s="128">
        <f t="shared" si="2"/>
        <v>0</v>
      </c>
      <c r="Q236" s="18">
        <f t="shared" si="3"/>
        <v>0</v>
      </c>
      <c r="R236" s="255">
        <f t="shared" si="4"/>
        <v>0</v>
      </c>
      <c r="S236" s="230"/>
      <c r="T236" s="226">
        <f t="shared" si="56"/>
        <v>0</v>
      </c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1"/>
      <c r="AG236" s="1"/>
      <c r="AH236" s="1"/>
      <c r="AI236" s="1"/>
      <c r="AJ236" s="1"/>
    </row>
    <row r="237" spans="1:36" ht="13.5" customHeight="1">
      <c r="A237" s="259"/>
      <c r="B237" s="15" t="str">
        <f>TB!B273</f>
        <v>G076</v>
      </c>
      <c r="C237" s="256" t="str">
        <f>TB!C273</f>
        <v>Tomato Pure</v>
      </c>
      <c r="D237" s="257">
        <f>SUMIF(GL!$D$5:$D$6446,B237,GL!$G$5:$G$6446)</f>
        <v>0</v>
      </c>
      <c r="E237" s="258">
        <f>SUMIF(GL!$D$6:$D$6484,B237,GL!$H$6:$H$6484)</f>
        <v>0</v>
      </c>
      <c r="F237" s="258">
        <f>SUMIF(GL!$D$6:$D$6484,B237,GL!$I$6:$I$6484)</f>
        <v>0</v>
      </c>
      <c r="G237" s="258">
        <f t="shared" si="5"/>
        <v>0</v>
      </c>
      <c r="H237" s="258">
        <f t="shared" si="6"/>
        <v>0</v>
      </c>
      <c r="I237" s="250"/>
      <c r="J237" s="251"/>
      <c r="K237" s="252"/>
      <c r="L237" s="253"/>
      <c r="M237" s="128"/>
      <c r="N237" s="128">
        <f t="shared" si="1"/>
        <v>0</v>
      </c>
      <c r="O237" s="254"/>
      <c r="P237" s="128">
        <f t="shared" si="2"/>
        <v>0</v>
      </c>
      <c r="Q237" s="18">
        <f t="shared" si="3"/>
        <v>0</v>
      </c>
      <c r="R237" s="255">
        <f t="shared" si="4"/>
        <v>0</v>
      </c>
      <c r="S237" s="230"/>
      <c r="T237" s="226">
        <f t="shared" si="56"/>
        <v>0</v>
      </c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1"/>
      <c r="AG237" s="1"/>
      <c r="AH237" s="1"/>
      <c r="AI237" s="1"/>
      <c r="AJ237" s="1"/>
    </row>
    <row r="238" spans="1:36" ht="13.5" customHeight="1">
      <c r="A238" s="259"/>
      <c r="B238" s="15" t="str">
        <f>TB!B274</f>
        <v>G077</v>
      </c>
      <c r="C238" s="256" t="str">
        <f>TB!C274</f>
        <v>Hot Chilli Powder</v>
      </c>
      <c r="D238" s="257">
        <f>SUMIF(GL!$D$5:$D$6446,B238,GL!$G$5:$G$6446)</f>
        <v>0</v>
      </c>
      <c r="E238" s="258">
        <f>SUMIF(GL!$D$6:$D$6484,B238,GL!$H$6:$H$6484)</f>
        <v>0</v>
      </c>
      <c r="F238" s="258">
        <f>SUMIF(GL!$D$6:$D$6484,B238,GL!$I$6:$I$6484)</f>
        <v>0</v>
      </c>
      <c r="G238" s="258">
        <f t="shared" si="5"/>
        <v>0</v>
      </c>
      <c r="H238" s="258">
        <f t="shared" si="6"/>
        <v>0</v>
      </c>
      <c r="I238" s="250"/>
      <c r="J238" s="251"/>
      <c r="K238" s="252"/>
      <c r="L238" s="253"/>
      <c r="M238" s="128"/>
      <c r="N238" s="128">
        <f t="shared" si="1"/>
        <v>0</v>
      </c>
      <c r="O238" s="254"/>
      <c r="P238" s="128">
        <f t="shared" si="2"/>
        <v>0</v>
      </c>
      <c r="Q238" s="18">
        <f t="shared" si="3"/>
        <v>0</v>
      </c>
      <c r="R238" s="255">
        <f t="shared" si="4"/>
        <v>0</v>
      </c>
      <c r="S238" s="230"/>
      <c r="T238" s="226">
        <f t="shared" si="56"/>
        <v>0</v>
      </c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1"/>
      <c r="AG238" s="1"/>
      <c r="AH238" s="1"/>
      <c r="AI238" s="1"/>
      <c r="AJ238" s="1"/>
    </row>
    <row r="239" spans="1:36" ht="13.5" customHeight="1">
      <c r="A239" s="259"/>
      <c r="B239" s="15" t="str">
        <f>TB!B275</f>
        <v>G078</v>
      </c>
      <c r="C239" s="256" t="str">
        <f>TB!C275</f>
        <v>Tabasco</v>
      </c>
      <c r="D239" s="257">
        <f>SUMIF(GL!$D$5:$D$6446,B239,GL!$G$5:$G$6446)</f>
        <v>0</v>
      </c>
      <c r="E239" s="258">
        <f>SUMIF(GL!$D$6:$D$6484,B239,GL!$H$6:$H$6484)</f>
        <v>0</v>
      </c>
      <c r="F239" s="258">
        <f>SUMIF(GL!$D$6:$D$6484,B239,GL!$I$6:$I$6484)</f>
        <v>0</v>
      </c>
      <c r="G239" s="258">
        <f t="shared" si="5"/>
        <v>0</v>
      </c>
      <c r="H239" s="258">
        <f t="shared" si="6"/>
        <v>0</v>
      </c>
      <c r="I239" s="250"/>
      <c r="J239" s="251"/>
      <c r="K239" s="252"/>
      <c r="L239" s="253"/>
      <c r="M239" s="128"/>
      <c r="N239" s="128">
        <f t="shared" si="1"/>
        <v>0</v>
      </c>
      <c r="O239" s="254"/>
      <c r="P239" s="128">
        <f t="shared" si="2"/>
        <v>0</v>
      </c>
      <c r="Q239" s="18">
        <f t="shared" si="3"/>
        <v>0</v>
      </c>
      <c r="R239" s="255">
        <f t="shared" si="4"/>
        <v>0</v>
      </c>
      <c r="S239" s="230"/>
      <c r="T239" s="226">
        <f t="shared" si="56"/>
        <v>0</v>
      </c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1"/>
      <c r="AG239" s="1"/>
      <c r="AH239" s="1"/>
      <c r="AI239" s="1"/>
      <c r="AJ239" s="1"/>
    </row>
    <row r="240" spans="1:36" ht="13.5" customHeight="1">
      <c r="A240" s="259"/>
      <c r="B240" s="15" t="str">
        <f>TB!B276</f>
        <v>G079</v>
      </c>
      <c r="C240" s="256" t="str">
        <f>TB!C276</f>
        <v>Chesse Powder</v>
      </c>
      <c r="D240" s="257">
        <f>SUMIF(GL!$D$5:$D$6446,B240,GL!$G$5:$G$6446)</f>
        <v>2</v>
      </c>
      <c r="E240" s="258">
        <f>SUMIF(GL!$D$6:$D$6484,B240,GL!$H$6:$H$6484)</f>
        <v>420000</v>
      </c>
      <c r="F240" s="258">
        <f>SUMIF(GL!$D$6:$D$6484,B240,GL!$I$6:$I$6484)</f>
        <v>0</v>
      </c>
      <c r="G240" s="258">
        <f t="shared" si="5"/>
        <v>420000</v>
      </c>
      <c r="H240" s="258">
        <f t="shared" si="6"/>
        <v>0</v>
      </c>
      <c r="I240" s="250">
        <v>0.38</v>
      </c>
      <c r="J240" s="251" t="s">
        <v>3828</v>
      </c>
      <c r="K240" s="252"/>
      <c r="L240" s="253">
        <f t="shared" ref="L240:L241" si="57">D240+I240</f>
        <v>2.38</v>
      </c>
      <c r="M240" s="128">
        <f t="shared" ref="M240:M241" si="58">(G240+K240)/L240</f>
        <v>176470.58823529413</v>
      </c>
      <c r="N240" s="128">
        <f t="shared" si="1"/>
        <v>420000</v>
      </c>
      <c r="O240" s="254">
        <v>1.6</v>
      </c>
      <c r="P240" s="128">
        <f t="shared" si="2"/>
        <v>176470.58823529413</v>
      </c>
      <c r="Q240" s="18">
        <f t="shared" si="3"/>
        <v>282352.9411764706</v>
      </c>
      <c r="R240" s="255">
        <f t="shared" si="4"/>
        <v>137647.0588235294</v>
      </c>
      <c r="S240" s="230"/>
      <c r="T240" s="226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1"/>
      <c r="AG240" s="1"/>
      <c r="AH240" s="1"/>
      <c r="AI240" s="1"/>
      <c r="AJ240" s="1"/>
    </row>
    <row r="241" spans="1:36" ht="13.5" customHeight="1">
      <c r="A241" s="264"/>
      <c r="B241" s="265" t="str">
        <f>TB!B277</f>
        <v>G080</v>
      </c>
      <c r="C241" s="266" t="str">
        <f>TB!C277</f>
        <v>REMIA BLUE CHEESE SALAD @ 250ML</v>
      </c>
      <c r="D241" s="267">
        <f>SUMIF(GL!$D$5:$D$6446,B241,GL!$G$5:$G$6446)</f>
        <v>0</v>
      </c>
      <c r="E241" s="268">
        <f>SUMIF(GL!$D$6:$D$6484,B241,GL!$H$6:$H$6484)</f>
        <v>0</v>
      </c>
      <c r="F241" s="268">
        <f>SUMIF(GL!$D$6:$D$6484,B241,GL!$I$6:$I$6484)</f>
        <v>0</v>
      </c>
      <c r="G241" s="268">
        <f t="shared" si="5"/>
        <v>0</v>
      </c>
      <c r="H241" s="268">
        <f t="shared" si="6"/>
        <v>0</v>
      </c>
      <c r="I241" s="250">
        <v>0.45</v>
      </c>
      <c r="J241" s="251">
        <v>58000</v>
      </c>
      <c r="K241" s="252">
        <v>26100</v>
      </c>
      <c r="L241" s="253">
        <f t="shared" si="57"/>
        <v>0.45</v>
      </c>
      <c r="M241" s="128">
        <f t="shared" si="58"/>
        <v>58000</v>
      </c>
      <c r="N241" s="128">
        <f t="shared" si="1"/>
        <v>26100</v>
      </c>
      <c r="O241" s="254">
        <v>0.1</v>
      </c>
      <c r="P241" s="128">
        <f t="shared" si="2"/>
        <v>58000</v>
      </c>
      <c r="Q241" s="18">
        <f t="shared" si="3"/>
        <v>5800</v>
      </c>
      <c r="R241" s="255">
        <f t="shared" si="4"/>
        <v>20300</v>
      </c>
      <c r="S241" s="269"/>
      <c r="T241" s="226">
        <f t="shared" ref="T241:T245" si="59">J241-M241</f>
        <v>0</v>
      </c>
      <c r="U241" s="270"/>
      <c r="V241" s="270"/>
      <c r="W241" s="270"/>
      <c r="X241" s="270"/>
      <c r="Y241" s="270"/>
      <c r="Z241" s="270"/>
      <c r="AA241" s="270"/>
      <c r="AB241" s="270"/>
      <c r="AC241" s="270"/>
      <c r="AD241" s="270"/>
      <c r="AE241" s="270"/>
      <c r="AF241" s="271"/>
      <c r="AG241" s="271"/>
      <c r="AH241" s="271"/>
      <c r="AI241" s="271"/>
      <c r="AJ241" s="271"/>
    </row>
    <row r="242" spans="1:36" ht="13.5" customHeight="1">
      <c r="A242" s="259"/>
      <c r="B242" s="15" t="str">
        <f>TB!B278</f>
        <v>G081</v>
      </c>
      <c r="C242" s="256" t="str">
        <f>TB!C278</f>
        <v>Pancake / Waffle Flour</v>
      </c>
      <c r="D242" s="257">
        <f>SUMIF(GL!$D$5:$D$6446,B242,GL!$G$5:$G$6446)</f>
        <v>0</v>
      </c>
      <c r="E242" s="258">
        <f>SUMIF(GL!$D$6:$D$6484,B242,GL!$H$6:$H$6484)</f>
        <v>0</v>
      </c>
      <c r="F242" s="258">
        <f>SUMIF(GL!$D$6:$D$6484,B242,GL!$I$6:$I$6484)</f>
        <v>0</v>
      </c>
      <c r="G242" s="258">
        <f t="shared" si="5"/>
        <v>0</v>
      </c>
      <c r="H242" s="258">
        <f t="shared" si="6"/>
        <v>0</v>
      </c>
      <c r="I242" s="250"/>
      <c r="J242" s="251"/>
      <c r="K242" s="252"/>
      <c r="L242" s="253"/>
      <c r="M242" s="128"/>
      <c r="N242" s="128">
        <f t="shared" si="1"/>
        <v>0</v>
      </c>
      <c r="O242" s="254"/>
      <c r="P242" s="128">
        <f t="shared" si="2"/>
        <v>0</v>
      </c>
      <c r="Q242" s="18">
        <f t="shared" si="3"/>
        <v>0</v>
      </c>
      <c r="R242" s="255">
        <f t="shared" si="4"/>
        <v>0</v>
      </c>
      <c r="S242" s="230"/>
      <c r="T242" s="226">
        <f t="shared" si="59"/>
        <v>0</v>
      </c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1"/>
      <c r="AG242" s="1"/>
      <c r="AH242" s="1"/>
      <c r="AI242" s="1"/>
      <c r="AJ242" s="1"/>
    </row>
    <row r="243" spans="1:36" ht="13.5" customHeight="1">
      <c r="A243" s="259"/>
      <c r="B243" s="15" t="str">
        <f>TB!B279</f>
        <v>G082</v>
      </c>
      <c r="C243" s="256" t="str">
        <f>TB!C279</f>
        <v>PURE MATCHA POWDER 1KG</v>
      </c>
      <c r="D243" s="257">
        <f>SUMIF(GL!$D$5:$D$6446,B243,GL!$G$5:$G$6446)</f>
        <v>0</v>
      </c>
      <c r="E243" s="258">
        <f>SUMIF(GL!$D$6:$D$6484,B243,GL!$H$6:$H$6484)</f>
        <v>0</v>
      </c>
      <c r="F243" s="258">
        <f>SUMIF(GL!$D$6:$D$6484,B243,GL!$I$6:$I$6484)</f>
        <v>0</v>
      </c>
      <c r="G243" s="258">
        <f t="shared" si="5"/>
        <v>0</v>
      </c>
      <c r="H243" s="258">
        <f t="shared" si="6"/>
        <v>0</v>
      </c>
      <c r="I243" s="250"/>
      <c r="J243" s="251">
        <v>385000</v>
      </c>
      <c r="K243" s="252"/>
      <c r="L243" s="253"/>
      <c r="M243" s="128"/>
      <c r="N243" s="128">
        <f t="shared" si="1"/>
        <v>0</v>
      </c>
      <c r="O243" s="254"/>
      <c r="P243" s="128">
        <f t="shared" si="2"/>
        <v>0</v>
      </c>
      <c r="Q243" s="18">
        <f t="shared" si="3"/>
        <v>0</v>
      </c>
      <c r="R243" s="255">
        <f t="shared" si="4"/>
        <v>0</v>
      </c>
      <c r="S243" s="230"/>
      <c r="T243" s="226">
        <f t="shared" si="59"/>
        <v>385000</v>
      </c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1"/>
      <c r="AG243" s="1"/>
      <c r="AH243" s="1"/>
      <c r="AI243" s="1"/>
      <c r="AJ243" s="1"/>
    </row>
    <row r="244" spans="1:36" ht="13.5" customHeight="1">
      <c r="A244" s="259"/>
      <c r="B244" s="15" t="str">
        <f>TB!B280</f>
        <v>G083</v>
      </c>
      <c r="C244" s="256" t="str">
        <f>TB!C280</f>
        <v>Red Bean</v>
      </c>
      <c r="D244" s="257">
        <f>SUMIF(GL!$D$5:$D$6446,B244,GL!$G$5:$G$6446)</f>
        <v>1</v>
      </c>
      <c r="E244" s="258">
        <f>SUMIF(GL!$D$6:$D$6484,B244,GL!$H$6:$H$6484)</f>
        <v>35000</v>
      </c>
      <c r="F244" s="258">
        <f>SUMIF(GL!$D$6:$D$6484,B244,GL!$I$6:$I$6484)</f>
        <v>0</v>
      </c>
      <c r="G244" s="258">
        <f t="shared" si="5"/>
        <v>35000</v>
      </c>
      <c r="H244" s="258">
        <f t="shared" si="6"/>
        <v>0</v>
      </c>
      <c r="I244" s="250">
        <v>0.04</v>
      </c>
      <c r="J244" s="251"/>
      <c r="K244" s="252"/>
      <c r="L244" s="253">
        <f>D244+I244</f>
        <v>1.04</v>
      </c>
      <c r="M244" s="128">
        <f>(G244+K244)/L244</f>
        <v>33653.846153846156</v>
      </c>
      <c r="N244" s="128">
        <f t="shared" si="1"/>
        <v>35000</v>
      </c>
      <c r="O244" s="254"/>
      <c r="P244" s="128">
        <f t="shared" si="2"/>
        <v>33653.846153846156</v>
      </c>
      <c r="Q244" s="18">
        <f t="shared" si="3"/>
        <v>0</v>
      </c>
      <c r="R244" s="255">
        <f t="shared" si="4"/>
        <v>35000</v>
      </c>
      <c r="S244" s="230"/>
      <c r="T244" s="226">
        <f t="shared" si="59"/>
        <v>-33653.846153846156</v>
      </c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1"/>
      <c r="AG244" s="1"/>
      <c r="AH244" s="1"/>
      <c r="AI244" s="1"/>
      <c r="AJ244" s="1"/>
    </row>
    <row r="245" spans="1:36" ht="13.5" customHeight="1">
      <c r="A245" s="259"/>
      <c r="B245" s="15" t="str">
        <f>TB!B281</f>
        <v>G084</v>
      </c>
      <c r="C245" s="256" t="str">
        <f>TB!C281</f>
        <v>Kikkoman 1 Ltr</v>
      </c>
      <c r="D245" s="257">
        <f>SUMIF(GL!$D$5:$D$6446,B245,GL!$G$5:$G$6446)</f>
        <v>0</v>
      </c>
      <c r="E245" s="258">
        <f>SUMIF(GL!$D$6:$D$6484,B245,GL!$H$6:$H$6484)</f>
        <v>0</v>
      </c>
      <c r="F245" s="258">
        <f>SUMIF(GL!$D$6:$D$6484,B245,GL!$I$6:$I$6484)</f>
        <v>0</v>
      </c>
      <c r="G245" s="258">
        <f t="shared" si="5"/>
        <v>0</v>
      </c>
      <c r="H245" s="258">
        <f t="shared" si="6"/>
        <v>0</v>
      </c>
      <c r="I245" s="250"/>
      <c r="J245" s="251"/>
      <c r="K245" s="252"/>
      <c r="L245" s="253"/>
      <c r="M245" s="128"/>
      <c r="N245" s="128">
        <f t="shared" si="1"/>
        <v>0</v>
      </c>
      <c r="O245" s="254">
        <v>1</v>
      </c>
      <c r="P245" s="128">
        <f t="shared" si="2"/>
        <v>0</v>
      </c>
      <c r="Q245" s="18">
        <f t="shared" si="3"/>
        <v>0</v>
      </c>
      <c r="R245" s="255">
        <f t="shared" si="4"/>
        <v>0</v>
      </c>
      <c r="S245" s="230"/>
      <c r="T245" s="226">
        <f t="shared" si="59"/>
        <v>0</v>
      </c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1"/>
      <c r="AG245" s="1"/>
      <c r="AH245" s="1"/>
      <c r="AI245" s="1"/>
      <c r="AJ245" s="1"/>
    </row>
    <row r="246" spans="1:36" ht="13.5" customHeight="1">
      <c r="A246" s="259"/>
      <c r="B246" s="15" t="str">
        <f>TB!B282</f>
        <v>G085</v>
      </c>
      <c r="C246" s="256" t="str">
        <f>TB!C282</f>
        <v>Baking Powder</v>
      </c>
      <c r="D246" s="257">
        <f>SUMIF(GL!$D$5:$D$6446,B246,GL!$G$5:$G$6446)</f>
        <v>0</v>
      </c>
      <c r="E246" s="258">
        <f>SUMIF(GL!$D$6:$D$6484,B246,GL!$H$6:$H$6484)</f>
        <v>0</v>
      </c>
      <c r="F246" s="258">
        <f>SUMIF(GL!$D$6:$D$6484,B246,GL!$I$6:$I$6484)</f>
        <v>0</v>
      </c>
      <c r="G246" s="258">
        <f t="shared" si="5"/>
        <v>0</v>
      </c>
      <c r="H246" s="258">
        <f t="shared" si="6"/>
        <v>0</v>
      </c>
      <c r="I246" s="250">
        <v>0.15</v>
      </c>
      <c r="J246" s="251" t="s">
        <v>3828</v>
      </c>
      <c r="K246" s="252"/>
      <c r="L246" s="253">
        <f>D246+I246</f>
        <v>0.15</v>
      </c>
      <c r="M246" s="128">
        <f>(G246+K246)/L246</f>
        <v>0</v>
      </c>
      <c r="N246" s="128">
        <f t="shared" si="1"/>
        <v>0</v>
      </c>
      <c r="O246" s="254">
        <v>0.02</v>
      </c>
      <c r="P246" s="128">
        <f t="shared" si="2"/>
        <v>0</v>
      </c>
      <c r="Q246" s="18">
        <f t="shared" si="3"/>
        <v>0</v>
      </c>
      <c r="R246" s="255">
        <f t="shared" si="4"/>
        <v>0</v>
      </c>
      <c r="S246" s="230"/>
      <c r="T246" s="226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1"/>
      <c r="AG246" s="1"/>
      <c r="AH246" s="1"/>
      <c r="AI246" s="1"/>
      <c r="AJ246" s="1"/>
    </row>
    <row r="247" spans="1:36" ht="13.5" customHeight="1">
      <c r="A247" s="259"/>
      <c r="B247" s="15" t="str">
        <f>TB!B283</f>
        <v>G086</v>
      </c>
      <c r="C247" s="256" t="str">
        <f>TB!C283</f>
        <v>Fennel</v>
      </c>
      <c r="D247" s="257">
        <f>SUMIF(GL!$D$5:$D$6446,B247,GL!$G$5:$G$6446)</f>
        <v>0</v>
      </c>
      <c r="E247" s="258">
        <f>SUMIF(GL!$D$6:$D$6484,B247,GL!$H$6:$H$6484)</f>
        <v>0</v>
      </c>
      <c r="F247" s="258">
        <f>SUMIF(GL!$D$6:$D$6484,B247,GL!$I$6:$I$6484)</f>
        <v>0</v>
      </c>
      <c r="G247" s="258">
        <f t="shared" si="5"/>
        <v>0</v>
      </c>
      <c r="H247" s="258">
        <f t="shared" si="6"/>
        <v>0</v>
      </c>
      <c r="I247" s="250"/>
      <c r="J247" s="251"/>
      <c r="K247" s="252"/>
      <c r="L247" s="253"/>
      <c r="M247" s="128"/>
      <c r="N247" s="128">
        <f t="shared" si="1"/>
        <v>0</v>
      </c>
      <c r="O247" s="254"/>
      <c r="P247" s="128">
        <f t="shared" si="2"/>
        <v>0</v>
      </c>
      <c r="Q247" s="18">
        <f t="shared" si="3"/>
        <v>0</v>
      </c>
      <c r="R247" s="255">
        <f t="shared" si="4"/>
        <v>0</v>
      </c>
      <c r="S247" s="230"/>
      <c r="T247" s="226">
        <f>J247-M247</f>
        <v>0</v>
      </c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1"/>
      <c r="AG247" s="1"/>
      <c r="AH247" s="1"/>
      <c r="AI247" s="1"/>
      <c r="AJ247" s="1"/>
    </row>
    <row r="248" spans="1:36" ht="13.5" customHeight="1">
      <c r="A248" s="259"/>
      <c r="B248" s="15" t="str">
        <f>TB!B284</f>
        <v>G087</v>
      </c>
      <c r="C248" s="256" t="str">
        <f>TB!C284</f>
        <v>Sweet Paprika Powder</v>
      </c>
      <c r="D248" s="257">
        <f>SUMIF(GL!$D$5:$D$6446,B248,GL!$G$5:$G$6446)</f>
        <v>0</v>
      </c>
      <c r="E248" s="258">
        <f>SUMIF(GL!$D$6:$D$6484,B248,GL!$H$6:$H$6484)</f>
        <v>0</v>
      </c>
      <c r="F248" s="258">
        <f>SUMIF(GL!$D$6:$D$6484,B248,GL!$I$6:$I$6484)</f>
        <v>0</v>
      </c>
      <c r="G248" s="258">
        <f t="shared" si="5"/>
        <v>0</v>
      </c>
      <c r="H248" s="258">
        <f t="shared" si="6"/>
        <v>0</v>
      </c>
      <c r="I248" s="250">
        <v>0.26</v>
      </c>
      <c r="J248" s="251" t="s">
        <v>3828</v>
      </c>
      <c r="K248" s="252"/>
      <c r="L248" s="253">
        <f t="shared" ref="L248:L251" si="60">D248+I248</f>
        <v>0.26</v>
      </c>
      <c r="M248" s="128">
        <f t="shared" ref="M248:M251" si="61">(G248+K248)/L248</f>
        <v>0</v>
      </c>
      <c r="N248" s="128">
        <f t="shared" si="1"/>
        <v>0</v>
      </c>
      <c r="O248" s="254">
        <v>0.28000000000000003</v>
      </c>
      <c r="P248" s="128">
        <f t="shared" si="2"/>
        <v>0</v>
      </c>
      <c r="Q248" s="18">
        <f t="shared" si="3"/>
        <v>0</v>
      </c>
      <c r="R248" s="255">
        <f t="shared" si="4"/>
        <v>0</v>
      </c>
      <c r="S248" s="230"/>
      <c r="T248" s="226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1"/>
      <c r="AG248" s="1"/>
      <c r="AH248" s="1"/>
      <c r="AI248" s="1"/>
      <c r="AJ248" s="1"/>
    </row>
    <row r="249" spans="1:36" ht="13.5" customHeight="1">
      <c r="A249" s="259"/>
      <c r="B249" s="15" t="str">
        <f>TB!B285</f>
        <v>G088</v>
      </c>
      <c r="C249" s="256" t="str">
        <f>TB!C285</f>
        <v>Bread Crumb Yellow</v>
      </c>
      <c r="D249" s="257">
        <f>SUMIF(GL!$D$5:$D$6446,B249,GL!$G$5:$G$6446)</f>
        <v>10</v>
      </c>
      <c r="E249" s="258">
        <f>SUMIF(GL!$D$6:$D$6484,B249,GL!$H$6:$H$6484)</f>
        <v>165000</v>
      </c>
      <c r="F249" s="258">
        <f>SUMIF(GL!$D$6:$D$6484,B249,GL!$I$6:$I$6484)</f>
        <v>0</v>
      </c>
      <c r="G249" s="258">
        <f t="shared" si="5"/>
        <v>165000</v>
      </c>
      <c r="H249" s="258">
        <f t="shared" si="6"/>
        <v>0</v>
      </c>
      <c r="I249" s="250">
        <v>11.6</v>
      </c>
      <c r="J249" s="251">
        <v>16500</v>
      </c>
      <c r="K249" s="252">
        <v>191400</v>
      </c>
      <c r="L249" s="253">
        <f t="shared" si="60"/>
        <v>21.6</v>
      </c>
      <c r="M249" s="128">
        <f t="shared" si="61"/>
        <v>16500</v>
      </c>
      <c r="N249" s="128">
        <f t="shared" si="1"/>
        <v>356400</v>
      </c>
      <c r="O249" s="254">
        <v>12.6</v>
      </c>
      <c r="P249" s="128">
        <f t="shared" si="2"/>
        <v>16500</v>
      </c>
      <c r="Q249" s="18">
        <f t="shared" si="3"/>
        <v>207900</v>
      </c>
      <c r="R249" s="255">
        <f t="shared" si="4"/>
        <v>148500</v>
      </c>
      <c r="S249" s="230"/>
      <c r="T249" s="226">
        <f t="shared" ref="T249:T271" si="62">J249-M249</f>
        <v>0</v>
      </c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1"/>
      <c r="AG249" s="1"/>
      <c r="AH249" s="1"/>
      <c r="AI249" s="1"/>
      <c r="AJ249" s="1"/>
    </row>
    <row r="250" spans="1:36" ht="13.5" customHeight="1">
      <c r="A250" s="259"/>
      <c r="B250" s="15" t="str">
        <f>TB!B286</f>
        <v>G089</v>
      </c>
      <c r="C250" s="256" t="str">
        <f>TB!C286</f>
        <v>Ice Cream</v>
      </c>
      <c r="D250" s="257">
        <f>SUMIF(GL!$D$5:$D$6446,B250,GL!$G$5:$G$6446)</f>
        <v>0</v>
      </c>
      <c r="E250" s="258">
        <f>SUMIF(GL!$D$6:$D$6484,B250,GL!$H$6:$H$6484)</f>
        <v>0</v>
      </c>
      <c r="F250" s="258">
        <f>SUMIF(GL!$D$6:$D$6484,B250,GL!$I$6:$I$6484)</f>
        <v>0</v>
      </c>
      <c r="G250" s="258">
        <f t="shared" si="5"/>
        <v>0</v>
      </c>
      <c r="H250" s="258">
        <f t="shared" si="6"/>
        <v>0</v>
      </c>
      <c r="I250" s="250">
        <v>3.9</v>
      </c>
      <c r="J250" s="251">
        <v>25296</v>
      </c>
      <c r="K250" s="252">
        <v>98656</v>
      </c>
      <c r="L250" s="253">
        <f t="shared" si="60"/>
        <v>3.9</v>
      </c>
      <c r="M250" s="128">
        <f t="shared" si="61"/>
        <v>25296.410256410258</v>
      </c>
      <c r="N250" s="128">
        <f t="shared" si="1"/>
        <v>98656</v>
      </c>
      <c r="O250" s="254">
        <v>2.5</v>
      </c>
      <c r="P250" s="128">
        <f t="shared" si="2"/>
        <v>25296.410256410258</v>
      </c>
      <c r="Q250" s="18">
        <f t="shared" si="3"/>
        <v>63241.025641025641</v>
      </c>
      <c r="R250" s="255">
        <f t="shared" si="4"/>
        <v>35414.974358974359</v>
      </c>
      <c r="S250" s="230"/>
      <c r="T250" s="226">
        <f t="shared" si="62"/>
        <v>-0.4102564102577162</v>
      </c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1"/>
      <c r="AG250" s="1"/>
      <c r="AH250" s="1"/>
      <c r="AI250" s="1"/>
      <c r="AJ250" s="1"/>
    </row>
    <row r="251" spans="1:36" ht="13.5" customHeight="1">
      <c r="A251" s="259"/>
      <c r="B251" s="15" t="str">
        <f>TB!B287</f>
        <v>G090</v>
      </c>
      <c r="C251" s="256" t="str">
        <f>TB!C287</f>
        <v>Black Pitted Olives</v>
      </c>
      <c r="D251" s="257">
        <f>SUMIF(GL!$D$5:$D$6446,B251,GL!$G$5:$G$6446)</f>
        <v>4.2</v>
      </c>
      <c r="E251" s="258">
        <f>SUMIF(GL!$D$6:$D$6484,B251,GL!$H$6:$H$6484)</f>
        <v>305250</v>
      </c>
      <c r="F251" s="258">
        <f>SUMIF(GL!$D$6:$D$6484,B251,GL!$I$6:$I$6484)</f>
        <v>0</v>
      </c>
      <c r="G251" s="258">
        <f t="shared" si="5"/>
        <v>305250</v>
      </c>
      <c r="H251" s="258">
        <f t="shared" si="6"/>
        <v>0</v>
      </c>
      <c r="I251" s="250"/>
      <c r="J251" s="251"/>
      <c r="K251" s="252"/>
      <c r="L251" s="253">
        <f t="shared" si="60"/>
        <v>4.2</v>
      </c>
      <c r="M251" s="128">
        <f t="shared" si="61"/>
        <v>72678.57142857142</v>
      </c>
      <c r="N251" s="128">
        <f t="shared" si="1"/>
        <v>305250</v>
      </c>
      <c r="O251" s="254"/>
      <c r="P251" s="128">
        <f t="shared" si="2"/>
        <v>72678.57142857142</v>
      </c>
      <c r="Q251" s="18">
        <f t="shared" si="3"/>
        <v>0</v>
      </c>
      <c r="R251" s="255">
        <f t="shared" si="4"/>
        <v>305250</v>
      </c>
      <c r="S251" s="230"/>
      <c r="T251" s="226">
        <f t="shared" si="62"/>
        <v>-72678.57142857142</v>
      </c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1"/>
      <c r="AG251" s="1"/>
      <c r="AH251" s="1"/>
      <c r="AI251" s="1"/>
      <c r="AJ251" s="1"/>
    </row>
    <row r="252" spans="1:36" ht="13.5" customHeight="1">
      <c r="A252" s="259"/>
      <c r="B252" s="15" t="str">
        <f>TB!B288</f>
        <v>G091</v>
      </c>
      <c r="C252" s="256" t="str">
        <f>TB!C288</f>
        <v>Puff Pastry</v>
      </c>
      <c r="D252" s="257">
        <f>SUMIF(GL!$D$5:$D$6446,B252,GL!$G$5:$G$6446)</f>
        <v>0</v>
      </c>
      <c r="E252" s="258">
        <f>SUMIF(GL!$D$6:$D$6484,B252,GL!$H$6:$H$6484)</f>
        <v>0</v>
      </c>
      <c r="F252" s="258">
        <f>SUMIF(GL!$D$6:$D$6484,B252,GL!$I$6:$I$6484)</f>
        <v>0</v>
      </c>
      <c r="G252" s="258">
        <f t="shared" si="5"/>
        <v>0</v>
      </c>
      <c r="H252" s="258">
        <f t="shared" si="6"/>
        <v>0</v>
      </c>
      <c r="I252" s="250"/>
      <c r="J252" s="251"/>
      <c r="K252" s="252"/>
      <c r="L252" s="253"/>
      <c r="M252" s="128"/>
      <c r="N252" s="128">
        <f t="shared" si="1"/>
        <v>0</v>
      </c>
      <c r="O252" s="254"/>
      <c r="P252" s="128">
        <f t="shared" si="2"/>
        <v>0</v>
      </c>
      <c r="Q252" s="18">
        <f t="shared" si="3"/>
        <v>0</v>
      </c>
      <c r="R252" s="255">
        <f t="shared" si="4"/>
        <v>0</v>
      </c>
      <c r="S252" s="230"/>
      <c r="T252" s="226">
        <f t="shared" si="62"/>
        <v>0</v>
      </c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1"/>
      <c r="AG252" s="1"/>
      <c r="AH252" s="1"/>
      <c r="AI252" s="1"/>
      <c r="AJ252" s="1"/>
    </row>
    <row r="253" spans="1:36" ht="13.5" customHeight="1">
      <c r="A253" s="259"/>
      <c r="B253" s="15" t="str">
        <f>TB!B289</f>
        <v>G092</v>
      </c>
      <c r="C253" s="256" t="str">
        <f>TB!C289</f>
        <v>Bread Crumb Putih</v>
      </c>
      <c r="D253" s="257">
        <f>SUMIF(GL!$D$5:$D$6446,B253,GL!$G$5:$G$6446)</f>
        <v>0</v>
      </c>
      <c r="E253" s="258">
        <f>SUMIF(GL!$D$6:$D$6484,B253,GL!$H$6:$H$6484)</f>
        <v>0</v>
      </c>
      <c r="F253" s="258">
        <f>SUMIF(GL!$D$6:$D$6484,B253,GL!$I$6:$I$6484)</f>
        <v>0</v>
      </c>
      <c r="G253" s="258">
        <f t="shared" si="5"/>
        <v>0</v>
      </c>
      <c r="H253" s="258">
        <f t="shared" si="6"/>
        <v>0</v>
      </c>
      <c r="I253" s="250"/>
      <c r="J253" s="251"/>
      <c r="K253" s="252"/>
      <c r="L253" s="253"/>
      <c r="M253" s="128"/>
      <c r="N253" s="128">
        <f t="shared" si="1"/>
        <v>0</v>
      </c>
      <c r="O253" s="254"/>
      <c r="P253" s="128">
        <f t="shared" si="2"/>
        <v>0</v>
      </c>
      <c r="Q253" s="18">
        <f t="shared" si="3"/>
        <v>0</v>
      </c>
      <c r="R253" s="255">
        <f t="shared" si="4"/>
        <v>0</v>
      </c>
      <c r="S253" s="230"/>
      <c r="T253" s="226">
        <f t="shared" si="62"/>
        <v>0</v>
      </c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1"/>
      <c r="AG253" s="1"/>
      <c r="AH253" s="1"/>
      <c r="AI253" s="1"/>
      <c r="AJ253" s="1"/>
    </row>
    <row r="254" spans="1:36" ht="13.5" customHeight="1">
      <c r="A254" s="259"/>
      <c r="B254" s="15" t="str">
        <f>TB!B290</f>
        <v>G093</v>
      </c>
      <c r="C254" s="256" t="str">
        <f>TB!C290</f>
        <v>Raising Flour @400 Gr</v>
      </c>
      <c r="D254" s="257">
        <f>SUMIF(GL!$D$5:$D$6446,B254,GL!$G$5:$G$6446)</f>
        <v>14</v>
      </c>
      <c r="E254" s="258">
        <f>SUMIF(GL!$D$6:$D$6484,B254,GL!$H$6:$H$6484)</f>
        <v>269000</v>
      </c>
      <c r="F254" s="258">
        <f>SUMIF(GL!$D$6:$D$6484,B254,GL!$I$6:$I$6484)</f>
        <v>0</v>
      </c>
      <c r="G254" s="258">
        <f t="shared" si="5"/>
        <v>269000</v>
      </c>
      <c r="H254" s="258">
        <f t="shared" si="6"/>
        <v>0</v>
      </c>
      <c r="I254" s="250">
        <v>0.28999999999999998</v>
      </c>
      <c r="J254" s="251">
        <v>20054</v>
      </c>
      <c r="K254" s="252">
        <v>5816</v>
      </c>
      <c r="L254" s="253">
        <f>D254+I254</f>
        <v>14.29</v>
      </c>
      <c r="M254" s="128">
        <f>(G254+K254)/L254</f>
        <v>19231.350594821553</v>
      </c>
      <c r="N254" s="128">
        <f t="shared" si="1"/>
        <v>274816</v>
      </c>
      <c r="O254" s="254">
        <v>2</v>
      </c>
      <c r="P254" s="128">
        <f t="shared" si="2"/>
        <v>19231.350594821553</v>
      </c>
      <c r="Q254" s="18">
        <f t="shared" si="3"/>
        <v>38462.701189643107</v>
      </c>
      <c r="R254" s="255">
        <f t="shared" si="4"/>
        <v>236353.29881035688</v>
      </c>
      <c r="S254" s="230"/>
      <c r="T254" s="226">
        <f t="shared" si="62"/>
        <v>822.64940517844661</v>
      </c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1"/>
      <c r="AG254" s="1"/>
      <c r="AH254" s="1"/>
      <c r="AI254" s="1"/>
      <c r="AJ254" s="1"/>
    </row>
    <row r="255" spans="1:36" ht="13.5" customHeight="1">
      <c r="A255" s="259"/>
      <c r="B255" s="15" t="str">
        <f>TB!B291</f>
        <v>G094</v>
      </c>
      <c r="C255" s="256" t="str">
        <f>TB!C291</f>
        <v>Sour Cream</v>
      </c>
      <c r="D255" s="257">
        <f>SUMIF(GL!$D$5:$D$6446,B255,GL!$G$5:$G$6446)</f>
        <v>0</v>
      </c>
      <c r="E255" s="258">
        <f>SUMIF(GL!$D$6:$D$6484,B255,GL!$H$6:$H$6484)</f>
        <v>0</v>
      </c>
      <c r="F255" s="258">
        <f>SUMIF(GL!$D$6:$D$6484,B255,GL!$I$6:$I$6484)</f>
        <v>0</v>
      </c>
      <c r="G255" s="258">
        <f t="shared" si="5"/>
        <v>0</v>
      </c>
      <c r="H255" s="258">
        <f t="shared" si="6"/>
        <v>0</v>
      </c>
      <c r="I255" s="250"/>
      <c r="J255" s="251"/>
      <c r="K255" s="252"/>
      <c r="L255" s="253"/>
      <c r="M255" s="128"/>
      <c r="N255" s="128">
        <f t="shared" si="1"/>
        <v>0</v>
      </c>
      <c r="O255" s="254"/>
      <c r="P255" s="128">
        <f t="shared" si="2"/>
        <v>0</v>
      </c>
      <c r="Q255" s="18">
        <f t="shared" si="3"/>
        <v>0</v>
      </c>
      <c r="R255" s="255">
        <f t="shared" si="4"/>
        <v>0</v>
      </c>
      <c r="S255" s="230"/>
      <c r="T255" s="226">
        <f t="shared" si="62"/>
        <v>0</v>
      </c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1"/>
      <c r="AG255" s="1"/>
      <c r="AH255" s="1"/>
      <c r="AI255" s="1"/>
      <c r="AJ255" s="1"/>
    </row>
    <row r="256" spans="1:36" ht="13.5" customHeight="1">
      <c r="A256" s="259"/>
      <c r="B256" s="15" t="str">
        <f>TB!B292</f>
        <v>G095</v>
      </c>
      <c r="C256" s="256" t="str">
        <f>TB!C292</f>
        <v>Coconut Dry</v>
      </c>
      <c r="D256" s="257">
        <f>SUMIF(GL!$D$5:$D$6446,B256,GL!$G$5:$G$6446)</f>
        <v>0</v>
      </c>
      <c r="E256" s="258">
        <f>SUMIF(GL!$D$6:$D$6484,B256,GL!$H$6:$H$6484)</f>
        <v>0</v>
      </c>
      <c r="F256" s="258">
        <f>SUMIF(GL!$D$6:$D$6484,B256,GL!$I$6:$I$6484)</f>
        <v>0</v>
      </c>
      <c r="G256" s="258">
        <f t="shared" si="5"/>
        <v>0</v>
      </c>
      <c r="H256" s="258">
        <f t="shared" si="6"/>
        <v>0</v>
      </c>
      <c r="I256" s="250"/>
      <c r="J256" s="251"/>
      <c r="K256" s="252"/>
      <c r="L256" s="253"/>
      <c r="M256" s="128"/>
      <c r="N256" s="128">
        <f t="shared" si="1"/>
        <v>0</v>
      </c>
      <c r="O256" s="254"/>
      <c r="P256" s="128">
        <f t="shared" si="2"/>
        <v>0</v>
      </c>
      <c r="Q256" s="18">
        <f t="shared" si="3"/>
        <v>0</v>
      </c>
      <c r="R256" s="255">
        <f t="shared" si="4"/>
        <v>0</v>
      </c>
      <c r="S256" s="230"/>
      <c r="T256" s="226">
        <f t="shared" si="62"/>
        <v>0</v>
      </c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1"/>
      <c r="AG256" s="1"/>
      <c r="AH256" s="1"/>
      <c r="AI256" s="1"/>
      <c r="AJ256" s="1"/>
    </row>
    <row r="257" spans="1:36" ht="13.5" customHeight="1">
      <c r="A257" s="259"/>
      <c r="B257" s="15" t="str">
        <f>TB!B293</f>
        <v>G096</v>
      </c>
      <c r="C257" s="256" t="str">
        <f>TB!C293</f>
        <v>Prociutto</v>
      </c>
      <c r="D257" s="257">
        <f>SUMIF(GL!$D$5:$D$6446,B257,GL!$G$5:$G$6446)</f>
        <v>6.08</v>
      </c>
      <c r="E257" s="258">
        <f>SUMIF(GL!$D$6:$D$6484,B257,GL!$H$6:$H$6484)</f>
        <v>1822176</v>
      </c>
      <c r="F257" s="258">
        <f>SUMIF(GL!$D$6:$D$6484,B257,GL!$I$6:$I$6484)</f>
        <v>0</v>
      </c>
      <c r="G257" s="258">
        <f t="shared" si="5"/>
        <v>1822176</v>
      </c>
      <c r="H257" s="258">
        <f t="shared" si="6"/>
        <v>0</v>
      </c>
      <c r="I257" s="250">
        <v>1.2</v>
      </c>
      <c r="J257" s="251">
        <v>296832</v>
      </c>
      <c r="K257" s="252">
        <v>356198</v>
      </c>
      <c r="L257" s="253">
        <f>D257+I257</f>
        <v>7.28</v>
      </c>
      <c r="M257" s="128">
        <f>(G257+K257)/L257</f>
        <v>299227.19780219777</v>
      </c>
      <c r="N257" s="128">
        <f t="shared" si="1"/>
        <v>2178374</v>
      </c>
      <c r="O257" s="254">
        <v>4.6900000000000004</v>
      </c>
      <c r="P257" s="128">
        <f t="shared" si="2"/>
        <v>299227.19780219777</v>
      </c>
      <c r="Q257" s="18">
        <f t="shared" si="3"/>
        <v>1403375.5576923077</v>
      </c>
      <c r="R257" s="255">
        <f t="shared" si="4"/>
        <v>774998.44230769225</v>
      </c>
      <c r="S257" s="230"/>
      <c r="T257" s="226">
        <f t="shared" si="62"/>
        <v>-2395.1978021977702</v>
      </c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1"/>
      <c r="AG257" s="1"/>
      <c r="AH257" s="1"/>
      <c r="AI257" s="1"/>
      <c r="AJ257" s="1"/>
    </row>
    <row r="258" spans="1:36" ht="13.5" customHeight="1">
      <c r="A258" s="259"/>
      <c r="B258" s="15" t="str">
        <f>TB!B294</f>
        <v>G097</v>
      </c>
      <c r="C258" s="256" t="str">
        <f>TB!C294</f>
        <v>Pink Salt</v>
      </c>
      <c r="D258" s="257">
        <f>SUMIF(GL!$D$5:$D$6446,B258,GL!$G$5:$G$6446)</f>
        <v>0</v>
      </c>
      <c r="E258" s="258">
        <f>SUMIF(GL!$D$6:$D$6484,B258,GL!$H$6:$H$6484)</f>
        <v>0</v>
      </c>
      <c r="F258" s="258">
        <f>SUMIF(GL!$D$6:$D$6484,B258,GL!$I$6:$I$6484)</f>
        <v>0</v>
      </c>
      <c r="G258" s="258">
        <f t="shared" si="5"/>
        <v>0</v>
      </c>
      <c r="H258" s="258">
        <f t="shared" si="6"/>
        <v>0</v>
      </c>
      <c r="I258" s="250"/>
      <c r="J258" s="251"/>
      <c r="K258" s="252"/>
      <c r="L258" s="253"/>
      <c r="M258" s="128"/>
      <c r="N258" s="128">
        <f t="shared" si="1"/>
        <v>0</v>
      </c>
      <c r="O258" s="254"/>
      <c r="P258" s="128">
        <f t="shared" si="2"/>
        <v>0</v>
      </c>
      <c r="Q258" s="18">
        <f t="shared" si="3"/>
        <v>0</v>
      </c>
      <c r="R258" s="255">
        <f t="shared" si="4"/>
        <v>0</v>
      </c>
      <c r="S258" s="230"/>
      <c r="T258" s="226">
        <f t="shared" si="62"/>
        <v>0</v>
      </c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1"/>
      <c r="AG258" s="1"/>
      <c r="AH258" s="1"/>
      <c r="AI258" s="1"/>
      <c r="AJ258" s="1"/>
    </row>
    <row r="259" spans="1:36" ht="13.5" customHeight="1">
      <c r="A259" s="259"/>
      <c r="B259" s="15" t="str">
        <f>TB!B295</f>
        <v>G098</v>
      </c>
      <c r="C259" s="256" t="str">
        <f>TB!C295</f>
        <v>Ambrossi Parmigiano</v>
      </c>
      <c r="D259" s="257">
        <f>SUMIF(GL!$D$5:$D$6446,B259,GL!$G$5:$G$6446)</f>
        <v>0</v>
      </c>
      <c r="E259" s="258">
        <f>SUMIF(GL!$D$6:$D$6484,B259,GL!$H$6:$H$6484)</f>
        <v>0</v>
      </c>
      <c r="F259" s="258">
        <f>SUMIF(GL!$D$6:$D$6484,B259,GL!$I$6:$I$6484)</f>
        <v>0</v>
      </c>
      <c r="G259" s="258">
        <f t="shared" si="5"/>
        <v>0</v>
      </c>
      <c r="H259" s="258">
        <f t="shared" si="6"/>
        <v>0</v>
      </c>
      <c r="I259" s="250"/>
      <c r="J259" s="251"/>
      <c r="K259" s="252"/>
      <c r="L259" s="253"/>
      <c r="M259" s="128"/>
      <c r="N259" s="128">
        <f t="shared" si="1"/>
        <v>0</v>
      </c>
      <c r="O259" s="254"/>
      <c r="P259" s="128">
        <f t="shared" si="2"/>
        <v>0</v>
      </c>
      <c r="Q259" s="18">
        <f t="shared" si="3"/>
        <v>0</v>
      </c>
      <c r="R259" s="255">
        <f t="shared" si="4"/>
        <v>0</v>
      </c>
      <c r="S259" s="230"/>
      <c r="T259" s="226">
        <f t="shared" si="62"/>
        <v>0</v>
      </c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1"/>
      <c r="AG259" s="1"/>
      <c r="AH259" s="1"/>
      <c r="AI259" s="1"/>
      <c r="AJ259" s="1"/>
    </row>
    <row r="260" spans="1:36" ht="13.5" customHeight="1">
      <c r="A260" s="259"/>
      <c r="B260" s="15" t="str">
        <f>TB!B296</f>
        <v>G099</v>
      </c>
      <c r="C260" s="256" t="str">
        <f>TB!C296</f>
        <v>Demi Glass</v>
      </c>
      <c r="D260" s="257">
        <f>SUMIF(GL!$D$5:$D$6446,B260,GL!$G$5:$G$6446)</f>
        <v>2</v>
      </c>
      <c r="E260" s="258">
        <f>SUMIF(GL!$D$6:$D$6484,B260,GL!$H$6:$H$6484)</f>
        <v>347000</v>
      </c>
      <c r="F260" s="258">
        <f>SUMIF(GL!$D$6:$D$6484,B260,GL!$I$6:$I$6484)</f>
        <v>0</v>
      </c>
      <c r="G260" s="258">
        <f t="shared" si="5"/>
        <v>347000</v>
      </c>
      <c r="H260" s="258">
        <f t="shared" si="6"/>
        <v>0</v>
      </c>
      <c r="I260" s="250">
        <v>0.63</v>
      </c>
      <c r="J260" s="251">
        <v>171683</v>
      </c>
      <c r="K260" s="252">
        <v>108160</v>
      </c>
      <c r="L260" s="253">
        <f t="shared" ref="L260:L261" si="63">D260+I260</f>
        <v>2.63</v>
      </c>
      <c r="M260" s="128">
        <f t="shared" ref="M260:M261" si="64">(G260+K260)/L260</f>
        <v>173064.63878326997</v>
      </c>
      <c r="N260" s="128">
        <f t="shared" si="1"/>
        <v>455160</v>
      </c>
      <c r="O260" s="254">
        <v>0.8</v>
      </c>
      <c r="P260" s="128">
        <f t="shared" si="2"/>
        <v>173064.63878326997</v>
      </c>
      <c r="Q260" s="18">
        <f t="shared" si="3"/>
        <v>138451.71102661599</v>
      </c>
      <c r="R260" s="255">
        <f t="shared" si="4"/>
        <v>316708.28897338401</v>
      </c>
      <c r="S260" s="230"/>
      <c r="T260" s="226">
        <f t="shared" si="62"/>
        <v>-1381.6387832699693</v>
      </c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1"/>
      <c r="AG260" s="1"/>
      <c r="AH260" s="1"/>
      <c r="AI260" s="1"/>
      <c r="AJ260" s="1"/>
    </row>
    <row r="261" spans="1:36" ht="13.5" customHeight="1">
      <c r="A261" s="259"/>
      <c r="B261" s="15" t="str">
        <f>TB!B297</f>
        <v>G100</v>
      </c>
      <c r="C261" s="256" t="str">
        <f>TB!C297</f>
        <v>Edamame</v>
      </c>
      <c r="D261" s="257">
        <f>SUMIF(GL!$D$5:$D$6446,B261,GL!$G$5:$G$6446)</f>
        <v>4.5</v>
      </c>
      <c r="E261" s="258">
        <f>SUMIF(GL!$D$6:$D$6484,B261,GL!$H$6:$H$6484)</f>
        <v>145000</v>
      </c>
      <c r="F261" s="258">
        <f>SUMIF(GL!$D$6:$D$6484,B261,GL!$I$6:$I$6484)</f>
        <v>0</v>
      </c>
      <c r="G261" s="258">
        <f t="shared" si="5"/>
        <v>145000</v>
      </c>
      <c r="H261" s="258">
        <f t="shared" si="6"/>
        <v>0</v>
      </c>
      <c r="I261" s="250">
        <v>1.45</v>
      </c>
      <c r="J261" s="251">
        <v>30649</v>
      </c>
      <c r="K261" s="252">
        <v>44441</v>
      </c>
      <c r="L261" s="253">
        <f t="shared" si="63"/>
        <v>5.95</v>
      </c>
      <c r="M261" s="128">
        <f t="shared" si="64"/>
        <v>31838.823529411762</v>
      </c>
      <c r="N261" s="128">
        <f t="shared" si="1"/>
        <v>189441</v>
      </c>
      <c r="O261" s="254">
        <v>1.2</v>
      </c>
      <c r="P261" s="128">
        <f t="shared" si="2"/>
        <v>31838.823529411762</v>
      </c>
      <c r="Q261" s="18">
        <f t="shared" si="3"/>
        <v>38206.588235294112</v>
      </c>
      <c r="R261" s="255">
        <f t="shared" si="4"/>
        <v>151234.4117647059</v>
      </c>
      <c r="S261" s="230"/>
      <c r="T261" s="226">
        <f t="shared" si="62"/>
        <v>-1189.8235294117621</v>
      </c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1"/>
      <c r="AG261" s="1"/>
      <c r="AH261" s="1"/>
      <c r="AI261" s="1"/>
      <c r="AJ261" s="1"/>
    </row>
    <row r="262" spans="1:36" ht="13.5" customHeight="1">
      <c r="A262" s="259"/>
      <c r="B262" s="15" t="str">
        <f>TB!B298</f>
        <v>G101</v>
      </c>
      <c r="C262" s="256" t="str">
        <f>TB!C298</f>
        <v>Harvey Red Eye</v>
      </c>
      <c r="D262" s="257">
        <f>SUMIF(GL!$D$5:$D$6446,B262,GL!$G$5:$G$6446)</f>
        <v>0</v>
      </c>
      <c r="E262" s="258">
        <f>SUMIF(GL!$D$6:$D$6484,B262,GL!$H$6:$H$6484)</f>
        <v>0</v>
      </c>
      <c r="F262" s="258">
        <f>SUMIF(GL!$D$6:$D$6484,B262,GL!$I$6:$I$6484)</f>
        <v>0</v>
      </c>
      <c r="G262" s="258">
        <f t="shared" si="5"/>
        <v>0</v>
      </c>
      <c r="H262" s="258">
        <f t="shared" si="6"/>
        <v>0</v>
      </c>
      <c r="I262" s="250"/>
      <c r="J262" s="251"/>
      <c r="K262" s="252"/>
      <c r="L262" s="253"/>
      <c r="M262" s="128"/>
      <c r="N262" s="128">
        <f t="shared" si="1"/>
        <v>0</v>
      </c>
      <c r="O262" s="254"/>
      <c r="P262" s="128">
        <f t="shared" si="2"/>
        <v>0</v>
      </c>
      <c r="Q262" s="18">
        <f t="shared" si="3"/>
        <v>0</v>
      </c>
      <c r="R262" s="255">
        <f t="shared" si="4"/>
        <v>0</v>
      </c>
      <c r="S262" s="230"/>
      <c r="T262" s="226">
        <f t="shared" si="62"/>
        <v>0</v>
      </c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1"/>
      <c r="AG262" s="1"/>
      <c r="AH262" s="1"/>
      <c r="AI262" s="1"/>
      <c r="AJ262" s="1"/>
    </row>
    <row r="263" spans="1:36" ht="13.5" customHeight="1">
      <c r="A263" s="259"/>
      <c r="B263" s="15" t="str">
        <f>TB!B299</f>
        <v>G102</v>
      </c>
      <c r="C263" s="256" t="str">
        <f>TB!C299</f>
        <v>Edible Flower</v>
      </c>
      <c r="D263" s="257">
        <f>SUMIF(GL!$D$5:$D$6446,B263,GL!$G$5:$G$6446)</f>
        <v>0</v>
      </c>
      <c r="E263" s="258">
        <f>SUMIF(GL!$D$6:$D$6484,B263,GL!$H$6:$H$6484)</f>
        <v>0</v>
      </c>
      <c r="F263" s="258">
        <f>SUMIF(GL!$D$6:$D$6484,B263,GL!$I$6:$I$6484)</f>
        <v>0</v>
      </c>
      <c r="G263" s="258">
        <f t="shared" si="5"/>
        <v>0</v>
      </c>
      <c r="H263" s="258">
        <f t="shared" si="6"/>
        <v>0</v>
      </c>
      <c r="I263" s="250"/>
      <c r="J263" s="251"/>
      <c r="K263" s="252"/>
      <c r="L263" s="253"/>
      <c r="M263" s="128"/>
      <c r="N263" s="128">
        <f t="shared" ref="N263:N295" si="65">G263+K263</f>
        <v>0</v>
      </c>
      <c r="O263" s="254"/>
      <c r="P263" s="128">
        <f t="shared" ref="P263:P295" si="66">M263</f>
        <v>0</v>
      </c>
      <c r="Q263" s="18">
        <f t="shared" ref="Q263:Q295" si="67">O263*P263</f>
        <v>0</v>
      </c>
      <c r="R263" s="255">
        <f t="shared" ref="R263:R295" si="68">N263-Q263</f>
        <v>0</v>
      </c>
      <c r="S263" s="230"/>
      <c r="T263" s="226">
        <f t="shared" si="62"/>
        <v>0</v>
      </c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1"/>
      <c r="AG263" s="1"/>
      <c r="AH263" s="1"/>
      <c r="AI263" s="1"/>
      <c r="AJ263" s="1"/>
    </row>
    <row r="264" spans="1:36" ht="13.5" customHeight="1">
      <c r="A264" s="259"/>
      <c r="B264" s="15" t="str">
        <f>TB!B300</f>
        <v>G103</v>
      </c>
      <c r="C264" s="256" t="str">
        <f>TB!C300</f>
        <v>Telur Puyuh/Equil Egg</v>
      </c>
      <c r="D264" s="257">
        <f>SUMIF(GL!$D$5:$D$6446,B264,GL!$G$5:$G$6446)</f>
        <v>0</v>
      </c>
      <c r="E264" s="258">
        <f>SUMIF(GL!$D$6:$D$6484,B264,GL!$H$6:$H$6484)</f>
        <v>0</v>
      </c>
      <c r="F264" s="258">
        <f>SUMIF(GL!$D$6:$D$6484,B264,GL!$I$6:$I$6484)</f>
        <v>0</v>
      </c>
      <c r="G264" s="258">
        <f t="shared" ref="G264:G295" si="69">IF(E264&gt;F264,E264-F264,0)</f>
        <v>0</v>
      </c>
      <c r="H264" s="258">
        <f t="shared" ref="H264:H295" si="70">IF(F264&gt;E264,F264-E264,0)</f>
        <v>0</v>
      </c>
      <c r="I264" s="250"/>
      <c r="J264" s="251"/>
      <c r="K264" s="252"/>
      <c r="L264" s="253"/>
      <c r="M264" s="128"/>
      <c r="N264" s="128">
        <f t="shared" si="65"/>
        <v>0</v>
      </c>
      <c r="O264" s="254"/>
      <c r="P264" s="128">
        <f t="shared" si="66"/>
        <v>0</v>
      </c>
      <c r="Q264" s="18">
        <f t="shared" si="67"/>
        <v>0</v>
      </c>
      <c r="R264" s="255">
        <f t="shared" si="68"/>
        <v>0</v>
      </c>
      <c r="S264" s="230"/>
      <c r="T264" s="226">
        <f t="shared" si="62"/>
        <v>0</v>
      </c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1"/>
      <c r="AG264" s="1"/>
      <c r="AH264" s="1"/>
      <c r="AI264" s="1"/>
      <c r="AJ264" s="1"/>
    </row>
    <row r="265" spans="1:36" ht="13.5" customHeight="1">
      <c r="A265" s="259"/>
      <c r="B265" s="15" t="str">
        <f>TB!B301</f>
        <v>G104</v>
      </c>
      <c r="C265" s="256" t="str">
        <f>TB!C301</f>
        <v>Wijen Kwepie</v>
      </c>
      <c r="D265" s="257">
        <f>SUMIF(GL!$D$5:$D$6446,B265,GL!$G$5:$G$6446)</f>
        <v>0</v>
      </c>
      <c r="E265" s="258">
        <f>SUMIF(GL!$D$6:$D$6484,B265,GL!$H$6:$H$6484)</f>
        <v>0</v>
      </c>
      <c r="F265" s="258">
        <f>SUMIF(GL!$D$6:$D$6484,B265,GL!$I$6:$I$6484)</f>
        <v>0</v>
      </c>
      <c r="G265" s="258">
        <f t="shared" si="69"/>
        <v>0</v>
      </c>
      <c r="H265" s="258">
        <f t="shared" si="70"/>
        <v>0</v>
      </c>
      <c r="I265" s="250">
        <v>0.75</v>
      </c>
      <c r="J265" s="251">
        <v>93615</v>
      </c>
      <c r="K265" s="252">
        <v>70211</v>
      </c>
      <c r="L265" s="253">
        <f t="shared" ref="L265:L266" si="71">D265+I265</f>
        <v>0.75</v>
      </c>
      <c r="M265" s="128">
        <f t="shared" ref="M265:M266" si="72">(G265+K265)/L265</f>
        <v>93614.666666666672</v>
      </c>
      <c r="N265" s="128">
        <f t="shared" si="65"/>
        <v>70211</v>
      </c>
      <c r="O265" s="254">
        <v>0.4</v>
      </c>
      <c r="P265" s="128">
        <f t="shared" si="66"/>
        <v>93614.666666666672</v>
      </c>
      <c r="Q265" s="18">
        <f t="shared" si="67"/>
        <v>37445.866666666669</v>
      </c>
      <c r="R265" s="255">
        <f t="shared" si="68"/>
        <v>32765.133333333331</v>
      </c>
      <c r="S265" s="230"/>
      <c r="T265" s="226">
        <f t="shared" si="62"/>
        <v>0.33333333332848269</v>
      </c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1"/>
      <c r="AG265" s="1"/>
      <c r="AH265" s="1"/>
      <c r="AI265" s="1"/>
      <c r="AJ265" s="1"/>
    </row>
    <row r="266" spans="1:36" ht="13.5" customHeight="1">
      <c r="A266" s="259"/>
      <c r="B266" s="15" t="str">
        <f>TB!B302</f>
        <v>G105</v>
      </c>
      <c r="C266" s="256" t="str">
        <f>TB!C302</f>
        <v>Gherkin/Pickled/Acar</v>
      </c>
      <c r="D266" s="257">
        <f>SUMIF(GL!$D$5:$D$6446,B266,GL!$G$5:$G$6446)</f>
        <v>0.33</v>
      </c>
      <c r="E266" s="258">
        <f>SUMIF(GL!$D$6:$D$6484,B266,GL!$H$6:$H$6484)</f>
        <v>50000</v>
      </c>
      <c r="F266" s="258">
        <f>SUMIF(GL!$D$6:$D$6484,B266,GL!$I$6:$I$6484)</f>
        <v>0</v>
      </c>
      <c r="G266" s="258">
        <f t="shared" si="69"/>
        <v>50000</v>
      </c>
      <c r="H266" s="258">
        <f t="shared" si="70"/>
        <v>0</v>
      </c>
      <c r="I266" s="250"/>
      <c r="J266" s="251">
        <v>128008</v>
      </c>
      <c r="K266" s="252"/>
      <c r="L266" s="253">
        <f t="shared" si="71"/>
        <v>0.33</v>
      </c>
      <c r="M266" s="128">
        <f t="shared" si="72"/>
        <v>151515.15151515152</v>
      </c>
      <c r="N266" s="128">
        <f t="shared" si="65"/>
        <v>50000</v>
      </c>
      <c r="O266" s="254"/>
      <c r="P266" s="128">
        <f t="shared" si="66"/>
        <v>151515.15151515152</v>
      </c>
      <c r="Q266" s="18">
        <f t="shared" si="67"/>
        <v>0</v>
      </c>
      <c r="R266" s="255">
        <f t="shared" si="68"/>
        <v>50000</v>
      </c>
      <c r="S266" s="230"/>
      <c r="T266" s="226">
        <f t="shared" si="62"/>
        <v>-23507.15151515152</v>
      </c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1"/>
      <c r="AG266" s="1"/>
      <c r="AH266" s="1"/>
      <c r="AI266" s="1"/>
      <c r="AJ266" s="1"/>
    </row>
    <row r="267" spans="1:36" ht="13.5" customHeight="1">
      <c r="A267" s="259"/>
      <c r="B267" s="15" t="str">
        <f>TB!B303</f>
        <v>G106</v>
      </c>
      <c r="C267" s="256" t="str">
        <f>TB!C303</f>
        <v>Sweet Corn Can</v>
      </c>
      <c r="D267" s="257">
        <f>SUMIF(GL!$D$5:$D$6446,B267,GL!$G$5:$G$6446)</f>
        <v>0</v>
      </c>
      <c r="E267" s="258">
        <f>SUMIF(GL!$D$6:$D$6484,B267,GL!$H$6:$H$6484)</f>
        <v>0</v>
      </c>
      <c r="F267" s="258">
        <f>SUMIF(GL!$D$6:$D$6484,B267,GL!$I$6:$I$6484)</f>
        <v>0</v>
      </c>
      <c r="G267" s="258">
        <f t="shared" si="69"/>
        <v>0</v>
      </c>
      <c r="H267" s="258">
        <f t="shared" si="70"/>
        <v>0</v>
      </c>
      <c r="I267" s="250"/>
      <c r="J267" s="251"/>
      <c r="K267" s="252"/>
      <c r="L267" s="253"/>
      <c r="M267" s="128"/>
      <c r="N267" s="128">
        <f t="shared" si="65"/>
        <v>0</v>
      </c>
      <c r="O267" s="254"/>
      <c r="P267" s="128">
        <f t="shared" si="66"/>
        <v>0</v>
      </c>
      <c r="Q267" s="18">
        <f t="shared" si="67"/>
        <v>0</v>
      </c>
      <c r="R267" s="255">
        <f t="shared" si="68"/>
        <v>0</v>
      </c>
      <c r="S267" s="230"/>
      <c r="T267" s="226">
        <f t="shared" si="62"/>
        <v>0</v>
      </c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1"/>
      <c r="AG267" s="1"/>
      <c r="AH267" s="1"/>
      <c r="AI267" s="1"/>
      <c r="AJ267" s="1"/>
    </row>
    <row r="268" spans="1:36" ht="13.5" customHeight="1">
      <c r="A268" s="259"/>
      <c r="B268" s="15" t="str">
        <f>TB!B304</f>
        <v>G107</v>
      </c>
      <c r="C268" s="256" t="str">
        <f>TB!C304</f>
        <v>Butter Unsalted Portion</v>
      </c>
      <c r="D268" s="257">
        <f>SUMIF(GL!$D$5:$D$6446,B268,GL!$G$5:$G$6446)</f>
        <v>0</v>
      </c>
      <c r="E268" s="258">
        <f>SUMIF(GL!$D$6:$D$6484,B268,GL!$H$6:$H$6484)</f>
        <v>0</v>
      </c>
      <c r="F268" s="258">
        <f>SUMIF(GL!$D$6:$D$6484,B268,GL!$I$6:$I$6484)</f>
        <v>0</v>
      </c>
      <c r="G268" s="258">
        <f t="shared" si="69"/>
        <v>0</v>
      </c>
      <c r="H268" s="258">
        <f t="shared" si="70"/>
        <v>0</v>
      </c>
      <c r="I268" s="250"/>
      <c r="J268" s="251"/>
      <c r="K268" s="252"/>
      <c r="L268" s="253">
        <f t="shared" ref="L268:L269" si="73">D268+I268</f>
        <v>0</v>
      </c>
      <c r="M268" s="128"/>
      <c r="N268" s="128">
        <f t="shared" si="65"/>
        <v>0</v>
      </c>
      <c r="O268" s="254">
        <v>4</v>
      </c>
      <c r="P268" s="128">
        <f t="shared" si="66"/>
        <v>0</v>
      </c>
      <c r="Q268" s="18">
        <f t="shared" si="67"/>
        <v>0</v>
      </c>
      <c r="R268" s="255">
        <f t="shared" si="68"/>
        <v>0</v>
      </c>
      <c r="S268" s="230"/>
      <c r="T268" s="226">
        <f t="shared" si="62"/>
        <v>0</v>
      </c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1"/>
      <c r="AG268" s="1"/>
      <c r="AH268" s="1"/>
      <c r="AI268" s="1"/>
      <c r="AJ268" s="1"/>
    </row>
    <row r="269" spans="1:36" ht="13.5" customHeight="1">
      <c r="A269" s="259"/>
      <c r="B269" s="15" t="str">
        <f>TB!B305</f>
        <v>G108</v>
      </c>
      <c r="C269" s="256" t="str">
        <f>TB!C305</f>
        <v>White Vinegar / Cuka</v>
      </c>
      <c r="D269" s="257">
        <f>SUMIF(GL!$D$5:$D$6446,B269,GL!$G$5:$G$6446)</f>
        <v>0</v>
      </c>
      <c r="E269" s="258">
        <f>SUMIF(GL!$D$6:$D$6484,B269,GL!$H$6:$H$6484)</f>
        <v>0</v>
      </c>
      <c r="F269" s="258">
        <f>SUMIF(GL!$D$6:$D$6484,B269,GL!$I$6:$I$6484)</f>
        <v>0</v>
      </c>
      <c r="G269" s="258">
        <f t="shared" si="69"/>
        <v>0</v>
      </c>
      <c r="H269" s="258">
        <f t="shared" si="70"/>
        <v>0</v>
      </c>
      <c r="I269" s="250">
        <v>0.05</v>
      </c>
      <c r="J269" s="251"/>
      <c r="K269" s="252"/>
      <c r="L269" s="253">
        <f t="shared" si="73"/>
        <v>0.05</v>
      </c>
      <c r="M269" s="128">
        <f>(G269+K269)/L269</f>
        <v>0</v>
      </c>
      <c r="N269" s="128">
        <f t="shared" si="65"/>
        <v>0</v>
      </c>
      <c r="O269" s="254"/>
      <c r="P269" s="128">
        <f t="shared" si="66"/>
        <v>0</v>
      </c>
      <c r="Q269" s="18">
        <f t="shared" si="67"/>
        <v>0</v>
      </c>
      <c r="R269" s="255">
        <f t="shared" si="68"/>
        <v>0</v>
      </c>
      <c r="S269" s="230"/>
      <c r="T269" s="226">
        <f t="shared" si="62"/>
        <v>0</v>
      </c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1"/>
      <c r="AG269" s="1"/>
      <c r="AH269" s="1"/>
      <c r="AI269" s="1"/>
      <c r="AJ269" s="1"/>
    </row>
    <row r="270" spans="1:36" ht="13.5" customHeight="1">
      <c r="A270" s="259"/>
      <c r="B270" s="15" t="str">
        <f>TB!B306</f>
        <v>G109</v>
      </c>
      <c r="C270" s="256" t="str">
        <f>TB!C306</f>
        <v>Onion Powder</v>
      </c>
      <c r="D270" s="257">
        <f>SUMIF(GL!$D$5:$D$6446,B270,GL!$G$5:$G$6446)</f>
        <v>0</v>
      </c>
      <c r="E270" s="258">
        <f>SUMIF(GL!$D$6:$D$6484,B270,GL!$H$6:$H$6484)</f>
        <v>0</v>
      </c>
      <c r="F270" s="258">
        <f>SUMIF(GL!$D$6:$D$6484,B270,GL!$I$6:$I$6484)</f>
        <v>0</v>
      </c>
      <c r="G270" s="258">
        <f t="shared" si="69"/>
        <v>0</v>
      </c>
      <c r="H270" s="258">
        <f t="shared" si="70"/>
        <v>0</v>
      </c>
      <c r="I270" s="250"/>
      <c r="J270" s="251"/>
      <c r="K270" s="252"/>
      <c r="L270" s="253"/>
      <c r="M270" s="128"/>
      <c r="N270" s="128">
        <f t="shared" si="65"/>
        <v>0</v>
      </c>
      <c r="O270" s="254"/>
      <c r="P270" s="128">
        <f t="shared" si="66"/>
        <v>0</v>
      </c>
      <c r="Q270" s="18">
        <f t="shared" si="67"/>
        <v>0</v>
      </c>
      <c r="R270" s="255">
        <f t="shared" si="68"/>
        <v>0</v>
      </c>
      <c r="S270" s="230"/>
      <c r="T270" s="226">
        <f t="shared" si="62"/>
        <v>0</v>
      </c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1"/>
      <c r="AG270" s="1"/>
      <c r="AH270" s="1"/>
      <c r="AI270" s="1"/>
      <c r="AJ270" s="1"/>
    </row>
    <row r="271" spans="1:36" ht="13.5" customHeight="1">
      <c r="A271" s="259"/>
      <c r="B271" s="15" t="str">
        <f>TB!B307</f>
        <v>G110</v>
      </c>
      <c r="C271" s="256" t="str">
        <f>TB!C307</f>
        <v>Mizkan Aji Pon</v>
      </c>
      <c r="D271" s="257">
        <f>SUMIF(GL!$D$5:$D$6446,B271,GL!$G$5:$G$6446)</f>
        <v>0</v>
      </c>
      <c r="E271" s="258">
        <f>SUMIF(GL!$D$6:$D$6484,B271,GL!$H$6:$H$6484)</f>
        <v>0</v>
      </c>
      <c r="F271" s="258">
        <f>SUMIF(GL!$D$6:$D$6484,B271,GL!$I$6:$I$6484)</f>
        <v>0</v>
      </c>
      <c r="G271" s="258">
        <f t="shared" si="69"/>
        <v>0</v>
      </c>
      <c r="H271" s="258">
        <f t="shared" si="70"/>
        <v>0</v>
      </c>
      <c r="I271" s="250"/>
      <c r="J271" s="251"/>
      <c r="K271" s="252"/>
      <c r="L271" s="253"/>
      <c r="M271" s="128"/>
      <c r="N271" s="128">
        <f t="shared" si="65"/>
        <v>0</v>
      </c>
      <c r="O271" s="254"/>
      <c r="P271" s="128">
        <f t="shared" si="66"/>
        <v>0</v>
      </c>
      <c r="Q271" s="18">
        <f t="shared" si="67"/>
        <v>0</v>
      </c>
      <c r="R271" s="255">
        <f t="shared" si="68"/>
        <v>0</v>
      </c>
      <c r="S271" s="230"/>
      <c r="T271" s="226">
        <f t="shared" si="62"/>
        <v>0</v>
      </c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1"/>
      <c r="AG271" s="1"/>
      <c r="AH271" s="1"/>
      <c r="AI271" s="1"/>
      <c r="AJ271" s="1"/>
    </row>
    <row r="272" spans="1:36" ht="13.5" customHeight="1">
      <c r="A272" s="259"/>
      <c r="B272" s="15" t="str">
        <f>TB!B308</f>
        <v>G111</v>
      </c>
      <c r="C272" s="256" t="str">
        <f>TB!C308</f>
        <v>Bumbu Soto/Curry</v>
      </c>
      <c r="D272" s="257">
        <f>SUMIF(GL!$D$5:$D$6446,B272,GL!$G$5:$G$6446)</f>
        <v>0</v>
      </c>
      <c r="E272" s="258">
        <f>SUMIF(GL!$D$6:$D$6484,B272,GL!$H$6:$H$6484)</f>
        <v>0</v>
      </c>
      <c r="F272" s="258">
        <f>SUMIF(GL!$D$6:$D$6484,B272,GL!$I$6:$I$6484)</f>
        <v>0</v>
      </c>
      <c r="G272" s="258">
        <f t="shared" si="69"/>
        <v>0</v>
      </c>
      <c r="H272" s="258">
        <f t="shared" si="70"/>
        <v>0</v>
      </c>
      <c r="I272" s="250">
        <v>0.56000000000000005</v>
      </c>
      <c r="J272" s="251" t="s">
        <v>3828</v>
      </c>
      <c r="K272" s="252"/>
      <c r="L272" s="253">
        <f t="shared" ref="L272:L273" si="74">D272+I272</f>
        <v>0.56000000000000005</v>
      </c>
      <c r="M272" s="128">
        <f t="shared" ref="M272:M273" si="75">(G272+K272)/L272</f>
        <v>0</v>
      </c>
      <c r="N272" s="128">
        <f t="shared" si="65"/>
        <v>0</v>
      </c>
      <c r="O272" s="254"/>
      <c r="P272" s="128">
        <f t="shared" si="66"/>
        <v>0</v>
      </c>
      <c r="Q272" s="18">
        <f t="shared" si="67"/>
        <v>0</v>
      </c>
      <c r="R272" s="255">
        <f t="shared" si="68"/>
        <v>0</v>
      </c>
      <c r="S272" s="230"/>
      <c r="T272" s="226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1"/>
      <c r="AG272" s="1"/>
      <c r="AH272" s="1"/>
      <c r="AI272" s="1"/>
      <c r="AJ272" s="1"/>
    </row>
    <row r="273" spans="1:36" ht="13.5" customHeight="1">
      <c r="A273" s="259"/>
      <c r="B273" s="15" t="str">
        <f>TB!B309</f>
        <v>G112</v>
      </c>
      <c r="C273" s="256" t="str">
        <f>TB!C309</f>
        <v>Bumbu Green Curry/Kalasan</v>
      </c>
      <c r="D273" s="257">
        <f>SUMIF(GL!$D$5:$D$6446,B273,GL!$G$5:$G$6446)</f>
        <v>10</v>
      </c>
      <c r="E273" s="258">
        <f>SUMIF(GL!$D$6:$D$6484,B273,GL!$H$6:$H$6484)</f>
        <v>45000</v>
      </c>
      <c r="F273" s="258">
        <f>SUMIF(GL!$D$6:$D$6484,B273,GL!$I$6:$I$6484)</f>
        <v>0</v>
      </c>
      <c r="G273" s="258">
        <f t="shared" si="69"/>
        <v>45000</v>
      </c>
      <c r="H273" s="258">
        <f t="shared" si="70"/>
        <v>0</v>
      </c>
      <c r="I273" s="250"/>
      <c r="J273" s="251">
        <v>4500</v>
      </c>
      <c r="K273" s="252"/>
      <c r="L273" s="253">
        <f t="shared" si="74"/>
        <v>10</v>
      </c>
      <c r="M273" s="128">
        <f t="shared" si="75"/>
        <v>4500</v>
      </c>
      <c r="N273" s="128">
        <f t="shared" si="65"/>
        <v>45000</v>
      </c>
      <c r="O273" s="254">
        <v>0.3</v>
      </c>
      <c r="P273" s="128">
        <f t="shared" si="66"/>
        <v>4500</v>
      </c>
      <c r="Q273" s="18">
        <f t="shared" si="67"/>
        <v>1350</v>
      </c>
      <c r="R273" s="255">
        <f t="shared" si="68"/>
        <v>43650</v>
      </c>
      <c r="S273" s="230"/>
      <c r="T273" s="226">
        <f t="shared" ref="T273:T292" si="76">J273-M273</f>
        <v>0</v>
      </c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1"/>
      <c r="AG273" s="1"/>
      <c r="AH273" s="1"/>
      <c r="AI273" s="1"/>
      <c r="AJ273" s="1"/>
    </row>
    <row r="274" spans="1:36" ht="13.5" customHeight="1">
      <c r="A274" s="259"/>
      <c r="B274" s="15" t="str">
        <f>TB!B310</f>
        <v>G113</v>
      </c>
      <c r="C274" s="256" t="str">
        <f>TB!C310</f>
        <v>Bumbu Rendang</v>
      </c>
      <c r="D274" s="257">
        <f>SUMIF(GL!$D$5:$D$6446,B274,GL!$G$5:$G$6446)</f>
        <v>0</v>
      </c>
      <c r="E274" s="258">
        <f>SUMIF(GL!$D$6:$D$6484,B274,GL!$H$6:$H$6484)</f>
        <v>0</v>
      </c>
      <c r="F274" s="258">
        <f>SUMIF(GL!$D$6:$D$6484,B274,GL!$I$6:$I$6484)</f>
        <v>0</v>
      </c>
      <c r="G274" s="258">
        <f t="shared" si="69"/>
        <v>0</v>
      </c>
      <c r="H274" s="258">
        <f t="shared" si="70"/>
        <v>0</v>
      </c>
      <c r="I274" s="250"/>
      <c r="J274" s="251"/>
      <c r="K274" s="252"/>
      <c r="L274" s="253"/>
      <c r="M274" s="128"/>
      <c r="N274" s="128">
        <f t="shared" si="65"/>
        <v>0</v>
      </c>
      <c r="O274" s="254"/>
      <c r="P274" s="128">
        <f t="shared" si="66"/>
        <v>0</v>
      </c>
      <c r="Q274" s="18">
        <f t="shared" si="67"/>
        <v>0</v>
      </c>
      <c r="R274" s="255">
        <f t="shared" si="68"/>
        <v>0</v>
      </c>
      <c r="S274" s="230"/>
      <c r="T274" s="226">
        <f t="shared" si="76"/>
        <v>0</v>
      </c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1"/>
      <c r="AG274" s="1"/>
      <c r="AH274" s="1"/>
      <c r="AI274" s="1"/>
      <c r="AJ274" s="1"/>
    </row>
    <row r="275" spans="1:36" ht="13.5" customHeight="1">
      <c r="A275" s="259"/>
      <c r="B275" s="15" t="str">
        <f>TB!B311</f>
        <v>G114</v>
      </c>
      <c r="C275" s="256" t="str">
        <f>TB!C311</f>
        <v>Bumbu Sate / Kacang</v>
      </c>
      <c r="D275" s="257">
        <f>SUMIF(GL!$D$5:$D$6446,B275,GL!$G$5:$G$6446)</f>
        <v>10</v>
      </c>
      <c r="E275" s="258">
        <f>SUMIF(GL!$D$6:$D$6484,B275,GL!$H$6:$H$6484)</f>
        <v>220000</v>
      </c>
      <c r="F275" s="258">
        <f>SUMIF(GL!$D$6:$D$6484,B275,GL!$I$6:$I$6484)</f>
        <v>0</v>
      </c>
      <c r="G275" s="258">
        <f t="shared" si="69"/>
        <v>220000</v>
      </c>
      <c r="H275" s="258">
        <f t="shared" si="70"/>
        <v>0</v>
      </c>
      <c r="I275" s="250">
        <v>1.1100000000000001</v>
      </c>
      <c r="J275" s="251">
        <v>21679</v>
      </c>
      <c r="K275" s="252">
        <v>24063</v>
      </c>
      <c r="L275" s="253">
        <f>D275+I275</f>
        <v>11.11</v>
      </c>
      <c r="M275" s="128">
        <f>(G275+K275)/L275</f>
        <v>21967.866786678667</v>
      </c>
      <c r="N275" s="128">
        <f t="shared" si="65"/>
        <v>244063</v>
      </c>
      <c r="O275" s="254">
        <v>0.73</v>
      </c>
      <c r="P275" s="128">
        <f t="shared" si="66"/>
        <v>21967.866786678667</v>
      </c>
      <c r="Q275" s="18">
        <f t="shared" si="67"/>
        <v>16036.542754275426</v>
      </c>
      <c r="R275" s="255">
        <f t="shared" si="68"/>
        <v>228026.45724572457</v>
      </c>
      <c r="S275" s="230"/>
      <c r="T275" s="226">
        <f t="shared" si="76"/>
        <v>-288.86678667866727</v>
      </c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1"/>
      <c r="AG275" s="1"/>
      <c r="AH275" s="1"/>
      <c r="AI275" s="1"/>
      <c r="AJ275" s="1"/>
    </row>
    <row r="276" spans="1:36" ht="13.5" customHeight="1">
      <c r="A276" s="259"/>
      <c r="B276" s="15" t="str">
        <f>TB!B312</f>
        <v>G115</v>
      </c>
      <c r="C276" s="256" t="str">
        <f>TB!C312</f>
        <v>Herb Parsley</v>
      </c>
      <c r="D276" s="257">
        <f>SUMIF(GL!$D$5:$D$6446,B276,GL!$G$5:$G$6446)</f>
        <v>0</v>
      </c>
      <c r="E276" s="258">
        <f>SUMIF(GL!$D$6:$D$6484,B276,GL!$H$6:$H$6484)</f>
        <v>0</v>
      </c>
      <c r="F276" s="258">
        <f>SUMIF(GL!$D$6:$D$6484,B276,GL!$I$6:$I$6484)</f>
        <v>0</v>
      </c>
      <c r="G276" s="258">
        <f t="shared" si="69"/>
        <v>0</v>
      </c>
      <c r="H276" s="258">
        <f t="shared" si="70"/>
        <v>0</v>
      </c>
      <c r="I276" s="250"/>
      <c r="J276" s="251"/>
      <c r="K276" s="252"/>
      <c r="L276" s="253"/>
      <c r="M276" s="128"/>
      <c r="N276" s="128">
        <f t="shared" si="65"/>
        <v>0</v>
      </c>
      <c r="O276" s="254"/>
      <c r="P276" s="128">
        <f t="shared" si="66"/>
        <v>0</v>
      </c>
      <c r="Q276" s="18">
        <f t="shared" si="67"/>
        <v>0</v>
      </c>
      <c r="R276" s="255">
        <f t="shared" si="68"/>
        <v>0</v>
      </c>
      <c r="S276" s="230"/>
      <c r="T276" s="226">
        <f t="shared" si="76"/>
        <v>0</v>
      </c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1"/>
      <c r="AG276" s="1"/>
      <c r="AH276" s="1"/>
      <c r="AI276" s="1"/>
      <c r="AJ276" s="1"/>
    </row>
    <row r="277" spans="1:36" ht="13.5" customHeight="1">
      <c r="A277" s="259"/>
      <c r="B277" s="15" t="str">
        <f>TB!B313</f>
        <v>G116</v>
      </c>
      <c r="C277" s="256" t="str">
        <f>TB!C313</f>
        <v>Salad Oil</v>
      </c>
      <c r="D277" s="257">
        <f>SUMIF(GL!$D$5:$D$6446,B277,GL!$G$5:$G$6446)</f>
        <v>0</v>
      </c>
      <c r="E277" s="258">
        <f>SUMIF(GL!$D$6:$D$6484,B277,GL!$H$6:$H$6484)</f>
        <v>0</v>
      </c>
      <c r="F277" s="258">
        <f>SUMIF(GL!$D$6:$D$6484,B277,GL!$I$6:$I$6484)</f>
        <v>0</v>
      </c>
      <c r="G277" s="258">
        <f t="shared" si="69"/>
        <v>0</v>
      </c>
      <c r="H277" s="258">
        <f t="shared" si="70"/>
        <v>0</v>
      </c>
      <c r="I277" s="250"/>
      <c r="J277" s="251"/>
      <c r="K277" s="252"/>
      <c r="L277" s="253"/>
      <c r="M277" s="128"/>
      <c r="N277" s="128">
        <f t="shared" si="65"/>
        <v>0</v>
      </c>
      <c r="O277" s="254"/>
      <c r="P277" s="128">
        <f t="shared" si="66"/>
        <v>0</v>
      </c>
      <c r="Q277" s="18">
        <f t="shared" si="67"/>
        <v>0</v>
      </c>
      <c r="R277" s="255">
        <f t="shared" si="68"/>
        <v>0</v>
      </c>
      <c r="S277" s="230"/>
      <c r="T277" s="226">
        <f t="shared" si="76"/>
        <v>0</v>
      </c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1"/>
      <c r="AG277" s="1"/>
      <c r="AH277" s="1"/>
      <c r="AI277" s="1"/>
      <c r="AJ277" s="1"/>
    </row>
    <row r="278" spans="1:36" ht="13.5" customHeight="1">
      <c r="A278" s="259"/>
      <c r="B278" s="15" t="str">
        <f>TB!B314</f>
        <v>G117</v>
      </c>
      <c r="C278" s="256" t="str">
        <f>TB!C314</f>
        <v>Wijen</v>
      </c>
      <c r="D278" s="257">
        <f>SUMIF(GL!$D$5:$D$6446,B278,GL!$G$5:$G$6446)</f>
        <v>1</v>
      </c>
      <c r="E278" s="258">
        <f>SUMIF(GL!$D$6:$D$6484,B278,GL!$H$6:$H$6484)</f>
        <v>60000</v>
      </c>
      <c r="F278" s="258">
        <f>SUMIF(GL!$D$6:$D$6484,B278,GL!$I$6:$I$6484)</f>
        <v>0</v>
      </c>
      <c r="G278" s="258">
        <f t="shared" si="69"/>
        <v>60000</v>
      </c>
      <c r="H278" s="258">
        <f t="shared" si="70"/>
        <v>0</v>
      </c>
      <c r="I278" s="250">
        <v>0.16</v>
      </c>
      <c r="J278" s="251"/>
      <c r="K278" s="252"/>
      <c r="L278" s="253">
        <f t="shared" ref="L278:L279" si="77">D278+I278</f>
        <v>1.1599999999999999</v>
      </c>
      <c r="M278" s="128">
        <f t="shared" ref="M278:M279" si="78">(G278+K278)/L278</f>
        <v>51724.137931034486</v>
      </c>
      <c r="N278" s="128">
        <f t="shared" si="65"/>
        <v>60000</v>
      </c>
      <c r="O278" s="254"/>
      <c r="P278" s="128">
        <f t="shared" si="66"/>
        <v>51724.137931034486</v>
      </c>
      <c r="Q278" s="18">
        <f t="shared" si="67"/>
        <v>0</v>
      </c>
      <c r="R278" s="255">
        <f t="shared" si="68"/>
        <v>60000</v>
      </c>
      <c r="S278" s="230"/>
      <c r="T278" s="226">
        <f t="shared" si="76"/>
        <v>-51724.137931034486</v>
      </c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1"/>
      <c r="AG278" s="1"/>
      <c r="AH278" s="1"/>
      <c r="AI278" s="1"/>
      <c r="AJ278" s="1"/>
    </row>
    <row r="279" spans="1:36" ht="13.5" customHeight="1">
      <c r="A279" s="259"/>
      <c r="B279" s="15" t="str">
        <f>TB!B315</f>
        <v>G118</v>
      </c>
      <c r="C279" s="256" t="str">
        <f>TB!C315</f>
        <v>Ferpiman</v>
      </c>
      <c r="D279" s="257">
        <f>SUMIF(GL!$D$5:$D$6446,B279,GL!$G$5:$G$6446)</f>
        <v>1</v>
      </c>
      <c r="E279" s="258">
        <f>SUMIF(GL!$D$6:$D$6484,B279,GL!$H$6:$H$6484)</f>
        <v>65000</v>
      </c>
      <c r="F279" s="258">
        <f>SUMIF(GL!$D$6:$D$6484,B279,GL!$I$6:$I$6484)</f>
        <v>0</v>
      </c>
      <c r="G279" s="258">
        <f t="shared" si="69"/>
        <v>65000</v>
      </c>
      <c r="H279" s="258">
        <f t="shared" si="70"/>
        <v>0</v>
      </c>
      <c r="I279" s="250">
        <v>0.46</v>
      </c>
      <c r="J279" s="251">
        <v>128000</v>
      </c>
      <c r="K279" s="252">
        <v>58880</v>
      </c>
      <c r="L279" s="253">
        <f t="shared" si="77"/>
        <v>1.46</v>
      </c>
      <c r="M279" s="128">
        <f t="shared" si="78"/>
        <v>84849.315068493146</v>
      </c>
      <c r="N279" s="128">
        <f t="shared" si="65"/>
        <v>123880</v>
      </c>
      <c r="O279" s="254">
        <v>0.7</v>
      </c>
      <c r="P279" s="128">
        <f t="shared" si="66"/>
        <v>84849.315068493146</v>
      </c>
      <c r="Q279" s="18">
        <f t="shared" si="67"/>
        <v>59394.520547945198</v>
      </c>
      <c r="R279" s="255">
        <f t="shared" si="68"/>
        <v>64485.479452054802</v>
      </c>
      <c r="S279" s="230"/>
      <c r="T279" s="226">
        <f t="shared" si="76"/>
        <v>43150.684931506854</v>
      </c>
      <c r="U279" s="99"/>
      <c r="V279" s="99"/>
      <c r="W279" s="99"/>
      <c r="X279" s="99"/>
      <c r="Y279" s="99"/>
      <c r="Z279" s="99"/>
      <c r="AA279" s="99"/>
      <c r="AB279" s="99"/>
      <c r="AC279" s="99">
        <f>26*5</f>
        <v>130</v>
      </c>
      <c r="AD279" s="99"/>
      <c r="AE279" s="99"/>
      <c r="AF279" s="1"/>
      <c r="AG279" s="1"/>
      <c r="AH279" s="1"/>
      <c r="AI279" s="1"/>
      <c r="AJ279" s="1"/>
    </row>
    <row r="280" spans="1:36" ht="13.5" customHeight="1">
      <c r="A280" s="259"/>
      <c r="B280" s="15" t="str">
        <f>TB!B316</f>
        <v>G119</v>
      </c>
      <c r="C280" s="256" t="str">
        <f>TB!C316</f>
        <v>Fragata Pitted Black Olive 350Gr</v>
      </c>
      <c r="D280" s="257">
        <f>SUMIF(GL!$D$5:$D$6446,B280,GL!$G$5:$G$6446)</f>
        <v>0</v>
      </c>
      <c r="E280" s="258">
        <f>SUMIF(GL!$D$6:$D$6484,B280,GL!$H$6:$H$6484)</f>
        <v>0</v>
      </c>
      <c r="F280" s="258">
        <f>SUMIF(GL!$D$6:$D$6484,B280,GL!$I$6:$I$6484)</f>
        <v>0</v>
      </c>
      <c r="G280" s="258">
        <f t="shared" si="69"/>
        <v>0</v>
      </c>
      <c r="H280" s="258">
        <f t="shared" si="70"/>
        <v>0</v>
      </c>
      <c r="I280" s="250"/>
      <c r="J280" s="251"/>
      <c r="K280" s="252"/>
      <c r="L280" s="253"/>
      <c r="M280" s="128"/>
      <c r="N280" s="128">
        <f t="shared" si="65"/>
        <v>0</v>
      </c>
      <c r="O280" s="254"/>
      <c r="P280" s="128">
        <f t="shared" si="66"/>
        <v>0</v>
      </c>
      <c r="Q280" s="18">
        <f t="shared" si="67"/>
        <v>0</v>
      </c>
      <c r="R280" s="255">
        <f t="shared" si="68"/>
        <v>0</v>
      </c>
      <c r="S280" s="230"/>
      <c r="T280" s="226">
        <f t="shared" si="76"/>
        <v>0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3.5" customHeight="1">
      <c r="A281" s="259"/>
      <c r="B281" s="15" t="str">
        <f>TB!B317</f>
        <v>G120</v>
      </c>
      <c r="C281" s="256" t="str">
        <f>TB!C317</f>
        <v>Selai Creamy Peanut 300Gr</v>
      </c>
      <c r="D281" s="257">
        <f>SUMIF(GL!$D$5:$D$6446,B281,GL!$G$5:$G$6446)</f>
        <v>0</v>
      </c>
      <c r="E281" s="258">
        <f>SUMIF(GL!$D$6:$D$6484,B281,GL!$H$6:$H$6484)</f>
        <v>0</v>
      </c>
      <c r="F281" s="258">
        <f>SUMIF(GL!$D$6:$D$6484,B281,GL!$I$6:$I$6484)</f>
        <v>0</v>
      </c>
      <c r="G281" s="258">
        <f t="shared" si="69"/>
        <v>0</v>
      </c>
      <c r="H281" s="258">
        <f t="shared" si="70"/>
        <v>0</v>
      </c>
      <c r="I281" s="250"/>
      <c r="J281" s="251"/>
      <c r="K281" s="252"/>
      <c r="L281" s="253"/>
      <c r="M281" s="128"/>
      <c r="N281" s="128">
        <f t="shared" si="65"/>
        <v>0</v>
      </c>
      <c r="O281" s="254"/>
      <c r="P281" s="128">
        <f t="shared" si="66"/>
        <v>0</v>
      </c>
      <c r="Q281" s="18">
        <f t="shared" si="67"/>
        <v>0</v>
      </c>
      <c r="R281" s="255">
        <f t="shared" si="68"/>
        <v>0</v>
      </c>
      <c r="S281" s="230"/>
      <c r="T281" s="226">
        <f t="shared" si="76"/>
        <v>0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3.5" customHeight="1">
      <c r="A282" s="259"/>
      <c r="B282" s="15" t="str">
        <f>TB!B318</f>
        <v>G121</v>
      </c>
      <c r="C282" s="256" t="str">
        <f>TB!C318</f>
        <v>Choco Crunchy 1Kg</v>
      </c>
      <c r="D282" s="257">
        <f>SUMIF(GL!$D$5:$D$6446,B282,GL!$G$5:$G$6446)</f>
        <v>0</v>
      </c>
      <c r="E282" s="258">
        <f>SUMIF(GL!$D$6:$D$6484,B282,GL!$H$6:$H$6484)</f>
        <v>0</v>
      </c>
      <c r="F282" s="258">
        <f>SUMIF(GL!$D$6:$D$6484,B282,GL!$I$6:$I$6484)</f>
        <v>0</v>
      </c>
      <c r="G282" s="258">
        <f t="shared" si="69"/>
        <v>0</v>
      </c>
      <c r="H282" s="258">
        <f t="shared" si="70"/>
        <v>0</v>
      </c>
      <c r="I282" s="250"/>
      <c r="J282" s="251"/>
      <c r="K282" s="252"/>
      <c r="L282" s="253"/>
      <c r="M282" s="128"/>
      <c r="N282" s="128">
        <f t="shared" si="65"/>
        <v>0</v>
      </c>
      <c r="O282" s="254"/>
      <c r="P282" s="128">
        <f t="shared" si="66"/>
        <v>0</v>
      </c>
      <c r="Q282" s="18">
        <f t="shared" si="67"/>
        <v>0</v>
      </c>
      <c r="R282" s="255">
        <f t="shared" si="68"/>
        <v>0</v>
      </c>
      <c r="S282" s="230"/>
      <c r="T282" s="226">
        <f t="shared" si="76"/>
        <v>0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3.5" customHeight="1">
      <c r="A283" s="259"/>
      <c r="B283" s="15" t="str">
        <f>TB!B319</f>
        <v>G122</v>
      </c>
      <c r="C283" s="256" t="str">
        <f>TB!C319</f>
        <v>Fisch Sauce @ 660Ml</v>
      </c>
      <c r="D283" s="257">
        <f>SUMIF(GL!$D$5:$D$6446,B283,GL!$G$5:$G$6446)</f>
        <v>2</v>
      </c>
      <c r="E283" s="258">
        <f>SUMIF(GL!$D$6:$D$6484,B283,GL!$H$6:$H$6484)</f>
        <v>68000</v>
      </c>
      <c r="F283" s="258">
        <f>SUMIF(GL!$D$6:$D$6484,B283,GL!$I$6:$I$6484)</f>
        <v>0</v>
      </c>
      <c r="G283" s="258">
        <f t="shared" si="69"/>
        <v>68000</v>
      </c>
      <c r="H283" s="258">
        <f t="shared" si="70"/>
        <v>0</v>
      </c>
      <c r="I283" s="250">
        <v>0.7</v>
      </c>
      <c r="J283" s="251">
        <v>21250</v>
      </c>
      <c r="K283" s="252">
        <v>14875</v>
      </c>
      <c r="L283" s="253">
        <f t="shared" ref="L283:L284" si="79">D283+I283</f>
        <v>2.7</v>
      </c>
      <c r="M283" s="128">
        <f t="shared" ref="M283:M284" si="80">(G283+K283)/L283</f>
        <v>30694.444444444442</v>
      </c>
      <c r="N283" s="128">
        <f t="shared" si="65"/>
        <v>82875</v>
      </c>
      <c r="O283" s="254">
        <v>1.7</v>
      </c>
      <c r="P283" s="128">
        <f t="shared" si="66"/>
        <v>30694.444444444442</v>
      </c>
      <c r="Q283" s="18">
        <f t="shared" si="67"/>
        <v>52180.555555555547</v>
      </c>
      <c r="R283" s="255">
        <f t="shared" si="68"/>
        <v>30694.444444444453</v>
      </c>
      <c r="S283" s="230"/>
      <c r="T283" s="226">
        <f t="shared" si="76"/>
        <v>-9444.4444444444416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3.5" customHeight="1">
      <c r="A284" s="259"/>
      <c r="B284" s="15" t="str">
        <f>TB!B320</f>
        <v>G123</v>
      </c>
      <c r="C284" s="256" t="str">
        <f>TB!C320</f>
        <v>Raja Rasa Saus @ 600Ml</v>
      </c>
      <c r="D284" s="257">
        <f>SUMIF(GL!$D$5:$D$6446,B284,GL!$G$5:$G$6446)</f>
        <v>2</v>
      </c>
      <c r="E284" s="258">
        <f>SUMIF(GL!$D$6:$D$6484,B284,GL!$H$6:$H$6484)</f>
        <v>84000</v>
      </c>
      <c r="F284" s="258">
        <f>SUMIF(GL!$D$6:$D$6484,B284,GL!$I$6:$I$6484)</f>
        <v>0</v>
      </c>
      <c r="G284" s="258">
        <f t="shared" si="69"/>
        <v>84000</v>
      </c>
      <c r="H284" s="258">
        <f t="shared" si="70"/>
        <v>0</v>
      </c>
      <c r="I284" s="250">
        <v>1.1000000000000001</v>
      </c>
      <c r="J284" s="251">
        <v>37500</v>
      </c>
      <c r="K284" s="252">
        <v>41250</v>
      </c>
      <c r="L284" s="253">
        <f t="shared" si="79"/>
        <v>3.1</v>
      </c>
      <c r="M284" s="128">
        <f t="shared" si="80"/>
        <v>40403.225806451614</v>
      </c>
      <c r="N284" s="128">
        <f t="shared" si="65"/>
        <v>125250</v>
      </c>
      <c r="O284" s="254">
        <v>0.7</v>
      </c>
      <c r="P284" s="128">
        <f t="shared" si="66"/>
        <v>40403.225806451614</v>
      </c>
      <c r="Q284" s="18">
        <f t="shared" si="67"/>
        <v>28282.258064516129</v>
      </c>
      <c r="R284" s="255">
        <f t="shared" si="68"/>
        <v>96967.741935483878</v>
      </c>
      <c r="S284" s="230"/>
      <c r="T284" s="226">
        <f t="shared" si="76"/>
        <v>-2903.2258064516136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3.5" customHeight="1">
      <c r="A285" s="259"/>
      <c r="B285" s="15" t="str">
        <f>TB!B321</f>
        <v>G124</v>
      </c>
      <c r="C285" s="256" t="str">
        <f>TB!C321</f>
        <v>Milk Compound</v>
      </c>
      <c r="D285" s="257">
        <f>SUMIF(GL!$D$5:$D$6446,B285,GL!$G$5:$G$6446)</f>
        <v>0</v>
      </c>
      <c r="E285" s="258">
        <f>SUMIF(GL!$D$6:$D$6484,B285,GL!$H$6:$H$6484)</f>
        <v>0</v>
      </c>
      <c r="F285" s="258">
        <f>SUMIF(GL!$D$6:$D$6484,B285,GL!$I$6:$I$6484)</f>
        <v>0</v>
      </c>
      <c r="G285" s="258">
        <f t="shared" si="69"/>
        <v>0</v>
      </c>
      <c r="H285" s="258">
        <f t="shared" si="70"/>
        <v>0</v>
      </c>
      <c r="I285" s="250"/>
      <c r="J285" s="251"/>
      <c r="K285" s="252"/>
      <c r="L285" s="253"/>
      <c r="M285" s="128"/>
      <c r="N285" s="128">
        <f t="shared" si="65"/>
        <v>0</v>
      </c>
      <c r="O285" s="254"/>
      <c r="P285" s="128">
        <f t="shared" si="66"/>
        <v>0</v>
      </c>
      <c r="Q285" s="18">
        <f t="shared" si="67"/>
        <v>0</v>
      </c>
      <c r="R285" s="255">
        <f t="shared" si="68"/>
        <v>0</v>
      </c>
      <c r="S285" s="230"/>
      <c r="T285" s="226">
        <f t="shared" si="76"/>
        <v>0</v>
      </c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226"/>
      <c r="AF285" s="1"/>
      <c r="AG285" s="1"/>
      <c r="AH285" s="1"/>
      <c r="AI285" s="1"/>
      <c r="AJ285" s="1"/>
    </row>
    <row r="286" spans="1:36" ht="13.5" customHeight="1">
      <c r="A286" s="259"/>
      <c r="B286" s="15" t="str">
        <f>TB!B322</f>
        <v>G125</v>
      </c>
      <c r="C286" s="256" t="str">
        <f>TB!C322</f>
        <v>Gelatin Powder</v>
      </c>
      <c r="D286" s="257">
        <f>SUMIF(GL!$D$5:$D$6446,B286,GL!$G$5:$G$6446)</f>
        <v>0</v>
      </c>
      <c r="E286" s="258">
        <f>SUMIF(GL!$D$6:$D$6484,B286,GL!$H$6:$H$6484)</f>
        <v>0</v>
      </c>
      <c r="F286" s="258">
        <f>SUMIF(GL!$D$6:$D$6484,B286,GL!$I$6:$I$6484)</f>
        <v>0</v>
      </c>
      <c r="G286" s="258">
        <f t="shared" si="69"/>
        <v>0</v>
      </c>
      <c r="H286" s="258">
        <f t="shared" si="70"/>
        <v>0</v>
      </c>
      <c r="I286" s="250"/>
      <c r="J286" s="251"/>
      <c r="K286" s="252"/>
      <c r="L286" s="253"/>
      <c r="M286" s="128"/>
      <c r="N286" s="128">
        <f t="shared" si="65"/>
        <v>0</v>
      </c>
      <c r="O286" s="254"/>
      <c r="P286" s="128">
        <f t="shared" si="66"/>
        <v>0</v>
      </c>
      <c r="Q286" s="18">
        <f t="shared" si="67"/>
        <v>0</v>
      </c>
      <c r="R286" s="255">
        <f t="shared" si="68"/>
        <v>0</v>
      </c>
      <c r="S286" s="230"/>
      <c r="T286" s="226">
        <f t="shared" si="76"/>
        <v>0</v>
      </c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226"/>
      <c r="AF286" s="1"/>
      <c r="AG286" s="1"/>
      <c r="AH286" s="1"/>
      <c r="AI286" s="1"/>
      <c r="AJ286" s="1"/>
    </row>
    <row r="287" spans="1:36" ht="13.5" customHeight="1">
      <c r="A287" s="259"/>
      <c r="B287" s="15" t="str">
        <f>TB!B323</f>
        <v>G126</v>
      </c>
      <c r="C287" s="256" t="str">
        <f>TB!C323</f>
        <v>Dark Chocolate</v>
      </c>
      <c r="D287" s="257">
        <f>SUMIF(GL!$D$5:$D$6446,B287,GL!$G$5:$G$6446)</f>
        <v>0</v>
      </c>
      <c r="E287" s="258">
        <f>SUMIF(GL!$D$6:$D$6484,B287,GL!$H$6:$H$6484)</f>
        <v>0</v>
      </c>
      <c r="F287" s="258">
        <f>SUMIF(GL!$D$6:$D$6484,B287,GL!$I$6:$I$6484)</f>
        <v>0</v>
      </c>
      <c r="G287" s="258">
        <f t="shared" si="69"/>
        <v>0</v>
      </c>
      <c r="H287" s="258">
        <f t="shared" si="70"/>
        <v>0</v>
      </c>
      <c r="I287" s="250"/>
      <c r="J287" s="251"/>
      <c r="K287" s="252"/>
      <c r="L287" s="253"/>
      <c r="M287" s="128"/>
      <c r="N287" s="128">
        <f t="shared" si="65"/>
        <v>0</v>
      </c>
      <c r="O287" s="254"/>
      <c r="P287" s="128">
        <f t="shared" si="66"/>
        <v>0</v>
      </c>
      <c r="Q287" s="18">
        <f t="shared" si="67"/>
        <v>0</v>
      </c>
      <c r="R287" s="255">
        <f t="shared" si="68"/>
        <v>0</v>
      </c>
      <c r="S287" s="230"/>
      <c r="T287" s="226">
        <f t="shared" si="76"/>
        <v>0</v>
      </c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226"/>
      <c r="AF287" s="1"/>
      <c r="AG287" s="1"/>
      <c r="AH287" s="1"/>
      <c r="AI287" s="1"/>
      <c r="AJ287" s="1"/>
    </row>
    <row r="288" spans="1:36" ht="13.5" customHeight="1">
      <c r="A288" s="259"/>
      <c r="B288" s="15" t="str">
        <f>TB!B324</f>
        <v>G127</v>
      </c>
      <c r="C288" s="256" t="str">
        <f>TB!C324</f>
        <v>Selai Kacang</v>
      </c>
      <c r="D288" s="257">
        <f>SUMIF(GL!$D$5:$D$6446,B288,GL!$G$5:$G$6446)</f>
        <v>0</v>
      </c>
      <c r="E288" s="258">
        <f>SUMIF(GL!$D$6:$D$6484,B288,GL!$H$6:$H$6484)</f>
        <v>0</v>
      </c>
      <c r="F288" s="258">
        <f>SUMIF(GL!$D$6:$D$6484,B288,GL!$I$6:$I$6484)</f>
        <v>0</v>
      </c>
      <c r="G288" s="258">
        <f t="shared" si="69"/>
        <v>0</v>
      </c>
      <c r="H288" s="258">
        <f t="shared" si="70"/>
        <v>0</v>
      </c>
      <c r="I288" s="250"/>
      <c r="J288" s="251"/>
      <c r="K288" s="252"/>
      <c r="L288" s="253"/>
      <c r="M288" s="128"/>
      <c r="N288" s="128">
        <f t="shared" si="65"/>
        <v>0</v>
      </c>
      <c r="O288" s="254"/>
      <c r="P288" s="128">
        <f t="shared" si="66"/>
        <v>0</v>
      </c>
      <c r="Q288" s="18">
        <f t="shared" si="67"/>
        <v>0</v>
      </c>
      <c r="R288" s="255">
        <f t="shared" si="68"/>
        <v>0</v>
      </c>
      <c r="S288" s="230"/>
      <c r="T288" s="226">
        <f t="shared" si="76"/>
        <v>0</v>
      </c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226"/>
      <c r="AF288" s="1"/>
      <c r="AG288" s="1"/>
      <c r="AH288" s="1"/>
      <c r="AI288" s="1"/>
      <c r="AJ288" s="1"/>
    </row>
    <row r="289" spans="1:36" ht="13.5" customHeight="1">
      <c r="A289" s="259"/>
      <c r="B289" s="15" t="str">
        <f>TB!B325</f>
        <v>G128</v>
      </c>
      <c r="C289" s="256" t="str">
        <f>TB!C325</f>
        <v>Blueberry Jam</v>
      </c>
      <c r="D289" s="257">
        <f>SUMIF(GL!$D$5:$D$6446,B289,GL!$G$5:$G$6446)</f>
        <v>0</v>
      </c>
      <c r="E289" s="258">
        <f>SUMIF(GL!$D$6:$D$6484,B289,GL!$H$6:$H$6484)</f>
        <v>0</v>
      </c>
      <c r="F289" s="258">
        <f>SUMIF(GL!$D$6:$D$6484,B289,GL!$I$6:$I$6484)</f>
        <v>0</v>
      </c>
      <c r="G289" s="258">
        <f t="shared" si="69"/>
        <v>0</v>
      </c>
      <c r="H289" s="258">
        <f t="shared" si="70"/>
        <v>0</v>
      </c>
      <c r="I289" s="250"/>
      <c r="J289" s="251"/>
      <c r="K289" s="252"/>
      <c r="L289" s="253"/>
      <c r="M289" s="128"/>
      <c r="N289" s="128">
        <f t="shared" si="65"/>
        <v>0</v>
      </c>
      <c r="O289" s="254"/>
      <c r="P289" s="128">
        <f t="shared" si="66"/>
        <v>0</v>
      </c>
      <c r="Q289" s="18">
        <f t="shared" si="67"/>
        <v>0</v>
      </c>
      <c r="R289" s="255">
        <f t="shared" si="68"/>
        <v>0</v>
      </c>
      <c r="S289" s="230"/>
      <c r="T289" s="226">
        <f t="shared" si="76"/>
        <v>0</v>
      </c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226"/>
      <c r="AF289" s="1"/>
      <c r="AG289" s="1"/>
      <c r="AH289" s="1"/>
      <c r="AI289" s="1"/>
      <c r="AJ289" s="1"/>
    </row>
    <row r="290" spans="1:36" ht="13.5" customHeight="1">
      <c r="A290" s="259"/>
      <c r="B290" s="15" t="str">
        <f>TB!B326</f>
        <v>G129</v>
      </c>
      <c r="C290" s="256" t="str">
        <f>TB!C326</f>
        <v>Pineapple Jam</v>
      </c>
      <c r="D290" s="257">
        <f>SUMIF(GL!$D$5:$D$6446,B290,GL!$G$5:$G$6446)</f>
        <v>0</v>
      </c>
      <c r="E290" s="258">
        <f>SUMIF(GL!$D$6:$D$6484,B290,GL!$H$6:$H$6484)</f>
        <v>0</v>
      </c>
      <c r="F290" s="258">
        <f>SUMIF(GL!$D$6:$D$6484,B290,GL!$I$6:$I$6484)</f>
        <v>0</v>
      </c>
      <c r="G290" s="258">
        <f t="shared" si="69"/>
        <v>0</v>
      </c>
      <c r="H290" s="258">
        <f t="shared" si="70"/>
        <v>0</v>
      </c>
      <c r="I290" s="250"/>
      <c r="J290" s="251"/>
      <c r="K290" s="252"/>
      <c r="L290" s="253"/>
      <c r="M290" s="128"/>
      <c r="N290" s="128">
        <f t="shared" si="65"/>
        <v>0</v>
      </c>
      <c r="O290" s="254"/>
      <c r="P290" s="128">
        <f t="shared" si="66"/>
        <v>0</v>
      </c>
      <c r="Q290" s="18">
        <f t="shared" si="67"/>
        <v>0</v>
      </c>
      <c r="R290" s="255">
        <f t="shared" si="68"/>
        <v>0</v>
      </c>
      <c r="S290" s="230"/>
      <c r="T290" s="226">
        <f t="shared" si="76"/>
        <v>0</v>
      </c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226"/>
      <c r="AF290" s="1"/>
      <c r="AG290" s="1"/>
      <c r="AH290" s="1"/>
      <c r="AI290" s="1"/>
      <c r="AJ290" s="1"/>
    </row>
    <row r="291" spans="1:36" ht="13.5" customHeight="1">
      <c r="A291" s="259"/>
      <c r="B291" s="15" t="str">
        <f>TB!B327</f>
        <v>G130</v>
      </c>
      <c r="C291" s="256" t="str">
        <f>TB!C327</f>
        <v>Hinode Mirin 640Ml</v>
      </c>
      <c r="D291" s="257">
        <f>SUMIF(GL!$D$5:$D$6446,B291,GL!$G$5:$G$6446)</f>
        <v>0</v>
      </c>
      <c r="E291" s="258">
        <f>SUMIF(GL!$D$6:$D$6484,B291,GL!$H$6:$H$6484)</f>
        <v>0</v>
      </c>
      <c r="F291" s="258">
        <f>SUMIF(GL!$D$6:$D$6484,B291,GL!$I$6:$I$6484)</f>
        <v>0</v>
      </c>
      <c r="G291" s="258">
        <f t="shared" si="69"/>
        <v>0</v>
      </c>
      <c r="H291" s="258">
        <f t="shared" si="70"/>
        <v>0</v>
      </c>
      <c r="I291" s="250"/>
      <c r="J291" s="251"/>
      <c r="K291" s="252"/>
      <c r="L291" s="253"/>
      <c r="M291" s="128"/>
      <c r="N291" s="128">
        <f t="shared" si="65"/>
        <v>0</v>
      </c>
      <c r="O291" s="254"/>
      <c r="P291" s="128">
        <f t="shared" si="66"/>
        <v>0</v>
      </c>
      <c r="Q291" s="18">
        <f t="shared" si="67"/>
        <v>0</v>
      </c>
      <c r="R291" s="255">
        <f t="shared" si="68"/>
        <v>0</v>
      </c>
      <c r="S291" s="230"/>
      <c r="T291" s="226">
        <f t="shared" si="76"/>
        <v>0</v>
      </c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226"/>
      <c r="AF291" s="1"/>
      <c r="AG291" s="1"/>
      <c r="AH291" s="1"/>
      <c r="AI291" s="1"/>
      <c r="AJ291" s="1"/>
    </row>
    <row r="292" spans="1:36" ht="13.5" customHeight="1">
      <c r="A292" s="259"/>
      <c r="B292" s="15" t="str">
        <f>TB!B328</f>
        <v>G131</v>
      </c>
      <c r="C292" s="256" t="str">
        <f>TB!C328</f>
        <v>Tepung Semolina</v>
      </c>
      <c r="D292" s="257">
        <f>SUMIF(GL!$D$5:$D$6446,B292,GL!$G$5:$G$6446)</f>
        <v>0</v>
      </c>
      <c r="E292" s="258">
        <f>SUMIF(GL!$D$6:$D$6484,B292,GL!$H$6:$H$6484)</f>
        <v>0</v>
      </c>
      <c r="F292" s="258">
        <f>SUMIF(GL!$D$6:$D$6484,B292,GL!$I$6:$I$6484)</f>
        <v>0</v>
      </c>
      <c r="G292" s="258">
        <f t="shared" si="69"/>
        <v>0</v>
      </c>
      <c r="H292" s="258">
        <f t="shared" si="70"/>
        <v>0</v>
      </c>
      <c r="I292" s="250"/>
      <c r="J292" s="251"/>
      <c r="K292" s="252"/>
      <c r="L292" s="253"/>
      <c r="M292" s="128"/>
      <c r="N292" s="128">
        <f t="shared" si="65"/>
        <v>0</v>
      </c>
      <c r="O292" s="254"/>
      <c r="P292" s="128">
        <f t="shared" si="66"/>
        <v>0</v>
      </c>
      <c r="Q292" s="18">
        <f t="shared" si="67"/>
        <v>0</v>
      </c>
      <c r="R292" s="255">
        <f t="shared" si="68"/>
        <v>0</v>
      </c>
      <c r="S292" s="230"/>
      <c r="T292" s="226">
        <f t="shared" si="76"/>
        <v>0</v>
      </c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226"/>
      <c r="AF292" s="1"/>
      <c r="AG292" s="1"/>
      <c r="AH292" s="1"/>
      <c r="AI292" s="1"/>
      <c r="AJ292" s="1"/>
    </row>
    <row r="293" spans="1:36" ht="13.5" customHeight="1">
      <c r="A293" s="259"/>
      <c r="B293" s="15" t="str">
        <f>TB!B329</f>
        <v>G131A</v>
      </c>
      <c r="C293" s="256" t="str">
        <f>TB!C329</f>
        <v>Maple Syrup ( Country Kitchen)</v>
      </c>
      <c r="D293" s="257">
        <f>SUMIF(GL!$D$5:$D$6446,B293,GL!$G$5:$G$6446)</f>
        <v>1</v>
      </c>
      <c r="E293" s="258">
        <f>SUMIF(GL!$D$6:$D$6484,B293,GL!$H$6:$H$6484)</f>
        <v>87000</v>
      </c>
      <c r="F293" s="258">
        <f>SUMIF(GL!$D$6:$D$6484,B293,GL!$I$6:$I$6484)</f>
        <v>0</v>
      </c>
      <c r="G293" s="258">
        <f t="shared" si="69"/>
        <v>87000</v>
      </c>
      <c r="H293" s="258">
        <f t="shared" si="70"/>
        <v>0</v>
      </c>
      <c r="I293" s="250"/>
      <c r="J293" s="251" t="s">
        <v>3828</v>
      </c>
      <c r="K293" s="252"/>
      <c r="L293" s="253">
        <f t="shared" ref="L293:L295" si="81">D293+I293</f>
        <v>1</v>
      </c>
      <c r="M293" s="128">
        <f>(G293+K293)/L293</f>
        <v>87000</v>
      </c>
      <c r="N293" s="128">
        <f t="shared" si="65"/>
        <v>87000</v>
      </c>
      <c r="O293" s="254">
        <v>0.5</v>
      </c>
      <c r="P293" s="128">
        <f t="shared" si="66"/>
        <v>87000</v>
      </c>
      <c r="Q293" s="18">
        <f t="shared" si="67"/>
        <v>43500</v>
      </c>
      <c r="R293" s="255">
        <f t="shared" si="68"/>
        <v>43500</v>
      </c>
      <c r="S293" s="230"/>
      <c r="T293" s="226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226"/>
      <c r="AF293" s="1"/>
      <c r="AG293" s="1"/>
      <c r="AH293" s="1"/>
      <c r="AI293" s="1"/>
      <c r="AJ293" s="1"/>
    </row>
    <row r="294" spans="1:36" ht="13.5" customHeight="1">
      <c r="A294" s="259"/>
      <c r="B294" s="15" t="str">
        <f>TB!B330</f>
        <v>G131B</v>
      </c>
      <c r="C294" s="256" t="str">
        <f>TB!C330</f>
        <v>Cheddar Cheese Burger Slice</v>
      </c>
      <c r="D294" s="257">
        <f>SUMIF(GL!$D$5:$D$6446,B294,GL!$G$5:$G$6446)</f>
        <v>0</v>
      </c>
      <c r="E294" s="258">
        <f>SUMIF(GL!$D$6:$D$6484,B294,GL!$H$6:$H$6484)</f>
        <v>0</v>
      </c>
      <c r="F294" s="258">
        <f>SUMIF(GL!$D$6:$D$6484,B294,GL!$I$6:$I$6484)</f>
        <v>0</v>
      </c>
      <c r="G294" s="258">
        <f t="shared" si="69"/>
        <v>0</v>
      </c>
      <c r="H294" s="258">
        <f t="shared" si="70"/>
        <v>0</v>
      </c>
      <c r="I294" s="250"/>
      <c r="J294" s="251">
        <v>2002</v>
      </c>
      <c r="K294" s="252"/>
      <c r="L294" s="253">
        <f t="shared" si="81"/>
        <v>0</v>
      </c>
      <c r="M294" s="128"/>
      <c r="N294" s="128">
        <f t="shared" si="65"/>
        <v>0</v>
      </c>
      <c r="O294" s="254"/>
      <c r="P294" s="128">
        <f t="shared" si="66"/>
        <v>0</v>
      </c>
      <c r="Q294" s="18">
        <f t="shared" si="67"/>
        <v>0</v>
      </c>
      <c r="R294" s="255">
        <f t="shared" si="68"/>
        <v>0</v>
      </c>
      <c r="S294" s="230"/>
      <c r="T294" s="226">
        <f t="shared" ref="T294:T295" si="82">J294-M294</f>
        <v>2002</v>
      </c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226"/>
      <c r="AF294" s="1"/>
      <c r="AG294" s="1"/>
      <c r="AH294" s="1"/>
      <c r="AI294" s="1"/>
      <c r="AJ294" s="1"/>
    </row>
    <row r="295" spans="1:36" ht="13.5" customHeight="1">
      <c r="A295" s="259"/>
      <c r="B295" s="272"/>
      <c r="C295" s="273"/>
      <c r="D295" s="257">
        <f>SUMIF(GL!$D$5:$D$6446,B295,GL!$G$5:$G$6446)</f>
        <v>0</v>
      </c>
      <c r="E295" s="258">
        <f>SUMIF(GL!$D$6:$D$6484,B295,GL!$H$6:$H$6484)</f>
        <v>0</v>
      </c>
      <c r="F295" s="258">
        <f>SUMIF(GL!$D$6:$D$6484,B295,GL!$I$6:$I$6484)</f>
        <v>0</v>
      </c>
      <c r="G295" s="258">
        <f t="shared" si="69"/>
        <v>0</v>
      </c>
      <c r="H295" s="258">
        <f t="shared" si="70"/>
        <v>0</v>
      </c>
      <c r="I295" s="250"/>
      <c r="J295" s="251"/>
      <c r="K295" s="252"/>
      <c r="L295" s="253">
        <f t="shared" si="81"/>
        <v>0</v>
      </c>
      <c r="M295" s="128"/>
      <c r="N295" s="128">
        <f t="shared" si="65"/>
        <v>0</v>
      </c>
      <c r="O295" s="254"/>
      <c r="P295" s="128">
        <f t="shared" si="66"/>
        <v>0</v>
      </c>
      <c r="Q295" s="18">
        <f t="shared" si="67"/>
        <v>0</v>
      </c>
      <c r="R295" s="255">
        <f t="shared" si="68"/>
        <v>0</v>
      </c>
      <c r="S295" s="230" t="str">
        <f>PROPER(C295)</f>
        <v/>
      </c>
      <c r="T295" s="226">
        <f t="shared" si="82"/>
        <v>0</v>
      </c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226"/>
      <c r="AF295" s="1"/>
      <c r="AG295" s="1"/>
      <c r="AH295" s="1"/>
      <c r="AI295" s="1"/>
      <c r="AJ295" s="1"/>
    </row>
    <row r="296" spans="1:36" ht="13.5" customHeight="1">
      <c r="A296" s="259"/>
      <c r="B296" s="274"/>
      <c r="C296" s="237"/>
      <c r="D296" s="238"/>
      <c r="E296" s="275"/>
      <c r="F296" s="275"/>
      <c r="G296" s="275"/>
      <c r="H296" s="275"/>
      <c r="I296" s="276"/>
      <c r="J296" s="275"/>
      <c r="K296" s="277"/>
      <c r="L296" s="238"/>
      <c r="M296" s="275"/>
      <c r="N296" s="275"/>
      <c r="O296" s="238"/>
      <c r="P296" s="275"/>
      <c r="Q296" s="275"/>
      <c r="R296" s="275"/>
      <c r="S296" s="225"/>
      <c r="T296" s="231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226"/>
      <c r="AF296" s="1"/>
      <c r="AG296" s="1"/>
      <c r="AH296" s="1"/>
      <c r="AI296" s="1"/>
      <c r="AJ296" s="1"/>
    </row>
    <row r="297" spans="1:36" ht="13.5" customHeight="1">
      <c r="A297" s="278"/>
      <c r="B297" s="279" t="s">
        <v>3623</v>
      </c>
      <c r="C297" s="244" t="s">
        <v>3829</v>
      </c>
      <c r="D297" s="245">
        <f t="shared" ref="D297:R297" si="83">SUM(D299:D638)</f>
        <v>12830.794000000004</v>
      </c>
      <c r="E297" s="280">
        <f t="shared" si="83"/>
        <v>507366303</v>
      </c>
      <c r="F297" s="280">
        <f t="shared" si="83"/>
        <v>0</v>
      </c>
      <c r="G297" s="280">
        <f t="shared" si="83"/>
        <v>507366303</v>
      </c>
      <c r="H297" s="280">
        <f t="shared" si="83"/>
        <v>0</v>
      </c>
      <c r="I297" s="280">
        <f t="shared" si="83"/>
        <v>9106.7000000000044</v>
      </c>
      <c r="J297" s="280">
        <f t="shared" si="83"/>
        <v>80660995</v>
      </c>
      <c r="K297" s="280">
        <f t="shared" si="83"/>
        <v>537419810</v>
      </c>
      <c r="L297" s="280">
        <f t="shared" si="83"/>
        <v>21937.494000000006</v>
      </c>
      <c r="M297" s="280">
        <f t="shared" si="83"/>
        <v>77785489.567231059</v>
      </c>
      <c r="N297" s="280">
        <f t="shared" si="83"/>
        <v>1044786113</v>
      </c>
      <c r="O297" s="280">
        <f t="shared" si="83"/>
        <v>11643.850000000006</v>
      </c>
      <c r="P297" s="280">
        <f t="shared" si="83"/>
        <v>78333852.567231059</v>
      </c>
      <c r="Q297" s="280">
        <f t="shared" si="83"/>
        <v>659559451.27843189</v>
      </c>
      <c r="R297" s="280">
        <f t="shared" si="83"/>
        <v>385226661.72156817</v>
      </c>
      <c r="S297" s="81">
        <f>TB!X334</f>
        <v>659559404.27843189</v>
      </c>
      <c r="T297" s="246">
        <f>Q297-S297</f>
        <v>47</v>
      </c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</row>
    <row r="298" spans="1:36" ht="13.5" customHeight="1">
      <c r="A298" s="259"/>
      <c r="B298" s="274"/>
      <c r="C298" s="247" t="s">
        <v>3830</v>
      </c>
      <c r="D298" s="248"/>
      <c r="E298" s="249"/>
      <c r="F298" s="249"/>
      <c r="G298" s="249"/>
      <c r="H298" s="249"/>
      <c r="I298" s="281"/>
      <c r="J298" s="251"/>
      <c r="K298" s="252"/>
      <c r="L298" s="253"/>
      <c r="M298" s="128"/>
      <c r="N298" s="128">
        <f t="shared" ref="N298:N552" si="84">G298+K298</f>
        <v>0</v>
      </c>
      <c r="O298" s="254"/>
      <c r="P298" s="128">
        <f t="shared" ref="P298:P461" si="85">M298</f>
        <v>0</v>
      </c>
      <c r="Q298" s="18">
        <f t="shared" ref="Q298:Q552" si="86">O298*P298</f>
        <v>0</v>
      </c>
      <c r="R298" s="255">
        <f t="shared" ref="R298:R552" si="87">N298-Q298</f>
        <v>0</v>
      </c>
      <c r="S298" s="225"/>
      <c r="T298" s="231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226"/>
      <c r="AF298" s="1"/>
      <c r="AG298" s="1"/>
      <c r="AH298" s="1"/>
      <c r="AI298" s="1"/>
      <c r="AJ298" s="1"/>
    </row>
    <row r="299" spans="1:36" ht="13.5" customHeight="1">
      <c r="A299" s="259"/>
      <c r="B299" s="174" t="str">
        <f>TB!B336</f>
        <v>BV001</v>
      </c>
      <c r="C299" s="282" t="str">
        <f>TB!C336</f>
        <v>Guineess Beer</v>
      </c>
      <c r="D299" s="257">
        <f>SUMIF(GL!$D$5:$D$6446,B299,GL!$G$5:$G$6446)</f>
        <v>0</v>
      </c>
      <c r="E299" s="258">
        <f>SUMIF(GL!$D$6:$D$6484,B299,GL!$H$6:$H$6484)</f>
        <v>0</v>
      </c>
      <c r="F299" s="258">
        <f>SUMIF(GL!$D$6:$D$6484,B299,GL!$I$6:$I$6484)</f>
        <v>0</v>
      </c>
      <c r="G299" s="258">
        <f t="shared" ref="G299:G553" si="88">IF(E299&gt;F299,E299-F299,0)</f>
        <v>0</v>
      </c>
      <c r="H299" s="258">
        <f t="shared" ref="H299:H553" si="89">IF(F299&gt;E299,F299-E299,0)</f>
        <v>0</v>
      </c>
      <c r="I299" s="250"/>
      <c r="J299" s="251"/>
      <c r="K299" s="252"/>
      <c r="L299" s="253"/>
      <c r="M299" s="128"/>
      <c r="N299" s="128">
        <f t="shared" si="84"/>
        <v>0</v>
      </c>
      <c r="O299" s="254"/>
      <c r="P299" s="128">
        <f t="shared" si="85"/>
        <v>0</v>
      </c>
      <c r="Q299" s="18">
        <f t="shared" si="86"/>
        <v>0</v>
      </c>
      <c r="R299" s="255">
        <f t="shared" si="87"/>
        <v>0</v>
      </c>
      <c r="S299" s="1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226"/>
      <c r="AF299" s="1"/>
      <c r="AG299" s="1"/>
      <c r="AH299" s="1"/>
      <c r="AI299" s="1"/>
      <c r="AJ299" s="1"/>
    </row>
    <row r="300" spans="1:36" ht="13.5" customHeight="1">
      <c r="A300" s="259"/>
      <c r="B300" s="174" t="str">
        <f>TB!B337</f>
        <v>BV002</v>
      </c>
      <c r="C300" s="282" t="str">
        <f>TB!C337</f>
        <v>Beer Bintang Small</v>
      </c>
      <c r="D300" s="257">
        <f>SUMIF(GL!$D$5:$D$6446,B300,GL!$G$5:$G$6446)</f>
        <v>2400</v>
      </c>
      <c r="E300" s="258">
        <f>SUMIF(GL!$D$6:$D$6484,B300,GL!$H$6:$H$6484)</f>
        <v>46420000</v>
      </c>
      <c r="F300" s="258">
        <f>SUMIF(GL!$D$6:$D$6484,B300,GL!$I$6:$I$6484)</f>
        <v>0</v>
      </c>
      <c r="G300" s="258">
        <f t="shared" si="88"/>
        <v>46420000</v>
      </c>
      <c r="H300" s="258">
        <f t="shared" si="89"/>
        <v>0</v>
      </c>
      <c r="I300" s="250">
        <v>2422</v>
      </c>
      <c r="J300" s="251">
        <v>19334</v>
      </c>
      <c r="K300" s="252">
        <v>46828079</v>
      </c>
      <c r="L300" s="253">
        <f t="shared" ref="L300:L304" si="90">D300+I300</f>
        <v>4822</v>
      </c>
      <c r="M300" s="128">
        <f t="shared" ref="M300:M304" si="91">(G300+K300)/L300</f>
        <v>19338.050394027374</v>
      </c>
      <c r="N300" s="128">
        <f t="shared" si="84"/>
        <v>93248079</v>
      </c>
      <c r="O300" s="254">
        <v>3044</v>
      </c>
      <c r="P300" s="128">
        <f t="shared" si="85"/>
        <v>19338.050394027374</v>
      </c>
      <c r="Q300" s="18">
        <f t="shared" si="86"/>
        <v>58865025.399419323</v>
      </c>
      <c r="R300" s="255">
        <f t="shared" si="87"/>
        <v>34383053.600580677</v>
      </c>
      <c r="S300" s="1"/>
      <c r="T300" s="1">
        <f t="shared" ref="T300:T345" si="92">J300-M300</f>
        <v>-4.0503940273738408</v>
      </c>
      <c r="U300" s="99"/>
      <c r="V300" s="99"/>
      <c r="W300" s="99"/>
      <c r="X300" s="99"/>
      <c r="Y300" s="99"/>
      <c r="Z300" s="99"/>
      <c r="AA300" s="99"/>
      <c r="AB300" s="99"/>
      <c r="AC300" s="99"/>
      <c r="AD300" s="283"/>
      <c r="AE300" s="99"/>
      <c r="AF300" s="1"/>
      <c r="AG300" s="1"/>
      <c r="AH300" s="1"/>
      <c r="AI300" s="1"/>
      <c r="AJ300" s="1"/>
    </row>
    <row r="301" spans="1:36" ht="13.5" customHeight="1">
      <c r="A301" s="259"/>
      <c r="B301" s="174" t="str">
        <f>TB!B338</f>
        <v>BV003</v>
      </c>
      <c r="C301" s="282" t="str">
        <f>TB!C338</f>
        <v>Heineken Beer</v>
      </c>
      <c r="D301" s="257">
        <f>SUMIF(GL!$D$5:$D$6446,B301,GL!$G$5:$G$6446)</f>
        <v>360</v>
      </c>
      <c r="E301" s="258">
        <f>SUMIF(GL!$D$6:$D$6484,B301,GL!$H$6:$H$6484)</f>
        <v>8808000</v>
      </c>
      <c r="F301" s="258">
        <f>SUMIF(GL!$D$6:$D$6484,B301,GL!$I$6:$I$6484)</f>
        <v>0</v>
      </c>
      <c r="G301" s="258">
        <f t="shared" si="88"/>
        <v>8808000</v>
      </c>
      <c r="H301" s="258">
        <f t="shared" si="89"/>
        <v>0</v>
      </c>
      <c r="I301" s="250">
        <v>712</v>
      </c>
      <c r="J301" s="251">
        <v>24447</v>
      </c>
      <c r="K301" s="252">
        <v>17405908</v>
      </c>
      <c r="L301" s="253">
        <f t="shared" si="90"/>
        <v>1072</v>
      </c>
      <c r="M301" s="128">
        <f t="shared" si="91"/>
        <v>24453.2723880597</v>
      </c>
      <c r="N301" s="128">
        <f t="shared" si="84"/>
        <v>26213908</v>
      </c>
      <c r="O301" s="254">
        <v>796</v>
      </c>
      <c r="P301" s="128">
        <f t="shared" si="85"/>
        <v>24453.2723880597</v>
      </c>
      <c r="Q301" s="18">
        <f t="shared" si="86"/>
        <v>19464804.820895523</v>
      </c>
      <c r="R301" s="255">
        <f t="shared" si="87"/>
        <v>6749103.1791044772</v>
      </c>
      <c r="S301" s="1"/>
      <c r="T301" s="1">
        <f t="shared" si="92"/>
        <v>-6.2723880597004609</v>
      </c>
      <c r="U301" s="1"/>
      <c r="V301" s="1"/>
      <c r="W301" s="99"/>
      <c r="X301" s="1"/>
      <c r="Y301" s="1"/>
      <c r="Z301" s="1"/>
      <c r="AA301" s="1"/>
      <c r="AB301" s="1"/>
      <c r="AC301" s="1"/>
      <c r="AD301" s="99"/>
      <c r="AE301" s="99"/>
      <c r="AF301" s="1"/>
      <c r="AG301" s="1"/>
      <c r="AH301" s="1"/>
      <c r="AI301" s="1"/>
      <c r="AJ301" s="1"/>
    </row>
    <row r="302" spans="1:36" ht="13.5" customHeight="1">
      <c r="A302" s="259"/>
      <c r="B302" s="174" t="str">
        <f>TB!B339</f>
        <v>BV004</v>
      </c>
      <c r="C302" s="282" t="str">
        <f>TB!C339</f>
        <v>San Miguel Light</v>
      </c>
      <c r="D302" s="257">
        <f>SUMIF(GL!$D$5:$D$6446,B302,GL!$G$5:$G$6446)</f>
        <v>120</v>
      </c>
      <c r="E302" s="258">
        <f>SUMIF(GL!$D$6:$D$6484,B302,GL!$H$6:$H$6484)</f>
        <v>2905000</v>
      </c>
      <c r="F302" s="258">
        <f>SUMIF(GL!$D$6:$D$6484,B302,GL!$I$6:$I$6484)</f>
        <v>0</v>
      </c>
      <c r="G302" s="258">
        <f t="shared" si="88"/>
        <v>2905000</v>
      </c>
      <c r="H302" s="258">
        <f t="shared" si="89"/>
        <v>0</v>
      </c>
      <c r="I302" s="250">
        <v>160</v>
      </c>
      <c r="J302" s="251">
        <v>23894</v>
      </c>
      <c r="K302" s="252">
        <v>3823033</v>
      </c>
      <c r="L302" s="253">
        <f t="shared" si="90"/>
        <v>280</v>
      </c>
      <c r="M302" s="128">
        <f t="shared" si="91"/>
        <v>24028.689285714285</v>
      </c>
      <c r="N302" s="128">
        <f t="shared" si="84"/>
        <v>6728033</v>
      </c>
      <c r="O302" s="254">
        <v>239</v>
      </c>
      <c r="P302" s="128">
        <f t="shared" si="85"/>
        <v>24028.689285714285</v>
      </c>
      <c r="Q302" s="18">
        <f t="shared" si="86"/>
        <v>5742856.739285714</v>
      </c>
      <c r="R302" s="255">
        <f t="shared" si="87"/>
        <v>985176.26071428601</v>
      </c>
      <c r="S302" s="1"/>
      <c r="T302" s="1">
        <f t="shared" si="92"/>
        <v>-134.68928571428478</v>
      </c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1"/>
      <c r="AG302" s="1"/>
      <c r="AH302" s="1"/>
      <c r="AI302" s="1"/>
      <c r="AJ302" s="1"/>
    </row>
    <row r="303" spans="1:36" ht="13.5" customHeight="1">
      <c r="A303" s="259"/>
      <c r="B303" s="174" t="str">
        <f>TB!B340</f>
        <v>BV005</v>
      </c>
      <c r="C303" s="282" t="str">
        <f>TB!C340</f>
        <v>Radler Pint</v>
      </c>
      <c r="D303" s="257">
        <f>SUMIF(GL!$D$5:$D$6446,B303,GL!$G$5:$G$6446)</f>
        <v>336</v>
      </c>
      <c r="E303" s="258">
        <f>SUMIF(GL!$D$6:$D$6484,B303,GL!$H$6:$H$6484)</f>
        <v>6526800</v>
      </c>
      <c r="F303" s="258">
        <f>SUMIF(GL!$D$6:$D$6484,B303,GL!$I$6:$I$6484)</f>
        <v>0</v>
      </c>
      <c r="G303" s="258">
        <f t="shared" si="88"/>
        <v>6526800</v>
      </c>
      <c r="H303" s="258">
        <f t="shared" si="89"/>
        <v>0</v>
      </c>
      <c r="I303" s="250">
        <v>223</v>
      </c>
      <c r="J303" s="251">
        <v>19425</v>
      </c>
      <c r="K303" s="252">
        <v>4331775</v>
      </c>
      <c r="L303" s="253">
        <f t="shared" si="90"/>
        <v>559</v>
      </c>
      <c r="M303" s="128">
        <f t="shared" si="91"/>
        <v>19425</v>
      </c>
      <c r="N303" s="128">
        <f t="shared" si="84"/>
        <v>10858575</v>
      </c>
      <c r="O303" s="254">
        <v>391</v>
      </c>
      <c r="P303" s="128">
        <f t="shared" si="85"/>
        <v>19425</v>
      </c>
      <c r="Q303" s="18">
        <f t="shared" si="86"/>
        <v>7595175</v>
      </c>
      <c r="R303" s="255">
        <f t="shared" si="87"/>
        <v>3263400</v>
      </c>
      <c r="S303" s="1"/>
      <c r="T303" s="1">
        <f t="shared" si="92"/>
        <v>0</v>
      </c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1"/>
      <c r="AG303" s="1"/>
      <c r="AH303" s="1"/>
      <c r="AI303" s="1"/>
      <c r="AJ303" s="1"/>
    </row>
    <row r="304" spans="1:36" ht="13.5" customHeight="1">
      <c r="A304" s="259"/>
      <c r="B304" s="174" t="str">
        <f>TB!B341</f>
        <v>BV006</v>
      </c>
      <c r="C304" s="282" t="str">
        <f>TB!C341</f>
        <v>Crystal Beer</v>
      </c>
      <c r="D304" s="257">
        <f>SUMIF(GL!$D$5:$D$6446,B304,GL!$G$5:$G$6446)</f>
        <v>240</v>
      </c>
      <c r="E304" s="258">
        <f>SUMIF(GL!$D$6:$D$6484,B304,GL!$H$6:$H$6484)</f>
        <v>5092000</v>
      </c>
      <c r="F304" s="258">
        <f>SUMIF(GL!$D$6:$D$6484,B304,GL!$I$6:$I$6484)</f>
        <v>0</v>
      </c>
      <c r="G304" s="258">
        <f t="shared" si="88"/>
        <v>5092000</v>
      </c>
      <c r="H304" s="258">
        <f t="shared" si="89"/>
        <v>0</v>
      </c>
      <c r="I304" s="250">
        <v>317</v>
      </c>
      <c r="J304" s="251">
        <v>21191</v>
      </c>
      <c r="K304" s="252">
        <v>6717525</v>
      </c>
      <c r="L304" s="253">
        <f t="shared" si="90"/>
        <v>557</v>
      </c>
      <c r="M304" s="128">
        <f t="shared" si="91"/>
        <v>21202.0197486535</v>
      </c>
      <c r="N304" s="128">
        <f t="shared" si="84"/>
        <v>11809525</v>
      </c>
      <c r="O304" s="254">
        <v>398</v>
      </c>
      <c r="P304" s="128">
        <f t="shared" si="85"/>
        <v>21202.0197486535</v>
      </c>
      <c r="Q304" s="18">
        <f t="shared" si="86"/>
        <v>8438403.8599640932</v>
      </c>
      <c r="R304" s="255">
        <f t="shared" si="87"/>
        <v>3371121.1400359068</v>
      </c>
      <c r="S304" s="1"/>
      <c r="T304" s="1">
        <f t="shared" si="92"/>
        <v>-11.019748653499846</v>
      </c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1"/>
      <c r="AG304" s="1"/>
      <c r="AH304" s="1"/>
      <c r="AI304" s="1"/>
      <c r="AJ304" s="1"/>
    </row>
    <row r="305" spans="1:36" ht="13.5" customHeight="1">
      <c r="A305" s="259"/>
      <c r="B305" s="174" t="str">
        <f>TB!B342</f>
        <v>BV007</v>
      </c>
      <c r="C305" s="282" t="str">
        <f>TB!C342</f>
        <v>Heineken Light</v>
      </c>
      <c r="D305" s="257">
        <f>SUMIF(GL!$D$5:$D$6446,B305,GL!$G$5:$G$6446)</f>
        <v>0</v>
      </c>
      <c r="E305" s="258">
        <f>SUMIF(GL!$D$6:$D$6484,B305,GL!$H$6:$H$6484)</f>
        <v>0</v>
      </c>
      <c r="F305" s="258">
        <f>SUMIF(GL!$D$6:$D$6484,B305,GL!$I$6:$I$6484)</f>
        <v>0</v>
      </c>
      <c r="G305" s="258">
        <f t="shared" si="88"/>
        <v>0</v>
      </c>
      <c r="H305" s="258">
        <f t="shared" si="89"/>
        <v>0</v>
      </c>
      <c r="I305" s="250"/>
      <c r="J305" s="251"/>
      <c r="K305" s="252"/>
      <c r="L305" s="253"/>
      <c r="M305" s="128"/>
      <c r="N305" s="128">
        <f t="shared" si="84"/>
        <v>0</v>
      </c>
      <c r="O305" s="254"/>
      <c r="P305" s="128">
        <f t="shared" si="85"/>
        <v>0</v>
      </c>
      <c r="Q305" s="18">
        <f t="shared" si="86"/>
        <v>0</v>
      </c>
      <c r="R305" s="255">
        <f t="shared" si="87"/>
        <v>0</v>
      </c>
      <c r="S305" s="1"/>
      <c r="T305" s="1">
        <f t="shared" si="92"/>
        <v>0</v>
      </c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1"/>
      <c r="AG305" s="1"/>
      <c r="AH305" s="1"/>
      <c r="AI305" s="1"/>
      <c r="AJ305" s="1"/>
    </row>
    <row r="306" spans="1:36" ht="13.5" customHeight="1">
      <c r="A306" s="259"/>
      <c r="B306" s="174" t="str">
        <f>TB!B343</f>
        <v>BV008</v>
      </c>
      <c r="C306" s="282" t="str">
        <f>TB!C343</f>
        <v>Friendship Coffee Vodka</v>
      </c>
      <c r="D306" s="257">
        <f>SUMIF(GL!$D$5:$D$6446,B306,GL!$G$5:$G$6446)</f>
        <v>0</v>
      </c>
      <c r="E306" s="258">
        <f>SUMIF(GL!$D$6:$D$6484,B306,GL!$H$6:$H$6484)</f>
        <v>0</v>
      </c>
      <c r="F306" s="258">
        <f>SUMIF(GL!$D$6:$D$6484,B306,GL!$I$6:$I$6484)</f>
        <v>0</v>
      </c>
      <c r="G306" s="258">
        <f t="shared" si="88"/>
        <v>0</v>
      </c>
      <c r="H306" s="258">
        <f t="shared" si="89"/>
        <v>0</v>
      </c>
      <c r="I306" s="250"/>
      <c r="J306" s="251"/>
      <c r="K306" s="252"/>
      <c r="L306" s="253"/>
      <c r="M306" s="128"/>
      <c r="N306" s="128">
        <f t="shared" si="84"/>
        <v>0</v>
      </c>
      <c r="O306" s="254"/>
      <c r="P306" s="128">
        <f t="shared" si="85"/>
        <v>0</v>
      </c>
      <c r="Q306" s="18">
        <f t="shared" si="86"/>
        <v>0</v>
      </c>
      <c r="R306" s="255">
        <f t="shared" si="87"/>
        <v>0</v>
      </c>
      <c r="S306" s="1"/>
      <c r="T306" s="1">
        <f t="shared" si="92"/>
        <v>0</v>
      </c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1"/>
      <c r="AG306" s="1"/>
      <c r="AH306" s="1"/>
      <c r="AI306" s="1"/>
      <c r="AJ306" s="1"/>
    </row>
    <row r="307" spans="1:36" ht="13.5" customHeight="1">
      <c r="A307" s="259"/>
      <c r="B307" s="174" t="str">
        <f>TB!B344</f>
        <v>BV009</v>
      </c>
      <c r="C307" s="282" t="str">
        <f>TB!C344</f>
        <v>Heineken Draught 20 Ltr</v>
      </c>
      <c r="D307" s="257">
        <f>SUMIF(GL!$D$5:$D$6446,B307,GL!$G$5:$G$6446)</f>
        <v>1</v>
      </c>
      <c r="E307" s="258">
        <f>SUMIF(GL!$D$6:$D$6484,B307,GL!$H$6:$H$6484)</f>
        <v>1640200</v>
      </c>
      <c r="F307" s="258">
        <f>SUMIF(GL!$D$6:$D$6484,B307,GL!$I$6:$I$6484)</f>
        <v>0</v>
      </c>
      <c r="G307" s="258">
        <f t="shared" si="88"/>
        <v>1640200</v>
      </c>
      <c r="H307" s="258">
        <f t="shared" si="89"/>
        <v>0</v>
      </c>
      <c r="I307" s="250">
        <v>8.1</v>
      </c>
      <c r="J307" s="251">
        <v>1636638</v>
      </c>
      <c r="K307" s="252">
        <v>13256770</v>
      </c>
      <c r="L307" s="253">
        <f t="shared" ref="L307:L312" si="93">D307+I307</f>
        <v>9.1</v>
      </c>
      <c r="M307" s="128">
        <f t="shared" ref="M307:M312" si="94">(G307+K307)/L307</f>
        <v>1637029.6703296704</v>
      </c>
      <c r="N307" s="128">
        <f t="shared" si="84"/>
        <v>14896970</v>
      </c>
      <c r="O307" s="254">
        <f>135/20</f>
        <v>6.75</v>
      </c>
      <c r="P307" s="128">
        <f t="shared" si="85"/>
        <v>1637029.6703296704</v>
      </c>
      <c r="Q307" s="18">
        <f t="shared" si="86"/>
        <v>11049950.274725275</v>
      </c>
      <c r="R307" s="255">
        <f t="shared" si="87"/>
        <v>3847019.7252747249</v>
      </c>
      <c r="S307" s="1"/>
      <c r="T307" s="1">
        <f t="shared" si="92"/>
        <v>-391.67032967042178</v>
      </c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1"/>
      <c r="AG307" s="1"/>
      <c r="AH307" s="1"/>
      <c r="AI307" s="1"/>
      <c r="AJ307" s="1"/>
    </row>
    <row r="308" spans="1:36" ht="13.5" customHeight="1">
      <c r="A308" s="259"/>
      <c r="B308" s="174" t="str">
        <f>TB!B345</f>
        <v>BV010</v>
      </c>
      <c r="C308" s="282" t="str">
        <f>TB!C345</f>
        <v>Bintang Zeo</v>
      </c>
      <c r="D308" s="257">
        <f>SUMIF(GL!$D$5:$D$6446,B308,GL!$G$5:$G$6446)</f>
        <v>0</v>
      </c>
      <c r="E308" s="258">
        <f>SUMIF(GL!$D$6:$D$6484,B308,GL!$H$6:$H$6484)</f>
        <v>0</v>
      </c>
      <c r="F308" s="258">
        <f>SUMIF(GL!$D$6:$D$6484,B308,GL!$I$6:$I$6484)</f>
        <v>0</v>
      </c>
      <c r="G308" s="258">
        <f t="shared" si="88"/>
        <v>0</v>
      </c>
      <c r="H308" s="258">
        <f t="shared" si="89"/>
        <v>0</v>
      </c>
      <c r="I308" s="250">
        <v>3</v>
      </c>
      <c r="J308" s="251">
        <v>7375</v>
      </c>
      <c r="K308" s="252">
        <v>22125</v>
      </c>
      <c r="L308" s="253">
        <f t="shared" si="93"/>
        <v>3</v>
      </c>
      <c r="M308" s="128">
        <f t="shared" si="94"/>
        <v>7375</v>
      </c>
      <c r="N308" s="128">
        <f t="shared" si="84"/>
        <v>22125</v>
      </c>
      <c r="O308" s="254">
        <v>3</v>
      </c>
      <c r="P308" s="128">
        <f t="shared" si="85"/>
        <v>7375</v>
      </c>
      <c r="Q308" s="18">
        <f t="shared" si="86"/>
        <v>22125</v>
      </c>
      <c r="R308" s="255">
        <f t="shared" si="87"/>
        <v>0</v>
      </c>
      <c r="S308" s="1"/>
      <c r="T308" s="1">
        <f t="shared" si="92"/>
        <v>0</v>
      </c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1"/>
      <c r="AG308" s="1"/>
      <c r="AH308" s="1"/>
      <c r="AI308" s="1"/>
      <c r="AJ308" s="1"/>
    </row>
    <row r="309" spans="1:36" ht="13.5" customHeight="1">
      <c r="A309" s="259"/>
      <c r="B309" s="174" t="str">
        <f>TB!B346</f>
        <v>BV011</v>
      </c>
      <c r="C309" s="282" t="str">
        <f>TB!C346</f>
        <v>Corona</v>
      </c>
      <c r="D309" s="257">
        <f>SUMIF(GL!$D$5:$D$6446,B309,GL!$G$5:$G$6446)</f>
        <v>120</v>
      </c>
      <c r="E309" s="258">
        <f>SUMIF(GL!$D$6:$D$6484,B309,GL!$H$6:$H$6484)</f>
        <v>5950000</v>
      </c>
      <c r="F309" s="258">
        <f>SUMIF(GL!$D$6:$D$6484,B309,GL!$I$6:$I$6484)</f>
        <v>0</v>
      </c>
      <c r="G309" s="258">
        <f t="shared" si="88"/>
        <v>5950000</v>
      </c>
      <c r="H309" s="258">
        <f t="shared" si="89"/>
        <v>0</v>
      </c>
      <c r="I309" s="250">
        <v>168</v>
      </c>
      <c r="J309" s="251">
        <v>49579</v>
      </c>
      <c r="K309" s="252">
        <v>8329333</v>
      </c>
      <c r="L309" s="253">
        <f t="shared" si="93"/>
        <v>288</v>
      </c>
      <c r="M309" s="128">
        <f t="shared" si="94"/>
        <v>49581.017361111109</v>
      </c>
      <c r="N309" s="128">
        <f t="shared" si="84"/>
        <v>14279333</v>
      </c>
      <c r="O309" s="254">
        <v>174</v>
      </c>
      <c r="P309" s="128">
        <f t="shared" si="85"/>
        <v>49581.017361111109</v>
      </c>
      <c r="Q309" s="18">
        <f t="shared" si="86"/>
        <v>8627097.020833334</v>
      </c>
      <c r="R309" s="255">
        <f t="shared" si="87"/>
        <v>5652235.979166666</v>
      </c>
      <c r="S309" s="1"/>
      <c r="T309" s="1">
        <f t="shared" si="92"/>
        <v>-2.0173611111094942</v>
      </c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4"/>
      <c r="AG309" s="4"/>
      <c r="AH309" s="4"/>
      <c r="AI309" s="4"/>
      <c r="AJ309" s="4"/>
    </row>
    <row r="310" spans="1:36" ht="13.5" customHeight="1">
      <c r="A310" s="259"/>
      <c r="B310" s="174" t="str">
        <f>TB!B347</f>
        <v>BV012</v>
      </c>
      <c r="C310" s="282" t="str">
        <f>TB!C347</f>
        <v>Smirnoff Ice</v>
      </c>
      <c r="D310" s="257">
        <f>SUMIF(GL!$D$5:$D$6446,B310,GL!$G$5:$G$6446)</f>
        <v>0</v>
      </c>
      <c r="E310" s="258">
        <f>SUMIF(GL!$D$6:$D$6484,B310,GL!$H$6:$H$6484)</f>
        <v>0</v>
      </c>
      <c r="F310" s="258">
        <f>SUMIF(GL!$D$6:$D$6484,B310,GL!$I$6:$I$6484)</f>
        <v>0</v>
      </c>
      <c r="G310" s="258">
        <f t="shared" si="88"/>
        <v>0</v>
      </c>
      <c r="H310" s="258">
        <f t="shared" si="89"/>
        <v>0</v>
      </c>
      <c r="I310" s="250">
        <v>446</v>
      </c>
      <c r="J310" s="251">
        <v>22300</v>
      </c>
      <c r="K310" s="252">
        <v>9945800</v>
      </c>
      <c r="L310" s="253">
        <f t="shared" si="93"/>
        <v>446</v>
      </c>
      <c r="M310" s="128">
        <f t="shared" si="94"/>
        <v>22300</v>
      </c>
      <c r="N310" s="128">
        <f t="shared" si="84"/>
        <v>9945800</v>
      </c>
      <c r="O310" s="254">
        <v>238</v>
      </c>
      <c r="P310" s="128">
        <f t="shared" si="85"/>
        <v>22300</v>
      </c>
      <c r="Q310" s="18">
        <f t="shared" si="86"/>
        <v>5307400</v>
      </c>
      <c r="R310" s="255">
        <f t="shared" si="87"/>
        <v>4638400</v>
      </c>
      <c r="S310" s="1"/>
      <c r="T310" s="1">
        <f t="shared" si="92"/>
        <v>0</v>
      </c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1"/>
      <c r="AG310" s="1"/>
      <c r="AH310" s="1"/>
      <c r="AI310" s="1"/>
      <c r="AJ310" s="1"/>
    </row>
    <row r="311" spans="1:36" ht="13.5" customHeight="1">
      <c r="A311" s="284"/>
      <c r="B311" s="174" t="str">
        <f>TB!B348</f>
        <v>BV013</v>
      </c>
      <c r="C311" s="282" t="str">
        <f>TB!C348</f>
        <v>Red Bull</v>
      </c>
      <c r="D311" s="257">
        <f>SUMIF(GL!$D$5:$D$6446,B311,GL!$G$5:$G$6446)</f>
        <v>2400</v>
      </c>
      <c r="E311" s="258">
        <f>SUMIF(GL!$D$6:$D$6484,B311,GL!$H$6:$H$6484)</f>
        <v>52800000</v>
      </c>
      <c r="F311" s="258">
        <f>SUMIF(GL!$D$6:$D$6484,B311,GL!$I$6:$I$6484)</f>
        <v>0</v>
      </c>
      <c r="G311" s="258">
        <f t="shared" si="88"/>
        <v>52800000</v>
      </c>
      <c r="H311" s="258">
        <f t="shared" si="89"/>
        <v>0</v>
      </c>
      <c r="I311" s="250">
        <v>851</v>
      </c>
      <c r="J311" s="251">
        <v>21997</v>
      </c>
      <c r="K311" s="252">
        <v>18719424</v>
      </c>
      <c r="L311" s="253">
        <f t="shared" si="93"/>
        <v>3251</v>
      </c>
      <c r="M311" s="128">
        <f t="shared" si="94"/>
        <v>21999.207628422024</v>
      </c>
      <c r="N311" s="128">
        <f t="shared" si="84"/>
        <v>71519424</v>
      </c>
      <c r="O311" s="254">
        <v>2010</v>
      </c>
      <c r="P311" s="128">
        <f t="shared" si="85"/>
        <v>21999.207628422024</v>
      </c>
      <c r="Q311" s="18">
        <f t="shared" si="86"/>
        <v>44218407.333128266</v>
      </c>
      <c r="R311" s="255">
        <f t="shared" si="87"/>
        <v>27301016.666871734</v>
      </c>
      <c r="S311" s="1"/>
      <c r="T311" s="1">
        <f t="shared" si="92"/>
        <v>-2.2076284220238449</v>
      </c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1"/>
      <c r="AG311" s="1"/>
      <c r="AH311" s="1"/>
      <c r="AI311" s="1"/>
      <c r="AJ311" s="1"/>
    </row>
    <row r="312" spans="1:36" ht="13.5" customHeight="1">
      <c r="A312" s="259"/>
      <c r="B312" s="174" t="str">
        <f>TB!B349</f>
        <v>BV014</v>
      </c>
      <c r="C312" s="282" t="str">
        <f>TB!C349</f>
        <v>Coca Cola Can</v>
      </c>
      <c r="D312" s="257">
        <f>SUMIF(GL!$D$5:$D$6446,B312,GL!$G$5:$G$6446)</f>
        <v>840</v>
      </c>
      <c r="E312" s="258">
        <f>SUMIF(GL!$D$6:$D$6484,B312,GL!$H$6:$H$6484)</f>
        <v>4655000</v>
      </c>
      <c r="F312" s="258">
        <f>SUMIF(GL!$D$6:$D$6484,B312,GL!$I$6:$I$6484)</f>
        <v>0</v>
      </c>
      <c r="G312" s="258">
        <f t="shared" si="88"/>
        <v>4655000</v>
      </c>
      <c r="H312" s="258">
        <f t="shared" si="89"/>
        <v>0</v>
      </c>
      <c r="I312" s="250">
        <v>212</v>
      </c>
      <c r="J312" s="251">
        <v>5542</v>
      </c>
      <c r="K312" s="252">
        <v>1174833</v>
      </c>
      <c r="L312" s="253">
        <f t="shared" si="93"/>
        <v>1052</v>
      </c>
      <c r="M312" s="128">
        <f t="shared" si="94"/>
        <v>5541.666349809886</v>
      </c>
      <c r="N312" s="128">
        <f t="shared" si="84"/>
        <v>5829833</v>
      </c>
      <c r="O312" s="254">
        <v>339</v>
      </c>
      <c r="P312" s="128">
        <f t="shared" si="85"/>
        <v>5541.666349809886</v>
      </c>
      <c r="Q312" s="18">
        <f t="shared" si="86"/>
        <v>1878624.8925855514</v>
      </c>
      <c r="R312" s="255">
        <f t="shared" si="87"/>
        <v>3951208.1074144486</v>
      </c>
      <c r="S312" s="1"/>
      <c r="T312" s="1">
        <f t="shared" si="92"/>
        <v>0.33365019011398545</v>
      </c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1"/>
      <c r="AG312" s="1"/>
      <c r="AH312" s="1"/>
      <c r="AI312" s="1"/>
      <c r="AJ312" s="1"/>
    </row>
    <row r="313" spans="1:36" ht="13.5" customHeight="1">
      <c r="A313" s="285"/>
      <c r="B313" s="286" t="str">
        <f>TB!B350</f>
        <v>BV015</v>
      </c>
      <c r="C313" s="287" t="str">
        <f>TB!C350</f>
        <v>Kratingdaeng Red Bull</v>
      </c>
      <c r="D313" s="257">
        <f>SUMIF(GL!$D$5:$D$6446,B313,GL!$G$5:$G$6446)</f>
        <v>0</v>
      </c>
      <c r="E313" s="258">
        <f>SUMIF(GL!$D$6:$D$6484,B313,GL!$H$6:$H$6484)</f>
        <v>0</v>
      </c>
      <c r="F313" s="258">
        <f>SUMIF(GL!$D$6:$D$6484,B313,GL!$I$6:$I$6484)</f>
        <v>0</v>
      </c>
      <c r="G313" s="258">
        <f t="shared" si="88"/>
        <v>0</v>
      </c>
      <c r="H313" s="258">
        <f t="shared" si="89"/>
        <v>0</v>
      </c>
      <c r="I313" s="250"/>
      <c r="J313" s="251"/>
      <c r="K313" s="252"/>
      <c r="L313" s="253"/>
      <c r="M313" s="128"/>
      <c r="N313" s="128">
        <f t="shared" si="84"/>
        <v>0</v>
      </c>
      <c r="O313" s="254"/>
      <c r="P313" s="128">
        <f t="shared" si="85"/>
        <v>0</v>
      </c>
      <c r="Q313" s="18">
        <f t="shared" si="86"/>
        <v>0</v>
      </c>
      <c r="R313" s="255">
        <f t="shared" si="87"/>
        <v>0</v>
      </c>
      <c r="S313" s="1"/>
      <c r="T313" s="1">
        <f t="shared" si="92"/>
        <v>0</v>
      </c>
      <c r="U313" s="270"/>
      <c r="V313" s="270"/>
      <c r="W313" s="270"/>
      <c r="X313" s="270"/>
      <c r="Y313" s="270"/>
      <c r="Z313" s="270"/>
      <c r="AA313" s="270"/>
      <c r="AB313" s="270"/>
      <c r="AC313" s="270"/>
      <c r="AD313" s="270"/>
      <c r="AE313" s="270"/>
      <c r="AF313" s="271"/>
      <c r="AG313" s="271"/>
      <c r="AH313" s="271"/>
      <c r="AI313" s="271"/>
      <c r="AJ313" s="271"/>
    </row>
    <row r="314" spans="1:36" ht="13.5" customHeight="1">
      <c r="A314" s="284"/>
      <c r="B314" s="174" t="str">
        <f>TB!B351</f>
        <v>BV016</v>
      </c>
      <c r="C314" s="282" t="str">
        <f>TB!C351</f>
        <v>Sprite Can</v>
      </c>
      <c r="D314" s="257">
        <f>SUMIF(GL!$D$5:$D$6446,B314,GL!$G$5:$G$6446)</f>
        <v>264</v>
      </c>
      <c r="E314" s="258">
        <f>SUMIF(GL!$D$6:$D$6484,B314,GL!$H$6:$H$6484)</f>
        <v>1463000</v>
      </c>
      <c r="F314" s="258">
        <f>SUMIF(GL!$D$6:$D$6484,B314,GL!$I$6:$I$6484)</f>
        <v>0</v>
      </c>
      <c r="G314" s="258">
        <f t="shared" si="88"/>
        <v>1463000</v>
      </c>
      <c r="H314" s="258">
        <f t="shared" si="89"/>
        <v>0</v>
      </c>
      <c r="I314" s="250">
        <v>132</v>
      </c>
      <c r="J314" s="251">
        <v>5542</v>
      </c>
      <c r="K314" s="252">
        <v>731500</v>
      </c>
      <c r="L314" s="253">
        <f>D314+I314</f>
        <v>396</v>
      </c>
      <c r="M314" s="128">
        <f>(G314+K314)/L314</f>
        <v>5541.666666666667</v>
      </c>
      <c r="N314" s="128">
        <f t="shared" si="84"/>
        <v>2194500</v>
      </c>
      <c r="O314" s="254">
        <v>182</v>
      </c>
      <c r="P314" s="128">
        <f t="shared" si="85"/>
        <v>5541.666666666667</v>
      </c>
      <c r="Q314" s="18">
        <f t="shared" si="86"/>
        <v>1008583.3333333334</v>
      </c>
      <c r="R314" s="255">
        <f t="shared" si="87"/>
        <v>1185916.6666666665</v>
      </c>
      <c r="S314" s="1"/>
      <c r="T314" s="1">
        <f t="shared" si="92"/>
        <v>0.33333333333303017</v>
      </c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1"/>
      <c r="AG314" s="1"/>
      <c r="AH314" s="1"/>
      <c r="AI314" s="1"/>
      <c r="AJ314" s="1"/>
    </row>
    <row r="315" spans="1:36" ht="13.5" customHeight="1">
      <c r="A315" s="259"/>
      <c r="B315" s="174" t="str">
        <f>TB!B352</f>
        <v>BV017</v>
      </c>
      <c r="C315" s="282" t="str">
        <f>TB!C352</f>
        <v>Soda Can</v>
      </c>
      <c r="D315" s="257">
        <f>SUMIF(GL!$D$5:$D$6446,B315,GL!$G$5:$G$6446)</f>
        <v>0</v>
      </c>
      <c r="E315" s="258">
        <f>SUMIF(GL!$D$6:$D$6484,B315,GL!$H$6:$H$6484)</f>
        <v>0</v>
      </c>
      <c r="F315" s="258">
        <f>SUMIF(GL!$D$6:$D$6484,B315,GL!$I$6:$I$6484)</f>
        <v>0</v>
      </c>
      <c r="G315" s="258">
        <f t="shared" si="88"/>
        <v>0</v>
      </c>
      <c r="H315" s="258">
        <f t="shared" si="89"/>
        <v>0</v>
      </c>
      <c r="I315" s="250"/>
      <c r="J315" s="251"/>
      <c r="K315" s="252"/>
      <c r="L315" s="253"/>
      <c r="M315" s="128"/>
      <c r="N315" s="128">
        <f t="shared" si="84"/>
        <v>0</v>
      </c>
      <c r="O315" s="254"/>
      <c r="P315" s="128">
        <f t="shared" si="85"/>
        <v>0</v>
      </c>
      <c r="Q315" s="18">
        <f t="shared" si="86"/>
        <v>0</v>
      </c>
      <c r="R315" s="255">
        <f t="shared" si="87"/>
        <v>0</v>
      </c>
      <c r="S315" s="1"/>
      <c r="T315" s="1">
        <f t="shared" si="92"/>
        <v>0</v>
      </c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1"/>
      <c r="AG315" s="1"/>
      <c r="AH315" s="1"/>
      <c r="AI315" s="1"/>
      <c r="AJ315" s="1"/>
    </row>
    <row r="316" spans="1:36" ht="13.5" customHeight="1">
      <c r="A316" s="259"/>
      <c r="B316" s="174" t="str">
        <f>TB!B353</f>
        <v>BV018</v>
      </c>
      <c r="C316" s="282" t="str">
        <f>TB!C353</f>
        <v>Zero Coke</v>
      </c>
      <c r="D316" s="257">
        <f>SUMIF(GL!$D$5:$D$6446,B316,GL!$G$5:$G$6446)</f>
        <v>240</v>
      </c>
      <c r="E316" s="258">
        <f>SUMIF(GL!$D$6:$D$6484,B316,GL!$H$6:$H$6484)</f>
        <v>1330000</v>
      </c>
      <c r="F316" s="258">
        <f>SUMIF(GL!$D$6:$D$6484,B316,GL!$I$6:$I$6484)</f>
        <v>0</v>
      </c>
      <c r="G316" s="258">
        <f t="shared" si="88"/>
        <v>1330000</v>
      </c>
      <c r="H316" s="258">
        <f t="shared" si="89"/>
        <v>0</v>
      </c>
      <c r="I316" s="250">
        <v>109</v>
      </c>
      <c r="J316" s="251">
        <v>5542</v>
      </c>
      <c r="K316" s="252">
        <v>604042</v>
      </c>
      <c r="L316" s="253">
        <f t="shared" ref="L316:L325" si="95">D316+I316</f>
        <v>349</v>
      </c>
      <c r="M316" s="128">
        <f t="shared" ref="M316:M325" si="96">(G316+K316)/L316</f>
        <v>5541.6676217765043</v>
      </c>
      <c r="N316" s="128">
        <f t="shared" si="84"/>
        <v>1934042</v>
      </c>
      <c r="O316" s="254">
        <v>159</v>
      </c>
      <c r="P316" s="128">
        <f t="shared" si="85"/>
        <v>5541.6676217765043</v>
      </c>
      <c r="Q316" s="18">
        <f t="shared" si="86"/>
        <v>881125.15186246415</v>
      </c>
      <c r="R316" s="255">
        <f t="shared" si="87"/>
        <v>1052916.8481375359</v>
      </c>
      <c r="S316" s="1"/>
      <c r="T316" s="1">
        <f t="shared" si="92"/>
        <v>0.33237822349565249</v>
      </c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1"/>
      <c r="AG316" s="1"/>
      <c r="AH316" s="1"/>
      <c r="AI316" s="1"/>
      <c r="AJ316" s="1"/>
    </row>
    <row r="317" spans="1:36" ht="13.5" customHeight="1">
      <c r="A317" s="259"/>
      <c r="B317" s="174" t="str">
        <f>TB!B354</f>
        <v>BV019</v>
      </c>
      <c r="C317" s="282" t="str">
        <f>TB!C354</f>
        <v>Tonic Water</v>
      </c>
      <c r="D317" s="257">
        <f>SUMIF(GL!$D$5:$D$6446,B317,GL!$G$5:$G$6446)</f>
        <v>768</v>
      </c>
      <c r="E317" s="258">
        <f>SUMIF(GL!$D$6:$D$6484,B317,GL!$H$6:$H$6484)</f>
        <v>3840000</v>
      </c>
      <c r="F317" s="258">
        <f>SUMIF(GL!$D$6:$D$6484,B317,GL!$I$6:$I$6484)</f>
        <v>0</v>
      </c>
      <c r="G317" s="258">
        <f t="shared" si="88"/>
        <v>3840000</v>
      </c>
      <c r="H317" s="258">
        <f t="shared" si="89"/>
        <v>0</v>
      </c>
      <c r="I317" s="250">
        <v>159</v>
      </c>
      <c r="J317" s="251">
        <v>5000</v>
      </c>
      <c r="K317" s="252">
        <v>795000</v>
      </c>
      <c r="L317" s="253">
        <f t="shared" si="95"/>
        <v>927</v>
      </c>
      <c r="M317" s="128">
        <f t="shared" si="96"/>
        <v>5000</v>
      </c>
      <c r="N317" s="128">
        <f t="shared" si="84"/>
        <v>4635000</v>
      </c>
      <c r="O317" s="254">
        <v>353</v>
      </c>
      <c r="P317" s="128">
        <f t="shared" si="85"/>
        <v>5000</v>
      </c>
      <c r="Q317" s="18">
        <f t="shared" si="86"/>
        <v>1765000</v>
      </c>
      <c r="R317" s="255">
        <f t="shared" si="87"/>
        <v>2870000</v>
      </c>
      <c r="S317" s="1"/>
      <c r="T317" s="1">
        <f t="shared" si="92"/>
        <v>0</v>
      </c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1"/>
      <c r="AG317" s="1"/>
      <c r="AH317" s="1"/>
      <c r="AI317" s="1"/>
      <c r="AJ317" s="1"/>
    </row>
    <row r="318" spans="1:36" ht="13.5" customHeight="1">
      <c r="A318" s="259"/>
      <c r="B318" s="174" t="str">
        <f>TB!B355</f>
        <v>BV020</v>
      </c>
      <c r="C318" s="282" t="str">
        <f>TB!C355</f>
        <v>Ginger Ale</v>
      </c>
      <c r="D318" s="257">
        <f>SUMIF(GL!$D$5:$D$6446,B318,GL!$G$5:$G$6446)</f>
        <v>48</v>
      </c>
      <c r="E318" s="258">
        <f>SUMIF(GL!$D$6:$D$6484,B318,GL!$H$6:$H$6484)</f>
        <v>240000</v>
      </c>
      <c r="F318" s="258">
        <f>SUMIF(GL!$D$6:$D$6484,B318,GL!$I$6:$I$6484)</f>
        <v>0</v>
      </c>
      <c r="G318" s="258">
        <f t="shared" si="88"/>
        <v>240000</v>
      </c>
      <c r="H318" s="258">
        <f t="shared" si="89"/>
        <v>0</v>
      </c>
      <c r="I318" s="250">
        <v>92</v>
      </c>
      <c r="J318" s="251">
        <v>5001</v>
      </c>
      <c r="K318" s="252">
        <v>460124</v>
      </c>
      <c r="L318" s="253">
        <f t="shared" si="95"/>
        <v>140</v>
      </c>
      <c r="M318" s="128">
        <f t="shared" si="96"/>
        <v>5000.8857142857141</v>
      </c>
      <c r="N318" s="128">
        <f t="shared" si="84"/>
        <v>700124</v>
      </c>
      <c r="O318" s="254">
        <v>67</v>
      </c>
      <c r="P318" s="128">
        <f t="shared" si="85"/>
        <v>5000.8857142857141</v>
      </c>
      <c r="Q318" s="18">
        <f t="shared" si="86"/>
        <v>335059.34285714285</v>
      </c>
      <c r="R318" s="255">
        <f t="shared" si="87"/>
        <v>365064.65714285715</v>
      </c>
      <c r="S318" s="1"/>
      <c r="T318" s="1">
        <f t="shared" si="92"/>
        <v>0.1142857142858702</v>
      </c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1"/>
      <c r="AG318" s="1"/>
      <c r="AH318" s="1"/>
      <c r="AI318" s="1"/>
      <c r="AJ318" s="1"/>
    </row>
    <row r="319" spans="1:36" ht="13.5" customHeight="1">
      <c r="A319" s="259"/>
      <c r="B319" s="174" t="str">
        <f>TB!B356</f>
        <v>BV021</v>
      </c>
      <c r="C319" s="282" t="str">
        <f>TB!C356</f>
        <v>Polaris Can</v>
      </c>
      <c r="D319" s="257">
        <f>SUMIF(GL!$D$5:$D$6446,B319,GL!$G$5:$G$6446)</f>
        <v>336</v>
      </c>
      <c r="E319" s="258">
        <f>SUMIF(GL!$D$6:$D$6484,B319,GL!$H$6:$H$6484)</f>
        <v>1610000</v>
      </c>
      <c r="F319" s="258">
        <f>SUMIF(GL!$D$6:$D$6484,B319,GL!$I$6:$I$6484)</f>
        <v>0</v>
      </c>
      <c r="G319" s="258">
        <f t="shared" si="88"/>
        <v>1610000</v>
      </c>
      <c r="H319" s="258">
        <f t="shared" si="89"/>
        <v>0</v>
      </c>
      <c r="I319" s="250">
        <v>207</v>
      </c>
      <c r="J319" s="251">
        <v>4792</v>
      </c>
      <c r="K319" s="252">
        <v>991878</v>
      </c>
      <c r="L319" s="253">
        <f t="shared" si="95"/>
        <v>543</v>
      </c>
      <c r="M319" s="128">
        <f t="shared" si="96"/>
        <v>4791.6721915285452</v>
      </c>
      <c r="N319" s="128">
        <f t="shared" si="84"/>
        <v>2601878</v>
      </c>
      <c r="O319" s="254">
        <v>154</v>
      </c>
      <c r="P319" s="128">
        <f t="shared" si="85"/>
        <v>4791.6721915285452</v>
      </c>
      <c r="Q319" s="18">
        <f t="shared" si="86"/>
        <v>737917.51749539596</v>
      </c>
      <c r="R319" s="255">
        <f t="shared" si="87"/>
        <v>1863960.4825046039</v>
      </c>
      <c r="S319" s="1"/>
      <c r="T319" s="1">
        <f t="shared" si="92"/>
        <v>0.3278084714547731</v>
      </c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1"/>
      <c r="AG319" s="1"/>
      <c r="AH319" s="1"/>
      <c r="AI319" s="1"/>
      <c r="AJ319" s="1"/>
    </row>
    <row r="320" spans="1:36" ht="13.5" customHeight="1">
      <c r="A320" s="259"/>
      <c r="B320" s="174" t="str">
        <f>TB!B357</f>
        <v>BV022</v>
      </c>
      <c r="C320" s="282" t="str">
        <f>TB!C357</f>
        <v>Pokka Green Tea</v>
      </c>
      <c r="D320" s="257">
        <f>SUMIF(GL!$D$5:$D$6446,B320,GL!$G$5:$G$6446)</f>
        <v>0</v>
      </c>
      <c r="E320" s="258">
        <f>SUMIF(GL!$D$6:$D$6484,B320,GL!$H$6:$H$6484)</f>
        <v>0</v>
      </c>
      <c r="F320" s="258">
        <f>SUMIF(GL!$D$6:$D$6484,B320,GL!$I$6:$I$6484)</f>
        <v>0</v>
      </c>
      <c r="G320" s="258">
        <f t="shared" si="88"/>
        <v>0</v>
      </c>
      <c r="H320" s="258">
        <f t="shared" si="89"/>
        <v>0</v>
      </c>
      <c r="I320" s="250">
        <v>435</v>
      </c>
      <c r="J320" s="251">
        <v>7120</v>
      </c>
      <c r="K320" s="252">
        <v>3097221</v>
      </c>
      <c r="L320" s="253">
        <f t="shared" si="95"/>
        <v>435</v>
      </c>
      <c r="M320" s="128">
        <f t="shared" si="96"/>
        <v>7120.0482758620692</v>
      </c>
      <c r="N320" s="128">
        <f t="shared" si="84"/>
        <v>3097221</v>
      </c>
      <c r="O320" s="254">
        <v>334</v>
      </c>
      <c r="P320" s="128">
        <f t="shared" si="85"/>
        <v>7120.0482758620692</v>
      </c>
      <c r="Q320" s="18">
        <f t="shared" si="86"/>
        <v>2378096.124137931</v>
      </c>
      <c r="R320" s="255">
        <f t="shared" si="87"/>
        <v>719124.87586206896</v>
      </c>
      <c r="S320" s="1"/>
      <c r="T320" s="1">
        <f t="shared" si="92"/>
        <v>-4.8275862069203868E-2</v>
      </c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4"/>
      <c r="AG320" s="4"/>
      <c r="AH320" s="4"/>
      <c r="AI320" s="4"/>
      <c r="AJ320" s="4"/>
    </row>
    <row r="321" spans="1:36" ht="13.5" customHeight="1">
      <c r="A321" s="259"/>
      <c r="B321" s="174" t="str">
        <f>TB!B358</f>
        <v>BV023</v>
      </c>
      <c r="C321" s="282" t="str">
        <f>TB!C358</f>
        <v>Cranberry Juice 1 Ltr</v>
      </c>
      <c r="D321" s="257">
        <f>SUMIF(GL!$D$5:$D$6446,B321,GL!$G$5:$G$6446)</f>
        <v>95</v>
      </c>
      <c r="E321" s="258">
        <f>SUMIF(GL!$D$6:$D$6484,B321,GL!$H$6:$H$6484)</f>
        <v>1900000</v>
      </c>
      <c r="F321" s="258">
        <f>SUMIF(GL!$D$6:$D$6484,B321,GL!$I$6:$I$6484)</f>
        <v>0</v>
      </c>
      <c r="G321" s="258">
        <f t="shared" si="88"/>
        <v>1900000</v>
      </c>
      <c r="H321" s="258">
        <f t="shared" si="89"/>
        <v>0</v>
      </c>
      <c r="I321" s="250">
        <v>35</v>
      </c>
      <c r="J321" s="251">
        <v>19994</v>
      </c>
      <c r="K321" s="252">
        <v>699805</v>
      </c>
      <c r="L321" s="253">
        <f t="shared" si="95"/>
        <v>130</v>
      </c>
      <c r="M321" s="128">
        <f t="shared" si="96"/>
        <v>19998.5</v>
      </c>
      <c r="N321" s="128">
        <f t="shared" si="84"/>
        <v>2599805</v>
      </c>
      <c r="O321" s="254">
        <v>44</v>
      </c>
      <c r="P321" s="128">
        <f t="shared" si="85"/>
        <v>19998.5</v>
      </c>
      <c r="Q321" s="18">
        <f t="shared" si="86"/>
        <v>879934</v>
      </c>
      <c r="R321" s="255">
        <f t="shared" si="87"/>
        <v>1719871</v>
      </c>
      <c r="S321" s="1"/>
      <c r="T321" s="1">
        <f t="shared" si="92"/>
        <v>-4.5</v>
      </c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1"/>
      <c r="AG321" s="1"/>
      <c r="AH321" s="1"/>
      <c r="AI321" s="1"/>
      <c r="AJ321" s="1"/>
    </row>
    <row r="322" spans="1:36" ht="13.5" customHeight="1">
      <c r="A322" s="284"/>
      <c r="B322" s="174" t="str">
        <f>TB!B359</f>
        <v>BV024</v>
      </c>
      <c r="C322" s="282" t="str">
        <f>TB!C359</f>
        <v>Orange Juice 1 Lt</v>
      </c>
      <c r="D322" s="257">
        <f>SUMIF(GL!$D$5:$D$6446,B322,GL!$G$5:$G$6446)</f>
        <v>145</v>
      </c>
      <c r="E322" s="258">
        <f>SUMIF(GL!$D$6:$D$6484,B322,GL!$H$6:$H$6484)</f>
        <v>1595000</v>
      </c>
      <c r="F322" s="258">
        <f>SUMIF(GL!$D$6:$D$6484,B322,GL!$I$6:$I$6484)</f>
        <v>0</v>
      </c>
      <c r="G322" s="258">
        <f t="shared" si="88"/>
        <v>1595000</v>
      </c>
      <c r="H322" s="258">
        <f t="shared" si="89"/>
        <v>0</v>
      </c>
      <c r="I322" s="250">
        <v>16</v>
      </c>
      <c r="J322" s="251">
        <v>11000</v>
      </c>
      <c r="K322" s="252">
        <v>176000</v>
      </c>
      <c r="L322" s="253">
        <f t="shared" si="95"/>
        <v>161</v>
      </c>
      <c r="M322" s="128">
        <f t="shared" si="96"/>
        <v>11000</v>
      </c>
      <c r="N322" s="128">
        <f t="shared" si="84"/>
        <v>1771000</v>
      </c>
      <c r="O322" s="254">
        <v>37</v>
      </c>
      <c r="P322" s="128">
        <f t="shared" si="85"/>
        <v>11000</v>
      </c>
      <c r="Q322" s="18">
        <f t="shared" si="86"/>
        <v>407000</v>
      </c>
      <c r="R322" s="255">
        <f t="shared" si="87"/>
        <v>1364000</v>
      </c>
      <c r="S322" s="1"/>
      <c r="T322" s="1">
        <f t="shared" si="92"/>
        <v>0</v>
      </c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1"/>
      <c r="AG322" s="1"/>
      <c r="AH322" s="1"/>
      <c r="AI322" s="1"/>
      <c r="AJ322" s="1"/>
    </row>
    <row r="323" spans="1:36" ht="13.5" customHeight="1">
      <c r="A323" s="259"/>
      <c r="B323" s="174" t="str">
        <f>TB!B360</f>
        <v>BV025</v>
      </c>
      <c r="C323" s="282" t="str">
        <f>TB!C360</f>
        <v>Apple Juice 1 Lt</v>
      </c>
      <c r="D323" s="257">
        <f>SUMIF(GL!$D$5:$D$6446,B323,GL!$G$5:$G$6446)</f>
        <v>40</v>
      </c>
      <c r="E323" s="258">
        <f>SUMIF(GL!$D$6:$D$6484,B323,GL!$H$6:$H$6484)</f>
        <v>440000</v>
      </c>
      <c r="F323" s="258">
        <f>SUMIF(GL!$D$6:$D$6484,B323,GL!$I$6:$I$6484)</f>
        <v>0</v>
      </c>
      <c r="G323" s="258">
        <f t="shared" si="88"/>
        <v>440000</v>
      </c>
      <c r="H323" s="258">
        <f t="shared" si="89"/>
        <v>0</v>
      </c>
      <c r="I323" s="250">
        <v>17</v>
      </c>
      <c r="J323" s="251">
        <v>11000</v>
      </c>
      <c r="K323" s="252">
        <v>187000</v>
      </c>
      <c r="L323" s="253">
        <f t="shared" si="95"/>
        <v>57</v>
      </c>
      <c r="M323" s="128">
        <f t="shared" si="96"/>
        <v>11000</v>
      </c>
      <c r="N323" s="128">
        <f t="shared" si="84"/>
        <v>627000</v>
      </c>
      <c r="O323" s="254">
        <v>21</v>
      </c>
      <c r="P323" s="128">
        <f t="shared" si="85"/>
        <v>11000</v>
      </c>
      <c r="Q323" s="18">
        <f t="shared" si="86"/>
        <v>231000</v>
      </c>
      <c r="R323" s="255">
        <f t="shared" si="87"/>
        <v>396000</v>
      </c>
      <c r="S323" s="1"/>
      <c r="T323" s="1">
        <f t="shared" si="92"/>
        <v>0</v>
      </c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1"/>
      <c r="AG323" s="1"/>
      <c r="AH323" s="1"/>
      <c r="AI323" s="1"/>
      <c r="AJ323" s="1"/>
    </row>
    <row r="324" spans="1:36" ht="13.5" customHeight="1">
      <c r="A324" s="259"/>
      <c r="B324" s="174" t="str">
        <f>TB!B361</f>
        <v>BV026</v>
      </c>
      <c r="C324" s="282" t="str">
        <f>TB!C361</f>
        <v>Pineapple Juice 1 Ltr</v>
      </c>
      <c r="D324" s="257">
        <f>SUMIF(GL!$D$5:$D$6446,B324,GL!$G$5:$G$6446)</f>
        <v>45</v>
      </c>
      <c r="E324" s="258">
        <f>SUMIF(GL!$D$6:$D$6484,B324,GL!$H$6:$H$6484)</f>
        <v>495000</v>
      </c>
      <c r="F324" s="258">
        <f>SUMIF(GL!$D$6:$D$6484,B324,GL!$I$6:$I$6484)</f>
        <v>0</v>
      </c>
      <c r="G324" s="258">
        <f t="shared" si="88"/>
        <v>495000</v>
      </c>
      <c r="H324" s="258">
        <f t="shared" si="89"/>
        <v>0</v>
      </c>
      <c r="I324" s="250">
        <v>15</v>
      </c>
      <c r="J324" s="251">
        <v>11000</v>
      </c>
      <c r="K324" s="252">
        <v>164999</v>
      </c>
      <c r="L324" s="253">
        <f t="shared" si="95"/>
        <v>60</v>
      </c>
      <c r="M324" s="128">
        <f t="shared" si="96"/>
        <v>10999.983333333334</v>
      </c>
      <c r="N324" s="128">
        <f t="shared" si="84"/>
        <v>659999</v>
      </c>
      <c r="O324" s="254">
        <v>21</v>
      </c>
      <c r="P324" s="128">
        <f t="shared" si="85"/>
        <v>10999.983333333334</v>
      </c>
      <c r="Q324" s="18">
        <f t="shared" si="86"/>
        <v>230999.65</v>
      </c>
      <c r="R324" s="255">
        <f t="shared" si="87"/>
        <v>428999.35</v>
      </c>
      <c r="S324" s="1"/>
      <c r="T324" s="1">
        <f t="shared" si="92"/>
        <v>1.6666666666424135E-2</v>
      </c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1"/>
      <c r="AG324" s="1"/>
      <c r="AH324" s="1"/>
      <c r="AI324" s="1"/>
      <c r="AJ324" s="1"/>
    </row>
    <row r="325" spans="1:36" ht="13.5" customHeight="1">
      <c r="A325" s="284"/>
      <c r="B325" s="174" t="str">
        <f>TB!B362</f>
        <v>BV027</v>
      </c>
      <c r="C325" s="282" t="str">
        <f>TB!C362</f>
        <v>Juice Lemon 1 Ltr</v>
      </c>
      <c r="D325" s="257">
        <f>SUMIF(GL!$D$5:$D$6446,B325,GL!$G$5:$G$6446)</f>
        <v>0</v>
      </c>
      <c r="E325" s="258">
        <f>SUMIF(GL!$D$6:$D$6484,B325,GL!$H$6:$H$6484)</f>
        <v>0</v>
      </c>
      <c r="F325" s="258">
        <f>SUMIF(GL!$D$6:$D$6484,B325,GL!$I$6:$I$6484)</f>
        <v>0</v>
      </c>
      <c r="G325" s="258">
        <f t="shared" si="88"/>
        <v>0</v>
      </c>
      <c r="H325" s="258">
        <f t="shared" si="89"/>
        <v>0</v>
      </c>
      <c r="I325" s="250">
        <v>30</v>
      </c>
      <c r="J325" s="251">
        <v>12000</v>
      </c>
      <c r="K325" s="252">
        <v>360000</v>
      </c>
      <c r="L325" s="253">
        <f t="shared" si="95"/>
        <v>30</v>
      </c>
      <c r="M325" s="128">
        <f t="shared" si="96"/>
        <v>12000</v>
      </c>
      <c r="N325" s="128">
        <f t="shared" si="84"/>
        <v>360000</v>
      </c>
      <c r="O325" s="254">
        <v>16</v>
      </c>
      <c r="P325" s="128">
        <f t="shared" si="85"/>
        <v>12000</v>
      </c>
      <c r="Q325" s="18">
        <f t="shared" si="86"/>
        <v>192000</v>
      </c>
      <c r="R325" s="255">
        <f t="shared" si="87"/>
        <v>168000</v>
      </c>
      <c r="S325" s="1"/>
      <c r="T325" s="1">
        <f t="shared" si="92"/>
        <v>0</v>
      </c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1"/>
      <c r="AG325" s="1"/>
      <c r="AH325" s="1"/>
      <c r="AI325" s="1"/>
      <c r="AJ325" s="1"/>
    </row>
    <row r="326" spans="1:36" ht="13.5" customHeight="1">
      <c r="A326" s="259"/>
      <c r="B326" s="174" t="str">
        <f>TB!B363</f>
        <v>BV028</v>
      </c>
      <c r="C326" s="282" t="str">
        <f>TB!C363</f>
        <v>Lychee Juice</v>
      </c>
      <c r="D326" s="257">
        <f>SUMIF(GL!$D$5:$D$6446,B326,GL!$G$5:$G$6446)</f>
        <v>0</v>
      </c>
      <c r="E326" s="258">
        <f>SUMIF(GL!$D$6:$D$6484,B326,GL!$H$6:$H$6484)</f>
        <v>0</v>
      </c>
      <c r="F326" s="258">
        <f>SUMIF(GL!$D$6:$D$6484,B326,GL!$I$6:$I$6484)</f>
        <v>0</v>
      </c>
      <c r="G326" s="258">
        <f t="shared" si="88"/>
        <v>0</v>
      </c>
      <c r="H326" s="258">
        <f t="shared" si="89"/>
        <v>0</v>
      </c>
      <c r="I326" s="250"/>
      <c r="J326" s="251"/>
      <c r="K326" s="252"/>
      <c r="L326" s="253"/>
      <c r="M326" s="128"/>
      <c r="N326" s="128">
        <f t="shared" si="84"/>
        <v>0</v>
      </c>
      <c r="O326" s="254"/>
      <c r="P326" s="128">
        <f t="shared" si="85"/>
        <v>0</v>
      </c>
      <c r="Q326" s="18">
        <f t="shared" si="86"/>
        <v>0</v>
      </c>
      <c r="R326" s="255">
        <f t="shared" si="87"/>
        <v>0</v>
      </c>
      <c r="S326" s="1"/>
      <c r="T326" s="1">
        <f t="shared" si="92"/>
        <v>0</v>
      </c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1"/>
      <c r="AG326" s="1"/>
      <c r="AH326" s="1"/>
      <c r="AI326" s="1"/>
      <c r="AJ326" s="1"/>
    </row>
    <row r="327" spans="1:36" ht="13.5" customHeight="1">
      <c r="A327" s="259"/>
      <c r="B327" s="174" t="str">
        <f>TB!B364</f>
        <v>BV029</v>
      </c>
      <c r="C327" s="282" t="str">
        <f>TB!C364</f>
        <v>Juice Tomato</v>
      </c>
      <c r="D327" s="257">
        <f>SUMIF(GL!$D$5:$D$6446,B327,GL!$G$5:$G$6446)</f>
        <v>0</v>
      </c>
      <c r="E327" s="258">
        <f>SUMIF(GL!$D$6:$D$6484,B327,GL!$H$6:$H$6484)</f>
        <v>0</v>
      </c>
      <c r="F327" s="258">
        <f>SUMIF(GL!$D$6:$D$6484,B327,GL!$I$6:$I$6484)</f>
        <v>0</v>
      </c>
      <c r="G327" s="258">
        <f t="shared" si="88"/>
        <v>0</v>
      </c>
      <c r="H327" s="258">
        <f t="shared" si="89"/>
        <v>0</v>
      </c>
      <c r="I327" s="250"/>
      <c r="J327" s="251"/>
      <c r="K327" s="252"/>
      <c r="L327" s="253"/>
      <c r="M327" s="128"/>
      <c r="N327" s="128">
        <f t="shared" si="84"/>
        <v>0</v>
      </c>
      <c r="O327" s="254"/>
      <c r="P327" s="128">
        <f t="shared" si="85"/>
        <v>0</v>
      </c>
      <c r="Q327" s="18">
        <f t="shared" si="86"/>
        <v>0</v>
      </c>
      <c r="R327" s="255">
        <f t="shared" si="87"/>
        <v>0</v>
      </c>
      <c r="S327" s="1"/>
      <c r="T327" s="1">
        <f t="shared" si="92"/>
        <v>0</v>
      </c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1"/>
      <c r="AG327" s="1"/>
      <c r="AH327" s="1"/>
      <c r="AI327" s="1"/>
      <c r="AJ327" s="1"/>
    </row>
    <row r="328" spans="1:36" ht="13.5" customHeight="1">
      <c r="A328" s="259"/>
      <c r="B328" s="174" t="str">
        <f>TB!B365</f>
        <v>BV030</v>
      </c>
      <c r="C328" s="282" t="str">
        <f>TB!C365</f>
        <v>Mango Juice</v>
      </c>
      <c r="D328" s="257">
        <f>SUMIF(GL!$D$5:$D$6446,B328,GL!$G$5:$G$6446)</f>
        <v>0</v>
      </c>
      <c r="E328" s="258">
        <f>SUMIF(GL!$D$6:$D$6484,B328,GL!$H$6:$H$6484)</f>
        <v>0</v>
      </c>
      <c r="F328" s="258">
        <f>SUMIF(GL!$D$6:$D$6484,B328,GL!$I$6:$I$6484)</f>
        <v>0</v>
      </c>
      <c r="G328" s="258">
        <f t="shared" si="88"/>
        <v>0</v>
      </c>
      <c r="H328" s="258">
        <f t="shared" si="89"/>
        <v>0</v>
      </c>
      <c r="I328" s="250"/>
      <c r="J328" s="251"/>
      <c r="K328" s="252"/>
      <c r="L328" s="253"/>
      <c r="M328" s="128"/>
      <c r="N328" s="128">
        <f t="shared" si="84"/>
        <v>0</v>
      </c>
      <c r="O328" s="254"/>
      <c r="P328" s="128">
        <f t="shared" si="85"/>
        <v>0</v>
      </c>
      <c r="Q328" s="18">
        <f t="shared" si="86"/>
        <v>0</v>
      </c>
      <c r="R328" s="255">
        <f t="shared" si="87"/>
        <v>0</v>
      </c>
      <c r="S328" s="1"/>
      <c r="T328" s="1">
        <f t="shared" si="92"/>
        <v>0</v>
      </c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1"/>
      <c r="AG328" s="1"/>
      <c r="AH328" s="1"/>
      <c r="AI328" s="1"/>
      <c r="AJ328" s="1"/>
    </row>
    <row r="329" spans="1:36" ht="13.5" customHeight="1">
      <c r="A329" s="259"/>
      <c r="B329" s="174" t="str">
        <f>TB!B366</f>
        <v>BV031</v>
      </c>
      <c r="C329" s="282" t="str">
        <f>TB!C366</f>
        <v>Juice Lime</v>
      </c>
      <c r="D329" s="257">
        <f>SUMIF(GL!$D$5:$D$6446,B329,GL!$G$5:$G$6446)</f>
        <v>5</v>
      </c>
      <c r="E329" s="258">
        <f>SUMIF(GL!$D$6:$D$6484,B329,GL!$H$6:$H$6484)</f>
        <v>60000</v>
      </c>
      <c r="F329" s="258">
        <f>SUMIF(GL!$D$6:$D$6484,B329,GL!$I$6:$I$6484)</f>
        <v>0</v>
      </c>
      <c r="G329" s="258">
        <f t="shared" si="88"/>
        <v>60000</v>
      </c>
      <c r="H329" s="258">
        <f t="shared" si="89"/>
        <v>0</v>
      </c>
      <c r="I329" s="250"/>
      <c r="J329" s="251">
        <v>12000</v>
      </c>
      <c r="K329" s="252"/>
      <c r="L329" s="253">
        <f>D329+I329</f>
        <v>5</v>
      </c>
      <c r="M329" s="128">
        <f>(G329+K329)/L329</f>
        <v>12000</v>
      </c>
      <c r="N329" s="128">
        <f t="shared" si="84"/>
        <v>60000</v>
      </c>
      <c r="O329" s="254"/>
      <c r="P329" s="128">
        <f t="shared" si="85"/>
        <v>12000</v>
      </c>
      <c r="Q329" s="18">
        <f t="shared" si="86"/>
        <v>0</v>
      </c>
      <c r="R329" s="255">
        <f t="shared" si="87"/>
        <v>60000</v>
      </c>
      <c r="S329" s="1"/>
      <c r="T329" s="1">
        <f t="shared" si="92"/>
        <v>0</v>
      </c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1"/>
      <c r="AG329" s="1"/>
      <c r="AH329" s="1"/>
      <c r="AI329" s="1"/>
      <c r="AJ329" s="1"/>
    </row>
    <row r="330" spans="1:36" ht="13.5" customHeight="1">
      <c r="A330" s="259"/>
      <c r="B330" s="174" t="str">
        <f>TB!B367</f>
        <v>BV032</v>
      </c>
      <c r="C330" s="282" t="str">
        <f>TB!C367</f>
        <v>Strawberry Juice</v>
      </c>
      <c r="D330" s="257">
        <f>SUMIF(GL!$D$5:$D$6446,B330,GL!$G$5:$G$6446)</f>
        <v>0</v>
      </c>
      <c r="E330" s="258">
        <f>SUMIF(GL!$D$6:$D$6484,B330,GL!$H$6:$H$6484)</f>
        <v>0</v>
      </c>
      <c r="F330" s="258">
        <f>SUMIF(GL!$D$6:$D$6484,B330,GL!$I$6:$I$6484)</f>
        <v>0</v>
      </c>
      <c r="G330" s="258">
        <f t="shared" si="88"/>
        <v>0</v>
      </c>
      <c r="H330" s="258">
        <f t="shared" si="89"/>
        <v>0</v>
      </c>
      <c r="I330" s="250"/>
      <c r="J330" s="251"/>
      <c r="K330" s="252"/>
      <c r="L330" s="253"/>
      <c r="M330" s="128"/>
      <c r="N330" s="128">
        <f t="shared" si="84"/>
        <v>0</v>
      </c>
      <c r="O330" s="254"/>
      <c r="P330" s="128">
        <f t="shared" si="85"/>
        <v>0</v>
      </c>
      <c r="Q330" s="18">
        <f t="shared" si="86"/>
        <v>0</v>
      </c>
      <c r="R330" s="255">
        <f t="shared" si="87"/>
        <v>0</v>
      </c>
      <c r="S330" s="1"/>
      <c r="T330" s="1">
        <f t="shared" si="92"/>
        <v>0</v>
      </c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1"/>
      <c r="AG330" s="1"/>
      <c r="AH330" s="1"/>
      <c r="AI330" s="1"/>
      <c r="AJ330" s="1"/>
    </row>
    <row r="331" spans="1:36" ht="13.5" customHeight="1">
      <c r="A331" s="259"/>
      <c r="B331" s="174" t="str">
        <f>TB!B368</f>
        <v>BV033</v>
      </c>
      <c r="C331" s="282" t="str">
        <f>TB!C368</f>
        <v>Milk Fresh</v>
      </c>
      <c r="D331" s="257">
        <f>SUMIF(GL!$D$5:$D$6446,B331,GL!$G$5:$G$6446)</f>
        <v>33</v>
      </c>
      <c r="E331" s="258">
        <f>SUMIF(GL!$D$6:$D$6484,B331,GL!$H$6:$H$6484)</f>
        <v>655858</v>
      </c>
      <c r="F331" s="258">
        <f>SUMIF(GL!$D$6:$D$6484,B331,GL!$I$6:$I$6484)</f>
        <v>0</v>
      </c>
      <c r="G331" s="258">
        <f t="shared" si="88"/>
        <v>655858</v>
      </c>
      <c r="H331" s="258">
        <f t="shared" si="89"/>
        <v>0</v>
      </c>
      <c r="I331" s="250">
        <v>8</v>
      </c>
      <c r="J331" s="251">
        <v>20602</v>
      </c>
      <c r="K331" s="252">
        <v>164814</v>
      </c>
      <c r="L331" s="253">
        <f>D331+I331</f>
        <v>41</v>
      </c>
      <c r="M331" s="128">
        <f>(G331+K331)/L331</f>
        <v>20016.390243902439</v>
      </c>
      <c r="N331" s="128">
        <f t="shared" si="84"/>
        <v>820672</v>
      </c>
      <c r="O331" s="254">
        <v>2</v>
      </c>
      <c r="P331" s="128">
        <f t="shared" si="85"/>
        <v>20016.390243902439</v>
      </c>
      <c r="Q331" s="18">
        <f t="shared" si="86"/>
        <v>40032.780487804877</v>
      </c>
      <c r="R331" s="255">
        <f t="shared" si="87"/>
        <v>780639.21951219509</v>
      </c>
      <c r="S331" s="1"/>
      <c r="T331" s="1">
        <f t="shared" si="92"/>
        <v>585.60975609756133</v>
      </c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1"/>
      <c r="AG331" s="1"/>
      <c r="AH331" s="1"/>
      <c r="AI331" s="1"/>
      <c r="AJ331" s="1"/>
    </row>
    <row r="332" spans="1:36" ht="13.5" customHeight="1">
      <c r="A332" s="259"/>
      <c r="B332" s="174" t="str">
        <f>TB!B369</f>
        <v>BV034</v>
      </c>
      <c r="C332" s="282" t="str">
        <f>TB!C369</f>
        <v>Balian Still 330Ml</v>
      </c>
      <c r="D332" s="257">
        <f>SUMIF(GL!$D$5:$D$6446,B332,GL!$G$5:$G$6446)</f>
        <v>0</v>
      </c>
      <c r="E332" s="258">
        <f>SUMIF(GL!$D$6:$D$6484,B332,GL!$H$6:$H$6484)</f>
        <v>0</v>
      </c>
      <c r="F332" s="258">
        <f>SUMIF(GL!$D$6:$D$6484,B332,GL!$I$6:$I$6484)</f>
        <v>0</v>
      </c>
      <c r="G332" s="258">
        <f t="shared" si="88"/>
        <v>0</v>
      </c>
      <c r="H332" s="258">
        <f t="shared" si="89"/>
        <v>0</v>
      </c>
      <c r="I332" s="250"/>
      <c r="J332" s="251"/>
      <c r="K332" s="252"/>
      <c r="L332" s="253"/>
      <c r="M332" s="128"/>
      <c r="N332" s="128">
        <f t="shared" si="84"/>
        <v>0</v>
      </c>
      <c r="O332" s="254"/>
      <c r="P332" s="128">
        <f t="shared" si="85"/>
        <v>0</v>
      </c>
      <c r="Q332" s="18">
        <f t="shared" si="86"/>
        <v>0</v>
      </c>
      <c r="R332" s="255">
        <f t="shared" si="87"/>
        <v>0</v>
      </c>
      <c r="S332" s="1"/>
      <c r="T332" s="1">
        <f t="shared" si="92"/>
        <v>0</v>
      </c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1"/>
      <c r="AG332" s="1"/>
      <c r="AH332" s="1"/>
      <c r="AI332" s="1"/>
      <c r="AJ332" s="1"/>
    </row>
    <row r="333" spans="1:36" ht="13.5" customHeight="1">
      <c r="A333" s="259"/>
      <c r="B333" s="174" t="str">
        <f>TB!B370</f>
        <v>BV035</v>
      </c>
      <c r="C333" s="282" t="str">
        <f>TB!C370</f>
        <v>Balian Water</v>
      </c>
      <c r="D333" s="257">
        <f>SUMIF(GL!$D$5:$D$6446,B333,GL!$G$5:$G$6446)</f>
        <v>0</v>
      </c>
      <c r="E333" s="258">
        <f>SUMIF(GL!$D$6:$D$6484,B333,GL!$H$6:$H$6484)</f>
        <v>0</v>
      </c>
      <c r="F333" s="258">
        <f>SUMIF(GL!$D$6:$D$6484,B333,GL!$I$6:$I$6484)</f>
        <v>0</v>
      </c>
      <c r="G333" s="258">
        <f t="shared" si="88"/>
        <v>0</v>
      </c>
      <c r="H333" s="258">
        <f t="shared" si="89"/>
        <v>0</v>
      </c>
      <c r="I333" s="250"/>
      <c r="J333" s="251"/>
      <c r="K333" s="252"/>
      <c r="L333" s="253"/>
      <c r="M333" s="128"/>
      <c r="N333" s="128">
        <f t="shared" si="84"/>
        <v>0</v>
      </c>
      <c r="O333" s="254"/>
      <c r="P333" s="128">
        <f t="shared" si="85"/>
        <v>0</v>
      </c>
      <c r="Q333" s="18">
        <f t="shared" si="86"/>
        <v>0</v>
      </c>
      <c r="R333" s="255">
        <f t="shared" si="87"/>
        <v>0</v>
      </c>
      <c r="S333" s="1"/>
      <c r="T333" s="1">
        <f t="shared" si="92"/>
        <v>0</v>
      </c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1"/>
      <c r="AG333" s="1"/>
      <c r="AH333" s="1"/>
      <c r="AI333" s="1"/>
      <c r="AJ333" s="1"/>
    </row>
    <row r="334" spans="1:36" ht="13.5" customHeight="1">
      <c r="A334" s="259"/>
      <c r="B334" s="174" t="str">
        <f>TB!B371</f>
        <v>BV036</v>
      </c>
      <c r="C334" s="282" t="str">
        <f>TB!C371</f>
        <v>Balian Big Glass</v>
      </c>
      <c r="D334" s="257">
        <f>SUMIF(GL!$D$5:$D$6446,B334,GL!$G$5:$G$6446)</f>
        <v>0</v>
      </c>
      <c r="E334" s="258">
        <f>SUMIF(GL!$D$6:$D$6484,B334,GL!$H$6:$H$6484)</f>
        <v>0</v>
      </c>
      <c r="F334" s="258">
        <f>SUMIF(GL!$D$6:$D$6484,B334,GL!$I$6:$I$6484)</f>
        <v>0</v>
      </c>
      <c r="G334" s="258">
        <f t="shared" si="88"/>
        <v>0</v>
      </c>
      <c r="H334" s="258">
        <f t="shared" si="89"/>
        <v>0</v>
      </c>
      <c r="I334" s="250"/>
      <c r="J334" s="251"/>
      <c r="K334" s="252"/>
      <c r="L334" s="253"/>
      <c r="M334" s="128"/>
      <c r="N334" s="128">
        <f t="shared" si="84"/>
        <v>0</v>
      </c>
      <c r="O334" s="254"/>
      <c r="P334" s="128">
        <f t="shared" si="85"/>
        <v>0</v>
      </c>
      <c r="Q334" s="18">
        <f t="shared" si="86"/>
        <v>0</v>
      </c>
      <c r="R334" s="255">
        <f t="shared" si="87"/>
        <v>0</v>
      </c>
      <c r="S334" s="1"/>
      <c r="T334" s="1">
        <f t="shared" si="92"/>
        <v>0</v>
      </c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1"/>
      <c r="AG334" s="1"/>
      <c r="AH334" s="1"/>
      <c r="AI334" s="1"/>
      <c r="AJ334" s="1"/>
    </row>
    <row r="335" spans="1:36" ht="13.5" customHeight="1">
      <c r="A335" s="259"/>
      <c r="B335" s="174" t="str">
        <f>TB!B372</f>
        <v>BV037</v>
      </c>
      <c r="C335" s="282" t="str">
        <f>TB!C372</f>
        <v>Island Brewing Pale Ale</v>
      </c>
      <c r="D335" s="257">
        <f>SUMIF(GL!$D$5:$D$6446,B335,GL!$G$5:$G$6446)</f>
        <v>0</v>
      </c>
      <c r="E335" s="258">
        <f>SUMIF(GL!$D$6:$D$6484,B335,GL!$H$6:$H$6484)</f>
        <v>0</v>
      </c>
      <c r="F335" s="258">
        <f>SUMIF(GL!$D$6:$D$6484,B335,GL!$I$6:$I$6484)</f>
        <v>0</v>
      </c>
      <c r="G335" s="258">
        <f t="shared" si="88"/>
        <v>0</v>
      </c>
      <c r="H335" s="258">
        <f t="shared" si="89"/>
        <v>0</v>
      </c>
      <c r="I335" s="250">
        <v>28</v>
      </c>
      <c r="J335" s="251">
        <v>44672</v>
      </c>
      <c r="K335" s="252">
        <v>1250816</v>
      </c>
      <c r="L335" s="253">
        <f>D335+I335</f>
        <v>28</v>
      </c>
      <c r="M335" s="128">
        <f>(G335+K335)/L335</f>
        <v>44672</v>
      </c>
      <c r="N335" s="128">
        <f t="shared" si="84"/>
        <v>1250816</v>
      </c>
      <c r="O335" s="254">
        <v>16</v>
      </c>
      <c r="P335" s="128">
        <f t="shared" si="85"/>
        <v>44672</v>
      </c>
      <c r="Q335" s="18">
        <f t="shared" si="86"/>
        <v>714752</v>
      </c>
      <c r="R335" s="255">
        <f t="shared" si="87"/>
        <v>536064</v>
      </c>
      <c r="S335" s="1"/>
      <c r="T335" s="1">
        <f t="shared" si="92"/>
        <v>0</v>
      </c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1"/>
      <c r="AG335" s="1"/>
      <c r="AH335" s="1"/>
      <c r="AI335" s="1"/>
      <c r="AJ335" s="1"/>
    </row>
    <row r="336" spans="1:36" ht="13.5" customHeight="1">
      <c r="A336" s="259"/>
      <c r="B336" s="174" t="str">
        <f>TB!B373</f>
        <v>BV038</v>
      </c>
      <c r="C336" s="282" t="str">
        <f>TB!C373</f>
        <v>Aqua Reflection Big</v>
      </c>
      <c r="D336" s="257">
        <f>SUMIF(GL!$D$5:$D$6446,B336,GL!$G$5:$G$6446)</f>
        <v>0</v>
      </c>
      <c r="E336" s="258">
        <f>SUMIF(GL!$D$6:$D$6484,B336,GL!$H$6:$H$6484)</f>
        <v>0</v>
      </c>
      <c r="F336" s="258">
        <f>SUMIF(GL!$D$6:$D$6484,B336,GL!$I$6:$I$6484)</f>
        <v>0</v>
      </c>
      <c r="G336" s="258">
        <f t="shared" si="88"/>
        <v>0</v>
      </c>
      <c r="H336" s="258">
        <f t="shared" si="89"/>
        <v>0</v>
      </c>
      <c r="I336" s="250"/>
      <c r="J336" s="251"/>
      <c r="K336" s="252"/>
      <c r="L336" s="253"/>
      <c r="M336" s="128"/>
      <c r="N336" s="128">
        <f t="shared" si="84"/>
        <v>0</v>
      </c>
      <c r="O336" s="254"/>
      <c r="P336" s="128">
        <f t="shared" si="85"/>
        <v>0</v>
      </c>
      <c r="Q336" s="18">
        <f t="shared" si="86"/>
        <v>0</v>
      </c>
      <c r="R336" s="255">
        <f t="shared" si="87"/>
        <v>0</v>
      </c>
      <c r="S336" s="1"/>
      <c r="T336" s="1">
        <f t="shared" si="92"/>
        <v>0</v>
      </c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1"/>
      <c r="AG336" s="1"/>
      <c r="AH336" s="1"/>
      <c r="AI336" s="1"/>
      <c r="AJ336" s="1"/>
    </row>
    <row r="337" spans="1:36" ht="13.5" customHeight="1">
      <c r="A337" s="259"/>
      <c r="B337" s="174" t="str">
        <f>TB!B374</f>
        <v>BV039</v>
      </c>
      <c r="C337" s="282" t="str">
        <f>TB!C374</f>
        <v>Aqua Sparkling Big</v>
      </c>
      <c r="D337" s="257">
        <f>SUMIF(GL!$D$5:$D$6446,B337,GL!$G$5:$G$6446)</f>
        <v>0</v>
      </c>
      <c r="E337" s="258">
        <f>SUMIF(GL!$D$6:$D$6484,B337,GL!$H$6:$H$6484)</f>
        <v>0</v>
      </c>
      <c r="F337" s="258">
        <f>SUMIF(GL!$D$6:$D$6484,B337,GL!$I$6:$I$6484)</f>
        <v>0</v>
      </c>
      <c r="G337" s="258">
        <f t="shared" si="88"/>
        <v>0</v>
      </c>
      <c r="H337" s="258">
        <f t="shared" si="89"/>
        <v>0</v>
      </c>
      <c r="I337" s="250"/>
      <c r="J337" s="251"/>
      <c r="K337" s="252"/>
      <c r="L337" s="253"/>
      <c r="M337" s="128"/>
      <c r="N337" s="128">
        <f t="shared" si="84"/>
        <v>0</v>
      </c>
      <c r="O337" s="254"/>
      <c r="P337" s="128">
        <f t="shared" si="85"/>
        <v>0</v>
      </c>
      <c r="Q337" s="18">
        <f t="shared" si="86"/>
        <v>0</v>
      </c>
      <c r="R337" s="255">
        <f t="shared" si="87"/>
        <v>0</v>
      </c>
      <c r="S337" s="1"/>
      <c r="T337" s="1">
        <f t="shared" si="92"/>
        <v>0</v>
      </c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1"/>
      <c r="AG337" s="1"/>
      <c r="AH337" s="1"/>
      <c r="AI337" s="1"/>
      <c r="AJ337" s="1"/>
    </row>
    <row r="338" spans="1:36" ht="13.5" customHeight="1">
      <c r="A338" s="259"/>
      <c r="B338" s="174" t="str">
        <f>TB!B375</f>
        <v>BV040</v>
      </c>
      <c r="C338" s="282" t="str">
        <f>TB!C375</f>
        <v>Aqua Reflection Natural</v>
      </c>
      <c r="D338" s="257">
        <f>SUMIF(GL!$D$5:$D$6446,B338,GL!$G$5:$G$6446)</f>
        <v>0</v>
      </c>
      <c r="E338" s="258">
        <f>SUMIF(GL!$D$6:$D$6484,B338,GL!$H$6:$H$6484)</f>
        <v>0</v>
      </c>
      <c r="F338" s="258">
        <f>SUMIF(GL!$D$6:$D$6484,B338,GL!$I$6:$I$6484)</f>
        <v>0</v>
      </c>
      <c r="G338" s="258">
        <f t="shared" si="88"/>
        <v>0</v>
      </c>
      <c r="H338" s="258">
        <f t="shared" si="89"/>
        <v>0</v>
      </c>
      <c r="I338" s="250"/>
      <c r="J338" s="251"/>
      <c r="K338" s="252"/>
      <c r="L338" s="253"/>
      <c r="M338" s="128"/>
      <c r="N338" s="128">
        <f t="shared" si="84"/>
        <v>0</v>
      </c>
      <c r="O338" s="254"/>
      <c r="P338" s="128">
        <f t="shared" si="85"/>
        <v>0</v>
      </c>
      <c r="Q338" s="18">
        <f t="shared" si="86"/>
        <v>0</v>
      </c>
      <c r="R338" s="255">
        <f t="shared" si="87"/>
        <v>0</v>
      </c>
      <c r="S338" s="1"/>
      <c r="T338" s="1">
        <f t="shared" si="92"/>
        <v>0</v>
      </c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1"/>
      <c r="AG338" s="1"/>
      <c r="AH338" s="1"/>
      <c r="AI338" s="1"/>
      <c r="AJ338" s="1"/>
    </row>
    <row r="339" spans="1:36" ht="13.5" customHeight="1">
      <c r="A339" s="259"/>
      <c r="B339" s="174" t="str">
        <f>TB!B376</f>
        <v>BV041</v>
      </c>
      <c r="C339" s="282" t="str">
        <f>TB!C376</f>
        <v>Aqua Reflection Sparkling</v>
      </c>
      <c r="D339" s="257">
        <f>SUMIF(GL!$D$5:$D$6446,B339,GL!$G$5:$G$6446)</f>
        <v>0</v>
      </c>
      <c r="E339" s="258">
        <f>SUMIF(GL!$D$6:$D$6484,B339,GL!$H$6:$H$6484)</f>
        <v>0</v>
      </c>
      <c r="F339" s="258">
        <f>SUMIF(GL!$D$6:$D$6484,B339,GL!$I$6:$I$6484)</f>
        <v>0</v>
      </c>
      <c r="G339" s="258">
        <f t="shared" si="88"/>
        <v>0</v>
      </c>
      <c r="H339" s="258">
        <f t="shared" si="89"/>
        <v>0</v>
      </c>
      <c r="I339" s="250"/>
      <c r="J339" s="251"/>
      <c r="K339" s="252"/>
      <c r="L339" s="253"/>
      <c r="M339" s="128"/>
      <c r="N339" s="128">
        <f t="shared" si="84"/>
        <v>0</v>
      </c>
      <c r="O339" s="254"/>
      <c r="P339" s="128">
        <f t="shared" si="85"/>
        <v>0</v>
      </c>
      <c r="Q339" s="18">
        <f t="shared" si="86"/>
        <v>0</v>
      </c>
      <c r="R339" s="255">
        <f t="shared" si="87"/>
        <v>0</v>
      </c>
      <c r="S339" s="1"/>
      <c r="T339" s="1">
        <f t="shared" si="92"/>
        <v>0</v>
      </c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1"/>
      <c r="AG339" s="1"/>
      <c r="AH339" s="1"/>
      <c r="AI339" s="1"/>
      <c r="AJ339" s="1"/>
    </row>
    <row r="340" spans="1:36" ht="13.5" customHeight="1">
      <c r="A340" s="259"/>
      <c r="B340" s="174" t="str">
        <f>TB!B377</f>
        <v>BV042</v>
      </c>
      <c r="C340" s="282" t="str">
        <f>TB!C377</f>
        <v>Monin Pure Strawberry</v>
      </c>
      <c r="D340" s="257">
        <f>SUMIF(GL!$D$5:$D$6446,B340,GL!$G$5:$G$6446)</f>
        <v>2</v>
      </c>
      <c r="E340" s="258">
        <f>SUMIF(GL!$D$6:$D$6484,B340,GL!$H$6:$H$6484)</f>
        <v>608772</v>
      </c>
      <c r="F340" s="258">
        <f>SUMIF(GL!$D$6:$D$6484,B340,GL!$I$6:$I$6484)</f>
        <v>0</v>
      </c>
      <c r="G340" s="258">
        <f t="shared" si="88"/>
        <v>608772</v>
      </c>
      <c r="H340" s="258">
        <f t="shared" si="89"/>
        <v>0</v>
      </c>
      <c r="I340" s="250">
        <v>0.3</v>
      </c>
      <c r="J340" s="251">
        <v>284700</v>
      </c>
      <c r="K340" s="252">
        <v>85410</v>
      </c>
      <c r="L340" s="253">
        <f t="shared" ref="L340:L343" si="97">D340+I340</f>
        <v>2.2999999999999998</v>
      </c>
      <c r="M340" s="128">
        <f t="shared" ref="M340:M343" si="98">(G340+K340)/L340</f>
        <v>301818.26086956525</v>
      </c>
      <c r="N340" s="128">
        <f t="shared" si="84"/>
        <v>694182</v>
      </c>
      <c r="O340" s="254">
        <v>1.9</v>
      </c>
      <c r="P340" s="128">
        <f t="shared" si="85"/>
        <v>301818.26086956525</v>
      </c>
      <c r="Q340" s="18">
        <f t="shared" si="86"/>
        <v>573454.69565217395</v>
      </c>
      <c r="R340" s="255">
        <f t="shared" si="87"/>
        <v>120727.30434782605</v>
      </c>
      <c r="S340" s="1"/>
      <c r="T340" s="1">
        <f t="shared" si="92"/>
        <v>-17118.260869565245</v>
      </c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1"/>
      <c r="AG340" s="1"/>
      <c r="AH340" s="1"/>
      <c r="AI340" s="1"/>
      <c r="AJ340" s="1"/>
    </row>
    <row r="341" spans="1:36" ht="13.5" customHeight="1">
      <c r="A341" s="259"/>
      <c r="B341" s="174" t="str">
        <f>TB!B378</f>
        <v>BV043</v>
      </c>
      <c r="C341" s="282" t="str">
        <f>TB!C378</f>
        <v>Monin Pure Mango</v>
      </c>
      <c r="D341" s="257">
        <f>SUMIF(GL!$D$5:$D$6446,B341,GL!$G$5:$G$6446)</f>
        <v>0</v>
      </c>
      <c r="E341" s="258">
        <f>SUMIF(GL!$D$6:$D$6484,B341,GL!$H$6:$H$6484)</f>
        <v>0</v>
      </c>
      <c r="F341" s="258">
        <f>SUMIF(GL!$D$6:$D$6484,B341,GL!$I$6:$I$6484)</f>
        <v>0</v>
      </c>
      <c r="G341" s="258">
        <f t="shared" si="88"/>
        <v>0</v>
      </c>
      <c r="H341" s="258">
        <f t="shared" si="89"/>
        <v>0</v>
      </c>
      <c r="I341" s="250">
        <v>1.7</v>
      </c>
      <c r="J341" s="251">
        <v>284529</v>
      </c>
      <c r="K341" s="252">
        <v>483699</v>
      </c>
      <c r="L341" s="253">
        <f t="shared" si="97"/>
        <v>1.7</v>
      </c>
      <c r="M341" s="128">
        <f t="shared" si="98"/>
        <v>284528.82352941175</v>
      </c>
      <c r="N341" s="128">
        <f t="shared" si="84"/>
        <v>483699</v>
      </c>
      <c r="O341" s="254">
        <v>1.6</v>
      </c>
      <c r="P341" s="128">
        <f t="shared" si="85"/>
        <v>284528.82352941175</v>
      </c>
      <c r="Q341" s="18">
        <f t="shared" si="86"/>
        <v>455246.1176470588</v>
      </c>
      <c r="R341" s="255">
        <f t="shared" si="87"/>
        <v>28452.882352941204</v>
      </c>
      <c r="S341" s="1"/>
      <c r="T341" s="1">
        <f t="shared" si="92"/>
        <v>0.17647058825241402</v>
      </c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1"/>
      <c r="AG341" s="1"/>
      <c r="AH341" s="1"/>
      <c r="AI341" s="1"/>
      <c r="AJ341" s="1"/>
    </row>
    <row r="342" spans="1:36" ht="13.5" customHeight="1">
      <c r="A342" s="259"/>
      <c r="B342" s="174" t="str">
        <f>TB!B379</f>
        <v>BV044</v>
      </c>
      <c r="C342" s="282" t="str">
        <f>TB!C379</f>
        <v>Monin Pure Passion Fruit</v>
      </c>
      <c r="D342" s="257">
        <f>SUMIF(GL!$D$5:$D$6446,B342,GL!$G$5:$G$6446)</f>
        <v>0</v>
      </c>
      <c r="E342" s="258">
        <f>SUMIF(GL!$D$6:$D$6484,B342,GL!$H$6:$H$6484)</f>
        <v>0</v>
      </c>
      <c r="F342" s="258">
        <f>SUMIF(GL!$D$6:$D$6484,B342,GL!$I$6:$I$6484)</f>
        <v>0</v>
      </c>
      <c r="G342" s="258">
        <f t="shared" si="88"/>
        <v>0</v>
      </c>
      <c r="H342" s="258">
        <f t="shared" si="89"/>
        <v>0</v>
      </c>
      <c r="I342" s="250">
        <v>2.2000000000000002</v>
      </c>
      <c r="J342" s="251">
        <v>284750</v>
      </c>
      <c r="K342" s="252">
        <v>626450</v>
      </c>
      <c r="L342" s="253">
        <f t="shared" si="97"/>
        <v>2.2000000000000002</v>
      </c>
      <c r="M342" s="128">
        <f t="shared" si="98"/>
        <v>284750</v>
      </c>
      <c r="N342" s="128">
        <f t="shared" si="84"/>
        <v>626450</v>
      </c>
      <c r="O342" s="254">
        <v>2.6</v>
      </c>
      <c r="P342" s="128">
        <f t="shared" si="85"/>
        <v>284750</v>
      </c>
      <c r="Q342" s="18">
        <f t="shared" si="86"/>
        <v>740350</v>
      </c>
      <c r="R342" s="255">
        <f t="shared" si="87"/>
        <v>-113900</v>
      </c>
      <c r="S342" s="1"/>
      <c r="T342" s="1">
        <f t="shared" si="92"/>
        <v>0</v>
      </c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1"/>
      <c r="AG342" s="1"/>
      <c r="AH342" s="1"/>
      <c r="AI342" s="1"/>
      <c r="AJ342" s="1"/>
    </row>
    <row r="343" spans="1:36" ht="13.5" customHeight="1">
      <c r="A343" s="259"/>
      <c r="B343" s="174" t="str">
        <f>TB!B380</f>
        <v>BV045</v>
      </c>
      <c r="C343" s="282" t="str">
        <f>TB!C380</f>
        <v>Monin Mint Mojito</v>
      </c>
      <c r="D343" s="257">
        <f>SUMIF(GL!$D$5:$D$6446,B343,GL!$G$5:$G$6446)</f>
        <v>0</v>
      </c>
      <c r="E343" s="258">
        <f>SUMIF(GL!$D$6:$D$6484,B343,GL!$H$6:$H$6484)</f>
        <v>0</v>
      </c>
      <c r="F343" s="258">
        <f>SUMIF(GL!$D$6:$D$6484,B343,GL!$I$6:$I$6484)</f>
        <v>0</v>
      </c>
      <c r="G343" s="258">
        <f t="shared" si="88"/>
        <v>0</v>
      </c>
      <c r="H343" s="258">
        <f t="shared" si="89"/>
        <v>0</v>
      </c>
      <c r="I343" s="250">
        <v>4.3</v>
      </c>
      <c r="J343" s="251">
        <v>185896</v>
      </c>
      <c r="K343" s="252">
        <v>799353</v>
      </c>
      <c r="L343" s="253">
        <f t="shared" si="97"/>
        <v>4.3</v>
      </c>
      <c r="M343" s="128">
        <f t="shared" si="98"/>
        <v>185896.04651162791</v>
      </c>
      <c r="N343" s="128">
        <f t="shared" si="84"/>
        <v>799353</v>
      </c>
      <c r="O343" s="254">
        <v>5.3</v>
      </c>
      <c r="P343" s="128">
        <f t="shared" si="85"/>
        <v>185896.04651162791</v>
      </c>
      <c r="Q343" s="18">
        <f t="shared" si="86"/>
        <v>985249.04651162785</v>
      </c>
      <c r="R343" s="255">
        <f t="shared" si="87"/>
        <v>-185896.04651162785</v>
      </c>
      <c r="S343" s="1"/>
      <c r="T343" s="1">
        <f t="shared" si="92"/>
        <v>-4.6511627908330411E-2</v>
      </c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1"/>
      <c r="AG343" s="1"/>
      <c r="AH343" s="1"/>
      <c r="AI343" s="1"/>
      <c r="AJ343" s="1"/>
    </row>
    <row r="344" spans="1:36" ht="13.5" customHeight="1">
      <c r="A344" s="259"/>
      <c r="B344" s="174" t="str">
        <f>TB!B381</f>
        <v>BV046</v>
      </c>
      <c r="C344" s="282" t="str">
        <f>TB!C381</f>
        <v>Monin Green Apple</v>
      </c>
      <c r="D344" s="257">
        <f>SUMIF(GL!$D$5:$D$6446,B344,GL!$G$5:$G$6446)</f>
        <v>0</v>
      </c>
      <c r="E344" s="258">
        <f>SUMIF(GL!$D$6:$D$6484,B344,GL!$H$6:$H$6484)</f>
        <v>0</v>
      </c>
      <c r="F344" s="258">
        <f>SUMIF(GL!$D$6:$D$6484,B344,GL!$I$6:$I$6484)</f>
        <v>0</v>
      </c>
      <c r="G344" s="258">
        <f t="shared" si="88"/>
        <v>0</v>
      </c>
      <c r="H344" s="258">
        <f t="shared" si="89"/>
        <v>0</v>
      </c>
      <c r="I344" s="250"/>
      <c r="J344" s="251"/>
      <c r="K344" s="252"/>
      <c r="L344" s="253"/>
      <c r="M344" s="128"/>
      <c r="N344" s="128">
        <f t="shared" si="84"/>
        <v>0</v>
      </c>
      <c r="O344" s="254"/>
      <c r="P344" s="128">
        <f t="shared" si="85"/>
        <v>0</v>
      </c>
      <c r="Q344" s="18">
        <f t="shared" si="86"/>
        <v>0</v>
      </c>
      <c r="R344" s="255">
        <f t="shared" si="87"/>
        <v>0</v>
      </c>
      <c r="S344" s="1"/>
      <c r="T344" s="1">
        <f t="shared" si="92"/>
        <v>0</v>
      </c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4"/>
      <c r="AG344" s="4"/>
      <c r="AH344" s="4"/>
      <c r="AI344" s="4"/>
      <c r="AJ344" s="4"/>
    </row>
    <row r="345" spans="1:36" ht="13.5" customHeight="1">
      <c r="A345" s="259"/>
      <c r="B345" s="174" t="str">
        <f>TB!B382</f>
        <v>BV047</v>
      </c>
      <c r="C345" s="282" t="str">
        <f>TB!C382</f>
        <v>Monin Hazelnut</v>
      </c>
      <c r="D345" s="257">
        <f>SUMIF(GL!$D$5:$D$6446,B345,GL!$G$5:$G$6446)</f>
        <v>0</v>
      </c>
      <c r="E345" s="258">
        <f>SUMIF(GL!$D$6:$D$6484,B345,GL!$H$6:$H$6484)</f>
        <v>0</v>
      </c>
      <c r="F345" s="258">
        <f>SUMIF(GL!$D$6:$D$6484,B345,GL!$I$6:$I$6484)</f>
        <v>0</v>
      </c>
      <c r="G345" s="258">
        <f t="shared" si="88"/>
        <v>0</v>
      </c>
      <c r="H345" s="258">
        <f t="shared" si="89"/>
        <v>0</v>
      </c>
      <c r="I345" s="250">
        <v>1.4</v>
      </c>
      <c r="J345" s="251">
        <v>141433</v>
      </c>
      <c r="K345" s="252">
        <v>198006</v>
      </c>
      <c r="L345" s="253">
        <f t="shared" ref="L345:L347" si="99">D345+I345</f>
        <v>1.4</v>
      </c>
      <c r="M345" s="128">
        <f t="shared" ref="M345:M347" si="100">(G345+K345)/L345</f>
        <v>141432.85714285716</v>
      </c>
      <c r="N345" s="128">
        <f t="shared" si="84"/>
        <v>198006</v>
      </c>
      <c r="O345" s="254">
        <v>1.2</v>
      </c>
      <c r="P345" s="128">
        <f t="shared" si="85"/>
        <v>141432.85714285716</v>
      </c>
      <c r="Q345" s="18">
        <f t="shared" si="86"/>
        <v>169719.42857142858</v>
      </c>
      <c r="R345" s="255">
        <f t="shared" si="87"/>
        <v>28286.57142857142</v>
      </c>
      <c r="S345" s="1"/>
      <c r="T345" s="1">
        <f t="shared" si="92"/>
        <v>0.1428571428405121</v>
      </c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4"/>
      <c r="AG345" s="4"/>
      <c r="AH345" s="4"/>
      <c r="AI345" s="4"/>
      <c r="AJ345" s="4"/>
    </row>
    <row r="346" spans="1:36" ht="13.5" customHeight="1">
      <c r="A346" s="259"/>
      <c r="B346" s="174" t="str">
        <f>TB!B383</f>
        <v>BV048</v>
      </c>
      <c r="C346" s="282" t="str">
        <f>TB!C383</f>
        <v>Monin Peach</v>
      </c>
      <c r="D346" s="257">
        <f>SUMIF(GL!$D$5:$D$6446,B346,GL!$G$5:$G$6446)</f>
        <v>0</v>
      </c>
      <c r="E346" s="258">
        <f>SUMIF(GL!$D$6:$D$6484,B346,GL!$H$6:$H$6484)</f>
        <v>0</v>
      </c>
      <c r="F346" s="258">
        <f>SUMIF(GL!$D$6:$D$6484,B346,GL!$I$6:$I$6484)</f>
        <v>0</v>
      </c>
      <c r="G346" s="258">
        <f t="shared" si="88"/>
        <v>0</v>
      </c>
      <c r="H346" s="258">
        <f t="shared" si="89"/>
        <v>0</v>
      </c>
      <c r="I346" s="250">
        <v>1.7</v>
      </c>
      <c r="J346" s="251" t="s">
        <v>3828</v>
      </c>
      <c r="K346" s="252"/>
      <c r="L346" s="253">
        <f t="shared" si="99"/>
        <v>1.7</v>
      </c>
      <c r="M346" s="128">
        <f t="shared" si="100"/>
        <v>0</v>
      </c>
      <c r="N346" s="128">
        <f t="shared" si="84"/>
        <v>0</v>
      </c>
      <c r="O346" s="254">
        <v>1.4</v>
      </c>
      <c r="P346" s="128">
        <f t="shared" si="85"/>
        <v>0</v>
      </c>
      <c r="Q346" s="18">
        <f t="shared" si="86"/>
        <v>0</v>
      </c>
      <c r="R346" s="255">
        <f t="shared" si="87"/>
        <v>0</v>
      </c>
      <c r="S346" s="1"/>
      <c r="T346" s="1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1"/>
      <c r="AG346" s="1"/>
      <c r="AH346" s="1"/>
      <c r="AI346" s="1"/>
      <c r="AJ346" s="1"/>
    </row>
    <row r="347" spans="1:36" ht="13.5" customHeight="1">
      <c r="A347" s="259"/>
      <c r="B347" s="174" t="str">
        <f>TB!B384</f>
        <v>BV049</v>
      </c>
      <c r="C347" s="282" t="str">
        <f>TB!C384</f>
        <v>Coffee Beans</v>
      </c>
      <c r="D347" s="257">
        <f>SUMIF(GL!$D$5:$D$6446,B347,GL!$G$5:$G$6446)</f>
        <v>2</v>
      </c>
      <c r="E347" s="258">
        <f>SUMIF(GL!$D$6:$D$6484,B347,GL!$H$6:$H$6484)</f>
        <v>500000</v>
      </c>
      <c r="F347" s="258">
        <f>SUMIF(GL!$D$6:$D$6484,B347,GL!$I$6:$I$6484)</f>
        <v>0</v>
      </c>
      <c r="G347" s="258">
        <f t="shared" si="88"/>
        <v>500000</v>
      </c>
      <c r="H347" s="258">
        <f t="shared" si="89"/>
        <v>0</v>
      </c>
      <c r="I347" s="250">
        <v>1.2</v>
      </c>
      <c r="J347" s="251">
        <v>232819</v>
      </c>
      <c r="K347" s="252">
        <v>279383</v>
      </c>
      <c r="L347" s="253">
        <f t="shared" si="99"/>
        <v>3.2</v>
      </c>
      <c r="M347" s="128">
        <f t="shared" si="100"/>
        <v>243557.1875</v>
      </c>
      <c r="N347" s="128">
        <f t="shared" si="84"/>
        <v>779383</v>
      </c>
      <c r="O347" s="254">
        <v>1.5</v>
      </c>
      <c r="P347" s="128">
        <f t="shared" si="85"/>
        <v>243557.1875</v>
      </c>
      <c r="Q347" s="18">
        <f t="shared" si="86"/>
        <v>365335.78125</v>
      </c>
      <c r="R347" s="255">
        <f t="shared" si="87"/>
        <v>414047.21875</v>
      </c>
      <c r="S347" s="1"/>
      <c r="T347" s="1">
        <f t="shared" ref="T347:T348" si="101">J347-M347</f>
        <v>-10738.1875</v>
      </c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1"/>
      <c r="AG347" s="1"/>
      <c r="AH347" s="1"/>
      <c r="AI347" s="1"/>
      <c r="AJ347" s="1"/>
    </row>
    <row r="348" spans="1:36" ht="13.5" customHeight="1">
      <c r="A348" s="259"/>
      <c r="B348" s="174" t="str">
        <f>TB!B385</f>
        <v>BV050</v>
      </c>
      <c r="C348" s="282" t="str">
        <f>TB!C385</f>
        <v>Grape Juice</v>
      </c>
      <c r="D348" s="257">
        <f>SUMIF(GL!$D$5:$D$6446,B348,GL!$G$5:$G$6446)</f>
        <v>0</v>
      </c>
      <c r="E348" s="258">
        <f>SUMIF(GL!$D$6:$D$6484,B348,GL!$H$6:$H$6484)</f>
        <v>0</v>
      </c>
      <c r="F348" s="258">
        <f>SUMIF(GL!$D$6:$D$6484,B348,GL!$I$6:$I$6484)</f>
        <v>0</v>
      </c>
      <c r="G348" s="258">
        <f t="shared" si="88"/>
        <v>0</v>
      </c>
      <c r="H348" s="258">
        <f t="shared" si="89"/>
        <v>0</v>
      </c>
      <c r="I348" s="250"/>
      <c r="J348" s="251"/>
      <c r="K348" s="252"/>
      <c r="L348" s="253"/>
      <c r="M348" s="128"/>
      <c r="N348" s="128">
        <f t="shared" si="84"/>
        <v>0</v>
      </c>
      <c r="O348" s="254"/>
      <c r="P348" s="128">
        <f t="shared" si="85"/>
        <v>0</v>
      </c>
      <c r="Q348" s="18">
        <f t="shared" si="86"/>
        <v>0</v>
      </c>
      <c r="R348" s="255">
        <f t="shared" si="87"/>
        <v>0</v>
      </c>
      <c r="S348" s="1"/>
      <c r="T348" s="1">
        <f t="shared" si="101"/>
        <v>0</v>
      </c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1"/>
      <c r="AG348" s="1"/>
      <c r="AH348" s="1"/>
      <c r="AI348" s="1"/>
      <c r="AJ348" s="1"/>
    </row>
    <row r="349" spans="1:36" ht="13.5" customHeight="1">
      <c r="A349" s="259"/>
      <c r="B349" s="174" t="str">
        <f>TB!B386</f>
        <v>BV051</v>
      </c>
      <c r="C349" s="282" t="str">
        <f>TB!C386</f>
        <v>Ice Kristal</v>
      </c>
      <c r="D349" s="257">
        <f>SUMIF(GL!$D$5:$D$6446,B349,GL!$G$5:$G$6446)</f>
        <v>0</v>
      </c>
      <c r="E349" s="258">
        <f>SUMIF(GL!$D$6:$D$6484,B349,GL!$H$6:$H$6484)</f>
        <v>0</v>
      </c>
      <c r="F349" s="258">
        <f>SUMIF(GL!$D$6:$D$6484,B349,GL!$I$6:$I$6484)</f>
        <v>0</v>
      </c>
      <c r="G349" s="258">
        <f t="shared" si="88"/>
        <v>0</v>
      </c>
      <c r="H349" s="258">
        <f t="shared" si="89"/>
        <v>0</v>
      </c>
      <c r="I349" s="250"/>
      <c r="J349" s="251" t="s">
        <v>3828</v>
      </c>
      <c r="K349" s="252"/>
      <c r="L349" s="253"/>
      <c r="M349" s="128"/>
      <c r="N349" s="128">
        <f t="shared" si="84"/>
        <v>0</v>
      </c>
      <c r="O349" s="254">
        <v>10</v>
      </c>
      <c r="P349" s="128">
        <f t="shared" si="85"/>
        <v>0</v>
      </c>
      <c r="Q349" s="18">
        <f t="shared" si="86"/>
        <v>0</v>
      </c>
      <c r="R349" s="255">
        <f t="shared" si="87"/>
        <v>0</v>
      </c>
      <c r="S349" s="1"/>
      <c r="T349" s="1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1"/>
      <c r="AG349" s="1"/>
      <c r="AH349" s="1"/>
      <c r="AI349" s="1"/>
      <c r="AJ349" s="1"/>
    </row>
    <row r="350" spans="1:36" ht="13.5" customHeight="1">
      <c r="A350" s="259"/>
      <c r="B350" s="174" t="str">
        <f>TB!B387</f>
        <v>BV052</v>
      </c>
      <c r="C350" s="282" t="str">
        <f>TB!C387</f>
        <v>Ice Cube</v>
      </c>
      <c r="D350" s="257">
        <f>SUMIF(GL!$D$5:$D$6446,B350,GL!$G$5:$G$6446)</f>
        <v>673</v>
      </c>
      <c r="E350" s="258">
        <f>SUMIF(GL!$D$6:$D$6484,B350,GL!$H$6:$H$6484)</f>
        <v>5532000</v>
      </c>
      <c r="F350" s="258">
        <f>SUMIF(GL!$D$6:$D$6484,B350,GL!$I$6:$I$6484)</f>
        <v>0</v>
      </c>
      <c r="G350" s="258">
        <f t="shared" si="88"/>
        <v>5532000</v>
      </c>
      <c r="H350" s="258">
        <f t="shared" si="89"/>
        <v>0</v>
      </c>
      <c r="I350" s="250">
        <v>30</v>
      </c>
      <c r="J350" s="251">
        <v>9871</v>
      </c>
      <c r="K350" s="252">
        <v>296138</v>
      </c>
      <c r="L350" s="253">
        <f t="shared" ref="L350:L353" si="102">D350+I350</f>
        <v>703</v>
      </c>
      <c r="M350" s="128">
        <f t="shared" ref="M350:M353" si="103">(G350+K350)/L350</f>
        <v>8290.3812233285917</v>
      </c>
      <c r="N350" s="128">
        <f t="shared" si="84"/>
        <v>5828138</v>
      </c>
      <c r="O350" s="254">
        <v>45</v>
      </c>
      <c r="P350" s="128">
        <f t="shared" si="85"/>
        <v>8290.3812233285917</v>
      </c>
      <c r="Q350" s="18">
        <f t="shared" si="86"/>
        <v>373067.15504978661</v>
      </c>
      <c r="R350" s="255">
        <f t="shared" si="87"/>
        <v>5455070.8449502131</v>
      </c>
      <c r="S350" s="1"/>
      <c r="T350" s="1">
        <f t="shared" ref="T350:T394" si="104">J350-M350</f>
        <v>1580.6187766714083</v>
      </c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1"/>
      <c r="AG350" s="1"/>
      <c r="AH350" s="1"/>
      <c r="AI350" s="1"/>
      <c r="AJ350" s="1"/>
    </row>
    <row r="351" spans="1:36" ht="13.5" customHeight="1">
      <c r="A351" s="259"/>
      <c r="B351" s="174" t="str">
        <f>TB!B388</f>
        <v>BV053</v>
      </c>
      <c r="C351" s="282" t="str">
        <f>TB!C388</f>
        <v>Lemon Fruit</v>
      </c>
      <c r="D351" s="257">
        <f>SUMIF(GL!$D$5:$D$6446,B351,GL!$G$5:$G$6446)</f>
        <v>3.4</v>
      </c>
      <c r="E351" s="258">
        <f>SUMIF(GL!$D$6:$D$6484,B351,GL!$H$6:$H$6484)</f>
        <v>182000</v>
      </c>
      <c r="F351" s="258">
        <f>SUMIF(GL!$D$6:$D$6484,B351,GL!$I$6:$I$6484)</f>
        <v>0</v>
      </c>
      <c r="G351" s="258">
        <f t="shared" si="88"/>
        <v>182000</v>
      </c>
      <c r="H351" s="258">
        <f t="shared" si="89"/>
        <v>0</v>
      </c>
      <c r="I351" s="250"/>
      <c r="J351" s="251">
        <v>50698</v>
      </c>
      <c r="K351" s="252"/>
      <c r="L351" s="253">
        <f t="shared" si="102"/>
        <v>3.4</v>
      </c>
      <c r="M351" s="128">
        <f t="shared" si="103"/>
        <v>53529.411764705881</v>
      </c>
      <c r="N351" s="128">
        <f t="shared" si="84"/>
        <v>182000</v>
      </c>
      <c r="O351" s="254"/>
      <c r="P351" s="128">
        <f t="shared" si="85"/>
        <v>53529.411764705881</v>
      </c>
      <c r="Q351" s="18">
        <f t="shared" si="86"/>
        <v>0</v>
      </c>
      <c r="R351" s="255">
        <f t="shared" si="87"/>
        <v>182000</v>
      </c>
      <c r="S351" s="1"/>
      <c r="T351" s="1">
        <f t="shared" si="104"/>
        <v>-2831.4117647058811</v>
      </c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1"/>
      <c r="AG351" s="1"/>
      <c r="AH351" s="1"/>
      <c r="AI351" s="1"/>
      <c r="AJ351" s="1"/>
    </row>
    <row r="352" spans="1:36" ht="13.5" customHeight="1">
      <c r="A352" s="259"/>
      <c r="B352" s="174" t="str">
        <f>TB!B389</f>
        <v>BV054</v>
      </c>
      <c r="C352" s="282" t="str">
        <f>TB!C389</f>
        <v>Pineapple Fruit</v>
      </c>
      <c r="D352" s="257">
        <f>SUMIF(GL!$D$5:$D$6446,B352,GL!$G$5:$G$6446)</f>
        <v>6</v>
      </c>
      <c r="E352" s="258">
        <f>SUMIF(GL!$D$6:$D$6484,B352,GL!$H$6:$H$6484)</f>
        <v>62000</v>
      </c>
      <c r="F352" s="258">
        <f>SUMIF(GL!$D$6:$D$6484,B352,GL!$I$6:$I$6484)</f>
        <v>0</v>
      </c>
      <c r="G352" s="258">
        <f t="shared" si="88"/>
        <v>62000</v>
      </c>
      <c r="H352" s="258">
        <f t="shared" si="89"/>
        <v>0</v>
      </c>
      <c r="I352" s="250"/>
      <c r="J352" s="251">
        <v>8116</v>
      </c>
      <c r="K352" s="252"/>
      <c r="L352" s="253">
        <f t="shared" si="102"/>
        <v>6</v>
      </c>
      <c r="M352" s="128">
        <f t="shared" si="103"/>
        <v>10333.333333333334</v>
      </c>
      <c r="N352" s="128">
        <f t="shared" si="84"/>
        <v>62000</v>
      </c>
      <c r="O352" s="254"/>
      <c r="P352" s="128">
        <f t="shared" si="85"/>
        <v>10333.333333333334</v>
      </c>
      <c r="Q352" s="18">
        <f t="shared" si="86"/>
        <v>0</v>
      </c>
      <c r="R352" s="255">
        <f t="shared" si="87"/>
        <v>62000</v>
      </c>
      <c r="S352" s="1"/>
      <c r="T352" s="1">
        <f t="shared" si="104"/>
        <v>-2217.3333333333339</v>
      </c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1"/>
      <c r="AG352" s="1"/>
      <c r="AH352" s="1"/>
      <c r="AI352" s="1"/>
      <c r="AJ352" s="1"/>
    </row>
    <row r="353" spans="1:36" ht="13.5" customHeight="1">
      <c r="A353" s="259"/>
      <c r="B353" s="174" t="str">
        <f>TB!B390</f>
        <v>BV055</v>
      </c>
      <c r="C353" s="282" t="str">
        <f>TB!C390</f>
        <v>Lime Green</v>
      </c>
      <c r="D353" s="257">
        <f>SUMIF(GL!$D$5:$D$6446,B353,GL!$G$5:$G$6446)</f>
        <v>122.294</v>
      </c>
      <c r="E353" s="258">
        <f>SUMIF(GL!$D$6:$D$6484,B353,GL!$H$6:$H$6484)</f>
        <v>2816544</v>
      </c>
      <c r="F353" s="258">
        <f>SUMIF(GL!$D$6:$D$6484,B353,GL!$I$6:$I$6484)</f>
        <v>0</v>
      </c>
      <c r="G353" s="258">
        <f t="shared" si="88"/>
        <v>2816544</v>
      </c>
      <c r="H353" s="258">
        <f t="shared" si="89"/>
        <v>0</v>
      </c>
      <c r="I353" s="250">
        <v>7</v>
      </c>
      <c r="J353" s="251">
        <v>19867</v>
      </c>
      <c r="K353" s="252">
        <v>139067</v>
      </c>
      <c r="L353" s="253">
        <f t="shared" si="102"/>
        <v>129.29399999999998</v>
      </c>
      <c r="M353" s="128">
        <f t="shared" si="103"/>
        <v>22859.614521942243</v>
      </c>
      <c r="N353" s="128">
        <f t="shared" si="84"/>
        <v>2955611</v>
      </c>
      <c r="O353" s="254">
        <v>15</v>
      </c>
      <c r="P353" s="128">
        <f t="shared" si="85"/>
        <v>22859.614521942243</v>
      </c>
      <c r="Q353" s="18">
        <f t="shared" si="86"/>
        <v>342894.21782913367</v>
      </c>
      <c r="R353" s="255">
        <f t="shared" si="87"/>
        <v>2612716.7821708662</v>
      </c>
      <c r="S353" s="1"/>
      <c r="T353" s="1">
        <f t="shared" si="104"/>
        <v>-2992.6145219422433</v>
      </c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1"/>
      <c r="AG353" s="1"/>
      <c r="AH353" s="1"/>
      <c r="AI353" s="1"/>
      <c r="AJ353" s="1"/>
    </row>
    <row r="354" spans="1:36" ht="13.5" customHeight="1">
      <c r="A354" s="259"/>
      <c r="B354" s="174" t="str">
        <f>TB!B391</f>
        <v>BV056</v>
      </c>
      <c r="C354" s="282" t="str">
        <f>TB!C391</f>
        <v>Strawberry</v>
      </c>
      <c r="D354" s="257">
        <f>SUMIF(GL!$D$5:$D$6446,B354,GL!$G$5:$G$6446)</f>
        <v>0</v>
      </c>
      <c r="E354" s="258">
        <f>SUMIF(GL!$D$6:$D$6484,B354,GL!$H$6:$H$6484)</f>
        <v>0</v>
      </c>
      <c r="F354" s="258">
        <f>SUMIF(GL!$D$6:$D$6484,B354,GL!$I$6:$I$6484)</f>
        <v>0</v>
      </c>
      <c r="G354" s="258">
        <f t="shared" si="88"/>
        <v>0</v>
      </c>
      <c r="H354" s="258">
        <f t="shared" si="89"/>
        <v>0</v>
      </c>
      <c r="I354" s="250"/>
      <c r="J354" s="251"/>
      <c r="K354" s="252"/>
      <c r="L354" s="253"/>
      <c r="M354" s="128"/>
      <c r="N354" s="128">
        <f t="shared" si="84"/>
        <v>0</v>
      </c>
      <c r="O354" s="254"/>
      <c r="P354" s="128">
        <f t="shared" si="85"/>
        <v>0</v>
      </c>
      <c r="Q354" s="18">
        <f t="shared" si="86"/>
        <v>0</v>
      </c>
      <c r="R354" s="255">
        <f t="shared" si="87"/>
        <v>0</v>
      </c>
      <c r="S354" s="1"/>
      <c r="T354" s="1">
        <f t="shared" si="104"/>
        <v>0</v>
      </c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1"/>
      <c r="AG354" s="1"/>
      <c r="AH354" s="1"/>
      <c r="AI354" s="1"/>
      <c r="AJ354" s="1"/>
    </row>
    <row r="355" spans="1:36" ht="13.5" customHeight="1">
      <c r="A355" s="259"/>
      <c r="B355" s="174" t="str">
        <f>TB!B392</f>
        <v>BV057</v>
      </c>
      <c r="C355" s="282" t="str">
        <f>TB!C392</f>
        <v>Mint Leave</v>
      </c>
      <c r="D355" s="257">
        <f>SUMIF(GL!$D$5:$D$6446,B355,GL!$G$5:$G$6446)</f>
        <v>0.95</v>
      </c>
      <c r="E355" s="258">
        <f>SUMIF(GL!$D$6:$D$6484,B355,GL!$H$6:$H$6484)</f>
        <v>52250</v>
      </c>
      <c r="F355" s="258">
        <f>SUMIF(GL!$D$6:$D$6484,B355,GL!$I$6:$I$6484)</f>
        <v>0</v>
      </c>
      <c r="G355" s="258">
        <f t="shared" si="88"/>
        <v>52250</v>
      </c>
      <c r="H355" s="258">
        <f t="shared" si="89"/>
        <v>0</v>
      </c>
      <c r="I355" s="250"/>
      <c r="J355" s="251">
        <v>60000</v>
      </c>
      <c r="K355" s="252"/>
      <c r="L355" s="253">
        <f t="shared" ref="L355:L356" si="105">D355+I355</f>
        <v>0.95</v>
      </c>
      <c r="M355" s="128">
        <f t="shared" ref="M355:M356" si="106">(G355+K355)/L355</f>
        <v>55000</v>
      </c>
      <c r="N355" s="128">
        <f t="shared" si="84"/>
        <v>52250</v>
      </c>
      <c r="O355" s="254"/>
      <c r="P355" s="128">
        <f t="shared" si="85"/>
        <v>55000</v>
      </c>
      <c r="Q355" s="18">
        <f t="shared" si="86"/>
        <v>0</v>
      </c>
      <c r="R355" s="255">
        <f t="shared" si="87"/>
        <v>52250</v>
      </c>
      <c r="S355" s="1"/>
      <c r="T355" s="1">
        <f t="shared" si="104"/>
        <v>5000</v>
      </c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1"/>
      <c r="AG355" s="1"/>
      <c r="AH355" s="1"/>
      <c r="AI355" s="1"/>
      <c r="AJ355" s="1"/>
    </row>
    <row r="356" spans="1:36" ht="13.5" customHeight="1">
      <c r="A356" s="259"/>
      <c r="B356" s="174" t="str">
        <f>TB!B393</f>
        <v>BV058</v>
      </c>
      <c r="C356" s="282" t="str">
        <f>TB!C393</f>
        <v>Watermelon/SEMANGKA</v>
      </c>
      <c r="D356" s="257">
        <f>SUMIF(GL!$D$5:$D$6446,B356,GL!$G$5:$G$6446)</f>
        <v>29.199999999999996</v>
      </c>
      <c r="E356" s="258">
        <f>SUMIF(GL!$D$6:$D$6484,B356,GL!$H$6:$H$6484)</f>
        <v>421400</v>
      </c>
      <c r="F356" s="258">
        <f>SUMIF(GL!$D$6:$D$6484,B356,GL!$I$6:$I$6484)</f>
        <v>0</v>
      </c>
      <c r="G356" s="258">
        <f t="shared" si="88"/>
        <v>421400</v>
      </c>
      <c r="H356" s="258">
        <f t="shared" si="89"/>
        <v>0</v>
      </c>
      <c r="I356" s="250"/>
      <c r="J356" s="251">
        <v>16752</v>
      </c>
      <c r="K356" s="252"/>
      <c r="L356" s="253">
        <f t="shared" si="105"/>
        <v>29.199999999999996</v>
      </c>
      <c r="M356" s="128">
        <f t="shared" si="106"/>
        <v>14431.50684931507</v>
      </c>
      <c r="N356" s="128">
        <f t="shared" si="84"/>
        <v>421400</v>
      </c>
      <c r="O356" s="254"/>
      <c r="P356" s="128">
        <f t="shared" si="85"/>
        <v>14431.50684931507</v>
      </c>
      <c r="Q356" s="18">
        <f t="shared" si="86"/>
        <v>0</v>
      </c>
      <c r="R356" s="255">
        <f t="shared" si="87"/>
        <v>421400</v>
      </c>
      <c r="S356" s="1"/>
      <c r="T356" s="1">
        <f t="shared" si="104"/>
        <v>2320.4931506849298</v>
      </c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1"/>
      <c r="AG356" s="1"/>
      <c r="AH356" s="1"/>
      <c r="AI356" s="1"/>
      <c r="AJ356" s="1"/>
    </row>
    <row r="357" spans="1:36" ht="13.5" customHeight="1">
      <c r="A357" s="259"/>
      <c r="B357" s="174" t="str">
        <f>TB!B394</f>
        <v>BV059</v>
      </c>
      <c r="C357" s="282" t="str">
        <f>TB!C394</f>
        <v>Orange Fruit</v>
      </c>
      <c r="D357" s="257">
        <f>SUMIF(GL!$D$5:$D$6446,B357,GL!$G$5:$G$6446)</f>
        <v>0</v>
      </c>
      <c r="E357" s="258">
        <f>SUMIF(GL!$D$6:$D$6484,B357,GL!$H$6:$H$6484)</f>
        <v>0</v>
      </c>
      <c r="F357" s="258">
        <f>SUMIF(GL!$D$6:$D$6484,B357,GL!$I$6:$I$6484)</f>
        <v>0</v>
      </c>
      <c r="G357" s="258">
        <f t="shared" si="88"/>
        <v>0</v>
      </c>
      <c r="H357" s="258">
        <f t="shared" si="89"/>
        <v>0</v>
      </c>
      <c r="I357" s="250"/>
      <c r="J357" s="251"/>
      <c r="K357" s="252"/>
      <c r="L357" s="253"/>
      <c r="M357" s="128"/>
      <c r="N357" s="128">
        <f t="shared" si="84"/>
        <v>0</v>
      </c>
      <c r="O357" s="254"/>
      <c r="P357" s="128">
        <f t="shared" si="85"/>
        <v>0</v>
      </c>
      <c r="Q357" s="18">
        <f t="shared" si="86"/>
        <v>0</v>
      </c>
      <c r="R357" s="255">
        <f t="shared" si="87"/>
        <v>0</v>
      </c>
      <c r="S357" s="1"/>
      <c r="T357" s="1">
        <f t="shared" si="104"/>
        <v>0</v>
      </c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1"/>
      <c r="AG357" s="1"/>
      <c r="AH357" s="1"/>
      <c r="AI357" s="1"/>
      <c r="AJ357" s="1"/>
    </row>
    <row r="358" spans="1:36" ht="13.5" customHeight="1">
      <c r="A358" s="259"/>
      <c r="B358" s="174" t="str">
        <f>TB!B395</f>
        <v>BV060</v>
      </c>
      <c r="C358" s="282" t="str">
        <f>TB!C395</f>
        <v>Mango Fruit</v>
      </c>
      <c r="D358" s="257">
        <f>SUMIF(GL!$D$5:$D$6446,B358,GL!$G$5:$G$6446)</f>
        <v>6.6</v>
      </c>
      <c r="E358" s="258">
        <f>SUMIF(GL!$D$6:$D$6484,B358,GL!$H$6:$H$6484)</f>
        <v>278400</v>
      </c>
      <c r="F358" s="258">
        <f>SUMIF(GL!$D$6:$D$6484,B358,GL!$I$6:$I$6484)</f>
        <v>0</v>
      </c>
      <c r="G358" s="258">
        <f t="shared" si="88"/>
        <v>278400</v>
      </c>
      <c r="H358" s="258">
        <f t="shared" si="89"/>
        <v>0</v>
      </c>
      <c r="I358" s="250"/>
      <c r="J358" s="251">
        <v>50300</v>
      </c>
      <c r="K358" s="252"/>
      <c r="L358" s="253">
        <f t="shared" ref="L358:L360" si="107">D358+I358</f>
        <v>6.6</v>
      </c>
      <c r="M358" s="128">
        <f t="shared" ref="M358:M360" si="108">(G358+K358)/L358</f>
        <v>42181.818181818184</v>
      </c>
      <c r="N358" s="128">
        <f t="shared" si="84"/>
        <v>278400</v>
      </c>
      <c r="O358" s="254"/>
      <c r="P358" s="128">
        <f t="shared" si="85"/>
        <v>42181.818181818184</v>
      </c>
      <c r="Q358" s="18">
        <f t="shared" si="86"/>
        <v>0</v>
      </c>
      <c r="R358" s="255">
        <f t="shared" si="87"/>
        <v>278400</v>
      </c>
      <c r="S358" s="1"/>
      <c r="T358" s="1">
        <f t="shared" si="104"/>
        <v>8118.1818181818162</v>
      </c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1"/>
      <c r="AG358" s="1"/>
      <c r="AH358" s="1"/>
      <c r="AI358" s="1"/>
      <c r="AJ358" s="1"/>
    </row>
    <row r="359" spans="1:36" ht="13.5" customHeight="1">
      <c r="A359" s="259"/>
      <c r="B359" s="174" t="str">
        <f>TB!B396</f>
        <v>BV061</v>
      </c>
      <c r="C359" s="282" t="str">
        <f>TB!C396</f>
        <v>Banana Fruit</v>
      </c>
      <c r="D359" s="257">
        <f>SUMIF(GL!$D$5:$D$6446,B359,GL!$G$5:$G$6446)</f>
        <v>3.7</v>
      </c>
      <c r="E359" s="258">
        <f>SUMIF(GL!$D$6:$D$6484,B359,GL!$H$6:$H$6484)</f>
        <v>59200</v>
      </c>
      <c r="F359" s="258">
        <f>SUMIF(GL!$D$6:$D$6484,B359,GL!$I$6:$I$6484)</f>
        <v>0</v>
      </c>
      <c r="G359" s="258">
        <f t="shared" si="88"/>
        <v>59200</v>
      </c>
      <c r="H359" s="258">
        <f t="shared" si="89"/>
        <v>0</v>
      </c>
      <c r="I359" s="250"/>
      <c r="J359" s="251">
        <v>16034</v>
      </c>
      <c r="K359" s="252"/>
      <c r="L359" s="253">
        <f t="shared" si="107"/>
        <v>3.7</v>
      </c>
      <c r="M359" s="128">
        <f t="shared" si="108"/>
        <v>16000</v>
      </c>
      <c r="N359" s="128">
        <f t="shared" si="84"/>
        <v>59200</v>
      </c>
      <c r="O359" s="254"/>
      <c r="P359" s="128">
        <f t="shared" si="85"/>
        <v>16000</v>
      </c>
      <c r="Q359" s="18">
        <f t="shared" si="86"/>
        <v>0</v>
      </c>
      <c r="R359" s="255">
        <f t="shared" si="87"/>
        <v>59200</v>
      </c>
      <c r="S359" s="1"/>
      <c r="T359" s="1">
        <f t="shared" si="104"/>
        <v>34</v>
      </c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1"/>
      <c r="AG359" s="1"/>
      <c r="AH359" s="1"/>
      <c r="AI359" s="1"/>
      <c r="AJ359" s="1"/>
    </row>
    <row r="360" spans="1:36" ht="13.5" customHeight="1">
      <c r="A360" s="259"/>
      <c r="B360" s="174" t="str">
        <f>TB!B397</f>
        <v>BV062</v>
      </c>
      <c r="C360" s="282" t="str">
        <f>TB!C397</f>
        <v>Apple Fruit</v>
      </c>
      <c r="D360" s="257">
        <f>SUMIF(GL!$D$5:$D$6446,B360,GL!$G$5:$G$6446)</f>
        <v>2.35</v>
      </c>
      <c r="E360" s="258">
        <f>SUMIF(GL!$D$6:$D$6484,B360,GL!$H$6:$H$6484)</f>
        <v>101050</v>
      </c>
      <c r="F360" s="258">
        <f>SUMIF(GL!$D$6:$D$6484,B360,GL!$I$6:$I$6484)</f>
        <v>0</v>
      </c>
      <c r="G360" s="258">
        <f t="shared" si="88"/>
        <v>101050</v>
      </c>
      <c r="H360" s="258">
        <f t="shared" si="89"/>
        <v>0</v>
      </c>
      <c r="I360" s="250"/>
      <c r="J360" s="251">
        <v>43231</v>
      </c>
      <c r="K360" s="252"/>
      <c r="L360" s="253">
        <f t="shared" si="107"/>
        <v>2.35</v>
      </c>
      <c r="M360" s="128">
        <f t="shared" si="108"/>
        <v>43000</v>
      </c>
      <c r="N360" s="128">
        <f t="shared" si="84"/>
        <v>101050</v>
      </c>
      <c r="O360" s="254"/>
      <c r="P360" s="128">
        <f t="shared" si="85"/>
        <v>43000</v>
      </c>
      <c r="Q360" s="18">
        <f t="shared" si="86"/>
        <v>0</v>
      </c>
      <c r="R360" s="255">
        <f t="shared" si="87"/>
        <v>101050</v>
      </c>
      <c r="S360" s="1"/>
      <c r="T360" s="1">
        <f t="shared" si="104"/>
        <v>231</v>
      </c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1"/>
      <c r="AG360" s="1"/>
      <c r="AH360" s="1"/>
      <c r="AI360" s="1"/>
      <c r="AJ360" s="1"/>
    </row>
    <row r="361" spans="1:36" ht="13.5" customHeight="1">
      <c r="A361" s="259"/>
      <c r="B361" s="174" t="str">
        <f>TB!B398</f>
        <v>BV063</v>
      </c>
      <c r="C361" s="282" t="str">
        <f>TB!C398</f>
        <v>Marqisa Fruit</v>
      </c>
      <c r="D361" s="257">
        <f>SUMIF(GL!$D$5:$D$6446,B361,GL!$G$5:$G$6446)</f>
        <v>0</v>
      </c>
      <c r="E361" s="258">
        <f>SUMIF(GL!$D$6:$D$6484,B361,GL!$H$6:$H$6484)</f>
        <v>0</v>
      </c>
      <c r="F361" s="258">
        <f>SUMIF(GL!$D$6:$D$6484,B361,GL!$I$6:$I$6484)</f>
        <v>0</v>
      </c>
      <c r="G361" s="258">
        <f t="shared" si="88"/>
        <v>0</v>
      </c>
      <c r="H361" s="258">
        <f t="shared" si="89"/>
        <v>0</v>
      </c>
      <c r="I361" s="250"/>
      <c r="J361" s="251"/>
      <c r="K361" s="252"/>
      <c r="L361" s="253"/>
      <c r="M361" s="128"/>
      <c r="N361" s="128">
        <f t="shared" si="84"/>
        <v>0</v>
      </c>
      <c r="O361" s="254"/>
      <c r="P361" s="128">
        <f t="shared" si="85"/>
        <v>0</v>
      </c>
      <c r="Q361" s="18">
        <f t="shared" si="86"/>
        <v>0</v>
      </c>
      <c r="R361" s="255">
        <f t="shared" si="87"/>
        <v>0</v>
      </c>
      <c r="S361" s="1"/>
      <c r="T361" s="1">
        <f t="shared" si="104"/>
        <v>0</v>
      </c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1"/>
      <c r="AG361" s="1"/>
      <c r="AH361" s="1"/>
      <c r="AI361" s="1"/>
      <c r="AJ361" s="1"/>
    </row>
    <row r="362" spans="1:36" ht="13.5" customHeight="1">
      <c r="A362" s="259"/>
      <c r="B362" s="174" t="str">
        <f>TB!B399</f>
        <v>BV064</v>
      </c>
      <c r="C362" s="282" t="str">
        <f>TB!C399</f>
        <v>Sunkist</v>
      </c>
      <c r="D362" s="257">
        <f>SUMIF(GL!$D$5:$D$6446,B362,GL!$G$5:$G$6446)</f>
        <v>22.2</v>
      </c>
      <c r="E362" s="258">
        <f>SUMIF(GL!$D$6:$D$6484,B362,GL!$H$6:$H$6484)</f>
        <v>831600</v>
      </c>
      <c r="F362" s="258">
        <f>SUMIF(GL!$D$6:$D$6484,B362,GL!$I$6:$I$6484)</f>
        <v>0</v>
      </c>
      <c r="G362" s="258">
        <f t="shared" si="88"/>
        <v>831600</v>
      </c>
      <c r="H362" s="258">
        <f t="shared" si="89"/>
        <v>0</v>
      </c>
      <c r="I362" s="250">
        <v>4</v>
      </c>
      <c r="J362" s="251">
        <v>35076</v>
      </c>
      <c r="K362" s="252">
        <v>140302</v>
      </c>
      <c r="L362" s="253">
        <f t="shared" ref="L362:L366" si="109">D362+I362</f>
        <v>26.2</v>
      </c>
      <c r="M362" s="128">
        <f t="shared" ref="M362:M366" si="110">(G362+K362)/L362</f>
        <v>37095.496183206109</v>
      </c>
      <c r="N362" s="128">
        <f t="shared" si="84"/>
        <v>971902</v>
      </c>
      <c r="O362" s="254">
        <v>1</v>
      </c>
      <c r="P362" s="128">
        <f t="shared" si="85"/>
        <v>37095.496183206109</v>
      </c>
      <c r="Q362" s="18">
        <f t="shared" si="86"/>
        <v>37095.496183206109</v>
      </c>
      <c r="R362" s="255">
        <f t="shared" si="87"/>
        <v>934806.50381679391</v>
      </c>
      <c r="S362" s="1"/>
      <c r="T362" s="1">
        <f t="shared" si="104"/>
        <v>-2019.496183206109</v>
      </c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1"/>
      <c r="AG362" s="1"/>
      <c r="AH362" s="1"/>
      <c r="AI362" s="1"/>
      <c r="AJ362" s="1"/>
    </row>
    <row r="363" spans="1:36" ht="13.5" customHeight="1">
      <c r="A363" s="259"/>
      <c r="B363" s="174" t="str">
        <f>TB!B400</f>
        <v>BV065</v>
      </c>
      <c r="C363" s="282" t="str">
        <f>TB!C400</f>
        <v>Sugar</v>
      </c>
      <c r="D363" s="257">
        <f>SUMIF(GL!$D$5:$D$6446,B363,GL!$G$5:$G$6446)</f>
        <v>3</v>
      </c>
      <c r="E363" s="258">
        <f>SUMIF(GL!$D$6:$D$6484,B363,GL!$H$6:$H$6484)</f>
        <v>66000</v>
      </c>
      <c r="F363" s="258">
        <f>SUMIF(GL!$D$6:$D$6484,B363,GL!$I$6:$I$6484)</f>
        <v>0</v>
      </c>
      <c r="G363" s="258">
        <f t="shared" si="88"/>
        <v>66000</v>
      </c>
      <c r="H363" s="258">
        <f t="shared" si="89"/>
        <v>0</v>
      </c>
      <c r="I363" s="250">
        <v>4</v>
      </c>
      <c r="J363" s="251">
        <v>23667</v>
      </c>
      <c r="K363" s="252">
        <v>94667</v>
      </c>
      <c r="L363" s="253">
        <f t="shared" si="109"/>
        <v>7</v>
      </c>
      <c r="M363" s="128">
        <f t="shared" si="110"/>
        <v>22952.428571428572</v>
      </c>
      <c r="N363" s="128">
        <f t="shared" si="84"/>
        <v>160667</v>
      </c>
      <c r="O363" s="254">
        <v>2</v>
      </c>
      <c r="P363" s="128">
        <f t="shared" si="85"/>
        <v>22952.428571428572</v>
      </c>
      <c r="Q363" s="18">
        <f t="shared" si="86"/>
        <v>45904.857142857145</v>
      </c>
      <c r="R363" s="255">
        <f t="shared" si="87"/>
        <v>114762.14285714286</v>
      </c>
      <c r="S363" s="1"/>
      <c r="T363" s="1">
        <f t="shared" si="104"/>
        <v>714.57142857142753</v>
      </c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1"/>
      <c r="AG363" s="1"/>
      <c r="AH363" s="1"/>
      <c r="AI363" s="1"/>
      <c r="AJ363" s="1"/>
    </row>
    <row r="364" spans="1:36" ht="13.5" customHeight="1">
      <c r="A364" s="259"/>
      <c r="B364" s="174" t="str">
        <f>TB!B401</f>
        <v>BV066</v>
      </c>
      <c r="C364" s="282" t="str">
        <f>TB!C401</f>
        <v>Ginger/Jahe</v>
      </c>
      <c r="D364" s="257">
        <f>SUMIF(GL!$D$5:$D$6446,B364,GL!$G$5:$G$6446)</f>
        <v>0.75</v>
      </c>
      <c r="E364" s="258">
        <f>SUMIF(GL!$D$6:$D$6484,B364,GL!$H$6:$H$6484)</f>
        <v>18000</v>
      </c>
      <c r="F364" s="258">
        <f>SUMIF(GL!$D$6:$D$6484,B364,GL!$I$6:$I$6484)</f>
        <v>0</v>
      </c>
      <c r="G364" s="258">
        <f t="shared" si="88"/>
        <v>18000</v>
      </c>
      <c r="H364" s="258">
        <f t="shared" si="89"/>
        <v>0</v>
      </c>
      <c r="I364" s="250"/>
      <c r="J364" s="251">
        <v>31974</v>
      </c>
      <c r="K364" s="252"/>
      <c r="L364" s="253">
        <f t="shared" si="109"/>
        <v>0.75</v>
      </c>
      <c r="M364" s="128">
        <f t="shared" si="110"/>
        <v>24000</v>
      </c>
      <c r="N364" s="128">
        <f t="shared" si="84"/>
        <v>18000</v>
      </c>
      <c r="O364" s="254"/>
      <c r="P364" s="128">
        <f t="shared" si="85"/>
        <v>24000</v>
      </c>
      <c r="Q364" s="18">
        <f t="shared" si="86"/>
        <v>0</v>
      </c>
      <c r="R364" s="255">
        <f t="shared" si="87"/>
        <v>18000</v>
      </c>
      <c r="S364" s="1"/>
      <c r="T364" s="1">
        <f t="shared" si="104"/>
        <v>7974</v>
      </c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1"/>
      <c r="AG364" s="1"/>
      <c r="AH364" s="1"/>
      <c r="AI364" s="1"/>
      <c r="AJ364" s="1"/>
    </row>
    <row r="365" spans="1:36" ht="13.5" customHeight="1">
      <c r="A365" s="259"/>
      <c r="B365" s="174" t="str">
        <f>TB!B402</f>
        <v>BV067</v>
      </c>
      <c r="C365" s="282" t="str">
        <f>TB!C402</f>
        <v>Brown Sugar Sachet</v>
      </c>
      <c r="D365" s="257">
        <f>SUMIF(GL!$D$5:$D$6446,B365,GL!$G$5:$G$6446)</f>
        <v>0</v>
      </c>
      <c r="E365" s="258">
        <f>SUMIF(GL!$D$6:$D$6484,B365,GL!$H$6:$H$6484)</f>
        <v>0</v>
      </c>
      <c r="F365" s="258">
        <f>SUMIF(GL!$D$6:$D$6484,B365,GL!$I$6:$I$6484)</f>
        <v>0</v>
      </c>
      <c r="G365" s="258">
        <f t="shared" si="88"/>
        <v>0</v>
      </c>
      <c r="H365" s="258">
        <f t="shared" si="89"/>
        <v>0</v>
      </c>
      <c r="I365" s="250">
        <v>0.8</v>
      </c>
      <c r="J365" s="251">
        <v>600</v>
      </c>
      <c r="K365" s="252">
        <v>480</v>
      </c>
      <c r="L365" s="253">
        <f t="shared" si="109"/>
        <v>0.8</v>
      </c>
      <c r="M365" s="128">
        <f t="shared" si="110"/>
        <v>600</v>
      </c>
      <c r="N365" s="128">
        <f t="shared" si="84"/>
        <v>480</v>
      </c>
      <c r="O365" s="254">
        <v>0.8</v>
      </c>
      <c r="P365" s="128">
        <f t="shared" si="85"/>
        <v>600</v>
      </c>
      <c r="Q365" s="18">
        <f t="shared" si="86"/>
        <v>480</v>
      </c>
      <c r="R365" s="255">
        <f t="shared" si="87"/>
        <v>0</v>
      </c>
      <c r="S365" s="1"/>
      <c r="T365" s="1">
        <f t="shared" si="104"/>
        <v>0</v>
      </c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1"/>
      <c r="AG365" s="1"/>
      <c r="AH365" s="1"/>
      <c r="AI365" s="1"/>
      <c r="AJ365" s="1"/>
    </row>
    <row r="366" spans="1:36" ht="13.5" customHeight="1">
      <c r="A366" s="259"/>
      <c r="B366" s="174" t="str">
        <f>TB!B403</f>
        <v>BV068</v>
      </c>
      <c r="C366" s="282" t="str">
        <f>TB!C403</f>
        <v>Sugar Sachet</v>
      </c>
      <c r="D366" s="257">
        <f>SUMIF(GL!$D$5:$D$6446,B366,GL!$G$5:$G$6446)</f>
        <v>0</v>
      </c>
      <c r="E366" s="258">
        <f>SUMIF(GL!$D$6:$D$6484,B366,GL!$H$6:$H$6484)</f>
        <v>0</v>
      </c>
      <c r="F366" s="258">
        <f>SUMIF(GL!$D$6:$D$6484,B366,GL!$I$6:$I$6484)</f>
        <v>0</v>
      </c>
      <c r="G366" s="258">
        <f t="shared" si="88"/>
        <v>0</v>
      </c>
      <c r="H366" s="258">
        <f t="shared" si="89"/>
        <v>0</v>
      </c>
      <c r="I366" s="250">
        <v>0.8</v>
      </c>
      <c r="J366" s="251">
        <v>500</v>
      </c>
      <c r="K366" s="252">
        <v>400</v>
      </c>
      <c r="L366" s="253">
        <f t="shared" si="109"/>
        <v>0.8</v>
      </c>
      <c r="M366" s="128">
        <f t="shared" si="110"/>
        <v>500</v>
      </c>
      <c r="N366" s="128">
        <f t="shared" si="84"/>
        <v>400</v>
      </c>
      <c r="O366" s="254">
        <v>0.7</v>
      </c>
      <c r="P366" s="128">
        <f t="shared" si="85"/>
        <v>500</v>
      </c>
      <c r="Q366" s="18">
        <f t="shared" si="86"/>
        <v>350</v>
      </c>
      <c r="R366" s="255">
        <f t="shared" si="87"/>
        <v>50</v>
      </c>
      <c r="S366" s="1"/>
      <c r="T366" s="1">
        <f t="shared" si="104"/>
        <v>0</v>
      </c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1"/>
      <c r="AG366" s="1"/>
      <c r="AH366" s="1"/>
      <c r="AI366" s="1"/>
      <c r="AJ366" s="1"/>
    </row>
    <row r="367" spans="1:36" ht="13.5" customHeight="1">
      <c r="A367" s="259"/>
      <c r="B367" s="174" t="str">
        <f>TB!B404</f>
        <v>BV069</v>
      </c>
      <c r="C367" s="282" t="str">
        <f>TB!C404</f>
        <v>Rosella</v>
      </c>
      <c r="D367" s="257">
        <f>SUMIF(GL!$D$5:$D$6446,B367,GL!$G$5:$G$6446)</f>
        <v>0</v>
      </c>
      <c r="E367" s="258">
        <f>SUMIF(GL!$D$6:$D$6484,B367,GL!$H$6:$H$6484)</f>
        <v>0</v>
      </c>
      <c r="F367" s="258">
        <f>SUMIF(GL!$D$6:$D$6484,B367,GL!$I$6:$I$6484)</f>
        <v>0</v>
      </c>
      <c r="G367" s="258">
        <f t="shared" si="88"/>
        <v>0</v>
      </c>
      <c r="H367" s="258">
        <f t="shared" si="89"/>
        <v>0</v>
      </c>
      <c r="I367" s="250"/>
      <c r="J367" s="251"/>
      <c r="K367" s="252"/>
      <c r="L367" s="253"/>
      <c r="M367" s="128"/>
      <c r="N367" s="128">
        <f t="shared" si="84"/>
        <v>0</v>
      </c>
      <c r="O367" s="254"/>
      <c r="P367" s="128">
        <f t="shared" si="85"/>
        <v>0</v>
      </c>
      <c r="Q367" s="18">
        <f t="shared" si="86"/>
        <v>0</v>
      </c>
      <c r="R367" s="255">
        <f t="shared" si="87"/>
        <v>0</v>
      </c>
      <c r="S367" s="1"/>
      <c r="T367" s="1">
        <f t="shared" si="104"/>
        <v>0</v>
      </c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1"/>
      <c r="AG367" s="1"/>
      <c r="AH367" s="1"/>
      <c r="AI367" s="1"/>
      <c r="AJ367" s="1"/>
    </row>
    <row r="368" spans="1:36" ht="13.5" customHeight="1">
      <c r="A368" s="259"/>
      <c r="B368" s="174" t="str">
        <f>TB!B405</f>
        <v>BV070</v>
      </c>
      <c r="C368" s="282" t="str">
        <f>TB!C405</f>
        <v>Cherry Can</v>
      </c>
      <c r="D368" s="257">
        <f>SUMIF(GL!$D$5:$D$6446,B368,GL!$G$5:$G$6446)</f>
        <v>0</v>
      </c>
      <c r="E368" s="258">
        <f>SUMIF(GL!$D$6:$D$6484,B368,GL!$H$6:$H$6484)</f>
        <v>0</v>
      </c>
      <c r="F368" s="258">
        <f>SUMIF(GL!$D$6:$D$6484,B368,GL!$I$6:$I$6484)</f>
        <v>0</v>
      </c>
      <c r="G368" s="258">
        <f t="shared" si="88"/>
        <v>0</v>
      </c>
      <c r="H368" s="258">
        <f t="shared" si="89"/>
        <v>0</v>
      </c>
      <c r="I368" s="250">
        <v>1</v>
      </c>
      <c r="J368" s="251">
        <v>43333</v>
      </c>
      <c r="K368" s="252">
        <v>43333</v>
      </c>
      <c r="L368" s="253">
        <f t="shared" ref="L368:L369" si="111">D368+I368</f>
        <v>1</v>
      </c>
      <c r="M368" s="128">
        <f t="shared" ref="M368:M369" si="112">(G368+K368)/L368</f>
        <v>43333</v>
      </c>
      <c r="N368" s="128">
        <f t="shared" si="84"/>
        <v>43333</v>
      </c>
      <c r="O368" s="254">
        <v>1</v>
      </c>
      <c r="P368" s="128">
        <f t="shared" si="85"/>
        <v>43333</v>
      </c>
      <c r="Q368" s="18">
        <f t="shared" si="86"/>
        <v>43333</v>
      </c>
      <c r="R368" s="255">
        <f t="shared" si="87"/>
        <v>0</v>
      </c>
      <c r="S368" s="1"/>
      <c r="T368" s="1">
        <f t="shared" si="104"/>
        <v>0</v>
      </c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1"/>
      <c r="AG368" s="1"/>
      <c r="AH368" s="1"/>
      <c r="AI368" s="1"/>
      <c r="AJ368" s="1"/>
    </row>
    <row r="369" spans="1:36" ht="13.5" customHeight="1">
      <c r="A369" s="259"/>
      <c r="B369" s="174" t="str">
        <f>TB!B406</f>
        <v>BV071</v>
      </c>
      <c r="C369" s="282" t="str">
        <f>TB!C406</f>
        <v>Tumeric/Kunyit</v>
      </c>
      <c r="D369" s="257">
        <f>SUMIF(GL!$D$5:$D$6446,B369,GL!$G$5:$G$6446)</f>
        <v>0.45</v>
      </c>
      <c r="E369" s="258">
        <f>SUMIF(GL!$D$6:$D$6484,B369,GL!$H$6:$H$6484)</f>
        <v>5850</v>
      </c>
      <c r="F369" s="258">
        <f>SUMIF(GL!$D$6:$D$6484,B369,GL!$I$6:$I$6484)</f>
        <v>0</v>
      </c>
      <c r="G369" s="258">
        <f t="shared" si="88"/>
        <v>5850</v>
      </c>
      <c r="H369" s="258">
        <f t="shared" si="89"/>
        <v>0</v>
      </c>
      <c r="I369" s="250"/>
      <c r="J369" s="251">
        <v>13000</v>
      </c>
      <c r="K369" s="252"/>
      <c r="L369" s="253">
        <f t="shared" si="111"/>
        <v>0.45</v>
      </c>
      <c r="M369" s="128">
        <f t="shared" si="112"/>
        <v>13000</v>
      </c>
      <c r="N369" s="128">
        <f t="shared" si="84"/>
        <v>5850</v>
      </c>
      <c r="O369" s="254"/>
      <c r="P369" s="128">
        <f t="shared" si="85"/>
        <v>13000</v>
      </c>
      <c r="Q369" s="18">
        <f t="shared" si="86"/>
        <v>0</v>
      </c>
      <c r="R369" s="255">
        <f t="shared" si="87"/>
        <v>5850</v>
      </c>
      <c r="S369" s="1"/>
      <c r="T369" s="1">
        <f t="shared" si="104"/>
        <v>0</v>
      </c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1"/>
      <c r="AG369" s="1"/>
      <c r="AH369" s="1"/>
      <c r="AI369" s="1"/>
      <c r="AJ369" s="1"/>
    </row>
    <row r="370" spans="1:36" ht="13.5" customHeight="1">
      <c r="A370" s="259"/>
      <c r="B370" s="174" t="str">
        <f>TB!B407</f>
        <v>BV072</v>
      </c>
      <c r="C370" s="282" t="str">
        <f>TB!C407</f>
        <v>Juice Pink Guava</v>
      </c>
      <c r="D370" s="257">
        <f>SUMIF(GL!$D$5:$D$6446,B370,GL!$G$5:$G$6446)</f>
        <v>0</v>
      </c>
      <c r="E370" s="258">
        <f>SUMIF(GL!$D$6:$D$6484,B370,GL!$H$6:$H$6484)</f>
        <v>0</v>
      </c>
      <c r="F370" s="258">
        <f>SUMIF(GL!$D$6:$D$6484,B370,GL!$I$6:$I$6484)</f>
        <v>0</v>
      </c>
      <c r="G370" s="258">
        <f t="shared" si="88"/>
        <v>0</v>
      </c>
      <c r="H370" s="258">
        <f t="shared" si="89"/>
        <v>0</v>
      </c>
      <c r="I370" s="250"/>
      <c r="J370" s="251"/>
      <c r="K370" s="252"/>
      <c r="L370" s="253"/>
      <c r="M370" s="128"/>
      <c r="N370" s="128">
        <f t="shared" si="84"/>
        <v>0</v>
      </c>
      <c r="O370" s="254"/>
      <c r="P370" s="128">
        <f t="shared" si="85"/>
        <v>0</v>
      </c>
      <c r="Q370" s="18">
        <f t="shared" si="86"/>
        <v>0</v>
      </c>
      <c r="R370" s="255">
        <f t="shared" si="87"/>
        <v>0</v>
      </c>
      <c r="S370" s="1"/>
      <c r="T370" s="1">
        <f t="shared" si="104"/>
        <v>0</v>
      </c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1"/>
      <c r="AG370" s="1"/>
      <c r="AH370" s="1"/>
      <c r="AI370" s="1"/>
      <c r="AJ370" s="1"/>
    </row>
    <row r="371" spans="1:36" ht="13.5" customHeight="1">
      <c r="A371" s="284"/>
      <c r="B371" s="174" t="str">
        <f>TB!B408</f>
        <v>BV073</v>
      </c>
      <c r="C371" s="282" t="str">
        <f>TB!C408</f>
        <v>Seed Chia</v>
      </c>
      <c r="D371" s="257">
        <f>SUMIF(GL!$D$5:$D$6446,B371,GL!$G$5:$G$6446)</f>
        <v>0</v>
      </c>
      <c r="E371" s="258">
        <f>SUMIF(GL!$D$6:$D$6484,B371,GL!$H$6:$H$6484)</f>
        <v>0</v>
      </c>
      <c r="F371" s="258">
        <f>SUMIF(GL!$D$6:$D$6484,B371,GL!$I$6:$I$6484)</f>
        <v>0</v>
      </c>
      <c r="G371" s="258">
        <f t="shared" si="88"/>
        <v>0</v>
      </c>
      <c r="H371" s="258">
        <f t="shared" si="89"/>
        <v>0</v>
      </c>
      <c r="I371" s="250"/>
      <c r="J371" s="251"/>
      <c r="K371" s="252"/>
      <c r="L371" s="253"/>
      <c r="M371" s="128"/>
      <c r="N371" s="128">
        <f t="shared" si="84"/>
        <v>0</v>
      </c>
      <c r="O371" s="254"/>
      <c r="P371" s="128">
        <f t="shared" si="85"/>
        <v>0</v>
      </c>
      <c r="Q371" s="18">
        <f t="shared" si="86"/>
        <v>0</v>
      </c>
      <c r="R371" s="255">
        <f t="shared" si="87"/>
        <v>0</v>
      </c>
      <c r="S371" s="1"/>
      <c r="T371" s="1">
        <f t="shared" si="104"/>
        <v>0</v>
      </c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1"/>
      <c r="AG371" s="1"/>
      <c r="AH371" s="1"/>
      <c r="AI371" s="1"/>
      <c r="AJ371" s="1"/>
    </row>
    <row r="372" spans="1:36" ht="13.5" customHeight="1">
      <c r="A372" s="259"/>
      <c r="B372" s="174" t="str">
        <f>TB!B409</f>
        <v>BV074</v>
      </c>
      <c r="C372" s="282" t="str">
        <f>TB!C409</f>
        <v>Cashew</v>
      </c>
      <c r="D372" s="257">
        <f>SUMIF(GL!$D$5:$D$6446,B372,GL!$G$5:$G$6446)</f>
        <v>0</v>
      </c>
      <c r="E372" s="258">
        <f>SUMIF(GL!$D$6:$D$6484,B372,GL!$H$6:$H$6484)</f>
        <v>0</v>
      </c>
      <c r="F372" s="258">
        <f>SUMIF(GL!$D$6:$D$6484,B372,GL!$I$6:$I$6484)</f>
        <v>0</v>
      </c>
      <c r="G372" s="258">
        <f t="shared" si="88"/>
        <v>0</v>
      </c>
      <c r="H372" s="258">
        <f t="shared" si="89"/>
        <v>0</v>
      </c>
      <c r="I372" s="250"/>
      <c r="J372" s="251"/>
      <c r="K372" s="252"/>
      <c r="L372" s="253"/>
      <c r="M372" s="128"/>
      <c r="N372" s="128">
        <f t="shared" si="84"/>
        <v>0</v>
      </c>
      <c r="O372" s="254"/>
      <c r="P372" s="128">
        <f t="shared" si="85"/>
        <v>0</v>
      </c>
      <c r="Q372" s="18">
        <f t="shared" si="86"/>
        <v>0</v>
      </c>
      <c r="R372" s="255">
        <f t="shared" si="87"/>
        <v>0</v>
      </c>
      <c r="S372" s="1"/>
      <c r="T372" s="1">
        <f t="shared" si="104"/>
        <v>0</v>
      </c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1"/>
      <c r="AG372" s="1"/>
      <c r="AH372" s="1"/>
      <c r="AI372" s="1"/>
      <c r="AJ372" s="1"/>
    </row>
    <row r="373" spans="1:36" ht="13.5" customHeight="1">
      <c r="A373" s="259"/>
      <c r="B373" s="174" t="str">
        <f>TB!B410</f>
        <v>BV075</v>
      </c>
      <c r="C373" s="282" t="str">
        <f>TB!C410</f>
        <v>Almond</v>
      </c>
      <c r="D373" s="257">
        <f>SUMIF(GL!$D$5:$D$6446,B373,GL!$G$5:$G$6446)</f>
        <v>0.5</v>
      </c>
      <c r="E373" s="258">
        <f>SUMIF(GL!$D$6:$D$6484,B373,GL!$H$6:$H$6484)</f>
        <v>125000</v>
      </c>
      <c r="F373" s="258">
        <f>SUMIF(GL!$D$6:$D$6484,B373,GL!$I$6:$I$6484)</f>
        <v>0</v>
      </c>
      <c r="G373" s="258">
        <f t="shared" si="88"/>
        <v>125000</v>
      </c>
      <c r="H373" s="258">
        <f t="shared" si="89"/>
        <v>0</v>
      </c>
      <c r="I373" s="250"/>
      <c r="J373" s="251">
        <v>250000</v>
      </c>
      <c r="K373" s="252"/>
      <c r="L373" s="253">
        <f>D373+I373</f>
        <v>0.5</v>
      </c>
      <c r="M373" s="128">
        <f>(G373+K373)/L373</f>
        <v>250000</v>
      </c>
      <c r="N373" s="128">
        <f t="shared" si="84"/>
        <v>125000</v>
      </c>
      <c r="O373" s="254"/>
      <c r="P373" s="128">
        <f t="shared" si="85"/>
        <v>250000</v>
      </c>
      <c r="Q373" s="18">
        <f t="shared" si="86"/>
        <v>0</v>
      </c>
      <c r="R373" s="255">
        <f t="shared" si="87"/>
        <v>125000</v>
      </c>
      <c r="S373" s="1"/>
      <c r="T373" s="1">
        <f t="shared" si="104"/>
        <v>0</v>
      </c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1"/>
      <c r="AG373" s="1"/>
      <c r="AH373" s="1"/>
      <c r="AI373" s="1"/>
      <c r="AJ373" s="1"/>
    </row>
    <row r="374" spans="1:36" ht="13.5" customHeight="1">
      <c r="A374" s="259"/>
      <c r="B374" s="174" t="str">
        <f>TB!B411</f>
        <v>BV076</v>
      </c>
      <c r="C374" s="282" t="str">
        <f>TB!C411</f>
        <v>Lyche Can</v>
      </c>
      <c r="D374" s="257">
        <f>SUMIF(GL!$D$5:$D$6446,B374,GL!$G$5:$G$6446)</f>
        <v>0</v>
      </c>
      <c r="E374" s="258">
        <f>SUMIF(GL!$D$6:$D$6484,B374,GL!$H$6:$H$6484)</f>
        <v>0</v>
      </c>
      <c r="F374" s="258">
        <f>SUMIF(GL!$D$6:$D$6484,B374,GL!$I$6:$I$6484)</f>
        <v>0</v>
      </c>
      <c r="G374" s="258">
        <f t="shared" si="88"/>
        <v>0</v>
      </c>
      <c r="H374" s="258">
        <f t="shared" si="89"/>
        <v>0</v>
      </c>
      <c r="I374" s="250"/>
      <c r="J374" s="251"/>
      <c r="K374" s="252"/>
      <c r="L374" s="253"/>
      <c r="M374" s="128"/>
      <c r="N374" s="128">
        <f t="shared" si="84"/>
        <v>0</v>
      </c>
      <c r="O374" s="254"/>
      <c r="P374" s="128">
        <f t="shared" si="85"/>
        <v>0</v>
      </c>
      <c r="Q374" s="18">
        <f t="shared" si="86"/>
        <v>0</v>
      </c>
      <c r="R374" s="255">
        <f t="shared" si="87"/>
        <v>0</v>
      </c>
      <c r="S374" s="1"/>
      <c r="T374" s="1">
        <f t="shared" si="104"/>
        <v>0</v>
      </c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4"/>
      <c r="AG374" s="4"/>
      <c r="AH374" s="4"/>
      <c r="AI374" s="4"/>
      <c r="AJ374" s="4"/>
    </row>
    <row r="375" spans="1:36" ht="13.5" customHeight="1">
      <c r="A375" s="259"/>
      <c r="B375" s="174" t="str">
        <f>TB!B412</f>
        <v>BV077</v>
      </c>
      <c r="C375" s="282" t="str">
        <f>TB!C412</f>
        <v>Syrup Peach</v>
      </c>
      <c r="D375" s="257">
        <f>SUMIF(GL!$D$5:$D$6446,B375,GL!$G$5:$G$6446)</f>
        <v>0</v>
      </c>
      <c r="E375" s="258">
        <f>SUMIF(GL!$D$6:$D$6484,B375,GL!$H$6:$H$6484)</f>
        <v>0</v>
      </c>
      <c r="F375" s="258">
        <f>SUMIF(GL!$D$6:$D$6484,B375,GL!$I$6:$I$6484)</f>
        <v>0</v>
      </c>
      <c r="G375" s="258">
        <f t="shared" si="88"/>
        <v>0</v>
      </c>
      <c r="H375" s="258">
        <f t="shared" si="89"/>
        <v>0</v>
      </c>
      <c r="I375" s="250"/>
      <c r="J375" s="251"/>
      <c r="K375" s="252"/>
      <c r="L375" s="253">
        <f t="shared" ref="L375:L381" si="113">D375+I375</f>
        <v>0</v>
      </c>
      <c r="M375" s="128"/>
      <c r="N375" s="128">
        <f t="shared" si="84"/>
        <v>0</v>
      </c>
      <c r="O375" s="254"/>
      <c r="P375" s="128">
        <f t="shared" si="85"/>
        <v>0</v>
      </c>
      <c r="Q375" s="18">
        <f t="shared" si="86"/>
        <v>0</v>
      </c>
      <c r="R375" s="255">
        <f t="shared" si="87"/>
        <v>0</v>
      </c>
      <c r="S375" s="1"/>
      <c r="T375" s="1">
        <f t="shared" si="104"/>
        <v>0</v>
      </c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4"/>
      <c r="AG375" s="4"/>
      <c r="AH375" s="4"/>
      <c r="AI375" s="4"/>
      <c r="AJ375" s="4"/>
    </row>
    <row r="376" spans="1:36" ht="13.5" customHeight="1">
      <c r="A376" s="259"/>
      <c r="B376" s="174" t="str">
        <f>TB!B413</f>
        <v>BV078</v>
      </c>
      <c r="C376" s="282" t="str">
        <f>TB!C413</f>
        <v>Straw Black Pendek</v>
      </c>
      <c r="D376" s="257">
        <f>SUMIF(GL!$D$5:$D$6446,B376,GL!$G$5:$G$6446)</f>
        <v>150</v>
      </c>
      <c r="E376" s="258">
        <f>SUMIF(GL!$D$6:$D$6484,B376,GL!$H$6:$H$6484)</f>
        <v>3900000</v>
      </c>
      <c r="F376" s="258">
        <f>SUMIF(GL!$D$6:$D$6484,B376,GL!$I$6:$I$6484)</f>
        <v>0</v>
      </c>
      <c r="G376" s="258">
        <f t="shared" si="88"/>
        <v>3900000</v>
      </c>
      <c r="H376" s="258">
        <f t="shared" si="89"/>
        <v>0</v>
      </c>
      <c r="I376" s="250">
        <v>15</v>
      </c>
      <c r="J376" s="251">
        <v>25998</v>
      </c>
      <c r="K376" s="252">
        <v>389973</v>
      </c>
      <c r="L376" s="253">
        <f t="shared" si="113"/>
        <v>165</v>
      </c>
      <c r="M376" s="128">
        <f t="shared" ref="M376:M381" si="114">(G376+K376)/L376</f>
        <v>25999.836363636365</v>
      </c>
      <c r="N376" s="128">
        <f t="shared" si="84"/>
        <v>4289973</v>
      </c>
      <c r="O376" s="254">
        <v>24</v>
      </c>
      <c r="P376" s="128">
        <f t="shared" si="85"/>
        <v>25999.836363636365</v>
      </c>
      <c r="Q376" s="18">
        <f t="shared" si="86"/>
        <v>623996.07272727275</v>
      </c>
      <c r="R376" s="255">
        <f t="shared" si="87"/>
        <v>3665976.9272727272</v>
      </c>
      <c r="S376" s="1"/>
      <c r="T376" s="1">
        <f t="shared" si="104"/>
        <v>-1.8363636363646947</v>
      </c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1"/>
      <c r="AG376" s="1"/>
      <c r="AH376" s="1"/>
      <c r="AI376" s="1"/>
      <c r="AJ376" s="1"/>
    </row>
    <row r="377" spans="1:36" ht="13.5" customHeight="1">
      <c r="A377" s="259"/>
      <c r="B377" s="174" t="str">
        <f>TB!B414</f>
        <v>BV079</v>
      </c>
      <c r="C377" s="282" t="str">
        <f>TB!C414</f>
        <v>Straw Black Panjang</v>
      </c>
      <c r="D377" s="257">
        <f>SUMIF(GL!$D$5:$D$6446,B377,GL!$G$5:$G$6446)</f>
        <v>0</v>
      </c>
      <c r="E377" s="258">
        <f>SUMIF(GL!$D$6:$D$6484,B377,GL!$H$6:$H$6484)</f>
        <v>0</v>
      </c>
      <c r="F377" s="258">
        <f>SUMIF(GL!$D$6:$D$6484,B377,GL!$I$6:$I$6484)</f>
        <v>0</v>
      </c>
      <c r="G377" s="258">
        <f t="shared" si="88"/>
        <v>0</v>
      </c>
      <c r="H377" s="258">
        <f t="shared" si="89"/>
        <v>0</v>
      </c>
      <c r="I377" s="250">
        <v>18</v>
      </c>
      <c r="J377" s="251">
        <v>29562</v>
      </c>
      <c r="K377" s="252">
        <v>532119</v>
      </c>
      <c r="L377" s="253">
        <f t="shared" si="113"/>
        <v>18</v>
      </c>
      <c r="M377" s="128">
        <f t="shared" si="114"/>
        <v>29562.166666666668</v>
      </c>
      <c r="N377" s="128">
        <f t="shared" si="84"/>
        <v>532119</v>
      </c>
      <c r="O377" s="254">
        <v>30</v>
      </c>
      <c r="P377" s="128">
        <f t="shared" si="85"/>
        <v>29562.166666666668</v>
      </c>
      <c r="Q377" s="18">
        <f t="shared" si="86"/>
        <v>886865</v>
      </c>
      <c r="R377" s="255">
        <f t="shared" si="87"/>
        <v>-354746</v>
      </c>
      <c r="S377" s="1"/>
      <c r="T377" s="1">
        <f t="shared" si="104"/>
        <v>-0.16666666666787933</v>
      </c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1"/>
      <c r="AG377" s="1"/>
      <c r="AH377" s="1"/>
      <c r="AI377" s="1"/>
      <c r="AJ377" s="1"/>
    </row>
    <row r="378" spans="1:36" ht="13.5" customHeight="1">
      <c r="A378" s="259"/>
      <c r="B378" s="159" t="str">
        <f>TB!B415</f>
        <v>BV080</v>
      </c>
      <c r="C378" s="282" t="str">
        <f>TB!C415</f>
        <v>Island Brewing Pilsener</v>
      </c>
      <c r="D378" s="257">
        <f>SUMIF(GL!$D$5:$D$6446,B378,GL!$G$5:$G$6446)</f>
        <v>0</v>
      </c>
      <c r="E378" s="258">
        <f>SUMIF(GL!$D$6:$D$6484,B378,GL!$H$6:$H$6484)</f>
        <v>0</v>
      </c>
      <c r="F378" s="258">
        <f>SUMIF(GL!$D$6:$D$6484,B378,GL!$I$6:$I$6484)</f>
        <v>0</v>
      </c>
      <c r="G378" s="258">
        <f t="shared" si="88"/>
        <v>0</v>
      </c>
      <c r="H378" s="258">
        <f t="shared" si="89"/>
        <v>0</v>
      </c>
      <c r="I378" s="250">
        <v>8</v>
      </c>
      <c r="J378" s="251">
        <v>36500</v>
      </c>
      <c r="K378" s="252">
        <v>292000</v>
      </c>
      <c r="L378" s="253">
        <f t="shared" si="113"/>
        <v>8</v>
      </c>
      <c r="M378" s="128">
        <f t="shared" si="114"/>
        <v>36500</v>
      </c>
      <c r="N378" s="128">
        <f t="shared" si="84"/>
        <v>292000</v>
      </c>
      <c r="O378" s="254">
        <v>8</v>
      </c>
      <c r="P378" s="128">
        <f t="shared" si="85"/>
        <v>36500</v>
      </c>
      <c r="Q378" s="18">
        <f t="shared" si="86"/>
        <v>292000</v>
      </c>
      <c r="R378" s="255">
        <f t="shared" si="87"/>
        <v>0</v>
      </c>
      <c r="S378" s="1"/>
      <c r="T378" s="1">
        <f t="shared" si="104"/>
        <v>0</v>
      </c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1"/>
      <c r="AG378" s="1"/>
      <c r="AH378" s="1"/>
      <c r="AI378" s="1"/>
      <c r="AJ378" s="1"/>
    </row>
    <row r="379" spans="1:36" ht="13.5" customHeight="1">
      <c r="A379" s="259"/>
      <c r="B379" s="159" t="str">
        <f>TB!B416</f>
        <v>BV081</v>
      </c>
      <c r="C379" s="282" t="str">
        <f>TB!C416</f>
        <v>Kura Kura Easy Ale</v>
      </c>
      <c r="D379" s="257">
        <f>SUMIF(GL!$D$5:$D$6446,B379,GL!$G$5:$G$6446)</f>
        <v>0</v>
      </c>
      <c r="E379" s="258">
        <f>SUMIF(GL!$D$6:$D$6484,B379,GL!$H$6:$H$6484)</f>
        <v>0</v>
      </c>
      <c r="F379" s="258">
        <f>SUMIF(GL!$D$6:$D$6484,B379,GL!$I$6:$I$6484)</f>
        <v>0</v>
      </c>
      <c r="G379" s="258">
        <f t="shared" si="88"/>
        <v>0</v>
      </c>
      <c r="H379" s="258">
        <f t="shared" si="89"/>
        <v>0</v>
      </c>
      <c r="I379" s="250">
        <v>30</v>
      </c>
      <c r="J379" s="251">
        <v>30835</v>
      </c>
      <c r="K379" s="252">
        <v>925063</v>
      </c>
      <c r="L379" s="253">
        <f t="shared" si="113"/>
        <v>30</v>
      </c>
      <c r="M379" s="128">
        <f t="shared" si="114"/>
        <v>30835.433333333334</v>
      </c>
      <c r="N379" s="128">
        <f t="shared" si="84"/>
        <v>925063</v>
      </c>
      <c r="O379" s="254">
        <v>15</v>
      </c>
      <c r="P379" s="128">
        <f t="shared" si="85"/>
        <v>30835.433333333334</v>
      </c>
      <c r="Q379" s="18">
        <f t="shared" si="86"/>
        <v>462531.5</v>
      </c>
      <c r="R379" s="255">
        <f t="shared" si="87"/>
        <v>462531.5</v>
      </c>
      <c r="S379" s="1"/>
      <c r="T379" s="1">
        <f t="shared" si="104"/>
        <v>-0.43333333333430346</v>
      </c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1"/>
      <c r="AG379" s="1"/>
      <c r="AH379" s="1"/>
      <c r="AI379" s="1"/>
      <c r="AJ379" s="1"/>
    </row>
    <row r="380" spans="1:36" ht="13.5" customHeight="1">
      <c r="A380" s="259"/>
      <c r="B380" s="159" t="str">
        <f>TB!B417</f>
        <v>BV082</v>
      </c>
      <c r="C380" s="282" t="str">
        <f>TB!C417</f>
        <v>Kura Kura Island Ale</v>
      </c>
      <c r="D380" s="257">
        <f>SUMIF(GL!$D$5:$D$6446,B380,GL!$G$5:$G$6446)</f>
        <v>0</v>
      </c>
      <c r="E380" s="258">
        <f>SUMIF(GL!$D$6:$D$6484,B380,GL!$H$6:$H$6484)</f>
        <v>0</v>
      </c>
      <c r="F380" s="258">
        <f>SUMIF(GL!$D$6:$D$6484,B380,GL!$I$6:$I$6484)</f>
        <v>0</v>
      </c>
      <c r="G380" s="258">
        <f t="shared" si="88"/>
        <v>0</v>
      </c>
      <c r="H380" s="258">
        <f t="shared" si="89"/>
        <v>0</v>
      </c>
      <c r="I380" s="250">
        <v>6</v>
      </c>
      <c r="J380" s="251">
        <v>41117</v>
      </c>
      <c r="K380" s="252">
        <v>246703</v>
      </c>
      <c r="L380" s="253">
        <f t="shared" si="113"/>
        <v>6</v>
      </c>
      <c r="M380" s="128">
        <f t="shared" si="114"/>
        <v>41117.166666666664</v>
      </c>
      <c r="N380" s="128">
        <f t="shared" si="84"/>
        <v>246703</v>
      </c>
      <c r="O380" s="254">
        <v>3</v>
      </c>
      <c r="P380" s="128">
        <f t="shared" si="85"/>
        <v>41117.166666666664</v>
      </c>
      <c r="Q380" s="18">
        <f t="shared" si="86"/>
        <v>123351.5</v>
      </c>
      <c r="R380" s="255">
        <f t="shared" si="87"/>
        <v>123351.5</v>
      </c>
      <c r="S380" s="1"/>
      <c r="T380" s="1">
        <f t="shared" si="104"/>
        <v>-0.16666666666424135</v>
      </c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1"/>
      <c r="AG380" s="1"/>
      <c r="AH380" s="1"/>
      <c r="AI380" s="1"/>
      <c r="AJ380" s="1"/>
    </row>
    <row r="381" spans="1:36" ht="13.5" customHeight="1">
      <c r="A381" s="259"/>
      <c r="B381" s="159" t="str">
        <f>TB!B418</f>
        <v>BV083</v>
      </c>
      <c r="C381" s="282" t="str">
        <f>TB!C418</f>
        <v>Kura Kura Lager</v>
      </c>
      <c r="D381" s="257">
        <f>SUMIF(GL!$D$5:$D$6446,B381,GL!$G$5:$G$6446)</f>
        <v>0</v>
      </c>
      <c r="E381" s="258">
        <f>SUMIF(GL!$D$6:$D$6484,B381,GL!$H$6:$H$6484)</f>
        <v>0</v>
      </c>
      <c r="F381" s="258">
        <f>SUMIF(GL!$D$6:$D$6484,B381,GL!$I$6:$I$6484)</f>
        <v>0</v>
      </c>
      <c r="G381" s="258">
        <f t="shared" si="88"/>
        <v>0</v>
      </c>
      <c r="H381" s="258">
        <f t="shared" si="89"/>
        <v>0</v>
      </c>
      <c r="I381" s="250">
        <v>24</v>
      </c>
      <c r="J381" s="251">
        <v>30657</v>
      </c>
      <c r="K381" s="252">
        <v>735762</v>
      </c>
      <c r="L381" s="253">
        <f t="shared" si="113"/>
        <v>24</v>
      </c>
      <c r="M381" s="128">
        <f t="shared" si="114"/>
        <v>30656.75</v>
      </c>
      <c r="N381" s="128">
        <f t="shared" si="84"/>
        <v>735762</v>
      </c>
      <c r="O381" s="254">
        <v>21</v>
      </c>
      <c r="P381" s="128">
        <f t="shared" si="85"/>
        <v>30656.75</v>
      </c>
      <c r="Q381" s="18">
        <f t="shared" si="86"/>
        <v>643791.75</v>
      </c>
      <c r="R381" s="255">
        <f t="shared" si="87"/>
        <v>91970.25</v>
      </c>
      <c r="S381" s="1"/>
      <c r="T381" s="1">
        <f t="shared" si="104"/>
        <v>0.25</v>
      </c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1"/>
      <c r="AG381" s="1"/>
      <c r="AH381" s="1"/>
      <c r="AI381" s="1"/>
      <c r="AJ381" s="1"/>
    </row>
    <row r="382" spans="1:36" ht="13.5" customHeight="1">
      <c r="A382" s="259"/>
      <c r="B382" s="159" t="str">
        <f>TB!B419</f>
        <v>BV084</v>
      </c>
      <c r="C382" s="282" t="str">
        <f>TB!C419</f>
        <v>Brown Sugar Kg</v>
      </c>
      <c r="D382" s="257">
        <f>SUMIF(GL!$D$5:$D$6446,B382,GL!$G$5:$G$6446)</f>
        <v>0</v>
      </c>
      <c r="E382" s="258">
        <f>SUMIF(GL!$D$6:$D$6484,B382,GL!$H$6:$H$6484)</f>
        <v>0</v>
      </c>
      <c r="F382" s="258">
        <f>SUMIF(GL!$D$6:$D$6484,B382,GL!$I$6:$I$6484)</f>
        <v>0</v>
      </c>
      <c r="G382" s="258">
        <f t="shared" si="88"/>
        <v>0</v>
      </c>
      <c r="H382" s="258">
        <f t="shared" si="89"/>
        <v>0</v>
      </c>
      <c r="I382" s="250"/>
      <c r="J382" s="251"/>
      <c r="K382" s="252"/>
      <c r="L382" s="253"/>
      <c r="M382" s="128"/>
      <c r="N382" s="128">
        <f t="shared" si="84"/>
        <v>0</v>
      </c>
      <c r="O382" s="254"/>
      <c r="P382" s="128">
        <f t="shared" si="85"/>
        <v>0</v>
      </c>
      <c r="Q382" s="18">
        <f t="shared" si="86"/>
        <v>0</v>
      </c>
      <c r="R382" s="255">
        <f t="shared" si="87"/>
        <v>0</v>
      </c>
      <c r="S382" s="1"/>
      <c r="T382" s="1">
        <f t="shared" si="104"/>
        <v>0</v>
      </c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1"/>
      <c r="AG382" s="1"/>
      <c r="AH382" s="1"/>
      <c r="AI382" s="1"/>
      <c r="AJ382" s="1"/>
    </row>
    <row r="383" spans="1:36" ht="13.5" customHeight="1">
      <c r="A383" s="259"/>
      <c r="B383" s="174" t="str">
        <f>TB!B420</f>
        <v>BV085</v>
      </c>
      <c r="C383" s="282" t="str">
        <f>TB!C420</f>
        <v>Groovy Soda</v>
      </c>
      <c r="D383" s="257">
        <f>SUMIF(GL!$D$5:$D$6446,B383,GL!$G$5:$G$6446)</f>
        <v>0</v>
      </c>
      <c r="E383" s="258">
        <f>SUMIF(GL!$D$6:$D$6484,B383,GL!$H$6:$H$6484)</f>
        <v>0</v>
      </c>
      <c r="F383" s="258">
        <f>SUMIF(GL!$D$6:$D$6484,B383,GL!$I$6:$I$6484)</f>
        <v>0</v>
      </c>
      <c r="G383" s="258">
        <f t="shared" si="88"/>
        <v>0</v>
      </c>
      <c r="H383" s="258">
        <f t="shared" si="89"/>
        <v>0</v>
      </c>
      <c r="I383" s="250"/>
      <c r="J383" s="251"/>
      <c r="K383" s="252"/>
      <c r="L383" s="253"/>
      <c r="M383" s="128"/>
      <c r="N383" s="128">
        <f t="shared" si="84"/>
        <v>0</v>
      </c>
      <c r="O383" s="254"/>
      <c r="P383" s="128">
        <f t="shared" si="85"/>
        <v>0</v>
      </c>
      <c r="Q383" s="18">
        <f t="shared" si="86"/>
        <v>0</v>
      </c>
      <c r="R383" s="255">
        <f t="shared" si="87"/>
        <v>0</v>
      </c>
      <c r="S383" s="1"/>
      <c r="T383" s="1">
        <f t="shared" si="104"/>
        <v>0</v>
      </c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1"/>
      <c r="AG383" s="1"/>
      <c r="AH383" s="1"/>
      <c r="AI383" s="1"/>
      <c r="AJ383" s="1"/>
    </row>
    <row r="384" spans="1:36" ht="13.5" customHeight="1">
      <c r="A384" s="259"/>
      <c r="B384" s="174" t="str">
        <f>TB!B421</f>
        <v>BV086</v>
      </c>
      <c r="C384" s="282" t="str">
        <f>TB!C421</f>
        <v>Grape Fruit/BUAH ANGGUR</v>
      </c>
      <c r="D384" s="257">
        <f>SUMIF(GL!$D$5:$D$6446,B384,GL!$G$5:$G$6446)</f>
        <v>3.5</v>
      </c>
      <c r="E384" s="258">
        <f>SUMIF(GL!$D$6:$D$6484,B384,GL!$H$6:$H$6484)</f>
        <v>325000</v>
      </c>
      <c r="F384" s="258">
        <f>SUMIF(GL!$D$6:$D$6484,B384,GL!$I$6:$I$6484)</f>
        <v>0</v>
      </c>
      <c r="G384" s="258">
        <f t="shared" si="88"/>
        <v>325000</v>
      </c>
      <c r="H384" s="258">
        <f t="shared" si="89"/>
        <v>0</v>
      </c>
      <c r="I384" s="250"/>
      <c r="J384" s="251">
        <v>100000</v>
      </c>
      <c r="K384" s="252"/>
      <c r="L384" s="253">
        <f t="shared" ref="L384:L387" si="115">D384+I384</f>
        <v>3.5</v>
      </c>
      <c r="M384" s="128">
        <f t="shared" ref="M384:M387" si="116">(G384+K384)/L384</f>
        <v>92857.142857142855</v>
      </c>
      <c r="N384" s="128">
        <f t="shared" si="84"/>
        <v>325000</v>
      </c>
      <c r="O384" s="254"/>
      <c r="P384" s="128">
        <f t="shared" si="85"/>
        <v>92857.142857142855</v>
      </c>
      <c r="Q384" s="18">
        <f t="shared" si="86"/>
        <v>0</v>
      </c>
      <c r="R384" s="255">
        <f t="shared" si="87"/>
        <v>325000</v>
      </c>
      <c r="S384" s="1"/>
      <c r="T384" s="1">
        <f t="shared" si="104"/>
        <v>7142.8571428571449</v>
      </c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1"/>
      <c r="AG384" s="1"/>
      <c r="AH384" s="1"/>
      <c r="AI384" s="1"/>
      <c r="AJ384" s="1"/>
    </row>
    <row r="385" spans="1:36" ht="13.5" customHeight="1">
      <c r="A385" s="259"/>
      <c r="B385" s="174" t="str">
        <f>TB!B422</f>
        <v>BV087</v>
      </c>
      <c r="C385" s="282" t="str">
        <f>TB!C422</f>
        <v>Cloud Seven Peach Delight</v>
      </c>
      <c r="D385" s="257">
        <f>SUMIF(GL!$D$5:$D$6446,B385,GL!$G$5:$G$6446)</f>
        <v>0</v>
      </c>
      <c r="E385" s="258">
        <f>SUMIF(GL!$D$6:$D$6484,B385,GL!$H$6:$H$6484)</f>
        <v>0</v>
      </c>
      <c r="F385" s="258">
        <f>SUMIF(GL!$D$6:$D$6484,B385,GL!$I$6:$I$6484)</f>
        <v>0</v>
      </c>
      <c r="G385" s="258">
        <f t="shared" si="88"/>
        <v>0</v>
      </c>
      <c r="H385" s="258">
        <f t="shared" si="89"/>
        <v>0</v>
      </c>
      <c r="I385" s="250">
        <v>13</v>
      </c>
      <c r="J385" s="251">
        <v>19300</v>
      </c>
      <c r="K385" s="252">
        <v>250900</v>
      </c>
      <c r="L385" s="253">
        <f t="shared" si="115"/>
        <v>13</v>
      </c>
      <c r="M385" s="128">
        <f t="shared" si="116"/>
        <v>19300</v>
      </c>
      <c r="N385" s="128">
        <f t="shared" si="84"/>
        <v>250900</v>
      </c>
      <c r="O385" s="254">
        <v>4</v>
      </c>
      <c r="P385" s="128">
        <f t="shared" si="85"/>
        <v>19300</v>
      </c>
      <c r="Q385" s="18">
        <f t="shared" si="86"/>
        <v>77200</v>
      </c>
      <c r="R385" s="255">
        <f t="shared" si="87"/>
        <v>173700</v>
      </c>
      <c r="S385" s="1"/>
      <c r="T385" s="1">
        <f t="shared" si="104"/>
        <v>0</v>
      </c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1"/>
      <c r="AG385" s="1"/>
      <c r="AH385" s="1"/>
      <c r="AI385" s="1"/>
      <c r="AJ385" s="1"/>
    </row>
    <row r="386" spans="1:36" ht="13.5" customHeight="1">
      <c r="A386" s="259"/>
      <c r="B386" s="174" t="str">
        <f>TB!B423</f>
        <v>BV088</v>
      </c>
      <c r="C386" s="282" t="str">
        <f>TB!C423</f>
        <v>Cloud Seven Smashing Grape</v>
      </c>
      <c r="D386" s="257">
        <f>SUMIF(GL!$D$5:$D$6446,B386,GL!$G$5:$G$6446)</f>
        <v>0</v>
      </c>
      <c r="E386" s="258">
        <f>SUMIF(GL!$D$6:$D$6484,B386,GL!$H$6:$H$6484)</f>
        <v>0</v>
      </c>
      <c r="F386" s="258">
        <f>SUMIF(GL!$D$6:$D$6484,B386,GL!$I$6:$I$6484)</f>
        <v>0</v>
      </c>
      <c r="G386" s="258">
        <f t="shared" si="88"/>
        <v>0</v>
      </c>
      <c r="H386" s="258">
        <f t="shared" si="89"/>
        <v>0</v>
      </c>
      <c r="I386" s="250">
        <v>20</v>
      </c>
      <c r="J386" s="251">
        <v>16543</v>
      </c>
      <c r="K386" s="252">
        <v>330857</v>
      </c>
      <c r="L386" s="253">
        <f t="shared" si="115"/>
        <v>20</v>
      </c>
      <c r="M386" s="128">
        <f t="shared" si="116"/>
        <v>16542.849999999999</v>
      </c>
      <c r="N386" s="128">
        <f t="shared" si="84"/>
        <v>330857</v>
      </c>
      <c r="O386" s="254">
        <v>13</v>
      </c>
      <c r="P386" s="128">
        <f t="shared" si="85"/>
        <v>16542.849999999999</v>
      </c>
      <c r="Q386" s="18">
        <f t="shared" si="86"/>
        <v>215057.05</v>
      </c>
      <c r="R386" s="255">
        <f t="shared" si="87"/>
        <v>115799.95000000001</v>
      </c>
      <c r="S386" s="1"/>
      <c r="T386" s="1">
        <f t="shared" si="104"/>
        <v>0.15000000000145519</v>
      </c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1"/>
      <c r="AG386" s="1"/>
      <c r="AH386" s="1"/>
      <c r="AI386" s="1"/>
      <c r="AJ386" s="1"/>
    </row>
    <row r="387" spans="1:36" ht="13.5" customHeight="1">
      <c r="A387" s="259"/>
      <c r="B387" s="174" t="str">
        <f>TB!B424</f>
        <v>BV089</v>
      </c>
      <c r="C387" s="282" t="str">
        <f>TB!C424</f>
        <v>Prost Rajawali / Lager Beer 330Ml</v>
      </c>
      <c r="D387" s="257">
        <f>SUMIF(GL!$D$5:$D$6446,B387,GL!$G$5:$G$6446)</f>
        <v>48</v>
      </c>
      <c r="E387" s="258">
        <f>SUMIF(GL!$D$6:$D$6484,B387,GL!$H$6:$H$6484)</f>
        <v>852000</v>
      </c>
      <c r="F387" s="258">
        <f>SUMIF(GL!$D$6:$D$6484,B387,GL!$I$6:$I$6484)</f>
        <v>0</v>
      </c>
      <c r="G387" s="258">
        <f t="shared" si="88"/>
        <v>852000</v>
      </c>
      <c r="H387" s="258">
        <f t="shared" si="89"/>
        <v>0</v>
      </c>
      <c r="I387" s="250">
        <v>28</v>
      </c>
      <c r="J387" s="251">
        <v>17750</v>
      </c>
      <c r="K387" s="252">
        <v>497000</v>
      </c>
      <c r="L387" s="253">
        <f t="shared" si="115"/>
        <v>76</v>
      </c>
      <c r="M387" s="128">
        <f t="shared" si="116"/>
        <v>17750</v>
      </c>
      <c r="N387" s="128">
        <f t="shared" si="84"/>
        <v>1349000</v>
      </c>
      <c r="O387" s="254">
        <v>59</v>
      </c>
      <c r="P387" s="128">
        <f t="shared" si="85"/>
        <v>17750</v>
      </c>
      <c r="Q387" s="18">
        <f t="shared" si="86"/>
        <v>1047250</v>
      </c>
      <c r="R387" s="255">
        <f t="shared" si="87"/>
        <v>301750</v>
      </c>
      <c r="S387" s="1"/>
      <c r="T387" s="1">
        <f t="shared" si="104"/>
        <v>0</v>
      </c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1"/>
      <c r="AG387" s="1"/>
      <c r="AH387" s="1"/>
      <c r="AI387" s="1"/>
      <c r="AJ387" s="1"/>
    </row>
    <row r="388" spans="1:36" ht="13.5" customHeight="1">
      <c r="A388" s="259"/>
      <c r="B388" s="174" t="str">
        <f>TB!B425</f>
        <v>BV090</v>
      </c>
      <c r="C388" s="282" t="str">
        <f>TB!C425</f>
        <v>Prost Alster Beer 330Ml</v>
      </c>
      <c r="D388" s="257">
        <f>SUMIF(GL!$D$5:$D$6446,B388,GL!$G$5:$G$6446)</f>
        <v>0</v>
      </c>
      <c r="E388" s="258">
        <f>SUMIF(GL!$D$6:$D$6484,B388,GL!$H$6:$H$6484)</f>
        <v>0</v>
      </c>
      <c r="F388" s="258">
        <f>SUMIF(GL!$D$6:$D$6484,B388,GL!$I$6:$I$6484)</f>
        <v>0</v>
      </c>
      <c r="G388" s="258">
        <f t="shared" si="88"/>
        <v>0</v>
      </c>
      <c r="H388" s="258">
        <f t="shared" si="89"/>
        <v>0</v>
      </c>
      <c r="I388" s="250"/>
      <c r="J388" s="251"/>
      <c r="K388" s="252"/>
      <c r="L388" s="253"/>
      <c r="M388" s="128"/>
      <c r="N388" s="128">
        <f t="shared" si="84"/>
        <v>0</v>
      </c>
      <c r="O388" s="254"/>
      <c r="P388" s="128">
        <f t="shared" si="85"/>
        <v>0</v>
      </c>
      <c r="Q388" s="18">
        <f t="shared" si="86"/>
        <v>0</v>
      </c>
      <c r="R388" s="255">
        <f t="shared" si="87"/>
        <v>0</v>
      </c>
      <c r="S388" s="1"/>
      <c r="T388" s="1">
        <f t="shared" si="104"/>
        <v>0</v>
      </c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1"/>
      <c r="AG388" s="1"/>
      <c r="AH388" s="1"/>
      <c r="AI388" s="1"/>
      <c r="AJ388" s="1"/>
    </row>
    <row r="389" spans="1:36" ht="13.5" customHeight="1">
      <c r="A389" s="259"/>
      <c r="B389" s="174" t="str">
        <f>TB!B426</f>
        <v>BV091</v>
      </c>
      <c r="C389" s="282" t="str">
        <f>TB!C426</f>
        <v>Cloud Seven Pomelo</v>
      </c>
      <c r="D389" s="257">
        <f>SUMIF(GL!$D$5:$D$6446,B389,GL!$G$5:$G$6446)</f>
        <v>0</v>
      </c>
      <c r="E389" s="258">
        <f>SUMIF(GL!$D$6:$D$6484,B389,GL!$H$6:$H$6484)</f>
        <v>0</v>
      </c>
      <c r="F389" s="258">
        <f>SUMIF(GL!$D$6:$D$6484,B389,GL!$I$6:$I$6484)</f>
        <v>0</v>
      </c>
      <c r="G389" s="258">
        <f t="shared" si="88"/>
        <v>0</v>
      </c>
      <c r="H389" s="258">
        <f t="shared" si="89"/>
        <v>0</v>
      </c>
      <c r="I389" s="250">
        <v>27</v>
      </c>
      <c r="J389" s="251">
        <v>19300</v>
      </c>
      <c r="K389" s="252">
        <v>521100</v>
      </c>
      <c r="L389" s="253">
        <f t="shared" ref="L389:L404" si="117">D389+I389</f>
        <v>27</v>
      </c>
      <c r="M389" s="128">
        <f t="shared" ref="M389:M403" si="118">(G389+K389)/L389</f>
        <v>19300</v>
      </c>
      <c r="N389" s="128">
        <f t="shared" si="84"/>
        <v>521100</v>
      </c>
      <c r="O389" s="254">
        <v>27</v>
      </c>
      <c r="P389" s="128">
        <f t="shared" si="85"/>
        <v>19300</v>
      </c>
      <c r="Q389" s="18">
        <f t="shared" si="86"/>
        <v>521100</v>
      </c>
      <c r="R389" s="255">
        <f t="shared" si="87"/>
        <v>0</v>
      </c>
      <c r="S389" s="1"/>
      <c r="T389" s="1">
        <f t="shared" si="104"/>
        <v>0</v>
      </c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1"/>
      <c r="AG389" s="1"/>
      <c r="AH389" s="1"/>
      <c r="AI389" s="1"/>
      <c r="AJ389" s="1"/>
    </row>
    <row r="390" spans="1:36" ht="13.5" customHeight="1">
      <c r="A390" s="259"/>
      <c r="B390" s="174" t="str">
        <f>TB!B427</f>
        <v>BV092</v>
      </c>
      <c r="C390" s="282" t="str">
        <f>TB!C427</f>
        <v>Singaraja Beer 330Ml</v>
      </c>
      <c r="D390" s="257">
        <f>SUMIF(GL!$D$5:$D$6446,B390,GL!$G$5:$G$6446)</f>
        <v>72</v>
      </c>
      <c r="E390" s="258">
        <f>SUMIF(GL!$D$6:$D$6484,B390,GL!$H$6:$H$6484)</f>
        <v>1080000</v>
      </c>
      <c r="F390" s="258">
        <f>SUMIF(GL!$D$6:$D$6484,B390,GL!$I$6:$I$6484)</f>
        <v>0</v>
      </c>
      <c r="G390" s="258">
        <f t="shared" si="88"/>
        <v>1080000</v>
      </c>
      <c r="H390" s="258">
        <f t="shared" si="89"/>
        <v>0</v>
      </c>
      <c r="I390" s="250">
        <v>160</v>
      </c>
      <c r="J390" s="251">
        <v>15301</v>
      </c>
      <c r="K390" s="252">
        <v>2448230</v>
      </c>
      <c r="L390" s="253">
        <f t="shared" si="117"/>
        <v>232</v>
      </c>
      <c r="M390" s="128">
        <f t="shared" si="118"/>
        <v>15207.887931034482</v>
      </c>
      <c r="N390" s="128">
        <f t="shared" si="84"/>
        <v>3528230</v>
      </c>
      <c r="O390" s="254">
        <v>156</v>
      </c>
      <c r="P390" s="128">
        <f t="shared" si="85"/>
        <v>15207.887931034482</v>
      </c>
      <c r="Q390" s="18">
        <f t="shared" si="86"/>
        <v>2372430.5172413792</v>
      </c>
      <c r="R390" s="255">
        <f t="shared" si="87"/>
        <v>1155799.4827586208</v>
      </c>
      <c r="S390" s="1"/>
      <c r="T390" s="1">
        <f t="shared" si="104"/>
        <v>93.11206896551812</v>
      </c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1"/>
      <c r="AG390" s="1"/>
      <c r="AH390" s="1"/>
      <c r="AI390" s="1"/>
      <c r="AJ390" s="1"/>
    </row>
    <row r="391" spans="1:36" ht="13.5" customHeight="1">
      <c r="A391" s="259"/>
      <c r="B391" s="174" t="str">
        <f>TB!B428</f>
        <v>BV093</v>
      </c>
      <c r="C391" s="282" t="str">
        <f>TB!C428</f>
        <v>Cloud Seven Mojito</v>
      </c>
      <c r="D391" s="257">
        <f>SUMIF(GL!$D$5:$D$6446,B391,GL!$G$5:$G$6446)</f>
        <v>0</v>
      </c>
      <c r="E391" s="258">
        <f>SUMIF(GL!$D$6:$D$6484,B391,GL!$H$6:$H$6484)</f>
        <v>0</v>
      </c>
      <c r="F391" s="258">
        <f>SUMIF(GL!$D$6:$D$6484,B391,GL!$I$6:$I$6484)</f>
        <v>0</v>
      </c>
      <c r="G391" s="258">
        <f t="shared" si="88"/>
        <v>0</v>
      </c>
      <c r="H391" s="258">
        <f t="shared" si="89"/>
        <v>0</v>
      </c>
      <c r="I391" s="250">
        <v>16</v>
      </c>
      <c r="J391" s="251">
        <v>19300</v>
      </c>
      <c r="K391" s="252">
        <v>308800</v>
      </c>
      <c r="L391" s="253">
        <f t="shared" si="117"/>
        <v>16</v>
      </c>
      <c r="M391" s="128">
        <f t="shared" si="118"/>
        <v>19300</v>
      </c>
      <c r="N391" s="128">
        <f t="shared" si="84"/>
        <v>308800</v>
      </c>
      <c r="O391" s="254">
        <v>16</v>
      </c>
      <c r="P391" s="128">
        <f t="shared" si="85"/>
        <v>19300</v>
      </c>
      <c r="Q391" s="18">
        <f t="shared" si="86"/>
        <v>308800</v>
      </c>
      <c r="R391" s="255">
        <f t="shared" si="87"/>
        <v>0</v>
      </c>
      <c r="S391" s="1"/>
      <c r="T391" s="1">
        <f t="shared" si="104"/>
        <v>0</v>
      </c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1"/>
      <c r="AG391" s="1"/>
      <c r="AH391" s="1"/>
      <c r="AI391" s="1"/>
      <c r="AJ391" s="1"/>
    </row>
    <row r="392" spans="1:36" ht="13.5" customHeight="1">
      <c r="A392" s="259"/>
      <c r="B392" s="174" t="str">
        <f>TB!B429</f>
        <v>BV094</v>
      </c>
      <c r="C392" s="282" t="str">
        <f>TB!C429</f>
        <v>Buah Kelapa</v>
      </c>
      <c r="D392" s="257">
        <f>SUMIF(GL!$D$5:$D$6446,B392,GL!$G$5:$G$6446)</f>
        <v>45</v>
      </c>
      <c r="E392" s="258">
        <f>SUMIF(GL!$D$6:$D$6484,B392,GL!$H$6:$H$6484)</f>
        <v>585000</v>
      </c>
      <c r="F392" s="258">
        <f>SUMIF(GL!$D$6:$D$6484,B392,GL!$I$6:$I$6484)</f>
        <v>0</v>
      </c>
      <c r="G392" s="258">
        <f t="shared" si="88"/>
        <v>585000</v>
      </c>
      <c r="H392" s="258">
        <f t="shared" si="89"/>
        <v>0</v>
      </c>
      <c r="I392" s="250"/>
      <c r="J392" s="251">
        <v>13000</v>
      </c>
      <c r="K392" s="252"/>
      <c r="L392" s="253">
        <f t="shared" si="117"/>
        <v>45</v>
      </c>
      <c r="M392" s="128">
        <f t="shared" si="118"/>
        <v>13000</v>
      </c>
      <c r="N392" s="128">
        <f t="shared" si="84"/>
        <v>585000</v>
      </c>
      <c r="O392" s="254">
        <v>0</v>
      </c>
      <c r="P392" s="128">
        <f t="shared" si="85"/>
        <v>13000</v>
      </c>
      <c r="Q392" s="18">
        <f t="shared" si="86"/>
        <v>0</v>
      </c>
      <c r="R392" s="255">
        <f t="shared" si="87"/>
        <v>585000</v>
      </c>
      <c r="S392" s="1"/>
      <c r="T392" s="1">
        <f t="shared" si="104"/>
        <v>0</v>
      </c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1"/>
      <c r="AG392" s="1"/>
      <c r="AH392" s="1"/>
      <c r="AI392" s="1"/>
      <c r="AJ392" s="1"/>
    </row>
    <row r="393" spans="1:36" ht="13.5" customHeight="1">
      <c r="A393" s="259"/>
      <c r="B393" s="174" t="str">
        <f>TB!B430</f>
        <v>BV095</v>
      </c>
      <c r="C393" s="282" t="str">
        <f>TB!C430</f>
        <v>Monin Wild Mint</v>
      </c>
      <c r="D393" s="257">
        <f>SUMIF(GL!$D$5:$D$6446,B393,GL!$G$5:$G$6446)</f>
        <v>4.8999999999999995</v>
      </c>
      <c r="E393" s="258">
        <f>SUMIF(GL!$D$6:$D$6484,B393,GL!$H$6:$H$6484)</f>
        <v>421950</v>
      </c>
      <c r="F393" s="258">
        <f>SUMIF(GL!$D$6:$D$6484,B393,GL!$I$6:$I$6484)</f>
        <v>0</v>
      </c>
      <c r="G393" s="258">
        <f t="shared" si="88"/>
        <v>421950</v>
      </c>
      <c r="H393" s="258">
        <f t="shared" si="89"/>
        <v>0</v>
      </c>
      <c r="I393" s="250">
        <v>4.3</v>
      </c>
      <c r="J393" s="251">
        <v>87906</v>
      </c>
      <c r="K393" s="252">
        <v>377996</v>
      </c>
      <c r="L393" s="253">
        <f t="shared" si="117"/>
        <v>9.1999999999999993</v>
      </c>
      <c r="M393" s="128">
        <f t="shared" si="118"/>
        <v>86950.652173913055</v>
      </c>
      <c r="N393" s="128">
        <f t="shared" si="84"/>
        <v>799946</v>
      </c>
      <c r="O393" s="254">
        <v>5.3</v>
      </c>
      <c r="P393" s="128">
        <f t="shared" si="85"/>
        <v>86950.652173913055</v>
      </c>
      <c r="Q393" s="18">
        <f t="shared" si="86"/>
        <v>460838.45652173919</v>
      </c>
      <c r="R393" s="255">
        <f t="shared" si="87"/>
        <v>339107.54347826081</v>
      </c>
      <c r="S393" s="1"/>
      <c r="T393" s="1">
        <f t="shared" si="104"/>
        <v>955.34782608694513</v>
      </c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1"/>
      <c r="AG393" s="1"/>
      <c r="AH393" s="1"/>
      <c r="AI393" s="1"/>
      <c r="AJ393" s="1"/>
    </row>
    <row r="394" spans="1:36" ht="13.5" customHeight="1">
      <c r="A394" s="259"/>
      <c r="B394" s="174" t="str">
        <f>TB!B431</f>
        <v>BV096</v>
      </c>
      <c r="C394" s="282" t="str">
        <f>TB!C431</f>
        <v xml:space="preserve"> Pandan Syrup</v>
      </c>
      <c r="D394" s="257">
        <f>SUMIF(GL!$D$5:$D$6446,B394,GL!$G$5:$G$6446)</f>
        <v>0</v>
      </c>
      <c r="E394" s="258">
        <f>SUMIF(GL!$D$6:$D$6484,B394,GL!$H$6:$H$6484)</f>
        <v>0</v>
      </c>
      <c r="F394" s="258">
        <f>SUMIF(GL!$D$6:$D$6484,B394,GL!$I$6:$I$6484)</f>
        <v>0</v>
      </c>
      <c r="G394" s="258">
        <f t="shared" si="88"/>
        <v>0</v>
      </c>
      <c r="H394" s="258">
        <f t="shared" si="89"/>
        <v>0</v>
      </c>
      <c r="I394" s="250">
        <v>1</v>
      </c>
      <c r="J394" s="251">
        <v>111000</v>
      </c>
      <c r="K394" s="252">
        <v>111000</v>
      </c>
      <c r="L394" s="253">
        <f t="shared" si="117"/>
        <v>1</v>
      </c>
      <c r="M394" s="128">
        <f t="shared" si="118"/>
        <v>111000</v>
      </c>
      <c r="N394" s="128">
        <f t="shared" si="84"/>
        <v>111000</v>
      </c>
      <c r="O394" s="254">
        <v>1</v>
      </c>
      <c r="P394" s="128">
        <f t="shared" si="85"/>
        <v>111000</v>
      </c>
      <c r="Q394" s="18">
        <f t="shared" si="86"/>
        <v>111000</v>
      </c>
      <c r="R394" s="255">
        <f t="shared" si="87"/>
        <v>0</v>
      </c>
      <c r="S394" s="1"/>
      <c r="T394" s="1">
        <f t="shared" si="104"/>
        <v>0</v>
      </c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1"/>
      <c r="AG394" s="1"/>
      <c r="AH394" s="1"/>
      <c r="AI394" s="1"/>
      <c r="AJ394" s="1"/>
    </row>
    <row r="395" spans="1:36" ht="13.5" customHeight="1">
      <c r="A395" s="259"/>
      <c r="B395" s="174" t="str">
        <f>TB!B432</f>
        <v>BV097</v>
      </c>
      <c r="C395" s="282" t="str">
        <f>TB!C432</f>
        <v xml:space="preserve"> Sugar Syrup</v>
      </c>
      <c r="D395" s="257">
        <f>SUMIF(GL!$D$5:$D$6446,B395,GL!$G$5:$G$6446)</f>
        <v>0</v>
      </c>
      <c r="E395" s="258">
        <f>SUMIF(GL!$D$6:$D$6484,B395,GL!$H$6:$H$6484)</f>
        <v>0</v>
      </c>
      <c r="F395" s="258">
        <f>SUMIF(GL!$D$6:$D$6484,B395,GL!$I$6:$I$6484)</f>
        <v>0</v>
      </c>
      <c r="G395" s="258">
        <f t="shared" si="88"/>
        <v>0</v>
      </c>
      <c r="H395" s="258">
        <f t="shared" si="89"/>
        <v>0</v>
      </c>
      <c r="I395" s="250">
        <v>1</v>
      </c>
      <c r="J395" s="251" t="s">
        <v>3828</v>
      </c>
      <c r="K395" s="252"/>
      <c r="L395" s="253">
        <f t="shared" si="117"/>
        <v>1</v>
      </c>
      <c r="M395" s="128">
        <f t="shared" si="118"/>
        <v>0</v>
      </c>
      <c r="N395" s="128">
        <f t="shared" si="84"/>
        <v>0</v>
      </c>
      <c r="O395" s="254">
        <v>1</v>
      </c>
      <c r="P395" s="128">
        <f t="shared" si="85"/>
        <v>0</v>
      </c>
      <c r="Q395" s="18">
        <f t="shared" si="86"/>
        <v>0</v>
      </c>
      <c r="R395" s="255">
        <f t="shared" si="87"/>
        <v>0</v>
      </c>
      <c r="S395" s="1"/>
      <c r="T395" s="1"/>
      <c r="U395" s="1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1"/>
      <c r="AG395" s="1"/>
      <c r="AH395" s="1"/>
      <c r="AI395" s="1"/>
      <c r="AJ395" s="1"/>
    </row>
    <row r="396" spans="1:36" ht="13.5" customHeight="1">
      <c r="A396" s="259"/>
      <c r="B396" s="174" t="str">
        <f>TB!B433</f>
        <v>BV098</v>
      </c>
      <c r="C396" s="282" t="str">
        <f>TB!C433</f>
        <v xml:space="preserve"> Coconut Syrup</v>
      </c>
      <c r="D396" s="257">
        <f>SUMIF(GL!$D$5:$D$6446,B396,GL!$G$5:$G$6446)</f>
        <v>0</v>
      </c>
      <c r="E396" s="258">
        <f>SUMIF(GL!$D$6:$D$6484,B396,GL!$H$6:$H$6484)</f>
        <v>0</v>
      </c>
      <c r="F396" s="258">
        <f>SUMIF(GL!$D$6:$D$6484,B396,GL!$I$6:$I$6484)</f>
        <v>0</v>
      </c>
      <c r="G396" s="258">
        <f t="shared" si="88"/>
        <v>0</v>
      </c>
      <c r="H396" s="258">
        <f t="shared" si="89"/>
        <v>0</v>
      </c>
      <c r="I396" s="250">
        <v>1</v>
      </c>
      <c r="J396" s="251">
        <v>111000</v>
      </c>
      <c r="K396" s="252">
        <v>111000</v>
      </c>
      <c r="L396" s="253">
        <f t="shared" si="117"/>
        <v>1</v>
      </c>
      <c r="M396" s="128">
        <f t="shared" si="118"/>
        <v>111000</v>
      </c>
      <c r="N396" s="128">
        <f t="shared" si="84"/>
        <v>111000</v>
      </c>
      <c r="O396" s="254">
        <v>1</v>
      </c>
      <c r="P396" s="128">
        <f t="shared" si="85"/>
        <v>111000</v>
      </c>
      <c r="Q396" s="18">
        <f t="shared" si="86"/>
        <v>111000</v>
      </c>
      <c r="R396" s="255">
        <f t="shared" si="87"/>
        <v>0</v>
      </c>
      <c r="S396" s="1"/>
      <c r="T396" s="1">
        <f t="shared" ref="T396:T400" si="119">J396-M396</f>
        <v>0</v>
      </c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1"/>
      <c r="AG396" s="1"/>
      <c r="AH396" s="1"/>
      <c r="AI396" s="1"/>
      <c r="AJ396" s="1"/>
    </row>
    <row r="397" spans="1:36" ht="13.5" customHeight="1">
      <c r="A397" s="259"/>
      <c r="B397" s="174" t="str">
        <f>TB!B434</f>
        <v>BV099</v>
      </c>
      <c r="C397" s="282" t="str">
        <f>TB!C434</f>
        <v>Oasis Sparkling 380Ml</v>
      </c>
      <c r="D397" s="257">
        <f>SUMIF(GL!$D$5:$D$6446,B397,GL!$G$5:$G$6446)</f>
        <v>48</v>
      </c>
      <c r="E397" s="258">
        <f>SUMIF(GL!$D$6:$D$6484,B397,GL!$H$6:$H$6484)</f>
        <v>440000</v>
      </c>
      <c r="F397" s="258">
        <f>SUMIF(GL!$D$6:$D$6484,B397,GL!$I$6:$I$6484)</f>
        <v>0</v>
      </c>
      <c r="G397" s="258">
        <f t="shared" si="88"/>
        <v>440000</v>
      </c>
      <c r="H397" s="258">
        <f t="shared" si="89"/>
        <v>0</v>
      </c>
      <c r="I397" s="250">
        <v>131</v>
      </c>
      <c r="J397" s="251">
        <v>9165</v>
      </c>
      <c r="K397" s="252">
        <v>1200653</v>
      </c>
      <c r="L397" s="253">
        <f t="shared" si="117"/>
        <v>179</v>
      </c>
      <c r="M397" s="128">
        <f t="shared" si="118"/>
        <v>9165.6592178770952</v>
      </c>
      <c r="N397" s="128">
        <f t="shared" si="84"/>
        <v>1640653</v>
      </c>
      <c r="O397" s="254">
        <v>94</v>
      </c>
      <c r="P397" s="128">
        <f t="shared" si="85"/>
        <v>9165.6592178770952</v>
      </c>
      <c r="Q397" s="18">
        <f t="shared" si="86"/>
        <v>861571.96648044698</v>
      </c>
      <c r="R397" s="255">
        <f t="shared" si="87"/>
        <v>779081.03351955302</v>
      </c>
      <c r="S397" s="1"/>
      <c r="T397" s="1">
        <f t="shared" si="119"/>
        <v>-0.65921787709521595</v>
      </c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1"/>
      <c r="AG397" s="1"/>
      <c r="AH397" s="1"/>
      <c r="AI397" s="1"/>
      <c r="AJ397" s="1"/>
    </row>
    <row r="398" spans="1:36" ht="13.5" customHeight="1">
      <c r="A398" s="259"/>
      <c r="B398" s="174" t="str">
        <f>TB!B435</f>
        <v>BV100</v>
      </c>
      <c r="C398" s="282" t="str">
        <f>TB!C435</f>
        <v>Oasis Blue 380Ml</v>
      </c>
      <c r="D398" s="257">
        <f>SUMIF(GL!$D$5:$D$6446,B398,GL!$G$5:$G$6446)</f>
        <v>1800</v>
      </c>
      <c r="E398" s="258">
        <f>SUMIF(GL!$D$6:$D$6484,B398,GL!$H$6:$H$6484)</f>
        <v>15000000</v>
      </c>
      <c r="F398" s="258">
        <f>SUMIF(GL!$D$6:$D$6484,B398,GL!$I$6:$I$6484)</f>
        <v>0</v>
      </c>
      <c r="G398" s="258">
        <f t="shared" si="88"/>
        <v>15000000</v>
      </c>
      <c r="H398" s="258">
        <f t="shared" si="89"/>
        <v>0</v>
      </c>
      <c r="I398" s="250">
        <v>706</v>
      </c>
      <c r="J398" s="251">
        <v>8333</v>
      </c>
      <c r="K398" s="252">
        <v>5883333</v>
      </c>
      <c r="L398" s="253">
        <f t="shared" si="117"/>
        <v>2506</v>
      </c>
      <c r="M398" s="128">
        <f t="shared" si="118"/>
        <v>8333.3332003192336</v>
      </c>
      <c r="N398" s="128">
        <f t="shared" si="84"/>
        <v>20883333</v>
      </c>
      <c r="O398" s="254">
        <v>822</v>
      </c>
      <c r="P398" s="128">
        <f t="shared" si="85"/>
        <v>8333.3332003192336</v>
      </c>
      <c r="Q398" s="18">
        <f t="shared" si="86"/>
        <v>6849999.8906624103</v>
      </c>
      <c r="R398" s="255">
        <f t="shared" si="87"/>
        <v>14033333.109337591</v>
      </c>
      <c r="S398" s="1"/>
      <c r="T398" s="1">
        <f t="shared" si="119"/>
        <v>-0.33320031923358329</v>
      </c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1"/>
      <c r="AG398" s="1"/>
      <c r="AH398" s="1"/>
      <c r="AI398" s="1"/>
      <c r="AJ398" s="1"/>
    </row>
    <row r="399" spans="1:36" ht="13.5" customHeight="1">
      <c r="A399" s="259"/>
      <c r="B399" s="174" t="str">
        <f>TB!B436</f>
        <v>BV101</v>
      </c>
      <c r="C399" s="282" t="str">
        <f>TB!C436</f>
        <v>Oasis Blue 750 Ml</v>
      </c>
      <c r="D399" s="257">
        <f>SUMIF(GL!$D$5:$D$6446,B399,GL!$G$5:$G$6446)</f>
        <v>30</v>
      </c>
      <c r="E399" s="258">
        <f>SUMIF(GL!$D$6:$D$6484,B399,GL!$H$6:$H$6484)</f>
        <v>500000</v>
      </c>
      <c r="F399" s="258">
        <f>SUMIF(GL!$D$6:$D$6484,B399,GL!$I$6:$I$6484)</f>
        <v>0</v>
      </c>
      <c r="G399" s="258">
        <f t="shared" si="88"/>
        <v>500000</v>
      </c>
      <c r="H399" s="258">
        <f t="shared" si="89"/>
        <v>0</v>
      </c>
      <c r="I399" s="250">
        <v>10</v>
      </c>
      <c r="J399" s="251">
        <v>18333</v>
      </c>
      <c r="K399" s="252">
        <v>183330</v>
      </c>
      <c r="L399" s="253">
        <f t="shared" si="117"/>
        <v>40</v>
      </c>
      <c r="M399" s="128">
        <f t="shared" si="118"/>
        <v>17083.25</v>
      </c>
      <c r="N399" s="128">
        <f t="shared" si="84"/>
        <v>683330</v>
      </c>
      <c r="O399" s="254">
        <v>42</v>
      </c>
      <c r="P399" s="128">
        <f t="shared" si="85"/>
        <v>17083.25</v>
      </c>
      <c r="Q399" s="18">
        <f t="shared" si="86"/>
        <v>717496.5</v>
      </c>
      <c r="R399" s="255">
        <f t="shared" si="87"/>
        <v>-34166.5</v>
      </c>
      <c r="S399" s="1"/>
      <c r="T399" s="1">
        <f t="shared" si="119"/>
        <v>1249.75</v>
      </c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1"/>
      <c r="AG399" s="1"/>
      <c r="AH399" s="1"/>
      <c r="AI399" s="1"/>
      <c r="AJ399" s="1"/>
    </row>
    <row r="400" spans="1:36" ht="13.5" customHeight="1">
      <c r="A400" s="259"/>
      <c r="B400" s="174" t="str">
        <f>TB!B437</f>
        <v>BV102</v>
      </c>
      <c r="C400" s="282" t="str">
        <f>TB!C437</f>
        <v>Summer Pale Ale</v>
      </c>
      <c r="D400" s="257">
        <f>SUMIF(GL!$D$5:$D$6446,B400,GL!$G$5:$G$6446)</f>
        <v>0</v>
      </c>
      <c r="E400" s="258">
        <f>SUMIF(GL!$D$6:$D$6484,B400,GL!$H$6:$H$6484)</f>
        <v>0</v>
      </c>
      <c r="F400" s="258">
        <f>SUMIF(GL!$D$6:$D$6484,B400,GL!$I$6:$I$6484)</f>
        <v>0</v>
      </c>
      <c r="G400" s="258">
        <f t="shared" si="88"/>
        <v>0</v>
      </c>
      <c r="H400" s="258">
        <f t="shared" si="89"/>
        <v>0</v>
      </c>
      <c r="I400" s="250">
        <v>28</v>
      </c>
      <c r="J400" s="251">
        <v>37498</v>
      </c>
      <c r="K400" s="252">
        <v>1049940</v>
      </c>
      <c r="L400" s="253">
        <f t="shared" si="117"/>
        <v>28</v>
      </c>
      <c r="M400" s="128">
        <f t="shared" si="118"/>
        <v>37497.857142857145</v>
      </c>
      <c r="N400" s="128">
        <f t="shared" si="84"/>
        <v>1049940</v>
      </c>
      <c r="O400" s="254"/>
      <c r="P400" s="128">
        <f t="shared" si="85"/>
        <v>37497.857142857145</v>
      </c>
      <c r="Q400" s="18">
        <f t="shared" si="86"/>
        <v>0</v>
      </c>
      <c r="R400" s="255">
        <f t="shared" si="87"/>
        <v>1049940</v>
      </c>
      <c r="S400" s="1"/>
      <c r="T400" s="1">
        <f t="shared" si="119"/>
        <v>0.14285714285506401</v>
      </c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1"/>
      <c r="AG400" s="1"/>
      <c r="AH400" s="1"/>
      <c r="AI400" s="1"/>
      <c r="AJ400" s="1"/>
    </row>
    <row r="401" spans="1:36" ht="13.5" customHeight="1">
      <c r="A401" s="259"/>
      <c r="B401" s="174" t="str">
        <f>TB!B438</f>
        <v>BV103</v>
      </c>
      <c r="C401" s="282" t="str">
        <f>TB!C438</f>
        <v>Pilsner</v>
      </c>
      <c r="D401" s="257">
        <f>SUMIF(GL!$D$5:$D$6446,B401,GL!$G$5:$G$6446)</f>
        <v>0</v>
      </c>
      <c r="E401" s="258">
        <f>SUMIF(GL!$D$6:$D$6484,B401,GL!$H$6:$H$6484)</f>
        <v>0</v>
      </c>
      <c r="F401" s="258">
        <f>SUMIF(GL!$D$6:$D$6484,B401,GL!$I$6:$I$6484)</f>
        <v>0</v>
      </c>
      <c r="G401" s="258">
        <f t="shared" si="88"/>
        <v>0</v>
      </c>
      <c r="H401" s="258">
        <f t="shared" si="89"/>
        <v>0</v>
      </c>
      <c r="I401" s="250">
        <v>8</v>
      </c>
      <c r="J401" s="251" t="s">
        <v>3828</v>
      </c>
      <c r="K401" s="252"/>
      <c r="L401" s="253">
        <f t="shared" si="117"/>
        <v>8</v>
      </c>
      <c r="M401" s="128">
        <f t="shared" si="118"/>
        <v>0</v>
      </c>
      <c r="N401" s="128">
        <f t="shared" si="84"/>
        <v>0</v>
      </c>
      <c r="O401" s="254">
        <v>8</v>
      </c>
      <c r="P401" s="128">
        <f t="shared" si="85"/>
        <v>0</v>
      </c>
      <c r="Q401" s="18">
        <f t="shared" si="86"/>
        <v>0</v>
      </c>
      <c r="R401" s="255">
        <f t="shared" si="87"/>
        <v>0</v>
      </c>
      <c r="S401" s="1"/>
      <c r="T401" s="1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1"/>
      <c r="AG401" s="1"/>
      <c r="AH401" s="1"/>
      <c r="AI401" s="1"/>
      <c r="AJ401" s="1"/>
    </row>
    <row r="402" spans="1:36" ht="13.5" customHeight="1">
      <c r="A402" s="259"/>
      <c r="B402" s="174" t="str">
        <f>TB!B439</f>
        <v>BV104</v>
      </c>
      <c r="C402" s="282" t="str">
        <f>TB!C439</f>
        <v>Ib Light Lager</v>
      </c>
      <c r="D402" s="257">
        <f>SUMIF(GL!$D$5:$D$6446,B402,GL!$G$5:$G$6446)</f>
        <v>0</v>
      </c>
      <c r="E402" s="258">
        <f>SUMIF(GL!$D$6:$D$6484,B402,GL!$H$6:$H$6484)</f>
        <v>0</v>
      </c>
      <c r="F402" s="258">
        <f>SUMIF(GL!$D$6:$D$6484,B402,GL!$I$6:$I$6484)</f>
        <v>0</v>
      </c>
      <c r="G402" s="258">
        <f t="shared" si="88"/>
        <v>0</v>
      </c>
      <c r="H402" s="258">
        <f t="shared" si="89"/>
        <v>0</v>
      </c>
      <c r="I402" s="250">
        <v>20</v>
      </c>
      <c r="J402" s="251" t="s">
        <v>3828</v>
      </c>
      <c r="K402" s="252"/>
      <c r="L402" s="253">
        <f t="shared" si="117"/>
        <v>20</v>
      </c>
      <c r="M402" s="128">
        <f t="shared" si="118"/>
        <v>0</v>
      </c>
      <c r="N402" s="128">
        <f t="shared" si="84"/>
        <v>0</v>
      </c>
      <c r="O402" s="254">
        <v>19</v>
      </c>
      <c r="P402" s="128">
        <f t="shared" si="85"/>
        <v>0</v>
      </c>
      <c r="Q402" s="18">
        <f t="shared" si="86"/>
        <v>0</v>
      </c>
      <c r="R402" s="255">
        <f t="shared" si="87"/>
        <v>0</v>
      </c>
      <c r="S402" s="1"/>
      <c r="T402" s="1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1"/>
      <c r="AG402" s="1"/>
      <c r="AH402" s="1"/>
      <c r="AI402" s="1"/>
      <c r="AJ402" s="1"/>
    </row>
    <row r="403" spans="1:36" ht="13.5" customHeight="1">
      <c r="A403" s="259"/>
      <c r="B403" s="174" t="str">
        <f>TB!B440</f>
        <v>BV105</v>
      </c>
      <c r="C403" s="282" t="str">
        <f>TB!C440</f>
        <v>Brewery Island Lager</v>
      </c>
      <c r="D403" s="257">
        <f>SUMIF(GL!$D$5:$D$6446,B403,GL!$G$5:$G$6446)</f>
        <v>0</v>
      </c>
      <c r="E403" s="258">
        <f>SUMIF(GL!$D$6:$D$6484,B403,GL!$H$6:$H$6484)</f>
        <v>0</v>
      </c>
      <c r="F403" s="258">
        <f>SUMIF(GL!$D$6:$D$6484,B403,GL!$I$6:$I$6484)</f>
        <v>0</v>
      </c>
      <c r="G403" s="258">
        <f t="shared" si="88"/>
        <v>0</v>
      </c>
      <c r="H403" s="258">
        <f t="shared" si="89"/>
        <v>0</v>
      </c>
      <c r="I403" s="250">
        <v>6</v>
      </c>
      <c r="J403" s="251">
        <v>43077</v>
      </c>
      <c r="K403" s="252">
        <v>258463</v>
      </c>
      <c r="L403" s="253">
        <f t="shared" si="117"/>
        <v>6</v>
      </c>
      <c r="M403" s="128">
        <f t="shared" si="118"/>
        <v>43077.166666666664</v>
      </c>
      <c r="N403" s="128">
        <f t="shared" si="84"/>
        <v>258463</v>
      </c>
      <c r="O403" s="254">
        <v>3</v>
      </c>
      <c r="P403" s="128">
        <f t="shared" si="85"/>
        <v>43077.166666666664</v>
      </c>
      <c r="Q403" s="18">
        <f t="shared" si="86"/>
        <v>129231.5</v>
      </c>
      <c r="R403" s="255">
        <f t="shared" si="87"/>
        <v>129231.5</v>
      </c>
      <c r="S403" s="1"/>
      <c r="T403" s="1">
        <f t="shared" ref="T403:T437" si="120">J403-M403</f>
        <v>-0.16666666666424135</v>
      </c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1"/>
      <c r="AG403" s="1"/>
      <c r="AH403" s="1"/>
      <c r="AI403" s="1"/>
      <c r="AJ403" s="1"/>
    </row>
    <row r="404" spans="1:36" ht="13.5" customHeight="1">
      <c r="A404" s="259"/>
      <c r="B404" s="174">
        <f>TB!B441</f>
        <v>0</v>
      </c>
      <c r="C404" s="282">
        <f>TB!C441</f>
        <v>0</v>
      </c>
      <c r="D404" s="257">
        <f>SUMIF(GL!$D$5:$D$6446,B404,GL!$G$5:$G$6446)</f>
        <v>0</v>
      </c>
      <c r="E404" s="258">
        <f>SUMIF(GL!$D$6:$D$6484,B404,GL!$H$6:$H$6484)</f>
        <v>0</v>
      </c>
      <c r="F404" s="258">
        <f>SUMIF(GL!$D$6:$D$6484,B404,GL!$I$6:$I$6484)</f>
        <v>0</v>
      </c>
      <c r="G404" s="258">
        <f t="shared" si="88"/>
        <v>0</v>
      </c>
      <c r="H404" s="258">
        <f t="shared" si="89"/>
        <v>0</v>
      </c>
      <c r="I404" s="250"/>
      <c r="J404" s="251"/>
      <c r="K404" s="252"/>
      <c r="L404" s="253">
        <f t="shared" si="117"/>
        <v>0</v>
      </c>
      <c r="M404" s="128"/>
      <c r="N404" s="128">
        <f t="shared" si="84"/>
        <v>0</v>
      </c>
      <c r="O404" s="254">
        <v>0</v>
      </c>
      <c r="P404" s="128">
        <f t="shared" si="85"/>
        <v>0</v>
      </c>
      <c r="Q404" s="18">
        <f t="shared" si="86"/>
        <v>0</v>
      </c>
      <c r="R404" s="255">
        <f t="shared" si="87"/>
        <v>0</v>
      </c>
      <c r="S404" s="1"/>
      <c r="T404" s="1">
        <f t="shared" si="120"/>
        <v>0</v>
      </c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1"/>
      <c r="AG404" s="1"/>
      <c r="AH404" s="1"/>
      <c r="AI404" s="1"/>
      <c r="AJ404" s="1"/>
    </row>
    <row r="405" spans="1:36" ht="13.5" customHeight="1">
      <c r="A405" s="259"/>
      <c r="B405" s="15"/>
      <c r="C405" s="288" t="s">
        <v>2630</v>
      </c>
      <c r="D405" s="257">
        <f>SUMIF(GL!$D$5:$D$6446,B405,GL!$G$5:$G$6446)</f>
        <v>0</v>
      </c>
      <c r="E405" s="258">
        <f>SUMIF(GL!$D$6:$D$6484,B405,GL!$H$6:$H$6484)</f>
        <v>0</v>
      </c>
      <c r="F405" s="258">
        <f>SUMIF(GL!$D$6:$D$6484,B405,GL!$I$6:$I$6484)</f>
        <v>0</v>
      </c>
      <c r="G405" s="258">
        <f t="shared" si="88"/>
        <v>0</v>
      </c>
      <c r="H405" s="258">
        <f t="shared" si="89"/>
        <v>0</v>
      </c>
      <c r="I405" s="250"/>
      <c r="J405" s="251"/>
      <c r="K405" s="252"/>
      <c r="L405" s="253"/>
      <c r="M405" s="128"/>
      <c r="N405" s="128">
        <f t="shared" si="84"/>
        <v>0</v>
      </c>
      <c r="O405" s="254"/>
      <c r="P405" s="128">
        <f t="shared" si="85"/>
        <v>0</v>
      </c>
      <c r="Q405" s="18">
        <f t="shared" si="86"/>
        <v>0</v>
      </c>
      <c r="R405" s="255">
        <f t="shared" si="87"/>
        <v>0</v>
      </c>
      <c r="S405" s="1"/>
      <c r="T405" s="1">
        <f t="shared" si="120"/>
        <v>0</v>
      </c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1"/>
      <c r="AG405" s="1"/>
      <c r="AH405" s="1"/>
      <c r="AI405" s="1"/>
      <c r="AJ405" s="1"/>
    </row>
    <row r="406" spans="1:36" ht="13.5" customHeight="1">
      <c r="A406" s="259"/>
      <c r="B406" s="15"/>
      <c r="C406" s="261" t="s">
        <v>3831</v>
      </c>
      <c r="D406" s="257">
        <f>SUMIF(GL!$D$5:$D$6446,B406,GL!$G$5:$G$6446)</f>
        <v>0</v>
      </c>
      <c r="E406" s="258">
        <f>SUMIF(GL!$D$6:$D$6484,B406,GL!$H$6:$H$6484)</f>
        <v>0</v>
      </c>
      <c r="F406" s="258">
        <f>SUMIF(GL!$D$6:$D$6484,B406,GL!$I$6:$I$6484)</f>
        <v>0</v>
      </c>
      <c r="G406" s="258">
        <f t="shared" si="88"/>
        <v>0</v>
      </c>
      <c r="H406" s="258">
        <f t="shared" si="89"/>
        <v>0</v>
      </c>
      <c r="I406" s="250"/>
      <c r="J406" s="251"/>
      <c r="K406" s="252"/>
      <c r="L406" s="253"/>
      <c r="M406" s="128"/>
      <c r="N406" s="128">
        <f t="shared" si="84"/>
        <v>0</v>
      </c>
      <c r="O406" s="254"/>
      <c r="P406" s="128">
        <f t="shared" si="85"/>
        <v>0</v>
      </c>
      <c r="Q406" s="18">
        <f t="shared" si="86"/>
        <v>0</v>
      </c>
      <c r="R406" s="255">
        <f t="shared" si="87"/>
        <v>0</v>
      </c>
      <c r="S406" s="1"/>
      <c r="T406" s="1">
        <f t="shared" si="120"/>
        <v>0</v>
      </c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1"/>
      <c r="AG406" s="1"/>
      <c r="AH406" s="1"/>
      <c r="AI406" s="1"/>
      <c r="AJ406" s="1"/>
    </row>
    <row r="407" spans="1:36" ht="13.5" customHeight="1">
      <c r="A407" s="259"/>
      <c r="B407" s="15" t="str">
        <f>TB!B446</f>
        <v>SP001</v>
      </c>
      <c r="C407" s="288" t="str">
        <f>TB!C446</f>
        <v>Dome Platinum Vodka</v>
      </c>
      <c r="D407" s="257">
        <f>SUMIF(GL!$D$5:$D$6446,B407,GL!$G$5:$G$6446)</f>
        <v>0</v>
      </c>
      <c r="E407" s="258">
        <f>SUMIF(GL!$D$6:$D$6484,B407,GL!$H$6:$H$6484)</f>
        <v>0</v>
      </c>
      <c r="F407" s="258">
        <f>SUMIF(GL!$D$6:$D$6484,B407,GL!$I$6:$I$6484)</f>
        <v>0</v>
      </c>
      <c r="G407" s="258">
        <f t="shared" si="88"/>
        <v>0</v>
      </c>
      <c r="H407" s="258">
        <f t="shared" si="89"/>
        <v>0</v>
      </c>
      <c r="I407" s="250"/>
      <c r="J407" s="251"/>
      <c r="K407" s="252"/>
      <c r="L407" s="253"/>
      <c r="M407" s="128"/>
      <c r="N407" s="128">
        <f t="shared" si="84"/>
        <v>0</v>
      </c>
      <c r="O407" s="254"/>
      <c r="P407" s="128">
        <f t="shared" si="85"/>
        <v>0</v>
      </c>
      <c r="Q407" s="18">
        <f t="shared" si="86"/>
        <v>0</v>
      </c>
      <c r="R407" s="255">
        <f t="shared" si="87"/>
        <v>0</v>
      </c>
      <c r="S407" s="1"/>
      <c r="T407" s="1">
        <f t="shared" si="120"/>
        <v>0</v>
      </c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1"/>
      <c r="AG407" s="1"/>
      <c r="AH407" s="1"/>
      <c r="AI407" s="1"/>
      <c r="AJ407" s="1"/>
    </row>
    <row r="408" spans="1:36" ht="13.5" customHeight="1">
      <c r="A408" s="259"/>
      <c r="B408" s="15" t="str">
        <f>TB!B447</f>
        <v>SP002</v>
      </c>
      <c r="C408" s="288" t="str">
        <f>TB!C447</f>
        <v>Smirnoff Vodka</v>
      </c>
      <c r="D408" s="257">
        <f>SUMIF(GL!$D$5:$D$6446,B408,GL!$G$5:$G$6446)</f>
        <v>0</v>
      </c>
      <c r="E408" s="258">
        <f>SUMIF(GL!$D$6:$D$6484,B408,GL!$H$6:$H$6484)</f>
        <v>0</v>
      </c>
      <c r="F408" s="258">
        <f>SUMIF(GL!$D$6:$D$6484,B408,GL!$I$6:$I$6484)</f>
        <v>0</v>
      </c>
      <c r="G408" s="258">
        <f t="shared" si="88"/>
        <v>0</v>
      </c>
      <c r="H408" s="258">
        <f t="shared" si="89"/>
        <v>0</v>
      </c>
      <c r="I408" s="250"/>
      <c r="J408" s="251"/>
      <c r="K408" s="252"/>
      <c r="L408" s="253"/>
      <c r="M408" s="128"/>
      <c r="N408" s="128">
        <f t="shared" si="84"/>
        <v>0</v>
      </c>
      <c r="O408" s="254"/>
      <c r="P408" s="128">
        <f t="shared" si="85"/>
        <v>0</v>
      </c>
      <c r="Q408" s="18">
        <f t="shared" si="86"/>
        <v>0</v>
      </c>
      <c r="R408" s="255">
        <f t="shared" si="87"/>
        <v>0</v>
      </c>
      <c r="S408" s="1"/>
      <c r="T408" s="1">
        <f t="shared" si="120"/>
        <v>0</v>
      </c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1"/>
      <c r="AG408" s="1"/>
      <c r="AH408" s="1"/>
      <c r="AI408" s="1"/>
      <c r="AJ408" s="1"/>
    </row>
    <row r="409" spans="1:36" ht="13.5" customHeight="1">
      <c r="A409" s="259"/>
      <c r="B409" s="15" t="str">
        <f>TB!B448</f>
        <v>SP003</v>
      </c>
      <c r="C409" s="288" t="str">
        <f>TB!C448</f>
        <v>Smirnoff Vodka Small 200Ml</v>
      </c>
      <c r="D409" s="257">
        <f>SUMIF(GL!$D$5:$D$6446,B409,GL!$G$5:$G$6446)</f>
        <v>0</v>
      </c>
      <c r="E409" s="258">
        <f>SUMIF(GL!$D$6:$D$6484,B409,GL!$H$6:$H$6484)</f>
        <v>0</v>
      </c>
      <c r="F409" s="258">
        <f>SUMIF(GL!$D$6:$D$6484,B409,GL!$I$6:$I$6484)</f>
        <v>0</v>
      </c>
      <c r="G409" s="258">
        <f t="shared" si="88"/>
        <v>0</v>
      </c>
      <c r="H409" s="258">
        <f t="shared" si="89"/>
        <v>0</v>
      </c>
      <c r="I409" s="250"/>
      <c r="J409" s="251"/>
      <c r="K409" s="252"/>
      <c r="L409" s="253"/>
      <c r="M409" s="128"/>
      <c r="N409" s="128">
        <f t="shared" si="84"/>
        <v>0</v>
      </c>
      <c r="O409" s="254"/>
      <c r="P409" s="128">
        <f t="shared" si="85"/>
        <v>0</v>
      </c>
      <c r="Q409" s="18">
        <f t="shared" si="86"/>
        <v>0</v>
      </c>
      <c r="R409" s="255">
        <f t="shared" si="87"/>
        <v>0</v>
      </c>
      <c r="S409" s="1"/>
      <c r="T409" s="1">
        <f t="shared" si="120"/>
        <v>0</v>
      </c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1"/>
      <c r="AG409" s="1"/>
      <c r="AH409" s="1"/>
      <c r="AI409" s="1"/>
      <c r="AJ409" s="1"/>
    </row>
    <row r="410" spans="1:36" ht="13.5" customHeight="1">
      <c r="A410" s="259"/>
      <c r="B410" s="15" t="str">
        <f>TB!B449</f>
        <v>SP004</v>
      </c>
      <c r="C410" s="288" t="str">
        <f>TB!C449</f>
        <v>Absolute Blue Vodka</v>
      </c>
      <c r="D410" s="257">
        <f>SUMIF(GL!$D$5:$D$6446,B410,GL!$G$5:$G$6446)</f>
        <v>13</v>
      </c>
      <c r="E410" s="258">
        <f>SUMIF(GL!$D$6:$D$6484,B410,GL!$H$6:$H$6484)</f>
        <v>3900000</v>
      </c>
      <c r="F410" s="258">
        <f>SUMIF(GL!$D$6:$D$6484,B410,GL!$I$6:$I$6484)</f>
        <v>0</v>
      </c>
      <c r="G410" s="258">
        <f t="shared" si="88"/>
        <v>3900000</v>
      </c>
      <c r="H410" s="258">
        <f t="shared" si="89"/>
        <v>0</v>
      </c>
      <c r="I410" s="250">
        <v>14.1</v>
      </c>
      <c r="J410" s="251">
        <v>300245</v>
      </c>
      <c r="K410" s="252">
        <v>4233453</v>
      </c>
      <c r="L410" s="253">
        <f t="shared" ref="L410:L414" si="121">D410+I410</f>
        <v>27.1</v>
      </c>
      <c r="M410" s="128">
        <f t="shared" ref="M410:M414" si="122">(G410+K410)/L410</f>
        <v>300127.41697416973</v>
      </c>
      <c r="N410" s="128">
        <f t="shared" si="84"/>
        <v>8133453</v>
      </c>
      <c r="O410" s="254">
        <v>17.5</v>
      </c>
      <c r="P410" s="128">
        <f t="shared" si="85"/>
        <v>300127.41697416973</v>
      </c>
      <c r="Q410" s="18">
        <f t="shared" si="86"/>
        <v>5252229.7970479699</v>
      </c>
      <c r="R410" s="255">
        <f t="shared" si="87"/>
        <v>2881223.2029520301</v>
      </c>
      <c r="S410" s="1"/>
      <c r="T410" s="1">
        <f t="shared" si="120"/>
        <v>117.58302583027398</v>
      </c>
      <c r="U410" s="1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1"/>
      <c r="AG410" s="1"/>
      <c r="AH410" s="1"/>
      <c r="AI410" s="1"/>
      <c r="AJ410" s="1"/>
    </row>
    <row r="411" spans="1:36" ht="13.5" customHeight="1">
      <c r="A411" s="259"/>
      <c r="B411" s="15" t="str">
        <f>TB!B450</f>
        <v>SP005</v>
      </c>
      <c r="C411" s="288" t="str">
        <f>TB!C450</f>
        <v>Grey Goose Vodka</v>
      </c>
      <c r="D411" s="257">
        <f>SUMIF(GL!$D$5:$D$6446,B411,GL!$G$5:$G$6446)</f>
        <v>60</v>
      </c>
      <c r="E411" s="258">
        <f>SUMIF(GL!$D$6:$D$6484,B411,GL!$H$6:$H$6484)</f>
        <v>32940000</v>
      </c>
      <c r="F411" s="258">
        <f>SUMIF(GL!$D$6:$D$6484,B411,GL!$I$6:$I$6484)</f>
        <v>0</v>
      </c>
      <c r="G411" s="258">
        <f t="shared" si="88"/>
        <v>32940000</v>
      </c>
      <c r="H411" s="258">
        <f t="shared" si="89"/>
        <v>0</v>
      </c>
      <c r="I411" s="250">
        <v>19.7</v>
      </c>
      <c r="J411" s="251">
        <v>557054</v>
      </c>
      <c r="K411" s="252">
        <v>10973960</v>
      </c>
      <c r="L411" s="253">
        <f t="shared" si="121"/>
        <v>79.7</v>
      </c>
      <c r="M411" s="128">
        <f t="shared" si="122"/>
        <v>550990.7151819322</v>
      </c>
      <c r="N411" s="128">
        <f t="shared" si="84"/>
        <v>43913960</v>
      </c>
      <c r="O411" s="254">
        <v>28.6</v>
      </c>
      <c r="P411" s="128">
        <f t="shared" si="85"/>
        <v>550990.7151819322</v>
      </c>
      <c r="Q411" s="18">
        <f t="shared" si="86"/>
        <v>15758334.454203261</v>
      </c>
      <c r="R411" s="255">
        <f t="shared" si="87"/>
        <v>28155625.545796737</v>
      </c>
      <c r="S411" s="1" t="s">
        <v>3832</v>
      </c>
      <c r="T411" s="1">
        <f t="shared" si="120"/>
        <v>6063.2848180677975</v>
      </c>
      <c r="U411" s="1"/>
      <c r="V411" s="134"/>
      <c r="W411" s="134"/>
      <c r="X411" s="99"/>
      <c r="Y411" s="99"/>
      <c r="Z411" s="99"/>
      <c r="AA411" s="99"/>
      <c r="AB411" s="99"/>
      <c r="AC411" s="99"/>
      <c r="AD411" s="99"/>
      <c r="AE411" s="99"/>
      <c r="AF411" s="1"/>
      <c r="AG411" s="1"/>
      <c r="AH411" s="1"/>
      <c r="AI411" s="1"/>
      <c r="AJ411" s="1"/>
    </row>
    <row r="412" spans="1:36" ht="13.5" customHeight="1">
      <c r="A412" s="259"/>
      <c r="B412" s="15" t="str">
        <f>TB!B451</f>
        <v>SP006</v>
      </c>
      <c r="C412" s="288" t="str">
        <f>TB!C451</f>
        <v>Belvedere</v>
      </c>
      <c r="D412" s="257">
        <f>SUMIF(GL!$D$5:$D$6446,B412,GL!$G$5:$G$6446)</f>
        <v>30</v>
      </c>
      <c r="E412" s="258">
        <f>SUMIF(GL!$D$6:$D$6484,B412,GL!$H$6:$H$6484)</f>
        <v>17676000</v>
      </c>
      <c r="F412" s="258">
        <f>SUMIF(GL!$D$6:$D$6484,B412,GL!$I$6:$I$6484)</f>
        <v>0</v>
      </c>
      <c r="G412" s="258">
        <f t="shared" si="88"/>
        <v>17676000</v>
      </c>
      <c r="H412" s="258">
        <f t="shared" si="89"/>
        <v>0</v>
      </c>
      <c r="I412" s="250">
        <v>24.2</v>
      </c>
      <c r="J412" s="251">
        <v>635732</v>
      </c>
      <c r="K412" s="252">
        <v>15384722</v>
      </c>
      <c r="L412" s="253">
        <f t="shared" si="121"/>
        <v>54.2</v>
      </c>
      <c r="M412" s="128">
        <f t="shared" si="122"/>
        <v>609976.42066420661</v>
      </c>
      <c r="N412" s="128">
        <f t="shared" si="84"/>
        <v>33060722</v>
      </c>
      <c r="O412" s="254">
        <v>48.6</v>
      </c>
      <c r="P412" s="128">
        <f t="shared" si="85"/>
        <v>609976.42066420661</v>
      </c>
      <c r="Q412" s="18">
        <f t="shared" si="86"/>
        <v>29644854.044280443</v>
      </c>
      <c r="R412" s="255">
        <f t="shared" si="87"/>
        <v>3415867.9557195567</v>
      </c>
      <c r="S412" s="1"/>
      <c r="T412" s="1">
        <f t="shared" si="120"/>
        <v>25755.579335793387</v>
      </c>
      <c r="U412" s="1"/>
      <c r="V412" s="134"/>
      <c r="W412" s="134"/>
      <c r="X412" s="99"/>
      <c r="Y412" s="99"/>
      <c r="Z412" s="99"/>
      <c r="AA412" s="99"/>
      <c r="AB412" s="99"/>
      <c r="AC412" s="99"/>
      <c r="AD412" s="99"/>
      <c r="AE412" s="99"/>
      <c r="AF412" s="1"/>
      <c r="AG412" s="1"/>
      <c r="AH412" s="1"/>
      <c r="AI412" s="1"/>
      <c r="AJ412" s="1"/>
    </row>
    <row r="413" spans="1:36" ht="13.5" customHeight="1">
      <c r="A413" s="259"/>
      <c r="B413" s="15" t="str">
        <f>TB!B452</f>
        <v>SP007</v>
      </c>
      <c r="C413" s="288" t="str">
        <f>TB!C452</f>
        <v>Haku</v>
      </c>
      <c r="D413" s="257">
        <f>SUMIF(GL!$D$5:$D$6446,B413,GL!$G$5:$G$6446)</f>
        <v>0</v>
      </c>
      <c r="E413" s="258">
        <f>SUMIF(GL!$D$6:$D$6484,B413,GL!$H$6:$H$6484)</f>
        <v>0</v>
      </c>
      <c r="F413" s="258">
        <f>SUMIF(GL!$D$6:$D$6484,B413,GL!$I$6:$I$6484)</f>
        <v>0</v>
      </c>
      <c r="G413" s="258">
        <f t="shared" si="88"/>
        <v>0</v>
      </c>
      <c r="H413" s="258">
        <f t="shared" si="89"/>
        <v>0</v>
      </c>
      <c r="I413" s="250">
        <v>0.7</v>
      </c>
      <c r="J413" s="251">
        <v>653771</v>
      </c>
      <c r="K413" s="252">
        <v>457639</v>
      </c>
      <c r="L413" s="253">
        <f t="shared" si="121"/>
        <v>0.7</v>
      </c>
      <c r="M413" s="128">
        <f t="shared" si="122"/>
        <v>653770</v>
      </c>
      <c r="N413" s="128">
        <f t="shared" si="84"/>
        <v>457639</v>
      </c>
      <c r="O413" s="254">
        <v>3</v>
      </c>
      <c r="P413" s="128">
        <f t="shared" si="85"/>
        <v>653770</v>
      </c>
      <c r="Q413" s="18">
        <f t="shared" si="86"/>
        <v>1961310</v>
      </c>
      <c r="R413" s="255">
        <f t="shared" si="87"/>
        <v>-1503671</v>
      </c>
      <c r="S413" s="1"/>
      <c r="T413" s="1">
        <f t="shared" si="120"/>
        <v>1</v>
      </c>
      <c r="U413" s="1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1"/>
      <c r="AG413" s="1"/>
      <c r="AH413" s="1"/>
      <c r="AI413" s="1"/>
      <c r="AJ413" s="1"/>
    </row>
    <row r="414" spans="1:36" ht="13.5" customHeight="1">
      <c r="A414" s="259"/>
      <c r="B414" s="15" t="str">
        <f>TB!B453</f>
        <v>SP008</v>
      </c>
      <c r="C414" s="288" t="str">
        <f>TB!C453</f>
        <v>Ketel One</v>
      </c>
      <c r="D414" s="257">
        <f>SUMIF(GL!$D$5:$D$6446,B414,GL!$G$5:$G$6446)</f>
        <v>0</v>
      </c>
      <c r="E414" s="258">
        <f>SUMIF(GL!$D$6:$D$6484,B414,GL!$H$6:$H$6484)</f>
        <v>0</v>
      </c>
      <c r="F414" s="258">
        <f>SUMIF(GL!$D$6:$D$6484,B414,GL!$I$6:$I$6484)</f>
        <v>0</v>
      </c>
      <c r="G414" s="258">
        <f t="shared" si="88"/>
        <v>0</v>
      </c>
      <c r="H414" s="258">
        <f t="shared" si="89"/>
        <v>0</v>
      </c>
      <c r="I414" s="250">
        <v>1</v>
      </c>
      <c r="J414" s="251">
        <v>560928</v>
      </c>
      <c r="K414" s="252">
        <v>560928</v>
      </c>
      <c r="L414" s="253">
        <f t="shared" si="121"/>
        <v>1</v>
      </c>
      <c r="M414" s="128">
        <f t="shared" si="122"/>
        <v>560928</v>
      </c>
      <c r="N414" s="128">
        <f t="shared" si="84"/>
        <v>560928</v>
      </c>
      <c r="O414" s="254">
        <v>1</v>
      </c>
      <c r="P414" s="128">
        <f t="shared" si="85"/>
        <v>560928</v>
      </c>
      <c r="Q414" s="18">
        <f t="shared" si="86"/>
        <v>560928</v>
      </c>
      <c r="R414" s="255">
        <f t="shared" si="87"/>
        <v>0</v>
      </c>
      <c r="S414" s="1"/>
      <c r="T414" s="1">
        <f t="shared" si="120"/>
        <v>0</v>
      </c>
      <c r="U414" s="1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1"/>
      <c r="AG414" s="1"/>
      <c r="AH414" s="1"/>
      <c r="AI414" s="1"/>
      <c r="AJ414" s="1"/>
    </row>
    <row r="415" spans="1:36" ht="13.5" customHeight="1">
      <c r="A415" s="259"/>
      <c r="B415" s="15" t="str">
        <f>TB!B454</f>
        <v>SP009</v>
      </c>
      <c r="C415" s="288" t="str">
        <f>TB!C454</f>
        <v>Ice Land Vodka 750Ml</v>
      </c>
      <c r="D415" s="257">
        <f>SUMIF(GL!$D$5:$D$6446,B415,GL!$G$5:$G$6446)</f>
        <v>0</v>
      </c>
      <c r="E415" s="258">
        <f>SUMIF(GL!$D$6:$D$6484,B415,GL!$H$6:$H$6484)</f>
        <v>0</v>
      </c>
      <c r="F415" s="258">
        <f>SUMIF(GL!$D$6:$D$6484,B415,GL!$I$6:$I$6484)</f>
        <v>0</v>
      </c>
      <c r="G415" s="258">
        <f t="shared" si="88"/>
        <v>0</v>
      </c>
      <c r="H415" s="258">
        <f t="shared" si="89"/>
        <v>0</v>
      </c>
      <c r="I415" s="250"/>
      <c r="J415" s="251"/>
      <c r="K415" s="252"/>
      <c r="L415" s="253"/>
      <c r="M415" s="128"/>
      <c r="N415" s="128">
        <f t="shared" si="84"/>
        <v>0</v>
      </c>
      <c r="O415" s="254"/>
      <c r="P415" s="128">
        <f t="shared" si="85"/>
        <v>0</v>
      </c>
      <c r="Q415" s="18">
        <f t="shared" si="86"/>
        <v>0</v>
      </c>
      <c r="R415" s="255">
        <f t="shared" si="87"/>
        <v>0</v>
      </c>
      <c r="S415" s="1"/>
      <c r="T415" s="1">
        <f t="shared" si="120"/>
        <v>0</v>
      </c>
      <c r="U415" s="1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1"/>
      <c r="AG415" s="1"/>
      <c r="AH415" s="1"/>
      <c r="AI415" s="1"/>
      <c r="AJ415" s="1"/>
    </row>
    <row r="416" spans="1:36" ht="13.5" customHeight="1">
      <c r="A416" s="259"/>
      <c r="B416" s="15" t="str">
        <f>TB!B455</f>
        <v>SP009A</v>
      </c>
      <c r="C416" s="288" t="str">
        <f>TB!C455</f>
        <v>Seagrams Vodka</v>
      </c>
      <c r="D416" s="257">
        <f>SUMIF(GL!$D$5:$D$6446,B416,GL!$G$5:$G$6446)</f>
        <v>324</v>
      </c>
      <c r="E416" s="258">
        <f>SUMIF(GL!$D$6:$D$6484,B416,GL!$H$6:$H$6484)</f>
        <v>66096000</v>
      </c>
      <c r="F416" s="258">
        <f>SUMIF(GL!$D$6:$D$6484,B416,GL!$I$6:$I$6484)</f>
        <v>0</v>
      </c>
      <c r="G416" s="258">
        <f t="shared" si="88"/>
        <v>66096000</v>
      </c>
      <c r="H416" s="258">
        <f t="shared" si="89"/>
        <v>0</v>
      </c>
      <c r="I416" s="250">
        <v>154.19999999999999</v>
      </c>
      <c r="J416" s="251">
        <v>204000</v>
      </c>
      <c r="K416" s="252">
        <v>31456800</v>
      </c>
      <c r="L416" s="253">
        <f>D416+I416</f>
        <v>478.2</v>
      </c>
      <c r="M416" s="128">
        <f>(G416+K416)/L416</f>
        <v>204000</v>
      </c>
      <c r="N416" s="128">
        <f t="shared" si="84"/>
        <v>97552800</v>
      </c>
      <c r="O416" s="254">
        <v>203.7</v>
      </c>
      <c r="P416" s="128">
        <f t="shared" si="85"/>
        <v>204000</v>
      </c>
      <c r="Q416" s="18">
        <f t="shared" si="86"/>
        <v>41554800</v>
      </c>
      <c r="R416" s="255">
        <f t="shared" si="87"/>
        <v>55998000</v>
      </c>
      <c r="S416" s="1"/>
      <c r="T416" s="1">
        <f t="shared" si="120"/>
        <v>0</v>
      </c>
      <c r="U416" s="1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1"/>
      <c r="AG416" s="1"/>
      <c r="AH416" s="1"/>
      <c r="AI416" s="1"/>
      <c r="AJ416" s="1"/>
    </row>
    <row r="417" spans="1:36" ht="13.5" customHeight="1">
      <c r="A417" s="259"/>
      <c r="B417" s="15" t="str">
        <f>TB!B456</f>
        <v>SP009B</v>
      </c>
      <c r="C417" s="288" t="str">
        <f>TB!C456</f>
        <v>Finlandia Vodka Classsic</v>
      </c>
      <c r="D417" s="257">
        <f>SUMIF(GL!$D$5:$D$6446,B417,GL!$G$5:$G$6446)</f>
        <v>0</v>
      </c>
      <c r="E417" s="258">
        <f>SUMIF(GL!$D$6:$D$6484,B417,GL!$H$6:$H$6484)</f>
        <v>0</v>
      </c>
      <c r="F417" s="258">
        <f>SUMIF(GL!$D$6:$D$6484,B417,GL!$I$6:$I$6484)</f>
        <v>0</v>
      </c>
      <c r="G417" s="258">
        <f t="shared" si="88"/>
        <v>0</v>
      </c>
      <c r="H417" s="258">
        <f t="shared" si="89"/>
        <v>0</v>
      </c>
      <c r="I417" s="250"/>
      <c r="J417" s="251"/>
      <c r="K417" s="252"/>
      <c r="L417" s="253"/>
      <c r="M417" s="128"/>
      <c r="N417" s="128">
        <f t="shared" si="84"/>
        <v>0</v>
      </c>
      <c r="O417" s="254"/>
      <c r="P417" s="128">
        <f t="shared" si="85"/>
        <v>0</v>
      </c>
      <c r="Q417" s="18">
        <f t="shared" si="86"/>
        <v>0</v>
      </c>
      <c r="R417" s="255">
        <f t="shared" si="87"/>
        <v>0</v>
      </c>
      <c r="S417" s="1"/>
      <c r="T417" s="1">
        <f t="shared" si="120"/>
        <v>0</v>
      </c>
      <c r="U417" s="1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1"/>
      <c r="AG417" s="1"/>
      <c r="AH417" s="1"/>
      <c r="AI417" s="1"/>
      <c r="AJ417" s="1"/>
    </row>
    <row r="418" spans="1:36" ht="13.5" customHeight="1">
      <c r="A418" s="259"/>
      <c r="B418" s="15" t="str">
        <f>TB!B457</f>
        <v>SP009C</v>
      </c>
      <c r="C418" s="288" t="str">
        <f>TB!C457</f>
        <v xml:space="preserve"> Belvedere Magnum 1,75Ltr</v>
      </c>
      <c r="D418" s="257">
        <f>SUMIF(GL!$D$5:$D$6446,B418,GL!$G$5:$G$6446)</f>
        <v>8</v>
      </c>
      <c r="E418" s="258">
        <f>SUMIF(GL!$D$6:$D$6484,B418,GL!$H$6:$H$6484)</f>
        <v>12000000</v>
      </c>
      <c r="F418" s="258">
        <f>SUMIF(GL!$D$6:$D$6484,B418,GL!$I$6:$I$6484)</f>
        <v>0</v>
      </c>
      <c r="G418" s="258">
        <f t="shared" si="88"/>
        <v>12000000</v>
      </c>
      <c r="H418" s="258">
        <f t="shared" si="89"/>
        <v>0</v>
      </c>
      <c r="I418" s="250">
        <v>3</v>
      </c>
      <c r="J418" s="251">
        <v>1667133</v>
      </c>
      <c r="K418" s="252">
        <v>5001398</v>
      </c>
      <c r="L418" s="253">
        <f t="shared" ref="L418:L420" si="123">D418+I418</f>
        <v>11</v>
      </c>
      <c r="M418" s="128">
        <f t="shared" ref="M418:M420" si="124">(G418+K418)/L418</f>
        <v>1545581.6363636365</v>
      </c>
      <c r="N418" s="128">
        <f t="shared" si="84"/>
        <v>17001398</v>
      </c>
      <c r="O418" s="254">
        <v>8</v>
      </c>
      <c r="P418" s="128">
        <f t="shared" si="85"/>
        <v>1545581.6363636365</v>
      </c>
      <c r="Q418" s="18">
        <f t="shared" si="86"/>
        <v>12364653.090909092</v>
      </c>
      <c r="R418" s="255">
        <f t="shared" si="87"/>
        <v>4636744.9090909082</v>
      </c>
      <c r="S418" s="1"/>
      <c r="T418" s="1">
        <f t="shared" si="120"/>
        <v>121551.36363636353</v>
      </c>
      <c r="U418" s="1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1"/>
      <c r="AG418" s="1"/>
      <c r="AH418" s="1"/>
      <c r="AI418" s="1"/>
      <c r="AJ418" s="1"/>
    </row>
    <row r="419" spans="1:36" ht="13.5" customHeight="1">
      <c r="A419" s="259"/>
      <c r="B419" s="15" t="str">
        <f>TB!B458</f>
        <v>SP009D</v>
      </c>
      <c r="C419" s="288" t="str">
        <f>TB!C458</f>
        <v>Ciroc Original</v>
      </c>
      <c r="D419" s="257">
        <f>SUMIF(GL!$D$5:$D$6446,B419,GL!$G$5:$G$6446)</f>
        <v>0</v>
      </c>
      <c r="E419" s="258">
        <f>SUMIF(GL!$D$6:$D$6484,B419,GL!$H$6:$H$6484)</f>
        <v>0</v>
      </c>
      <c r="F419" s="258">
        <f>SUMIF(GL!$D$6:$D$6484,B419,GL!$I$6:$I$6484)</f>
        <v>0</v>
      </c>
      <c r="G419" s="258">
        <f t="shared" si="88"/>
        <v>0</v>
      </c>
      <c r="H419" s="258">
        <f t="shared" si="89"/>
        <v>0</v>
      </c>
      <c r="I419" s="250">
        <v>3.5</v>
      </c>
      <c r="J419" s="251">
        <v>571456</v>
      </c>
      <c r="K419" s="252">
        <v>2000098</v>
      </c>
      <c r="L419" s="253">
        <f t="shared" si="123"/>
        <v>3.5</v>
      </c>
      <c r="M419" s="128">
        <f t="shared" si="124"/>
        <v>571456.57142857148</v>
      </c>
      <c r="N419" s="128">
        <f t="shared" si="84"/>
        <v>2000098</v>
      </c>
      <c r="O419" s="254">
        <v>1.4</v>
      </c>
      <c r="P419" s="128">
        <f t="shared" si="85"/>
        <v>571456.57142857148</v>
      </c>
      <c r="Q419" s="18">
        <f t="shared" si="86"/>
        <v>800039.20000000007</v>
      </c>
      <c r="R419" s="255">
        <f t="shared" si="87"/>
        <v>1200058.7999999998</v>
      </c>
      <c r="S419" s="1"/>
      <c r="T419" s="1">
        <f t="shared" si="120"/>
        <v>-0.57142857147846371</v>
      </c>
      <c r="U419" s="1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1"/>
      <c r="AG419" s="1"/>
      <c r="AH419" s="1"/>
      <c r="AI419" s="1"/>
      <c r="AJ419" s="1"/>
    </row>
    <row r="420" spans="1:36" ht="13.5" customHeight="1">
      <c r="A420" s="259"/>
      <c r="B420" s="15" t="str">
        <f>TB!B459</f>
        <v>SP002A</v>
      </c>
      <c r="C420" s="288" t="str">
        <f>TB!C459</f>
        <v>Smirnoff Red-Pink Lemonade</v>
      </c>
      <c r="D420" s="257">
        <f>SUMIF(GL!$D$5:$D$6446,B420,GL!$G$5:$G$6446)</f>
        <v>0</v>
      </c>
      <c r="E420" s="258">
        <f>SUMIF(GL!$D$6:$D$6484,B420,GL!$H$6:$H$6484)</f>
        <v>0</v>
      </c>
      <c r="F420" s="258">
        <f>SUMIF(GL!$D$6:$D$6484,B420,GL!$I$6:$I$6484)</f>
        <v>0</v>
      </c>
      <c r="G420" s="258">
        <f t="shared" si="88"/>
        <v>0</v>
      </c>
      <c r="H420" s="258">
        <f t="shared" si="89"/>
        <v>0</v>
      </c>
      <c r="I420" s="250">
        <v>1.1000000000000001</v>
      </c>
      <c r="J420" s="251">
        <v>247726</v>
      </c>
      <c r="K420" s="252">
        <v>272498</v>
      </c>
      <c r="L420" s="253">
        <f t="shared" si="123"/>
        <v>1.1000000000000001</v>
      </c>
      <c r="M420" s="128">
        <f t="shared" si="124"/>
        <v>247725.45454545453</v>
      </c>
      <c r="N420" s="128">
        <f t="shared" si="84"/>
        <v>272498</v>
      </c>
      <c r="O420" s="254">
        <v>1.1000000000000001</v>
      </c>
      <c r="P420" s="128">
        <f t="shared" si="85"/>
        <v>247725.45454545453</v>
      </c>
      <c r="Q420" s="18">
        <f t="shared" si="86"/>
        <v>272498</v>
      </c>
      <c r="R420" s="255">
        <f t="shared" si="87"/>
        <v>0</v>
      </c>
      <c r="S420" s="1"/>
      <c r="T420" s="1">
        <f t="shared" si="120"/>
        <v>0.54545454547042027</v>
      </c>
      <c r="U420" s="1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1"/>
      <c r="AG420" s="1"/>
      <c r="AH420" s="1"/>
      <c r="AI420" s="1"/>
      <c r="AJ420" s="1"/>
    </row>
    <row r="421" spans="1:36" ht="13.5" customHeight="1">
      <c r="A421" s="259"/>
      <c r="B421" s="15" t="str">
        <f>TB!B460</f>
        <v>SP002B</v>
      </c>
      <c r="C421" s="288" t="str">
        <f>TB!C460</f>
        <v>Smirnoff Red-Green Apple</v>
      </c>
      <c r="D421" s="257">
        <f>SUMIF(GL!$D$5:$D$6446,B421,GL!$G$5:$G$6446)</f>
        <v>0</v>
      </c>
      <c r="E421" s="258">
        <f>SUMIF(GL!$D$6:$D$6484,B421,GL!$H$6:$H$6484)</f>
        <v>0</v>
      </c>
      <c r="F421" s="258">
        <f>SUMIF(GL!$D$6:$D$6484,B421,GL!$I$6:$I$6484)</f>
        <v>0</v>
      </c>
      <c r="G421" s="258">
        <f t="shared" si="88"/>
        <v>0</v>
      </c>
      <c r="H421" s="258">
        <f t="shared" si="89"/>
        <v>0</v>
      </c>
      <c r="I421" s="250"/>
      <c r="J421" s="251">
        <v>196415</v>
      </c>
      <c r="K421" s="252"/>
      <c r="L421" s="253"/>
      <c r="M421" s="128"/>
      <c r="N421" s="128">
        <f t="shared" si="84"/>
        <v>0</v>
      </c>
      <c r="O421" s="254"/>
      <c r="P421" s="128">
        <f t="shared" si="85"/>
        <v>0</v>
      </c>
      <c r="Q421" s="18">
        <f t="shared" si="86"/>
        <v>0</v>
      </c>
      <c r="R421" s="255">
        <f t="shared" si="87"/>
        <v>0</v>
      </c>
      <c r="S421" s="1"/>
      <c r="T421" s="1">
        <f t="shared" si="120"/>
        <v>196415</v>
      </c>
      <c r="U421" s="1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1"/>
      <c r="AG421" s="1"/>
      <c r="AH421" s="1"/>
      <c r="AI421" s="1"/>
      <c r="AJ421" s="1"/>
    </row>
    <row r="422" spans="1:36" ht="13.5" customHeight="1">
      <c r="A422" s="259"/>
      <c r="B422" s="15" t="str">
        <f>TB!B461</f>
        <v>SP002C</v>
      </c>
      <c r="C422" s="288" t="str">
        <f>TB!C461</f>
        <v>Friendship Black Tea Vodka</v>
      </c>
      <c r="D422" s="257">
        <f>SUMIF(GL!$D$5:$D$6446,B422,GL!$G$5:$G$6446)</f>
        <v>0</v>
      </c>
      <c r="E422" s="258">
        <f>SUMIF(GL!$D$6:$D$6484,B422,GL!$H$6:$H$6484)</f>
        <v>0</v>
      </c>
      <c r="F422" s="258">
        <f>SUMIF(GL!$D$6:$D$6484,B422,GL!$I$6:$I$6484)</f>
        <v>0</v>
      </c>
      <c r="G422" s="258">
        <f t="shared" si="88"/>
        <v>0</v>
      </c>
      <c r="H422" s="258">
        <f t="shared" si="89"/>
        <v>0</v>
      </c>
      <c r="I422" s="250">
        <v>2</v>
      </c>
      <c r="J422" s="251">
        <v>65000</v>
      </c>
      <c r="K422" s="252">
        <v>130000</v>
      </c>
      <c r="L422" s="253">
        <f t="shared" ref="L422:L423" si="125">D422+I422</f>
        <v>2</v>
      </c>
      <c r="M422" s="128">
        <f t="shared" ref="M422:M423" si="126">(G422+K422)/L422</f>
        <v>65000</v>
      </c>
      <c r="N422" s="128">
        <f t="shared" si="84"/>
        <v>130000</v>
      </c>
      <c r="O422" s="254">
        <v>2</v>
      </c>
      <c r="P422" s="128">
        <f t="shared" si="85"/>
        <v>65000</v>
      </c>
      <c r="Q422" s="18">
        <f t="shared" si="86"/>
        <v>130000</v>
      </c>
      <c r="R422" s="255">
        <f t="shared" si="87"/>
        <v>0</v>
      </c>
      <c r="S422" s="1"/>
      <c r="T422" s="1">
        <f t="shared" si="120"/>
        <v>0</v>
      </c>
      <c r="U422" s="1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1"/>
      <c r="AG422" s="1"/>
      <c r="AH422" s="1"/>
      <c r="AI422" s="1"/>
      <c r="AJ422" s="1"/>
    </row>
    <row r="423" spans="1:36" ht="13.5" customHeight="1">
      <c r="A423" s="259"/>
      <c r="B423" s="15" t="str">
        <f>TB!B462</f>
        <v>SP004A</v>
      </c>
      <c r="C423" s="288" t="str">
        <f>TB!C462</f>
        <v>Absolut Elyx</v>
      </c>
      <c r="D423" s="257">
        <f>SUMIF(GL!$D$5:$D$6446,B423,GL!$G$5:$G$6446)</f>
        <v>0</v>
      </c>
      <c r="E423" s="258">
        <f>SUMIF(GL!$D$6:$D$6484,B423,GL!$H$6:$H$6484)</f>
        <v>0</v>
      </c>
      <c r="F423" s="258">
        <f>SUMIF(GL!$D$6:$D$6484,B423,GL!$I$6:$I$6484)</f>
        <v>0</v>
      </c>
      <c r="G423" s="258">
        <f t="shared" si="88"/>
        <v>0</v>
      </c>
      <c r="H423" s="258">
        <f t="shared" si="89"/>
        <v>0</v>
      </c>
      <c r="I423" s="250">
        <v>15.5</v>
      </c>
      <c r="J423" s="251">
        <v>491865</v>
      </c>
      <c r="K423" s="252">
        <v>7623901</v>
      </c>
      <c r="L423" s="253">
        <f t="shared" si="125"/>
        <v>15.5</v>
      </c>
      <c r="M423" s="128">
        <f t="shared" si="126"/>
        <v>491864.58064516127</v>
      </c>
      <c r="N423" s="128">
        <f t="shared" si="84"/>
        <v>7623901</v>
      </c>
      <c r="O423" s="254">
        <v>13.5</v>
      </c>
      <c r="P423" s="128">
        <f t="shared" si="85"/>
        <v>491864.58064516127</v>
      </c>
      <c r="Q423" s="18">
        <f t="shared" si="86"/>
        <v>6640171.8387096776</v>
      </c>
      <c r="R423" s="255">
        <f t="shared" si="87"/>
        <v>983729.16129032243</v>
      </c>
      <c r="S423" s="1"/>
      <c r="T423" s="1">
        <f t="shared" si="120"/>
        <v>0.41935483872657642</v>
      </c>
      <c r="U423" s="1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1"/>
      <c r="AG423" s="1"/>
      <c r="AH423" s="1"/>
      <c r="AI423" s="1"/>
      <c r="AJ423" s="1"/>
    </row>
    <row r="424" spans="1:36" ht="13.5" customHeight="1">
      <c r="A424" s="259"/>
      <c r="B424" s="174"/>
      <c r="C424" s="288" t="s">
        <v>2630</v>
      </c>
      <c r="D424" s="257">
        <f>SUMIF(GL!$D$5:$D$6446,B424,GL!$G$5:$G$6446)</f>
        <v>0</v>
      </c>
      <c r="E424" s="258">
        <f>SUMIF(GL!$D$6:$D$6484,B424,GL!$H$6:$H$6484)</f>
        <v>0</v>
      </c>
      <c r="F424" s="258">
        <f>SUMIF(GL!$D$6:$D$6484,B424,GL!$I$6:$I$6484)</f>
        <v>0</v>
      </c>
      <c r="G424" s="258">
        <f t="shared" si="88"/>
        <v>0</v>
      </c>
      <c r="H424" s="258">
        <f t="shared" si="89"/>
        <v>0</v>
      </c>
      <c r="I424" s="250"/>
      <c r="J424" s="251"/>
      <c r="K424" s="252"/>
      <c r="L424" s="253"/>
      <c r="M424" s="128"/>
      <c r="N424" s="128">
        <f t="shared" si="84"/>
        <v>0</v>
      </c>
      <c r="O424" s="254"/>
      <c r="P424" s="128">
        <f t="shared" si="85"/>
        <v>0</v>
      </c>
      <c r="Q424" s="18">
        <f t="shared" si="86"/>
        <v>0</v>
      </c>
      <c r="R424" s="255">
        <f t="shared" si="87"/>
        <v>0</v>
      </c>
      <c r="S424" s="1"/>
      <c r="T424" s="1">
        <f t="shared" si="120"/>
        <v>0</v>
      </c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1"/>
      <c r="AG424" s="1"/>
      <c r="AH424" s="1"/>
      <c r="AI424" s="1"/>
      <c r="AJ424" s="1"/>
    </row>
    <row r="425" spans="1:36" ht="13.5" customHeight="1">
      <c r="A425" s="259"/>
      <c r="B425" s="174"/>
      <c r="C425" s="288" t="s">
        <v>2630</v>
      </c>
      <c r="D425" s="257">
        <f>SUMIF(GL!$D$5:$D$6446,B425,GL!$G$5:$G$6446)</f>
        <v>0</v>
      </c>
      <c r="E425" s="258">
        <f>SUMIF(GL!$D$6:$D$6484,B425,GL!$H$6:$H$6484)</f>
        <v>0</v>
      </c>
      <c r="F425" s="258">
        <f>SUMIF(GL!$D$6:$D$6484,B425,GL!$I$6:$I$6484)</f>
        <v>0</v>
      </c>
      <c r="G425" s="258">
        <f t="shared" si="88"/>
        <v>0</v>
      </c>
      <c r="H425" s="258">
        <f t="shared" si="89"/>
        <v>0</v>
      </c>
      <c r="I425" s="250"/>
      <c r="J425" s="251"/>
      <c r="K425" s="252"/>
      <c r="L425" s="253"/>
      <c r="M425" s="128"/>
      <c r="N425" s="128">
        <f t="shared" si="84"/>
        <v>0</v>
      </c>
      <c r="O425" s="254"/>
      <c r="P425" s="128">
        <f t="shared" si="85"/>
        <v>0</v>
      </c>
      <c r="Q425" s="18">
        <f t="shared" si="86"/>
        <v>0</v>
      </c>
      <c r="R425" s="255">
        <f t="shared" si="87"/>
        <v>0</v>
      </c>
      <c r="S425" s="1"/>
      <c r="T425" s="1">
        <f t="shared" si="120"/>
        <v>0</v>
      </c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1"/>
      <c r="AG425" s="1"/>
      <c r="AH425" s="1"/>
      <c r="AI425" s="1"/>
      <c r="AJ425" s="1"/>
    </row>
    <row r="426" spans="1:36" ht="13.5" customHeight="1">
      <c r="A426" s="259"/>
      <c r="B426" s="174"/>
      <c r="C426" s="288" t="s">
        <v>2630</v>
      </c>
      <c r="D426" s="257">
        <f>SUMIF(GL!$D$5:$D$6446,B426,GL!$G$5:$G$6446)</f>
        <v>0</v>
      </c>
      <c r="E426" s="258">
        <f>SUMIF(GL!$D$6:$D$6484,B426,GL!$H$6:$H$6484)</f>
        <v>0</v>
      </c>
      <c r="F426" s="258">
        <f>SUMIF(GL!$D$6:$D$6484,B426,GL!$I$6:$I$6484)</f>
        <v>0</v>
      </c>
      <c r="G426" s="258">
        <f t="shared" si="88"/>
        <v>0</v>
      </c>
      <c r="H426" s="258">
        <f t="shared" si="89"/>
        <v>0</v>
      </c>
      <c r="I426" s="250"/>
      <c r="J426" s="251"/>
      <c r="K426" s="252"/>
      <c r="L426" s="253"/>
      <c r="M426" s="128"/>
      <c r="N426" s="128">
        <f t="shared" si="84"/>
        <v>0</v>
      </c>
      <c r="O426" s="254"/>
      <c r="P426" s="128">
        <f t="shared" si="85"/>
        <v>0</v>
      </c>
      <c r="Q426" s="18">
        <f t="shared" si="86"/>
        <v>0</v>
      </c>
      <c r="R426" s="255">
        <f t="shared" si="87"/>
        <v>0</v>
      </c>
      <c r="S426" s="1"/>
      <c r="T426" s="1">
        <f t="shared" si="120"/>
        <v>0</v>
      </c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1"/>
      <c r="AG426" s="1"/>
      <c r="AH426" s="1"/>
      <c r="AI426" s="1"/>
      <c r="AJ426" s="1"/>
    </row>
    <row r="427" spans="1:36" ht="13.5" customHeight="1">
      <c r="A427" s="259"/>
      <c r="B427" s="174"/>
      <c r="C427" s="261" t="s">
        <v>3833</v>
      </c>
      <c r="D427" s="257">
        <f>SUMIF(GL!$D$5:$D$6446,B427,GL!$G$5:$G$6446)</f>
        <v>0</v>
      </c>
      <c r="E427" s="258">
        <f>SUMIF(GL!$D$6:$D$6484,B427,GL!$H$6:$H$6484)</f>
        <v>0</v>
      </c>
      <c r="F427" s="258">
        <f>SUMIF(GL!$D$6:$D$6484,B427,GL!$I$6:$I$6484)</f>
        <v>0</v>
      </c>
      <c r="G427" s="258">
        <f t="shared" si="88"/>
        <v>0</v>
      </c>
      <c r="H427" s="258">
        <f t="shared" si="89"/>
        <v>0</v>
      </c>
      <c r="I427" s="250"/>
      <c r="J427" s="251"/>
      <c r="K427" s="252"/>
      <c r="L427" s="253"/>
      <c r="M427" s="128"/>
      <c r="N427" s="128">
        <f t="shared" si="84"/>
        <v>0</v>
      </c>
      <c r="O427" s="254"/>
      <c r="P427" s="128">
        <f t="shared" si="85"/>
        <v>0</v>
      </c>
      <c r="Q427" s="18">
        <f t="shared" si="86"/>
        <v>0</v>
      </c>
      <c r="R427" s="255">
        <f t="shared" si="87"/>
        <v>0</v>
      </c>
      <c r="S427" s="1"/>
      <c r="T427" s="1">
        <f t="shared" si="120"/>
        <v>0</v>
      </c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1"/>
      <c r="AG427" s="1"/>
      <c r="AH427" s="1"/>
      <c r="AI427" s="1"/>
      <c r="AJ427" s="1"/>
    </row>
    <row r="428" spans="1:36" ht="13.5" customHeight="1">
      <c r="A428" s="259"/>
      <c r="B428" s="15" t="str">
        <f>TB!B467</f>
        <v>SP010</v>
      </c>
      <c r="C428" s="288" t="str">
        <f>TB!C467</f>
        <v>Gilbyes Gin</v>
      </c>
      <c r="D428" s="257">
        <f>SUMIF(GL!$D$5:$D$6446,B428,GL!$G$5:$G$6446)</f>
        <v>12</v>
      </c>
      <c r="E428" s="258">
        <f>SUMIF(GL!$D$6:$D$6484,B428,GL!$H$6:$H$6484)</f>
        <v>2568000</v>
      </c>
      <c r="F428" s="258">
        <f>SUMIF(GL!$D$6:$D$6484,B428,GL!$I$6:$I$6484)</f>
        <v>0</v>
      </c>
      <c r="G428" s="258">
        <f t="shared" si="88"/>
        <v>2568000</v>
      </c>
      <c r="H428" s="258">
        <f t="shared" si="89"/>
        <v>0</v>
      </c>
      <c r="I428" s="250">
        <v>0.5</v>
      </c>
      <c r="J428" s="251">
        <v>214775</v>
      </c>
      <c r="K428" s="252">
        <v>107388</v>
      </c>
      <c r="L428" s="253">
        <f>D428+I428</f>
        <v>12.5</v>
      </c>
      <c r="M428" s="128">
        <f>(G428+K428)/L428</f>
        <v>214031.04</v>
      </c>
      <c r="N428" s="128">
        <f t="shared" si="84"/>
        <v>2675388</v>
      </c>
      <c r="O428" s="254">
        <v>12.3</v>
      </c>
      <c r="P428" s="128">
        <f t="shared" si="85"/>
        <v>214031.04</v>
      </c>
      <c r="Q428" s="18">
        <f t="shared" si="86"/>
        <v>2632581.7920000004</v>
      </c>
      <c r="R428" s="255">
        <f t="shared" si="87"/>
        <v>42806.207999999635</v>
      </c>
      <c r="S428" s="1"/>
      <c r="T428" s="1">
        <f t="shared" si="120"/>
        <v>743.95999999999185</v>
      </c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1"/>
      <c r="AG428" s="1"/>
      <c r="AH428" s="1"/>
      <c r="AI428" s="1"/>
      <c r="AJ428" s="1"/>
    </row>
    <row r="429" spans="1:36" ht="13.5" customHeight="1">
      <c r="A429" s="259"/>
      <c r="B429" s="15" t="str">
        <f>TB!B468</f>
        <v>SP011</v>
      </c>
      <c r="C429" s="288" t="str">
        <f>TB!C468</f>
        <v>Gordon'S Dry Gin</v>
      </c>
      <c r="D429" s="257">
        <f>SUMIF(GL!$D$5:$D$6446,B429,GL!$G$5:$G$6446)</f>
        <v>0</v>
      </c>
      <c r="E429" s="258">
        <f>SUMIF(GL!$D$6:$D$6484,B429,GL!$H$6:$H$6484)</f>
        <v>0</v>
      </c>
      <c r="F429" s="258">
        <f>SUMIF(GL!$D$6:$D$6484,B429,GL!$I$6:$I$6484)</f>
        <v>0</v>
      </c>
      <c r="G429" s="258">
        <f t="shared" si="88"/>
        <v>0</v>
      </c>
      <c r="H429" s="258">
        <f t="shared" si="89"/>
        <v>0</v>
      </c>
      <c r="I429" s="250"/>
      <c r="J429" s="251"/>
      <c r="K429" s="252"/>
      <c r="L429" s="253"/>
      <c r="M429" s="128"/>
      <c r="N429" s="128">
        <f t="shared" si="84"/>
        <v>0</v>
      </c>
      <c r="O429" s="254"/>
      <c r="P429" s="128">
        <f t="shared" si="85"/>
        <v>0</v>
      </c>
      <c r="Q429" s="18">
        <f t="shared" si="86"/>
        <v>0</v>
      </c>
      <c r="R429" s="255">
        <f t="shared" si="87"/>
        <v>0</v>
      </c>
      <c r="S429" s="1"/>
      <c r="T429" s="1">
        <f t="shared" si="120"/>
        <v>0</v>
      </c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1"/>
      <c r="AG429" s="1"/>
      <c r="AH429" s="1"/>
      <c r="AI429" s="1"/>
      <c r="AJ429" s="1"/>
    </row>
    <row r="430" spans="1:36" ht="13.5" customHeight="1">
      <c r="A430" s="259"/>
      <c r="B430" s="15" t="str">
        <f>TB!B469</f>
        <v>SP012</v>
      </c>
      <c r="C430" s="288" t="str">
        <f>TB!C469</f>
        <v>Hendricks Gin</v>
      </c>
      <c r="D430" s="257">
        <f>SUMIF(GL!$D$5:$D$6446,B430,GL!$G$5:$G$6446)</f>
        <v>16</v>
      </c>
      <c r="E430" s="258">
        <f>SUMIF(GL!$D$6:$D$6484,B430,GL!$H$6:$H$6484)</f>
        <v>9415000</v>
      </c>
      <c r="F430" s="258">
        <f>SUMIF(GL!$D$6:$D$6484,B430,GL!$I$6:$I$6484)</f>
        <v>0</v>
      </c>
      <c r="G430" s="258">
        <f t="shared" si="88"/>
        <v>9415000</v>
      </c>
      <c r="H430" s="258">
        <f t="shared" si="89"/>
        <v>0</v>
      </c>
      <c r="I430" s="250">
        <v>14.3</v>
      </c>
      <c r="J430" s="251">
        <v>614337</v>
      </c>
      <c r="K430" s="252">
        <v>8785023</v>
      </c>
      <c r="L430" s="253">
        <f>D430+I430</f>
        <v>30.3</v>
      </c>
      <c r="M430" s="128">
        <f>(G430+K430)/L430</f>
        <v>600660.82508250827</v>
      </c>
      <c r="N430" s="128">
        <f t="shared" si="84"/>
        <v>18200023</v>
      </c>
      <c r="O430" s="254">
        <v>19.600000000000001</v>
      </c>
      <c r="P430" s="128">
        <f t="shared" si="85"/>
        <v>600660.82508250827</v>
      </c>
      <c r="Q430" s="18">
        <f t="shared" si="86"/>
        <v>11772952.171617163</v>
      </c>
      <c r="R430" s="255">
        <f t="shared" si="87"/>
        <v>6427070.8283828367</v>
      </c>
      <c r="S430" s="1" t="s">
        <v>3834</v>
      </c>
      <c r="T430" s="1">
        <f t="shared" si="120"/>
        <v>13676.174917491735</v>
      </c>
      <c r="U430" s="99"/>
      <c r="V430" s="99"/>
      <c r="W430" s="134"/>
      <c r="X430" s="99"/>
      <c r="Y430" s="99"/>
      <c r="Z430" s="99"/>
      <c r="AA430" s="99"/>
      <c r="AB430" s="99"/>
      <c r="AC430" s="99"/>
      <c r="AD430" s="99"/>
      <c r="AE430" s="99"/>
      <c r="AF430" s="1"/>
      <c r="AG430" s="1"/>
      <c r="AH430" s="1"/>
      <c r="AI430" s="1"/>
      <c r="AJ430" s="1"/>
    </row>
    <row r="431" spans="1:36" ht="13.5" customHeight="1">
      <c r="A431" s="259"/>
      <c r="B431" s="15" t="str">
        <f>TB!B470</f>
        <v>SP012A</v>
      </c>
      <c r="C431" s="288" t="str">
        <f>TB!C470</f>
        <v>Hendricks Gin 1 Ltr</v>
      </c>
      <c r="D431" s="257">
        <f>SUMIF(GL!$D$5:$D$6446,B431,GL!$G$5:$G$6446)</f>
        <v>0</v>
      </c>
      <c r="E431" s="258">
        <f>SUMIF(GL!$D$6:$D$6484,B431,GL!$H$6:$H$6484)</f>
        <v>0</v>
      </c>
      <c r="F431" s="258">
        <f>SUMIF(GL!$D$6:$D$6484,B431,GL!$I$6:$I$6484)</f>
        <v>0</v>
      </c>
      <c r="G431" s="258">
        <f t="shared" si="88"/>
        <v>0</v>
      </c>
      <c r="H431" s="258">
        <f t="shared" si="89"/>
        <v>0</v>
      </c>
      <c r="I431" s="250"/>
      <c r="J431" s="251"/>
      <c r="K431" s="252"/>
      <c r="L431" s="253"/>
      <c r="M431" s="128"/>
      <c r="N431" s="128">
        <f t="shared" si="84"/>
        <v>0</v>
      </c>
      <c r="O431" s="254"/>
      <c r="P431" s="128">
        <f t="shared" si="85"/>
        <v>0</v>
      </c>
      <c r="Q431" s="18">
        <f t="shared" si="86"/>
        <v>0</v>
      </c>
      <c r="R431" s="255">
        <f t="shared" si="87"/>
        <v>0</v>
      </c>
      <c r="S431" s="1"/>
      <c r="T431" s="1">
        <f t="shared" si="120"/>
        <v>0</v>
      </c>
      <c r="U431" s="99"/>
      <c r="V431" s="99"/>
      <c r="W431" s="134"/>
      <c r="X431" s="99"/>
      <c r="Y431" s="99"/>
      <c r="Z431" s="99"/>
      <c r="AA431" s="99"/>
      <c r="AB431" s="99"/>
      <c r="AC431" s="99"/>
      <c r="AD431" s="99"/>
      <c r="AE431" s="99"/>
      <c r="AF431" s="1"/>
      <c r="AG431" s="1"/>
      <c r="AH431" s="1"/>
      <c r="AI431" s="1"/>
      <c r="AJ431" s="1"/>
    </row>
    <row r="432" spans="1:36" ht="13.5" customHeight="1">
      <c r="A432" s="259"/>
      <c r="B432" s="15" t="str">
        <f>TB!B471</f>
        <v>SP013</v>
      </c>
      <c r="C432" s="288" t="str">
        <f>TB!C471</f>
        <v>Roku Gin</v>
      </c>
      <c r="D432" s="257">
        <f>SUMIF(GL!$D$5:$D$6446,B432,GL!$G$5:$G$6446)</f>
        <v>0</v>
      </c>
      <c r="E432" s="258">
        <f>SUMIF(GL!$D$6:$D$6484,B432,GL!$H$6:$H$6484)</f>
        <v>0</v>
      </c>
      <c r="F432" s="258">
        <f>SUMIF(GL!$D$6:$D$6484,B432,GL!$I$6:$I$6484)</f>
        <v>0</v>
      </c>
      <c r="G432" s="258">
        <f t="shared" si="88"/>
        <v>0</v>
      </c>
      <c r="H432" s="258">
        <f t="shared" si="89"/>
        <v>0</v>
      </c>
      <c r="I432" s="250"/>
      <c r="J432" s="251"/>
      <c r="K432" s="252"/>
      <c r="L432" s="253"/>
      <c r="M432" s="128"/>
      <c r="N432" s="128">
        <f t="shared" si="84"/>
        <v>0</v>
      </c>
      <c r="O432" s="254"/>
      <c r="P432" s="128">
        <f t="shared" si="85"/>
        <v>0</v>
      </c>
      <c r="Q432" s="18">
        <f t="shared" si="86"/>
        <v>0</v>
      </c>
      <c r="R432" s="255">
        <f t="shared" si="87"/>
        <v>0</v>
      </c>
      <c r="S432" s="1"/>
      <c r="T432" s="1">
        <f t="shared" si="120"/>
        <v>0</v>
      </c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1"/>
      <c r="AG432" s="1"/>
      <c r="AH432" s="1"/>
      <c r="AI432" s="1"/>
      <c r="AJ432" s="1"/>
    </row>
    <row r="433" spans="1:36" ht="12" customHeight="1">
      <c r="A433" s="289"/>
      <c r="B433" s="15" t="str">
        <f>TB!B472</f>
        <v>SP015</v>
      </c>
      <c r="C433" s="288" t="str">
        <f>TB!C472</f>
        <v>Tanguray</v>
      </c>
      <c r="D433" s="257">
        <f>SUMIF(GL!$D$5:$D$6446,B433,GL!$G$5:$G$6446)</f>
        <v>4</v>
      </c>
      <c r="E433" s="258">
        <f>SUMIF(GL!$D$6:$D$6484,B433,GL!$H$6:$H$6484)</f>
        <v>1513333</v>
      </c>
      <c r="F433" s="258">
        <f>SUMIF(GL!$D$6:$D$6484,B433,GL!$I$6:$I$6484)</f>
        <v>0</v>
      </c>
      <c r="G433" s="258">
        <f t="shared" si="88"/>
        <v>1513333</v>
      </c>
      <c r="H433" s="258">
        <f t="shared" si="89"/>
        <v>0</v>
      </c>
      <c r="I433" s="250">
        <v>2.8</v>
      </c>
      <c r="J433" s="251">
        <v>140241</v>
      </c>
      <c r="K433" s="252">
        <v>392674</v>
      </c>
      <c r="L433" s="253">
        <f t="shared" ref="L433:L434" si="127">D433+I433</f>
        <v>6.8</v>
      </c>
      <c r="M433" s="128">
        <f t="shared" ref="M433:M434" si="128">(G433+K433)/L433</f>
        <v>280295.14705882355</v>
      </c>
      <c r="N433" s="128">
        <f t="shared" si="84"/>
        <v>1906007</v>
      </c>
      <c r="O433" s="254">
        <v>5.5</v>
      </c>
      <c r="P433" s="128">
        <f t="shared" si="85"/>
        <v>280295.14705882355</v>
      </c>
      <c r="Q433" s="18">
        <f t="shared" si="86"/>
        <v>1541623.3088235296</v>
      </c>
      <c r="R433" s="255">
        <f t="shared" si="87"/>
        <v>364383.69117647037</v>
      </c>
      <c r="S433" s="1"/>
      <c r="T433" s="1">
        <f t="shared" si="120"/>
        <v>-140054.14705882355</v>
      </c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1"/>
      <c r="AG433" s="1"/>
      <c r="AH433" s="1"/>
      <c r="AI433" s="1"/>
      <c r="AJ433" s="1"/>
    </row>
    <row r="434" spans="1:36" ht="12" customHeight="1">
      <c r="A434" s="284"/>
      <c r="B434" s="15" t="str">
        <f>TB!B473</f>
        <v>SP016</v>
      </c>
      <c r="C434" s="288" t="str">
        <f>TB!C473</f>
        <v>London No.1 Gin</v>
      </c>
      <c r="D434" s="257">
        <f>SUMIF(GL!$D$5:$D$6446,B434,GL!$G$5:$G$6446)</f>
        <v>0</v>
      </c>
      <c r="E434" s="258">
        <f>SUMIF(GL!$D$6:$D$6484,B434,GL!$H$6:$H$6484)</f>
        <v>0</v>
      </c>
      <c r="F434" s="258">
        <f>SUMIF(GL!$D$6:$D$6484,B434,GL!$I$6:$I$6484)</f>
        <v>0</v>
      </c>
      <c r="G434" s="258">
        <f t="shared" si="88"/>
        <v>0</v>
      </c>
      <c r="H434" s="258">
        <f t="shared" si="89"/>
        <v>0</v>
      </c>
      <c r="I434" s="250">
        <v>10.1</v>
      </c>
      <c r="J434" s="251">
        <v>384395</v>
      </c>
      <c r="K434" s="252">
        <v>3882394</v>
      </c>
      <c r="L434" s="253">
        <f t="shared" si="127"/>
        <v>10.1</v>
      </c>
      <c r="M434" s="128">
        <f t="shared" si="128"/>
        <v>384395.44554455444</v>
      </c>
      <c r="N434" s="128">
        <f t="shared" si="84"/>
        <v>3882394</v>
      </c>
      <c r="O434" s="254">
        <v>10.199999999999999</v>
      </c>
      <c r="P434" s="128">
        <f t="shared" si="85"/>
        <v>384395.44554455444</v>
      </c>
      <c r="Q434" s="18">
        <f t="shared" si="86"/>
        <v>3920833.5445544552</v>
      </c>
      <c r="R434" s="255">
        <f t="shared" si="87"/>
        <v>-38439.544554455206</v>
      </c>
      <c r="S434" s="1"/>
      <c r="T434" s="1">
        <f t="shared" si="120"/>
        <v>-0.44554455444449559</v>
      </c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1"/>
      <c r="AG434" s="1"/>
      <c r="AH434" s="1"/>
      <c r="AI434" s="1"/>
      <c r="AJ434" s="1"/>
    </row>
    <row r="435" spans="1:36" ht="13.5" customHeight="1">
      <c r="A435" s="259"/>
      <c r="B435" s="15" t="str">
        <f>TB!B474</f>
        <v>SP017</v>
      </c>
      <c r="C435" s="288" t="str">
        <f>TB!C474</f>
        <v>Seagrams Gin 750Ml</v>
      </c>
      <c r="D435" s="257">
        <f>SUMIF(GL!$D$5:$D$6446,B435,GL!$G$5:$G$6446)</f>
        <v>0</v>
      </c>
      <c r="E435" s="258">
        <f>SUMIF(GL!$D$6:$D$6484,B435,GL!$H$6:$H$6484)</f>
        <v>0</v>
      </c>
      <c r="F435" s="258">
        <f>SUMIF(GL!$D$6:$D$6484,B435,GL!$I$6:$I$6484)</f>
        <v>0</v>
      </c>
      <c r="G435" s="258">
        <f t="shared" si="88"/>
        <v>0</v>
      </c>
      <c r="H435" s="258">
        <f t="shared" si="89"/>
        <v>0</v>
      </c>
      <c r="I435" s="250"/>
      <c r="J435" s="251"/>
      <c r="K435" s="252"/>
      <c r="L435" s="253"/>
      <c r="M435" s="128"/>
      <c r="N435" s="128">
        <f t="shared" si="84"/>
        <v>0</v>
      </c>
      <c r="O435" s="254"/>
      <c r="P435" s="128">
        <f t="shared" si="85"/>
        <v>0</v>
      </c>
      <c r="Q435" s="18">
        <f t="shared" si="86"/>
        <v>0</v>
      </c>
      <c r="R435" s="255">
        <f t="shared" si="87"/>
        <v>0</v>
      </c>
      <c r="S435" s="1"/>
      <c r="T435" s="1">
        <f t="shared" si="120"/>
        <v>0</v>
      </c>
      <c r="U435" s="99"/>
      <c r="V435" s="99"/>
      <c r="W435" s="134"/>
      <c r="X435" s="99"/>
      <c r="Y435" s="99"/>
      <c r="Z435" s="99"/>
      <c r="AA435" s="99"/>
      <c r="AB435" s="99"/>
      <c r="AC435" s="99"/>
      <c r="AD435" s="99"/>
      <c r="AE435" s="99"/>
      <c r="AF435" s="1"/>
      <c r="AG435" s="1"/>
      <c r="AH435" s="1"/>
      <c r="AI435" s="1"/>
      <c r="AJ435" s="1"/>
    </row>
    <row r="436" spans="1:36" ht="13.5" customHeight="1">
      <c r="A436" s="259"/>
      <c r="B436" s="15" t="str">
        <f>TB!B475</f>
        <v>SP018</v>
      </c>
      <c r="C436" s="288" t="str">
        <f>TB!C475</f>
        <v>Bombay Shapire</v>
      </c>
      <c r="D436" s="257">
        <f>SUMIF(GL!$D$5:$D$6446,B436,GL!$G$5:$G$6446)</f>
        <v>4</v>
      </c>
      <c r="E436" s="258">
        <f>SUMIF(GL!$D$6:$D$6484,B436,GL!$H$6:$H$6484)</f>
        <v>1540000</v>
      </c>
      <c r="F436" s="258">
        <f>SUMIF(GL!$D$6:$D$6484,B436,GL!$I$6:$I$6484)</f>
        <v>0</v>
      </c>
      <c r="G436" s="258">
        <f t="shared" si="88"/>
        <v>1540000</v>
      </c>
      <c r="H436" s="258">
        <f t="shared" si="89"/>
        <v>0</v>
      </c>
      <c r="I436" s="250">
        <v>10.1</v>
      </c>
      <c r="J436" s="251">
        <v>161047</v>
      </c>
      <c r="K436" s="252">
        <v>1626570</v>
      </c>
      <c r="L436" s="253">
        <f>D436+I436</f>
        <v>14.1</v>
      </c>
      <c r="M436" s="128">
        <f>(G436+K436)/L436</f>
        <v>224579.43262411348</v>
      </c>
      <c r="N436" s="128">
        <f t="shared" si="84"/>
        <v>3166570</v>
      </c>
      <c r="O436" s="254">
        <v>6.6</v>
      </c>
      <c r="P436" s="128">
        <f t="shared" si="85"/>
        <v>224579.43262411348</v>
      </c>
      <c r="Q436" s="18">
        <f t="shared" si="86"/>
        <v>1482224.255319149</v>
      </c>
      <c r="R436" s="255">
        <f t="shared" si="87"/>
        <v>1684345.744680851</v>
      </c>
      <c r="S436" s="1"/>
      <c r="T436" s="1">
        <f t="shared" si="120"/>
        <v>-63532.432624113484</v>
      </c>
      <c r="U436" s="99"/>
      <c r="V436" s="99"/>
      <c r="W436" s="134"/>
      <c r="X436" s="99"/>
      <c r="Y436" s="99"/>
      <c r="Z436" s="99"/>
      <c r="AA436" s="99"/>
      <c r="AB436" s="99"/>
      <c r="AC436" s="99"/>
      <c r="AD436" s="99"/>
      <c r="AE436" s="99"/>
      <c r="AF436" s="1"/>
      <c r="AG436" s="1"/>
      <c r="AH436" s="1"/>
      <c r="AI436" s="1"/>
      <c r="AJ436" s="1"/>
    </row>
    <row r="437" spans="1:36" ht="13.5" customHeight="1">
      <c r="A437" s="259"/>
      <c r="B437" s="15" t="str">
        <f>TB!B476</f>
        <v>SP018A</v>
      </c>
      <c r="C437" s="288" t="str">
        <f>TB!C476</f>
        <v>Greenall'S The Original Gin</v>
      </c>
      <c r="D437" s="257">
        <f>SUMIF(GL!$D$5:$D$6446,B437,GL!$G$5:$G$6446)</f>
        <v>0</v>
      </c>
      <c r="E437" s="258">
        <f>SUMIF(GL!$D$6:$D$6484,B437,GL!$H$6:$H$6484)</f>
        <v>0</v>
      </c>
      <c r="F437" s="258">
        <f>SUMIF(GL!$D$6:$D$6484,B437,GL!$I$6:$I$6484)</f>
        <v>0</v>
      </c>
      <c r="G437" s="258">
        <f t="shared" si="88"/>
        <v>0</v>
      </c>
      <c r="H437" s="258">
        <f t="shared" si="89"/>
        <v>0</v>
      </c>
      <c r="I437" s="250"/>
      <c r="J437" s="251"/>
      <c r="K437" s="252"/>
      <c r="L437" s="253"/>
      <c r="M437" s="128"/>
      <c r="N437" s="128">
        <f t="shared" si="84"/>
        <v>0</v>
      </c>
      <c r="O437" s="254"/>
      <c r="P437" s="128">
        <f t="shared" si="85"/>
        <v>0</v>
      </c>
      <c r="Q437" s="18">
        <f t="shared" si="86"/>
        <v>0</v>
      </c>
      <c r="R437" s="255">
        <f t="shared" si="87"/>
        <v>0</v>
      </c>
      <c r="S437" s="1"/>
      <c r="T437" s="1">
        <f t="shared" si="120"/>
        <v>0</v>
      </c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1"/>
      <c r="AG437" s="1"/>
      <c r="AH437" s="1"/>
      <c r="AI437" s="1"/>
      <c r="AJ437" s="1"/>
    </row>
    <row r="438" spans="1:36" ht="13.5" customHeight="1">
      <c r="A438" s="259"/>
      <c r="B438" s="15" t="str">
        <f>TB!B477</f>
        <v>SP012B</v>
      </c>
      <c r="C438" s="288" t="str">
        <f>TB!C477</f>
        <v>Hendricks Neptune</v>
      </c>
      <c r="D438" s="257">
        <f>SUMIF(GL!$D$5:$D$6446,B438,GL!$G$5:$G$6446)</f>
        <v>0</v>
      </c>
      <c r="E438" s="258">
        <f>SUMIF(GL!$D$6:$D$6484,B438,GL!$H$6:$H$6484)</f>
        <v>0</v>
      </c>
      <c r="F438" s="258">
        <f>SUMIF(GL!$D$6:$D$6484,B438,GL!$I$6:$I$6484)</f>
        <v>0</v>
      </c>
      <c r="G438" s="258">
        <f t="shared" si="88"/>
        <v>0</v>
      </c>
      <c r="H438" s="258">
        <f t="shared" si="89"/>
        <v>0</v>
      </c>
      <c r="I438" s="250">
        <v>2</v>
      </c>
      <c r="J438" s="251" t="s">
        <v>3828</v>
      </c>
      <c r="K438" s="252"/>
      <c r="L438" s="253">
        <f t="shared" ref="L438:L441" si="129">D438+I438</f>
        <v>2</v>
      </c>
      <c r="M438" s="128">
        <f t="shared" ref="M438:M441" si="130">(G438+K438)/L438</f>
        <v>0</v>
      </c>
      <c r="N438" s="128">
        <f t="shared" si="84"/>
        <v>0</v>
      </c>
      <c r="O438" s="254">
        <v>2</v>
      </c>
      <c r="P438" s="128">
        <f t="shared" si="85"/>
        <v>0</v>
      </c>
      <c r="Q438" s="18">
        <f t="shared" si="86"/>
        <v>0</v>
      </c>
      <c r="R438" s="255">
        <f t="shared" si="87"/>
        <v>0</v>
      </c>
      <c r="S438" s="1"/>
      <c r="T438" s="1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1"/>
      <c r="AG438" s="1"/>
      <c r="AH438" s="1"/>
      <c r="AI438" s="1"/>
      <c r="AJ438" s="1"/>
    </row>
    <row r="439" spans="1:36" ht="13.5" customHeight="1">
      <c r="A439" s="259"/>
      <c r="B439" s="15" t="str">
        <f>TB!B478</f>
        <v>SP015A</v>
      </c>
      <c r="C439" s="288" t="str">
        <f>TB!C478</f>
        <v>Tanguray 10</v>
      </c>
      <c r="D439" s="257">
        <f>SUMIF(GL!$D$5:$D$6446,B439,GL!$G$5:$G$6446)</f>
        <v>0</v>
      </c>
      <c r="E439" s="258">
        <f>SUMIF(GL!$D$6:$D$6484,B439,GL!$H$6:$H$6484)</f>
        <v>0</v>
      </c>
      <c r="F439" s="258">
        <f>SUMIF(GL!$D$6:$D$6484,B439,GL!$I$6:$I$6484)</f>
        <v>0</v>
      </c>
      <c r="G439" s="258">
        <f t="shared" si="88"/>
        <v>0</v>
      </c>
      <c r="H439" s="258">
        <f t="shared" si="89"/>
        <v>0</v>
      </c>
      <c r="I439" s="250">
        <v>3.7</v>
      </c>
      <c r="J439" s="251">
        <v>796500</v>
      </c>
      <c r="K439" s="252">
        <v>2947050</v>
      </c>
      <c r="L439" s="253">
        <f t="shared" si="129"/>
        <v>3.7</v>
      </c>
      <c r="M439" s="128">
        <f t="shared" si="130"/>
        <v>796500</v>
      </c>
      <c r="N439" s="128">
        <f t="shared" si="84"/>
        <v>2947050</v>
      </c>
      <c r="O439" s="254">
        <v>3.6</v>
      </c>
      <c r="P439" s="128">
        <f t="shared" si="85"/>
        <v>796500</v>
      </c>
      <c r="Q439" s="18">
        <f t="shared" si="86"/>
        <v>2867400</v>
      </c>
      <c r="R439" s="255">
        <f t="shared" si="87"/>
        <v>79650</v>
      </c>
      <c r="S439" s="1"/>
      <c r="T439" s="1">
        <f t="shared" ref="T439:T523" si="131">J439-M439</f>
        <v>0</v>
      </c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1"/>
      <c r="AG439" s="1"/>
      <c r="AH439" s="1"/>
      <c r="AI439" s="1"/>
      <c r="AJ439" s="1"/>
    </row>
    <row r="440" spans="1:36" ht="13.5" customHeight="1">
      <c r="A440" s="259"/>
      <c r="B440" s="15" t="str">
        <f>TB!B479</f>
        <v>SP011A</v>
      </c>
      <c r="C440" s="288" t="str">
        <f>TB!C479</f>
        <v>Gordon'S Gin Premium Pink</v>
      </c>
      <c r="D440" s="257">
        <f>SUMIF(GL!$D$5:$D$6446,B440,GL!$G$5:$G$6446)</f>
        <v>0</v>
      </c>
      <c r="E440" s="258">
        <f>SUMIF(GL!$D$6:$D$6484,B440,GL!$H$6:$H$6484)</f>
        <v>0</v>
      </c>
      <c r="F440" s="258">
        <f>SUMIF(GL!$D$6:$D$6484,B440,GL!$I$6:$I$6484)</f>
        <v>0</v>
      </c>
      <c r="G440" s="258">
        <f t="shared" si="88"/>
        <v>0</v>
      </c>
      <c r="H440" s="258">
        <f t="shared" si="89"/>
        <v>0</v>
      </c>
      <c r="I440" s="250">
        <v>2</v>
      </c>
      <c r="J440" s="251">
        <v>680212</v>
      </c>
      <c r="K440" s="252">
        <v>1360423</v>
      </c>
      <c r="L440" s="253">
        <f t="shared" si="129"/>
        <v>2</v>
      </c>
      <c r="M440" s="128">
        <f t="shared" si="130"/>
        <v>680211.5</v>
      </c>
      <c r="N440" s="128">
        <f t="shared" si="84"/>
        <v>1360423</v>
      </c>
      <c r="O440" s="254">
        <v>1</v>
      </c>
      <c r="P440" s="128">
        <f t="shared" si="85"/>
        <v>680211.5</v>
      </c>
      <c r="Q440" s="18">
        <f t="shared" si="86"/>
        <v>680211.5</v>
      </c>
      <c r="R440" s="255">
        <f t="shared" si="87"/>
        <v>680211.5</v>
      </c>
      <c r="S440" s="1"/>
      <c r="T440" s="1">
        <f t="shared" si="131"/>
        <v>0.5</v>
      </c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1"/>
      <c r="AG440" s="1"/>
      <c r="AH440" s="1"/>
      <c r="AI440" s="1"/>
      <c r="AJ440" s="1"/>
    </row>
    <row r="441" spans="1:36" ht="13.5" customHeight="1">
      <c r="A441" s="259"/>
      <c r="B441" s="15" t="str">
        <f>TB!B480</f>
        <v>SP016A</v>
      </c>
      <c r="C441" s="288" t="str">
        <f>TB!C480</f>
        <v>Beefeater London Dry Gin</v>
      </c>
      <c r="D441" s="257">
        <f>SUMIF(GL!$D$5:$D$6446,B441,GL!$G$5:$G$6446)</f>
        <v>102</v>
      </c>
      <c r="E441" s="258">
        <f>SUMIF(GL!$D$6:$D$6484,B441,GL!$H$6:$H$6484)</f>
        <v>28538784</v>
      </c>
      <c r="F441" s="258">
        <f>SUMIF(GL!$D$6:$D$6484,B441,GL!$I$6:$I$6484)</f>
        <v>0</v>
      </c>
      <c r="G441" s="258">
        <f t="shared" si="88"/>
        <v>28538784</v>
      </c>
      <c r="H441" s="258">
        <f t="shared" si="89"/>
        <v>0</v>
      </c>
      <c r="I441" s="250">
        <v>18.5</v>
      </c>
      <c r="J441" s="251">
        <v>279652</v>
      </c>
      <c r="K441" s="252">
        <v>5173570</v>
      </c>
      <c r="L441" s="253">
        <f t="shared" si="129"/>
        <v>120.5</v>
      </c>
      <c r="M441" s="128">
        <f t="shared" si="130"/>
        <v>279770.57261410786</v>
      </c>
      <c r="N441" s="128">
        <f t="shared" si="84"/>
        <v>33712354</v>
      </c>
      <c r="O441" s="254">
        <v>45.2</v>
      </c>
      <c r="P441" s="128">
        <f t="shared" si="85"/>
        <v>279770.57261410786</v>
      </c>
      <c r="Q441" s="18">
        <f t="shared" si="86"/>
        <v>12645629.882157676</v>
      </c>
      <c r="R441" s="255">
        <f t="shared" si="87"/>
        <v>21066724.117842324</v>
      </c>
      <c r="S441" s="1"/>
      <c r="T441" s="1">
        <f t="shared" si="131"/>
        <v>-118.57261410786305</v>
      </c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1"/>
      <c r="AG441" s="1"/>
      <c r="AH441" s="1"/>
      <c r="AI441" s="1"/>
      <c r="AJ441" s="1"/>
    </row>
    <row r="442" spans="1:36" ht="13.5" customHeight="1">
      <c r="A442" s="259"/>
      <c r="B442" s="15" t="str">
        <f>TB!B481</f>
        <v>SP016AA</v>
      </c>
      <c r="C442" s="288" t="str">
        <f>TB!C481</f>
        <v>Beefeater 24</v>
      </c>
      <c r="D442" s="257">
        <f>SUMIF(GL!$D$5:$D$6446,B442,GL!$G$5:$G$6446)</f>
        <v>0</v>
      </c>
      <c r="E442" s="258">
        <f>SUMIF(GL!$D$6:$D$6484,B442,GL!$H$6:$H$6484)</f>
        <v>0</v>
      </c>
      <c r="F442" s="258">
        <f>SUMIF(GL!$D$6:$D$6484,B442,GL!$I$6:$I$6484)</f>
        <v>0</v>
      </c>
      <c r="G442" s="258">
        <f t="shared" si="88"/>
        <v>0</v>
      </c>
      <c r="H442" s="258">
        <f t="shared" si="89"/>
        <v>0</v>
      </c>
      <c r="I442" s="250"/>
      <c r="J442" s="251"/>
      <c r="K442" s="252"/>
      <c r="L442" s="253"/>
      <c r="M442" s="128"/>
      <c r="N442" s="128">
        <f t="shared" si="84"/>
        <v>0</v>
      </c>
      <c r="O442" s="254"/>
      <c r="P442" s="128">
        <f t="shared" si="85"/>
        <v>0</v>
      </c>
      <c r="Q442" s="18">
        <f t="shared" si="86"/>
        <v>0</v>
      </c>
      <c r="R442" s="255">
        <f t="shared" si="87"/>
        <v>0</v>
      </c>
      <c r="S442" s="1"/>
      <c r="T442" s="1">
        <f t="shared" si="131"/>
        <v>0</v>
      </c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1"/>
      <c r="AG442" s="1"/>
      <c r="AH442" s="1"/>
      <c r="AI442" s="1"/>
      <c r="AJ442" s="1"/>
    </row>
    <row r="443" spans="1:36" ht="13.5" customHeight="1">
      <c r="A443" s="259"/>
      <c r="B443" s="15" t="str">
        <f>TB!B482</f>
        <v>SP016B</v>
      </c>
      <c r="C443" s="288" t="str">
        <f>TB!C482</f>
        <v>Malfy Gin Originale</v>
      </c>
      <c r="D443" s="257">
        <f>SUMIF(GL!$D$5:$D$6446,B443,GL!$G$5:$G$6446)</f>
        <v>0</v>
      </c>
      <c r="E443" s="258">
        <f>SUMIF(GL!$D$6:$D$6484,B443,GL!$H$6:$H$6484)</f>
        <v>0</v>
      </c>
      <c r="F443" s="258">
        <f>SUMIF(GL!$D$6:$D$6484,B443,GL!$I$6:$I$6484)</f>
        <v>0</v>
      </c>
      <c r="G443" s="258">
        <f t="shared" si="88"/>
        <v>0</v>
      </c>
      <c r="H443" s="258">
        <f t="shared" si="89"/>
        <v>0</v>
      </c>
      <c r="I443" s="250">
        <v>1.3</v>
      </c>
      <c r="J443" s="251">
        <v>575000</v>
      </c>
      <c r="K443" s="252">
        <v>747500</v>
      </c>
      <c r="L443" s="253">
        <f t="shared" ref="L443:L446" si="132">D443+I443</f>
        <v>1.3</v>
      </c>
      <c r="M443" s="128">
        <f t="shared" ref="M443:M446" si="133">(G443+K443)/L443</f>
        <v>575000</v>
      </c>
      <c r="N443" s="128">
        <f t="shared" si="84"/>
        <v>747500</v>
      </c>
      <c r="O443" s="254">
        <v>1.3</v>
      </c>
      <c r="P443" s="128">
        <f t="shared" si="85"/>
        <v>575000</v>
      </c>
      <c r="Q443" s="18">
        <f t="shared" si="86"/>
        <v>747500</v>
      </c>
      <c r="R443" s="255">
        <f t="shared" si="87"/>
        <v>0</v>
      </c>
      <c r="S443" s="1"/>
      <c r="T443" s="1">
        <f t="shared" si="131"/>
        <v>0</v>
      </c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1"/>
      <c r="AG443" s="1"/>
      <c r="AH443" s="1"/>
      <c r="AI443" s="1"/>
      <c r="AJ443" s="1"/>
    </row>
    <row r="444" spans="1:36" ht="13.5" customHeight="1">
      <c r="A444" s="259"/>
      <c r="B444" s="15" t="str">
        <f>TB!B483</f>
        <v>SP016C</v>
      </c>
      <c r="C444" s="288" t="str">
        <f>TB!C483</f>
        <v>Malfy Gin Con Arancia</v>
      </c>
      <c r="D444" s="257">
        <f>SUMIF(GL!$D$5:$D$6446,B444,GL!$G$5:$G$6446)</f>
        <v>0</v>
      </c>
      <c r="E444" s="258">
        <f>SUMIF(GL!$D$6:$D$6484,B444,GL!$H$6:$H$6484)</f>
        <v>0</v>
      </c>
      <c r="F444" s="258">
        <f>SUMIF(GL!$D$6:$D$6484,B444,GL!$I$6:$I$6484)</f>
        <v>0</v>
      </c>
      <c r="G444" s="258">
        <f t="shared" si="88"/>
        <v>0</v>
      </c>
      <c r="H444" s="258">
        <f t="shared" si="89"/>
        <v>0</v>
      </c>
      <c r="I444" s="250">
        <v>2</v>
      </c>
      <c r="J444" s="251">
        <v>575000</v>
      </c>
      <c r="K444" s="252">
        <v>1150000</v>
      </c>
      <c r="L444" s="253">
        <f t="shared" si="132"/>
        <v>2</v>
      </c>
      <c r="M444" s="128">
        <f t="shared" si="133"/>
        <v>575000</v>
      </c>
      <c r="N444" s="128">
        <f t="shared" si="84"/>
        <v>1150000</v>
      </c>
      <c r="O444" s="254">
        <v>2</v>
      </c>
      <c r="P444" s="128">
        <f t="shared" si="85"/>
        <v>575000</v>
      </c>
      <c r="Q444" s="18">
        <f t="shared" si="86"/>
        <v>1150000</v>
      </c>
      <c r="R444" s="255">
        <f t="shared" si="87"/>
        <v>0</v>
      </c>
      <c r="S444" s="1"/>
      <c r="T444" s="1">
        <f t="shared" si="131"/>
        <v>0</v>
      </c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1"/>
      <c r="AG444" s="1"/>
      <c r="AH444" s="1"/>
      <c r="AI444" s="1"/>
      <c r="AJ444" s="1"/>
    </row>
    <row r="445" spans="1:36" ht="13.5" customHeight="1">
      <c r="A445" s="259"/>
      <c r="B445" s="15" t="str">
        <f>TB!B484</f>
        <v>SP016D</v>
      </c>
      <c r="C445" s="288" t="str">
        <f>TB!C484</f>
        <v>Malfy Gin Con Limone</v>
      </c>
      <c r="D445" s="257">
        <f>SUMIF(GL!$D$5:$D$6446,B445,GL!$G$5:$G$6446)</f>
        <v>0</v>
      </c>
      <c r="E445" s="258">
        <f>SUMIF(GL!$D$6:$D$6484,B445,GL!$H$6:$H$6484)</f>
        <v>0</v>
      </c>
      <c r="F445" s="258">
        <f>SUMIF(GL!$D$6:$D$6484,B445,GL!$I$6:$I$6484)</f>
        <v>0</v>
      </c>
      <c r="G445" s="258">
        <f t="shared" si="88"/>
        <v>0</v>
      </c>
      <c r="H445" s="258">
        <f t="shared" si="89"/>
        <v>0</v>
      </c>
      <c r="I445" s="250">
        <v>2</v>
      </c>
      <c r="J445" s="251">
        <v>575000</v>
      </c>
      <c r="K445" s="252">
        <v>1150000</v>
      </c>
      <c r="L445" s="253">
        <f t="shared" si="132"/>
        <v>2</v>
      </c>
      <c r="M445" s="128">
        <f t="shared" si="133"/>
        <v>575000</v>
      </c>
      <c r="N445" s="128">
        <f t="shared" si="84"/>
        <v>1150000</v>
      </c>
      <c r="O445" s="254">
        <v>2</v>
      </c>
      <c r="P445" s="128">
        <f t="shared" si="85"/>
        <v>575000</v>
      </c>
      <c r="Q445" s="18">
        <f t="shared" si="86"/>
        <v>1150000</v>
      </c>
      <c r="R445" s="255">
        <f t="shared" si="87"/>
        <v>0</v>
      </c>
      <c r="S445" s="1"/>
      <c r="T445" s="1">
        <f t="shared" si="131"/>
        <v>0</v>
      </c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1"/>
      <c r="AG445" s="1"/>
      <c r="AH445" s="1"/>
      <c r="AI445" s="1"/>
      <c r="AJ445" s="1"/>
    </row>
    <row r="446" spans="1:36" ht="13.5" customHeight="1">
      <c r="A446" s="259"/>
      <c r="B446" s="15" t="str">
        <f>TB!B485</f>
        <v>SP016E</v>
      </c>
      <c r="C446" s="288" t="str">
        <f>TB!C485</f>
        <v>Malfy Gin Rosa</v>
      </c>
      <c r="D446" s="257">
        <f>SUMIF(GL!$D$5:$D$6446,B446,GL!$G$5:$G$6446)</f>
        <v>0</v>
      </c>
      <c r="E446" s="258">
        <f>SUMIF(GL!$D$6:$D$6484,B446,GL!$H$6:$H$6484)</f>
        <v>0</v>
      </c>
      <c r="F446" s="258">
        <f>SUMIF(GL!$D$6:$D$6484,B446,GL!$I$6:$I$6484)</f>
        <v>0</v>
      </c>
      <c r="G446" s="258">
        <f t="shared" si="88"/>
        <v>0</v>
      </c>
      <c r="H446" s="258">
        <f t="shared" si="89"/>
        <v>0</v>
      </c>
      <c r="I446" s="250">
        <v>2</v>
      </c>
      <c r="J446" s="251">
        <v>575000</v>
      </c>
      <c r="K446" s="252">
        <v>1150000</v>
      </c>
      <c r="L446" s="253">
        <f t="shared" si="132"/>
        <v>2</v>
      </c>
      <c r="M446" s="128">
        <f t="shared" si="133"/>
        <v>575000</v>
      </c>
      <c r="N446" s="128">
        <f t="shared" si="84"/>
        <v>1150000</v>
      </c>
      <c r="O446" s="254">
        <v>2</v>
      </c>
      <c r="P446" s="128">
        <f t="shared" si="85"/>
        <v>575000</v>
      </c>
      <c r="Q446" s="18">
        <f t="shared" si="86"/>
        <v>1150000</v>
      </c>
      <c r="R446" s="255">
        <f t="shared" si="87"/>
        <v>0</v>
      </c>
      <c r="S446" s="1"/>
      <c r="T446" s="1">
        <f t="shared" si="131"/>
        <v>0</v>
      </c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1"/>
      <c r="AG446" s="1"/>
      <c r="AH446" s="1"/>
      <c r="AI446" s="1"/>
      <c r="AJ446" s="1"/>
    </row>
    <row r="447" spans="1:36" ht="13.5" customHeight="1">
      <c r="A447" s="259"/>
      <c r="B447" s="15" t="str">
        <f>TB!B486</f>
        <v>SP016F</v>
      </c>
      <c r="C447" s="288" t="str">
        <f>TB!C486</f>
        <v>Monkey 47 Sloe Gin</v>
      </c>
      <c r="D447" s="257">
        <f>SUMIF(GL!$D$5:$D$6446,B447,GL!$G$5:$G$6446)</f>
        <v>0</v>
      </c>
      <c r="E447" s="258">
        <f>SUMIF(GL!$D$6:$D$6484,B447,GL!$H$6:$H$6484)</f>
        <v>0</v>
      </c>
      <c r="F447" s="258">
        <f>SUMIF(GL!$D$6:$D$6484,B447,GL!$I$6:$I$6484)</f>
        <v>0</v>
      </c>
      <c r="G447" s="258">
        <f t="shared" si="88"/>
        <v>0</v>
      </c>
      <c r="H447" s="258">
        <f t="shared" si="89"/>
        <v>0</v>
      </c>
      <c r="I447" s="250"/>
      <c r="J447" s="251"/>
      <c r="K447" s="252"/>
      <c r="L447" s="253"/>
      <c r="M447" s="128"/>
      <c r="N447" s="128">
        <f t="shared" si="84"/>
        <v>0</v>
      </c>
      <c r="O447" s="254"/>
      <c r="P447" s="128">
        <f t="shared" si="85"/>
        <v>0</v>
      </c>
      <c r="Q447" s="18">
        <f t="shared" si="86"/>
        <v>0</v>
      </c>
      <c r="R447" s="255">
        <f t="shared" si="87"/>
        <v>0</v>
      </c>
      <c r="S447" s="1"/>
      <c r="T447" s="1">
        <f t="shared" si="131"/>
        <v>0</v>
      </c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1"/>
      <c r="AG447" s="1"/>
      <c r="AH447" s="1"/>
      <c r="AI447" s="1"/>
      <c r="AJ447" s="1"/>
    </row>
    <row r="448" spans="1:36" ht="13.5" customHeight="1">
      <c r="A448" s="259"/>
      <c r="B448" s="174"/>
      <c r="C448" s="288" t="s">
        <v>2630</v>
      </c>
      <c r="D448" s="257">
        <f>SUMIF(GL!$D$5:$D$6446,B448,GL!$G$5:$G$6446)</f>
        <v>0</v>
      </c>
      <c r="E448" s="258">
        <f>SUMIF(GL!$D$6:$D$6484,B448,GL!$H$6:$H$6484)</f>
        <v>0</v>
      </c>
      <c r="F448" s="258">
        <f>SUMIF(GL!$D$6:$D$6484,B448,GL!$I$6:$I$6484)</f>
        <v>0</v>
      </c>
      <c r="G448" s="258">
        <f t="shared" si="88"/>
        <v>0</v>
      </c>
      <c r="H448" s="258">
        <f t="shared" si="89"/>
        <v>0</v>
      </c>
      <c r="I448" s="250"/>
      <c r="J448" s="251"/>
      <c r="K448" s="252"/>
      <c r="L448" s="253"/>
      <c r="M448" s="128"/>
      <c r="N448" s="128">
        <f t="shared" si="84"/>
        <v>0</v>
      </c>
      <c r="O448" s="254"/>
      <c r="P448" s="128">
        <f t="shared" si="85"/>
        <v>0</v>
      </c>
      <c r="Q448" s="18">
        <f t="shared" si="86"/>
        <v>0</v>
      </c>
      <c r="R448" s="255">
        <f t="shared" si="87"/>
        <v>0</v>
      </c>
      <c r="S448" s="1"/>
      <c r="T448" s="1">
        <f t="shared" si="131"/>
        <v>0</v>
      </c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1"/>
      <c r="AG448" s="1"/>
      <c r="AH448" s="1"/>
      <c r="AI448" s="1"/>
      <c r="AJ448" s="1"/>
    </row>
    <row r="449" spans="1:36" ht="13.5" customHeight="1">
      <c r="A449" s="259"/>
      <c r="B449" s="174"/>
      <c r="C449" s="288" t="s">
        <v>2630</v>
      </c>
      <c r="D449" s="257">
        <f>SUMIF(GL!$D$5:$D$6446,B449,GL!$G$5:$G$6446)</f>
        <v>0</v>
      </c>
      <c r="E449" s="258">
        <f>SUMIF(GL!$D$6:$D$6484,B449,GL!$H$6:$H$6484)</f>
        <v>0</v>
      </c>
      <c r="F449" s="258">
        <f>SUMIF(GL!$D$6:$D$6484,B449,GL!$I$6:$I$6484)</f>
        <v>0</v>
      </c>
      <c r="G449" s="258">
        <f t="shared" si="88"/>
        <v>0</v>
      </c>
      <c r="H449" s="258">
        <f t="shared" si="89"/>
        <v>0</v>
      </c>
      <c r="I449" s="250"/>
      <c r="J449" s="251"/>
      <c r="K449" s="252"/>
      <c r="L449" s="253"/>
      <c r="M449" s="128"/>
      <c r="N449" s="128">
        <f t="shared" si="84"/>
        <v>0</v>
      </c>
      <c r="O449" s="254"/>
      <c r="P449" s="128">
        <f t="shared" si="85"/>
        <v>0</v>
      </c>
      <c r="Q449" s="18">
        <f t="shared" si="86"/>
        <v>0</v>
      </c>
      <c r="R449" s="255">
        <f t="shared" si="87"/>
        <v>0</v>
      </c>
      <c r="S449" s="1"/>
      <c r="T449" s="1">
        <f t="shared" si="131"/>
        <v>0</v>
      </c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1"/>
      <c r="AG449" s="1"/>
      <c r="AH449" s="1"/>
      <c r="AI449" s="1"/>
      <c r="AJ449" s="1"/>
    </row>
    <row r="450" spans="1:36" ht="13.5" customHeight="1">
      <c r="A450" s="259"/>
      <c r="B450" s="174"/>
      <c r="C450" s="288" t="s">
        <v>2630</v>
      </c>
      <c r="D450" s="257">
        <f>SUMIF(GL!$D$5:$D$6446,B450,GL!$G$5:$G$6446)</f>
        <v>0</v>
      </c>
      <c r="E450" s="258">
        <f>SUMIF(GL!$D$6:$D$6484,B450,GL!$H$6:$H$6484)</f>
        <v>0</v>
      </c>
      <c r="F450" s="258">
        <f>SUMIF(GL!$D$6:$D$6484,B450,GL!$I$6:$I$6484)</f>
        <v>0</v>
      </c>
      <c r="G450" s="258">
        <f t="shared" si="88"/>
        <v>0</v>
      </c>
      <c r="H450" s="258">
        <f t="shared" si="89"/>
        <v>0</v>
      </c>
      <c r="I450" s="250"/>
      <c r="J450" s="251"/>
      <c r="K450" s="252"/>
      <c r="L450" s="253"/>
      <c r="M450" s="128"/>
      <c r="N450" s="128">
        <f t="shared" si="84"/>
        <v>0</v>
      </c>
      <c r="O450" s="254"/>
      <c r="P450" s="128">
        <f t="shared" si="85"/>
        <v>0</v>
      </c>
      <c r="Q450" s="18">
        <f t="shared" si="86"/>
        <v>0</v>
      </c>
      <c r="R450" s="255">
        <f t="shared" si="87"/>
        <v>0</v>
      </c>
      <c r="S450" s="1"/>
      <c r="T450" s="1">
        <f t="shared" si="131"/>
        <v>0</v>
      </c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1"/>
      <c r="AG450" s="1"/>
      <c r="AH450" s="1"/>
      <c r="AI450" s="1"/>
      <c r="AJ450" s="1"/>
    </row>
    <row r="451" spans="1:36" ht="13.5" customHeight="1">
      <c r="A451" s="259"/>
      <c r="B451" s="174"/>
      <c r="C451" s="261" t="s">
        <v>3835</v>
      </c>
      <c r="D451" s="257">
        <f>SUMIF(GL!$D$5:$D$6446,B451,GL!$G$5:$G$6446)</f>
        <v>0</v>
      </c>
      <c r="E451" s="258">
        <f>SUMIF(GL!$D$6:$D$6484,B451,GL!$H$6:$H$6484)</f>
        <v>0</v>
      </c>
      <c r="F451" s="258">
        <f>SUMIF(GL!$D$6:$D$6484,B451,GL!$I$6:$I$6484)</f>
        <v>0</v>
      </c>
      <c r="G451" s="258">
        <f t="shared" si="88"/>
        <v>0</v>
      </c>
      <c r="H451" s="258">
        <f t="shared" si="89"/>
        <v>0</v>
      </c>
      <c r="I451" s="250"/>
      <c r="J451" s="251"/>
      <c r="K451" s="252"/>
      <c r="L451" s="253"/>
      <c r="M451" s="128"/>
      <c r="N451" s="128">
        <f t="shared" si="84"/>
        <v>0</v>
      </c>
      <c r="O451" s="254"/>
      <c r="P451" s="128">
        <f t="shared" si="85"/>
        <v>0</v>
      </c>
      <c r="Q451" s="18">
        <f t="shared" si="86"/>
        <v>0</v>
      </c>
      <c r="R451" s="255">
        <f t="shared" si="87"/>
        <v>0</v>
      </c>
      <c r="S451" s="1"/>
      <c r="T451" s="1">
        <f t="shared" si="131"/>
        <v>0</v>
      </c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1"/>
      <c r="AG451" s="1"/>
      <c r="AH451" s="1"/>
      <c r="AI451" s="1"/>
      <c r="AJ451" s="1"/>
    </row>
    <row r="452" spans="1:36" ht="13.5" customHeight="1">
      <c r="A452" s="259"/>
      <c r="B452" s="15" t="str">
        <f>TB!B490</f>
        <v>SP019</v>
      </c>
      <c r="C452" s="288" t="str">
        <f>TB!C490</f>
        <v>Bacardi Light</v>
      </c>
      <c r="D452" s="257">
        <f>SUMIF(GL!$D$5:$D$6446,B452,GL!$G$5:$G$6446)</f>
        <v>0</v>
      </c>
      <c r="E452" s="258">
        <f>SUMIF(GL!$D$6:$D$6484,B452,GL!$H$6:$H$6484)</f>
        <v>0</v>
      </c>
      <c r="F452" s="258">
        <f>SUMIF(GL!$D$6:$D$6484,B452,GL!$I$6:$I$6484)</f>
        <v>0</v>
      </c>
      <c r="G452" s="258">
        <f t="shared" si="88"/>
        <v>0</v>
      </c>
      <c r="H452" s="258">
        <f t="shared" si="89"/>
        <v>0</v>
      </c>
      <c r="I452" s="250"/>
      <c r="J452" s="251"/>
      <c r="K452" s="252"/>
      <c r="L452" s="253"/>
      <c r="M452" s="128"/>
      <c r="N452" s="128">
        <f t="shared" si="84"/>
        <v>0</v>
      </c>
      <c r="O452" s="254"/>
      <c r="P452" s="128">
        <f t="shared" si="85"/>
        <v>0</v>
      </c>
      <c r="Q452" s="18">
        <f t="shared" si="86"/>
        <v>0</v>
      </c>
      <c r="R452" s="255">
        <f t="shared" si="87"/>
        <v>0</v>
      </c>
      <c r="S452" s="1"/>
      <c r="T452" s="1">
        <f t="shared" si="131"/>
        <v>0</v>
      </c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1"/>
      <c r="AG452" s="1"/>
      <c r="AH452" s="1"/>
      <c r="AI452" s="1"/>
      <c r="AJ452" s="1"/>
    </row>
    <row r="453" spans="1:36" ht="13.5" customHeight="1">
      <c r="A453" s="264"/>
      <c r="B453" s="290" t="str">
        <f>TB!B491</f>
        <v>SP020</v>
      </c>
      <c r="C453" s="291" t="str">
        <f>TB!C491</f>
        <v>Havana Club Anejo Bianco</v>
      </c>
      <c r="D453" s="292">
        <f>SUMIF(GL!$D$5:$D$6446,B453,GL!$G$5:$G$6446)</f>
        <v>0</v>
      </c>
      <c r="E453" s="293">
        <f>SUMIF(GL!$D$6:$D$6484,B453,GL!$H$6:$H$6484)</f>
        <v>0</v>
      </c>
      <c r="F453" s="293">
        <f>SUMIF(GL!$D$6:$D$6484,B453,GL!$I$6:$I$6484)</f>
        <v>0</v>
      </c>
      <c r="G453" s="293">
        <f t="shared" si="88"/>
        <v>0</v>
      </c>
      <c r="H453" s="293">
        <f t="shared" si="89"/>
        <v>0</v>
      </c>
      <c r="I453" s="250"/>
      <c r="J453" s="251"/>
      <c r="K453" s="252"/>
      <c r="L453" s="253"/>
      <c r="M453" s="128"/>
      <c r="N453" s="128">
        <f t="shared" si="84"/>
        <v>0</v>
      </c>
      <c r="O453" s="254"/>
      <c r="P453" s="128">
        <f t="shared" si="85"/>
        <v>0</v>
      </c>
      <c r="Q453" s="18">
        <f t="shared" si="86"/>
        <v>0</v>
      </c>
      <c r="R453" s="255">
        <f t="shared" si="87"/>
        <v>0</v>
      </c>
      <c r="S453" s="271"/>
      <c r="T453" s="1">
        <f t="shared" si="131"/>
        <v>0</v>
      </c>
      <c r="U453" s="270"/>
      <c r="V453" s="270"/>
      <c r="W453" s="270"/>
      <c r="X453" s="270"/>
      <c r="Y453" s="270"/>
      <c r="Z453" s="270"/>
      <c r="AA453" s="270"/>
      <c r="AB453" s="270"/>
      <c r="AC453" s="270"/>
      <c r="AD453" s="270"/>
      <c r="AE453" s="270"/>
      <c r="AF453" s="271"/>
      <c r="AG453" s="271"/>
      <c r="AH453" s="271"/>
      <c r="AI453" s="271"/>
      <c r="AJ453" s="271"/>
    </row>
    <row r="454" spans="1:36" ht="13.5" customHeight="1">
      <c r="A454" s="259"/>
      <c r="B454" s="15" t="str">
        <f>TB!B492</f>
        <v>SP021</v>
      </c>
      <c r="C454" s="288" t="str">
        <f>TB!C492</f>
        <v>Malibu Caribean - 750 Ml</v>
      </c>
      <c r="D454" s="257">
        <f>SUMIF(GL!$D$5:$D$6446,B454,GL!$G$5:$G$6446)</f>
        <v>2</v>
      </c>
      <c r="E454" s="258">
        <f>SUMIF(GL!$D$6:$D$6484,B454,GL!$H$6:$H$6484)</f>
        <v>790000</v>
      </c>
      <c r="F454" s="258">
        <f>SUMIF(GL!$D$6:$D$6484,B454,GL!$I$6:$I$6484)</f>
        <v>0</v>
      </c>
      <c r="G454" s="258">
        <f t="shared" si="88"/>
        <v>790000</v>
      </c>
      <c r="H454" s="258">
        <f t="shared" si="89"/>
        <v>0</v>
      </c>
      <c r="I454" s="250">
        <v>4.2</v>
      </c>
      <c r="J454" s="251"/>
      <c r="K454" s="252"/>
      <c r="L454" s="253">
        <f>D454+I454</f>
        <v>6.2</v>
      </c>
      <c r="M454" s="128">
        <f>(G454+K454)/L454</f>
        <v>127419.35483870967</v>
      </c>
      <c r="N454" s="128">
        <f t="shared" si="84"/>
        <v>790000</v>
      </c>
      <c r="O454" s="254"/>
      <c r="P454" s="128">
        <f t="shared" si="85"/>
        <v>127419.35483870967</v>
      </c>
      <c r="Q454" s="18">
        <f t="shared" si="86"/>
        <v>0</v>
      </c>
      <c r="R454" s="255">
        <f t="shared" si="87"/>
        <v>790000</v>
      </c>
      <c r="S454" s="1"/>
      <c r="T454" s="1">
        <f t="shared" si="131"/>
        <v>-127419.35483870967</v>
      </c>
      <c r="U454" s="1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1"/>
      <c r="AG454" s="1"/>
      <c r="AH454" s="1"/>
      <c r="AI454" s="1"/>
      <c r="AJ454" s="1"/>
    </row>
    <row r="455" spans="1:36" ht="13.5" customHeight="1">
      <c r="A455" s="259"/>
      <c r="B455" s="15" t="str">
        <f>TB!B493</f>
        <v>SP022</v>
      </c>
      <c r="C455" s="288" t="str">
        <f>TB!C493</f>
        <v>Captain Morgan Spiced</v>
      </c>
      <c r="D455" s="257">
        <f>SUMIF(GL!$D$5:$D$6446,B455,GL!$G$5:$G$6446)</f>
        <v>0</v>
      </c>
      <c r="E455" s="258">
        <f>SUMIF(GL!$D$6:$D$6484,B455,GL!$H$6:$H$6484)</f>
        <v>0</v>
      </c>
      <c r="F455" s="258">
        <f>SUMIF(GL!$D$6:$D$6484,B455,GL!$I$6:$I$6484)</f>
        <v>0</v>
      </c>
      <c r="G455" s="258">
        <f t="shared" si="88"/>
        <v>0</v>
      </c>
      <c r="H455" s="258">
        <f t="shared" si="89"/>
        <v>0</v>
      </c>
      <c r="I455" s="250"/>
      <c r="J455" s="251"/>
      <c r="K455" s="252"/>
      <c r="L455" s="253"/>
      <c r="M455" s="128"/>
      <c r="N455" s="128">
        <f t="shared" si="84"/>
        <v>0</v>
      </c>
      <c r="O455" s="254"/>
      <c r="P455" s="128">
        <f t="shared" si="85"/>
        <v>0</v>
      </c>
      <c r="Q455" s="18">
        <f t="shared" si="86"/>
        <v>0</v>
      </c>
      <c r="R455" s="255">
        <f t="shared" si="87"/>
        <v>0</v>
      </c>
      <c r="S455" s="1"/>
      <c r="T455" s="1">
        <f t="shared" si="131"/>
        <v>0</v>
      </c>
      <c r="U455" s="1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1"/>
      <c r="AG455" s="1"/>
      <c r="AH455" s="1"/>
      <c r="AI455" s="1"/>
      <c r="AJ455" s="1"/>
    </row>
    <row r="456" spans="1:36" ht="13.5" customHeight="1">
      <c r="A456" s="259"/>
      <c r="B456" s="15" t="str">
        <f>TB!B494</f>
        <v>SP023</v>
      </c>
      <c r="C456" s="288" t="str">
        <f>TB!C494</f>
        <v>Captain Morgan Spicy 200Ml</v>
      </c>
      <c r="D456" s="257">
        <f>SUMIF(GL!$D$5:$D$6446,B456,GL!$G$5:$G$6446)</f>
        <v>0</v>
      </c>
      <c r="E456" s="258">
        <f>SUMIF(GL!$D$6:$D$6484,B456,GL!$H$6:$H$6484)</f>
        <v>0</v>
      </c>
      <c r="F456" s="258">
        <f>SUMIF(GL!$D$6:$D$6484,B456,GL!$I$6:$I$6484)</f>
        <v>0</v>
      </c>
      <c r="G456" s="258">
        <f t="shared" si="88"/>
        <v>0</v>
      </c>
      <c r="H456" s="258">
        <f t="shared" si="89"/>
        <v>0</v>
      </c>
      <c r="I456" s="250"/>
      <c r="J456" s="251"/>
      <c r="K456" s="252"/>
      <c r="L456" s="253"/>
      <c r="M456" s="128"/>
      <c r="N456" s="128">
        <f t="shared" si="84"/>
        <v>0</v>
      </c>
      <c r="O456" s="254"/>
      <c r="P456" s="128">
        <f t="shared" si="85"/>
        <v>0</v>
      </c>
      <c r="Q456" s="18">
        <f t="shared" si="86"/>
        <v>0</v>
      </c>
      <c r="R456" s="255">
        <f t="shared" si="87"/>
        <v>0</v>
      </c>
      <c r="S456" s="1"/>
      <c r="T456" s="1">
        <f t="shared" si="131"/>
        <v>0</v>
      </c>
      <c r="U456" s="1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1"/>
      <c r="AG456" s="1"/>
      <c r="AH456" s="1"/>
      <c r="AI456" s="1"/>
      <c r="AJ456" s="1"/>
    </row>
    <row r="457" spans="1:36" ht="13.5" customHeight="1">
      <c r="A457" s="259"/>
      <c r="B457" s="15" t="str">
        <f>TB!B495</f>
        <v>SP024</v>
      </c>
      <c r="C457" s="288" t="str">
        <f>TB!C495</f>
        <v>Captain Morgan White</v>
      </c>
      <c r="D457" s="257">
        <f>SUMIF(GL!$D$5:$D$6446,B457,GL!$G$5:$G$6446)</f>
        <v>0</v>
      </c>
      <c r="E457" s="258">
        <f>SUMIF(GL!$D$6:$D$6484,B457,GL!$H$6:$H$6484)</f>
        <v>0</v>
      </c>
      <c r="F457" s="258">
        <f>SUMIF(GL!$D$6:$D$6484,B457,GL!$I$6:$I$6484)</f>
        <v>0</v>
      </c>
      <c r="G457" s="258">
        <f t="shared" si="88"/>
        <v>0</v>
      </c>
      <c r="H457" s="258">
        <f t="shared" si="89"/>
        <v>0</v>
      </c>
      <c r="I457" s="250"/>
      <c r="J457" s="251"/>
      <c r="K457" s="252"/>
      <c r="L457" s="253"/>
      <c r="M457" s="128"/>
      <c r="N457" s="128">
        <f t="shared" si="84"/>
        <v>0</v>
      </c>
      <c r="O457" s="254"/>
      <c r="P457" s="128">
        <f t="shared" si="85"/>
        <v>0</v>
      </c>
      <c r="Q457" s="18">
        <f t="shared" si="86"/>
        <v>0</v>
      </c>
      <c r="R457" s="255">
        <f t="shared" si="87"/>
        <v>0</v>
      </c>
      <c r="S457" s="1"/>
      <c r="T457" s="1">
        <f t="shared" si="131"/>
        <v>0</v>
      </c>
      <c r="U457" s="1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1"/>
      <c r="AG457" s="1"/>
      <c r="AH457" s="1"/>
      <c r="AI457" s="1"/>
      <c r="AJ457" s="1"/>
    </row>
    <row r="458" spans="1:36" ht="13.5" customHeight="1">
      <c r="A458" s="259"/>
      <c r="B458" s="15" t="str">
        <f>TB!B496</f>
        <v>SP025</v>
      </c>
      <c r="C458" s="288" t="str">
        <f>TB!C496</f>
        <v>Nusa Cana Spiced</v>
      </c>
      <c r="D458" s="257">
        <f>SUMIF(GL!$D$5:$D$6446,B458,GL!$G$5:$G$6446)</f>
        <v>0</v>
      </c>
      <c r="E458" s="258">
        <f>SUMIF(GL!$D$6:$D$6484,B458,GL!$H$6:$H$6484)</f>
        <v>0</v>
      </c>
      <c r="F458" s="258">
        <f>SUMIF(GL!$D$6:$D$6484,B458,GL!$I$6:$I$6484)</f>
        <v>0</v>
      </c>
      <c r="G458" s="258">
        <f t="shared" si="88"/>
        <v>0</v>
      </c>
      <c r="H458" s="258">
        <f t="shared" si="89"/>
        <v>0</v>
      </c>
      <c r="I458" s="250"/>
      <c r="J458" s="251"/>
      <c r="K458" s="252"/>
      <c r="L458" s="253"/>
      <c r="M458" s="128"/>
      <c r="N458" s="128">
        <f t="shared" si="84"/>
        <v>0</v>
      </c>
      <c r="O458" s="254"/>
      <c r="P458" s="128">
        <f t="shared" si="85"/>
        <v>0</v>
      </c>
      <c r="Q458" s="18">
        <f t="shared" si="86"/>
        <v>0</v>
      </c>
      <c r="R458" s="255">
        <f t="shared" si="87"/>
        <v>0</v>
      </c>
      <c r="S458" s="1"/>
      <c r="T458" s="1">
        <f t="shared" si="131"/>
        <v>0</v>
      </c>
      <c r="U458" s="1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1"/>
      <c r="AG458" s="1"/>
      <c r="AH458" s="1"/>
      <c r="AI458" s="1"/>
      <c r="AJ458" s="1"/>
    </row>
    <row r="459" spans="1:36" ht="13.5" customHeight="1">
      <c r="A459" s="259"/>
      <c r="B459" s="15" t="str">
        <f>TB!B497</f>
        <v>SP026</v>
      </c>
      <c r="C459" s="288" t="str">
        <f>TB!C497</f>
        <v>Ron Zacapa 23Yo</v>
      </c>
      <c r="D459" s="257">
        <f>SUMIF(GL!$D$5:$D$6446,B459,GL!$G$5:$G$6446)</f>
        <v>0</v>
      </c>
      <c r="E459" s="258">
        <f>SUMIF(GL!$D$6:$D$6484,B459,GL!$H$6:$H$6484)</f>
        <v>0</v>
      </c>
      <c r="F459" s="258">
        <f>SUMIF(GL!$D$6:$D$6484,B459,GL!$I$6:$I$6484)</f>
        <v>0</v>
      </c>
      <c r="G459" s="258">
        <f t="shared" si="88"/>
        <v>0</v>
      </c>
      <c r="H459" s="258">
        <f t="shared" si="89"/>
        <v>0</v>
      </c>
      <c r="I459" s="250"/>
      <c r="J459" s="251"/>
      <c r="K459" s="252"/>
      <c r="L459" s="253"/>
      <c r="M459" s="128"/>
      <c r="N459" s="128">
        <f t="shared" si="84"/>
        <v>0</v>
      </c>
      <c r="O459" s="254"/>
      <c r="P459" s="128">
        <f t="shared" si="85"/>
        <v>0</v>
      </c>
      <c r="Q459" s="18">
        <f t="shared" si="86"/>
        <v>0</v>
      </c>
      <c r="R459" s="255">
        <f t="shared" si="87"/>
        <v>0</v>
      </c>
      <c r="S459" s="1"/>
      <c r="T459" s="1">
        <f t="shared" si="131"/>
        <v>0</v>
      </c>
      <c r="U459" s="1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1"/>
      <c r="AG459" s="1"/>
      <c r="AH459" s="1"/>
      <c r="AI459" s="1"/>
      <c r="AJ459" s="1"/>
    </row>
    <row r="460" spans="1:36" ht="13.5" customHeight="1">
      <c r="A460" s="259"/>
      <c r="B460" s="15" t="str">
        <f>TB!B498</f>
        <v>SP026A</v>
      </c>
      <c r="C460" s="288" t="str">
        <f>TB!C498</f>
        <v>Black Tears Spiced Rum</v>
      </c>
      <c r="D460" s="257">
        <f>SUMIF(GL!$D$5:$D$6446,B460,GL!$G$5:$G$6446)</f>
        <v>0</v>
      </c>
      <c r="E460" s="258">
        <f>SUMIF(GL!$D$6:$D$6484,B460,GL!$H$6:$H$6484)</f>
        <v>0</v>
      </c>
      <c r="F460" s="258">
        <f>SUMIF(GL!$D$6:$D$6484,B460,GL!$I$6:$I$6484)</f>
        <v>0</v>
      </c>
      <c r="G460" s="258">
        <f t="shared" si="88"/>
        <v>0</v>
      </c>
      <c r="H460" s="258">
        <f t="shared" si="89"/>
        <v>0</v>
      </c>
      <c r="I460" s="250"/>
      <c r="J460" s="251"/>
      <c r="K460" s="252"/>
      <c r="L460" s="253"/>
      <c r="M460" s="128"/>
      <c r="N460" s="128">
        <f t="shared" si="84"/>
        <v>0</v>
      </c>
      <c r="O460" s="254"/>
      <c r="P460" s="128">
        <f t="shared" si="85"/>
        <v>0</v>
      </c>
      <c r="Q460" s="18">
        <f t="shared" si="86"/>
        <v>0</v>
      </c>
      <c r="R460" s="255">
        <f t="shared" si="87"/>
        <v>0</v>
      </c>
      <c r="S460" s="1"/>
      <c r="T460" s="1">
        <f t="shared" si="131"/>
        <v>0</v>
      </c>
      <c r="U460" s="1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1"/>
      <c r="AG460" s="1"/>
      <c r="AH460" s="1"/>
      <c r="AI460" s="1"/>
      <c r="AJ460" s="1"/>
    </row>
    <row r="461" spans="1:36" ht="13.5" customHeight="1">
      <c r="A461" s="259"/>
      <c r="B461" s="15" t="str">
        <f>TB!B499</f>
        <v>SP026B</v>
      </c>
      <c r="C461" s="288" t="str">
        <f>TB!C499</f>
        <v>Nusa Cana Tropical</v>
      </c>
      <c r="D461" s="257">
        <f>SUMIF(GL!$D$5:$D$6446,B461,GL!$G$5:$G$6446)</f>
        <v>0</v>
      </c>
      <c r="E461" s="258">
        <f>SUMIF(GL!$D$6:$D$6484,B461,GL!$H$6:$H$6484)</f>
        <v>0</v>
      </c>
      <c r="F461" s="258">
        <f>SUMIF(GL!$D$6:$D$6484,B461,GL!$I$6:$I$6484)</f>
        <v>0</v>
      </c>
      <c r="G461" s="258">
        <f t="shared" si="88"/>
        <v>0</v>
      </c>
      <c r="H461" s="258">
        <f t="shared" si="89"/>
        <v>0</v>
      </c>
      <c r="I461" s="250"/>
      <c r="J461" s="251"/>
      <c r="K461" s="252"/>
      <c r="L461" s="253"/>
      <c r="M461" s="128"/>
      <c r="N461" s="128">
        <f t="shared" si="84"/>
        <v>0</v>
      </c>
      <c r="O461" s="254"/>
      <c r="P461" s="128">
        <f t="shared" si="85"/>
        <v>0</v>
      </c>
      <c r="Q461" s="18">
        <f t="shared" si="86"/>
        <v>0</v>
      </c>
      <c r="R461" s="255">
        <f t="shared" si="87"/>
        <v>0</v>
      </c>
      <c r="S461" s="1"/>
      <c r="T461" s="1">
        <f t="shared" si="131"/>
        <v>0</v>
      </c>
      <c r="U461" s="1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1"/>
      <c r="AG461" s="1"/>
      <c r="AH461" s="1"/>
      <c r="AI461" s="1"/>
      <c r="AJ461" s="1"/>
    </row>
    <row r="462" spans="1:36" ht="13.5" customHeight="1">
      <c r="A462" s="259"/>
      <c r="B462" s="15" t="str">
        <f>TB!B500</f>
        <v>SP014</v>
      </c>
      <c r="C462" s="288" t="str">
        <f>TB!C500</f>
        <v>Myers Dark</v>
      </c>
      <c r="D462" s="257">
        <f>SUMIF(GL!$D$5:$D$6446,B462,GL!$G$5:$G$6446)</f>
        <v>0</v>
      </c>
      <c r="E462" s="258">
        <f>SUMIF(GL!$D$6:$D$6484,B462,GL!$H$6:$H$6484)</f>
        <v>0</v>
      </c>
      <c r="F462" s="258">
        <f>SUMIF(GL!$D$6:$D$6484,B462,GL!$I$6:$I$6484)</f>
        <v>0</v>
      </c>
      <c r="G462" s="258">
        <f t="shared" si="88"/>
        <v>0</v>
      </c>
      <c r="H462" s="258">
        <f t="shared" si="89"/>
        <v>0</v>
      </c>
      <c r="I462" s="250"/>
      <c r="J462" s="251">
        <v>356363</v>
      </c>
      <c r="K462" s="252"/>
      <c r="L462" s="253"/>
      <c r="M462" s="128"/>
      <c r="N462" s="128">
        <f t="shared" si="84"/>
        <v>0</v>
      </c>
      <c r="O462" s="254">
        <v>2.8</v>
      </c>
      <c r="P462" s="128">
        <v>356363</v>
      </c>
      <c r="Q462" s="18">
        <f t="shared" si="86"/>
        <v>997816.39999999991</v>
      </c>
      <c r="R462" s="255">
        <f t="shared" si="87"/>
        <v>-997816.39999999991</v>
      </c>
      <c r="S462" s="1"/>
      <c r="T462" s="1">
        <f t="shared" si="131"/>
        <v>356363</v>
      </c>
      <c r="U462" s="1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1"/>
      <c r="AG462" s="1"/>
      <c r="AH462" s="1"/>
      <c r="AI462" s="1"/>
      <c r="AJ462" s="1"/>
    </row>
    <row r="463" spans="1:36" ht="13.5" customHeight="1">
      <c r="A463" s="259"/>
      <c r="B463" s="15" t="str">
        <f>TB!B501</f>
        <v>SP019A</v>
      </c>
      <c r="C463" s="288" t="str">
        <f>TB!C501</f>
        <v>Bacardi Carta</v>
      </c>
      <c r="D463" s="257">
        <f>SUMIF(GL!$D$5:$D$6446,B463,GL!$G$5:$G$6446)</f>
        <v>0</v>
      </c>
      <c r="E463" s="258">
        <f>SUMIF(GL!$D$6:$D$6484,B463,GL!$H$6:$H$6484)</f>
        <v>0</v>
      </c>
      <c r="F463" s="258">
        <f>SUMIF(GL!$D$6:$D$6484,B463,GL!$I$6:$I$6484)</f>
        <v>0</v>
      </c>
      <c r="G463" s="258">
        <f t="shared" si="88"/>
        <v>0</v>
      </c>
      <c r="H463" s="258">
        <f t="shared" si="89"/>
        <v>0</v>
      </c>
      <c r="I463" s="250"/>
      <c r="J463" s="251"/>
      <c r="K463" s="252"/>
      <c r="L463" s="253"/>
      <c r="M463" s="128"/>
      <c r="N463" s="128">
        <f t="shared" si="84"/>
        <v>0</v>
      </c>
      <c r="O463" s="254"/>
      <c r="P463" s="128">
        <f t="shared" ref="P463:P627" si="134">M463</f>
        <v>0</v>
      </c>
      <c r="Q463" s="18">
        <f t="shared" si="86"/>
        <v>0</v>
      </c>
      <c r="R463" s="255">
        <f t="shared" si="87"/>
        <v>0</v>
      </c>
      <c r="S463" s="1"/>
      <c r="T463" s="1">
        <f t="shared" si="131"/>
        <v>0</v>
      </c>
      <c r="U463" s="1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1"/>
      <c r="AG463" s="1"/>
      <c r="AH463" s="1"/>
      <c r="AI463" s="1"/>
      <c r="AJ463" s="1"/>
    </row>
    <row r="464" spans="1:36" ht="13.5" customHeight="1">
      <c r="A464" s="259"/>
      <c r="B464" s="15" t="str">
        <f>TB!B502</f>
        <v>SP021AA</v>
      </c>
      <c r="C464" s="288" t="str">
        <f>TB!C502</f>
        <v>Malibu Coconut - 750Ml</v>
      </c>
      <c r="D464" s="257">
        <f>SUMIF(GL!$D$5:$D$6446,B464,GL!$G$5:$G$6446)</f>
        <v>0</v>
      </c>
      <c r="E464" s="258">
        <f>SUMIF(GL!$D$6:$D$6484,B464,GL!$H$6:$H$6484)</f>
        <v>0</v>
      </c>
      <c r="F464" s="258">
        <f>SUMIF(GL!$D$6:$D$6484,B464,GL!$I$6:$I$6484)</f>
        <v>0</v>
      </c>
      <c r="G464" s="258">
        <f t="shared" si="88"/>
        <v>0</v>
      </c>
      <c r="H464" s="258">
        <f t="shared" si="89"/>
        <v>0</v>
      </c>
      <c r="I464" s="250"/>
      <c r="J464" s="251">
        <v>130909</v>
      </c>
      <c r="K464" s="252"/>
      <c r="L464" s="253"/>
      <c r="M464" s="128"/>
      <c r="N464" s="128">
        <f t="shared" si="84"/>
        <v>0</v>
      </c>
      <c r="O464" s="254">
        <v>5.0999999999999996</v>
      </c>
      <c r="P464" s="128">
        <f t="shared" si="134"/>
        <v>0</v>
      </c>
      <c r="Q464" s="18">
        <f t="shared" si="86"/>
        <v>0</v>
      </c>
      <c r="R464" s="255">
        <f t="shared" si="87"/>
        <v>0</v>
      </c>
      <c r="S464" s="1"/>
      <c r="T464" s="1">
        <f t="shared" si="131"/>
        <v>130909</v>
      </c>
      <c r="U464" s="1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1"/>
      <c r="AG464" s="1"/>
      <c r="AH464" s="1"/>
      <c r="AI464" s="1"/>
      <c r="AJ464" s="1"/>
    </row>
    <row r="465" spans="1:36" ht="13.5" customHeight="1">
      <c r="A465" s="259"/>
      <c r="B465" s="15" t="str">
        <f>TB!B503</f>
        <v>SP020A</v>
      </c>
      <c r="C465" s="288" t="str">
        <f>TB!C503</f>
        <v>Havana Club Anejo 3 Anos</v>
      </c>
      <c r="D465" s="257">
        <f>SUMIF(GL!$D$5:$D$6446,B465,GL!$G$5:$G$6446)</f>
        <v>42</v>
      </c>
      <c r="E465" s="258">
        <f>SUMIF(GL!$D$6:$D$6484,B465,GL!$H$6:$H$6484)</f>
        <v>11900028</v>
      </c>
      <c r="F465" s="258">
        <f>SUMIF(GL!$D$6:$D$6484,B465,GL!$I$6:$I$6484)</f>
        <v>0</v>
      </c>
      <c r="G465" s="258">
        <f t="shared" si="88"/>
        <v>11900028</v>
      </c>
      <c r="H465" s="258">
        <f t="shared" si="89"/>
        <v>0</v>
      </c>
      <c r="I465" s="250">
        <v>46.6</v>
      </c>
      <c r="J465" s="251">
        <v>284203</v>
      </c>
      <c r="K465" s="252">
        <v>13243859</v>
      </c>
      <c r="L465" s="253">
        <f t="shared" ref="L465:L466" si="135">D465+I465</f>
        <v>88.6</v>
      </c>
      <c r="M465" s="128">
        <f t="shared" ref="M465:M466" si="136">(G465+K465)/L465</f>
        <v>283791.04966139956</v>
      </c>
      <c r="N465" s="128">
        <f t="shared" si="84"/>
        <v>25143887</v>
      </c>
      <c r="O465" s="254">
        <v>45.6</v>
      </c>
      <c r="P465" s="128">
        <f t="shared" si="134"/>
        <v>283791.04966139956</v>
      </c>
      <c r="Q465" s="18">
        <f t="shared" si="86"/>
        <v>12940871.86455982</v>
      </c>
      <c r="R465" s="255">
        <f t="shared" si="87"/>
        <v>12203015.13544018</v>
      </c>
      <c r="S465" s="1"/>
      <c r="T465" s="1">
        <f t="shared" si="131"/>
        <v>411.95033860043623</v>
      </c>
      <c r="U465" s="1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1"/>
      <c r="AG465" s="1"/>
      <c r="AH465" s="1"/>
      <c r="AI465" s="1"/>
      <c r="AJ465" s="1"/>
    </row>
    <row r="466" spans="1:36" ht="13.5" customHeight="1">
      <c r="A466" s="259"/>
      <c r="B466" s="15" t="str">
        <f>TB!B504</f>
        <v>SP021A</v>
      </c>
      <c r="C466" s="288" t="str">
        <f>TB!C504</f>
        <v>Havana Club Anejo 7 Anos</v>
      </c>
      <c r="D466" s="257">
        <f>SUMIF(GL!$D$5:$D$6446,B466,GL!$G$5:$G$6446)</f>
        <v>3</v>
      </c>
      <c r="E466" s="258">
        <f>SUMIF(GL!$D$6:$D$6484,B466,GL!$H$6:$H$6484)</f>
        <v>1175001</v>
      </c>
      <c r="F466" s="258">
        <f>SUMIF(GL!$D$6:$D$6484,B466,GL!$I$6:$I$6484)</f>
        <v>0</v>
      </c>
      <c r="G466" s="258">
        <f t="shared" si="88"/>
        <v>1175001</v>
      </c>
      <c r="H466" s="258">
        <f t="shared" si="89"/>
        <v>0</v>
      </c>
      <c r="I466" s="250">
        <v>3.9</v>
      </c>
      <c r="J466" s="251">
        <v>402487</v>
      </c>
      <c r="K466" s="252">
        <v>1569700</v>
      </c>
      <c r="L466" s="253">
        <f t="shared" si="135"/>
        <v>6.9</v>
      </c>
      <c r="M466" s="128">
        <f t="shared" si="136"/>
        <v>397782.75362318836</v>
      </c>
      <c r="N466" s="128">
        <f t="shared" si="84"/>
        <v>2744701</v>
      </c>
      <c r="O466" s="254">
        <v>6.1</v>
      </c>
      <c r="P466" s="128">
        <f t="shared" si="134"/>
        <v>397782.75362318836</v>
      </c>
      <c r="Q466" s="18">
        <f t="shared" si="86"/>
        <v>2426474.7971014488</v>
      </c>
      <c r="R466" s="255">
        <f t="shared" si="87"/>
        <v>318226.20289855124</v>
      </c>
      <c r="S466" s="1"/>
      <c r="T466" s="1">
        <f t="shared" si="131"/>
        <v>4704.2463768116431</v>
      </c>
      <c r="U466" s="1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1"/>
      <c r="AG466" s="1"/>
      <c r="AH466" s="1"/>
      <c r="AI466" s="1"/>
      <c r="AJ466" s="1"/>
    </row>
    <row r="467" spans="1:36" ht="13.5" customHeight="1">
      <c r="A467" s="259"/>
      <c r="B467" s="15"/>
      <c r="C467" s="294" t="s">
        <v>2630</v>
      </c>
      <c r="D467" s="257">
        <f>SUMIF(GL!$D$5:$D$6446,B467,GL!$G$5:$G$6446)</f>
        <v>0</v>
      </c>
      <c r="E467" s="258">
        <f>SUMIF(GL!$D$6:$D$6484,B467,GL!$H$6:$H$6484)</f>
        <v>0</v>
      </c>
      <c r="F467" s="258">
        <f>SUMIF(GL!$D$6:$D$6484,B467,GL!$I$6:$I$6484)</f>
        <v>0</v>
      </c>
      <c r="G467" s="258">
        <f t="shared" si="88"/>
        <v>0</v>
      </c>
      <c r="H467" s="258">
        <f t="shared" si="89"/>
        <v>0</v>
      </c>
      <c r="I467" s="250"/>
      <c r="J467" s="251"/>
      <c r="K467" s="252"/>
      <c r="L467" s="253"/>
      <c r="M467" s="128"/>
      <c r="N467" s="128">
        <f t="shared" si="84"/>
        <v>0</v>
      </c>
      <c r="O467" s="254"/>
      <c r="P467" s="128">
        <f t="shared" si="134"/>
        <v>0</v>
      </c>
      <c r="Q467" s="18">
        <f t="shared" si="86"/>
        <v>0</v>
      </c>
      <c r="R467" s="255">
        <f t="shared" si="87"/>
        <v>0</v>
      </c>
      <c r="S467" s="1"/>
      <c r="T467" s="1">
        <f t="shared" si="131"/>
        <v>0</v>
      </c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1"/>
      <c r="AG467" s="1"/>
      <c r="AH467" s="1"/>
      <c r="AI467" s="1"/>
      <c r="AJ467" s="1"/>
    </row>
    <row r="468" spans="1:36" ht="13.5" customHeight="1">
      <c r="A468" s="259"/>
      <c r="B468" s="15"/>
      <c r="C468" s="294" t="s">
        <v>2630</v>
      </c>
      <c r="D468" s="257">
        <f>SUMIF(GL!$D$5:$D$6446,B468,GL!$G$5:$G$6446)</f>
        <v>0</v>
      </c>
      <c r="E468" s="258">
        <f>SUMIF(GL!$D$6:$D$6484,B468,GL!$H$6:$H$6484)</f>
        <v>0</v>
      </c>
      <c r="F468" s="258">
        <f>SUMIF(GL!$D$6:$D$6484,B468,GL!$I$6:$I$6484)</f>
        <v>0</v>
      </c>
      <c r="G468" s="258">
        <f t="shared" si="88"/>
        <v>0</v>
      </c>
      <c r="H468" s="258">
        <f t="shared" si="89"/>
        <v>0</v>
      </c>
      <c r="I468" s="250"/>
      <c r="J468" s="251"/>
      <c r="K468" s="252"/>
      <c r="L468" s="253"/>
      <c r="M468" s="128"/>
      <c r="N468" s="128">
        <f t="shared" si="84"/>
        <v>0</v>
      </c>
      <c r="O468" s="254"/>
      <c r="P468" s="128">
        <f t="shared" si="134"/>
        <v>0</v>
      </c>
      <c r="Q468" s="18">
        <f t="shared" si="86"/>
        <v>0</v>
      </c>
      <c r="R468" s="255">
        <f t="shared" si="87"/>
        <v>0</v>
      </c>
      <c r="S468" s="1"/>
      <c r="T468" s="1">
        <f t="shared" si="131"/>
        <v>0</v>
      </c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1"/>
      <c r="AG468" s="1"/>
      <c r="AH468" s="1"/>
      <c r="AI468" s="1"/>
      <c r="AJ468" s="1"/>
    </row>
    <row r="469" spans="1:36" ht="13.5" customHeight="1">
      <c r="A469" s="259"/>
      <c r="B469" s="15"/>
      <c r="C469" s="294" t="s">
        <v>2630</v>
      </c>
      <c r="D469" s="257">
        <f>SUMIF(GL!$D$5:$D$6446,B469,GL!$G$5:$G$6446)</f>
        <v>0</v>
      </c>
      <c r="E469" s="258">
        <f>SUMIF(GL!$D$6:$D$6484,B469,GL!$H$6:$H$6484)</f>
        <v>0</v>
      </c>
      <c r="F469" s="258">
        <f>SUMIF(GL!$D$6:$D$6484,B469,GL!$I$6:$I$6484)</f>
        <v>0</v>
      </c>
      <c r="G469" s="258">
        <f t="shared" si="88"/>
        <v>0</v>
      </c>
      <c r="H469" s="258">
        <f t="shared" si="89"/>
        <v>0</v>
      </c>
      <c r="I469" s="250"/>
      <c r="J469" s="251"/>
      <c r="K469" s="252"/>
      <c r="L469" s="253"/>
      <c r="M469" s="128"/>
      <c r="N469" s="128">
        <f t="shared" si="84"/>
        <v>0</v>
      </c>
      <c r="O469" s="254"/>
      <c r="P469" s="128">
        <f t="shared" si="134"/>
        <v>0</v>
      </c>
      <c r="Q469" s="18">
        <f t="shared" si="86"/>
        <v>0</v>
      </c>
      <c r="R469" s="255">
        <f t="shared" si="87"/>
        <v>0</v>
      </c>
      <c r="S469" s="1"/>
      <c r="T469" s="1">
        <f t="shared" si="131"/>
        <v>0</v>
      </c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1"/>
      <c r="AG469" s="1"/>
      <c r="AH469" s="1"/>
      <c r="AI469" s="1"/>
      <c r="AJ469" s="1"/>
    </row>
    <row r="470" spans="1:36" ht="13.5" customHeight="1">
      <c r="A470" s="259"/>
      <c r="B470" s="174"/>
      <c r="C470" s="247" t="s">
        <v>3836</v>
      </c>
      <c r="D470" s="257">
        <f>SUMIF(GL!$D$5:$D$6446,B470,GL!$G$5:$G$6446)</f>
        <v>0</v>
      </c>
      <c r="E470" s="258">
        <f>SUMIF(GL!$D$6:$D$6484,B470,GL!$H$6:$H$6484)</f>
        <v>0</v>
      </c>
      <c r="F470" s="258">
        <f>SUMIF(GL!$D$6:$D$6484,B470,GL!$I$6:$I$6484)</f>
        <v>0</v>
      </c>
      <c r="G470" s="258">
        <f t="shared" si="88"/>
        <v>0</v>
      </c>
      <c r="H470" s="258">
        <f t="shared" si="89"/>
        <v>0</v>
      </c>
      <c r="I470" s="250"/>
      <c r="J470" s="251"/>
      <c r="K470" s="252"/>
      <c r="L470" s="253"/>
      <c r="M470" s="128"/>
      <c r="N470" s="128">
        <f t="shared" si="84"/>
        <v>0</v>
      </c>
      <c r="O470" s="254"/>
      <c r="P470" s="128">
        <f t="shared" si="134"/>
        <v>0</v>
      </c>
      <c r="Q470" s="18">
        <f t="shared" si="86"/>
        <v>0</v>
      </c>
      <c r="R470" s="255">
        <f t="shared" si="87"/>
        <v>0</v>
      </c>
      <c r="S470" s="1"/>
      <c r="T470" s="1">
        <f t="shared" si="131"/>
        <v>0</v>
      </c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1"/>
      <c r="AG470" s="1"/>
      <c r="AH470" s="1"/>
      <c r="AI470" s="1"/>
      <c r="AJ470" s="1"/>
    </row>
    <row r="471" spans="1:36" ht="13.5" customHeight="1">
      <c r="A471" s="259"/>
      <c r="B471" s="15" t="str">
        <f>TB!B507</f>
        <v>SP027</v>
      </c>
      <c r="C471" s="288" t="str">
        <f>TB!C507</f>
        <v>Jw Red Label</v>
      </c>
      <c r="D471" s="257">
        <f>SUMIF(GL!$D$5:$D$6446,B471,GL!$G$5:$G$6446)</f>
        <v>0</v>
      </c>
      <c r="E471" s="258">
        <f>SUMIF(GL!$D$6:$D$6484,B471,GL!$H$6:$H$6484)</f>
        <v>0</v>
      </c>
      <c r="F471" s="258">
        <f>SUMIF(GL!$D$6:$D$6484,B471,GL!$I$6:$I$6484)</f>
        <v>0</v>
      </c>
      <c r="G471" s="258">
        <f t="shared" si="88"/>
        <v>0</v>
      </c>
      <c r="H471" s="258">
        <f t="shared" si="89"/>
        <v>0</v>
      </c>
      <c r="I471" s="250">
        <v>0.5</v>
      </c>
      <c r="J471" s="251"/>
      <c r="K471" s="252"/>
      <c r="L471" s="253">
        <f t="shared" ref="L471:L476" si="137">D471+I471</f>
        <v>0.5</v>
      </c>
      <c r="M471" s="128">
        <f t="shared" ref="M471:M476" si="138">(G471+K471)/L471</f>
        <v>0</v>
      </c>
      <c r="N471" s="128">
        <f t="shared" si="84"/>
        <v>0</v>
      </c>
      <c r="O471" s="254">
        <v>0.5</v>
      </c>
      <c r="P471" s="128">
        <f t="shared" si="134"/>
        <v>0</v>
      </c>
      <c r="Q471" s="18">
        <f t="shared" si="86"/>
        <v>0</v>
      </c>
      <c r="R471" s="255">
        <f t="shared" si="87"/>
        <v>0</v>
      </c>
      <c r="S471" s="1"/>
      <c r="T471" s="1">
        <f t="shared" si="131"/>
        <v>0</v>
      </c>
      <c r="U471" s="1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1"/>
      <c r="AG471" s="1"/>
      <c r="AH471" s="1"/>
      <c r="AI471" s="1"/>
      <c r="AJ471" s="1"/>
    </row>
    <row r="472" spans="1:36" ht="13.5" customHeight="1">
      <c r="A472" s="259"/>
      <c r="B472" s="15" t="str">
        <f>TB!B508</f>
        <v>SP028</v>
      </c>
      <c r="C472" s="288" t="str">
        <f>TB!C508</f>
        <v>Jw Black Label</v>
      </c>
      <c r="D472" s="257">
        <f>SUMIF(GL!$D$5:$D$6446,B472,GL!$G$5:$G$6446)</f>
        <v>3</v>
      </c>
      <c r="E472" s="258">
        <f>SUMIF(GL!$D$6:$D$6484,B472,GL!$H$6:$H$6484)</f>
        <v>1335000</v>
      </c>
      <c r="F472" s="258">
        <f>SUMIF(GL!$D$6:$D$6484,B472,GL!$I$6:$I$6484)</f>
        <v>0</v>
      </c>
      <c r="G472" s="258">
        <f t="shared" si="88"/>
        <v>1335000</v>
      </c>
      <c r="H472" s="258">
        <f t="shared" si="89"/>
        <v>0</v>
      </c>
      <c r="I472" s="250">
        <v>17.399999999999999</v>
      </c>
      <c r="J472" s="251">
        <v>445844</v>
      </c>
      <c r="K472" s="252">
        <v>7757685</v>
      </c>
      <c r="L472" s="253">
        <f t="shared" si="137"/>
        <v>20.399999999999999</v>
      </c>
      <c r="M472" s="128">
        <f t="shared" si="138"/>
        <v>445719.8529411765</v>
      </c>
      <c r="N472" s="128">
        <f t="shared" si="84"/>
        <v>9092685</v>
      </c>
      <c r="O472" s="254">
        <v>17.600000000000001</v>
      </c>
      <c r="P472" s="128">
        <f t="shared" si="134"/>
        <v>445719.8529411765</v>
      </c>
      <c r="Q472" s="18">
        <f t="shared" si="86"/>
        <v>7844669.4117647074</v>
      </c>
      <c r="R472" s="255">
        <f t="shared" si="87"/>
        <v>1248015.5882352926</v>
      </c>
      <c r="S472" s="1"/>
      <c r="T472" s="1">
        <f t="shared" si="131"/>
        <v>124.14705882349517</v>
      </c>
      <c r="U472" s="1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1"/>
      <c r="AG472" s="1"/>
      <c r="AH472" s="1"/>
      <c r="AI472" s="1"/>
      <c r="AJ472" s="1"/>
    </row>
    <row r="473" spans="1:36" ht="13.5" customHeight="1">
      <c r="A473" s="259"/>
      <c r="B473" s="15" t="str">
        <f>TB!B509</f>
        <v>SP029</v>
      </c>
      <c r="C473" s="288" t="str">
        <f>TB!C509</f>
        <v>Chivas Regal 12</v>
      </c>
      <c r="D473" s="257">
        <f>SUMIF(GL!$D$5:$D$6446,B473,GL!$G$5:$G$6446)</f>
        <v>2</v>
      </c>
      <c r="E473" s="258">
        <f>SUMIF(GL!$D$6:$D$6484,B473,GL!$H$6:$H$6484)</f>
        <v>930000</v>
      </c>
      <c r="F473" s="258">
        <f>SUMIF(GL!$D$6:$D$6484,B473,GL!$I$6:$I$6484)</f>
        <v>0</v>
      </c>
      <c r="G473" s="258">
        <f t="shared" si="88"/>
        <v>930000</v>
      </c>
      <c r="H473" s="258">
        <f t="shared" si="89"/>
        <v>0</v>
      </c>
      <c r="I473" s="250">
        <v>9.5</v>
      </c>
      <c r="J473" s="251">
        <v>534999</v>
      </c>
      <c r="K473" s="252">
        <v>5082488</v>
      </c>
      <c r="L473" s="253">
        <f t="shared" si="137"/>
        <v>11.5</v>
      </c>
      <c r="M473" s="128">
        <f t="shared" si="138"/>
        <v>522825.04347826086</v>
      </c>
      <c r="N473" s="128">
        <f t="shared" si="84"/>
        <v>6012488</v>
      </c>
      <c r="O473" s="254">
        <v>9.1999999999999993</v>
      </c>
      <c r="P473" s="128">
        <f t="shared" si="134"/>
        <v>522825.04347826086</v>
      </c>
      <c r="Q473" s="18">
        <f t="shared" si="86"/>
        <v>4809990.3999999994</v>
      </c>
      <c r="R473" s="255">
        <f t="shared" si="87"/>
        <v>1202497.6000000006</v>
      </c>
      <c r="S473" s="1"/>
      <c r="T473" s="1">
        <f t="shared" si="131"/>
        <v>12173.956521739135</v>
      </c>
      <c r="U473" s="1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1"/>
      <c r="AG473" s="1"/>
      <c r="AH473" s="1"/>
      <c r="AI473" s="1"/>
      <c r="AJ473" s="1"/>
    </row>
    <row r="474" spans="1:36" ht="13.5" customHeight="1">
      <c r="A474" s="259"/>
      <c r="B474" s="15" t="str">
        <f>TB!B510</f>
        <v>SP030</v>
      </c>
      <c r="C474" s="288" t="str">
        <f>TB!C510</f>
        <v>Glenmorangie Lasanta10Yo</v>
      </c>
      <c r="D474" s="257">
        <f>SUMIF(GL!$D$5:$D$6446,B474,GL!$G$5:$G$6446)</f>
        <v>0</v>
      </c>
      <c r="E474" s="258">
        <f>SUMIF(GL!$D$6:$D$6484,B474,GL!$H$6:$H$6484)</f>
        <v>0</v>
      </c>
      <c r="F474" s="258">
        <f>SUMIF(GL!$D$6:$D$6484,B474,GL!$I$6:$I$6484)</f>
        <v>0</v>
      </c>
      <c r="G474" s="258">
        <f t="shared" si="88"/>
        <v>0</v>
      </c>
      <c r="H474" s="258">
        <f t="shared" si="89"/>
        <v>0</v>
      </c>
      <c r="I474" s="250">
        <v>6</v>
      </c>
      <c r="J474" s="251">
        <v>754286</v>
      </c>
      <c r="K474" s="252">
        <v>4525714</v>
      </c>
      <c r="L474" s="253">
        <f t="shared" si="137"/>
        <v>6</v>
      </c>
      <c r="M474" s="128">
        <f t="shared" si="138"/>
        <v>754285.66666666663</v>
      </c>
      <c r="N474" s="128">
        <f t="shared" si="84"/>
        <v>4525714</v>
      </c>
      <c r="O474" s="254">
        <v>5</v>
      </c>
      <c r="P474" s="128">
        <f t="shared" si="134"/>
        <v>754285.66666666663</v>
      </c>
      <c r="Q474" s="18">
        <f t="shared" si="86"/>
        <v>3771428.333333333</v>
      </c>
      <c r="R474" s="255">
        <f t="shared" si="87"/>
        <v>754285.66666666698</v>
      </c>
      <c r="S474" s="1"/>
      <c r="T474" s="1">
        <f t="shared" si="131"/>
        <v>0.33333333337213844</v>
      </c>
      <c r="U474" s="1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1"/>
      <c r="AG474" s="1"/>
      <c r="AH474" s="1"/>
      <c r="AI474" s="1"/>
      <c r="AJ474" s="1"/>
    </row>
    <row r="475" spans="1:36" ht="13.5" customHeight="1">
      <c r="A475" s="259"/>
      <c r="B475" s="15" t="str">
        <f>TB!B511</f>
        <v>SP031</v>
      </c>
      <c r="C475" s="288" t="str">
        <f>TB!C511</f>
        <v>Ballantines Finest</v>
      </c>
      <c r="D475" s="257">
        <f>SUMIF(GL!$D$5:$D$6446,B475,GL!$G$5:$G$6446)</f>
        <v>52</v>
      </c>
      <c r="E475" s="258">
        <f>SUMIF(GL!$D$6:$D$6484,B475,GL!$H$6:$H$6484)</f>
        <v>16240750</v>
      </c>
      <c r="F475" s="258">
        <f>SUMIF(GL!$D$6:$D$6484,B475,GL!$I$6:$I$6484)</f>
        <v>0</v>
      </c>
      <c r="G475" s="258">
        <f t="shared" si="88"/>
        <v>16240750</v>
      </c>
      <c r="H475" s="258">
        <f t="shared" si="89"/>
        <v>0</v>
      </c>
      <c r="I475" s="250">
        <v>27.2</v>
      </c>
      <c r="J475" s="251">
        <v>298037</v>
      </c>
      <c r="K475" s="252">
        <v>8106603</v>
      </c>
      <c r="L475" s="253">
        <f t="shared" si="137"/>
        <v>79.2</v>
      </c>
      <c r="M475" s="128">
        <f t="shared" si="138"/>
        <v>307416.07323232322</v>
      </c>
      <c r="N475" s="128">
        <f t="shared" si="84"/>
        <v>24347353</v>
      </c>
      <c r="O475" s="254">
        <v>36.799999999999997</v>
      </c>
      <c r="P475" s="128">
        <f t="shared" si="134"/>
        <v>307416.07323232322</v>
      </c>
      <c r="Q475" s="18">
        <f t="shared" si="86"/>
        <v>11312911.494949494</v>
      </c>
      <c r="R475" s="255">
        <f t="shared" si="87"/>
        <v>13034441.505050506</v>
      </c>
      <c r="S475" s="1"/>
      <c r="T475" s="1">
        <f t="shared" si="131"/>
        <v>-9379.0732323232223</v>
      </c>
      <c r="U475" s="1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1"/>
      <c r="AG475" s="1"/>
      <c r="AH475" s="1"/>
      <c r="AI475" s="1"/>
      <c r="AJ475" s="1"/>
    </row>
    <row r="476" spans="1:36" ht="13.5" customHeight="1">
      <c r="A476" s="259"/>
      <c r="B476" s="15" t="str">
        <f>TB!B512</f>
        <v>SP032</v>
      </c>
      <c r="C476" s="288" t="str">
        <f>TB!C512</f>
        <v>John Jameson Irish Whisky</v>
      </c>
      <c r="D476" s="257">
        <f>SUMIF(GL!$D$5:$D$6446,B476,GL!$G$5:$G$6446)</f>
        <v>9</v>
      </c>
      <c r="E476" s="258">
        <f>SUMIF(GL!$D$6:$D$6484,B476,GL!$H$6:$H$6484)</f>
        <v>3840000</v>
      </c>
      <c r="F476" s="258">
        <f>SUMIF(GL!$D$6:$D$6484,B476,GL!$I$6:$I$6484)</f>
        <v>0</v>
      </c>
      <c r="G476" s="258">
        <f t="shared" si="88"/>
        <v>3840000</v>
      </c>
      <c r="H476" s="258">
        <f t="shared" si="89"/>
        <v>0</v>
      </c>
      <c r="I476" s="250">
        <v>21.2</v>
      </c>
      <c r="J476" s="251">
        <v>400486</v>
      </c>
      <c r="K476" s="252">
        <v>8490301</v>
      </c>
      <c r="L476" s="253">
        <f t="shared" si="137"/>
        <v>30.2</v>
      </c>
      <c r="M476" s="128">
        <f t="shared" si="138"/>
        <v>408288.11258278147</v>
      </c>
      <c r="N476" s="128">
        <f t="shared" si="84"/>
        <v>12330301</v>
      </c>
      <c r="O476" s="254">
        <v>19.2</v>
      </c>
      <c r="P476" s="128">
        <f t="shared" si="134"/>
        <v>408288.11258278147</v>
      </c>
      <c r="Q476" s="18">
        <f t="shared" si="86"/>
        <v>7839131.7615894042</v>
      </c>
      <c r="R476" s="255">
        <f t="shared" si="87"/>
        <v>4491169.2384105958</v>
      </c>
      <c r="S476" s="1"/>
      <c r="T476" s="1">
        <f t="shared" si="131"/>
        <v>-7802.1125827814685</v>
      </c>
      <c r="U476" s="1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1"/>
      <c r="AG476" s="1"/>
      <c r="AH476" s="1"/>
      <c r="AI476" s="1"/>
      <c r="AJ476" s="1"/>
    </row>
    <row r="477" spans="1:36" ht="13.5" customHeight="1">
      <c r="A477" s="259"/>
      <c r="B477" s="15" t="str">
        <f>TB!B513</f>
        <v>SP032A</v>
      </c>
      <c r="C477" s="288" t="str">
        <f>TB!C513</f>
        <v>Jack Daniel Fire</v>
      </c>
      <c r="D477" s="257">
        <f>SUMIF(GL!$D$5:$D$6446,B477,GL!$G$5:$G$6446)</f>
        <v>0</v>
      </c>
      <c r="E477" s="258">
        <f>SUMIF(GL!$D$6:$D$6484,B477,GL!$H$6:$H$6484)</f>
        <v>0</v>
      </c>
      <c r="F477" s="258">
        <f>SUMIF(GL!$D$6:$D$6484,B477,GL!$I$6:$I$6484)</f>
        <v>0</v>
      </c>
      <c r="G477" s="258">
        <f t="shared" si="88"/>
        <v>0</v>
      </c>
      <c r="H477" s="258">
        <f t="shared" si="89"/>
        <v>0</v>
      </c>
      <c r="I477" s="250"/>
      <c r="J477" s="251"/>
      <c r="K477" s="252"/>
      <c r="L477" s="253"/>
      <c r="M477" s="128"/>
      <c r="N477" s="128">
        <f t="shared" si="84"/>
        <v>0</v>
      </c>
      <c r="O477" s="254"/>
      <c r="P477" s="128">
        <f t="shared" si="134"/>
        <v>0</v>
      </c>
      <c r="Q477" s="18">
        <f t="shared" si="86"/>
        <v>0</v>
      </c>
      <c r="R477" s="255">
        <f t="shared" si="87"/>
        <v>0</v>
      </c>
      <c r="S477" s="1"/>
      <c r="T477" s="1">
        <f t="shared" si="131"/>
        <v>0</v>
      </c>
      <c r="U477" s="1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1"/>
      <c r="AG477" s="1"/>
      <c r="AH477" s="1"/>
      <c r="AI477" s="1"/>
      <c r="AJ477" s="1"/>
    </row>
    <row r="478" spans="1:36" ht="13.5" customHeight="1">
      <c r="A478" s="259"/>
      <c r="B478" s="15" t="str">
        <f>TB!B514</f>
        <v>SP033</v>
      </c>
      <c r="C478" s="288" t="str">
        <f>TB!C514</f>
        <v>Jack Daniel</v>
      </c>
      <c r="D478" s="257">
        <f>SUMIF(GL!$D$5:$D$6446,B478,GL!$G$5:$G$6446)</f>
        <v>8</v>
      </c>
      <c r="E478" s="258">
        <f>SUMIF(GL!$D$6:$D$6484,B478,GL!$H$6:$H$6484)</f>
        <v>3635000</v>
      </c>
      <c r="F478" s="258">
        <f>SUMIF(GL!$D$6:$D$6484,B478,GL!$I$6:$I$6484)</f>
        <v>0</v>
      </c>
      <c r="G478" s="258">
        <f t="shared" si="88"/>
        <v>3635000</v>
      </c>
      <c r="H478" s="258">
        <f t="shared" si="89"/>
        <v>0</v>
      </c>
      <c r="I478" s="250">
        <v>20.5</v>
      </c>
      <c r="J478" s="251">
        <v>472539</v>
      </c>
      <c r="K478" s="252">
        <v>9687045</v>
      </c>
      <c r="L478" s="253">
        <f t="shared" ref="L478:L480" si="139">D478+I478</f>
        <v>28.5</v>
      </c>
      <c r="M478" s="128">
        <f t="shared" ref="M478:M480" si="140">(G478+K478)/L478</f>
        <v>467440.17543859652</v>
      </c>
      <c r="N478" s="128">
        <f t="shared" si="84"/>
        <v>13322045</v>
      </c>
      <c r="O478" s="254">
        <v>19.399999999999999</v>
      </c>
      <c r="P478" s="128">
        <f t="shared" si="134"/>
        <v>467440.17543859652</v>
      </c>
      <c r="Q478" s="18">
        <f t="shared" si="86"/>
        <v>9068339.4035087712</v>
      </c>
      <c r="R478" s="255">
        <f t="shared" si="87"/>
        <v>4253705.5964912288</v>
      </c>
      <c r="S478" s="1"/>
      <c r="T478" s="1">
        <f t="shared" si="131"/>
        <v>5098.8245614034822</v>
      </c>
      <c r="U478" s="1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1"/>
      <c r="AG478" s="1"/>
      <c r="AH478" s="1"/>
      <c r="AI478" s="1"/>
      <c r="AJ478" s="1"/>
    </row>
    <row r="479" spans="1:36" ht="13.5" customHeight="1">
      <c r="A479" s="259"/>
      <c r="B479" s="15" t="str">
        <f>TB!B515</f>
        <v>SP034</v>
      </c>
      <c r="C479" s="288" t="str">
        <f>TB!C515</f>
        <v>Jim Beam</v>
      </c>
      <c r="D479" s="257">
        <f>SUMIF(GL!$D$5:$D$6446,B479,GL!$G$5:$G$6446)</f>
        <v>7</v>
      </c>
      <c r="E479" s="258">
        <f>SUMIF(GL!$D$6:$D$6484,B479,GL!$H$6:$H$6484)</f>
        <v>2385838</v>
      </c>
      <c r="F479" s="258">
        <f>SUMIF(GL!$D$6:$D$6484,B479,GL!$I$6:$I$6484)</f>
        <v>0</v>
      </c>
      <c r="G479" s="258">
        <f t="shared" si="88"/>
        <v>2385838</v>
      </c>
      <c r="H479" s="258">
        <f t="shared" si="89"/>
        <v>0</v>
      </c>
      <c r="I479" s="250">
        <v>2.4</v>
      </c>
      <c r="J479" s="251">
        <v>335204</v>
      </c>
      <c r="K479" s="252">
        <v>804488</v>
      </c>
      <c r="L479" s="253">
        <f t="shared" si="139"/>
        <v>9.4</v>
      </c>
      <c r="M479" s="128">
        <f t="shared" si="140"/>
        <v>339396.38297872338</v>
      </c>
      <c r="N479" s="128">
        <f t="shared" si="84"/>
        <v>3190326</v>
      </c>
      <c r="O479" s="254">
        <v>3.5</v>
      </c>
      <c r="P479" s="128">
        <f t="shared" si="134"/>
        <v>339396.38297872338</v>
      </c>
      <c r="Q479" s="18">
        <f t="shared" si="86"/>
        <v>1187887.3404255318</v>
      </c>
      <c r="R479" s="255">
        <f t="shared" si="87"/>
        <v>2002438.6595744682</v>
      </c>
      <c r="S479" s="1"/>
      <c r="T479" s="1">
        <f t="shared" si="131"/>
        <v>-4192.3829787233844</v>
      </c>
      <c r="U479" s="1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1"/>
      <c r="AG479" s="1"/>
      <c r="AH479" s="1"/>
      <c r="AI479" s="1"/>
      <c r="AJ479" s="1"/>
    </row>
    <row r="480" spans="1:36" ht="13.5" customHeight="1">
      <c r="A480" s="259"/>
      <c r="B480" s="15" t="str">
        <f>TB!B516</f>
        <v>SP035</v>
      </c>
      <c r="C480" s="288" t="str">
        <f>TB!C516</f>
        <v>Glenlivet 15 Yo</v>
      </c>
      <c r="D480" s="257">
        <f>SUMIF(GL!$D$5:$D$6446,B480,GL!$G$5:$G$6446)</f>
        <v>1</v>
      </c>
      <c r="E480" s="258">
        <f>SUMIF(GL!$D$6:$D$6484,B480,GL!$H$6:$H$6484)</f>
        <v>1408334</v>
      </c>
      <c r="F480" s="258">
        <f>SUMIF(GL!$D$6:$D$6484,B480,GL!$I$6:$I$6484)</f>
        <v>0</v>
      </c>
      <c r="G480" s="258">
        <f t="shared" si="88"/>
        <v>1408334</v>
      </c>
      <c r="H480" s="258">
        <f t="shared" si="89"/>
        <v>0</v>
      </c>
      <c r="I480" s="250"/>
      <c r="J480" s="251">
        <v>1408334</v>
      </c>
      <c r="K480" s="252"/>
      <c r="L480" s="253">
        <f t="shared" si="139"/>
        <v>1</v>
      </c>
      <c r="M480" s="128">
        <f t="shared" si="140"/>
        <v>1408334</v>
      </c>
      <c r="N480" s="128">
        <f t="shared" si="84"/>
        <v>1408334</v>
      </c>
      <c r="O480" s="254"/>
      <c r="P480" s="128">
        <f t="shared" si="134"/>
        <v>1408334</v>
      </c>
      <c r="Q480" s="18">
        <f t="shared" si="86"/>
        <v>0</v>
      </c>
      <c r="R480" s="255">
        <f t="shared" si="87"/>
        <v>1408334</v>
      </c>
      <c r="S480" s="1"/>
      <c r="T480" s="1">
        <f t="shared" si="131"/>
        <v>0</v>
      </c>
      <c r="U480" s="1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4"/>
      <c r="AG480" s="4"/>
      <c r="AH480" s="4"/>
      <c r="AI480" s="4"/>
      <c r="AJ480" s="4"/>
    </row>
    <row r="481" spans="1:36" ht="13.5" customHeight="1">
      <c r="A481" s="259"/>
      <c r="B481" s="15" t="str">
        <f>TB!B517</f>
        <v>SP036</v>
      </c>
      <c r="C481" s="288" t="str">
        <f>TB!C517</f>
        <v>Southerm Comfort</v>
      </c>
      <c r="D481" s="257">
        <f>SUMIF(GL!$D$5:$D$6446,B481,GL!$G$5:$G$6446)</f>
        <v>0</v>
      </c>
      <c r="E481" s="258">
        <f>SUMIF(GL!$D$6:$D$6484,B481,GL!$H$6:$H$6484)</f>
        <v>0</v>
      </c>
      <c r="F481" s="258">
        <f>SUMIF(GL!$D$6:$D$6484,B481,GL!$I$6:$I$6484)</f>
        <v>0</v>
      </c>
      <c r="G481" s="258">
        <f t="shared" si="88"/>
        <v>0</v>
      </c>
      <c r="H481" s="258">
        <f t="shared" si="89"/>
        <v>0</v>
      </c>
      <c r="I481" s="250"/>
      <c r="J481" s="251"/>
      <c r="K481" s="252"/>
      <c r="L481" s="253"/>
      <c r="M481" s="128"/>
      <c r="N481" s="128">
        <f t="shared" si="84"/>
        <v>0</v>
      </c>
      <c r="O481" s="254"/>
      <c r="P481" s="128">
        <f t="shared" si="134"/>
        <v>0</v>
      </c>
      <c r="Q481" s="18">
        <f t="shared" si="86"/>
        <v>0</v>
      </c>
      <c r="R481" s="255">
        <f t="shared" si="87"/>
        <v>0</v>
      </c>
      <c r="S481" s="1"/>
      <c r="T481" s="1">
        <f t="shared" si="131"/>
        <v>0</v>
      </c>
      <c r="U481" s="1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1"/>
      <c r="AG481" s="1"/>
      <c r="AH481" s="1"/>
      <c r="AI481" s="1"/>
      <c r="AJ481" s="1"/>
    </row>
    <row r="482" spans="1:36" ht="13.5" customHeight="1">
      <c r="A482" s="259"/>
      <c r="B482" s="15" t="str">
        <f>TB!B518</f>
        <v>SP037</v>
      </c>
      <c r="C482" s="288" t="str">
        <f>TB!C518</f>
        <v>Glenmorangie Lasanta12Yo</v>
      </c>
      <c r="D482" s="257">
        <f>SUMIF(GL!$D$5:$D$6446,B482,GL!$G$5:$G$6446)</f>
        <v>0</v>
      </c>
      <c r="E482" s="258">
        <f>SUMIF(GL!$D$6:$D$6484,B482,GL!$H$6:$H$6484)</f>
        <v>0</v>
      </c>
      <c r="F482" s="258">
        <f>SUMIF(GL!$D$6:$D$6484,B482,GL!$I$6:$I$6484)</f>
        <v>0</v>
      </c>
      <c r="G482" s="258">
        <f t="shared" si="88"/>
        <v>0</v>
      </c>
      <c r="H482" s="258">
        <f t="shared" si="89"/>
        <v>0</v>
      </c>
      <c r="I482" s="250">
        <v>2</v>
      </c>
      <c r="J482" s="251">
        <v>1080000</v>
      </c>
      <c r="K482" s="252">
        <v>2160000</v>
      </c>
      <c r="L482" s="253">
        <f t="shared" ref="L482:L483" si="141">D482+I482</f>
        <v>2</v>
      </c>
      <c r="M482" s="128">
        <f t="shared" ref="M482:M483" si="142">(G482+K482)/L482</f>
        <v>1080000</v>
      </c>
      <c r="N482" s="128">
        <f t="shared" si="84"/>
        <v>2160000</v>
      </c>
      <c r="O482" s="254">
        <v>2</v>
      </c>
      <c r="P482" s="128">
        <f t="shared" si="134"/>
        <v>1080000</v>
      </c>
      <c r="Q482" s="18">
        <f t="shared" si="86"/>
        <v>2160000</v>
      </c>
      <c r="R482" s="255">
        <f t="shared" si="87"/>
        <v>0</v>
      </c>
      <c r="S482" s="1"/>
      <c r="T482" s="1">
        <f t="shared" si="131"/>
        <v>0</v>
      </c>
      <c r="U482" s="1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1"/>
      <c r="AG482" s="1"/>
      <c r="AH482" s="1"/>
      <c r="AI482" s="1"/>
      <c r="AJ482" s="1"/>
    </row>
    <row r="483" spans="1:36" ht="13.5" customHeight="1">
      <c r="A483" s="259"/>
      <c r="B483" s="15" t="str">
        <f>TB!B519</f>
        <v>SP038</v>
      </c>
      <c r="C483" s="288" t="str">
        <f>TB!C519</f>
        <v>Jack Daniel Apple</v>
      </c>
      <c r="D483" s="257">
        <f>SUMIF(GL!$D$5:$D$6446,B483,GL!$G$5:$G$6446)</f>
        <v>0</v>
      </c>
      <c r="E483" s="258">
        <f>SUMIF(GL!$D$6:$D$6484,B483,GL!$H$6:$H$6484)</f>
        <v>0</v>
      </c>
      <c r="F483" s="258">
        <f>SUMIF(GL!$D$6:$D$6484,B483,GL!$I$6:$I$6484)</f>
        <v>0</v>
      </c>
      <c r="G483" s="258">
        <f t="shared" si="88"/>
        <v>0</v>
      </c>
      <c r="H483" s="258">
        <f t="shared" si="89"/>
        <v>0</v>
      </c>
      <c r="I483" s="250">
        <v>1</v>
      </c>
      <c r="J483" s="251">
        <v>545000</v>
      </c>
      <c r="K483" s="252">
        <v>545000</v>
      </c>
      <c r="L483" s="253">
        <f t="shared" si="141"/>
        <v>1</v>
      </c>
      <c r="M483" s="128">
        <f t="shared" si="142"/>
        <v>545000</v>
      </c>
      <c r="N483" s="128">
        <f t="shared" si="84"/>
        <v>545000</v>
      </c>
      <c r="O483" s="254"/>
      <c r="P483" s="128">
        <f t="shared" si="134"/>
        <v>545000</v>
      </c>
      <c r="Q483" s="18">
        <f t="shared" si="86"/>
        <v>0</v>
      </c>
      <c r="R483" s="255">
        <f t="shared" si="87"/>
        <v>545000</v>
      </c>
      <c r="S483" s="1"/>
      <c r="T483" s="1">
        <f t="shared" si="131"/>
        <v>0</v>
      </c>
      <c r="U483" s="1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1"/>
      <c r="AG483" s="1"/>
      <c r="AH483" s="1"/>
      <c r="AI483" s="1"/>
      <c r="AJ483" s="1"/>
    </row>
    <row r="484" spans="1:36" ht="13.5" customHeight="1">
      <c r="A484" s="259"/>
      <c r="B484" s="15" t="str">
        <f>TB!B520</f>
        <v>SP038B</v>
      </c>
      <c r="C484" s="288" t="str">
        <f>TB!C520</f>
        <v>Teachers Whsikey</v>
      </c>
      <c r="D484" s="257">
        <f>SUMIF(GL!$D$5:$D$6446,B484,GL!$G$5:$G$6446)</f>
        <v>0</v>
      </c>
      <c r="E484" s="258">
        <f>SUMIF(GL!$D$6:$D$6484,B484,GL!$H$6:$H$6484)</f>
        <v>0</v>
      </c>
      <c r="F484" s="258">
        <f>SUMIF(GL!$D$6:$D$6484,B484,GL!$I$6:$I$6484)</f>
        <v>0</v>
      </c>
      <c r="G484" s="258">
        <f t="shared" si="88"/>
        <v>0</v>
      </c>
      <c r="H484" s="258">
        <f t="shared" si="89"/>
        <v>0</v>
      </c>
      <c r="I484" s="250"/>
      <c r="J484" s="251"/>
      <c r="K484" s="252"/>
      <c r="L484" s="253"/>
      <c r="M484" s="128"/>
      <c r="N484" s="128">
        <f t="shared" si="84"/>
        <v>0</v>
      </c>
      <c r="O484" s="254"/>
      <c r="P484" s="128">
        <f t="shared" si="134"/>
        <v>0</v>
      </c>
      <c r="Q484" s="18">
        <f t="shared" si="86"/>
        <v>0</v>
      </c>
      <c r="R484" s="255">
        <f t="shared" si="87"/>
        <v>0</v>
      </c>
      <c r="S484" s="1"/>
      <c r="T484" s="1">
        <f t="shared" si="131"/>
        <v>0</v>
      </c>
      <c r="U484" s="1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1"/>
      <c r="AG484" s="1"/>
      <c r="AH484" s="1"/>
      <c r="AI484" s="1"/>
      <c r="AJ484" s="1"/>
    </row>
    <row r="485" spans="1:36" ht="13.5" customHeight="1">
      <c r="A485" s="259"/>
      <c r="B485" s="15" t="str">
        <f>TB!B521</f>
        <v>SP038C</v>
      </c>
      <c r="C485" s="288" t="str">
        <f>TB!C521</f>
        <v>Glenfiddich 12Yo</v>
      </c>
      <c r="D485" s="257">
        <f>SUMIF(GL!$D$5:$D$6446,B485,GL!$G$5:$G$6446)</f>
        <v>0</v>
      </c>
      <c r="E485" s="258">
        <f>SUMIF(GL!$D$6:$D$6484,B485,GL!$H$6:$H$6484)</f>
        <v>0</v>
      </c>
      <c r="F485" s="258">
        <f>SUMIF(GL!$D$6:$D$6484,B485,GL!$I$6:$I$6484)</f>
        <v>0</v>
      </c>
      <c r="G485" s="258">
        <f t="shared" si="88"/>
        <v>0</v>
      </c>
      <c r="H485" s="258">
        <f t="shared" si="89"/>
        <v>0</v>
      </c>
      <c r="I485" s="250">
        <v>2.1</v>
      </c>
      <c r="J485" s="251">
        <v>705426</v>
      </c>
      <c r="K485" s="252">
        <v>1481395</v>
      </c>
      <c r="L485" s="253">
        <f t="shared" ref="L485:L492" si="143">D485+I485</f>
        <v>2.1</v>
      </c>
      <c r="M485" s="128">
        <f t="shared" ref="M485:M492" si="144">(G485+K485)/L485</f>
        <v>705426.19047619042</v>
      </c>
      <c r="N485" s="128">
        <f t="shared" si="84"/>
        <v>1481395</v>
      </c>
      <c r="O485" s="254">
        <v>0.8</v>
      </c>
      <c r="P485" s="128">
        <f t="shared" si="134"/>
        <v>705426.19047619042</v>
      </c>
      <c r="Q485" s="18">
        <f t="shared" si="86"/>
        <v>564340.95238095231</v>
      </c>
      <c r="R485" s="255">
        <f t="shared" si="87"/>
        <v>917054.04761904769</v>
      </c>
      <c r="S485" s="1"/>
      <c r="T485" s="1">
        <f t="shared" si="131"/>
        <v>-0.19047619041521102</v>
      </c>
      <c r="U485" s="1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1"/>
      <c r="AG485" s="1"/>
      <c r="AH485" s="1"/>
      <c r="AI485" s="1"/>
      <c r="AJ485" s="1"/>
    </row>
    <row r="486" spans="1:36" ht="13.5" customHeight="1">
      <c r="A486" s="259"/>
      <c r="B486" s="15" t="str">
        <f>TB!B522</f>
        <v>SP038D</v>
      </c>
      <c r="C486" s="288" t="str">
        <f>TB!C522</f>
        <v>Monkey Shoulder</v>
      </c>
      <c r="D486" s="257">
        <f>SUMIF(GL!$D$5:$D$6446,B486,GL!$G$5:$G$6446)</f>
        <v>2</v>
      </c>
      <c r="E486" s="258">
        <f>SUMIF(GL!$D$6:$D$6484,B486,GL!$H$6:$H$6484)</f>
        <v>1380000</v>
      </c>
      <c r="F486" s="258">
        <f>SUMIF(GL!$D$6:$D$6484,B486,GL!$I$6:$I$6484)</f>
        <v>0</v>
      </c>
      <c r="G486" s="258">
        <f t="shared" si="88"/>
        <v>1380000</v>
      </c>
      <c r="H486" s="258">
        <f t="shared" si="89"/>
        <v>0</v>
      </c>
      <c r="I486" s="250">
        <v>5.3</v>
      </c>
      <c r="J486" s="251">
        <v>605338</v>
      </c>
      <c r="K486" s="252">
        <v>3208293</v>
      </c>
      <c r="L486" s="253">
        <f t="shared" si="143"/>
        <v>7.3</v>
      </c>
      <c r="M486" s="128">
        <f t="shared" si="144"/>
        <v>628533.28767123295</v>
      </c>
      <c r="N486" s="128">
        <f t="shared" si="84"/>
        <v>4588293</v>
      </c>
      <c r="O486" s="254">
        <v>5.8</v>
      </c>
      <c r="P486" s="128">
        <f t="shared" si="134"/>
        <v>628533.28767123295</v>
      </c>
      <c r="Q486" s="18">
        <f t="shared" si="86"/>
        <v>3645493.0684931511</v>
      </c>
      <c r="R486" s="255">
        <f t="shared" si="87"/>
        <v>942799.93150684889</v>
      </c>
      <c r="S486" s="1"/>
      <c r="T486" s="1">
        <f t="shared" si="131"/>
        <v>-23195.287671232945</v>
      </c>
      <c r="U486" s="1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1"/>
      <c r="AG486" s="1"/>
      <c r="AH486" s="1"/>
      <c r="AI486" s="1"/>
      <c r="AJ486" s="1"/>
    </row>
    <row r="487" spans="1:36" ht="13.5" customHeight="1">
      <c r="A487" s="259"/>
      <c r="B487" s="15" t="str">
        <f>TB!B523</f>
        <v>SP028A</v>
      </c>
      <c r="C487" s="288" t="str">
        <f>TB!C523</f>
        <v>Jw Double Black</v>
      </c>
      <c r="D487" s="257">
        <f>SUMIF(GL!$D$5:$D$6446,B487,GL!$G$5:$G$6446)</f>
        <v>0</v>
      </c>
      <c r="E487" s="258">
        <f>SUMIF(GL!$D$6:$D$6484,B487,GL!$H$6:$H$6484)</f>
        <v>0</v>
      </c>
      <c r="F487" s="258">
        <f>SUMIF(GL!$D$6:$D$6484,B487,GL!$I$6:$I$6484)</f>
        <v>0</v>
      </c>
      <c r="G487" s="258">
        <f t="shared" si="88"/>
        <v>0</v>
      </c>
      <c r="H487" s="258">
        <f t="shared" si="89"/>
        <v>0</v>
      </c>
      <c r="I487" s="250">
        <v>3</v>
      </c>
      <c r="J487" s="251">
        <v>660920</v>
      </c>
      <c r="K487" s="252">
        <v>1982760</v>
      </c>
      <c r="L487" s="253">
        <f t="shared" si="143"/>
        <v>3</v>
      </c>
      <c r="M487" s="128">
        <f t="shared" si="144"/>
        <v>660920</v>
      </c>
      <c r="N487" s="128">
        <f t="shared" si="84"/>
        <v>1982760</v>
      </c>
      <c r="O487" s="254">
        <v>2</v>
      </c>
      <c r="P487" s="128">
        <f t="shared" si="134"/>
        <v>660920</v>
      </c>
      <c r="Q487" s="18">
        <f t="shared" si="86"/>
        <v>1321840</v>
      </c>
      <c r="R487" s="255">
        <f t="shared" si="87"/>
        <v>660920</v>
      </c>
      <c r="S487" s="1"/>
      <c r="T487" s="1">
        <f t="shared" si="131"/>
        <v>0</v>
      </c>
      <c r="U487" s="1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1"/>
      <c r="AG487" s="1"/>
      <c r="AH487" s="1"/>
      <c r="AI487" s="1"/>
      <c r="AJ487" s="1"/>
    </row>
    <row r="488" spans="1:36" ht="13.5" customHeight="1">
      <c r="A488" s="259"/>
      <c r="B488" s="15" t="str">
        <f>TB!B524</f>
        <v>SP028B</v>
      </c>
      <c r="C488" s="288" t="str">
        <f>TB!C524</f>
        <v>Jw Double Gold Label Reserve</v>
      </c>
      <c r="D488" s="257">
        <f>SUMIF(GL!$D$5:$D$6446,B488,GL!$G$5:$G$6446)</f>
        <v>0</v>
      </c>
      <c r="E488" s="258">
        <f>SUMIF(GL!$D$6:$D$6484,B488,GL!$H$6:$H$6484)</f>
        <v>0</v>
      </c>
      <c r="F488" s="258">
        <f>SUMIF(GL!$D$6:$D$6484,B488,GL!$I$6:$I$6484)</f>
        <v>0</v>
      </c>
      <c r="G488" s="258">
        <f t="shared" si="88"/>
        <v>0</v>
      </c>
      <c r="H488" s="258">
        <f t="shared" si="89"/>
        <v>0</v>
      </c>
      <c r="I488" s="250">
        <v>1</v>
      </c>
      <c r="J488" s="251">
        <v>709186</v>
      </c>
      <c r="K488" s="252">
        <v>709186</v>
      </c>
      <c r="L488" s="253">
        <f t="shared" si="143"/>
        <v>1</v>
      </c>
      <c r="M488" s="128">
        <f t="shared" si="144"/>
        <v>709186</v>
      </c>
      <c r="N488" s="128">
        <f t="shared" si="84"/>
        <v>709186</v>
      </c>
      <c r="O488" s="254">
        <v>1</v>
      </c>
      <c r="P488" s="128">
        <f t="shared" si="134"/>
        <v>709186</v>
      </c>
      <c r="Q488" s="18">
        <f t="shared" si="86"/>
        <v>709186</v>
      </c>
      <c r="R488" s="255">
        <f t="shared" si="87"/>
        <v>0</v>
      </c>
      <c r="S488" s="1"/>
      <c r="T488" s="1">
        <f t="shared" si="131"/>
        <v>0</v>
      </c>
      <c r="U488" s="1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1"/>
      <c r="AG488" s="1"/>
      <c r="AH488" s="1"/>
      <c r="AI488" s="1"/>
      <c r="AJ488" s="1"/>
    </row>
    <row r="489" spans="1:36" ht="13.5" customHeight="1">
      <c r="A489" s="259"/>
      <c r="B489" s="15" t="str">
        <f>TB!B525</f>
        <v>SP028C</v>
      </c>
      <c r="C489" s="288" t="str">
        <f>TB!C525</f>
        <v>Singleton 12Yo Glen Ord</v>
      </c>
      <c r="D489" s="257">
        <f>SUMIF(GL!$D$5:$D$6446,B489,GL!$G$5:$G$6446)</f>
        <v>4</v>
      </c>
      <c r="E489" s="258">
        <f>SUMIF(GL!$D$6:$D$6484,B489,GL!$H$6:$H$6484)</f>
        <v>2330000</v>
      </c>
      <c r="F489" s="258">
        <f>SUMIF(GL!$D$6:$D$6484,B489,GL!$I$6:$I$6484)</f>
        <v>0</v>
      </c>
      <c r="G489" s="258">
        <f t="shared" si="88"/>
        <v>2330000</v>
      </c>
      <c r="H489" s="258">
        <f t="shared" si="89"/>
        <v>0</v>
      </c>
      <c r="I489" s="250">
        <v>5.8</v>
      </c>
      <c r="J489" s="251">
        <v>704970</v>
      </c>
      <c r="K489" s="252">
        <v>4088825</v>
      </c>
      <c r="L489" s="253">
        <f t="shared" si="143"/>
        <v>9.8000000000000007</v>
      </c>
      <c r="M489" s="128">
        <f t="shared" si="144"/>
        <v>654982.14285714284</v>
      </c>
      <c r="N489" s="128">
        <f t="shared" si="84"/>
        <v>6418825</v>
      </c>
      <c r="O489" s="254">
        <v>6.6</v>
      </c>
      <c r="P489" s="128">
        <f t="shared" si="134"/>
        <v>654982.14285714284</v>
      </c>
      <c r="Q489" s="18">
        <f t="shared" si="86"/>
        <v>4322882.1428571427</v>
      </c>
      <c r="R489" s="255">
        <f t="shared" si="87"/>
        <v>2095942.8571428573</v>
      </c>
      <c r="S489" s="1"/>
      <c r="T489" s="1">
        <f t="shared" si="131"/>
        <v>49987.857142857159</v>
      </c>
      <c r="U489" s="1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1"/>
      <c r="AG489" s="1"/>
      <c r="AH489" s="1"/>
      <c r="AI489" s="1"/>
      <c r="AJ489" s="1"/>
    </row>
    <row r="490" spans="1:36" ht="13.5" customHeight="1">
      <c r="A490" s="259"/>
      <c r="B490" s="15" t="str">
        <f>TB!B526</f>
        <v>SP028D</v>
      </c>
      <c r="C490" s="288" t="str">
        <f>TB!C526</f>
        <v>Singleton 15Yo Glen Ord</v>
      </c>
      <c r="D490" s="257">
        <f>SUMIF(GL!$D$5:$D$6446,B490,GL!$G$5:$G$6446)</f>
        <v>4</v>
      </c>
      <c r="E490" s="258">
        <f>SUMIF(GL!$D$6:$D$6484,B490,GL!$H$6:$H$6484)</f>
        <v>4600000</v>
      </c>
      <c r="F490" s="258">
        <f>SUMIF(GL!$D$6:$D$6484,B490,GL!$I$6:$I$6484)</f>
        <v>0</v>
      </c>
      <c r="G490" s="258">
        <f t="shared" si="88"/>
        <v>4600000</v>
      </c>
      <c r="H490" s="258">
        <f t="shared" si="89"/>
        <v>0</v>
      </c>
      <c r="I490" s="250">
        <v>4</v>
      </c>
      <c r="J490" s="251">
        <v>1125007</v>
      </c>
      <c r="K490" s="252">
        <v>4500027</v>
      </c>
      <c r="L490" s="253">
        <f t="shared" si="143"/>
        <v>8</v>
      </c>
      <c r="M490" s="128">
        <f t="shared" si="144"/>
        <v>1137503.375</v>
      </c>
      <c r="N490" s="128">
        <f t="shared" si="84"/>
        <v>9100027</v>
      </c>
      <c r="O490" s="254">
        <v>5</v>
      </c>
      <c r="P490" s="128">
        <f t="shared" si="134"/>
        <v>1137503.375</v>
      </c>
      <c r="Q490" s="18">
        <f t="shared" si="86"/>
        <v>5687516.875</v>
      </c>
      <c r="R490" s="255">
        <f t="shared" si="87"/>
        <v>3412510.125</v>
      </c>
      <c r="S490" s="1"/>
      <c r="T490" s="1">
        <f t="shared" si="131"/>
        <v>-12496.375</v>
      </c>
      <c r="U490" s="1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1"/>
      <c r="AG490" s="1"/>
      <c r="AH490" s="1"/>
      <c r="AI490" s="1"/>
      <c r="AJ490" s="1"/>
    </row>
    <row r="491" spans="1:36" ht="13.5" customHeight="1">
      <c r="A491" s="259"/>
      <c r="B491" s="15" t="str">
        <f>TB!B527</f>
        <v>SP028E</v>
      </c>
      <c r="C491" s="288" t="str">
        <f>TB!C527</f>
        <v>Bulleit Rye</v>
      </c>
      <c r="D491" s="257">
        <f>SUMIF(GL!$D$5:$D$6446,B491,GL!$G$5:$G$6446)</f>
        <v>0</v>
      </c>
      <c r="E491" s="258">
        <f>SUMIF(GL!$D$6:$D$6484,B491,GL!$H$6:$H$6484)</f>
        <v>0</v>
      </c>
      <c r="F491" s="258">
        <f>SUMIF(GL!$D$6:$D$6484,B491,GL!$I$6:$I$6484)</f>
        <v>0</v>
      </c>
      <c r="G491" s="258">
        <f t="shared" si="88"/>
        <v>0</v>
      </c>
      <c r="H491" s="258">
        <f t="shared" si="89"/>
        <v>0</v>
      </c>
      <c r="I491" s="250">
        <v>2</v>
      </c>
      <c r="J491" s="251">
        <v>550000</v>
      </c>
      <c r="K491" s="252">
        <v>1100000</v>
      </c>
      <c r="L491" s="253">
        <f t="shared" si="143"/>
        <v>2</v>
      </c>
      <c r="M491" s="128">
        <f t="shared" si="144"/>
        <v>550000</v>
      </c>
      <c r="N491" s="128">
        <f t="shared" si="84"/>
        <v>1100000</v>
      </c>
      <c r="O491" s="254">
        <v>2</v>
      </c>
      <c r="P491" s="128">
        <f t="shared" si="134"/>
        <v>550000</v>
      </c>
      <c r="Q491" s="18">
        <f t="shared" si="86"/>
        <v>1100000</v>
      </c>
      <c r="R491" s="255">
        <f t="shared" si="87"/>
        <v>0</v>
      </c>
      <c r="S491" s="1"/>
      <c r="T491" s="1">
        <f t="shared" si="131"/>
        <v>0</v>
      </c>
      <c r="U491" s="1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1"/>
      <c r="AG491" s="1"/>
      <c r="AH491" s="1"/>
      <c r="AI491" s="1"/>
      <c r="AJ491" s="1"/>
    </row>
    <row r="492" spans="1:36" ht="13.5" customHeight="1">
      <c r="A492" s="259"/>
      <c r="B492" s="15" t="str">
        <f>TB!B528</f>
        <v>SP028F</v>
      </c>
      <c r="C492" s="288" t="str">
        <f>TB!C528</f>
        <v>Bulleit Bourbon</v>
      </c>
      <c r="D492" s="257">
        <f>SUMIF(GL!$D$5:$D$6446,B492,GL!$G$5:$G$6446)</f>
        <v>0</v>
      </c>
      <c r="E492" s="258">
        <f>SUMIF(GL!$D$6:$D$6484,B492,GL!$H$6:$H$6484)</f>
        <v>0</v>
      </c>
      <c r="F492" s="258">
        <f>SUMIF(GL!$D$6:$D$6484,B492,GL!$I$6:$I$6484)</f>
        <v>0</v>
      </c>
      <c r="G492" s="258">
        <f t="shared" si="88"/>
        <v>0</v>
      </c>
      <c r="H492" s="258">
        <f t="shared" si="89"/>
        <v>0</v>
      </c>
      <c r="I492" s="250">
        <v>2</v>
      </c>
      <c r="J492" s="251">
        <v>490000</v>
      </c>
      <c r="K492" s="252">
        <v>980000</v>
      </c>
      <c r="L492" s="253">
        <f t="shared" si="143"/>
        <v>2</v>
      </c>
      <c r="M492" s="128">
        <f t="shared" si="144"/>
        <v>490000</v>
      </c>
      <c r="N492" s="128">
        <f t="shared" si="84"/>
        <v>980000</v>
      </c>
      <c r="O492" s="254"/>
      <c r="P492" s="128">
        <f t="shared" si="134"/>
        <v>490000</v>
      </c>
      <c r="Q492" s="18">
        <f t="shared" si="86"/>
        <v>0</v>
      </c>
      <c r="R492" s="255">
        <f t="shared" si="87"/>
        <v>980000</v>
      </c>
      <c r="S492" s="1"/>
      <c r="T492" s="1">
        <f t="shared" si="131"/>
        <v>0</v>
      </c>
      <c r="U492" s="1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1"/>
      <c r="AG492" s="1"/>
      <c r="AH492" s="1"/>
      <c r="AI492" s="1"/>
      <c r="AJ492" s="1"/>
    </row>
    <row r="493" spans="1:36" ht="13.5" customHeight="1">
      <c r="A493" s="259"/>
      <c r="B493" s="15" t="str">
        <f>TB!B529</f>
        <v>SP028G</v>
      </c>
      <c r="C493" s="288" t="str">
        <f>TB!C529</f>
        <v>Bells Ori</v>
      </c>
      <c r="D493" s="257">
        <f>SUMIF(GL!$D$5:$D$6446,B493,GL!$G$5:$G$6446)</f>
        <v>0</v>
      </c>
      <c r="E493" s="258">
        <f>SUMIF(GL!$D$6:$D$6484,B493,GL!$H$6:$H$6484)</f>
        <v>0</v>
      </c>
      <c r="F493" s="258">
        <f>SUMIF(GL!$D$6:$D$6484,B493,GL!$I$6:$I$6484)</f>
        <v>0</v>
      </c>
      <c r="G493" s="258">
        <f t="shared" si="88"/>
        <v>0</v>
      </c>
      <c r="H493" s="258">
        <f t="shared" si="89"/>
        <v>0</v>
      </c>
      <c r="I493" s="250"/>
      <c r="J493" s="251"/>
      <c r="K493" s="252"/>
      <c r="L493" s="253"/>
      <c r="M493" s="128"/>
      <c r="N493" s="128">
        <f t="shared" si="84"/>
        <v>0</v>
      </c>
      <c r="O493" s="254"/>
      <c r="P493" s="128">
        <f t="shared" si="134"/>
        <v>0</v>
      </c>
      <c r="Q493" s="18">
        <f t="shared" si="86"/>
        <v>0</v>
      </c>
      <c r="R493" s="255">
        <f t="shared" si="87"/>
        <v>0</v>
      </c>
      <c r="S493" s="1"/>
      <c r="T493" s="1">
        <f t="shared" si="131"/>
        <v>0</v>
      </c>
      <c r="U493" s="1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1"/>
      <c r="AG493" s="1"/>
      <c r="AH493" s="1"/>
      <c r="AI493" s="1"/>
      <c r="AJ493" s="1"/>
    </row>
    <row r="494" spans="1:36" ht="13.5" customHeight="1">
      <c r="A494" s="259"/>
      <c r="B494" s="15" t="str">
        <f>TB!B530</f>
        <v>SP028H</v>
      </c>
      <c r="C494" s="288" t="str">
        <f>TB!C530</f>
        <v>Singleton 18Yo Glen Ord</v>
      </c>
      <c r="D494" s="257">
        <f>SUMIF(GL!$D$5:$D$6446,B494,GL!$G$5:$G$6446)</f>
        <v>0</v>
      </c>
      <c r="E494" s="258">
        <f>SUMIF(GL!$D$6:$D$6484,B494,GL!$H$6:$H$6484)</f>
        <v>0</v>
      </c>
      <c r="F494" s="258">
        <f>SUMIF(GL!$D$6:$D$6484,B494,GL!$I$6:$I$6484)</f>
        <v>0</v>
      </c>
      <c r="G494" s="258">
        <f t="shared" si="88"/>
        <v>0</v>
      </c>
      <c r="H494" s="258">
        <f t="shared" si="89"/>
        <v>0</v>
      </c>
      <c r="I494" s="250">
        <v>2</v>
      </c>
      <c r="J494" s="251">
        <v>1530500</v>
      </c>
      <c r="K494" s="252">
        <v>3061000</v>
      </c>
      <c r="L494" s="253">
        <f t="shared" ref="L494:L500" si="145">D494+I494</f>
        <v>2</v>
      </c>
      <c r="M494" s="128">
        <f t="shared" ref="M494:M500" si="146">(G494+K494)/L494</f>
        <v>1530500</v>
      </c>
      <c r="N494" s="128">
        <f t="shared" si="84"/>
        <v>3061000</v>
      </c>
      <c r="O494" s="254">
        <v>2</v>
      </c>
      <c r="P494" s="128">
        <f t="shared" si="134"/>
        <v>1530500</v>
      </c>
      <c r="Q494" s="18">
        <f t="shared" si="86"/>
        <v>3061000</v>
      </c>
      <c r="R494" s="255">
        <f t="shared" si="87"/>
        <v>0</v>
      </c>
      <c r="S494" s="1"/>
      <c r="T494" s="1">
        <f t="shared" si="131"/>
        <v>0</v>
      </c>
      <c r="U494" s="1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1"/>
      <c r="AG494" s="1"/>
      <c r="AH494" s="1"/>
      <c r="AI494" s="1"/>
      <c r="AJ494" s="1"/>
    </row>
    <row r="495" spans="1:36" ht="13.5" customHeight="1">
      <c r="A495" s="259"/>
      <c r="B495" s="15" t="str">
        <f>TB!B531</f>
        <v>SP028I</v>
      </c>
      <c r="C495" s="288" t="str">
        <f>TB!C531</f>
        <v>Jw Blue Label</v>
      </c>
      <c r="D495" s="257">
        <f>SUMIF(GL!$D$5:$D$6446,B495,GL!$G$5:$G$6446)</f>
        <v>0</v>
      </c>
      <c r="E495" s="258">
        <f>SUMIF(GL!$D$6:$D$6484,B495,GL!$H$6:$H$6484)</f>
        <v>0</v>
      </c>
      <c r="F495" s="258">
        <f>SUMIF(GL!$D$6:$D$6484,B495,GL!$I$6:$I$6484)</f>
        <v>0</v>
      </c>
      <c r="G495" s="258">
        <f t="shared" si="88"/>
        <v>0</v>
      </c>
      <c r="H495" s="258">
        <f t="shared" si="89"/>
        <v>0</v>
      </c>
      <c r="I495" s="250">
        <v>1</v>
      </c>
      <c r="J495" s="251">
        <v>2881500</v>
      </c>
      <c r="K495" s="252">
        <v>2881500</v>
      </c>
      <c r="L495" s="253">
        <f t="shared" si="145"/>
        <v>1</v>
      </c>
      <c r="M495" s="128">
        <f t="shared" si="146"/>
        <v>2881500</v>
      </c>
      <c r="N495" s="128">
        <f t="shared" si="84"/>
        <v>2881500</v>
      </c>
      <c r="O495" s="254">
        <v>1</v>
      </c>
      <c r="P495" s="128">
        <f t="shared" si="134"/>
        <v>2881500</v>
      </c>
      <c r="Q495" s="18">
        <f t="shared" si="86"/>
        <v>2881500</v>
      </c>
      <c r="R495" s="255">
        <f t="shared" si="87"/>
        <v>0</v>
      </c>
      <c r="S495" s="1"/>
      <c r="T495" s="1">
        <f t="shared" si="131"/>
        <v>0</v>
      </c>
      <c r="U495" s="1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1"/>
      <c r="AG495" s="1"/>
      <c r="AH495" s="1"/>
      <c r="AI495" s="1"/>
      <c r="AJ495" s="1"/>
    </row>
    <row r="496" spans="1:36" ht="13.5" customHeight="1">
      <c r="A496" s="259"/>
      <c r="B496" s="15" t="str">
        <f>TB!B532</f>
        <v>SP028J</v>
      </c>
      <c r="C496" s="288" t="str">
        <f>TB!C532</f>
        <v>Jw Blonde</v>
      </c>
      <c r="D496" s="257">
        <f>SUMIF(GL!$D$5:$D$6446,B496,GL!$G$5:$G$6446)</f>
        <v>0</v>
      </c>
      <c r="E496" s="258">
        <f>SUMIF(GL!$D$6:$D$6484,B496,GL!$H$6:$H$6484)</f>
        <v>0</v>
      </c>
      <c r="F496" s="258">
        <f>SUMIF(GL!$D$6:$D$6484,B496,GL!$I$6:$I$6484)</f>
        <v>0</v>
      </c>
      <c r="G496" s="258">
        <f t="shared" si="88"/>
        <v>0</v>
      </c>
      <c r="H496" s="258">
        <f t="shared" si="89"/>
        <v>0</v>
      </c>
      <c r="I496" s="250">
        <v>1</v>
      </c>
      <c r="J496" s="251">
        <v>425000</v>
      </c>
      <c r="K496" s="252">
        <v>425000</v>
      </c>
      <c r="L496" s="253">
        <f t="shared" si="145"/>
        <v>1</v>
      </c>
      <c r="M496" s="128">
        <f t="shared" si="146"/>
        <v>425000</v>
      </c>
      <c r="N496" s="128">
        <f t="shared" si="84"/>
        <v>425000</v>
      </c>
      <c r="O496" s="254">
        <v>2</v>
      </c>
      <c r="P496" s="128">
        <f t="shared" si="134"/>
        <v>425000</v>
      </c>
      <c r="Q496" s="18">
        <f t="shared" si="86"/>
        <v>850000</v>
      </c>
      <c r="R496" s="255">
        <f t="shared" si="87"/>
        <v>-425000</v>
      </c>
      <c r="S496" s="1"/>
      <c r="T496" s="1">
        <f t="shared" si="131"/>
        <v>0</v>
      </c>
      <c r="U496" s="1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1"/>
      <c r="AG496" s="1"/>
      <c r="AH496" s="1"/>
      <c r="AI496" s="1"/>
      <c r="AJ496" s="1"/>
    </row>
    <row r="497" spans="1:36" ht="13.5" customHeight="1">
      <c r="A497" s="259"/>
      <c r="B497" s="15" t="str">
        <f>TB!B533</f>
        <v>SP032AA</v>
      </c>
      <c r="C497" s="288" t="str">
        <f>TB!C533</f>
        <v>Jameson Black Barrel</v>
      </c>
      <c r="D497" s="257">
        <f>SUMIF(GL!$D$5:$D$6446,B497,GL!$G$5:$G$6446)</f>
        <v>3</v>
      </c>
      <c r="E497" s="258">
        <f>SUMIF(GL!$D$6:$D$6484,B497,GL!$H$6:$H$6484)</f>
        <v>1750002</v>
      </c>
      <c r="F497" s="258">
        <f>SUMIF(GL!$D$6:$D$6484,B497,GL!$I$6:$I$6484)</f>
        <v>0</v>
      </c>
      <c r="G497" s="258">
        <f t="shared" si="88"/>
        <v>1750002</v>
      </c>
      <c r="H497" s="258">
        <f t="shared" si="89"/>
        <v>0</v>
      </c>
      <c r="I497" s="250">
        <v>6.2</v>
      </c>
      <c r="J497" s="251">
        <v>583334</v>
      </c>
      <c r="K497" s="252">
        <v>3616671</v>
      </c>
      <c r="L497" s="253">
        <f t="shared" si="145"/>
        <v>9.1999999999999993</v>
      </c>
      <c r="M497" s="128">
        <f t="shared" si="146"/>
        <v>583334.02173913049</v>
      </c>
      <c r="N497" s="128">
        <f t="shared" si="84"/>
        <v>5366673</v>
      </c>
      <c r="O497" s="254">
        <v>4.3</v>
      </c>
      <c r="P497" s="128">
        <f t="shared" si="134"/>
        <v>583334.02173913049</v>
      </c>
      <c r="Q497" s="18">
        <f t="shared" si="86"/>
        <v>2508336.2934782612</v>
      </c>
      <c r="R497" s="255">
        <f t="shared" si="87"/>
        <v>2858336.7065217388</v>
      </c>
      <c r="S497" s="1"/>
      <c r="T497" s="1">
        <f t="shared" si="131"/>
        <v>-2.1739130490459502E-2</v>
      </c>
      <c r="U497" s="1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1"/>
      <c r="AG497" s="1"/>
      <c r="AH497" s="1"/>
      <c r="AI497" s="1"/>
      <c r="AJ497" s="1"/>
    </row>
    <row r="498" spans="1:36" ht="13.5" customHeight="1">
      <c r="A498" s="259"/>
      <c r="B498" s="15" t="str">
        <f>TB!B534</f>
        <v>SP032AB</v>
      </c>
      <c r="C498" s="288" t="str">
        <f>TB!C534</f>
        <v>Glenlivet Founders Reserve</v>
      </c>
      <c r="D498" s="257">
        <f>SUMIF(GL!$D$5:$D$6446,B498,GL!$G$5:$G$6446)</f>
        <v>3</v>
      </c>
      <c r="E498" s="258">
        <f>SUMIF(GL!$D$6:$D$6484,B498,GL!$H$6:$H$6484)</f>
        <v>1725000</v>
      </c>
      <c r="F498" s="258">
        <f>SUMIF(GL!$D$6:$D$6484,B498,GL!$I$6:$I$6484)</f>
        <v>0</v>
      </c>
      <c r="G498" s="258">
        <f t="shared" si="88"/>
        <v>1725000</v>
      </c>
      <c r="H498" s="258">
        <f t="shared" si="89"/>
        <v>0</v>
      </c>
      <c r="I498" s="250">
        <v>5</v>
      </c>
      <c r="J498" s="251">
        <v>575000</v>
      </c>
      <c r="K498" s="252">
        <v>2875000</v>
      </c>
      <c r="L498" s="253">
        <f t="shared" si="145"/>
        <v>8</v>
      </c>
      <c r="M498" s="128">
        <f t="shared" si="146"/>
        <v>575000</v>
      </c>
      <c r="N498" s="128">
        <f t="shared" si="84"/>
        <v>4600000</v>
      </c>
      <c r="O498" s="254">
        <v>6</v>
      </c>
      <c r="P498" s="128">
        <f t="shared" si="134"/>
        <v>575000</v>
      </c>
      <c r="Q498" s="18">
        <f t="shared" si="86"/>
        <v>3450000</v>
      </c>
      <c r="R498" s="255">
        <f t="shared" si="87"/>
        <v>1150000</v>
      </c>
      <c r="S498" s="1"/>
      <c r="T498" s="1">
        <f t="shared" si="131"/>
        <v>0</v>
      </c>
      <c r="U498" s="1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1"/>
      <c r="AG498" s="1"/>
      <c r="AH498" s="1"/>
      <c r="AI498" s="1"/>
      <c r="AJ498" s="1"/>
    </row>
    <row r="499" spans="1:36" ht="13.5" customHeight="1">
      <c r="A499" s="259"/>
      <c r="B499" s="15" t="str">
        <f>TB!B535</f>
        <v>SP032AC</v>
      </c>
      <c r="C499" s="288" t="str">
        <f>TB!C535</f>
        <v>Glenvilet 12 Yo</v>
      </c>
      <c r="D499" s="257">
        <f>SUMIF(GL!$D$5:$D$6446,B499,GL!$G$5:$G$6446)</f>
        <v>0</v>
      </c>
      <c r="E499" s="258">
        <f>SUMIF(GL!$D$6:$D$6484,B499,GL!$H$6:$H$6484)</f>
        <v>0</v>
      </c>
      <c r="F499" s="258">
        <f>SUMIF(GL!$D$6:$D$6484,B499,GL!$I$6:$I$6484)</f>
        <v>0</v>
      </c>
      <c r="G499" s="258">
        <f t="shared" si="88"/>
        <v>0</v>
      </c>
      <c r="H499" s="258">
        <f t="shared" si="89"/>
        <v>0</v>
      </c>
      <c r="I499" s="250">
        <v>2</v>
      </c>
      <c r="J499" s="251">
        <v>700000</v>
      </c>
      <c r="K499" s="252">
        <v>1400000</v>
      </c>
      <c r="L499" s="253">
        <f t="shared" si="145"/>
        <v>2</v>
      </c>
      <c r="M499" s="128">
        <f t="shared" si="146"/>
        <v>700000</v>
      </c>
      <c r="N499" s="128">
        <f t="shared" si="84"/>
        <v>1400000</v>
      </c>
      <c r="O499" s="254">
        <v>2</v>
      </c>
      <c r="P499" s="128">
        <f t="shared" si="134"/>
        <v>700000</v>
      </c>
      <c r="Q499" s="18">
        <f t="shared" si="86"/>
        <v>1400000</v>
      </c>
      <c r="R499" s="255">
        <f t="shared" si="87"/>
        <v>0</v>
      </c>
      <c r="S499" s="1"/>
      <c r="T499" s="1">
        <f t="shared" si="131"/>
        <v>0</v>
      </c>
      <c r="U499" s="1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1"/>
      <c r="AG499" s="1"/>
      <c r="AH499" s="1"/>
      <c r="AI499" s="1"/>
      <c r="AJ499" s="1"/>
    </row>
    <row r="500" spans="1:36" ht="13.5" customHeight="1">
      <c r="A500" s="259"/>
      <c r="B500" s="15" t="str">
        <f>TB!B536</f>
        <v>SP029A</v>
      </c>
      <c r="C500" s="288" t="str">
        <f>TB!C536</f>
        <v>Chivas Xv 15Yo</v>
      </c>
      <c r="D500" s="257">
        <f>SUMIF(GL!$D$5:$D$6446,B500,GL!$G$5:$G$6446)</f>
        <v>0</v>
      </c>
      <c r="E500" s="258">
        <f>SUMIF(GL!$D$6:$D$6484,B500,GL!$H$6:$H$6484)</f>
        <v>0</v>
      </c>
      <c r="F500" s="258">
        <f>SUMIF(GL!$D$6:$D$6484,B500,GL!$I$6:$I$6484)</f>
        <v>0</v>
      </c>
      <c r="G500" s="258">
        <f t="shared" si="88"/>
        <v>0</v>
      </c>
      <c r="H500" s="258">
        <f t="shared" si="89"/>
        <v>0</v>
      </c>
      <c r="I500" s="250">
        <v>2</v>
      </c>
      <c r="J500" s="251">
        <v>800000</v>
      </c>
      <c r="K500" s="252">
        <v>1600000</v>
      </c>
      <c r="L500" s="253">
        <f t="shared" si="145"/>
        <v>2</v>
      </c>
      <c r="M500" s="128">
        <f t="shared" si="146"/>
        <v>800000</v>
      </c>
      <c r="N500" s="128">
        <f t="shared" si="84"/>
        <v>1600000</v>
      </c>
      <c r="O500" s="254">
        <v>2</v>
      </c>
      <c r="P500" s="128">
        <f t="shared" si="134"/>
        <v>800000</v>
      </c>
      <c r="Q500" s="18">
        <f t="shared" si="86"/>
        <v>1600000</v>
      </c>
      <c r="R500" s="255">
        <f t="shared" si="87"/>
        <v>0</v>
      </c>
      <c r="S500" s="1"/>
      <c r="T500" s="1">
        <f t="shared" si="131"/>
        <v>0</v>
      </c>
      <c r="U500" s="1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1"/>
      <c r="AG500" s="1"/>
      <c r="AH500" s="1"/>
      <c r="AI500" s="1"/>
      <c r="AJ500" s="1"/>
    </row>
    <row r="501" spans="1:36" ht="13.5" customHeight="1">
      <c r="A501" s="259"/>
      <c r="B501" s="15" t="str">
        <f>TB!B537</f>
        <v>SP029B</v>
      </c>
      <c r="C501" s="288" t="str">
        <f>TB!C537</f>
        <v>Chivas 18 Yo</v>
      </c>
      <c r="D501" s="257">
        <f>SUMIF(GL!$D$5:$D$6446,B501,GL!$G$5:$G$6446)</f>
        <v>0</v>
      </c>
      <c r="E501" s="258">
        <f>SUMIF(GL!$D$6:$D$6484,B501,GL!$H$6:$H$6484)</f>
        <v>0</v>
      </c>
      <c r="F501" s="258">
        <f>SUMIF(GL!$D$6:$D$6484,B501,GL!$I$6:$I$6484)</f>
        <v>0</v>
      </c>
      <c r="G501" s="258">
        <f t="shared" si="88"/>
        <v>0</v>
      </c>
      <c r="H501" s="258">
        <f t="shared" si="89"/>
        <v>0</v>
      </c>
      <c r="I501" s="250"/>
      <c r="J501" s="251"/>
      <c r="K501" s="252"/>
      <c r="L501" s="253"/>
      <c r="M501" s="128"/>
      <c r="N501" s="128">
        <f t="shared" si="84"/>
        <v>0</v>
      </c>
      <c r="O501" s="254"/>
      <c r="P501" s="128">
        <f t="shared" si="134"/>
        <v>0</v>
      </c>
      <c r="Q501" s="18">
        <f t="shared" si="86"/>
        <v>0</v>
      </c>
      <c r="R501" s="255">
        <f t="shared" si="87"/>
        <v>0</v>
      </c>
      <c r="S501" s="1"/>
      <c r="T501" s="1">
        <f t="shared" si="131"/>
        <v>0</v>
      </c>
      <c r="U501" s="1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1"/>
      <c r="AG501" s="1"/>
      <c r="AH501" s="1"/>
      <c r="AI501" s="1"/>
      <c r="AJ501" s="1"/>
    </row>
    <row r="502" spans="1:36" ht="13.5" customHeight="1">
      <c r="A502" s="259"/>
      <c r="B502" s="15">
        <f>TB!B538</f>
        <v>0</v>
      </c>
      <c r="C502" s="288">
        <f>TB!C538</f>
        <v>0</v>
      </c>
      <c r="D502" s="257">
        <f>SUMIF(GL!$D$5:$D$6446,B502,GL!$G$5:$G$6446)</f>
        <v>0</v>
      </c>
      <c r="E502" s="258">
        <f>SUMIF(GL!$D$6:$D$6484,B502,GL!$H$6:$H$6484)</f>
        <v>0</v>
      </c>
      <c r="F502" s="258">
        <f>SUMIF(GL!$D$6:$D$6484,B502,GL!$I$6:$I$6484)</f>
        <v>0</v>
      </c>
      <c r="G502" s="258">
        <f t="shared" si="88"/>
        <v>0</v>
      </c>
      <c r="H502" s="258">
        <f t="shared" si="89"/>
        <v>0</v>
      </c>
      <c r="I502" s="250"/>
      <c r="J502" s="251"/>
      <c r="K502" s="252"/>
      <c r="L502" s="253"/>
      <c r="M502" s="128"/>
      <c r="N502" s="128">
        <f t="shared" si="84"/>
        <v>0</v>
      </c>
      <c r="O502" s="254"/>
      <c r="P502" s="128">
        <f t="shared" si="134"/>
        <v>0</v>
      </c>
      <c r="Q502" s="18">
        <f t="shared" si="86"/>
        <v>0</v>
      </c>
      <c r="R502" s="255">
        <f t="shared" si="87"/>
        <v>0</v>
      </c>
      <c r="S502" s="1"/>
      <c r="T502" s="1">
        <f t="shared" si="131"/>
        <v>0</v>
      </c>
      <c r="U502" s="1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1"/>
      <c r="AG502" s="1"/>
      <c r="AH502" s="1"/>
      <c r="AI502" s="1"/>
      <c r="AJ502" s="1"/>
    </row>
    <row r="503" spans="1:36" ht="13.5" customHeight="1">
      <c r="A503" s="259"/>
      <c r="B503" s="174"/>
      <c r="C503" s="295" t="s">
        <v>2630</v>
      </c>
      <c r="D503" s="257">
        <f>SUMIF(GL!$D$5:$D$6446,B503,GL!$G$5:$G$6446)</f>
        <v>0</v>
      </c>
      <c r="E503" s="258">
        <f>SUMIF(GL!$D$6:$D$6484,B503,GL!$H$6:$H$6484)</f>
        <v>0</v>
      </c>
      <c r="F503" s="258">
        <f>SUMIF(GL!$D$6:$D$6484,B503,GL!$I$6:$I$6484)</f>
        <v>0</v>
      </c>
      <c r="G503" s="258">
        <f t="shared" si="88"/>
        <v>0</v>
      </c>
      <c r="H503" s="258">
        <f t="shared" si="89"/>
        <v>0</v>
      </c>
      <c r="I503" s="250"/>
      <c r="J503" s="251"/>
      <c r="K503" s="252"/>
      <c r="L503" s="253"/>
      <c r="M503" s="128"/>
      <c r="N503" s="128">
        <f t="shared" si="84"/>
        <v>0</v>
      </c>
      <c r="O503" s="254"/>
      <c r="P503" s="128">
        <f t="shared" si="134"/>
        <v>0</v>
      </c>
      <c r="Q503" s="18">
        <f t="shared" si="86"/>
        <v>0</v>
      </c>
      <c r="R503" s="255">
        <f t="shared" si="87"/>
        <v>0</v>
      </c>
      <c r="S503" s="1"/>
      <c r="T503" s="1">
        <f t="shared" si="131"/>
        <v>0</v>
      </c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1"/>
      <c r="AG503" s="1"/>
      <c r="AH503" s="1"/>
      <c r="AI503" s="1"/>
      <c r="AJ503" s="1"/>
    </row>
    <row r="504" spans="1:36" ht="13.5" customHeight="1">
      <c r="A504" s="259"/>
      <c r="B504" s="174"/>
      <c r="C504" s="261" t="s">
        <v>3837</v>
      </c>
      <c r="D504" s="257">
        <f>SUMIF(GL!$D$5:$D$6446,B504,GL!$G$5:$G$6446)</f>
        <v>0</v>
      </c>
      <c r="E504" s="258">
        <f>SUMIF(GL!$D$6:$D$6484,B504,GL!$H$6:$H$6484)</f>
        <v>0</v>
      </c>
      <c r="F504" s="258">
        <f>SUMIF(GL!$D$6:$D$6484,B504,GL!$I$6:$I$6484)</f>
        <v>0</v>
      </c>
      <c r="G504" s="258">
        <f t="shared" si="88"/>
        <v>0</v>
      </c>
      <c r="H504" s="258">
        <f t="shared" si="89"/>
        <v>0</v>
      </c>
      <c r="I504" s="250"/>
      <c r="J504" s="251"/>
      <c r="K504" s="252"/>
      <c r="L504" s="253"/>
      <c r="M504" s="128"/>
      <c r="N504" s="128">
        <f t="shared" si="84"/>
        <v>0</v>
      </c>
      <c r="O504" s="254"/>
      <c r="P504" s="128">
        <f t="shared" si="134"/>
        <v>0</v>
      </c>
      <c r="Q504" s="18">
        <f t="shared" si="86"/>
        <v>0</v>
      </c>
      <c r="R504" s="255">
        <f t="shared" si="87"/>
        <v>0</v>
      </c>
      <c r="S504" s="1"/>
      <c r="T504" s="1">
        <f t="shared" si="131"/>
        <v>0</v>
      </c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1"/>
      <c r="AG504" s="1"/>
      <c r="AH504" s="1"/>
      <c r="AI504" s="1"/>
      <c r="AJ504" s="1"/>
    </row>
    <row r="505" spans="1:36" ht="13.5" customHeight="1">
      <c r="A505" s="259"/>
      <c r="B505" s="15" t="str">
        <f>TB!B541</f>
        <v>SP039</v>
      </c>
      <c r="C505" s="288" t="str">
        <f>TB!C541</f>
        <v>Espolon Reposado</v>
      </c>
      <c r="D505" s="257">
        <f>SUMIF(GL!$D$5:$D$6446,B505,GL!$G$5:$G$6446)</f>
        <v>0</v>
      </c>
      <c r="E505" s="258">
        <f>SUMIF(GL!$D$6:$D$6484,B505,GL!$H$6:$H$6484)</f>
        <v>0</v>
      </c>
      <c r="F505" s="258">
        <f>SUMIF(GL!$D$6:$D$6484,B505,GL!$I$6:$I$6484)</f>
        <v>0</v>
      </c>
      <c r="G505" s="258">
        <f t="shared" si="88"/>
        <v>0</v>
      </c>
      <c r="H505" s="258">
        <f t="shared" si="89"/>
        <v>0</v>
      </c>
      <c r="I505" s="250"/>
      <c r="J505" s="251"/>
      <c r="K505" s="252"/>
      <c r="L505" s="253"/>
      <c r="M505" s="128"/>
      <c r="N505" s="128">
        <f t="shared" si="84"/>
        <v>0</v>
      </c>
      <c r="O505" s="254"/>
      <c r="P505" s="128">
        <f t="shared" si="134"/>
        <v>0</v>
      </c>
      <c r="Q505" s="18">
        <f t="shared" si="86"/>
        <v>0</v>
      </c>
      <c r="R505" s="255">
        <f t="shared" si="87"/>
        <v>0</v>
      </c>
      <c r="S505" s="1"/>
      <c r="T505" s="1">
        <f t="shared" si="131"/>
        <v>0</v>
      </c>
      <c r="U505" s="1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1"/>
      <c r="AG505" s="1"/>
      <c r="AH505" s="1"/>
      <c r="AI505" s="1"/>
      <c r="AJ505" s="1"/>
    </row>
    <row r="506" spans="1:36" ht="13.5" customHeight="1">
      <c r="A506" s="259"/>
      <c r="B506" s="15" t="str">
        <f>TB!B542</f>
        <v>SP040</v>
      </c>
      <c r="C506" s="288" t="str">
        <f>TB!C542</f>
        <v>Espolon Silver</v>
      </c>
      <c r="D506" s="257">
        <f>SUMIF(GL!$D$5:$D$6446,B506,GL!$G$5:$G$6446)</f>
        <v>0</v>
      </c>
      <c r="E506" s="258">
        <f>SUMIF(GL!$D$6:$D$6484,B506,GL!$H$6:$H$6484)</f>
        <v>0</v>
      </c>
      <c r="F506" s="258">
        <f>SUMIF(GL!$D$6:$D$6484,B506,GL!$I$6:$I$6484)</f>
        <v>0</v>
      </c>
      <c r="G506" s="258">
        <f t="shared" si="88"/>
        <v>0</v>
      </c>
      <c r="H506" s="258">
        <f t="shared" si="89"/>
        <v>0</v>
      </c>
      <c r="I506" s="250"/>
      <c r="J506" s="251"/>
      <c r="K506" s="252"/>
      <c r="L506" s="253"/>
      <c r="M506" s="128"/>
      <c r="N506" s="128">
        <f t="shared" si="84"/>
        <v>0</v>
      </c>
      <c r="O506" s="254"/>
      <c r="P506" s="128">
        <f t="shared" si="134"/>
        <v>0</v>
      </c>
      <c r="Q506" s="18">
        <f t="shared" si="86"/>
        <v>0</v>
      </c>
      <c r="R506" s="255">
        <f t="shared" si="87"/>
        <v>0</v>
      </c>
      <c r="S506" s="1"/>
      <c r="T506" s="1">
        <f t="shared" si="131"/>
        <v>0</v>
      </c>
      <c r="U506" s="1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1"/>
      <c r="AG506" s="1"/>
      <c r="AH506" s="1"/>
      <c r="AI506" s="1"/>
      <c r="AJ506" s="1"/>
    </row>
    <row r="507" spans="1:36" ht="13.5" customHeight="1">
      <c r="A507" s="259"/>
      <c r="B507" s="15" t="str">
        <f>TB!B543</f>
        <v>SP041</v>
      </c>
      <c r="C507" s="288" t="str">
        <f>TB!C543</f>
        <v>Tequila Jose Cuervo Repo</v>
      </c>
      <c r="D507" s="257">
        <f>SUMIF(GL!$D$5:$D$6446,B507,GL!$G$5:$G$6446)</f>
        <v>0</v>
      </c>
      <c r="E507" s="258">
        <f>SUMIF(GL!$D$6:$D$6484,B507,GL!$H$6:$H$6484)</f>
        <v>0</v>
      </c>
      <c r="F507" s="258">
        <f>SUMIF(GL!$D$6:$D$6484,B507,GL!$I$6:$I$6484)</f>
        <v>0</v>
      </c>
      <c r="G507" s="258">
        <f t="shared" si="88"/>
        <v>0</v>
      </c>
      <c r="H507" s="258">
        <f t="shared" si="89"/>
        <v>0</v>
      </c>
      <c r="I507" s="250"/>
      <c r="J507" s="251"/>
      <c r="K507" s="252"/>
      <c r="L507" s="253"/>
      <c r="M507" s="128"/>
      <c r="N507" s="128">
        <f t="shared" si="84"/>
        <v>0</v>
      </c>
      <c r="O507" s="254"/>
      <c r="P507" s="128">
        <f t="shared" si="134"/>
        <v>0</v>
      </c>
      <c r="Q507" s="18">
        <f t="shared" si="86"/>
        <v>0</v>
      </c>
      <c r="R507" s="255">
        <f t="shared" si="87"/>
        <v>0</v>
      </c>
      <c r="S507" s="1"/>
      <c r="T507" s="1">
        <f t="shared" si="131"/>
        <v>0</v>
      </c>
      <c r="U507" s="1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1"/>
      <c r="AG507" s="1"/>
      <c r="AH507" s="1"/>
      <c r="AI507" s="1"/>
      <c r="AJ507" s="1"/>
    </row>
    <row r="508" spans="1:36" ht="13.5" customHeight="1">
      <c r="A508" s="259"/>
      <c r="B508" s="15" t="str">
        <f>TB!B544</f>
        <v>SP042</v>
      </c>
      <c r="C508" s="288" t="str">
        <f>TB!C544</f>
        <v>Siera Reposado</v>
      </c>
      <c r="D508" s="257">
        <f>SUMIF(GL!$D$5:$D$6446,B508,GL!$G$5:$G$6446)</f>
        <v>0</v>
      </c>
      <c r="E508" s="258">
        <f>SUMIF(GL!$D$6:$D$6484,B508,GL!$H$6:$H$6484)</f>
        <v>0</v>
      </c>
      <c r="F508" s="258">
        <f>SUMIF(GL!$D$6:$D$6484,B508,GL!$I$6:$I$6484)</f>
        <v>0</v>
      </c>
      <c r="G508" s="258">
        <f t="shared" si="88"/>
        <v>0</v>
      </c>
      <c r="H508" s="258">
        <f t="shared" si="89"/>
        <v>0</v>
      </c>
      <c r="I508" s="250"/>
      <c r="J508" s="251"/>
      <c r="K508" s="252"/>
      <c r="L508" s="253"/>
      <c r="M508" s="128"/>
      <c r="N508" s="128">
        <f t="shared" si="84"/>
        <v>0</v>
      </c>
      <c r="O508" s="254"/>
      <c r="P508" s="128">
        <f t="shared" si="134"/>
        <v>0</v>
      </c>
      <c r="Q508" s="18">
        <f t="shared" si="86"/>
        <v>0</v>
      </c>
      <c r="R508" s="255">
        <f t="shared" si="87"/>
        <v>0</v>
      </c>
      <c r="S508" s="1"/>
      <c r="T508" s="1">
        <f t="shared" si="131"/>
        <v>0</v>
      </c>
      <c r="U508" s="1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1"/>
      <c r="AG508" s="1"/>
      <c r="AH508" s="1"/>
      <c r="AI508" s="1"/>
      <c r="AJ508" s="1"/>
    </row>
    <row r="509" spans="1:36" ht="13.5" customHeight="1">
      <c r="A509" s="259"/>
      <c r="B509" s="15" t="str">
        <f>TB!B545</f>
        <v>SP043</v>
      </c>
      <c r="C509" s="288" t="str">
        <f>TB!C545</f>
        <v>Eljimador Reposdao</v>
      </c>
      <c r="D509" s="257">
        <f>SUMIF(GL!$D$5:$D$6446,B509,GL!$G$5:$G$6446)</f>
        <v>0</v>
      </c>
      <c r="E509" s="258">
        <f>SUMIF(GL!$D$6:$D$6484,B509,GL!$H$6:$H$6484)</f>
        <v>0</v>
      </c>
      <c r="F509" s="258">
        <f>SUMIF(GL!$D$6:$D$6484,B509,GL!$I$6:$I$6484)</f>
        <v>0</v>
      </c>
      <c r="G509" s="258">
        <f t="shared" si="88"/>
        <v>0</v>
      </c>
      <c r="H509" s="258">
        <f t="shared" si="89"/>
        <v>0</v>
      </c>
      <c r="I509" s="250">
        <v>4</v>
      </c>
      <c r="J509" s="251">
        <v>510000</v>
      </c>
      <c r="K509" s="252">
        <v>2040000</v>
      </c>
      <c r="L509" s="253">
        <f>D509+I509</f>
        <v>4</v>
      </c>
      <c r="M509" s="128">
        <f>(G509+K509)/L509</f>
        <v>510000</v>
      </c>
      <c r="N509" s="128">
        <f t="shared" si="84"/>
        <v>2040000</v>
      </c>
      <c r="O509" s="254">
        <v>4</v>
      </c>
      <c r="P509" s="128">
        <f t="shared" si="134"/>
        <v>510000</v>
      </c>
      <c r="Q509" s="18">
        <f t="shared" si="86"/>
        <v>2040000</v>
      </c>
      <c r="R509" s="255">
        <f t="shared" si="87"/>
        <v>0</v>
      </c>
      <c r="S509" s="1"/>
      <c r="T509" s="1">
        <f t="shared" si="131"/>
        <v>0</v>
      </c>
      <c r="U509" s="1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1"/>
      <c r="AG509" s="1"/>
      <c r="AH509" s="1"/>
      <c r="AI509" s="1"/>
      <c r="AJ509" s="1"/>
    </row>
    <row r="510" spans="1:36" ht="13.5" customHeight="1">
      <c r="A510" s="259"/>
      <c r="B510" s="15" t="str">
        <f>TB!B546</f>
        <v>SP044</v>
      </c>
      <c r="C510" s="288" t="str">
        <f>TB!C546</f>
        <v>Camino Gold 750Ml</v>
      </c>
      <c r="D510" s="257">
        <f>SUMIF(GL!$D$5:$D$6446,B510,GL!$G$5:$G$6446)</f>
        <v>0</v>
      </c>
      <c r="E510" s="258">
        <f>SUMIF(GL!$D$6:$D$6484,B510,GL!$H$6:$H$6484)</f>
        <v>0</v>
      </c>
      <c r="F510" s="258">
        <f>SUMIF(GL!$D$6:$D$6484,B510,GL!$I$6:$I$6484)</f>
        <v>0</v>
      </c>
      <c r="G510" s="258">
        <f t="shared" si="88"/>
        <v>0</v>
      </c>
      <c r="H510" s="258">
        <f t="shared" si="89"/>
        <v>0</v>
      </c>
      <c r="I510" s="250"/>
      <c r="J510" s="251"/>
      <c r="K510" s="252"/>
      <c r="L510" s="253"/>
      <c r="M510" s="128"/>
      <c r="N510" s="128">
        <f t="shared" si="84"/>
        <v>0</v>
      </c>
      <c r="O510" s="254"/>
      <c r="P510" s="128">
        <f t="shared" si="134"/>
        <v>0</v>
      </c>
      <c r="Q510" s="18">
        <f t="shared" si="86"/>
        <v>0</v>
      </c>
      <c r="R510" s="255">
        <f t="shared" si="87"/>
        <v>0</v>
      </c>
      <c r="S510" s="1"/>
      <c r="T510" s="1">
        <f t="shared" si="131"/>
        <v>0</v>
      </c>
      <c r="U510" s="1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1"/>
      <c r="AG510" s="1"/>
      <c r="AH510" s="1"/>
      <c r="AI510" s="1"/>
      <c r="AJ510" s="1"/>
    </row>
    <row r="511" spans="1:36" ht="13.5" customHeight="1">
      <c r="A511" s="259"/>
      <c r="B511" s="15" t="str">
        <f>TB!B547</f>
        <v>SP045</v>
      </c>
      <c r="C511" s="288" t="str">
        <f>TB!C547</f>
        <v>Patron Silver</v>
      </c>
      <c r="D511" s="257">
        <f>SUMIF(GL!$D$5:$D$6446,B511,GL!$G$5:$G$6446)</f>
        <v>0</v>
      </c>
      <c r="E511" s="258">
        <f>SUMIF(GL!$D$6:$D$6484,B511,GL!$H$6:$H$6484)</f>
        <v>0</v>
      </c>
      <c r="F511" s="258">
        <f>SUMIF(GL!$D$6:$D$6484,B511,GL!$I$6:$I$6484)</f>
        <v>0</v>
      </c>
      <c r="G511" s="258">
        <f t="shared" si="88"/>
        <v>0</v>
      </c>
      <c r="H511" s="258">
        <f t="shared" si="89"/>
        <v>0</v>
      </c>
      <c r="I511" s="250"/>
      <c r="J511" s="251"/>
      <c r="K511" s="252"/>
      <c r="L511" s="253"/>
      <c r="M511" s="128"/>
      <c r="N511" s="128">
        <f t="shared" si="84"/>
        <v>0</v>
      </c>
      <c r="O511" s="254"/>
      <c r="P511" s="128">
        <f t="shared" si="134"/>
        <v>0</v>
      </c>
      <c r="Q511" s="18">
        <f t="shared" si="86"/>
        <v>0</v>
      </c>
      <c r="R511" s="255">
        <f t="shared" si="87"/>
        <v>0</v>
      </c>
      <c r="S511" s="1"/>
      <c r="T511" s="1">
        <f t="shared" si="131"/>
        <v>0</v>
      </c>
      <c r="U511" s="1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1"/>
      <c r="AG511" s="1"/>
      <c r="AH511" s="1"/>
      <c r="AI511" s="1"/>
      <c r="AJ511" s="1"/>
    </row>
    <row r="512" spans="1:36" ht="13.5" customHeight="1">
      <c r="A512" s="259"/>
      <c r="B512" s="15" t="str">
        <f>TB!B548</f>
        <v>SP046</v>
      </c>
      <c r="C512" s="288" t="str">
        <f>TB!C548</f>
        <v>Reposado 1800</v>
      </c>
      <c r="D512" s="257">
        <f>SUMIF(GL!$D$5:$D$6446,B512,GL!$G$5:$G$6446)</f>
        <v>12</v>
      </c>
      <c r="E512" s="258">
        <f>SUMIF(GL!$D$6:$D$6484,B512,GL!$H$6:$H$6484)</f>
        <v>6612000</v>
      </c>
      <c r="F512" s="258">
        <f>SUMIF(GL!$D$6:$D$6484,B512,GL!$I$6:$I$6484)</f>
        <v>0</v>
      </c>
      <c r="G512" s="258">
        <f t="shared" si="88"/>
        <v>6612000</v>
      </c>
      <c r="H512" s="258">
        <f t="shared" si="89"/>
        <v>0</v>
      </c>
      <c r="I512" s="250">
        <v>6.8</v>
      </c>
      <c r="J512" s="251">
        <v>651117</v>
      </c>
      <c r="K512" s="252">
        <v>4427597</v>
      </c>
      <c r="L512" s="253">
        <f t="shared" ref="L512:L513" si="147">D512+I512</f>
        <v>18.8</v>
      </c>
      <c r="M512" s="128">
        <f t="shared" ref="M512:M513" si="148">(G512+K512)/L512</f>
        <v>587212.60638297873</v>
      </c>
      <c r="N512" s="128">
        <f t="shared" si="84"/>
        <v>11039597</v>
      </c>
      <c r="O512" s="254">
        <v>14.1</v>
      </c>
      <c r="P512" s="128">
        <f t="shared" si="134"/>
        <v>587212.60638297873</v>
      </c>
      <c r="Q512" s="18">
        <f t="shared" si="86"/>
        <v>8279697.75</v>
      </c>
      <c r="R512" s="255">
        <f t="shared" si="87"/>
        <v>2759899.25</v>
      </c>
      <c r="S512" s="1"/>
      <c r="T512" s="1">
        <f t="shared" si="131"/>
        <v>63904.393617021269</v>
      </c>
      <c r="U512" s="1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1"/>
      <c r="AG512" s="1"/>
      <c r="AH512" s="1"/>
      <c r="AI512" s="1"/>
      <c r="AJ512" s="1"/>
    </row>
    <row r="513" spans="1:36" ht="13.5" customHeight="1">
      <c r="A513" s="259"/>
      <c r="B513" s="15" t="str">
        <f>TB!B549</f>
        <v>SP047</v>
      </c>
      <c r="C513" s="288" t="str">
        <f>TB!C549</f>
        <v>Silver 1800</v>
      </c>
      <c r="D513" s="257">
        <f>SUMIF(GL!$D$5:$D$6446,B513,GL!$G$5:$G$6446)</f>
        <v>3</v>
      </c>
      <c r="E513" s="258">
        <f>SUMIF(GL!$D$6:$D$6484,B513,GL!$H$6:$H$6484)</f>
        <v>1635000</v>
      </c>
      <c r="F513" s="258">
        <f>SUMIF(GL!$D$6:$D$6484,B513,GL!$I$6:$I$6484)</f>
        <v>0</v>
      </c>
      <c r="G513" s="258">
        <f t="shared" si="88"/>
        <v>1635000</v>
      </c>
      <c r="H513" s="258">
        <f t="shared" si="89"/>
        <v>0</v>
      </c>
      <c r="I513" s="250">
        <v>2.8</v>
      </c>
      <c r="J513" s="251">
        <v>549362</v>
      </c>
      <c r="K513" s="252">
        <v>1538212</v>
      </c>
      <c r="L513" s="253">
        <f t="shared" si="147"/>
        <v>5.8</v>
      </c>
      <c r="M513" s="128">
        <f t="shared" si="148"/>
        <v>547105.51724137936</v>
      </c>
      <c r="N513" s="128">
        <f t="shared" si="84"/>
        <v>3173212</v>
      </c>
      <c r="O513" s="254">
        <v>5.5</v>
      </c>
      <c r="P513" s="128">
        <f t="shared" si="134"/>
        <v>547105.51724137936</v>
      </c>
      <c r="Q513" s="18">
        <f t="shared" si="86"/>
        <v>3009080.3448275863</v>
      </c>
      <c r="R513" s="255">
        <f t="shared" si="87"/>
        <v>164131.65517241368</v>
      </c>
      <c r="S513" s="1"/>
      <c r="T513" s="1">
        <f t="shared" si="131"/>
        <v>2256.4827586206375</v>
      </c>
      <c r="U513" s="1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1"/>
      <c r="AG513" s="1"/>
      <c r="AH513" s="1"/>
      <c r="AI513" s="1"/>
      <c r="AJ513" s="1"/>
    </row>
    <row r="514" spans="1:36" ht="13.5" customHeight="1">
      <c r="A514" s="259"/>
      <c r="B514" s="15" t="str">
        <f>TB!B550</f>
        <v>SP048</v>
      </c>
      <c r="C514" s="288" t="str">
        <f>TB!C550</f>
        <v>Pepe Lopez</v>
      </c>
      <c r="D514" s="257">
        <f>SUMIF(GL!$D$5:$D$6446,B514,GL!$G$5:$G$6446)</f>
        <v>0</v>
      </c>
      <c r="E514" s="258">
        <f>SUMIF(GL!$D$6:$D$6484,B514,GL!$H$6:$H$6484)</f>
        <v>0</v>
      </c>
      <c r="F514" s="258">
        <f>SUMIF(GL!$D$6:$D$6484,B514,GL!$I$6:$I$6484)</f>
        <v>0</v>
      </c>
      <c r="G514" s="258">
        <f t="shared" si="88"/>
        <v>0</v>
      </c>
      <c r="H514" s="258">
        <f t="shared" si="89"/>
        <v>0</v>
      </c>
      <c r="I514" s="250"/>
      <c r="J514" s="251"/>
      <c r="K514" s="252"/>
      <c r="L514" s="253"/>
      <c r="M514" s="128"/>
      <c r="N514" s="128">
        <f t="shared" si="84"/>
        <v>0</v>
      </c>
      <c r="O514" s="254"/>
      <c r="P514" s="128">
        <f t="shared" si="134"/>
        <v>0</v>
      </c>
      <c r="Q514" s="18">
        <f t="shared" si="86"/>
        <v>0</v>
      </c>
      <c r="R514" s="255">
        <f t="shared" si="87"/>
        <v>0</v>
      </c>
      <c r="S514" s="1"/>
      <c r="T514" s="1">
        <f t="shared" si="131"/>
        <v>0</v>
      </c>
      <c r="U514" s="1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1"/>
      <c r="AG514" s="1"/>
      <c r="AH514" s="1"/>
      <c r="AI514" s="1"/>
      <c r="AJ514" s="1"/>
    </row>
    <row r="515" spans="1:36" ht="13.5" customHeight="1">
      <c r="A515" s="284"/>
      <c r="B515" s="15" t="str">
        <f>TB!B551</f>
        <v>SP049</v>
      </c>
      <c r="C515" s="288" t="str">
        <f>TB!C551</f>
        <v>Don Julio Anejo</v>
      </c>
      <c r="D515" s="257">
        <f>SUMIF(GL!$D$5:$D$6446,B515,GL!$G$5:$G$6446)</f>
        <v>0</v>
      </c>
      <c r="E515" s="258">
        <f>SUMIF(GL!$D$6:$D$6484,B515,GL!$H$6:$H$6484)</f>
        <v>0</v>
      </c>
      <c r="F515" s="258">
        <f>SUMIF(GL!$D$6:$D$6484,B515,GL!$I$6:$I$6484)</f>
        <v>0</v>
      </c>
      <c r="G515" s="258">
        <f t="shared" si="88"/>
        <v>0</v>
      </c>
      <c r="H515" s="258">
        <f t="shared" si="89"/>
        <v>0</v>
      </c>
      <c r="I515" s="250"/>
      <c r="J515" s="251">
        <v>1090000</v>
      </c>
      <c r="K515" s="252"/>
      <c r="L515" s="253"/>
      <c r="M515" s="128"/>
      <c r="N515" s="128">
        <f t="shared" si="84"/>
        <v>0</v>
      </c>
      <c r="O515" s="254"/>
      <c r="P515" s="128">
        <f t="shared" si="134"/>
        <v>0</v>
      </c>
      <c r="Q515" s="18">
        <f t="shared" si="86"/>
        <v>0</v>
      </c>
      <c r="R515" s="255">
        <f t="shared" si="87"/>
        <v>0</v>
      </c>
      <c r="S515" s="1"/>
      <c r="T515" s="1">
        <f t="shared" si="131"/>
        <v>1090000</v>
      </c>
      <c r="U515" s="1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1"/>
      <c r="AG515" s="1"/>
      <c r="AH515" s="1"/>
      <c r="AI515" s="1"/>
      <c r="AJ515" s="1"/>
    </row>
    <row r="516" spans="1:36" ht="13.5" customHeight="1">
      <c r="A516" s="259"/>
      <c r="B516" s="15" t="str">
        <f>TB!B552</f>
        <v>SP050</v>
      </c>
      <c r="C516" s="288" t="str">
        <f>TB!C552</f>
        <v>Vulcan De Mi Xa</v>
      </c>
      <c r="D516" s="257">
        <f>SUMIF(GL!$D$5:$D$6446,B516,GL!$G$5:$G$6446)</f>
        <v>0</v>
      </c>
      <c r="E516" s="258">
        <f>SUMIF(GL!$D$6:$D$6484,B516,GL!$H$6:$H$6484)</f>
        <v>0</v>
      </c>
      <c r="F516" s="258">
        <f>SUMIF(GL!$D$6:$D$6484,B516,GL!$I$6:$I$6484)</f>
        <v>0</v>
      </c>
      <c r="G516" s="258">
        <f t="shared" si="88"/>
        <v>0</v>
      </c>
      <c r="H516" s="258">
        <f t="shared" si="89"/>
        <v>0</v>
      </c>
      <c r="I516" s="250"/>
      <c r="J516" s="251"/>
      <c r="K516" s="252"/>
      <c r="L516" s="253"/>
      <c r="M516" s="128"/>
      <c r="N516" s="128">
        <f t="shared" si="84"/>
        <v>0</v>
      </c>
      <c r="O516" s="254"/>
      <c r="P516" s="128">
        <f t="shared" si="134"/>
        <v>0</v>
      </c>
      <c r="Q516" s="18">
        <f t="shared" si="86"/>
        <v>0</v>
      </c>
      <c r="R516" s="255">
        <f t="shared" si="87"/>
        <v>0</v>
      </c>
      <c r="S516" s="1"/>
      <c r="T516" s="1">
        <f t="shared" si="131"/>
        <v>0</v>
      </c>
      <c r="U516" s="1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1"/>
      <c r="AG516" s="1"/>
      <c r="AH516" s="1"/>
      <c r="AI516" s="1"/>
      <c r="AJ516" s="1"/>
    </row>
    <row r="517" spans="1:36" ht="13.5" customHeight="1">
      <c r="A517" s="259"/>
      <c r="B517" s="15" t="str">
        <f>TB!B553</f>
        <v>SP050A</v>
      </c>
      <c r="C517" s="288" t="str">
        <f>TB!C553</f>
        <v>Herradura Plata</v>
      </c>
      <c r="D517" s="257">
        <f>SUMIF(GL!$D$5:$D$6446,B517,GL!$G$5:$G$6446)</f>
        <v>0</v>
      </c>
      <c r="E517" s="258">
        <f>SUMIF(GL!$D$6:$D$6484,B517,GL!$H$6:$H$6484)</f>
        <v>0</v>
      </c>
      <c r="F517" s="258">
        <f>SUMIF(GL!$D$6:$D$6484,B517,GL!$I$6:$I$6484)</f>
        <v>0</v>
      </c>
      <c r="G517" s="258">
        <f t="shared" si="88"/>
        <v>0</v>
      </c>
      <c r="H517" s="258">
        <f t="shared" si="89"/>
        <v>0</v>
      </c>
      <c r="I517" s="250"/>
      <c r="J517" s="251"/>
      <c r="K517" s="252"/>
      <c r="L517" s="253"/>
      <c r="M517" s="128"/>
      <c r="N517" s="128">
        <f t="shared" si="84"/>
        <v>0</v>
      </c>
      <c r="O517" s="254"/>
      <c r="P517" s="128">
        <f t="shared" si="134"/>
        <v>0</v>
      </c>
      <c r="Q517" s="18">
        <f t="shared" si="86"/>
        <v>0</v>
      </c>
      <c r="R517" s="255">
        <f t="shared" si="87"/>
        <v>0</v>
      </c>
      <c r="S517" s="1"/>
      <c r="T517" s="1">
        <f t="shared" si="131"/>
        <v>0</v>
      </c>
      <c r="U517" s="1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1"/>
      <c r="AG517" s="1"/>
      <c r="AH517" s="1"/>
      <c r="AI517" s="1"/>
      <c r="AJ517" s="1"/>
    </row>
    <row r="518" spans="1:36" ht="13.5" customHeight="1">
      <c r="A518" s="259"/>
      <c r="B518" s="15" t="str">
        <f>TB!B554</f>
        <v>SP050B</v>
      </c>
      <c r="C518" s="288" t="str">
        <f>TB!C554</f>
        <v>Azul Reposado</v>
      </c>
      <c r="D518" s="257">
        <f>SUMIF(GL!$D$5:$D$6446,B518,GL!$G$5:$G$6446)</f>
        <v>0</v>
      </c>
      <c r="E518" s="258">
        <f>SUMIF(GL!$D$6:$D$6484,B518,GL!$H$6:$H$6484)</f>
        <v>0</v>
      </c>
      <c r="F518" s="258">
        <f>SUMIF(GL!$D$6:$D$6484,B518,GL!$I$6:$I$6484)</f>
        <v>0</v>
      </c>
      <c r="G518" s="258">
        <f t="shared" si="88"/>
        <v>0</v>
      </c>
      <c r="H518" s="258">
        <f t="shared" si="89"/>
        <v>0</v>
      </c>
      <c r="I518" s="250">
        <v>2</v>
      </c>
      <c r="J518" s="251">
        <v>3873752</v>
      </c>
      <c r="K518" s="252">
        <v>7747503</v>
      </c>
      <c r="L518" s="253">
        <f t="shared" ref="L518:L522" si="149">D518+I518</f>
        <v>2</v>
      </c>
      <c r="M518" s="128">
        <f t="shared" ref="M518:M522" si="150">(G518+K518)/L518</f>
        <v>3873751.5</v>
      </c>
      <c r="N518" s="128">
        <f t="shared" si="84"/>
        <v>7747503</v>
      </c>
      <c r="O518" s="254">
        <v>2</v>
      </c>
      <c r="P518" s="128">
        <f t="shared" si="134"/>
        <v>3873751.5</v>
      </c>
      <c r="Q518" s="18">
        <f t="shared" si="86"/>
        <v>7747503</v>
      </c>
      <c r="R518" s="255">
        <f t="shared" si="87"/>
        <v>0</v>
      </c>
      <c r="S518" s="1"/>
      <c r="T518" s="1">
        <f t="shared" si="131"/>
        <v>0.5</v>
      </c>
      <c r="U518" s="1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1"/>
      <c r="AG518" s="1"/>
      <c r="AH518" s="1"/>
      <c r="AI518" s="1"/>
      <c r="AJ518" s="1"/>
    </row>
    <row r="519" spans="1:36" ht="13.5" customHeight="1">
      <c r="A519" s="259"/>
      <c r="B519" s="15" t="str">
        <f>TB!B555</f>
        <v>SP049A</v>
      </c>
      <c r="C519" s="288" t="str">
        <f>TB!C555</f>
        <v>Don Julio Reposado</v>
      </c>
      <c r="D519" s="257">
        <f>SUMIF(GL!$D$5:$D$6446,B519,GL!$G$5:$G$6446)</f>
        <v>18</v>
      </c>
      <c r="E519" s="258">
        <f>SUMIF(GL!$D$6:$D$6484,B519,GL!$H$6:$H$6484)</f>
        <v>17280000</v>
      </c>
      <c r="F519" s="258">
        <f>SUMIF(GL!$D$6:$D$6484,B519,GL!$I$6:$I$6484)</f>
        <v>0</v>
      </c>
      <c r="G519" s="258">
        <f t="shared" si="88"/>
        <v>17280000</v>
      </c>
      <c r="H519" s="258">
        <f t="shared" si="89"/>
        <v>0</v>
      </c>
      <c r="I519" s="250">
        <v>10.1</v>
      </c>
      <c r="J519" s="251">
        <v>920267</v>
      </c>
      <c r="K519" s="252">
        <v>9294696</v>
      </c>
      <c r="L519" s="253">
        <f t="shared" si="149"/>
        <v>28.1</v>
      </c>
      <c r="M519" s="128">
        <f t="shared" si="150"/>
        <v>945718.71886120993</v>
      </c>
      <c r="N519" s="128">
        <f t="shared" si="84"/>
        <v>26574696</v>
      </c>
      <c r="O519" s="254">
        <v>18.600000000000001</v>
      </c>
      <c r="P519" s="128">
        <f t="shared" si="134"/>
        <v>945718.71886120993</v>
      </c>
      <c r="Q519" s="18">
        <f t="shared" si="86"/>
        <v>17590368.170818508</v>
      </c>
      <c r="R519" s="255">
        <f t="shared" si="87"/>
        <v>8984327.8291814923</v>
      </c>
      <c r="S519" s="1"/>
      <c r="T519" s="1">
        <f t="shared" si="131"/>
        <v>-25451.718861209927</v>
      </c>
      <c r="U519" s="1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1"/>
      <c r="AG519" s="1"/>
      <c r="AH519" s="1"/>
      <c r="AI519" s="1"/>
      <c r="AJ519" s="1"/>
    </row>
    <row r="520" spans="1:36" ht="13.5" customHeight="1">
      <c r="A520" s="259"/>
      <c r="B520" s="15" t="str">
        <f>TB!B556</f>
        <v>SP049B</v>
      </c>
      <c r="C520" s="288" t="str">
        <f>TB!C556</f>
        <v>Don Julio 1942 Anejo</v>
      </c>
      <c r="D520" s="257">
        <f>SUMIF(GL!$D$5:$D$6446,B520,GL!$G$5:$G$6446)</f>
        <v>0</v>
      </c>
      <c r="E520" s="258">
        <f>SUMIF(GL!$D$6:$D$6484,B520,GL!$H$6:$H$6484)</f>
        <v>0</v>
      </c>
      <c r="F520" s="258">
        <f>SUMIF(GL!$D$6:$D$6484,B520,GL!$I$6:$I$6484)</f>
        <v>0</v>
      </c>
      <c r="G520" s="258">
        <f t="shared" si="88"/>
        <v>0</v>
      </c>
      <c r="H520" s="258">
        <f t="shared" si="89"/>
        <v>0</v>
      </c>
      <c r="I520" s="250">
        <v>2</v>
      </c>
      <c r="J520" s="251">
        <v>2757778</v>
      </c>
      <c r="K520" s="252">
        <v>5515556</v>
      </c>
      <c r="L520" s="253">
        <f t="shared" si="149"/>
        <v>2</v>
      </c>
      <c r="M520" s="128">
        <f t="shared" si="150"/>
        <v>2757778</v>
      </c>
      <c r="N520" s="128">
        <f t="shared" si="84"/>
        <v>5515556</v>
      </c>
      <c r="O520" s="254">
        <v>2</v>
      </c>
      <c r="P520" s="128">
        <f t="shared" si="134"/>
        <v>2757778</v>
      </c>
      <c r="Q520" s="18">
        <f t="shared" si="86"/>
        <v>5515556</v>
      </c>
      <c r="R520" s="255">
        <f t="shared" si="87"/>
        <v>0</v>
      </c>
      <c r="S520" s="1"/>
      <c r="T520" s="1">
        <f t="shared" si="131"/>
        <v>0</v>
      </c>
      <c r="U520" s="1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1"/>
      <c r="AG520" s="1"/>
      <c r="AH520" s="1"/>
      <c r="AI520" s="1"/>
      <c r="AJ520" s="1"/>
    </row>
    <row r="521" spans="1:36" ht="13.5" customHeight="1">
      <c r="A521" s="259"/>
      <c r="B521" s="15" t="str">
        <f>TB!B557</f>
        <v>SP041A</v>
      </c>
      <c r="C521" s="288" t="str">
        <f>TB!C557</f>
        <v>Tequila Jose Cuervo Silver</v>
      </c>
      <c r="D521" s="257">
        <f>SUMIF(GL!$D$5:$D$6446,B521,GL!$G$5:$G$6446)</f>
        <v>0</v>
      </c>
      <c r="E521" s="258">
        <f>SUMIF(GL!$D$6:$D$6484,B521,GL!$H$6:$H$6484)</f>
        <v>0</v>
      </c>
      <c r="F521" s="258">
        <f>SUMIF(GL!$D$6:$D$6484,B521,GL!$I$6:$I$6484)</f>
        <v>0</v>
      </c>
      <c r="G521" s="258">
        <f t="shared" si="88"/>
        <v>0</v>
      </c>
      <c r="H521" s="258">
        <f t="shared" si="89"/>
        <v>0</v>
      </c>
      <c r="I521" s="250">
        <v>2</v>
      </c>
      <c r="J521" s="251">
        <v>338710</v>
      </c>
      <c r="K521" s="252">
        <v>677420</v>
      </c>
      <c r="L521" s="253">
        <f t="shared" si="149"/>
        <v>2</v>
      </c>
      <c r="M521" s="128">
        <f t="shared" si="150"/>
        <v>338710</v>
      </c>
      <c r="N521" s="128">
        <f t="shared" si="84"/>
        <v>677420</v>
      </c>
      <c r="O521" s="254">
        <v>2</v>
      </c>
      <c r="P521" s="128">
        <f t="shared" si="134"/>
        <v>338710</v>
      </c>
      <c r="Q521" s="18">
        <f t="shared" si="86"/>
        <v>677420</v>
      </c>
      <c r="R521" s="255">
        <f t="shared" si="87"/>
        <v>0</v>
      </c>
      <c r="S521" s="1"/>
      <c r="T521" s="1">
        <f t="shared" si="131"/>
        <v>0</v>
      </c>
      <c r="U521" s="1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1"/>
      <c r="AG521" s="1"/>
      <c r="AH521" s="1"/>
      <c r="AI521" s="1"/>
      <c r="AJ521" s="1"/>
    </row>
    <row r="522" spans="1:36" ht="13.5" customHeight="1">
      <c r="A522" s="259"/>
      <c r="B522" s="15" t="str">
        <f>TB!B558</f>
        <v>SP049C</v>
      </c>
      <c r="C522" s="288" t="str">
        <f>TB!C558</f>
        <v>Don Julio Blanco</v>
      </c>
      <c r="D522" s="257">
        <f>SUMIF(GL!$D$5:$D$6446,B522,GL!$G$5:$G$6446)</f>
        <v>6</v>
      </c>
      <c r="E522" s="258">
        <f>SUMIF(GL!$D$6:$D$6484,B522,GL!$H$6:$H$6484)</f>
        <v>5400000</v>
      </c>
      <c r="F522" s="258">
        <f>SUMIF(GL!$D$6:$D$6484,B522,GL!$I$6:$I$6484)</f>
        <v>0</v>
      </c>
      <c r="G522" s="258">
        <f t="shared" si="88"/>
        <v>5400000</v>
      </c>
      <c r="H522" s="258">
        <f t="shared" si="89"/>
        <v>0</v>
      </c>
      <c r="I522" s="250">
        <v>8.5</v>
      </c>
      <c r="J522" s="251">
        <v>879915</v>
      </c>
      <c r="K522" s="252">
        <v>7479279</v>
      </c>
      <c r="L522" s="253">
        <f t="shared" si="149"/>
        <v>14.5</v>
      </c>
      <c r="M522" s="128">
        <f t="shared" si="150"/>
        <v>888226.13793103443</v>
      </c>
      <c r="N522" s="128">
        <f t="shared" si="84"/>
        <v>12879279</v>
      </c>
      <c r="O522" s="254">
        <v>11.6</v>
      </c>
      <c r="P522" s="128">
        <f t="shared" si="134"/>
        <v>888226.13793103443</v>
      </c>
      <c r="Q522" s="18">
        <f t="shared" si="86"/>
        <v>10303423.199999999</v>
      </c>
      <c r="R522" s="255">
        <f t="shared" si="87"/>
        <v>2575855.8000000007</v>
      </c>
      <c r="S522" s="1"/>
      <c r="T522" s="1">
        <f t="shared" si="131"/>
        <v>-8311.1379310344346</v>
      </c>
      <c r="U522" s="1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1"/>
      <c r="AG522" s="1"/>
      <c r="AH522" s="1"/>
      <c r="AI522" s="1"/>
      <c r="AJ522" s="1"/>
    </row>
    <row r="523" spans="1:36" ht="13.5" customHeight="1">
      <c r="A523" s="259"/>
      <c r="B523" s="15" t="str">
        <f>TB!B559</f>
        <v>SP049D</v>
      </c>
      <c r="C523" s="288" t="str">
        <f>TB!C559</f>
        <v xml:space="preserve">Margaritavlle Gold </v>
      </c>
      <c r="D523" s="257">
        <f>SUMIF(GL!$D$5:$D$6446,B523,GL!$G$5:$G$6446)</f>
        <v>0</v>
      </c>
      <c r="E523" s="258">
        <f>SUMIF(GL!$D$6:$D$6484,B523,GL!$H$6:$H$6484)</f>
        <v>0</v>
      </c>
      <c r="F523" s="258">
        <f>SUMIF(GL!$D$6:$D$6484,B523,GL!$I$6:$I$6484)</f>
        <v>0</v>
      </c>
      <c r="G523" s="258">
        <f t="shared" si="88"/>
        <v>0</v>
      </c>
      <c r="H523" s="258">
        <f t="shared" si="89"/>
        <v>0</v>
      </c>
      <c r="I523" s="250"/>
      <c r="J523" s="251"/>
      <c r="K523" s="252"/>
      <c r="L523" s="253"/>
      <c r="M523" s="128"/>
      <c r="N523" s="128">
        <f t="shared" si="84"/>
        <v>0</v>
      </c>
      <c r="O523" s="254"/>
      <c r="P523" s="128">
        <f t="shared" si="134"/>
        <v>0</v>
      </c>
      <c r="Q523" s="18">
        <f t="shared" si="86"/>
        <v>0</v>
      </c>
      <c r="R523" s="255">
        <f t="shared" si="87"/>
        <v>0</v>
      </c>
      <c r="S523" s="1"/>
      <c r="T523" s="1">
        <f t="shared" si="131"/>
        <v>0</v>
      </c>
      <c r="U523" s="1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1"/>
      <c r="AG523" s="1"/>
      <c r="AH523" s="1"/>
      <c r="AI523" s="1"/>
      <c r="AJ523" s="1"/>
    </row>
    <row r="524" spans="1:36" ht="13.5" customHeight="1">
      <c r="A524" s="259"/>
      <c r="B524" s="15" t="str">
        <f>TB!B560</f>
        <v>SP047A</v>
      </c>
      <c r="C524" s="288" t="str">
        <f>TB!C560</f>
        <v>1800 Coconut</v>
      </c>
      <c r="D524" s="257">
        <f>SUMIF(GL!$D$5:$D$6446,B524,GL!$G$5:$G$6446)</f>
        <v>0</v>
      </c>
      <c r="E524" s="258">
        <f>SUMIF(GL!$D$6:$D$6484,B524,GL!$H$6:$H$6484)</f>
        <v>0</v>
      </c>
      <c r="F524" s="258">
        <f>SUMIF(GL!$D$6:$D$6484,B524,GL!$I$6:$I$6484)</f>
        <v>0</v>
      </c>
      <c r="G524" s="258">
        <f t="shared" si="88"/>
        <v>0</v>
      </c>
      <c r="H524" s="258">
        <f t="shared" si="89"/>
        <v>0</v>
      </c>
      <c r="I524" s="250">
        <v>1</v>
      </c>
      <c r="J524" s="251" t="s">
        <v>3828</v>
      </c>
      <c r="K524" s="252"/>
      <c r="L524" s="253">
        <f t="shared" ref="L524:L531" si="151">D524+I524</f>
        <v>1</v>
      </c>
      <c r="M524" s="128">
        <f t="shared" ref="M524:M531" si="152">(G524+K524)/L524</f>
        <v>0</v>
      </c>
      <c r="N524" s="128">
        <f t="shared" si="84"/>
        <v>0</v>
      </c>
      <c r="O524" s="254">
        <v>1</v>
      </c>
      <c r="P524" s="128">
        <f t="shared" si="134"/>
        <v>0</v>
      </c>
      <c r="Q524" s="18">
        <f t="shared" si="86"/>
        <v>0</v>
      </c>
      <c r="R524" s="255">
        <f t="shared" si="87"/>
        <v>0</v>
      </c>
      <c r="S524" s="1"/>
      <c r="T524" s="1"/>
      <c r="U524" s="1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1"/>
      <c r="AG524" s="1"/>
      <c r="AH524" s="1"/>
      <c r="AI524" s="1"/>
      <c r="AJ524" s="1"/>
    </row>
    <row r="525" spans="1:36" ht="13.5" customHeight="1">
      <c r="A525" s="259"/>
      <c r="B525" s="15" t="str">
        <f>TB!B561</f>
        <v>SP047B</v>
      </c>
      <c r="C525" s="288" t="str">
        <f>TB!C561</f>
        <v>1800 Anejo</v>
      </c>
      <c r="D525" s="257">
        <f>SUMIF(GL!$D$5:$D$6446,B525,GL!$G$5:$G$6446)</f>
        <v>0</v>
      </c>
      <c r="E525" s="258">
        <f>SUMIF(GL!$D$6:$D$6484,B525,GL!$H$6:$H$6484)</f>
        <v>0</v>
      </c>
      <c r="F525" s="258">
        <f>SUMIF(GL!$D$6:$D$6484,B525,GL!$I$6:$I$6484)</f>
        <v>0</v>
      </c>
      <c r="G525" s="258">
        <f t="shared" si="88"/>
        <v>0</v>
      </c>
      <c r="H525" s="258">
        <f t="shared" si="89"/>
        <v>0</v>
      </c>
      <c r="I525" s="250">
        <v>2</v>
      </c>
      <c r="J525" s="251">
        <v>778013</v>
      </c>
      <c r="K525" s="252">
        <v>1556025</v>
      </c>
      <c r="L525" s="253">
        <f t="shared" si="151"/>
        <v>2</v>
      </c>
      <c r="M525" s="128">
        <f t="shared" si="152"/>
        <v>778012.5</v>
      </c>
      <c r="N525" s="128">
        <f t="shared" si="84"/>
        <v>1556025</v>
      </c>
      <c r="O525" s="254">
        <v>1</v>
      </c>
      <c r="P525" s="128">
        <f t="shared" si="134"/>
        <v>778012.5</v>
      </c>
      <c r="Q525" s="18">
        <f t="shared" si="86"/>
        <v>778012.5</v>
      </c>
      <c r="R525" s="255">
        <f t="shared" si="87"/>
        <v>778012.5</v>
      </c>
      <c r="S525" s="1"/>
      <c r="T525" s="1">
        <f t="shared" ref="T525:T538" si="153">J525-M525</f>
        <v>0.5</v>
      </c>
      <c r="U525" s="1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1"/>
      <c r="AG525" s="1"/>
      <c r="AH525" s="1"/>
      <c r="AI525" s="1"/>
      <c r="AJ525" s="1"/>
    </row>
    <row r="526" spans="1:36" ht="13.5" customHeight="1">
      <c r="A526" s="259"/>
      <c r="B526" s="15" t="str">
        <f>TB!B562</f>
        <v>SP047C</v>
      </c>
      <c r="C526" s="288" t="str">
        <f>TB!C562</f>
        <v>1800 Cristalino Anejo</v>
      </c>
      <c r="D526" s="257">
        <f>SUMIF(GL!$D$5:$D$6446,B526,GL!$G$5:$G$6446)</f>
        <v>0</v>
      </c>
      <c r="E526" s="258">
        <f>SUMIF(GL!$D$6:$D$6484,B526,GL!$H$6:$H$6484)</f>
        <v>0</v>
      </c>
      <c r="F526" s="258">
        <f>SUMIF(GL!$D$6:$D$6484,B526,GL!$I$6:$I$6484)</f>
        <v>0</v>
      </c>
      <c r="G526" s="258">
        <f t="shared" si="88"/>
        <v>0</v>
      </c>
      <c r="H526" s="258">
        <f t="shared" si="89"/>
        <v>0</v>
      </c>
      <c r="I526" s="250">
        <v>1</v>
      </c>
      <c r="J526" s="251">
        <v>955564</v>
      </c>
      <c r="K526" s="252">
        <v>955564</v>
      </c>
      <c r="L526" s="253">
        <f t="shared" si="151"/>
        <v>1</v>
      </c>
      <c r="M526" s="128">
        <f t="shared" si="152"/>
        <v>955564</v>
      </c>
      <c r="N526" s="128">
        <f t="shared" si="84"/>
        <v>955564</v>
      </c>
      <c r="O526" s="254">
        <v>1</v>
      </c>
      <c r="P526" s="128">
        <f t="shared" si="134"/>
        <v>955564</v>
      </c>
      <c r="Q526" s="18">
        <f t="shared" si="86"/>
        <v>955564</v>
      </c>
      <c r="R526" s="255">
        <f t="shared" si="87"/>
        <v>0</v>
      </c>
      <c r="S526" s="1"/>
      <c r="T526" s="1">
        <f t="shared" si="153"/>
        <v>0</v>
      </c>
      <c r="U526" s="1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1"/>
      <c r="AG526" s="1"/>
      <c r="AH526" s="1"/>
      <c r="AI526" s="1"/>
      <c r="AJ526" s="1"/>
    </row>
    <row r="527" spans="1:36" ht="13.5" customHeight="1">
      <c r="A527" s="259"/>
      <c r="B527" s="15" t="str">
        <f>TB!B563</f>
        <v>SP039A</v>
      </c>
      <c r="C527" s="288" t="str">
        <f>TB!C563</f>
        <v>Olmeca Reposado Tequila</v>
      </c>
      <c r="D527" s="257">
        <f>SUMIF(GL!$D$5:$D$6446,B527,GL!$G$5:$G$6446)</f>
        <v>72</v>
      </c>
      <c r="E527" s="258">
        <f>SUMIF(GL!$D$6:$D$6484,B527,GL!$H$6:$H$6484)</f>
        <v>24735024</v>
      </c>
      <c r="F527" s="258">
        <f>SUMIF(GL!$D$6:$D$6484,B527,GL!$I$6:$I$6484)</f>
        <v>0</v>
      </c>
      <c r="G527" s="258">
        <f t="shared" si="88"/>
        <v>24735024</v>
      </c>
      <c r="H527" s="258">
        <f t="shared" si="89"/>
        <v>0</v>
      </c>
      <c r="I527" s="250">
        <v>21.7</v>
      </c>
      <c r="J527" s="251">
        <v>343568</v>
      </c>
      <c r="K527" s="252">
        <v>7455429</v>
      </c>
      <c r="L527" s="253">
        <f t="shared" si="151"/>
        <v>93.7</v>
      </c>
      <c r="M527" s="128">
        <f t="shared" si="152"/>
        <v>343548.05763073638</v>
      </c>
      <c r="N527" s="128">
        <f t="shared" si="84"/>
        <v>32190453</v>
      </c>
      <c r="O527" s="254">
        <v>49.2</v>
      </c>
      <c r="P527" s="128">
        <f t="shared" si="134"/>
        <v>343548.05763073638</v>
      </c>
      <c r="Q527" s="18">
        <f t="shared" si="86"/>
        <v>16902564.435432229</v>
      </c>
      <c r="R527" s="255">
        <f t="shared" si="87"/>
        <v>15287888.564567771</v>
      </c>
      <c r="S527" s="1"/>
      <c r="T527" s="1">
        <f t="shared" si="153"/>
        <v>19.942369263619184</v>
      </c>
      <c r="U527" s="1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1"/>
      <c r="AG527" s="1"/>
      <c r="AH527" s="1"/>
      <c r="AI527" s="1"/>
      <c r="AJ527" s="1"/>
    </row>
    <row r="528" spans="1:36" ht="13.5" customHeight="1">
      <c r="A528" s="259"/>
      <c r="B528" s="15" t="str">
        <f>TB!B564</f>
        <v>SP039B</v>
      </c>
      <c r="C528" s="288" t="str">
        <f>TB!C564</f>
        <v>Olmeca Altos Plata</v>
      </c>
      <c r="D528" s="257">
        <f>SUMIF(GL!$D$5:$D$6446,B528,GL!$G$5:$G$6446)</f>
        <v>0</v>
      </c>
      <c r="E528" s="258">
        <f>SUMIF(GL!$D$6:$D$6484,B528,GL!$H$6:$H$6484)</f>
        <v>0</v>
      </c>
      <c r="F528" s="258">
        <f>SUMIF(GL!$D$6:$D$6484,B528,GL!$I$6:$I$6484)</f>
        <v>0</v>
      </c>
      <c r="G528" s="258">
        <f t="shared" si="88"/>
        <v>0</v>
      </c>
      <c r="H528" s="258">
        <f t="shared" si="89"/>
        <v>0</v>
      </c>
      <c r="I528" s="250">
        <v>3</v>
      </c>
      <c r="J528" s="251">
        <v>616667</v>
      </c>
      <c r="K528" s="252">
        <v>1850001</v>
      </c>
      <c r="L528" s="253">
        <f t="shared" si="151"/>
        <v>3</v>
      </c>
      <c r="M528" s="128">
        <f t="shared" si="152"/>
        <v>616667</v>
      </c>
      <c r="N528" s="128">
        <f t="shared" si="84"/>
        <v>1850001</v>
      </c>
      <c r="O528" s="254">
        <v>4.0999999999999996</v>
      </c>
      <c r="P528" s="128">
        <f t="shared" si="134"/>
        <v>616667</v>
      </c>
      <c r="Q528" s="18">
        <f t="shared" si="86"/>
        <v>2528334.6999999997</v>
      </c>
      <c r="R528" s="255">
        <f t="shared" si="87"/>
        <v>-678333.69999999972</v>
      </c>
      <c r="S528" s="1"/>
      <c r="T528" s="1">
        <f t="shared" si="153"/>
        <v>0</v>
      </c>
      <c r="U528" s="1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1"/>
      <c r="AG528" s="1"/>
      <c r="AH528" s="1"/>
      <c r="AI528" s="1"/>
      <c r="AJ528" s="1"/>
    </row>
    <row r="529" spans="1:36" ht="13.5" customHeight="1">
      <c r="A529" s="259"/>
      <c r="B529" s="15" t="str">
        <f>TB!B565</f>
        <v>SP039C</v>
      </c>
      <c r="C529" s="288" t="str">
        <f>TB!C565</f>
        <v>Avion Reposado</v>
      </c>
      <c r="D529" s="257">
        <f>SUMIF(GL!$D$5:$D$6446,B529,GL!$G$5:$G$6446)</f>
        <v>0</v>
      </c>
      <c r="E529" s="258">
        <f>SUMIF(GL!$D$6:$D$6484,B529,GL!$H$6:$H$6484)</f>
        <v>0</v>
      </c>
      <c r="F529" s="258">
        <f>SUMIF(GL!$D$6:$D$6484,B529,GL!$I$6:$I$6484)</f>
        <v>0</v>
      </c>
      <c r="G529" s="258">
        <f t="shared" si="88"/>
        <v>0</v>
      </c>
      <c r="H529" s="258">
        <f t="shared" si="89"/>
        <v>0</v>
      </c>
      <c r="I529" s="250">
        <v>4</v>
      </c>
      <c r="J529" s="251">
        <v>750000</v>
      </c>
      <c r="K529" s="252">
        <v>3000000</v>
      </c>
      <c r="L529" s="253">
        <f t="shared" si="151"/>
        <v>4</v>
      </c>
      <c r="M529" s="128">
        <f t="shared" si="152"/>
        <v>750000</v>
      </c>
      <c r="N529" s="128">
        <f t="shared" si="84"/>
        <v>3000000</v>
      </c>
      <c r="O529" s="254">
        <v>3.8</v>
      </c>
      <c r="P529" s="128">
        <f t="shared" si="134"/>
        <v>750000</v>
      </c>
      <c r="Q529" s="18">
        <f t="shared" si="86"/>
        <v>2850000</v>
      </c>
      <c r="R529" s="255">
        <f t="shared" si="87"/>
        <v>150000</v>
      </c>
      <c r="S529" s="1"/>
      <c r="T529" s="1">
        <f t="shared" si="153"/>
        <v>0</v>
      </c>
      <c r="U529" s="1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1"/>
      <c r="AG529" s="1"/>
      <c r="AH529" s="1"/>
      <c r="AI529" s="1"/>
      <c r="AJ529" s="1"/>
    </row>
    <row r="530" spans="1:36" ht="13.5" customHeight="1">
      <c r="A530" s="259"/>
      <c r="B530" s="15" t="str">
        <f>TB!B566</f>
        <v>SP039D</v>
      </c>
      <c r="C530" s="288" t="str">
        <f>TB!C566</f>
        <v>Avion Silver</v>
      </c>
      <c r="D530" s="257">
        <f>SUMIF(GL!$D$5:$D$6446,B530,GL!$G$5:$G$6446)</f>
        <v>0</v>
      </c>
      <c r="E530" s="258">
        <f>SUMIF(GL!$D$6:$D$6484,B530,GL!$H$6:$H$6484)</f>
        <v>0</v>
      </c>
      <c r="F530" s="258">
        <f>SUMIF(GL!$D$6:$D$6484,B530,GL!$I$6:$I$6484)</f>
        <v>0</v>
      </c>
      <c r="G530" s="258">
        <f t="shared" si="88"/>
        <v>0</v>
      </c>
      <c r="H530" s="258">
        <f t="shared" si="89"/>
        <v>0</v>
      </c>
      <c r="I530" s="250">
        <v>6.1</v>
      </c>
      <c r="J530" s="251">
        <v>691667</v>
      </c>
      <c r="K530" s="252">
        <v>4219168</v>
      </c>
      <c r="L530" s="253">
        <f t="shared" si="151"/>
        <v>6.1</v>
      </c>
      <c r="M530" s="128">
        <f t="shared" si="152"/>
        <v>691666.88524590165</v>
      </c>
      <c r="N530" s="128">
        <f t="shared" si="84"/>
        <v>4219168</v>
      </c>
      <c r="O530" s="254">
        <v>4.7</v>
      </c>
      <c r="P530" s="128">
        <f t="shared" si="134"/>
        <v>691666.88524590165</v>
      </c>
      <c r="Q530" s="18">
        <f t="shared" si="86"/>
        <v>3250834.360655738</v>
      </c>
      <c r="R530" s="255">
        <f t="shared" si="87"/>
        <v>968333.63934426196</v>
      </c>
      <c r="S530" s="1"/>
      <c r="T530" s="1">
        <f t="shared" si="153"/>
        <v>0.1147540983511135</v>
      </c>
      <c r="U530" s="1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1"/>
      <c r="AG530" s="1"/>
      <c r="AH530" s="1"/>
      <c r="AI530" s="1"/>
      <c r="AJ530" s="1"/>
    </row>
    <row r="531" spans="1:36" ht="13.5" customHeight="1">
      <c r="A531" s="259"/>
      <c r="B531" s="15" t="str">
        <f>TB!B567</f>
        <v>SP039BA</v>
      </c>
      <c r="C531" s="288" t="str">
        <f>TB!C567</f>
        <v>Olmeca Altos Repo</v>
      </c>
      <c r="D531" s="257">
        <f>SUMIF(GL!$D$5:$D$6446,B531,GL!$G$5:$G$6446)</f>
        <v>0</v>
      </c>
      <c r="E531" s="258">
        <f>SUMIF(GL!$D$6:$D$6484,B531,GL!$H$6:$H$6484)</f>
        <v>0</v>
      </c>
      <c r="F531" s="258">
        <f>SUMIF(GL!$D$6:$D$6484,B531,GL!$I$6:$I$6484)</f>
        <v>0</v>
      </c>
      <c r="G531" s="258">
        <f t="shared" si="88"/>
        <v>0</v>
      </c>
      <c r="H531" s="258">
        <f t="shared" si="89"/>
        <v>0</v>
      </c>
      <c r="I531" s="250">
        <v>2.6</v>
      </c>
      <c r="J531" s="251">
        <v>616667</v>
      </c>
      <c r="K531" s="252">
        <v>1603335</v>
      </c>
      <c r="L531" s="253">
        <f t="shared" si="151"/>
        <v>2.6</v>
      </c>
      <c r="M531" s="128">
        <f t="shared" si="152"/>
        <v>616667.30769230763</v>
      </c>
      <c r="N531" s="128">
        <f t="shared" si="84"/>
        <v>1603335</v>
      </c>
      <c r="O531" s="254">
        <v>2.6</v>
      </c>
      <c r="P531" s="128">
        <f t="shared" si="134"/>
        <v>616667.30769230763</v>
      </c>
      <c r="Q531" s="18">
        <f t="shared" si="86"/>
        <v>1603335</v>
      </c>
      <c r="R531" s="255">
        <f t="shared" si="87"/>
        <v>0</v>
      </c>
      <c r="S531" s="1"/>
      <c r="T531" s="1">
        <f t="shared" si="153"/>
        <v>-0.30769230762962252</v>
      </c>
      <c r="U531" s="1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1"/>
      <c r="AG531" s="1"/>
      <c r="AH531" s="1"/>
      <c r="AI531" s="1"/>
      <c r="AJ531" s="1"/>
    </row>
    <row r="532" spans="1:36" ht="13.5" customHeight="1">
      <c r="A532" s="259"/>
      <c r="B532" s="15">
        <f>TB!B568</f>
        <v>0</v>
      </c>
      <c r="C532" s="288">
        <f>TB!C568</f>
        <v>0</v>
      </c>
      <c r="D532" s="257">
        <f>SUMIF(GL!$D$5:$D$6446,B532,GL!$G$5:$G$6446)</f>
        <v>0</v>
      </c>
      <c r="E532" s="258">
        <f>SUMIF(GL!$D$6:$D$6484,B532,GL!$H$6:$H$6484)</f>
        <v>0</v>
      </c>
      <c r="F532" s="258">
        <f>SUMIF(GL!$D$6:$D$6484,B532,GL!$I$6:$I$6484)</f>
        <v>0</v>
      </c>
      <c r="G532" s="258">
        <f t="shared" si="88"/>
        <v>0</v>
      </c>
      <c r="H532" s="258">
        <f t="shared" si="89"/>
        <v>0</v>
      </c>
      <c r="I532" s="250"/>
      <c r="J532" s="251"/>
      <c r="K532" s="252"/>
      <c r="L532" s="253"/>
      <c r="M532" s="128"/>
      <c r="N532" s="128">
        <f t="shared" si="84"/>
        <v>0</v>
      </c>
      <c r="O532" s="254"/>
      <c r="P532" s="128">
        <f t="shared" si="134"/>
        <v>0</v>
      </c>
      <c r="Q532" s="18">
        <f t="shared" si="86"/>
        <v>0</v>
      </c>
      <c r="R532" s="255">
        <f t="shared" si="87"/>
        <v>0</v>
      </c>
      <c r="S532" s="1"/>
      <c r="T532" s="1">
        <f t="shared" si="153"/>
        <v>0</v>
      </c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1"/>
      <c r="AG532" s="1"/>
      <c r="AH532" s="1"/>
      <c r="AI532" s="1"/>
      <c r="AJ532" s="1"/>
    </row>
    <row r="533" spans="1:36" ht="13.5" customHeight="1">
      <c r="A533" s="259"/>
      <c r="B533" s="174"/>
      <c r="C533" s="295" t="s">
        <v>2630</v>
      </c>
      <c r="D533" s="257">
        <f>SUMIF(GL!$D$5:$D$6446,B533,GL!$G$5:$G$6446)</f>
        <v>0</v>
      </c>
      <c r="E533" s="258">
        <f>SUMIF(GL!$D$6:$D$6484,B533,GL!$H$6:$H$6484)</f>
        <v>0</v>
      </c>
      <c r="F533" s="258">
        <f>SUMIF(GL!$D$6:$D$6484,B533,GL!$I$6:$I$6484)</f>
        <v>0</v>
      </c>
      <c r="G533" s="258">
        <f t="shared" si="88"/>
        <v>0</v>
      </c>
      <c r="H533" s="258">
        <f t="shared" si="89"/>
        <v>0</v>
      </c>
      <c r="I533" s="250"/>
      <c r="J533" s="251"/>
      <c r="K533" s="252"/>
      <c r="L533" s="253"/>
      <c r="M533" s="128"/>
      <c r="N533" s="128">
        <f t="shared" si="84"/>
        <v>0</v>
      </c>
      <c r="O533" s="254"/>
      <c r="P533" s="128">
        <f t="shared" si="134"/>
        <v>0</v>
      </c>
      <c r="Q533" s="18">
        <f t="shared" si="86"/>
        <v>0</v>
      </c>
      <c r="R533" s="255">
        <f t="shared" si="87"/>
        <v>0</v>
      </c>
      <c r="S533" s="1"/>
      <c r="T533" s="1">
        <f t="shared" si="153"/>
        <v>0</v>
      </c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1"/>
      <c r="AG533" s="1"/>
      <c r="AH533" s="1"/>
      <c r="AI533" s="1"/>
      <c r="AJ533" s="1"/>
    </row>
    <row r="534" spans="1:36" ht="13.5" customHeight="1">
      <c r="A534" s="259"/>
      <c r="B534" s="174"/>
      <c r="C534" s="295" t="s">
        <v>2630</v>
      </c>
      <c r="D534" s="257">
        <f>SUMIF(GL!$D$5:$D$6446,B534,GL!$G$5:$G$6446)</f>
        <v>0</v>
      </c>
      <c r="E534" s="258">
        <f>SUMIF(GL!$D$6:$D$6484,B534,GL!$H$6:$H$6484)</f>
        <v>0</v>
      </c>
      <c r="F534" s="258">
        <f>SUMIF(GL!$D$6:$D$6484,B534,GL!$I$6:$I$6484)</f>
        <v>0</v>
      </c>
      <c r="G534" s="258">
        <f t="shared" si="88"/>
        <v>0</v>
      </c>
      <c r="H534" s="258">
        <f t="shared" si="89"/>
        <v>0</v>
      </c>
      <c r="I534" s="250"/>
      <c r="J534" s="251"/>
      <c r="K534" s="252"/>
      <c r="L534" s="253"/>
      <c r="M534" s="128"/>
      <c r="N534" s="128">
        <f t="shared" si="84"/>
        <v>0</v>
      </c>
      <c r="O534" s="254"/>
      <c r="P534" s="128">
        <f t="shared" si="134"/>
        <v>0</v>
      </c>
      <c r="Q534" s="18">
        <f t="shared" si="86"/>
        <v>0</v>
      </c>
      <c r="R534" s="255">
        <f t="shared" si="87"/>
        <v>0</v>
      </c>
      <c r="S534" s="1"/>
      <c r="T534" s="1">
        <f t="shared" si="153"/>
        <v>0</v>
      </c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1"/>
      <c r="AG534" s="1"/>
      <c r="AH534" s="1"/>
      <c r="AI534" s="1"/>
      <c r="AJ534" s="1"/>
    </row>
    <row r="535" spans="1:36" ht="13.5" customHeight="1">
      <c r="A535" s="259"/>
      <c r="B535" s="174"/>
      <c r="C535" s="261" t="s">
        <v>3838</v>
      </c>
      <c r="D535" s="257">
        <f>SUMIF(GL!$D$5:$D$6446,B535,GL!$G$5:$G$6446)</f>
        <v>0</v>
      </c>
      <c r="E535" s="258">
        <f>SUMIF(GL!$D$6:$D$6484,B535,GL!$H$6:$H$6484)</f>
        <v>0</v>
      </c>
      <c r="F535" s="258">
        <f>SUMIF(GL!$D$6:$D$6484,B535,GL!$I$6:$I$6484)</f>
        <v>0</v>
      </c>
      <c r="G535" s="258">
        <f t="shared" si="88"/>
        <v>0</v>
      </c>
      <c r="H535" s="258">
        <f t="shared" si="89"/>
        <v>0</v>
      </c>
      <c r="I535" s="250"/>
      <c r="J535" s="251"/>
      <c r="K535" s="252"/>
      <c r="L535" s="253"/>
      <c r="M535" s="128"/>
      <c r="N535" s="128">
        <f t="shared" si="84"/>
        <v>0</v>
      </c>
      <c r="O535" s="254"/>
      <c r="P535" s="128">
        <f t="shared" si="134"/>
        <v>0</v>
      </c>
      <c r="Q535" s="18">
        <f t="shared" si="86"/>
        <v>0</v>
      </c>
      <c r="R535" s="255">
        <f t="shared" si="87"/>
        <v>0</v>
      </c>
      <c r="S535" s="1"/>
      <c r="T535" s="1">
        <f t="shared" si="153"/>
        <v>0</v>
      </c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1"/>
      <c r="AG535" s="1"/>
      <c r="AH535" s="1"/>
      <c r="AI535" s="1"/>
      <c r="AJ535" s="1"/>
    </row>
    <row r="536" spans="1:36" ht="13.5" customHeight="1">
      <c r="A536" s="259"/>
      <c r="B536" s="15" t="str">
        <f>TB!B570</f>
        <v>SP051</v>
      </c>
      <c r="C536" s="288" t="str">
        <f>TB!C570</f>
        <v>Martel Vsop</v>
      </c>
      <c r="D536" s="257">
        <f>SUMIF(GL!$D$5:$D$6446,B536,GL!$G$5:$G$6446)</f>
        <v>0</v>
      </c>
      <c r="E536" s="258">
        <f>SUMIF(GL!$D$6:$D$6484,B536,GL!$H$6:$H$6484)</f>
        <v>0</v>
      </c>
      <c r="F536" s="258">
        <f>SUMIF(GL!$D$6:$D$6484,B536,GL!$I$6:$I$6484)</f>
        <v>0</v>
      </c>
      <c r="G536" s="258">
        <f t="shared" si="88"/>
        <v>0</v>
      </c>
      <c r="H536" s="258">
        <f t="shared" si="89"/>
        <v>0</v>
      </c>
      <c r="I536" s="250">
        <v>4.7</v>
      </c>
      <c r="J536" s="251">
        <v>846247</v>
      </c>
      <c r="K536" s="252">
        <v>3977361</v>
      </c>
      <c r="L536" s="253">
        <f>D536+I536</f>
        <v>4.7</v>
      </c>
      <c r="M536" s="128">
        <f>(G536+K536)/L536</f>
        <v>846247.02127659577</v>
      </c>
      <c r="N536" s="128">
        <f t="shared" si="84"/>
        <v>3977361</v>
      </c>
      <c r="O536" s="254">
        <v>4.7</v>
      </c>
      <c r="P536" s="128">
        <f t="shared" si="134"/>
        <v>846247.02127659577</v>
      </c>
      <c r="Q536" s="18">
        <f t="shared" si="86"/>
        <v>3977361.0000000005</v>
      </c>
      <c r="R536" s="255">
        <f t="shared" si="87"/>
        <v>0</v>
      </c>
      <c r="S536" s="1"/>
      <c r="T536" s="1">
        <f t="shared" si="153"/>
        <v>-2.1276595769450068E-2</v>
      </c>
      <c r="U536" s="1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1"/>
      <c r="AG536" s="1"/>
      <c r="AH536" s="1"/>
      <c r="AI536" s="1"/>
      <c r="AJ536" s="1"/>
    </row>
    <row r="537" spans="1:36" ht="13.5" customHeight="1">
      <c r="A537" s="259"/>
      <c r="B537" s="15" t="str">
        <f>TB!B571</f>
        <v>SP052</v>
      </c>
      <c r="C537" s="288" t="str">
        <f>TB!C571</f>
        <v>St Remy Napoleon</v>
      </c>
      <c r="D537" s="257">
        <f>SUMIF(GL!$D$5:$D$6446,B537,GL!$G$5:$G$6446)</f>
        <v>0</v>
      </c>
      <c r="E537" s="258">
        <f>SUMIF(GL!$D$6:$D$6484,B537,GL!$H$6:$H$6484)</f>
        <v>0</v>
      </c>
      <c r="F537" s="258">
        <f>SUMIF(GL!$D$6:$D$6484,B537,GL!$I$6:$I$6484)</f>
        <v>0</v>
      </c>
      <c r="G537" s="258">
        <f t="shared" si="88"/>
        <v>0</v>
      </c>
      <c r="H537" s="258">
        <f t="shared" si="89"/>
        <v>0</v>
      </c>
      <c r="I537" s="250"/>
      <c r="J537" s="251"/>
      <c r="K537" s="252"/>
      <c r="L537" s="253"/>
      <c r="M537" s="128"/>
      <c r="N537" s="128">
        <f t="shared" si="84"/>
        <v>0</v>
      </c>
      <c r="O537" s="254"/>
      <c r="P537" s="128">
        <f t="shared" si="134"/>
        <v>0</v>
      </c>
      <c r="Q537" s="18">
        <f t="shared" si="86"/>
        <v>0</v>
      </c>
      <c r="R537" s="255">
        <f t="shared" si="87"/>
        <v>0</v>
      </c>
      <c r="S537" s="1"/>
      <c r="T537" s="1">
        <f t="shared" si="153"/>
        <v>0</v>
      </c>
      <c r="U537" s="1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4"/>
      <c r="AG537" s="4"/>
      <c r="AH537" s="4"/>
      <c r="AI537" s="4"/>
      <c r="AJ537" s="4"/>
    </row>
    <row r="538" spans="1:36" ht="13.5" customHeight="1">
      <c r="A538" s="259"/>
      <c r="B538" s="15" t="str">
        <f>TB!B572</f>
        <v>SP053</v>
      </c>
      <c r="C538" s="288" t="str">
        <f>TB!C572</f>
        <v>Remi Martin Xo</v>
      </c>
      <c r="D538" s="257">
        <f>SUMIF(GL!$D$5:$D$6446,B538,GL!$G$5:$G$6446)</f>
        <v>0</v>
      </c>
      <c r="E538" s="258">
        <f>SUMIF(GL!$D$6:$D$6484,B538,GL!$H$6:$H$6484)</f>
        <v>0</v>
      </c>
      <c r="F538" s="258">
        <f>SUMIF(GL!$D$6:$D$6484,B538,GL!$I$6:$I$6484)</f>
        <v>0</v>
      </c>
      <c r="G538" s="258">
        <f t="shared" si="88"/>
        <v>0</v>
      </c>
      <c r="H538" s="258">
        <f t="shared" si="89"/>
        <v>0</v>
      </c>
      <c r="I538" s="250"/>
      <c r="J538" s="251"/>
      <c r="K538" s="252"/>
      <c r="L538" s="253"/>
      <c r="M538" s="128"/>
      <c r="N538" s="128">
        <f t="shared" si="84"/>
        <v>0</v>
      </c>
      <c r="O538" s="254"/>
      <c r="P538" s="128">
        <f t="shared" si="134"/>
        <v>0</v>
      </c>
      <c r="Q538" s="18">
        <f t="shared" si="86"/>
        <v>0</v>
      </c>
      <c r="R538" s="255">
        <f t="shared" si="87"/>
        <v>0</v>
      </c>
      <c r="S538" s="1"/>
      <c r="T538" s="1">
        <f t="shared" si="153"/>
        <v>0</v>
      </c>
      <c r="U538" s="1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1"/>
      <c r="AG538" s="1"/>
      <c r="AH538" s="1"/>
      <c r="AI538" s="1"/>
      <c r="AJ538" s="1"/>
    </row>
    <row r="539" spans="1:36" ht="13.5" customHeight="1">
      <c r="A539" s="259"/>
      <c r="B539" s="15" t="str">
        <f>TB!B573</f>
        <v>SP053A</v>
      </c>
      <c r="C539" s="288" t="str">
        <f>TB!C573</f>
        <v>Hennesy</v>
      </c>
      <c r="D539" s="257">
        <f>SUMIF(GL!$D$5:$D$6446,B539,GL!$G$5:$G$6446)</f>
        <v>0</v>
      </c>
      <c r="E539" s="258">
        <f>SUMIF(GL!$D$6:$D$6484,B539,GL!$H$6:$H$6484)</f>
        <v>0</v>
      </c>
      <c r="F539" s="258">
        <f>SUMIF(GL!$D$6:$D$6484,B539,GL!$I$6:$I$6484)</f>
        <v>0</v>
      </c>
      <c r="G539" s="258">
        <f t="shared" si="88"/>
        <v>0</v>
      </c>
      <c r="H539" s="258">
        <f t="shared" si="89"/>
        <v>0</v>
      </c>
      <c r="I539" s="250">
        <v>2</v>
      </c>
      <c r="J539" s="251" t="s">
        <v>3828</v>
      </c>
      <c r="K539" s="252"/>
      <c r="L539" s="253">
        <f>D539+I539</f>
        <v>2</v>
      </c>
      <c r="M539" s="128">
        <f>(G539+K539)/L539</f>
        <v>0</v>
      </c>
      <c r="N539" s="128">
        <f t="shared" si="84"/>
        <v>0</v>
      </c>
      <c r="O539" s="254">
        <v>2</v>
      </c>
      <c r="P539" s="128">
        <f t="shared" si="134"/>
        <v>0</v>
      </c>
      <c r="Q539" s="18">
        <f t="shared" si="86"/>
        <v>0</v>
      </c>
      <c r="R539" s="255">
        <f t="shared" si="87"/>
        <v>0</v>
      </c>
      <c r="S539" s="1"/>
      <c r="T539" s="1"/>
      <c r="U539" s="1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1"/>
      <c r="AG539" s="1"/>
      <c r="AH539" s="1"/>
      <c r="AI539" s="1"/>
      <c r="AJ539" s="1"/>
    </row>
    <row r="540" spans="1:36" ht="13.5" customHeight="1">
      <c r="A540" s="259"/>
      <c r="B540" s="15" t="str">
        <f>TB!B574</f>
        <v>SP053B</v>
      </c>
      <c r="C540" s="288" t="str">
        <f>TB!C574</f>
        <v>Courvoiser Vsop</v>
      </c>
      <c r="D540" s="257">
        <f>SUMIF(GL!$D$5:$D$6446,B540,GL!$G$5:$G$6446)</f>
        <v>0</v>
      </c>
      <c r="E540" s="258">
        <f>SUMIF(GL!$D$6:$D$6484,B540,GL!$H$6:$H$6484)</f>
        <v>0</v>
      </c>
      <c r="F540" s="258">
        <f>SUMIF(GL!$D$6:$D$6484,B540,GL!$I$6:$I$6484)</f>
        <v>0</v>
      </c>
      <c r="G540" s="258">
        <f t="shared" si="88"/>
        <v>0</v>
      </c>
      <c r="H540" s="258">
        <f t="shared" si="89"/>
        <v>0</v>
      </c>
      <c r="I540" s="250"/>
      <c r="J540" s="251"/>
      <c r="K540" s="252"/>
      <c r="L540" s="253"/>
      <c r="M540" s="128"/>
      <c r="N540" s="128">
        <f t="shared" si="84"/>
        <v>0</v>
      </c>
      <c r="O540" s="254"/>
      <c r="P540" s="128">
        <f t="shared" si="134"/>
        <v>0</v>
      </c>
      <c r="Q540" s="18">
        <f t="shared" si="86"/>
        <v>0</v>
      </c>
      <c r="R540" s="255">
        <f t="shared" si="87"/>
        <v>0</v>
      </c>
      <c r="S540" s="1"/>
      <c r="T540" s="1">
        <f t="shared" ref="T540:T637" si="154">J540-M540</f>
        <v>0</v>
      </c>
      <c r="U540" s="1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1"/>
      <c r="AG540" s="1"/>
      <c r="AH540" s="1"/>
      <c r="AI540" s="1"/>
      <c r="AJ540" s="1"/>
    </row>
    <row r="541" spans="1:36" ht="13.5" customHeight="1">
      <c r="A541" s="259"/>
      <c r="B541" s="15" t="str">
        <f>TB!B575</f>
        <v>SP053C</v>
      </c>
      <c r="C541" s="288" t="str">
        <f>TB!C575</f>
        <v>Napoleon Brandy</v>
      </c>
      <c r="D541" s="257">
        <f>SUMIF(GL!$D$5:$D$6446,B541,GL!$G$5:$G$6446)</f>
        <v>0</v>
      </c>
      <c r="E541" s="258">
        <f>SUMIF(GL!$D$6:$D$6484,B541,GL!$H$6:$H$6484)</f>
        <v>0</v>
      </c>
      <c r="F541" s="258">
        <f>SUMIF(GL!$D$6:$D$6484,B541,GL!$I$6:$I$6484)</f>
        <v>0</v>
      </c>
      <c r="G541" s="258">
        <f t="shared" si="88"/>
        <v>0</v>
      </c>
      <c r="H541" s="258">
        <f t="shared" si="89"/>
        <v>0</v>
      </c>
      <c r="I541" s="250">
        <v>2</v>
      </c>
      <c r="J541" s="251">
        <v>375000</v>
      </c>
      <c r="K541" s="252">
        <v>750000</v>
      </c>
      <c r="L541" s="253">
        <f t="shared" ref="L541:L543" si="155">D541+I541</f>
        <v>2</v>
      </c>
      <c r="M541" s="128">
        <f t="shared" ref="M541:M543" si="156">(G541+K541)/L541</f>
        <v>375000</v>
      </c>
      <c r="N541" s="128">
        <f t="shared" si="84"/>
        <v>750000</v>
      </c>
      <c r="O541" s="254">
        <v>2</v>
      </c>
      <c r="P541" s="128">
        <f t="shared" si="134"/>
        <v>375000</v>
      </c>
      <c r="Q541" s="18">
        <f t="shared" si="86"/>
        <v>750000</v>
      </c>
      <c r="R541" s="255">
        <f t="shared" si="87"/>
        <v>0</v>
      </c>
      <c r="S541" s="1"/>
      <c r="T541" s="1">
        <f t="shared" si="154"/>
        <v>0</v>
      </c>
      <c r="U541" s="1"/>
      <c r="V541" s="4"/>
      <c r="W541" s="99"/>
      <c r="X541" s="4"/>
      <c r="Y541" s="4"/>
      <c r="Z541" s="4"/>
      <c r="AA541" s="4"/>
      <c r="AB541" s="4"/>
      <c r="AC541" s="4"/>
      <c r="AD541" s="99"/>
      <c r="AE541" s="99"/>
      <c r="AF541" s="1"/>
      <c r="AG541" s="1"/>
      <c r="AH541" s="1"/>
      <c r="AI541" s="1"/>
      <c r="AJ541" s="1"/>
    </row>
    <row r="542" spans="1:36" ht="13.5" customHeight="1">
      <c r="A542" s="259"/>
      <c r="B542" s="15" t="str">
        <f>TB!B576</f>
        <v>SP053D</v>
      </c>
      <c r="C542" s="288" t="str">
        <f>TB!C576</f>
        <v>Martel Xo</v>
      </c>
      <c r="D542" s="257">
        <f>SUMIF(GL!$D$5:$D$6446,B542,GL!$G$5:$G$6446)</f>
        <v>0</v>
      </c>
      <c r="E542" s="258">
        <f>SUMIF(GL!$D$6:$D$6484,B542,GL!$H$6:$H$6484)</f>
        <v>0</v>
      </c>
      <c r="F542" s="258">
        <f>SUMIF(GL!$D$6:$D$6484,B542,GL!$I$6:$I$6484)</f>
        <v>0</v>
      </c>
      <c r="G542" s="258">
        <f t="shared" si="88"/>
        <v>0</v>
      </c>
      <c r="H542" s="258">
        <f t="shared" si="89"/>
        <v>0</v>
      </c>
      <c r="I542" s="250">
        <v>2</v>
      </c>
      <c r="J542" s="251">
        <v>3473334</v>
      </c>
      <c r="K542" s="252">
        <v>6946667</v>
      </c>
      <c r="L542" s="253">
        <f t="shared" si="155"/>
        <v>2</v>
      </c>
      <c r="M542" s="128">
        <f t="shared" si="156"/>
        <v>3473333.5</v>
      </c>
      <c r="N542" s="128">
        <f t="shared" si="84"/>
        <v>6946667</v>
      </c>
      <c r="O542" s="254">
        <v>2</v>
      </c>
      <c r="P542" s="128">
        <f t="shared" si="134"/>
        <v>3473333.5</v>
      </c>
      <c r="Q542" s="18">
        <f t="shared" si="86"/>
        <v>6946667</v>
      </c>
      <c r="R542" s="255">
        <f t="shared" si="87"/>
        <v>0</v>
      </c>
      <c r="S542" s="1"/>
      <c r="T542" s="1">
        <f t="shared" si="154"/>
        <v>0.5</v>
      </c>
      <c r="U542" s="1"/>
      <c r="V542" s="99"/>
      <c r="W542" s="99"/>
      <c r="X542" s="4"/>
      <c r="Y542" s="4"/>
      <c r="Z542" s="4"/>
      <c r="AA542" s="4"/>
      <c r="AB542" s="4"/>
      <c r="AC542" s="4"/>
      <c r="AD542" s="99"/>
      <c r="AE542" s="99"/>
      <c r="AF542" s="1"/>
      <c r="AG542" s="1"/>
      <c r="AH542" s="1"/>
      <c r="AI542" s="1"/>
      <c r="AJ542" s="1"/>
    </row>
    <row r="543" spans="1:36" ht="13.5" customHeight="1">
      <c r="A543" s="259"/>
      <c r="B543" s="15" t="str">
        <f>TB!B577</f>
        <v>SP053E</v>
      </c>
      <c r="C543" s="288" t="str">
        <f>TB!C577</f>
        <v>Hennesy Xo</v>
      </c>
      <c r="D543" s="257">
        <f>SUMIF(GL!$D$5:$D$6446,B543,GL!$G$5:$G$6446)</f>
        <v>0</v>
      </c>
      <c r="E543" s="258">
        <f>SUMIF(GL!$D$6:$D$6484,B543,GL!$H$6:$H$6484)</f>
        <v>0</v>
      </c>
      <c r="F543" s="258">
        <f>SUMIF(GL!$D$6:$D$6484,B543,GL!$I$6:$I$6484)</f>
        <v>0</v>
      </c>
      <c r="G543" s="258">
        <f t="shared" si="88"/>
        <v>0</v>
      </c>
      <c r="H543" s="258">
        <f t="shared" si="89"/>
        <v>0</v>
      </c>
      <c r="I543" s="250">
        <v>1</v>
      </c>
      <c r="J543" s="251">
        <v>3325000</v>
      </c>
      <c r="K543" s="252">
        <v>3325000</v>
      </c>
      <c r="L543" s="253">
        <f t="shared" si="155"/>
        <v>1</v>
      </c>
      <c r="M543" s="128">
        <f t="shared" si="156"/>
        <v>3325000</v>
      </c>
      <c r="N543" s="128">
        <f t="shared" si="84"/>
        <v>3325000</v>
      </c>
      <c r="O543" s="254">
        <v>1</v>
      </c>
      <c r="P543" s="128">
        <f t="shared" si="134"/>
        <v>3325000</v>
      </c>
      <c r="Q543" s="18">
        <f t="shared" si="86"/>
        <v>3325000</v>
      </c>
      <c r="R543" s="255">
        <f t="shared" si="87"/>
        <v>0</v>
      </c>
      <c r="S543" s="1"/>
      <c r="T543" s="1">
        <f t="shared" si="154"/>
        <v>0</v>
      </c>
      <c r="U543" s="1"/>
      <c r="V543" s="99"/>
      <c r="W543" s="99"/>
      <c r="X543" s="4"/>
      <c r="Y543" s="4"/>
      <c r="Z543" s="4"/>
      <c r="AA543" s="4"/>
      <c r="AB543" s="4"/>
      <c r="AC543" s="4"/>
      <c r="AD543" s="99"/>
      <c r="AE543" s="99"/>
      <c r="AF543" s="1"/>
      <c r="AG543" s="1"/>
      <c r="AH543" s="1"/>
      <c r="AI543" s="1"/>
      <c r="AJ543" s="1"/>
    </row>
    <row r="544" spans="1:36" ht="13.5" customHeight="1">
      <c r="A544" s="259"/>
      <c r="B544" s="15" t="str">
        <f>TB!B578</f>
        <v>SP051A</v>
      </c>
      <c r="C544" s="288" t="str">
        <f>TB!C578</f>
        <v>Martell Noblige</v>
      </c>
      <c r="D544" s="257">
        <f>SUMIF(GL!$D$5:$D$6446,B544,GL!$G$5:$G$6446)</f>
        <v>0</v>
      </c>
      <c r="E544" s="258">
        <f>SUMIF(GL!$D$6:$D$6484,B544,GL!$H$6:$H$6484)</f>
        <v>0</v>
      </c>
      <c r="F544" s="258">
        <f>SUMIF(GL!$D$6:$D$6484,B544,GL!$I$6:$I$6484)</f>
        <v>0</v>
      </c>
      <c r="G544" s="258">
        <f t="shared" si="88"/>
        <v>0</v>
      </c>
      <c r="H544" s="258">
        <f t="shared" si="89"/>
        <v>0</v>
      </c>
      <c r="I544" s="250"/>
      <c r="J544" s="251"/>
      <c r="K544" s="252"/>
      <c r="L544" s="253"/>
      <c r="M544" s="128"/>
      <c r="N544" s="128">
        <f t="shared" si="84"/>
        <v>0</v>
      </c>
      <c r="O544" s="254"/>
      <c r="P544" s="128">
        <f t="shared" si="134"/>
        <v>0</v>
      </c>
      <c r="Q544" s="18">
        <f t="shared" si="86"/>
        <v>0</v>
      </c>
      <c r="R544" s="255">
        <f t="shared" si="87"/>
        <v>0</v>
      </c>
      <c r="S544" s="1"/>
      <c r="T544" s="1">
        <f t="shared" si="154"/>
        <v>0</v>
      </c>
      <c r="U544" s="1"/>
      <c r="V544" s="4"/>
      <c r="W544" s="99"/>
      <c r="X544" s="4"/>
      <c r="Y544" s="4"/>
      <c r="Z544" s="4"/>
      <c r="AA544" s="4"/>
      <c r="AB544" s="4"/>
      <c r="AC544" s="4"/>
      <c r="AD544" s="99"/>
      <c r="AE544" s="99"/>
      <c r="AF544" s="1"/>
      <c r="AG544" s="1"/>
      <c r="AH544" s="1"/>
      <c r="AI544" s="1"/>
      <c r="AJ544" s="1"/>
    </row>
    <row r="545" spans="1:36" ht="13.5" customHeight="1">
      <c r="A545" s="259"/>
      <c r="B545" s="15">
        <f>TB!B579</f>
        <v>0</v>
      </c>
      <c r="C545" s="288">
        <f>TB!C579</f>
        <v>0</v>
      </c>
      <c r="D545" s="257">
        <f>SUMIF(GL!$D$5:$D$6446,B545,GL!$G$5:$G$6446)</f>
        <v>0</v>
      </c>
      <c r="E545" s="258">
        <f>SUMIF(GL!$D$6:$D$6484,B545,GL!$H$6:$H$6484)</f>
        <v>0</v>
      </c>
      <c r="F545" s="258">
        <f>SUMIF(GL!$D$6:$D$6484,B545,GL!$I$6:$I$6484)</f>
        <v>0</v>
      </c>
      <c r="G545" s="258">
        <f t="shared" si="88"/>
        <v>0</v>
      </c>
      <c r="H545" s="258">
        <f t="shared" si="89"/>
        <v>0</v>
      </c>
      <c r="I545" s="250"/>
      <c r="J545" s="251"/>
      <c r="K545" s="252"/>
      <c r="L545" s="253"/>
      <c r="M545" s="128"/>
      <c r="N545" s="128">
        <f t="shared" si="84"/>
        <v>0</v>
      </c>
      <c r="O545" s="254"/>
      <c r="P545" s="128">
        <f t="shared" si="134"/>
        <v>0</v>
      </c>
      <c r="Q545" s="18">
        <f t="shared" si="86"/>
        <v>0</v>
      </c>
      <c r="R545" s="255">
        <f t="shared" si="87"/>
        <v>0</v>
      </c>
      <c r="S545" s="1"/>
      <c r="T545" s="1">
        <f t="shared" si="154"/>
        <v>0</v>
      </c>
      <c r="U545" s="4"/>
      <c r="V545" s="4"/>
      <c r="W545" s="99"/>
      <c r="X545" s="4"/>
      <c r="Y545" s="4"/>
      <c r="Z545" s="4"/>
      <c r="AA545" s="4"/>
      <c r="AB545" s="4"/>
      <c r="AC545" s="4"/>
      <c r="AD545" s="99"/>
      <c r="AE545" s="99"/>
      <c r="AF545" s="1"/>
      <c r="AG545" s="1"/>
      <c r="AH545" s="1"/>
      <c r="AI545" s="1"/>
      <c r="AJ545" s="1"/>
    </row>
    <row r="546" spans="1:36" ht="13.5" customHeight="1">
      <c r="A546" s="259"/>
      <c r="B546" s="174"/>
      <c r="C546" s="295" t="s">
        <v>2630</v>
      </c>
      <c r="D546" s="257">
        <f>SUMIF(GL!$D$5:$D$6446,B546,GL!$G$5:$G$6446)</f>
        <v>0</v>
      </c>
      <c r="E546" s="258">
        <f>SUMIF(GL!$D$6:$D$6484,B546,GL!$H$6:$H$6484)</f>
        <v>0</v>
      </c>
      <c r="F546" s="258">
        <f>SUMIF(GL!$D$6:$D$6484,B546,GL!$I$6:$I$6484)</f>
        <v>0</v>
      </c>
      <c r="G546" s="258">
        <f t="shared" si="88"/>
        <v>0</v>
      </c>
      <c r="H546" s="258">
        <f t="shared" si="89"/>
        <v>0</v>
      </c>
      <c r="I546" s="250"/>
      <c r="J546" s="251"/>
      <c r="K546" s="252"/>
      <c r="L546" s="253"/>
      <c r="M546" s="128"/>
      <c r="N546" s="128">
        <f t="shared" si="84"/>
        <v>0</v>
      </c>
      <c r="O546" s="254"/>
      <c r="P546" s="128">
        <f t="shared" si="134"/>
        <v>0</v>
      </c>
      <c r="Q546" s="18">
        <f t="shared" si="86"/>
        <v>0</v>
      </c>
      <c r="R546" s="255">
        <f t="shared" si="87"/>
        <v>0</v>
      </c>
      <c r="S546" s="1"/>
      <c r="T546" s="1">
        <f t="shared" si="154"/>
        <v>0</v>
      </c>
      <c r="U546" s="4"/>
      <c r="V546" s="296"/>
      <c r="W546" s="99"/>
      <c r="X546" s="4"/>
      <c r="Y546" s="4"/>
      <c r="Z546" s="4"/>
      <c r="AA546" s="4"/>
      <c r="AB546" s="4"/>
      <c r="AC546" s="4"/>
      <c r="AD546" s="99"/>
      <c r="AE546" s="99"/>
      <c r="AF546" s="1"/>
      <c r="AG546" s="1"/>
      <c r="AH546" s="1"/>
      <c r="AI546" s="1"/>
      <c r="AJ546" s="1"/>
    </row>
    <row r="547" spans="1:36" ht="13.5" customHeight="1">
      <c r="A547" s="259"/>
      <c r="B547" s="174"/>
      <c r="C547" s="295" t="s">
        <v>2630</v>
      </c>
      <c r="D547" s="257">
        <f>SUMIF(GL!$D$5:$D$6446,B547,GL!$G$5:$G$6446)</f>
        <v>0</v>
      </c>
      <c r="E547" s="258">
        <f>SUMIF(GL!$D$6:$D$6484,B547,GL!$H$6:$H$6484)</f>
        <v>0</v>
      </c>
      <c r="F547" s="258">
        <f>SUMIF(GL!$D$6:$D$6484,B547,GL!$I$6:$I$6484)</f>
        <v>0</v>
      </c>
      <c r="G547" s="258">
        <f t="shared" si="88"/>
        <v>0</v>
      </c>
      <c r="H547" s="258">
        <f t="shared" si="89"/>
        <v>0</v>
      </c>
      <c r="I547" s="250"/>
      <c r="J547" s="251"/>
      <c r="K547" s="252"/>
      <c r="L547" s="253"/>
      <c r="M547" s="128"/>
      <c r="N547" s="128">
        <f t="shared" si="84"/>
        <v>0</v>
      </c>
      <c r="O547" s="254"/>
      <c r="P547" s="128">
        <f t="shared" si="134"/>
        <v>0</v>
      </c>
      <c r="Q547" s="18">
        <f t="shared" si="86"/>
        <v>0</v>
      </c>
      <c r="R547" s="255">
        <f t="shared" si="87"/>
        <v>0</v>
      </c>
      <c r="S547" s="1"/>
      <c r="T547" s="1">
        <f t="shared" si="154"/>
        <v>0</v>
      </c>
      <c r="U547" s="4"/>
      <c r="V547" s="296"/>
      <c r="W547" s="99"/>
      <c r="X547" s="4"/>
      <c r="Y547" s="4"/>
      <c r="Z547" s="4"/>
      <c r="AA547" s="4"/>
      <c r="AB547" s="4"/>
      <c r="AC547" s="4"/>
      <c r="AD547" s="99"/>
      <c r="AE547" s="99"/>
      <c r="AF547" s="1"/>
      <c r="AG547" s="1"/>
      <c r="AH547" s="1"/>
      <c r="AI547" s="1"/>
      <c r="AJ547" s="1"/>
    </row>
    <row r="548" spans="1:36" ht="13.5" customHeight="1">
      <c r="A548" s="259"/>
      <c r="B548" s="174"/>
      <c r="C548" s="261" t="s">
        <v>3839</v>
      </c>
      <c r="D548" s="257">
        <f>SUMIF(GL!$D$5:$D$6446,B548,GL!$G$5:$G$6446)</f>
        <v>0</v>
      </c>
      <c r="E548" s="258">
        <f>SUMIF(GL!$D$6:$D$6484,B548,GL!$H$6:$H$6484)</f>
        <v>0</v>
      </c>
      <c r="F548" s="258">
        <f>SUMIF(GL!$D$6:$D$6484,B548,GL!$I$6:$I$6484)</f>
        <v>0</v>
      </c>
      <c r="G548" s="258">
        <f t="shared" si="88"/>
        <v>0</v>
      </c>
      <c r="H548" s="258">
        <f t="shared" si="89"/>
        <v>0</v>
      </c>
      <c r="I548" s="250"/>
      <c r="J548" s="251"/>
      <c r="K548" s="252"/>
      <c r="L548" s="253"/>
      <c r="M548" s="128"/>
      <c r="N548" s="128">
        <f t="shared" si="84"/>
        <v>0</v>
      </c>
      <c r="O548" s="254"/>
      <c r="P548" s="128">
        <f t="shared" si="134"/>
        <v>0</v>
      </c>
      <c r="Q548" s="18">
        <f t="shared" si="86"/>
        <v>0</v>
      </c>
      <c r="R548" s="255">
        <f t="shared" si="87"/>
        <v>0</v>
      </c>
      <c r="S548" s="1"/>
      <c r="T548" s="1">
        <f t="shared" si="154"/>
        <v>0</v>
      </c>
      <c r="U548" s="4"/>
      <c r="V548" s="296"/>
      <c r="W548" s="99"/>
      <c r="X548" s="4"/>
      <c r="Y548" s="4"/>
      <c r="Z548" s="4"/>
      <c r="AA548" s="4"/>
      <c r="AB548" s="4"/>
      <c r="AC548" s="4"/>
      <c r="AD548" s="99"/>
      <c r="AE548" s="99"/>
      <c r="AF548" s="1"/>
      <c r="AG548" s="1"/>
      <c r="AH548" s="1"/>
      <c r="AI548" s="1"/>
      <c r="AJ548" s="1"/>
    </row>
    <row r="549" spans="1:36" ht="13.5" customHeight="1">
      <c r="A549" s="259"/>
      <c r="B549" s="15" t="str">
        <f>TB!B583</f>
        <v>SP054</v>
      </c>
      <c r="C549" s="288" t="str">
        <f>TB!C583</f>
        <v>Vacari Sambuca</v>
      </c>
      <c r="D549" s="257">
        <f>SUMIF(GL!$D$5:$D$6446,B549,GL!$G$5:$G$6446)</f>
        <v>3</v>
      </c>
      <c r="E549" s="258">
        <f>SUMIF(GL!$D$6:$D$6484,B549,GL!$H$6:$H$6484)</f>
        <v>1185000</v>
      </c>
      <c r="F549" s="258">
        <f>SUMIF(GL!$D$6:$D$6484,B549,GL!$I$6:$I$6484)</f>
        <v>0</v>
      </c>
      <c r="G549" s="258">
        <f t="shared" si="88"/>
        <v>1185000</v>
      </c>
      <c r="H549" s="258">
        <f t="shared" si="89"/>
        <v>0</v>
      </c>
      <c r="I549" s="250">
        <v>5.7</v>
      </c>
      <c r="J549" s="251">
        <v>446897</v>
      </c>
      <c r="K549" s="252">
        <v>2547312</v>
      </c>
      <c r="L549" s="253">
        <f t="shared" ref="L549:L550" si="157">D549+I549</f>
        <v>8.6999999999999993</v>
      </c>
      <c r="M549" s="128">
        <f t="shared" ref="M549:M550" si="158">(G549+K549)/L549</f>
        <v>429001.37931034487</v>
      </c>
      <c r="N549" s="128">
        <f t="shared" si="84"/>
        <v>3732312</v>
      </c>
      <c r="O549" s="254">
        <v>6.8</v>
      </c>
      <c r="P549" s="128">
        <f t="shared" si="134"/>
        <v>429001.37931034487</v>
      </c>
      <c r="Q549" s="18">
        <f t="shared" si="86"/>
        <v>2917209.3793103448</v>
      </c>
      <c r="R549" s="255">
        <f t="shared" si="87"/>
        <v>815102.62068965519</v>
      </c>
      <c r="S549" s="1"/>
      <c r="T549" s="1">
        <f t="shared" si="154"/>
        <v>17895.62068965513</v>
      </c>
      <c r="U549" s="1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1"/>
      <c r="AG549" s="1"/>
      <c r="AH549" s="1"/>
      <c r="AI549" s="1"/>
      <c r="AJ549" s="1"/>
    </row>
    <row r="550" spans="1:36" ht="13.5" customHeight="1">
      <c r="A550" s="259"/>
      <c r="B550" s="15" t="str">
        <f>TB!B584</f>
        <v>SP055</v>
      </c>
      <c r="C550" s="288" t="str">
        <f>TB!C584</f>
        <v>Jagermeister</v>
      </c>
      <c r="D550" s="257">
        <f>SUMIF(GL!$D$5:$D$6446,B550,GL!$G$5:$G$6446)</f>
        <v>40</v>
      </c>
      <c r="E550" s="258">
        <f>SUMIF(GL!$D$6:$D$6484,B550,GL!$H$6:$H$6484)</f>
        <v>13000000</v>
      </c>
      <c r="F550" s="258">
        <f>SUMIF(GL!$D$6:$D$6484,B550,GL!$I$6:$I$6484)</f>
        <v>0</v>
      </c>
      <c r="G550" s="258">
        <f t="shared" si="88"/>
        <v>13000000</v>
      </c>
      <c r="H550" s="258">
        <f t="shared" si="89"/>
        <v>0</v>
      </c>
      <c r="I550" s="250">
        <v>27.2</v>
      </c>
      <c r="J550" s="251">
        <v>321263</v>
      </c>
      <c r="K550" s="252">
        <v>8738351</v>
      </c>
      <c r="L550" s="253">
        <f t="shared" si="157"/>
        <v>67.2</v>
      </c>
      <c r="M550" s="128">
        <f t="shared" si="158"/>
        <v>323487.36607142858</v>
      </c>
      <c r="N550" s="128">
        <f t="shared" si="84"/>
        <v>21738351</v>
      </c>
      <c r="O550" s="254">
        <v>42.6</v>
      </c>
      <c r="P550" s="128">
        <f t="shared" si="134"/>
        <v>323487.36607142858</v>
      </c>
      <c r="Q550" s="18">
        <f t="shared" si="86"/>
        <v>13780561.794642858</v>
      </c>
      <c r="R550" s="255">
        <f t="shared" si="87"/>
        <v>7957789.2053571418</v>
      </c>
      <c r="S550" s="1"/>
      <c r="T550" s="1">
        <f t="shared" si="154"/>
        <v>-2224.3660714285797</v>
      </c>
      <c r="U550" s="1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1"/>
      <c r="AG550" s="1"/>
      <c r="AH550" s="1"/>
      <c r="AI550" s="1"/>
      <c r="AJ550" s="1"/>
    </row>
    <row r="551" spans="1:36" ht="13.5" customHeight="1">
      <c r="A551" s="259"/>
      <c r="B551" s="15" t="str">
        <f>TB!B585</f>
        <v>SP056</v>
      </c>
      <c r="C551" s="288" t="str">
        <f>TB!C585</f>
        <v>Tia Maria</v>
      </c>
      <c r="D551" s="257">
        <f>SUMIF(GL!$D$5:$D$6446,B551,GL!$G$5:$G$6446)</f>
        <v>0</v>
      </c>
      <c r="E551" s="258">
        <f>SUMIF(GL!$D$6:$D$6484,B551,GL!$H$6:$H$6484)</f>
        <v>0</v>
      </c>
      <c r="F551" s="258">
        <f>SUMIF(GL!$D$6:$D$6484,B551,GL!$I$6:$I$6484)</f>
        <v>0</v>
      </c>
      <c r="G551" s="258">
        <f t="shared" si="88"/>
        <v>0</v>
      </c>
      <c r="H551" s="258">
        <f t="shared" si="89"/>
        <v>0</v>
      </c>
      <c r="I551" s="250"/>
      <c r="J551" s="251"/>
      <c r="K551" s="252"/>
      <c r="L551" s="253"/>
      <c r="M551" s="128"/>
      <c r="N551" s="128">
        <f t="shared" si="84"/>
        <v>0</v>
      </c>
      <c r="O551" s="254"/>
      <c r="P551" s="128">
        <f t="shared" si="134"/>
        <v>0</v>
      </c>
      <c r="Q551" s="18">
        <f t="shared" si="86"/>
        <v>0</v>
      </c>
      <c r="R551" s="255">
        <f t="shared" si="87"/>
        <v>0</v>
      </c>
      <c r="S551" s="1"/>
      <c r="T551" s="1">
        <f t="shared" si="154"/>
        <v>0</v>
      </c>
      <c r="U551" s="1"/>
      <c r="V551" s="4"/>
      <c r="W551" s="99"/>
      <c r="X551" s="99"/>
      <c r="Y551" s="99"/>
      <c r="Z551" s="99"/>
      <c r="AA551" s="99"/>
      <c r="AB551" s="99"/>
      <c r="AC551" s="99"/>
      <c r="AD551" s="99"/>
      <c r="AE551" s="99"/>
      <c r="AF551" s="1"/>
      <c r="AG551" s="1"/>
      <c r="AH551" s="1"/>
      <c r="AI551" s="1"/>
      <c r="AJ551" s="1"/>
    </row>
    <row r="552" spans="1:36" ht="13.5" customHeight="1">
      <c r="A552" s="259"/>
      <c r="B552" s="15" t="str">
        <f>TB!B586</f>
        <v>SP057</v>
      </c>
      <c r="C552" s="288" t="str">
        <f>TB!C586</f>
        <v>Cointreau</v>
      </c>
      <c r="D552" s="257">
        <f>SUMIF(GL!$D$5:$D$6446,B552,GL!$G$5:$G$6446)</f>
        <v>2</v>
      </c>
      <c r="E552" s="258">
        <f>SUMIF(GL!$D$6:$D$6484,B552,GL!$H$6:$H$6484)</f>
        <v>770000</v>
      </c>
      <c r="F552" s="258">
        <f>SUMIF(GL!$D$6:$D$6484,B552,GL!$I$6:$I$6484)</f>
        <v>0</v>
      </c>
      <c r="G552" s="258">
        <f t="shared" si="88"/>
        <v>770000</v>
      </c>
      <c r="H552" s="258">
        <f t="shared" si="89"/>
        <v>0</v>
      </c>
      <c r="I552" s="250">
        <v>6.7</v>
      </c>
      <c r="J552" s="251">
        <v>405039</v>
      </c>
      <c r="K552" s="252">
        <v>2713764</v>
      </c>
      <c r="L552" s="253">
        <f t="shared" ref="L552:L557" si="159">D552+I552</f>
        <v>8.6999999999999993</v>
      </c>
      <c r="M552" s="128">
        <f t="shared" ref="M552:M557" si="160">(G552+K552)/L552</f>
        <v>400432.64367816097</v>
      </c>
      <c r="N552" s="128">
        <f t="shared" si="84"/>
        <v>3483764</v>
      </c>
      <c r="O552" s="254">
        <v>6.1</v>
      </c>
      <c r="P552" s="128">
        <f t="shared" si="134"/>
        <v>400432.64367816097</v>
      </c>
      <c r="Q552" s="18">
        <f t="shared" si="86"/>
        <v>2442639.1264367816</v>
      </c>
      <c r="R552" s="255">
        <f t="shared" si="87"/>
        <v>1041124.8735632184</v>
      </c>
      <c r="S552" s="1"/>
      <c r="T552" s="1">
        <f t="shared" si="154"/>
        <v>4606.3563218390336</v>
      </c>
      <c r="U552" s="1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1"/>
      <c r="AG552" s="1"/>
      <c r="AH552" s="1"/>
      <c r="AI552" s="1"/>
      <c r="AJ552" s="1"/>
    </row>
    <row r="553" spans="1:36" ht="13.5" customHeight="1">
      <c r="A553" s="259"/>
      <c r="B553" s="15" t="str">
        <f>TB!B587</f>
        <v>SP058</v>
      </c>
      <c r="C553" s="288" t="str">
        <f>TB!C587</f>
        <v>Baileys</v>
      </c>
      <c r="D553" s="257">
        <f>SUMIF(GL!$D$5:$D$6446,B553,GL!$G$5:$G$6446)</f>
        <v>3</v>
      </c>
      <c r="E553" s="258">
        <f>SUMIF(GL!$D$6:$D$6484,B553,GL!$H$6:$H$6484)</f>
        <v>1125000</v>
      </c>
      <c r="F553" s="258">
        <f>SUMIF(GL!$D$6:$D$6484,B553,GL!$I$6:$I$6484)</f>
        <v>0</v>
      </c>
      <c r="G553" s="258">
        <f t="shared" si="88"/>
        <v>1125000</v>
      </c>
      <c r="H553" s="258">
        <f t="shared" si="89"/>
        <v>0</v>
      </c>
      <c r="I553" s="250">
        <v>4.8</v>
      </c>
      <c r="J553" s="251">
        <v>397630</v>
      </c>
      <c r="K553" s="252">
        <v>1908626</v>
      </c>
      <c r="L553" s="253">
        <f t="shared" si="159"/>
        <v>7.8</v>
      </c>
      <c r="M553" s="128">
        <f t="shared" si="160"/>
        <v>388926.41025641025</v>
      </c>
      <c r="N553" s="128">
        <f t="shared" ref="N553:N637" si="161">G553+K553</f>
        <v>3033626</v>
      </c>
      <c r="O553" s="254">
        <v>5.8</v>
      </c>
      <c r="P553" s="128">
        <f t="shared" si="134"/>
        <v>388926.41025641025</v>
      </c>
      <c r="Q553" s="18">
        <f t="shared" ref="Q553:Q637" si="162">O553*P553</f>
        <v>2255773.1794871795</v>
      </c>
      <c r="R553" s="255">
        <f t="shared" ref="R553:R637" si="163">N553-Q553</f>
        <v>777852.8205128205</v>
      </c>
      <c r="S553" s="1"/>
      <c r="T553" s="1">
        <f t="shared" si="154"/>
        <v>8703.5897435897496</v>
      </c>
      <c r="U553" s="1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1"/>
      <c r="AG553" s="1"/>
      <c r="AH553" s="1"/>
      <c r="AI553" s="1"/>
      <c r="AJ553" s="1"/>
    </row>
    <row r="554" spans="1:36" ht="13.5" customHeight="1">
      <c r="A554" s="259"/>
      <c r="B554" s="15" t="str">
        <f>TB!B588</f>
        <v>SP059</v>
      </c>
      <c r="C554" s="288" t="str">
        <f>TB!C588</f>
        <v>Kahlua</v>
      </c>
      <c r="D554" s="257">
        <f>SUMIF(GL!$D$5:$D$6446,B554,GL!$G$5:$G$6446)</f>
        <v>0</v>
      </c>
      <c r="E554" s="258">
        <f>SUMIF(GL!$D$6:$D$6484,B554,GL!$H$6:$H$6484)</f>
        <v>0</v>
      </c>
      <c r="F554" s="258">
        <f>SUMIF(GL!$D$6:$D$6484,B554,GL!$I$6:$I$6484)</f>
        <v>0</v>
      </c>
      <c r="G554" s="258">
        <f t="shared" ref="G554:G637" si="164">IF(E554&gt;F554,E554-F554,0)</f>
        <v>0</v>
      </c>
      <c r="H554" s="258">
        <f t="shared" ref="H554:H637" si="165">IF(F554&gt;E554,F554-E554,0)</f>
        <v>0</v>
      </c>
      <c r="I554" s="250">
        <v>2.8</v>
      </c>
      <c r="J554" s="251">
        <v>396968</v>
      </c>
      <c r="K554" s="252">
        <v>1111509</v>
      </c>
      <c r="L554" s="253">
        <f t="shared" si="159"/>
        <v>2.8</v>
      </c>
      <c r="M554" s="128">
        <f t="shared" si="160"/>
        <v>396967.5</v>
      </c>
      <c r="N554" s="128">
        <f t="shared" si="161"/>
        <v>1111509</v>
      </c>
      <c r="O554" s="254">
        <v>2.4</v>
      </c>
      <c r="P554" s="128">
        <f t="shared" si="134"/>
        <v>396967.5</v>
      </c>
      <c r="Q554" s="18">
        <f t="shared" si="162"/>
        <v>952722</v>
      </c>
      <c r="R554" s="255">
        <f t="shared" si="163"/>
        <v>158787</v>
      </c>
      <c r="S554" s="1"/>
      <c r="T554" s="1">
        <f t="shared" si="154"/>
        <v>0.5</v>
      </c>
      <c r="U554" s="1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1"/>
      <c r="AG554" s="1"/>
      <c r="AH554" s="1"/>
      <c r="AI554" s="1"/>
      <c r="AJ554" s="1"/>
    </row>
    <row r="555" spans="1:36" ht="13.5" customHeight="1">
      <c r="A555" s="259"/>
      <c r="B555" s="15" t="str">
        <f>TB!B589</f>
        <v>SP060</v>
      </c>
      <c r="C555" s="288" t="str">
        <f>TB!C589</f>
        <v>Amareco Disaronno/Amerto</v>
      </c>
      <c r="D555" s="257">
        <f>SUMIF(GL!$D$5:$D$6446,B555,GL!$G$5:$G$6446)</f>
        <v>2</v>
      </c>
      <c r="E555" s="258">
        <f>SUMIF(GL!$D$6:$D$6484,B555,GL!$H$6:$H$6484)</f>
        <v>983334</v>
      </c>
      <c r="F555" s="258">
        <f>SUMIF(GL!$D$6:$D$6484,B555,GL!$I$6:$I$6484)</f>
        <v>0</v>
      </c>
      <c r="G555" s="258">
        <f t="shared" si="164"/>
        <v>983334</v>
      </c>
      <c r="H555" s="258">
        <f t="shared" si="165"/>
        <v>0</v>
      </c>
      <c r="I555" s="250">
        <v>1</v>
      </c>
      <c r="J555" s="251">
        <v>483265</v>
      </c>
      <c r="K555" s="252">
        <v>483265</v>
      </c>
      <c r="L555" s="253">
        <f t="shared" si="159"/>
        <v>3</v>
      </c>
      <c r="M555" s="128">
        <f t="shared" si="160"/>
        <v>488866.33333333331</v>
      </c>
      <c r="N555" s="128">
        <f t="shared" si="161"/>
        <v>1466599</v>
      </c>
      <c r="O555" s="254">
        <v>2.2999999999999998</v>
      </c>
      <c r="P555" s="128">
        <f t="shared" si="134"/>
        <v>488866.33333333331</v>
      </c>
      <c r="Q555" s="18">
        <f t="shared" si="162"/>
        <v>1124392.5666666667</v>
      </c>
      <c r="R555" s="255">
        <f t="shared" si="163"/>
        <v>342206.43333333335</v>
      </c>
      <c r="S555" s="1"/>
      <c r="T555" s="1">
        <f t="shared" si="154"/>
        <v>-5601.3333333333139</v>
      </c>
      <c r="U555" s="1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1"/>
      <c r="AG555" s="1"/>
      <c r="AH555" s="1"/>
      <c r="AI555" s="1"/>
      <c r="AJ555" s="1"/>
    </row>
    <row r="556" spans="1:36" ht="13.5" customHeight="1">
      <c r="A556" s="259"/>
      <c r="B556" s="15" t="str">
        <f>TB!B590</f>
        <v>SP061</v>
      </c>
      <c r="C556" s="288" t="str">
        <f>TB!C590</f>
        <v>Aperol</v>
      </c>
      <c r="D556" s="257">
        <f>SUMIF(GL!$D$5:$D$6446,B556,GL!$G$5:$G$6446)</f>
        <v>3</v>
      </c>
      <c r="E556" s="258">
        <f>SUMIF(GL!$D$6:$D$6484,B556,GL!$H$6:$H$6484)</f>
        <v>1130001</v>
      </c>
      <c r="F556" s="258">
        <f>SUMIF(GL!$D$6:$D$6484,B556,GL!$I$6:$I$6484)</f>
        <v>0</v>
      </c>
      <c r="G556" s="258">
        <f t="shared" si="164"/>
        <v>1130001</v>
      </c>
      <c r="H556" s="258">
        <f t="shared" si="165"/>
        <v>0</v>
      </c>
      <c r="I556" s="250">
        <v>3.4</v>
      </c>
      <c r="J556" s="251">
        <v>389994</v>
      </c>
      <c r="K556" s="252">
        <v>1325980</v>
      </c>
      <c r="L556" s="253">
        <f t="shared" si="159"/>
        <v>6.4</v>
      </c>
      <c r="M556" s="128">
        <f t="shared" si="160"/>
        <v>383747.03125</v>
      </c>
      <c r="N556" s="128">
        <f t="shared" si="161"/>
        <v>2455981</v>
      </c>
      <c r="O556" s="254">
        <v>5.2</v>
      </c>
      <c r="P556" s="128">
        <f t="shared" si="134"/>
        <v>383747.03125</v>
      </c>
      <c r="Q556" s="18">
        <f t="shared" si="162"/>
        <v>1995484.5625</v>
      </c>
      <c r="R556" s="255">
        <f t="shared" si="163"/>
        <v>460496.4375</v>
      </c>
      <c r="S556" s="1"/>
      <c r="T556" s="1">
        <f t="shared" si="154"/>
        <v>6246.96875</v>
      </c>
      <c r="U556" s="1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1"/>
      <c r="AG556" s="1"/>
      <c r="AH556" s="1"/>
      <c r="AI556" s="1"/>
      <c r="AJ556" s="1"/>
    </row>
    <row r="557" spans="1:36" ht="13.5" customHeight="1">
      <c r="A557" s="259"/>
      <c r="B557" s="15" t="str">
        <f>TB!B591</f>
        <v>SP062</v>
      </c>
      <c r="C557" s="288" t="str">
        <f>TB!C591</f>
        <v>Galliano</v>
      </c>
      <c r="D557" s="257">
        <f>SUMIF(GL!$D$5:$D$6446,B557,GL!$G$5:$G$6446)</f>
        <v>0</v>
      </c>
      <c r="E557" s="258">
        <f>SUMIF(GL!$D$6:$D$6484,B557,GL!$H$6:$H$6484)</f>
        <v>0</v>
      </c>
      <c r="F557" s="258">
        <f>SUMIF(GL!$D$6:$D$6484,B557,GL!$I$6:$I$6484)</f>
        <v>0</v>
      </c>
      <c r="G557" s="258">
        <f t="shared" si="164"/>
        <v>0</v>
      </c>
      <c r="H557" s="258">
        <f t="shared" si="165"/>
        <v>0</v>
      </c>
      <c r="I557" s="250">
        <v>1</v>
      </c>
      <c r="J557" s="251">
        <v>571429</v>
      </c>
      <c r="K557" s="252">
        <v>571429</v>
      </c>
      <c r="L557" s="253">
        <f t="shared" si="159"/>
        <v>1</v>
      </c>
      <c r="M557" s="128">
        <f t="shared" si="160"/>
        <v>571429</v>
      </c>
      <c r="N557" s="128">
        <f t="shared" si="161"/>
        <v>571429</v>
      </c>
      <c r="O557" s="254">
        <v>1</v>
      </c>
      <c r="P557" s="128">
        <f t="shared" si="134"/>
        <v>571429</v>
      </c>
      <c r="Q557" s="18">
        <f t="shared" si="162"/>
        <v>571429</v>
      </c>
      <c r="R557" s="255">
        <f t="shared" si="163"/>
        <v>0</v>
      </c>
      <c r="S557" s="1"/>
      <c r="T557" s="1">
        <f t="shared" si="154"/>
        <v>0</v>
      </c>
      <c r="U557" s="1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1"/>
      <c r="AG557" s="1"/>
      <c r="AH557" s="1"/>
      <c r="AI557" s="1"/>
      <c r="AJ557" s="1"/>
    </row>
    <row r="558" spans="1:36" ht="13.5" customHeight="1">
      <c r="A558" s="259"/>
      <c r="B558" s="15" t="str">
        <f>TB!B592</f>
        <v>SP063</v>
      </c>
      <c r="C558" s="288" t="str">
        <f>TB!C592</f>
        <v>Bushmills</v>
      </c>
      <c r="D558" s="257">
        <f>SUMIF(GL!$D$5:$D$6446,B558,GL!$G$5:$G$6446)</f>
        <v>0</v>
      </c>
      <c r="E558" s="258">
        <f>SUMIF(GL!$D$6:$D$6484,B558,GL!$H$6:$H$6484)</f>
        <v>0</v>
      </c>
      <c r="F558" s="258">
        <f>SUMIF(GL!$D$6:$D$6484,B558,GL!$I$6:$I$6484)</f>
        <v>0</v>
      </c>
      <c r="G558" s="258">
        <f t="shared" si="164"/>
        <v>0</v>
      </c>
      <c r="H558" s="258">
        <f t="shared" si="165"/>
        <v>0</v>
      </c>
      <c r="I558" s="250"/>
      <c r="J558" s="251"/>
      <c r="K558" s="252"/>
      <c r="L558" s="253"/>
      <c r="M558" s="128"/>
      <c r="N558" s="128">
        <f t="shared" si="161"/>
        <v>0</v>
      </c>
      <c r="O558" s="254"/>
      <c r="P558" s="128">
        <f t="shared" si="134"/>
        <v>0</v>
      </c>
      <c r="Q558" s="18">
        <f t="shared" si="162"/>
        <v>0</v>
      </c>
      <c r="R558" s="255">
        <f t="shared" si="163"/>
        <v>0</v>
      </c>
      <c r="S558" s="1"/>
      <c r="T558" s="1">
        <f t="shared" si="154"/>
        <v>0</v>
      </c>
      <c r="U558" s="1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1"/>
      <c r="AG558" s="1"/>
      <c r="AH558" s="1"/>
      <c r="AI558" s="1"/>
      <c r="AJ558" s="1"/>
    </row>
    <row r="559" spans="1:36" ht="13.5" customHeight="1">
      <c r="A559" s="259"/>
      <c r="B559" s="15" t="str">
        <f>TB!B593</f>
        <v>SP064</v>
      </c>
      <c r="C559" s="288" t="str">
        <f>TB!C593</f>
        <v>Midori</v>
      </c>
      <c r="D559" s="257">
        <f>SUMIF(GL!$D$5:$D$6446,B559,GL!$G$5:$G$6446)</f>
        <v>0</v>
      </c>
      <c r="E559" s="258">
        <f>SUMIF(GL!$D$6:$D$6484,B559,GL!$H$6:$H$6484)</f>
        <v>0</v>
      </c>
      <c r="F559" s="258">
        <f>SUMIF(GL!$D$6:$D$6484,B559,GL!$I$6:$I$6484)</f>
        <v>0</v>
      </c>
      <c r="G559" s="258">
        <f t="shared" si="164"/>
        <v>0</v>
      </c>
      <c r="H559" s="258">
        <f t="shared" si="165"/>
        <v>0</v>
      </c>
      <c r="I559" s="250">
        <v>0.7</v>
      </c>
      <c r="J559" s="251">
        <v>558286</v>
      </c>
      <c r="K559" s="252">
        <v>390800</v>
      </c>
      <c r="L559" s="253">
        <f>D559+I559</f>
        <v>0.7</v>
      </c>
      <c r="M559" s="128">
        <f>(G559+K559)/L559</f>
        <v>558285.71428571432</v>
      </c>
      <c r="N559" s="128">
        <f t="shared" si="161"/>
        <v>390800</v>
      </c>
      <c r="O559" s="254">
        <v>0.7</v>
      </c>
      <c r="P559" s="128">
        <f t="shared" si="134"/>
        <v>558285.71428571432</v>
      </c>
      <c r="Q559" s="18">
        <f t="shared" si="162"/>
        <v>390800</v>
      </c>
      <c r="R559" s="255">
        <f t="shared" si="163"/>
        <v>0</v>
      </c>
      <c r="S559" s="1"/>
      <c r="T559" s="1">
        <f t="shared" si="154"/>
        <v>0.28571428568102419</v>
      </c>
      <c r="U559" s="1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4"/>
      <c r="AG559" s="4"/>
      <c r="AH559" s="4"/>
      <c r="AI559" s="4"/>
      <c r="AJ559" s="4"/>
    </row>
    <row r="560" spans="1:36" ht="13.5" customHeight="1">
      <c r="A560" s="259"/>
      <c r="B560" s="15" t="str">
        <f>TB!B594</f>
        <v>SP065</v>
      </c>
      <c r="C560" s="288" t="str">
        <f>TB!C594</f>
        <v>Pims No 1</v>
      </c>
      <c r="D560" s="257">
        <f>SUMIF(GL!$D$5:$D$6446,B560,GL!$G$5:$G$6446)</f>
        <v>0</v>
      </c>
      <c r="E560" s="258">
        <f>SUMIF(GL!$D$6:$D$6484,B560,GL!$H$6:$H$6484)</f>
        <v>0</v>
      </c>
      <c r="F560" s="258">
        <f>SUMIF(GL!$D$6:$D$6484,B560,GL!$I$6:$I$6484)</f>
        <v>0</v>
      </c>
      <c r="G560" s="258">
        <f t="shared" si="164"/>
        <v>0</v>
      </c>
      <c r="H560" s="258">
        <f t="shared" si="165"/>
        <v>0</v>
      </c>
      <c r="I560" s="250"/>
      <c r="J560" s="251"/>
      <c r="K560" s="252"/>
      <c r="L560" s="253"/>
      <c r="M560" s="128"/>
      <c r="N560" s="128">
        <f t="shared" si="161"/>
        <v>0</v>
      </c>
      <c r="O560" s="254"/>
      <c r="P560" s="128">
        <f t="shared" si="134"/>
        <v>0</v>
      </c>
      <c r="Q560" s="18">
        <f t="shared" si="162"/>
        <v>0</v>
      </c>
      <c r="R560" s="255">
        <f t="shared" si="163"/>
        <v>0</v>
      </c>
      <c r="S560" s="1"/>
      <c r="T560" s="1">
        <f t="shared" si="154"/>
        <v>0</v>
      </c>
      <c r="U560" s="1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4"/>
      <c r="AG560" s="4"/>
      <c r="AH560" s="4"/>
      <c r="AI560" s="4"/>
      <c r="AJ560" s="4"/>
    </row>
    <row r="561" spans="1:36" ht="13.5" customHeight="1">
      <c r="A561" s="259"/>
      <c r="B561" s="15" t="str">
        <f>TB!B595</f>
        <v>SP066</v>
      </c>
      <c r="C561" s="288" t="str">
        <f>TB!C595</f>
        <v>Lemoncillo</v>
      </c>
      <c r="D561" s="257">
        <f>SUMIF(GL!$D$5:$D$6446,B561,GL!$G$5:$G$6446)</f>
        <v>0</v>
      </c>
      <c r="E561" s="258">
        <f>SUMIF(GL!$D$6:$D$6484,B561,GL!$H$6:$H$6484)</f>
        <v>0</v>
      </c>
      <c r="F561" s="258">
        <f>SUMIF(GL!$D$6:$D$6484,B561,GL!$I$6:$I$6484)</f>
        <v>0</v>
      </c>
      <c r="G561" s="258">
        <f t="shared" si="164"/>
        <v>0</v>
      </c>
      <c r="H561" s="258">
        <f t="shared" si="165"/>
        <v>0</v>
      </c>
      <c r="I561" s="250"/>
      <c r="J561" s="251"/>
      <c r="K561" s="252"/>
      <c r="L561" s="253"/>
      <c r="M561" s="128"/>
      <c r="N561" s="128">
        <f t="shared" si="161"/>
        <v>0</v>
      </c>
      <c r="O561" s="254"/>
      <c r="P561" s="128">
        <f t="shared" si="134"/>
        <v>0</v>
      </c>
      <c r="Q561" s="18">
        <f t="shared" si="162"/>
        <v>0</v>
      </c>
      <c r="R561" s="255">
        <f t="shared" si="163"/>
        <v>0</v>
      </c>
      <c r="S561" s="1"/>
      <c r="T561" s="1">
        <f t="shared" si="154"/>
        <v>0</v>
      </c>
      <c r="U561" s="1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4"/>
      <c r="AG561" s="4"/>
      <c r="AH561" s="4"/>
      <c r="AI561" s="4"/>
      <c r="AJ561" s="4"/>
    </row>
    <row r="562" spans="1:36" ht="13.5" customHeight="1">
      <c r="A562" s="284"/>
      <c r="B562" s="15" t="str">
        <f>TB!B596</f>
        <v>SP067</v>
      </c>
      <c r="C562" s="288" t="str">
        <f>TB!C596</f>
        <v>Triple Sec</v>
      </c>
      <c r="D562" s="257">
        <f>SUMIF(GL!$D$5:$D$6446,B562,GL!$G$5:$G$6446)</f>
        <v>0</v>
      </c>
      <c r="E562" s="258">
        <f>SUMIF(GL!$D$6:$D$6484,B562,GL!$H$6:$H$6484)</f>
        <v>0</v>
      </c>
      <c r="F562" s="258">
        <f>SUMIF(GL!$D$6:$D$6484,B562,GL!$I$6:$I$6484)</f>
        <v>0</v>
      </c>
      <c r="G562" s="258">
        <f t="shared" si="164"/>
        <v>0</v>
      </c>
      <c r="H562" s="258">
        <f t="shared" si="165"/>
        <v>0</v>
      </c>
      <c r="I562" s="250"/>
      <c r="J562" s="251"/>
      <c r="K562" s="252"/>
      <c r="L562" s="253"/>
      <c r="M562" s="128"/>
      <c r="N562" s="128">
        <f t="shared" si="161"/>
        <v>0</v>
      </c>
      <c r="O562" s="254"/>
      <c r="P562" s="128">
        <f t="shared" si="134"/>
        <v>0</v>
      </c>
      <c r="Q562" s="18">
        <f t="shared" si="162"/>
        <v>0</v>
      </c>
      <c r="R562" s="255">
        <f t="shared" si="163"/>
        <v>0</v>
      </c>
      <c r="S562" s="1"/>
      <c r="T562" s="1">
        <f t="shared" si="154"/>
        <v>0</v>
      </c>
      <c r="U562" s="1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1"/>
      <c r="AG562" s="1"/>
      <c r="AH562" s="1"/>
      <c r="AI562" s="1"/>
      <c r="AJ562" s="1"/>
    </row>
    <row r="563" spans="1:36" ht="13.5" customHeight="1">
      <c r="A563" s="284"/>
      <c r="B563" s="15" t="str">
        <f>TB!B597</f>
        <v>SP068</v>
      </c>
      <c r="C563" s="288" t="str">
        <f>TB!C597</f>
        <v>Bols Lychee</v>
      </c>
      <c r="D563" s="257">
        <f>SUMIF(GL!$D$5:$D$6446,B563,GL!$G$5:$G$6446)</f>
        <v>0</v>
      </c>
      <c r="E563" s="258">
        <f>SUMIF(GL!$D$6:$D$6484,B563,GL!$H$6:$H$6484)</f>
        <v>0</v>
      </c>
      <c r="F563" s="258">
        <f>SUMIF(GL!$D$6:$D$6484,B563,GL!$I$6:$I$6484)</f>
        <v>0</v>
      </c>
      <c r="G563" s="258">
        <f t="shared" si="164"/>
        <v>0</v>
      </c>
      <c r="H563" s="258">
        <f t="shared" si="165"/>
        <v>0</v>
      </c>
      <c r="I563" s="250"/>
      <c r="J563" s="251"/>
      <c r="K563" s="252"/>
      <c r="L563" s="253"/>
      <c r="M563" s="128"/>
      <c r="N563" s="128">
        <f t="shared" si="161"/>
        <v>0</v>
      </c>
      <c r="O563" s="254"/>
      <c r="P563" s="128">
        <f t="shared" si="134"/>
        <v>0</v>
      </c>
      <c r="Q563" s="18">
        <f t="shared" si="162"/>
        <v>0</v>
      </c>
      <c r="R563" s="255">
        <f t="shared" si="163"/>
        <v>0</v>
      </c>
      <c r="S563" s="1"/>
      <c r="T563" s="1">
        <f t="shared" si="154"/>
        <v>0</v>
      </c>
      <c r="U563" s="1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1"/>
      <c r="AG563" s="1"/>
      <c r="AH563" s="1"/>
      <c r="AI563" s="1"/>
      <c r="AJ563" s="1"/>
    </row>
    <row r="564" spans="1:36" ht="13.5" customHeight="1">
      <c r="A564" s="284"/>
      <c r="B564" s="15" t="str">
        <f>TB!B598</f>
        <v>SP069</v>
      </c>
      <c r="C564" s="288" t="str">
        <f>TB!C598</f>
        <v>Vibe Coconut</v>
      </c>
      <c r="D564" s="257">
        <f>SUMIF(GL!$D$5:$D$6446,B564,GL!$G$5:$G$6446)</f>
        <v>0</v>
      </c>
      <c r="E564" s="258">
        <f>SUMIF(GL!$D$6:$D$6484,B564,GL!$H$6:$H$6484)</f>
        <v>0</v>
      </c>
      <c r="F564" s="258">
        <f>SUMIF(GL!$D$6:$D$6484,B564,GL!$I$6:$I$6484)</f>
        <v>0</v>
      </c>
      <c r="G564" s="258">
        <f t="shared" si="164"/>
        <v>0</v>
      </c>
      <c r="H564" s="258">
        <f t="shared" si="165"/>
        <v>0</v>
      </c>
      <c r="I564" s="250">
        <v>4.9000000000000004</v>
      </c>
      <c r="J564" s="251">
        <v>219599</v>
      </c>
      <c r="K564" s="252">
        <v>1076034</v>
      </c>
      <c r="L564" s="253">
        <f>D564+I564</f>
        <v>4.9000000000000004</v>
      </c>
      <c r="M564" s="128">
        <f>(G564+K564)/L564</f>
        <v>219598.77551020405</v>
      </c>
      <c r="N564" s="128">
        <f t="shared" si="161"/>
        <v>1076034</v>
      </c>
      <c r="O564" s="254">
        <v>4.7</v>
      </c>
      <c r="P564" s="128">
        <f t="shared" si="134"/>
        <v>219598.77551020405</v>
      </c>
      <c r="Q564" s="18">
        <f t="shared" si="162"/>
        <v>1032114.2448979591</v>
      </c>
      <c r="R564" s="255">
        <f t="shared" si="163"/>
        <v>43919.755102040945</v>
      </c>
      <c r="S564" s="1"/>
      <c r="T564" s="1">
        <f t="shared" si="154"/>
        <v>0.22448979594628327</v>
      </c>
      <c r="U564" s="1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1"/>
      <c r="AG564" s="1"/>
      <c r="AH564" s="1"/>
      <c r="AI564" s="1"/>
      <c r="AJ564" s="1"/>
    </row>
    <row r="565" spans="1:36" ht="13.5" customHeight="1">
      <c r="A565" s="259"/>
      <c r="B565" s="15" t="str">
        <f>TB!B599</f>
        <v>SP070</v>
      </c>
      <c r="C565" s="288" t="str">
        <f>TB!C599</f>
        <v>Vibe Crème De Cacao Brown</v>
      </c>
      <c r="D565" s="257">
        <f>SUMIF(GL!$D$5:$D$6446,B565,GL!$G$5:$G$6446)</f>
        <v>0</v>
      </c>
      <c r="E565" s="258">
        <f>SUMIF(GL!$D$6:$D$6484,B565,GL!$H$6:$H$6484)</f>
        <v>0</v>
      </c>
      <c r="F565" s="258">
        <f>SUMIF(GL!$D$6:$D$6484,B565,GL!$I$6:$I$6484)</f>
        <v>0</v>
      </c>
      <c r="G565" s="258">
        <f t="shared" si="164"/>
        <v>0</v>
      </c>
      <c r="H565" s="258">
        <f t="shared" si="165"/>
        <v>0</v>
      </c>
      <c r="I565" s="250"/>
      <c r="J565" s="251"/>
      <c r="K565" s="252"/>
      <c r="L565" s="253"/>
      <c r="M565" s="128"/>
      <c r="N565" s="128">
        <f t="shared" si="161"/>
        <v>0</v>
      </c>
      <c r="O565" s="254"/>
      <c r="P565" s="128">
        <f t="shared" si="134"/>
        <v>0</v>
      </c>
      <c r="Q565" s="18">
        <f t="shared" si="162"/>
        <v>0</v>
      </c>
      <c r="R565" s="255">
        <f t="shared" si="163"/>
        <v>0</v>
      </c>
      <c r="S565" s="1"/>
      <c r="T565" s="1">
        <f t="shared" si="154"/>
        <v>0</v>
      </c>
      <c r="U565" s="1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1"/>
      <c r="AG565" s="1"/>
      <c r="AH565" s="1"/>
      <c r="AI565" s="1"/>
      <c r="AJ565" s="1"/>
    </row>
    <row r="566" spans="1:36" ht="13.5" customHeight="1">
      <c r="A566" s="259"/>
      <c r="B566" s="15" t="str">
        <f>TB!B600</f>
        <v>SP071</v>
      </c>
      <c r="C566" s="288" t="str">
        <f>TB!C600</f>
        <v>Vibe Blue Curacao</v>
      </c>
      <c r="D566" s="257">
        <f>SUMIF(GL!$D$5:$D$6446,B566,GL!$G$5:$G$6446)</f>
        <v>0</v>
      </c>
      <c r="E566" s="258">
        <f>SUMIF(GL!$D$6:$D$6484,B566,GL!$H$6:$H$6484)</f>
        <v>0</v>
      </c>
      <c r="F566" s="258">
        <f>SUMIF(GL!$D$6:$D$6484,B566,GL!$I$6:$I$6484)</f>
        <v>0</v>
      </c>
      <c r="G566" s="258">
        <f t="shared" si="164"/>
        <v>0</v>
      </c>
      <c r="H566" s="258">
        <f t="shared" si="165"/>
        <v>0</v>
      </c>
      <c r="I566" s="250">
        <v>2</v>
      </c>
      <c r="J566" s="251">
        <v>220000</v>
      </c>
      <c r="K566" s="252">
        <v>440000</v>
      </c>
      <c r="L566" s="253">
        <f t="shared" ref="L566:L571" si="166">D566+I566</f>
        <v>2</v>
      </c>
      <c r="M566" s="128">
        <f t="shared" ref="M566:M571" si="167">(G566+K566)/L566</f>
        <v>220000</v>
      </c>
      <c r="N566" s="128">
        <f t="shared" si="161"/>
        <v>440000</v>
      </c>
      <c r="O566" s="254">
        <v>2</v>
      </c>
      <c r="P566" s="128">
        <f t="shared" si="134"/>
        <v>220000</v>
      </c>
      <c r="Q566" s="18">
        <f t="shared" si="162"/>
        <v>440000</v>
      </c>
      <c r="R566" s="255">
        <f t="shared" si="163"/>
        <v>0</v>
      </c>
      <c r="S566" s="1"/>
      <c r="T566" s="1">
        <f t="shared" si="154"/>
        <v>0</v>
      </c>
      <c r="U566" s="1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1"/>
      <c r="AG566" s="1"/>
      <c r="AH566" s="1"/>
      <c r="AI566" s="1"/>
      <c r="AJ566" s="1"/>
    </row>
    <row r="567" spans="1:36" ht="13.5" customHeight="1">
      <c r="A567" s="259"/>
      <c r="B567" s="15" t="str">
        <f>TB!B601</f>
        <v>SP072</v>
      </c>
      <c r="C567" s="288" t="str">
        <f>TB!C601</f>
        <v>Vibe Peach</v>
      </c>
      <c r="D567" s="257">
        <f>SUMIF(GL!$D$5:$D$6446,B567,GL!$G$5:$G$6446)</f>
        <v>3</v>
      </c>
      <c r="E567" s="258">
        <f>SUMIF(GL!$D$6:$D$6484,B567,GL!$H$6:$H$6484)</f>
        <v>870000</v>
      </c>
      <c r="F567" s="258">
        <f>SUMIF(GL!$D$6:$D$6484,B567,GL!$I$6:$I$6484)</f>
        <v>0</v>
      </c>
      <c r="G567" s="258">
        <f t="shared" si="164"/>
        <v>870000</v>
      </c>
      <c r="H567" s="258">
        <f t="shared" si="165"/>
        <v>0</v>
      </c>
      <c r="I567" s="250">
        <v>4.4000000000000004</v>
      </c>
      <c r="J567" s="251">
        <v>290000</v>
      </c>
      <c r="K567" s="252">
        <v>1276000</v>
      </c>
      <c r="L567" s="253">
        <f t="shared" si="166"/>
        <v>7.4</v>
      </c>
      <c r="M567" s="128">
        <f t="shared" si="167"/>
        <v>290000</v>
      </c>
      <c r="N567" s="128">
        <f t="shared" si="161"/>
        <v>2146000</v>
      </c>
      <c r="O567" s="254">
        <v>6.3</v>
      </c>
      <c r="P567" s="128">
        <f t="shared" si="134"/>
        <v>290000</v>
      </c>
      <c r="Q567" s="18">
        <f t="shared" si="162"/>
        <v>1827000</v>
      </c>
      <c r="R567" s="255">
        <f t="shared" si="163"/>
        <v>319000</v>
      </c>
      <c r="S567" s="1"/>
      <c r="T567" s="1">
        <f t="shared" si="154"/>
        <v>0</v>
      </c>
      <c r="U567" s="1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1"/>
      <c r="AG567" s="1"/>
      <c r="AH567" s="1"/>
      <c r="AI567" s="1"/>
      <c r="AJ567" s="1"/>
    </row>
    <row r="568" spans="1:36" ht="13.5" customHeight="1">
      <c r="A568" s="259"/>
      <c r="B568" s="15" t="str">
        <f>TB!B602</f>
        <v>SP073</v>
      </c>
      <c r="C568" s="288" t="str">
        <f>TB!C602</f>
        <v>Vibe Exotic Lychee</v>
      </c>
      <c r="D568" s="257">
        <f>SUMIF(GL!$D$5:$D$6446,B568,GL!$G$5:$G$6446)</f>
        <v>0</v>
      </c>
      <c r="E568" s="258">
        <f>SUMIF(GL!$D$6:$D$6484,B568,GL!$H$6:$H$6484)</f>
        <v>0</v>
      </c>
      <c r="F568" s="258">
        <f>SUMIF(GL!$D$6:$D$6484,B568,GL!$I$6:$I$6484)</f>
        <v>0</v>
      </c>
      <c r="G568" s="258">
        <f t="shared" si="164"/>
        <v>0</v>
      </c>
      <c r="H568" s="258">
        <f t="shared" si="165"/>
        <v>0</v>
      </c>
      <c r="I568" s="250">
        <v>5.8</v>
      </c>
      <c r="J568" s="251">
        <v>262393</v>
      </c>
      <c r="K568" s="252">
        <v>1521881</v>
      </c>
      <c r="L568" s="253">
        <f t="shared" si="166"/>
        <v>5.8</v>
      </c>
      <c r="M568" s="128">
        <f t="shared" si="167"/>
        <v>262393.27586206899</v>
      </c>
      <c r="N568" s="128">
        <f t="shared" si="161"/>
        <v>1521881</v>
      </c>
      <c r="O568" s="254">
        <v>6.2</v>
      </c>
      <c r="P568" s="128">
        <f t="shared" si="134"/>
        <v>262393.27586206899</v>
      </c>
      <c r="Q568" s="18">
        <f t="shared" si="162"/>
        <v>1626838.3103448278</v>
      </c>
      <c r="R568" s="255">
        <f t="shared" si="163"/>
        <v>-104957.31034482783</v>
      </c>
      <c r="S568" s="1"/>
      <c r="T568" s="1">
        <f t="shared" si="154"/>
        <v>-0.27586206898558885</v>
      </c>
      <c r="U568" s="1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1"/>
      <c r="AG568" s="1"/>
      <c r="AH568" s="1"/>
      <c r="AI568" s="1"/>
      <c r="AJ568" s="1"/>
    </row>
    <row r="569" spans="1:36" ht="14.25" customHeight="1">
      <c r="A569" s="259"/>
      <c r="B569" s="15" t="str">
        <f>TB!B603</f>
        <v>SP074</v>
      </c>
      <c r="C569" s="288" t="str">
        <f>TB!C603</f>
        <v>Vibe Triple Sec</v>
      </c>
      <c r="D569" s="257">
        <f>SUMIF(GL!$D$5:$D$6446,B569,GL!$G$5:$G$6446)</f>
        <v>6</v>
      </c>
      <c r="E569" s="258">
        <f>SUMIF(GL!$D$6:$D$6484,B569,GL!$H$6:$H$6484)</f>
        <v>1320000</v>
      </c>
      <c r="F569" s="258">
        <f>SUMIF(GL!$D$6:$D$6484,B569,GL!$I$6:$I$6484)</f>
        <v>0</v>
      </c>
      <c r="G569" s="258">
        <f t="shared" si="164"/>
        <v>1320000</v>
      </c>
      <c r="H569" s="258">
        <f t="shared" si="165"/>
        <v>0</v>
      </c>
      <c r="I569" s="250">
        <v>12.7</v>
      </c>
      <c r="J569" s="251">
        <v>218106</v>
      </c>
      <c r="K569" s="252">
        <v>2769941</v>
      </c>
      <c r="L569" s="253">
        <f t="shared" si="166"/>
        <v>18.7</v>
      </c>
      <c r="M569" s="128">
        <f t="shared" si="167"/>
        <v>218713.42245989305</v>
      </c>
      <c r="N569" s="128">
        <f t="shared" si="161"/>
        <v>4089941</v>
      </c>
      <c r="O569" s="254">
        <v>10.3</v>
      </c>
      <c r="P569" s="128">
        <f t="shared" si="134"/>
        <v>218713.42245989305</v>
      </c>
      <c r="Q569" s="18">
        <f t="shared" si="162"/>
        <v>2252748.2513368987</v>
      </c>
      <c r="R569" s="255">
        <f t="shared" si="163"/>
        <v>1837192.7486631013</v>
      </c>
      <c r="S569" s="1"/>
      <c r="T569" s="1">
        <f t="shared" si="154"/>
        <v>-607.42245989304502</v>
      </c>
      <c r="U569" s="1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1"/>
      <c r="AG569" s="1"/>
      <c r="AH569" s="1"/>
      <c r="AI569" s="1"/>
      <c r="AJ569" s="1"/>
    </row>
    <row r="570" spans="1:36" ht="13.5" customHeight="1">
      <c r="A570" s="259"/>
      <c r="B570" s="15" t="str">
        <f>TB!B604</f>
        <v>SP075</v>
      </c>
      <c r="C570" s="288" t="str">
        <f>TB!C604</f>
        <v>Vibe Coffee</v>
      </c>
      <c r="D570" s="257">
        <f>SUMIF(GL!$D$5:$D$6446,B570,GL!$G$5:$G$6446)</f>
        <v>3</v>
      </c>
      <c r="E570" s="258">
        <f>SUMIF(GL!$D$6:$D$6484,B570,GL!$H$6:$H$6484)</f>
        <v>660000</v>
      </c>
      <c r="F570" s="258">
        <f>SUMIF(GL!$D$6:$D$6484,B570,GL!$I$6:$I$6484)</f>
        <v>0</v>
      </c>
      <c r="G570" s="258">
        <f t="shared" si="164"/>
        <v>660000</v>
      </c>
      <c r="H570" s="258">
        <f t="shared" si="165"/>
        <v>0</v>
      </c>
      <c r="I570" s="250">
        <v>3.2</v>
      </c>
      <c r="J570" s="251">
        <v>220000</v>
      </c>
      <c r="K570" s="252">
        <v>703999</v>
      </c>
      <c r="L570" s="253">
        <f t="shared" si="166"/>
        <v>6.2</v>
      </c>
      <c r="M570" s="128">
        <f t="shared" si="167"/>
        <v>219999.83870967742</v>
      </c>
      <c r="N570" s="128">
        <f t="shared" si="161"/>
        <v>1363999</v>
      </c>
      <c r="O570" s="254">
        <v>4.4000000000000004</v>
      </c>
      <c r="P570" s="128">
        <f t="shared" si="134"/>
        <v>219999.83870967742</v>
      </c>
      <c r="Q570" s="18">
        <f t="shared" si="162"/>
        <v>967999.29032258072</v>
      </c>
      <c r="R570" s="255">
        <f t="shared" si="163"/>
        <v>395999.70967741928</v>
      </c>
      <c r="S570" s="1"/>
      <c r="T570" s="1">
        <f t="shared" si="154"/>
        <v>0.161290322575951</v>
      </c>
      <c r="U570" s="1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1"/>
      <c r="AG570" s="1"/>
      <c r="AH570" s="1"/>
      <c r="AI570" s="1"/>
      <c r="AJ570" s="1"/>
    </row>
    <row r="571" spans="1:36" ht="13.5" customHeight="1">
      <c r="A571" s="259"/>
      <c r="B571" s="15" t="str">
        <f>TB!B605</f>
        <v>SP076</v>
      </c>
      <c r="C571" s="288" t="str">
        <f>TB!C605</f>
        <v>Vibe Melon</v>
      </c>
      <c r="D571" s="257">
        <f>SUMIF(GL!$D$5:$D$6446,B571,GL!$G$5:$G$6446)</f>
        <v>0</v>
      </c>
      <c r="E571" s="258">
        <f>SUMIF(GL!$D$6:$D$6484,B571,GL!$H$6:$H$6484)</f>
        <v>0</v>
      </c>
      <c r="F571" s="258">
        <f>SUMIF(GL!$D$6:$D$6484,B571,GL!$I$6:$I$6484)</f>
        <v>0</v>
      </c>
      <c r="G571" s="258">
        <f t="shared" si="164"/>
        <v>0</v>
      </c>
      <c r="H571" s="258">
        <f t="shared" si="165"/>
        <v>0</v>
      </c>
      <c r="I571" s="250">
        <v>2</v>
      </c>
      <c r="J571" s="251">
        <v>180289</v>
      </c>
      <c r="K571" s="252">
        <v>360578</v>
      </c>
      <c r="L571" s="253">
        <f t="shared" si="166"/>
        <v>2</v>
      </c>
      <c r="M571" s="128">
        <f t="shared" si="167"/>
        <v>180289</v>
      </c>
      <c r="N571" s="128">
        <f t="shared" si="161"/>
        <v>360578</v>
      </c>
      <c r="O571" s="254">
        <v>2</v>
      </c>
      <c r="P571" s="128">
        <f t="shared" si="134"/>
        <v>180289</v>
      </c>
      <c r="Q571" s="18">
        <f t="shared" si="162"/>
        <v>360578</v>
      </c>
      <c r="R571" s="255">
        <f t="shared" si="163"/>
        <v>0</v>
      </c>
      <c r="S571" s="1"/>
      <c r="T571" s="1">
        <f t="shared" si="154"/>
        <v>0</v>
      </c>
      <c r="U571" s="1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1"/>
      <c r="AG571" s="1"/>
      <c r="AH571" s="1"/>
      <c r="AI571" s="1"/>
      <c r="AJ571" s="1"/>
    </row>
    <row r="572" spans="1:36" ht="13.5" customHeight="1">
      <c r="A572" s="284"/>
      <c r="B572" s="15" t="str">
        <f>TB!B606</f>
        <v>SP077</v>
      </c>
      <c r="C572" s="288" t="str">
        <f>TB!C606</f>
        <v>Balimoon Blackcurrant</v>
      </c>
      <c r="D572" s="257">
        <f>SUMIF(GL!$D$5:$D$6446,B572,GL!$G$5:$G$6446)</f>
        <v>0</v>
      </c>
      <c r="E572" s="258">
        <f>SUMIF(GL!$D$6:$D$6484,B572,GL!$H$6:$H$6484)</f>
        <v>0</v>
      </c>
      <c r="F572" s="258">
        <f>SUMIF(GL!$D$6:$D$6484,B572,GL!$I$6:$I$6484)</f>
        <v>0</v>
      </c>
      <c r="G572" s="258">
        <f t="shared" si="164"/>
        <v>0</v>
      </c>
      <c r="H572" s="258">
        <f t="shared" si="165"/>
        <v>0</v>
      </c>
      <c r="I572" s="250"/>
      <c r="J572" s="251"/>
      <c r="K572" s="252"/>
      <c r="L572" s="253"/>
      <c r="M572" s="128"/>
      <c r="N572" s="128">
        <f t="shared" si="161"/>
        <v>0</v>
      </c>
      <c r="O572" s="254"/>
      <c r="P572" s="128">
        <f t="shared" si="134"/>
        <v>0</v>
      </c>
      <c r="Q572" s="18">
        <f t="shared" si="162"/>
        <v>0</v>
      </c>
      <c r="R572" s="255">
        <f t="shared" si="163"/>
        <v>0</v>
      </c>
      <c r="S572" s="1"/>
      <c r="T572" s="1">
        <f t="shared" si="154"/>
        <v>0</v>
      </c>
      <c r="U572" s="1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1"/>
      <c r="AG572" s="1"/>
      <c r="AH572" s="1"/>
      <c r="AI572" s="1"/>
      <c r="AJ572" s="1"/>
    </row>
    <row r="573" spans="1:36" ht="13.5" customHeight="1">
      <c r="A573" s="259"/>
      <c r="B573" s="15" t="str">
        <f>TB!B607</f>
        <v>SP078</v>
      </c>
      <c r="C573" s="288" t="str">
        <f>TB!C607</f>
        <v>Triple Sec Balimoon</v>
      </c>
      <c r="D573" s="257">
        <f>SUMIF(GL!$D$5:$D$6446,B573,GL!$G$5:$G$6446)</f>
        <v>0</v>
      </c>
      <c r="E573" s="258">
        <f>SUMIF(GL!$D$6:$D$6484,B573,GL!$H$6:$H$6484)</f>
        <v>0</v>
      </c>
      <c r="F573" s="258">
        <f>SUMIF(GL!$D$6:$D$6484,B573,GL!$I$6:$I$6484)</f>
        <v>0</v>
      </c>
      <c r="G573" s="258">
        <f t="shared" si="164"/>
        <v>0</v>
      </c>
      <c r="H573" s="258">
        <f t="shared" si="165"/>
        <v>0</v>
      </c>
      <c r="I573" s="250"/>
      <c r="J573" s="251"/>
      <c r="K573" s="252"/>
      <c r="L573" s="253"/>
      <c r="M573" s="128"/>
      <c r="N573" s="128">
        <f t="shared" si="161"/>
        <v>0</v>
      </c>
      <c r="O573" s="254"/>
      <c r="P573" s="128">
        <f t="shared" si="134"/>
        <v>0</v>
      </c>
      <c r="Q573" s="18">
        <f t="shared" si="162"/>
        <v>0</v>
      </c>
      <c r="R573" s="255">
        <f t="shared" si="163"/>
        <v>0</v>
      </c>
      <c r="S573" s="1"/>
      <c r="T573" s="1">
        <f t="shared" si="154"/>
        <v>0</v>
      </c>
      <c r="U573" s="1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1"/>
      <c r="AG573" s="1"/>
      <c r="AH573" s="1"/>
      <c r="AI573" s="1"/>
      <c r="AJ573" s="1"/>
    </row>
    <row r="574" spans="1:36" ht="13.5" customHeight="1">
      <c r="A574" s="259"/>
      <c r="B574" s="15" t="str">
        <f>TB!B608</f>
        <v>SP079</v>
      </c>
      <c r="C574" s="288" t="str">
        <f>TB!C608</f>
        <v>Balimoon Lychee</v>
      </c>
      <c r="D574" s="257">
        <f>SUMIF(GL!$D$5:$D$6446,B574,GL!$G$5:$G$6446)</f>
        <v>0</v>
      </c>
      <c r="E574" s="258">
        <f>SUMIF(GL!$D$6:$D$6484,B574,GL!$H$6:$H$6484)</f>
        <v>0</v>
      </c>
      <c r="F574" s="258">
        <f>SUMIF(GL!$D$6:$D$6484,B574,GL!$I$6:$I$6484)</f>
        <v>0</v>
      </c>
      <c r="G574" s="258">
        <f t="shared" si="164"/>
        <v>0</v>
      </c>
      <c r="H574" s="258">
        <f t="shared" si="165"/>
        <v>0</v>
      </c>
      <c r="I574" s="250"/>
      <c r="J574" s="251"/>
      <c r="K574" s="252"/>
      <c r="L574" s="253"/>
      <c r="M574" s="128"/>
      <c r="N574" s="128">
        <f t="shared" si="161"/>
        <v>0</v>
      </c>
      <c r="O574" s="254"/>
      <c r="P574" s="128">
        <f t="shared" si="134"/>
        <v>0</v>
      </c>
      <c r="Q574" s="18">
        <f t="shared" si="162"/>
        <v>0</v>
      </c>
      <c r="R574" s="255">
        <f t="shared" si="163"/>
        <v>0</v>
      </c>
      <c r="S574" s="1"/>
      <c r="T574" s="1">
        <f t="shared" si="154"/>
        <v>0</v>
      </c>
      <c r="U574" s="1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1"/>
      <c r="AG574" s="1"/>
      <c r="AH574" s="1"/>
      <c r="AI574" s="1"/>
      <c r="AJ574" s="1"/>
    </row>
    <row r="575" spans="1:36" ht="13.5" customHeight="1">
      <c r="A575" s="259"/>
      <c r="B575" s="15" t="str">
        <f>TB!B609</f>
        <v>SP080</v>
      </c>
      <c r="C575" s="288" t="str">
        <f>TB!C609</f>
        <v>Balimoon Kelapa</v>
      </c>
      <c r="D575" s="257">
        <f>SUMIF(GL!$D$5:$D$6446,B575,GL!$G$5:$G$6446)</f>
        <v>0</v>
      </c>
      <c r="E575" s="258">
        <f>SUMIF(GL!$D$6:$D$6484,B575,GL!$H$6:$H$6484)</f>
        <v>0</v>
      </c>
      <c r="F575" s="258">
        <f>SUMIF(GL!$D$6:$D$6484,B575,GL!$I$6:$I$6484)</f>
        <v>0</v>
      </c>
      <c r="G575" s="258">
        <f t="shared" si="164"/>
        <v>0</v>
      </c>
      <c r="H575" s="258">
        <f t="shared" si="165"/>
        <v>0</v>
      </c>
      <c r="I575" s="250"/>
      <c r="J575" s="251"/>
      <c r="K575" s="252"/>
      <c r="L575" s="253"/>
      <c r="M575" s="128"/>
      <c r="N575" s="128">
        <f t="shared" si="161"/>
        <v>0</v>
      </c>
      <c r="O575" s="254"/>
      <c r="P575" s="128">
        <f t="shared" si="134"/>
        <v>0</v>
      </c>
      <c r="Q575" s="18">
        <f t="shared" si="162"/>
        <v>0</v>
      </c>
      <c r="R575" s="255">
        <f t="shared" si="163"/>
        <v>0</v>
      </c>
      <c r="S575" s="1"/>
      <c r="T575" s="1">
        <f t="shared" si="154"/>
        <v>0</v>
      </c>
      <c r="U575" s="1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1"/>
      <c r="AG575" s="1"/>
      <c r="AH575" s="1"/>
      <c r="AI575" s="1"/>
      <c r="AJ575" s="1"/>
    </row>
    <row r="576" spans="1:36" ht="13.5" customHeight="1">
      <c r="A576" s="259"/>
      <c r="B576" s="15" t="str">
        <f>TB!B610</f>
        <v>SP081</v>
      </c>
      <c r="C576" s="288" t="str">
        <f>TB!C610</f>
        <v xml:space="preserve">Archers Peach </v>
      </c>
      <c r="D576" s="257">
        <f>SUMIF(GL!$D$5:$D$6446,B576,GL!$G$5:$G$6446)</f>
        <v>0</v>
      </c>
      <c r="E576" s="258">
        <f>SUMIF(GL!$D$6:$D$6484,B576,GL!$H$6:$H$6484)</f>
        <v>0</v>
      </c>
      <c r="F576" s="258">
        <f>SUMIF(GL!$D$6:$D$6484,B576,GL!$I$6:$I$6484)</f>
        <v>0</v>
      </c>
      <c r="G576" s="258">
        <f t="shared" si="164"/>
        <v>0</v>
      </c>
      <c r="H576" s="258">
        <f t="shared" si="165"/>
        <v>0</v>
      </c>
      <c r="I576" s="250"/>
      <c r="J576" s="251"/>
      <c r="K576" s="252"/>
      <c r="L576" s="253"/>
      <c r="M576" s="128"/>
      <c r="N576" s="128">
        <f t="shared" si="161"/>
        <v>0</v>
      </c>
      <c r="O576" s="254"/>
      <c r="P576" s="128">
        <f t="shared" si="134"/>
        <v>0</v>
      </c>
      <c r="Q576" s="18">
        <f t="shared" si="162"/>
        <v>0</v>
      </c>
      <c r="R576" s="255">
        <f t="shared" si="163"/>
        <v>0</v>
      </c>
      <c r="S576" s="1"/>
      <c r="T576" s="1">
        <f t="shared" si="154"/>
        <v>0</v>
      </c>
      <c r="U576" s="1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1"/>
      <c r="AG576" s="1"/>
      <c r="AH576" s="1"/>
      <c r="AI576" s="1"/>
      <c r="AJ576" s="1"/>
    </row>
    <row r="577" spans="1:36" ht="13.5" customHeight="1">
      <c r="A577" s="259"/>
      <c r="B577" s="15" t="str">
        <f>TB!B611</f>
        <v>SP081A</v>
      </c>
      <c r="C577" s="288" t="str">
        <f>TB!C611</f>
        <v>Zirca Triple Sec</v>
      </c>
      <c r="D577" s="257">
        <f>SUMIF(GL!$D$5:$D$6446,B577,GL!$G$5:$G$6446)</f>
        <v>0</v>
      </c>
      <c r="E577" s="258">
        <f>SUMIF(GL!$D$6:$D$6484,B577,GL!$H$6:$H$6484)</f>
        <v>0</v>
      </c>
      <c r="F577" s="258">
        <f>SUMIF(GL!$D$6:$D$6484,B577,GL!$I$6:$I$6484)</f>
        <v>0</v>
      </c>
      <c r="G577" s="258">
        <f t="shared" si="164"/>
        <v>0</v>
      </c>
      <c r="H577" s="258">
        <f t="shared" si="165"/>
        <v>0</v>
      </c>
      <c r="I577" s="250"/>
      <c r="J577" s="251"/>
      <c r="K577" s="252"/>
      <c r="L577" s="253"/>
      <c r="M577" s="128"/>
      <c r="N577" s="128">
        <f t="shared" si="161"/>
        <v>0</v>
      </c>
      <c r="O577" s="254"/>
      <c r="P577" s="128">
        <f t="shared" si="134"/>
        <v>0</v>
      </c>
      <c r="Q577" s="18">
        <f t="shared" si="162"/>
        <v>0</v>
      </c>
      <c r="R577" s="255">
        <f t="shared" si="163"/>
        <v>0</v>
      </c>
      <c r="S577" s="1"/>
      <c r="T577" s="1">
        <f t="shared" si="154"/>
        <v>0</v>
      </c>
      <c r="U577" s="1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4"/>
      <c r="AG577" s="4"/>
      <c r="AH577" s="4"/>
      <c r="AI577" s="4"/>
      <c r="AJ577" s="4"/>
    </row>
    <row r="578" spans="1:36" ht="13.5" customHeight="1">
      <c r="A578" s="259"/>
      <c r="B578" s="145"/>
      <c r="C578" s="247" t="s">
        <v>3840</v>
      </c>
      <c r="D578" s="257">
        <f>SUMIF(GL!$D$5:$D$6446,B578,GL!$G$5:$G$6446)</f>
        <v>0</v>
      </c>
      <c r="E578" s="258">
        <f>SUMIF(GL!$D$6:$D$6484,B578,GL!$H$6:$H$6484)</f>
        <v>0</v>
      </c>
      <c r="F578" s="258">
        <f>SUMIF(GL!$D$6:$D$6484,B578,GL!$I$6:$I$6484)</f>
        <v>0</v>
      </c>
      <c r="G578" s="258">
        <f t="shared" si="164"/>
        <v>0</v>
      </c>
      <c r="H578" s="258">
        <f t="shared" si="165"/>
        <v>0</v>
      </c>
      <c r="I578" s="250"/>
      <c r="J578" s="251"/>
      <c r="K578" s="252"/>
      <c r="L578" s="253"/>
      <c r="M578" s="128"/>
      <c r="N578" s="128">
        <f t="shared" si="161"/>
        <v>0</v>
      </c>
      <c r="O578" s="254"/>
      <c r="P578" s="128">
        <f t="shared" si="134"/>
        <v>0</v>
      </c>
      <c r="Q578" s="18">
        <f t="shared" si="162"/>
        <v>0</v>
      </c>
      <c r="R578" s="255">
        <f t="shared" si="163"/>
        <v>0</v>
      </c>
      <c r="S578" s="1"/>
      <c r="T578" s="1">
        <f t="shared" si="154"/>
        <v>0</v>
      </c>
      <c r="U578" s="1"/>
      <c r="V578" s="99"/>
      <c r="W578" s="99"/>
      <c r="X578" s="4"/>
      <c r="Y578" s="4"/>
      <c r="Z578" s="4"/>
      <c r="AA578" s="4"/>
      <c r="AB578" s="4"/>
      <c r="AC578" s="4"/>
      <c r="AD578" s="99"/>
      <c r="AE578" s="99"/>
      <c r="AF578" s="4"/>
      <c r="AG578" s="4"/>
      <c r="AH578" s="4"/>
      <c r="AI578" s="4"/>
      <c r="AJ578" s="4"/>
    </row>
    <row r="579" spans="1:36" ht="13.5" customHeight="1">
      <c r="A579" s="259"/>
      <c r="B579" s="15" t="str">
        <f>TB!B614</f>
        <v>SP082</v>
      </c>
      <c r="C579" s="288" t="str">
        <f>TB!C614</f>
        <v>Martini Roso</v>
      </c>
      <c r="D579" s="257">
        <f>SUMIF(GL!$D$5:$D$6446,B579,GL!$G$5:$G$6446)</f>
        <v>0</v>
      </c>
      <c r="E579" s="258">
        <f>SUMIF(GL!$D$6:$D$6484,B579,GL!$H$6:$H$6484)</f>
        <v>0</v>
      </c>
      <c r="F579" s="258">
        <f>SUMIF(GL!$D$6:$D$6484,B579,GL!$I$6:$I$6484)</f>
        <v>0</v>
      </c>
      <c r="G579" s="258">
        <f t="shared" si="164"/>
        <v>0</v>
      </c>
      <c r="H579" s="258">
        <f t="shared" si="165"/>
        <v>0</v>
      </c>
      <c r="I579" s="250">
        <v>5.9</v>
      </c>
      <c r="J579" s="251">
        <v>383281</v>
      </c>
      <c r="K579" s="252">
        <v>2261356</v>
      </c>
      <c r="L579" s="253">
        <f t="shared" ref="L579:L582" si="168">D579+I579</f>
        <v>5.9</v>
      </c>
      <c r="M579" s="128">
        <f t="shared" ref="M579:M582" si="169">(G579+K579)/L579</f>
        <v>383280.67796610168</v>
      </c>
      <c r="N579" s="128">
        <f t="shared" si="161"/>
        <v>2261356</v>
      </c>
      <c r="O579" s="254">
        <v>4.5999999999999996</v>
      </c>
      <c r="P579" s="128">
        <f t="shared" si="134"/>
        <v>383280.67796610168</v>
      </c>
      <c r="Q579" s="18">
        <f t="shared" si="162"/>
        <v>1763091.1186440676</v>
      </c>
      <c r="R579" s="255">
        <f t="shared" si="163"/>
        <v>498264.88135593245</v>
      </c>
      <c r="S579" s="1"/>
      <c r="T579" s="1">
        <f t="shared" si="154"/>
        <v>0.32203389832284302</v>
      </c>
      <c r="U579" s="1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1"/>
      <c r="AG579" s="1"/>
      <c r="AH579" s="1"/>
      <c r="AI579" s="1"/>
      <c r="AJ579" s="1"/>
    </row>
    <row r="580" spans="1:36" ht="13.5" customHeight="1">
      <c r="A580" s="259"/>
      <c r="B580" s="15" t="str">
        <f>TB!B615</f>
        <v>SP083</v>
      </c>
      <c r="C580" s="288" t="str">
        <f>TB!C615</f>
        <v>Angustura</v>
      </c>
      <c r="D580" s="257">
        <f>SUMIF(GL!$D$5:$D$6446,B580,GL!$G$5:$G$6446)</f>
        <v>0</v>
      </c>
      <c r="E580" s="258">
        <f>SUMIF(GL!$D$6:$D$6484,B580,GL!$H$6:$H$6484)</f>
        <v>0</v>
      </c>
      <c r="F580" s="258">
        <f>SUMIF(GL!$D$6:$D$6484,B580,GL!$I$6:$I$6484)</f>
        <v>0</v>
      </c>
      <c r="G580" s="258">
        <f t="shared" si="164"/>
        <v>0</v>
      </c>
      <c r="H580" s="258">
        <f t="shared" si="165"/>
        <v>0</v>
      </c>
      <c r="I580" s="250">
        <v>1</v>
      </c>
      <c r="J580" s="251">
        <v>298769</v>
      </c>
      <c r="K580" s="252">
        <v>298769</v>
      </c>
      <c r="L580" s="253">
        <f t="shared" si="168"/>
        <v>1</v>
      </c>
      <c r="M580" s="128">
        <f t="shared" si="169"/>
        <v>298769</v>
      </c>
      <c r="N580" s="128">
        <f t="shared" si="161"/>
        <v>298769</v>
      </c>
      <c r="O580" s="254">
        <v>1</v>
      </c>
      <c r="P580" s="128">
        <f t="shared" si="134"/>
        <v>298769</v>
      </c>
      <c r="Q580" s="18">
        <f t="shared" si="162"/>
        <v>298769</v>
      </c>
      <c r="R580" s="255">
        <f t="shared" si="163"/>
        <v>0</v>
      </c>
      <c r="S580" s="1"/>
      <c r="T580" s="1">
        <f t="shared" si="154"/>
        <v>0</v>
      </c>
      <c r="U580" s="1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1"/>
      <c r="AG580" s="1"/>
      <c r="AH580" s="1"/>
      <c r="AI580" s="1"/>
      <c r="AJ580" s="1"/>
    </row>
    <row r="581" spans="1:36" ht="13.5" customHeight="1">
      <c r="A581" s="259"/>
      <c r="B581" s="15" t="str">
        <f>TB!B616</f>
        <v>SP084</v>
      </c>
      <c r="C581" s="288" t="str">
        <f>TB!C616</f>
        <v>Campari</v>
      </c>
      <c r="D581" s="257">
        <f>SUMIF(GL!$D$5:$D$6446,B581,GL!$G$5:$G$6446)</f>
        <v>0</v>
      </c>
      <c r="E581" s="258">
        <f>SUMIF(GL!$D$6:$D$6484,B581,GL!$H$6:$H$6484)</f>
        <v>0</v>
      </c>
      <c r="F581" s="258">
        <f>SUMIF(GL!$D$6:$D$6484,B581,GL!$I$6:$I$6484)</f>
        <v>0</v>
      </c>
      <c r="G581" s="258">
        <f t="shared" si="164"/>
        <v>0</v>
      </c>
      <c r="H581" s="258">
        <f t="shared" si="165"/>
        <v>0</v>
      </c>
      <c r="I581" s="250">
        <v>4</v>
      </c>
      <c r="J581" s="251">
        <v>399796</v>
      </c>
      <c r="K581" s="252">
        <v>1599186</v>
      </c>
      <c r="L581" s="253">
        <f t="shared" si="168"/>
        <v>4</v>
      </c>
      <c r="M581" s="128">
        <f t="shared" si="169"/>
        <v>399796.5</v>
      </c>
      <c r="N581" s="128">
        <f t="shared" si="161"/>
        <v>1599186</v>
      </c>
      <c r="O581" s="254">
        <v>4.2</v>
      </c>
      <c r="P581" s="128">
        <f t="shared" si="134"/>
        <v>399796.5</v>
      </c>
      <c r="Q581" s="18">
        <f t="shared" si="162"/>
        <v>1679145.3</v>
      </c>
      <c r="R581" s="255">
        <f t="shared" si="163"/>
        <v>-79959.300000000047</v>
      </c>
      <c r="S581" s="1"/>
      <c r="T581" s="1">
        <f t="shared" si="154"/>
        <v>-0.5</v>
      </c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1"/>
      <c r="AG581" s="1"/>
      <c r="AH581" s="1"/>
      <c r="AI581" s="1"/>
      <c r="AJ581" s="1"/>
    </row>
    <row r="582" spans="1:36" ht="13.5" customHeight="1">
      <c r="A582" s="259"/>
      <c r="B582" s="15" t="str">
        <f>TB!B617</f>
        <v>SP085</v>
      </c>
      <c r="C582" s="288" t="str">
        <f>TB!C617</f>
        <v>Martini Dry</v>
      </c>
      <c r="D582" s="257">
        <f>SUMIF(GL!$D$5:$D$6446,B582,GL!$G$5:$G$6446)</f>
        <v>0</v>
      </c>
      <c r="E582" s="258">
        <f>SUMIF(GL!$D$6:$D$6484,B582,GL!$H$6:$H$6484)</f>
        <v>0</v>
      </c>
      <c r="F582" s="258">
        <f>SUMIF(GL!$D$6:$D$6484,B582,GL!$I$6:$I$6484)</f>
        <v>0</v>
      </c>
      <c r="G582" s="258">
        <f t="shared" si="164"/>
        <v>0</v>
      </c>
      <c r="H582" s="258">
        <f t="shared" si="165"/>
        <v>0</v>
      </c>
      <c r="I582" s="250">
        <v>0.7</v>
      </c>
      <c r="J582" s="251">
        <v>490000</v>
      </c>
      <c r="K582" s="252">
        <v>343000</v>
      </c>
      <c r="L582" s="253">
        <f t="shared" si="168"/>
        <v>0.7</v>
      </c>
      <c r="M582" s="128">
        <f t="shared" si="169"/>
        <v>490000.00000000006</v>
      </c>
      <c r="N582" s="128">
        <f t="shared" si="161"/>
        <v>343000</v>
      </c>
      <c r="O582" s="254">
        <v>0.7</v>
      </c>
      <c r="P582" s="128">
        <f t="shared" si="134"/>
        <v>490000.00000000006</v>
      </c>
      <c r="Q582" s="18">
        <f t="shared" si="162"/>
        <v>343000</v>
      </c>
      <c r="R582" s="255">
        <f t="shared" si="163"/>
        <v>0</v>
      </c>
      <c r="S582" s="1"/>
      <c r="T582" s="1">
        <f t="shared" si="154"/>
        <v>0</v>
      </c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4"/>
      <c r="AG582" s="4"/>
      <c r="AH582" s="4"/>
      <c r="AI582" s="4"/>
      <c r="AJ582" s="4"/>
    </row>
    <row r="583" spans="1:36" ht="13.5" customHeight="1">
      <c r="A583" s="259"/>
      <c r="B583" s="15" t="str">
        <f>TB!B618</f>
        <v>SP086</v>
      </c>
      <c r="C583" s="288" t="str">
        <f>TB!C618</f>
        <v>Cinzano Rosso</v>
      </c>
      <c r="D583" s="257">
        <f>SUMIF(GL!$D$5:$D$6446,B583,GL!$G$5:$G$6446)</f>
        <v>0</v>
      </c>
      <c r="E583" s="258">
        <f>SUMIF(GL!$D$6:$D$6484,B583,GL!$H$6:$H$6484)</f>
        <v>0</v>
      </c>
      <c r="F583" s="258">
        <f>SUMIF(GL!$D$6:$D$6484,B583,GL!$I$6:$I$6484)</f>
        <v>0</v>
      </c>
      <c r="G583" s="258">
        <f t="shared" si="164"/>
        <v>0</v>
      </c>
      <c r="H583" s="258">
        <f t="shared" si="165"/>
        <v>0</v>
      </c>
      <c r="I583" s="250"/>
      <c r="J583" s="251"/>
      <c r="K583" s="252"/>
      <c r="L583" s="253"/>
      <c r="M583" s="128"/>
      <c r="N583" s="128">
        <f t="shared" si="161"/>
        <v>0</v>
      </c>
      <c r="O583" s="254"/>
      <c r="P583" s="128">
        <f t="shared" si="134"/>
        <v>0</v>
      </c>
      <c r="Q583" s="18">
        <f t="shared" si="162"/>
        <v>0</v>
      </c>
      <c r="R583" s="255">
        <f t="shared" si="163"/>
        <v>0</v>
      </c>
      <c r="S583" s="1"/>
      <c r="T583" s="1">
        <f t="shared" si="154"/>
        <v>0</v>
      </c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4"/>
      <c r="AG583" s="4"/>
      <c r="AH583" s="4"/>
      <c r="AI583" s="4"/>
      <c r="AJ583" s="4"/>
    </row>
    <row r="584" spans="1:36" ht="13.5" customHeight="1">
      <c r="A584" s="259"/>
      <c r="B584" s="145"/>
      <c r="C584" s="297" t="s">
        <v>2630</v>
      </c>
      <c r="D584" s="257">
        <f>SUMIF(GL!$D$5:$D$6446,B584,GL!$G$5:$G$6446)</f>
        <v>0</v>
      </c>
      <c r="E584" s="258">
        <f>SUMIF(GL!$D$6:$D$6484,B584,GL!$H$6:$H$6484)</f>
        <v>0</v>
      </c>
      <c r="F584" s="258">
        <f>SUMIF(GL!$D$6:$D$6484,B584,GL!$I$6:$I$6484)</f>
        <v>0</v>
      </c>
      <c r="G584" s="258">
        <f t="shared" si="164"/>
        <v>0</v>
      </c>
      <c r="H584" s="258">
        <f t="shared" si="165"/>
        <v>0</v>
      </c>
      <c r="I584" s="250"/>
      <c r="J584" s="251"/>
      <c r="K584" s="252"/>
      <c r="L584" s="253"/>
      <c r="M584" s="128"/>
      <c r="N584" s="128">
        <f t="shared" si="161"/>
        <v>0</v>
      </c>
      <c r="O584" s="254"/>
      <c r="P584" s="128">
        <f t="shared" si="134"/>
        <v>0</v>
      </c>
      <c r="Q584" s="18">
        <f t="shared" si="162"/>
        <v>0</v>
      </c>
      <c r="R584" s="255">
        <f t="shared" si="163"/>
        <v>0</v>
      </c>
      <c r="S584" s="1"/>
      <c r="T584" s="1">
        <f t="shared" si="154"/>
        <v>0</v>
      </c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4"/>
      <c r="AG584" s="4"/>
      <c r="AH584" s="4"/>
      <c r="AI584" s="4"/>
      <c r="AJ584" s="4"/>
    </row>
    <row r="585" spans="1:36" ht="13.5" customHeight="1">
      <c r="A585" s="259"/>
      <c r="B585" s="145"/>
      <c r="C585" s="247" t="s">
        <v>3841</v>
      </c>
      <c r="D585" s="257">
        <f>SUMIF(GL!$D$5:$D$6446,B585,GL!$G$5:$G$6446)</f>
        <v>0</v>
      </c>
      <c r="E585" s="258">
        <f>SUMIF(GL!$D$6:$D$6484,B585,GL!$H$6:$H$6484)</f>
        <v>0</v>
      </c>
      <c r="F585" s="258">
        <f>SUMIF(GL!$D$6:$D$6484,B585,GL!$I$6:$I$6484)</f>
        <v>0</v>
      </c>
      <c r="G585" s="258">
        <f t="shared" si="164"/>
        <v>0</v>
      </c>
      <c r="H585" s="258">
        <f t="shared" si="165"/>
        <v>0</v>
      </c>
      <c r="I585" s="250"/>
      <c r="J585" s="251"/>
      <c r="K585" s="252"/>
      <c r="L585" s="253"/>
      <c r="M585" s="128"/>
      <c r="N585" s="128">
        <f t="shared" si="161"/>
        <v>0</v>
      </c>
      <c r="O585" s="254"/>
      <c r="P585" s="128">
        <f t="shared" si="134"/>
        <v>0</v>
      </c>
      <c r="Q585" s="18">
        <f t="shared" si="162"/>
        <v>0</v>
      </c>
      <c r="R585" s="255">
        <f t="shared" si="163"/>
        <v>0</v>
      </c>
      <c r="S585" s="1"/>
      <c r="T585" s="1">
        <f t="shared" si="154"/>
        <v>0</v>
      </c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4"/>
      <c r="AG585" s="4"/>
      <c r="AH585" s="4"/>
      <c r="AI585" s="4"/>
      <c r="AJ585" s="4"/>
    </row>
    <row r="586" spans="1:36" ht="13.5" customHeight="1">
      <c r="A586" s="259"/>
      <c r="B586" s="15" t="str">
        <f>TB!B621</f>
        <v>W001</v>
      </c>
      <c r="C586" s="298" t="str">
        <f>TB!C621</f>
        <v>Cape Discovery Sauvignon Blanc</v>
      </c>
      <c r="D586" s="257">
        <f>SUMIF(GL!$D$5:$D$6446,B586,GL!$G$5:$G$6446)</f>
        <v>0</v>
      </c>
      <c r="E586" s="258">
        <f>SUMIF(GL!$D$6:$D$6484,B586,GL!$H$6:$H$6484)</f>
        <v>0</v>
      </c>
      <c r="F586" s="258">
        <f>SUMIF(GL!$D$6:$D$6484,B586,GL!$I$6:$I$6484)</f>
        <v>0</v>
      </c>
      <c r="G586" s="258">
        <f t="shared" si="164"/>
        <v>0</v>
      </c>
      <c r="H586" s="258">
        <f t="shared" si="165"/>
        <v>0</v>
      </c>
      <c r="I586" s="250">
        <v>24</v>
      </c>
      <c r="J586" s="251">
        <v>164102</v>
      </c>
      <c r="K586" s="252">
        <v>3938441</v>
      </c>
      <c r="L586" s="253">
        <f t="shared" ref="L586:L589" si="170">D586+I586</f>
        <v>24</v>
      </c>
      <c r="M586" s="128">
        <f t="shared" ref="M586:M589" si="171">(G586+K586)/L586</f>
        <v>164101.70833333334</v>
      </c>
      <c r="N586" s="128">
        <f t="shared" si="161"/>
        <v>3938441</v>
      </c>
      <c r="O586" s="254">
        <v>16.600000000000001</v>
      </c>
      <c r="P586" s="128">
        <f t="shared" si="134"/>
        <v>164101.70833333334</v>
      </c>
      <c r="Q586" s="18">
        <f t="shared" si="162"/>
        <v>2724088.3583333339</v>
      </c>
      <c r="R586" s="255">
        <f t="shared" si="163"/>
        <v>1214352.6416666661</v>
      </c>
      <c r="S586" s="1"/>
      <c r="T586" s="1">
        <f t="shared" si="154"/>
        <v>0.29166666665696539</v>
      </c>
      <c r="U586" s="2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1"/>
      <c r="AG586" s="1"/>
      <c r="AH586" s="1"/>
      <c r="AI586" s="1"/>
      <c r="AJ586" s="1"/>
    </row>
    <row r="587" spans="1:36" ht="13.5" customHeight="1">
      <c r="A587" s="259"/>
      <c r="B587" s="15" t="str">
        <f>TB!B622</f>
        <v>W002</v>
      </c>
      <c r="C587" s="298" t="str">
        <f>TB!C622</f>
        <v>Cape Discovery Cabernet Merlot</v>
      </c>
      <c r="D587" s="257">
        <f>SUMIF(GL!$D$5:$D$6446,B587,GL!$G$5:$G$6446)</f>
        <v>0</v>
      </c>
      <c r="E587" s="258">
        <f>SUMIF(GL!$D$6:$D$6484,B587,GL!$H$6:$H$6484)</f>
        <v>0</v>
      </c>
      <c r="F587" s="258">
        <f>SUMIF(GL!$D$6:$D$6484,B587,GL!$I$6:$I$6484)</f>
        <v>0</v>
      </c>
      <c r="G587" s="258">
        <f t="shared" si="164"/>
        <v>0</v>
      </c>
      <c r="H587" s="258">
        <f t="shared" si="165"/>
        <v>0</v>
      </c>
      <c r="I587" s="250">
        <v>45.2</v>
      </c>
      <c r="J587" s="251">
        <v>159336</v>
      </c>
      <c r="K587" s="252">
        <v>7201981</v>
      </c>
      <c r="L587" s="253">
        <f t="shared" si="170"/>
        <v>45.2</v>
      </c>
      <c r="M587" s="128">
        <f t="shared" si="171"/>
        <v>159335.86283185839</v>
      </c>
      <c r="N587" s="128">
        <f t="shared" si="161"/>
        <v>7201981</v>
      </c>
      <c r="O587" s="254">
        <v>30.8</v>
      </c>
      <c r="P587" s="128">
        <f t="shared" si="134"/>
        <v>159335.86283185839</v>
      </c>
      <c r="Q587" s="18">
        <f t="shared" si="162"/>
        <v>4907544.5752212387</v>
      </c>
      <c r="R587" s="255">
        <f t="shared" si="163"/>
        <v>2294436.4247787613</v>
      </c>
      <c r="S587" s="1"/>
      <c r="T587" s="1">
        <f t="shared" si="154"/>
        <v>0.13716814160579816</v>
      </c>
      <c r="U587" s="2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1"/>
      <c r="AG587" s="1"/>
      <c r="AH587" s="1"/>
      <c r="AI587" s="1"/>
      <c r="AJ587" s="1"/>
    </row>
    <row r="588" spans="1:36" ht="13.5" customHeight="1">
      <c r="A588" s="259"/>
      <c r="B588" s="15" t="str">
        <f>TB!B623</f>
        <v>W003</v>
      </c>
      <c r="C588" s="298" t="str">
        <f>TB!C623</f>
        <v>Cape Discovery Brut Cuvee</v>
      </c>
      <c r="D588" s="257">
        <f>SUMIF(GL!$D$5:$D$6446,B588,GL!$G$5:$G$6446)</f>
        <v>0</v>
      </c>
      <c r="E588" s="258">
        <f>SUMIF(GL!$D$6:$D$6484,B588,GL!$H$6:$H$6484)</f>
        <v>0</v>
      </c>
      <c r="F588" s="258">
        <f>SUMIF(GL!$D$6:$D$6484,B588,GL!$I$6:$I$6484)</f>
        <v>0</v>
      </c>
      <c r="G588" s="258">
        <f t="shared" si="164"/>
        <v>0</v>
      </c>
      <c r="H588" s="258">
        <f t="shared" si="165"/>
        <v>0</v>
      </c>
      <c r="I588" s="250">
        <v>33.4</v>
      </c>
      <c r="J588" s="251">
        <v>161440</v>
      </c>
      <c r="K588" s="252">
        <v>5392110</v>
      </c>
      <c r="L588" s="253">
        <f t="shared" si="170"/>
        <v>33.4</v>
      </c>
      <c r="M588" s="128">
        <f t="shared" si="171"/>
        <v>161440.41916167666</v>
      </c>
      <c r="N588" s="128">
        <f t="shared" si="161"/>
        <v>5392110</v>
      </c>
      <c r="O588" s="254">
        <v>26.6</v>
      </c>
      <c r="P588" s="128">
        <f t="shared" si="134"/>
        <v>161440.41916167666</v>
      </c>
      <c r="Q588" s="18">
        <f t="shared" si="162"/>
        <v>4294315.1497005997</v>
      </c>
      <c r="R588" s="255">
        <f t="shared" si="163"/>
        <v>1097794.8502994003</v>
      </c>
      <c r="S588" s="1"/>
      <c r="T588" s="1">
        <f t="shared" si="154"/>
        <v>-0.41916167666204274</v>
      </c>
      <c r="U588" s="2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1"/>
      <c r="AG588" s="1"/>
      <c r="AH588" s="1"/>
      <c r="AI588" s="1"/>
      <c r="AJ588" s="1"/>
    </row>
    <row r="589" spans="1:36" ht="13.5" customHeight="1">
      <c r="A589" s="259"/>
      <c r="B589" s="15" t="str">
        <f>TB!B624</f>
        <v>W004</v>
      </c>
      <c r="C589" s="298" t="str">
        <f>TB!C624</f>
        <v>Cape Rose</v>
      </c>
      <c r="D589" s="257">
        <f>SUMIF(GL!$D$5:$D$6446,B589,GL!$G$5:$G$6446)</f>
        <v>0</v>
      </c>
      <c r="E589" s="258">
        <f>SUMIF(GL!$D$6:$D$6484,B589,GL!$H$6:$H$6484)</f>
        <v>0</v>
      </c>
      <c r="F589" s="258">
        <f>SUMIF(GL!$D$6:$D$6484,B589,GL!$I$6:$I$6484)</f>
        <v>0</v>
      </c>
      <c r="G589" s="258">
        <f t="shared" si="164"/>
        <v>0</v>
      </c>
      <c r="H589" s="258">
        <f t="shared" si="165"/>
        <v>0</v>
      </c>
      <c r="I589" s="250">
        <v>41.4</v>
      </c>
      <c r="J589" s="251">
        <v>158875</v>
      </c>
      <c r="K589" s="252">
        <v>6577415</v>
      </c>
      <c r="L589" s="253">
        <f t="shared" si="170"/>
        <v>41.4</v>
      </c>
      <c r="M589" s="128">
        <f t="shared" si="171"/>
        <v>158874.75845410628</v>
      </c>
      <c r="N589" s="128">
        <f t="shared" si="161"/>
        <v>6577415</v>
      </c>
      <c r="O589" s="254">
        <v>30.6</v>
      </c>
      <c r="P589" s="128">
        <f t="shared" si="134"/>
        <v>158874.75845410628</v>
      </c>
      <c r="Q589" s="18">
        <f t="shared" si="162"/>
        <v>4861567.6086956523</v>
      </c>
      <c r="R589" s="255">
        <f t="shared" si="163"/>
        <v>1715847.3913043477</v>
      </c>
      <c r="S589" s="1"/>
      <c r="T589" s="1">
        <f t="shared" si="154"/>
        <v>0.24154589371755719</v>
      </c>
      <c r="U589" s="2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1"/>
      <c r="AG589" s="1"/>
      <c r="AH589" s="1"/>
      <c r="AI589" s="1"/>
      <c r="AJ589" s="1"/>
    </row>
    <row r="590" spans="1:36" ht="13.5" customHeight="1">
      <c r="A590" s="259"/>
      <c r="B590" s="15" t="str">
        <f>TB!B625</f>
        <v>W005</v>
      </c>
      <c r="C590" s="298" t="str">
        <f>TB!C625</f>
        <v>Cape Discovery Shiraz</v>
      </c>
      <c r="D590" s="257">
        <f>SUMIF(GL!$D$5:$D$6446,B590,GL!$G$5:$G$6446)</f>
        <v>0</v>
      </c>
      <c r="E590" s="258">
        <f>SUMIF(GL!$D$6:$D$6484,B590,GL!$H$6:$H$6484)</f>
        <v>0</v>
      </c>
      <c r="F590" s="258">
        <f>SUMIF(GL!$D$6:$D$6484,B590,GL!$I$6:$I$6484)</f>
        <v>0</v>
      </c>
      <c r="G590" s="258">
        <f t="shared" si="164"/>
        <v>0</v>
      </c>
      <c r="H590" s="258">
        <f t="shared" si="165"/>
        <v>0</v>
      </c>
      <c r="I590" s="250"/>
      <c r="J590" s="251">
        <v>160000</v>
      </c>
      <c r="K590" s="252"/>
      <c r="L590" s="253"/>
      <c r="M590" s="128"/>
      <c r="N590" s="128">
        <f t="shared" si="161"/>
        <v>0</v>
      </c>
      <c r="O590" s="254"/>
      <c r="P590" s="128">
        <f t="shared" si="134"/>
        <v>0</v>
      </c>
      <c r="Q590" s="18">
        <f t="shared" si="162"/>
        <v>0</v>
      </c>
      <c r="R590" s="255">
        <f t="shared" si="163"/>
        <v>0</v>
      </c>
      <c r="S590" s="1"/>
      <c r="T590" s="1">
        <f t="shared" si="154"/>
        <v>160000</v>
      </c>
      <c r="U590" s="2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1"/>
      <c r="AG590" s="1"/>
      <c r="AH590" s="1"/>
      <c r="AI590" s="1"/>
      <c r="AJ590" s="1"/>
    </row>
    <row r="591" spans="1:36" ht="13.5" customHeight="1">
      <c r="A591" s="259"/>
      <c r="B591" s="15" t="str">
        <f>TB!B626</f>
        <v>W006</v>
      </c>
      <c r="C591" s="298" t="str">
        <f>TB!C626</f>
        <v>Cape Discovery Chardonay</v>
      </c>
      <c r="D591" s="257">
        <f>SUMIF(GL!$D$5:$D$6446,B591,GL!$G$5:$G$6446)</f>
        <v>0</v>
      </c>
      <c r="E591" s="258">
        <f>SUMIF(GL!$D$6:$D$6484,B591,GL!$H$6:$H$6484)</f>
        <v>0</v>
      </c>
      <c r="F591" s="258">
        <f>SUMIF(GL!$D$6:$D$6484,B591,GL!$I$6:$I$6484)</f>
        <v>0</v>
      </c>
      <c r="G591" s="258">
        <f t="shared" si="164"/>
        <v>0</v>
      </c>
      <c r="H591" s="258">
        <f t="shared" si="165"/>
        <v>0</v>
      </c>
      <c r="I591" s="250">
        <v>52.6</v>
      </c>
      <c r="J591" s="251">
        <v>161797</v>
      </c>
      <c r="K591" s="252">
        <v>8510521</v>
      </c>
      <c r="L591" s="253">
        <f>D591+I591</f>
        <v>52.6</v>
      </c>
      <c r="M591" s="128">
        <f>(G591+K591)/L591</f>
        <v>161796.97718631179</v>
      </c>
      <c r="N591" s="128">
        <f t="shared" si="161"/>
        <v>8510521</v>
      </c>
      <c r="O591" s="254">
        <v>43.6</v>
      </c>
      <c r="P591" s="128">
        <f t="shared" si="134"/>
        <v>161796.97718631179</v>
      </c>
      <c r="Q591" s="18">
        <f t="shared" si="162"/>
        <v>7054348.2053231942</v>
      </c>
      <c r="R591" s="255">
        <f t="shared" si="163"/>
        <v>1456172.7946768058</v>
      </c>
      <c r="S591" s="1"/>
      <c r="T591" s="1">
        <f t="shared" si="154"/>
        <v>2.2813688206952065E-2</v>
      </c>
      <c r="U591" s="2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1"/>
      <c r="AG591" s="1"/>
      <c r="AH591" s="1"/>
      <c r="AI591" s="1"/>
      <c r="AJ591" s="1"/>
    </row>
    <row r="592" spans="1:36" ht="13.5" customHeight="1">
      <c r="A592" s="284"/>
      <c r="B592" s="15" t="str">
        <f>TB!B627</f>
        <v>W007</v>
      </c>
      <c r="C592" s="298" t="str">
        <f>TB!C627</f>
        <v>Plaga Wine Cabernet Sauv</v>
      </c>
      <c r="D592" s="257">
        <f>SUMIF(GL!$D$5:$D$6446,B592,GL!$G$5:$G$6446)</f>
        <v>0</v>
      </c>
      <c r="E592" s="258">
        <f>SUMIF(GL!$D$6:$D$6484,B592,GL!$H$6:$H$6484)</f>
        <v>0</v>
      </c>
      <c r="F592" s="258">
        <f>SUMIF(GL!$D$6:$D$6484,B592,GL!$I$6:$I$6484)</f>
        <v>0</v>
      </c>
      <c r="G592" s="258">
        <f t="shared" si="164"/>
        <v>0</v>
      </c>
      <c r="H592" s="258">
        <f t="shared" si="165"/>
        <v>0</v>
      </c>
      <c r="I592" s="250"/>
      <c r="J592" s="251"/>
      <c r="K592" s="252"/>
      <c r="L592" s="253"/>
      <c r="M592" s="128"/>
      <c r="N592" s="128">
        <f t="shared" si="161"/>
        <v>0</v>
      </c>
      <c r="O592" s="254"/>
      <c r="P592" s="128">
        <f t="shared" si="134"/>
        <v>0</v>
      </c>
      <c r="Q592" s="18">
        <f t="shared" si="162"/>
        <v>0</v>
      </c>
      <c r="R592" s="255">
        <f t="shared" si="163"/>
        <v>0</v>
      </c>
      <c r="S592" s="1"/>
      <c r="T592" s="1">
        <f t="shared" si="154"/>
        <v>0</v>
      </c>
      <c r="U592" s="2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1"/>
      <c r="AG592" s="1"/>
      <c r="AH592" s="1"/>
      <c r="AI592" s="1"/>
      <c r="AJ592" s="1"/>
    </row>
    <row r="593" spans="1:36" ht="13.5" customHeight="1">
      <c r="A593" s="259"/>
      <c r="B593" s="15" t="str">
        <f>TB!B628</f>
        <v>W008</v>
      </c>
      <c r="C593" s="298" t="str">
        <f>TB!C628</f>
        <v>Plaga Wine Cabernet Merlot</v>
      </c>
      <c r="D593" s="257">
        <f>SUMIF(GL!$D$5:$D$6446,B593,GL!$G$5:$G$6446)</f>
        <v>0</v>
      </c>
      <c r="E593" s="258">
        <f>SUMIF(GL!$D$6:$D$6484,B593,GL!$H$6:$H$6484)</f>
        <v>0</v>
      </c>
      <c r="F593" s="258">
        <f>SUMIF(GL!$D$6:$D$6484,B593,GL!$I$6:$I$6484)</f>
        <v>0</v>
      </c>
      <c r="G593" s="258">
        <f t="shared" si="164"/>
        <v>0</v>
      </c>
      <c r="H593" s="258">
        <f t="shared" si="165"/>
        <v>0</v>
      </c>
      <c r="I593" s="250"/>
      <c r="J593" s="251"/>
      <c r="K593" s="252"/>
      <c r="L593" s="253"/>
      <c r="M593" s="128"/>
      <c r="N593" s="128">
        <f t="shared" si="161"/>
        <v>0</v>
      </c>
      <c r="O593" s="254"/>
      <c r="P593" s="128">
        <f t="shared" si="134"/>
        <v>0</v>
      </c>
      <c r="Q593" s="18">
        <f t="shared" si="162"/>
        <v>0</v>
      </c>
      <c r="R593" s="255">
        <f t="shared" si="163"/>
        <v>0</v>
      </c>
      <c r="S593" s="1"/>
      <c r="T593" s="1">
        <f t="shared" si="154"/>
        <v>0</v>
      </c>
      <c r="U593" s="2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1"/>
      <c r="AG593" s="1"/>
      <c r="AH593" s="1"/>
      <c r="AI593" s="1"/>
      <c r="AJ593" s="1"/>
    </row>
    <row r="594" spans="1:36" ht="13.5" customHeight="1">
      <c r="A594" s="259"/>
      <c r="B594" s="15" t="str">
        <f>TB!B629</f>
        <v>W009</v>
      </c>
      <c r="C594" s="298" t="str">
        <f>TB!C629</f>
        <v>Plaga Wine Sauvignon Blanc</v>
      </c>
      <c r="D594" s="257">
        <f>SUMIF(GL!$D$5:$D$6446,B594,GL!$G$5:$G$6446)</f>
        <v>0</v>
      </c>
      <c r="E594" s="258">
        <f>SUMIF(GL!$D$6:$D$6484,B594,GL!$H$6:$H$6484)</f>
        <v>0</v>
      </c>
      <c r="F594" s="258">
        <f>SUMIF(GL!$D$6:$D$6484,B594,GL!$I$6:$I$6484)</f>
        <v>0</v>
      </c>
      <c r="G594" s="258">
        <f t="shared" si="164"/>
        <v>0</v>
      </c>
      <c r="H594" s="258">
        <f t="shared" si="165"/>
        <v>0</v>
      </c>
      <c r="I594" s="250"/>
      <c r="J594" s="251"/>
      <c r="K594" s="252"/>
      <c r="L594" s="253"/>
      <c r="M594" s="128"/>
      <c r="N594" s="128">
        <f t="shared" si="161"/>
        <v>0</v>
      </c>
      <c r="O594" s="254"/>
      <c r="P594" s="128">
        <f t="shared" si="134"/>
        <v>0</v>
      </c>
      <c r="Q594" s="18">
        <f t="shared" si="162"/>
        <v>0</v>
      </c>
      <c r="R594" s="255">
        <f t="shared" si="163"/>
        <v>0</v>
      </c>
      <c r="S594" s="1"/>
      <c r="T594" s="1">
        <f t="shared" si="154"/>
        <v>0</v>
      </c>
      <c r="U594" s="2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1"/>
      <c r="AG594" s="1"/>
      <c r="AH594" s="1"/>
      <c r="AI594" s="1"/>
      <c r="AJ594" s="1"/>
    </row>
    <row r="595" spans="1:36" ht="13.5" customHeight="1">
      <c r="A595" s="259"/>
      <c r="B595" s="15" t="str">
        <f>TB!B630</f>
        <v>W010</v>
      </c>
      <c r="C595" s="298" t="str">
        <f>TB!C630</f>
        <v>Plaga Wine Rose</v>
      </c>
      <c r="D595" s="257">
        <f>SUMIF(GL!$D$5:$D$6446,B595,GL!$G$5:$G$6446)</f>
        <v>0</v>
      </c>
      <c r="E595" s="258">
        <f>SUMIF(GL!$D$6:$D$6484,B595,GL!$H$6:$H$6484)</f>
        <v>0</v>
      </c>
      <c r="F595" s="258">
        <f>SUMIF(GL!$D$6:$D$6484,B595,GL!$I$6:$I$6484)</f>
        <v>0</v>
      </c>
      <c r="G595" s="258">
        <f t="shared" si="164"/>
        <v>0</v>
      </c>
      <c r="H595" s="258">
        <f t="shared" si="165"/>
        <v>0</v>
      </c>
      <c r="I595" s="250"/>
      <c r="J595" s="251"/>
      <c r="K595" s="252"/>
      <c r="L595" s="253"/>
      <c r="M595" s="128"/>
      <c r="N595" s="128">
        <f t="shared" si="161"/>
        <v>0</v>
      </c>
      <c r="O595" s="254"/>
      <c r="P595" s="128">
        <f t="shared" si="134"/>
        <v>0</v>
      </c>
      <c r="Q595" s="18">
        <f t="shared" si="162"/>
        <v>0</v>
      </c>
      <c r="R595" s="255">
        <f t="shared" si="163"/>
        <v>0</v>
      </c>
      <c r="S595" s="1"/>
      <c r="T595" s="1">
        <f t="shared" si="154"/>
        <v>0</v>
      </c>
      <c r="U595" s="2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1"/>
      <c r="AG595" s="1"/>
      <c r="AH595" s="1"/>
      <c r="AI595" s="1"/>
      <c r="AJ595" s="1"/>
    </row>
    <row r="596" spans="1:36" ht="13.5" customHeight="1">
      <c r="A596" s="259"/>
      <c r="B596" s="15" t="str">
        <f>TB!B631</f>
        <v>W011</v>
      </c>
      <c r="C596" s="298" t="str">
        <f>TB!C631</f>
        <v>Plaga Wine Chardonnay</v>
      </c>
      <c r="D596" s="257">
        <f>SUMIF(GL!$D$5:$D$6446,B596,GL!$G$5:$G$6446)</f>
        <v>0</v>
      </c>
      <c r="E596" s="258">
        <f>SUMIF(GL!$D$6:$D$6484,B596,GL!$H$6:$H$6484)</f>
        <v>0</v>
      </c>
      <c r="F596" s="258">
        <f>SUMIF(GL!$D$6:$D$6484,B596,GL!$I$6:$I$6484)</f>
        <v>0</v>
      </c>
      <c r="G596" s="258">
        <f t="shared" si="164"/>
        <v>0</v>
      </c>
      <c r="H596" s="258">
        <f t="shared" si="165"/>
        <v>0</v>
      </c>
      <c r="I596" s="250"/>
      <c r="J596" s="251"/>
      <c r="K596" s="252"/>
      <c r="L596" s="253"/>
      <c r="M596" s="128"/>
      <c r="N596" s="128">
        <f t="shared" si="161"/>
        <v>0</v>
      </c>
      <c r="O596" s="254"/>
      <c r="P596" s="128">
        <f t="shared" si="134"/>
        <v>0</v>
      </c>
      <c r="Q596" s="18">
        <f t="shared" si="162"/>
        <v>0</v>
      </c>
      <c r="R596" s="255">
        <f t="shared" si="163"/>
        <v>0</v>
      </c>
      <c r="S596" s="1"/>
      <c r="T596" s="1">
        <f t="shared" si="154"/>
        <v>0</v>
      </c>
      <c r="U596" s="2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1"/>
      <c r="AG596" s="1"/>
      <c r="AH596" s="1"/>
      <c r="AI596" s="1"/>
      <c r="AJ596" s="1"/>
    </row>
    <row r="597" spans="1:36" ht="13.5" customHeight="1">
      <c r="A597" s="259"/>
      <c r="B597" s="15" t="str">
        <f>TB!B632</f>
        <v>W012</v>
      </c>
      <c r="C597" s="298" t="str">
        <f>TB!C632</f>
        <v>Valdivieso</v>
      </c>
      <c r="D597" s="257">
        <f>SUMIF(GL!$D$5:$D$6446,B597,GL!$G$5:$G$6446)</f>
        <v>0</v>
      </c>
      <c r="E597" s="258">
        <f>SUMIF(GL!$D$6:$D$6484,B597,GL!$H$6:$H$6484)</f>
        <v>0</v>
      </c>
      <c r="F597" s="258">
        <f>SUMIF(GL!$D$6:$D$6484,B597,GL!$I$6:$I$6484)</f>
        <v>0</v>
      </c>
      <c r="G597" s="258">
        <f t="shared" si="164"/>
        <v>0</v>
      </c>
      <c r="H597" s="258">
        <f t="shared" si="165"/>
        <v>0</v>
      </c>
      <c r="I597" s="250"/>
      <c r="J597" s="251"/>
      <c r="K597" s="252"/>
      <c r="L597" s="253"/>
      <c r="M597" s="128"/>
      <c r="N597" s="128">
        <f t="shared" si="161"/>
        <v>0</v>
      </c>
      <c r="O597" s="254"/>
      <c r="P597" s="128">
        <f t="shared" si="134"/>
        <v>0</v>
      </c>
      <c r="Q597" s="18">
        <f t="shared" si="162"/>
        <v>0</v>
      </c>
      <c r="R597" s="255">
        <f t="shared" si="163"/>
        <v>0</v>
      </c>
      <c r="S597" s="1"/>
      <c r="T597" s="1">
        <f t="shared" si="154"/>
        <v>0</v>
      </c>
      <c r="U597" s="299"/>
      <c r="V597" s="99"/>
      <c r="W597" s="99"/>
      <c r="X597" s="4"/>
      <c r="Y597" s="4"/>
      <c r="Z597" s="4"/>
      <c r="AA597" s="4"/>
      <c r="AB597" s="4"/>
      <c r="AC597" s="4"/>
      <c r="AD597" s="99"/>
      <c r="AE597" s="99"/>
      <c r="AF597" s="1"/>
      <c r="AG597" s="1"/>
      <c r="AH597" s="1"/>
      <c r="AI597" s="1"/>
      <c r="AJ597" s="1"/>
    </row>
    <row r="598" spans="1:36" ht="13.5" customHeight="1">
      <c r="A598" s="259"/>
      <c r="B598" s="15" t="str">
        <f>TB!B633</f>
        <v>W013</v>
      </c>
      <c r="C598" s="298" t="str">
        <f>TB!C633</f>
        <v>Moet Chandon</v>
      </c>
      <c r="D598" s="257">
        <f>SUMIF(GL!$D$5:$D$6446,B598,GL!$G$5:$G$6446)</f>
        <v>0</v>
      </c>
      <c r="E598" s="258">
        <f>SUMIF(GL!$D$6:$D$6484,B598,GL!$H$6:$H$6484)</f>
        <v>0</v>
      </c>
      <c r="F598" s="258">
        <f>SUMIF(GL!$D$6:$D$6484,B598,GL!$I$6:$I$6484)</f>
        <v>0</v>
      </c>
      <c r="G598" s="258">
        <f t="shared" si="164"/>
        <v>0</v>
      </c>
      <c r="H598" s="258">
        <f t="shared" si="165"/>
        <v>0</v>
      </c>
      <c r="I598" s="250">
        <v>13</v>
      </c>
      <c r="J598" s="251">
        <v>1097725</v>
      </c>
      <c r="K598" s="252">
        <v>14270419</v>
      </c>
      <c r="L598" s="253">
        <f>D598+I598</f>
        <v>13</v>
      </c>
      <c r="M598" s="128">
        <f>(G598+K598)/L598</f>
        <v>1097724.5384615385</v>
      </c>
      <c r="N598" s="128">
        <f t="shared" si="161"/>
        <v>14270419</v>
      </c>
      <c r="O598" s="254">
        <v>8</v>
      </c>
      <c r="P598" s="128">
        <f t="shared" si="134"/>
        <v>1097724.5384615385</v>
      </c>
      <c r="Q598" s="18">
        <f t="shared" si="162"/>
        <v>8781796.307692308</v>
      </c>
      <c r="R598" s="255">
        <f t="shared" si="163"/>
        <v>5488622.692307692</v>
      </c>
      <c r="S598" s="1"/>
      <c r="T598" s="1">
        <f t="shared" si="154"/>
        <v>0.46153846150264144</v>
      </c>
      <c r="U598" s="2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4"/>
      <c r="AG598" s="4"/>
      <c r="AH598" s="4"/>
      <c r="AI598" s="4"/>
      <c r="AJ598" s="4"/>
    </row>
    <row r="599" spans="1:36" ht="13.5" customHeight="1">
      <c r="A599" s="259"/>
      <c r="B599" s="15" t="str">
        <f>TB!B634</f>
        <v>W013A</v>
      </c>
      <c r="C599" s="298" t="str">
        <f>TB!C634</f>
        <v>Moet Chandon Dry Nectar</v>
      </c>
      <c r="D599" s="257">
        <f>SUMIF(GL!$D$5:$D$6446,B599,GL!$G$5:$G$6446)</f>
        <v>0</v>
      </c>
      <c r="E599" s="258">
        <f>SUMIF(GL!$D$6:$D$6484,B599,GL!$H$6:$H$6484)</f>
        <v>0</v>
      </c>
      <c r="F599" s="258">
        <f>SUMIF(GL!$D$6:$D$6484,B599,GL!$I$6:$I$6484)</f>
        <v>0</v>
      </c>
      <c r="G599" s="258">
        <f t="shared" si="164"/>
        <v>0</v>
      </c>
      <c r="H599" s="258">
        <f t="shared" si="165"/>
        <v>0</v>
      </c>
      <c r="I599" s="250"/>
      <c r="J599" s="251"/>
      <c r="K599" s="252"/>
      <c r="L599" s="253"/>
      <c r="M599" s="128"/>
      <c r="N599" s="128">
        <f t="shared" si="161"/>
        <v>0</v>
      </c>
      <c r="O599" s="254"/>
      <c r="P599" s="128">
        <f t="shared" si="134"/>
        <v>0</v>
      </c>
      <c r="Q599" s="18">
        <f t="shared" si="162"/>
        <v>0</v>
      </c>
      <c r="R599" s="255">
        <f t="shared" si="163"/>
        <v>0</v>
      </c>
      <c r="S599" s="1"/>
      <c r="T599" s="1">
        <f t="shared" si="154"/>
        <v>0</v>
      </c>
      <c r="U599" s="2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4"/>
      <c r="AG599" s="4"/>
      <c r="AH599" s="4"/>
      <c r="AI599" s="4"/>
      <c r="AJ599" s="4"/>
    </row>
    <row r="600" spans="1:36" ht="13.5" customHeight="1">
      <c r="A600" s="259"/>
      <c r="B600" s="15" t="str">
        <f>TB!B635</f>
        <v>W014</v>
      </c>
      <c r="C600" s="298" t="str">
        <f>TB!C635</f>
        <v>Moet Chandon Ice</v>
      </c>
      <c r="D600" s="257">
        <f>SUMIF(GL!$D$5:$D$6446,B600,GL!$G$5:$G$6446)</f>
        <v>8</v>
      </c>
      <c r="E600" s="258">
        <f>SUMIF(GL!$D$6:$D$6484,B600,GL!$H$6:$H$6484)</f>
        <v>11196000</v>
      </c>
      <c r="F600" s="258">
        <f>SUMIF(GL!$D$6:$D$6484,B600,GL!$I$6:$I$6484)</f>
        <v>0</v>
      </c>
      <c r="G600" s="258">
        <f t="shared" si="164"/>
        <v>11196000</v>
      </c>
      <c r="H600" s="258">
        <f t="shared" si="165"/>
        <v>0</v>
      </c>
      <c r="I600" s="250">
        <v>3</v>
      </c>
      <c r="J600" s="251">
        <v>1277087</v>
      </c>
      <c r="K600" s="252">
        <v>3831262</v>
      </c>
      <c r="L600" s="253">
        <f>D600+I600</f>
        <v>11</v>
      </c>
      <c r="M600" s="128">
        <f>(G600+K600)/L600</f>
        <v>1366114.7272727273</v>
      </c>
      <c r="N600" s="128">
        <f t="shared" si="161"/>
        <v>15027262</v>
      </c>
      <c r="O600" s="254">
        <v>6</v>
      </c>
      <c r="P600" s="128">
        <f t="shared" si="134"/>
        <v>1366114.7272727273</v>
      </c>
      <c r="Q600" s="18">
        <f t="shared" si="162"/>
        <v>8196688.3636363633</v>
      </c>
      <c r="R600" s="255">
        <f t="shared" si="163"/>
        <v>6830573.6363636367</v>
      </c>
      <c r="S600" s="1"/>
      <c r="T600" s="1">
        <f t="shared" si="154"/>
        <v>-89027.727272727294</v>
      </c>
      <c r="U600" s="2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4"/>
      <c r="AG600" s="4"/>
      <c r="AH600" s="4"/>
      <c r="AI600" s="4"/>
      <c r="AJ600" s="4"/>
    </row>
    <row r="601" spans="1:36" ht="13.5" customHeight="1">
      <c r="A601" s="259"/>
      <c r="B601" s="15" t="str">
        <f>TB!B636</f>
        <v>W015</v>
      </c>
      <c r="C601" s="298" t="str">
        <f>TB!C636</f>
        <v>Dom Porignon Brut</v>
      </c>
      <c r="D601" s="257">
        <f>SUMIF(GL!$D$5:$D$6446,B601,GL!$G$5:$G$6446)</f>
        <v>0</v>
      </c>
      <c r="E601" s="258">
        <f>SUMIF(GL!$D$6:$D$6484,B601,GL!$H$6:$H$6484)</f>
        <v>0</v>
      </c>
      <c r="F601" s="258">
        <f>SUMIF(GL!$D$6:$D$6484,B601,GL!$I$6:$I$6484)</f>
        <v>0</v>
      </c>
      <c r="G601" s="258">
        <f t="shared" si="164"/>
        <v>0</v>
      </c>
      <c r="H601" s="258">
        <f t="shared" si="165"/>
        <v>0</v>
      </c>
      <c r="I601" s="250"/>
      <c r="J601" s="251"/>
      <c r="K601" s="252"/>
      <c r="L601" s="253"/>
      <c r="M601" s="128"/>
      <c r="N601" s="128">
        <f t="shared" si="161"/>
        <v>0</v>
      </c>
      <c r="O601" s="254"/>
      <c r="P601" s="128">
        <f t="shared" si="134"/>
        <v>0</v>
      </c>
      <c r="Q601" s="18">
        <f t="shared" si="162"/>
        <v>0</v>
      </c>
      <c r="R601" s="255">
        <f t="shared" si="163"/>
        <v>0</v>
      </c>
      <c r="S601" s="1"/>
      <c r="T601" s="1">
        <f t="shared" si="154"/>
        <v>0</v>
      </c>
      <c r="U601" s="2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4"/>
      <c r="AG601" s="4"/>
      <c r="AH601" s="4"/>
      <c r="AI601" s="4"/>
      <c r="AJ601" s="4"/>
    </row>
    <row r="602" spans="1:36" ht="13.5" customHeight="1">
      <c r="A602" s="289"/>
      <c r="B602" s="15" t="str">
        <f>TB!B637</f>
        <v>W015A</v>
      </c>
      <c r="C602" s="298" t="str">
        <f>TB!C637</f>
        <v>Dom Porignon Luminous 2013</v>
      </c>
      <c r="D602" s="257">
        <f>SUMIF(GL!$D$5:$D$6446,B602,GL!$G$5:$G$6446)</f>
        <v>0</v>
      </c>
      <c r="E602" s="258">
        <f>SUMIF(GL!$D$6:$D$6484,B602,GL!$H$6:$H$6484)</f>
        <v>0</v>
      </c>
      <c r="F602" s="258">
        <f>SUMIF(GL!$D$6:$D$6484,B602,GL!$I$6:$I$6484)</f>
        <v>0</v>
      </c>
      <c r="G602" s="258">
        <f t="shared" si="164"/>
        <v>0</v>
      </c>
      <c r="H602" s="258">
        <f t="shared" si="165"/>
        <v>0</v>
      </c>
      <c r="I602" s="250"/>
      <c r="J602" s="251"/>
      <c r="K602" s="252"/>
      <c r="L602" s="253"/>
      <c r="M602" s="128"/>
      <c r="N602" s="128">
        <f t="shared" si="161"/>
        <v>0</v>
      </c>
      <c r="O602" s="254"/>
      <c r="P602" s="128">
        <f t="shared" si="134"/>
        <v>0</v>
      </c>
      <c r="Q602" s="18">
        <f t="shared" si="162"/>
        <v>0</v>
      </c>
      <c r="R602" s="255">
        <f t="shared" si="163"/>
        <v>0</v>
      </c>
      <c r="S602" s="1"/>
      <c r="T602" s="1">
        <f t="shared" si="154"/>
        <v>0</v>
      </c>
      <c r="U602" s="2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1"/>
      <c r="AG602" s="1"/>
      <c r="AH602" s="1"/>
      <c r="AI602" s="1"/>
      <c r="AJ602" s="1"/>
    </row>
    <row r="603" spans="1:36" ht="13.5" customHeight="1">
      <c r="A603" s="284"/>
      <c r="B603" s="15" t="str">
        <f>TB!B638</f>
        <v>W016</v>
      </c>
      <c r="C603" s="298" t="str">
        <f>TB!C638</f>
        <v>Banrock Merlot</v>
      </c>
      <c r="D603" s="257">
        <f>SUMIF(GL!$D$5:$D$6446,B603,GL!$G$5:$G$6446)</f>
        <v>3</v>
      </c>
      <c r="E603" s="258">
        <f>SUMIF(GL!$D$6:$D$6484,B603,GL!$H$6:$H$6484)</f>
        <v>747000</v>
      </c>
      <c r="F603" s="258">
        <f>SUMIF(GL!$D$6:$D$6484,B603,GL!$I$6:$I$6484)</f>
        <v>0</v>
      </c>
      <c r="G603" s="258">
        <f t="shared" si="164"/>
        <v>747000</v>
      </c>
      <c r="H603" s="258">
        <f t="shared" si="165"/>
        <v>0</v>
      </c>
      <c r="I603" s="250">
        <v>2</v>
      </c>
      <c r="J603" s="251">
        <v>285181</v>
      </c>
      <c r="K603" s="252">
        <v>570361</v>
      </c>
      <c r="L603" s="253">
        <f t="shared" ref="L603:L604" si="172">D603+I603</f>
        <v>5</v>
      </c>
      <c r="M603" s="128">
        <f t="shared" ref="M603:M604" si="173">(G603+K603)/L603</f>
        <v>263472.2</v>
      </c>
      <c r="N603" s="128">
        <f t="shared" si="161"/>
        <v>1317361</v>
      </c>
      <c r="O603" s="254">
        <v>5</v>
      </c>
      <c r="P603" s="128">
        <f t="shared" si="134"/>
        <v>263472.2</v>
      </c>
      <c r="Q603" s="18">
        <f t="shared" si="162"/>
        <v>1317361</v>
      </c>
      <c r="R603" s="255">
        <f t="shared" si="163"/>
        <v>0</v>
      </c>
      <c r="S603" s="1"/>
      <c r="T603" s="1">
        <f t="shared" si="154"/>
        <v>21708.799999999988</v>
      </c>
      <c r="U603" s="2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1"/>
      <c r="AG603" s="1"/>
      <c r="AH603" s="1"/>
      <c r="AI603" s="1"/>
      <c r="AJ603" s="1"/>
    </row>
    <row r="604" spans="1:36" ht="13.5" customHeight="1">
      <c r="A604" s="259"/>
      <c r="B604" s="15" t="str">
        <f>TB!B639</f>
        <v>W017</v>
      </c>
      <c r="C604" s="298" t="str">
        <f>TB!C639</f>
        <v>Banrock Chardonay</v>
      </c>
      <c r="D604" s="257">
        <f>SUMIF(GL!$D$5:$D$6446,B604,GL!$G$5:$G$6446)</f>
        <v>3</v>
      </c>
      <c r="E604" s="258">
        <f>SUMIF(GL!$D$6:$D$6484,B604,GL!$H$6:$H$6484)</f>
        <v>747000</v>
      </c>
      <c r="F604" s="258">
        <f>SUMIF(GL!$D$6:$D$6484,B604,GL!$I$6:$I$6484)</f>
        <v>0</v>
      </c>
      <c r="G604" s="258">
        <f t="shared" si="164"/>
        <v>747000</v>
      </c>
      <c r="H604" s="258">
        <f t="shared" si="165"/>
        <v>0</v>
      </c>
      <c r="I604" s="250">
        <v>3.8</v>
      </c>
      <c r="J604" s="251">
        <v>275778</v>
      </c>
      <c r="K604" s="252">
        <v>1047955</v>
      </c>
      <c r="L604" s="253">
        <f t="shared" si="172"/>
        <v>6.8</v>
      </c>
      <c r="M604" s="128">
        <f t="shared" si="173"/>
        <v>263963.9705882353</v>
      </c>
      <c r="N604" s="128">
        <f t="shared" si="161"/>
        <v>1794955</v>
      </c>
      <c r="O604" s="254">
        <v>7</v>
      </c>
      <c r="P604" s="128">
        <f t="shared" si="134"/>
        <v>263963.9705882353</v>
      </c>
      <c r="Q604" s="18">
        <f t="shared" si="162"/>
        <v>1847747.7941176472</v>
      </c>
      <c r="R604" s="255">
        <f t="shared" si="163"/>
        <v>-52792.794117647223</v>
      </c>
      <c r="S604" s="1"/>
      <c r="T604" s="1">
        <f t="shared" si="154"/>
        <v>11814.029411764699</v>
      </c>
      <c r="U604" s="2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1"/>
      <c r="AG604" s="1"/>
      <c r="AH604" s="1"/>
      <c r="AI604" s="1"/>
      <c r="AJ604" s="1"/>
    </row>
    <row r="605" spans="1:36" ht="13.5" customHeight="1">
      <c r="A605" s="284"/>
      <c r="B605" s="15" t="str">
        <f>TB!B640</f>
        <v>W018</v>
      </c>
      <c r="C605" s="298" t="str">
        <f>TB!C640</f>
        <v>Banrock Cab Sav</v>
      </c>
      <c r="D605" s="257">
        <f>SUMIF(GL!$D$5:$D$6446,B605,GL!$G$5:$G$6446)</f>
        <v>0</v>
      </c>
      <c r="E605" s="258">
        <f>SUMIF(GL!$D$6:$D$6484,B605,GL!$H$6:$H$6484)</f>
        <v>0</v>
      </c>
      <c r="F605" s="258">
        <f>SUMIF(GL!$D$6:$D$6484,B605,GL!$I$6:$I$6484)</f>
        <v>0</v>
      </c>
      <c r="G605" s="258">
        <f t="shared" si="164"/>
        <v>0</v>
      </c>
      <c r="H605" s="258">
        <f t="shared" si="165"/>
        <v>0</v>
      </c>
      <c r="I605" s="250"/>
      <c r="J605" s="251"/>
      <c r="K605" s="252"/>
      <c r="L605" s="253"/>
      <c r="M605" s="128"/>
      <c r="N605" s="128">
        <f t="shared" si="161"/>
        <v>0</v>
      </c>
      <c r="O605" s="254"/>
      <c r="P605" s="128">
        <f t="shared" si="134"/>
        <v>0</v>
      </c>
      <c r="Q605" s="18">
        <f t="shared" si="162"/>
        <v>0</v>
      </c>
      <c r="R605" s="255">
        <f t="shared" si="163"/>
        <v>0</v>
      </c>
      <c r="S605" s="1"/>
      <c r="T605" s="1">
        <f t="shared" si="154"/>
        <v>0</v>
      </c>
      <c r="U605" s="2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1"/>
      <c r="AG605" s="1"/>
      <c r="AH605" s="1"/>
      <c r="AI605" s="1"/>
      <c r="AJ605" s="1"/>
    </row>
    <row r="606" spans="1:36" ht="13.5" customHeight="1">
      <c r="A606" s="259"/>
      <c r="B606" s="15" t="str">
        <f>TB!B641</f>
        <v>W019</v>
      </c>
      <c r="C606" s="298" t="str">
        <f>TB!C641</f>
        <v>Banrock Shiraz</v>
      </c>
      <c r="D606" s="257">
        <f>SUMIF(GL!$D$5:$D$6446,B606,GL!$G$5:$G$6446)</f>
        <v>3</v>
      </c>
      <c r="E606" s="258">
        <f>SUMIF(GL!$D$6:$D$6484,B606,GL!$H$6:$H$6484)</f>
        <v>747000</v>
      </c>
      <c r="F606" s="258">
        <f>SUMIF(GL!$D$6:$D$6484,B606,GL!$I$6:$I$6484)</f>
        <v>0</v>
      </c>
      <c r="G606" s="258">
        <f t="shared" si="164"/>
        <v>747000</v>
      </c>
      <c r="H606" s="258">
        <f t="shared" si="165"/>
        <v>0</v>
      </c>
      <c r="I606" s="250">
        <v>4</v>
      </c>
      <c r="J606" s="251">
        <v>277525</v>
      </c>
      <c r="K606" s="252">
        <v>1110099</v>
      </c>
      <c r="L606" s="253">
        <f t="shared" ref="L606:L607" si="174">D606+I606</f>
        <v>7</v>
      </c>
      <c r="M606" s="128">
        <f t="shared" ref="M606:M607" si="175">(G606+K606)/L606</f>
        <v>265299.85714285716</v>
      </c>
      <c r="N606" s="128">
        <f t="shared" si="161"/>
        <v>1857099</v>
      </c>
      <c r="O606" s="254">
        <v>6.2</v>
      </c>
      <c r="P606" s="128">
        <f t="shared" si="134"/>
        <v>265299.85714285716</v>
      </c>
      <c r="Q606" s="18">
        <f t="shared" si="162"/>
        <v>1644859.1142857145</v>
      </c>
      <c r="R606" s="255">
        <f t="shared" si="163"/>
        <v>212239.88571428554</v>
      </c>
      <c r="S606" s="1"/>
      <c r="T606" s="1">
        <f t="shared" si="154"/>
        <v>12225.142857142841</v>
      </c>
      <c r="U606" s="2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4"/>
      <c r="AG606" s="4"/>
      <c r="AH606" s="4"/>
      <c r="AI606" s="4"/>
      <c r="AJ606" s="4"/>
    </row>
    <row r="607" spans="1:36" ht="13.5" customHeight="1">
      <c r="A607" s="259"/>
      <c r="B607" s="15" t="str">
        <f>TB!B642</f>
        <v>W020</v>
      </c>
      <c r="C607" s="298" t="str">
        <f>TB!C642</f>
        <v>Banrock Sav Blank</v>
      </c>
      <c r="D607" s="257">
        <f>SUMIF(GL!$D$5:$D$6446,B607,GL!$G$5:$G$6446)</f>
        <v>3</v>
      </c>
      <c r="E607" s="258">
        <f>SUMIF(GL!$D$6:$D$6484,B607,GL!$H$6:$H$6484)</f>
        <v>747000</v>
      </c>
      <c r="F607" s="258">
        <f>SUMIF(GL!$D$6:$D$6484,B607,GL!$I$6:$I$6484)</f>
        <v>0</v>
      </c>
      <c r="G607" s="258">
        <f t="shared" si="164"/>
        <v>747000</v>
      </c>
      <c r="H607" s="258">
        <f t="shared" si="165"/>
        <v>0</v>
      </c>
      <c r="I607" s="250">
        <v>2.4</v>
      </c>
      <c r="J607" s="251">
        <v>289268</v>
      </c>
      <c r="K607" s="252">
        <v>694243</v>
      </c>
      <c r="L607" s="253">
        <f t="shared" si="174"/>
        <v>5.4</v>
      </c>
      <c r="M607" s="128">
        <f t="shared" si="175"/>
        <v>266896.85185185185</v>
      </c>
      <c r="N607" s="128">
        <f t="shared" si="161"/>
        <v>1441243</v>
      </c>
      <c r="O607" s="254">
        <v>4.8</v>
      </c>
      <c r="P607" s="128">
        <f t="shared" si="134"/>
        <v>266896.85185185185</v>
      </c>
      <c r="Q607" s="18">
        <f t="shared" si="162"/>
        <v>1281104.8888888888</v>
      </c>
      <c r="R607" s="255">
        <f t="shared" si="163"/>
        <v>160138.11111111124</v>
      </c>
      <c r="S607" s="1"/>
      <c r="T607" s="1">
        <f t="shared" si="154"/>
        <v>22371.148148148146</v>
      </c>
      <c r="U607" s="2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4"/>
      <c r="AG607" s="4"/>
      <c r="AH607" s="4"/>
      <c r="AI607" s="4"/>
      <c r="AJ607" s="4"/>
    </row>
    <row r="608" spans="1:36" ht="13.5" customHeight="1">
      <c r="A608" s="259"/>
      <c r="B608" s="15" t="str">
        <f>TB!B643</f>
        <v>W021</v>
      </c>
      <c r="C608" s="298" t="str">
        <f>TB!C643</f>
        <v>Domaine Chandon</v>
      </c>
      <c r="D608" s="257">
        <f>SUMIF(GL!$D$5:$D$6446,B608,GL!$G$5:$G$6446)</f>
        <v>0</v>
      </c>
      <c r="E608" s="258">
        <f>SUMIF(GL!$D$6:$D$6484,B608,GL!$H$6:$H$6484)</f>
        <v>0</v>
      </c>
      <c r="F608" s="258">
        <f>SUMIF(GL!$D$6:$D$6484,B608,GL!$I$6:$I$6484)</f>
        <v>0</v>
      </c>
      <c r="G608" s="258">
        <f t="shared" si="164"/>
        <v>0</v>
      </c>
      <c r="H608" s="258">
        <f t="shared" si="165"/>
        <v>0</v>
      </c>
      <c r="I608" s="250"/>
      <c r="J608" s="251"/>
      <c r="K608" s="252"/>
      <c r="L608" s="253"/>
      <c r="M608" s="128"/>
      <c r="N608" s="128">
        <f t="shared" si="161"/>
        <v>0</v>
      </c>
      <c r="O608" s="254"/>
      <c r="P608" s="128">
        <f t="shared" si="134"/>
        <v>0</v>
      </c>
      <c r="Q608" s="18">
        <f t="shared" si="162"/>
        <v>0</v>
      </c>
      <c r="R608" s="255">
        <f t="shared" si="163"/>
        <v>0</v>
      </c>
      <c r="S608" s="1"/>
      <c r="T608" s="1">
        <f t="shared" si="154"/>
        <v>0</v>
      </c>
      <c r="U608" s="2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1"/>
      <c r="AG608" s="1"/>
      <c r="AH608" s="1"/>
      <c r="AI608" s="1"/>
      <c r="AJ608" s="1"/>
    </row>
    <row r="609" spans="1:36" ht="13.5" customHeight="1">
      <c r="A609" s="259"/>
      <c r="B609" s="15" t="str">
        <f>TB!B644</f>
        <v>W022</v>
      </c>
      <c r="C609" s="298" t="str">
        <f>TB!C644</f>
        <v>Isola Red/ Rosso</v>
      </c>
      <c r="D609" s="257">
        <f>SUMIF(GL!$D$5:$D$6446,B609,GL!$G$5:$G$6446)</f>
        <v>0</v>
      </c>
      <c r="E609" s="258">
        <f>SUMIF(GL!$D$6:$D$6484,B609,GL!$H$6:$H$6484)</f>
        <v>0</v>
      </c>
      <c r="F609" s="258">
        <f>SUMIF(GL!$D$6:$D$6484,B609,GL!$I$6:$I$6484)</f>
        <v>0</v>
      </c>
      <c r="G609" s="258">
        <f t="shared" si="164"/>
        <v>0</v>
      </c>
      <c r="H609" s="258">
        <f t="shared" si="165"/>
        <v>0</v>
      </c>
      <c r="I609" s="250"/>
      <c r="J609" s="251"/>
      <c r="K609" s="252"/>
      <c r="L609" s="253"/>
      <c r="M609" s="128"/>
      <c r="N609" s="128">
        <f t="shared" si="161"/>
        <v>0</v>
      </c>
      <c r="O609" s="254"/>
      <c r="P609" s="128">
        <f t="shared" si="134"/>
        <v>0</v>
      </c>
      <c r="Q609" s="18">
        <f t="shared" si="162"/>
        <v>0</v>
      </c>
      <c r="R609" s="255">
        <f t="shared" si="163"/>
        <v>0</v>
      </c>
      <c r="S609" s="1"/>
      <c r="T609" s="1">
        <f t="shared" si="154"/>
        <v>0</v>
      </c>
      <c r="U609" s="2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1"/>
      <c r="AG609" s="1"/>
      <c r="AH609" s="1"/>
      <c r="AI609" s="1"/>
      <c r="AJ609" s="1"/>
    </row>
    <row r="610" spans="1:36" ht="13.5" customHeight="1">
      <c r="A610" s="259"/>
      <c r="B610" s="15" t="str">
        <f>TB!B645</f>
        <v>W023</v>
      </c>
      <c r="C610" s="298" t="str">
        <f>TB!C645</f>
        <v>Isola Rose/Rosato</v>
      </c>
      <c r="D610" s="257">
        <f>SUMIF(GL!$D$5:$D$6446,B610,GL!$G$5:$G$6446)</f>
        <v>0</v>
      </c>
      <c r="E610" s="258">
        <f>SUMIF(GL!$D$6:$D$6484,B610,GL!$H$6:$H$6484)</f>
        <v>0</v>
      </c>
      <c r="F610" s="258">
        <f>SUMIF(GL!$D$6:$D$6484,B610,GL!$I$6:$I$6484)</f>
        <v>0</v>
      </c>
      <c r="G610" s="258">
        <f t="shared" si="164"/>
        <v>0</v>
      </c>
      <c r="H610" s="258">
        <f t="shared" si="165"/>
        <v>0</v>
      </c>
      <c r="I610" s="250"/>
      <c r="J610" s="251"/>
      <c r="K610" s="252"/>
      <c r="L610" s="253"/>
      <c r="M610" s="128"/>
      <c r="N610" s="128">
        <f t="shared" si="161"/>
        <v>0</v>
      </c>
      <c r="O610" s="254"/>
      <c r="P610" s="128">
        <f t="shared" si="134"/>
        <v>0</v>
      </c>
      <c r="Q610" s="18">
        <f t="shared" si="162"/>
        <v>0</v>
      </c>
      <c r="R610" s="255">
        <f t="shared" si="163"/>
        <v>0</v>
      </c>
      <c r="S610" s="1"/>
      <c r="T610" s="1">
        <f t="shared" si="154"/>
        <v>0</v>
      </c>
      <c r="U610" s="2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1"/>
      <c r="AG610" s="1"/>
      <c r="AH610" s="1"/>
      <c r="AI610" s="1"/>
      <c r="AJ610" s="1"/>
    </row>
    <row r="611" spans="1:36" ht="13.5" customHeight="1">
      <c r="A611" s="284"/>
      <c r="B611" s="15" t="str">
        <f>TB!B646</f>
        <v>W024</v>
      </c>
      <c r="C611" s="298" t="str">
        <f>TB!C646</f>
        <v>Isola White/Bianco</v>
      </c>
      <c r="D611" s="257">
        <f>SUMIF(GL!$D$5:$D$6446,B611,GL!$G$5:$G$6446)</f>
        <v>0</v>
      </c>
      <c r="E611" s="258">
        <f>SUMIF(GL!$D$6:$D$6484,B611,GL!$H$6:$H$6484)</f>
        <v>0</v>
      </c>
      <c r="F611" s="258">
        <f>SUMIF(GL!$D$6:$D$6484,B611,GL!$I$6:$I$6484)</f>
        <v>0</v>
      </c>
      <c r="G611" s="258">
        <f t="shared" si="164"/>
        <v>0</v>
      </c>
      <c r="H611" s="258">
        <f t="shared" si="165"/>
        <v>0</v>
      </c>
      <c r="I611" s="250"/>
      <c r="J611" s="251"/>
      <c r="K611" s="252"/>
      <c r="L611" s="253"/>
      <c r="M611" s="128"/>
      <c r="N611" s="128">
        <f t="shared" si="161"/>
        <v>0</v>
      </c>
      <c r="O611" s="254"/>
      <c r="P611" s="128">
        <f t="shared" si="134"/>
        <v>0</v>
      </c>
      <c r="Q611" s="18">
        <f t="shared" si="162"/>
        <v>0</v>
      </c>
      <c r="R611" s="255">
        <f t="shared" si="163"/>
        <v>0</v>
      </c>
      <c r="S611" s="1"/>
      <c r="T611" s="1">
        <f t="shared" si="154"/>
        <v>0</v>
      </c>
      <c r="U611" s="2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1"/>
      <c r="AG611" s="1"/>
      <c r="AH611" s="1"/>
      <c r="AI611" s="1"/>
      <c r="AJ611" s="1"/>
    </row>
    <row r="612" spans="1:36" ht="13.5" customHeight="1">
      <c r="A612" s="259"/>
      <c r="B612" s="15" t="str">
        <f>TB!B647</f>
        <v>W025</v>
      </c>
      <c r="C612" s="298" t="str">
        <f>TB!C647</f>
        <v>Two Island Pinot Grigio</v>
      </c>
      <c r="D612" s="257">
        <f>SUMIF(GL!$D$5:$D$6446,B612,GL!$G$5:$G$6446)</f>
        <v>0</v>
      </c>
      <c r="E612" s="258">
        <f>SUMIF(GL!$D$6:$D$6484,B612,GL!$H$6:$H$6484)</f>
        <v>0</v>
      </c>
      <c r="F612" s="258">
        <f>SUMIF(GL!$D$6:$D$6484,B612,GL!$I$6:$I$6484)</f>
        <v>0</v>
      </c>
      <c r="G612" s="258">
        <f t="shared" si="164"/>
        <v>0</v>
      </c>
      <c r="H612" s="258">
        <f t="shared" si="165"/>
        <v>0</v>
      </c>
      <c r="I612" s="250">
        <v>4.8</v>
      </c>
      <c r="J612" s="251">
        <v>214767</v>
      </c>
      <c r="K612" s="252">
        <v>1030882</v>
      </c>
      <c r="L612" s="253">
        <f>D612+I612</f>
        <v>4.8</v>
      </c>
      <c r="M612" s="128">
        <f>(G612+K612)/L612</f>
        <v>214767.08333333334</v>
      </c>
      <c r="N612" s="128">
        <f t="shared" si="161"/>
        <v>1030882</v>
      </c>
      <c r="O612" s="254">
        <v>4.4000000000000004</v>
      </c>
      <c r="P612" s="128">
        <f t="shared" si="134"/>
        <v>214767.08333333334</v>
      </c>
      <c r="Q612" s="18">
        <f t="shared" si="162"/>
        <v>944975.16666666674</v>
      </c>
      <c r="R612" s="255">
        <f t="shared" si="163"/>
        <v>85906.833333333256</v>
      </c>
      <c r="S612" s="1"/>
      <c r="T612" s="1">
        <f t="shared" si="154"/>
        <v>-8.333333334303461E-2</v>
      </c>
      <c r="U612" s="2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4"/>
      <c r="AG612" s="4"/>
      <c r="AH612" s="4"/>
      <c r="AI612" s="4"/>
      <c r="AJ612" s="4"/>
    </row>
    <row r="613" spans="1:36" ht="13.5" customHeight="1">
      <c r="A613" s="259"/>
      <c r="B613" s="15" t="str">
        <f>TB!B648</f>
        <v>W026</v>
      </c>
      <c r="C613" s="298" t="str">
        <f>TB!C648</f>
        <v>Two Island Pinot Noir</v>
      </c>
      <c r="D613" s="257">
        <f>SUMIF(GL!$D$5:$D$6446,B613,GL!$G$5:$G$6446)</f>
        <v>0</v>
      </c>
      <c r="E613" s="258">
        <f>SUMIF(GL!$D$6:$D$6484,B613,GL!$H$6:$H$6484)</f>
        <v>0</v>
      </c>
      <c r="F613" s="258">
        <f>SUMIF(GL!$D$6:$D$6484,B613,GL!$I$6:$I$6484)</f>
        <v>0</v>
      </c>
      <c r="G613" s="258">
        <f t="shared" si="164"/>
        <v>0</v>
      </c>
      <c r="H613" s="258">
        <f t="shared" si="165"/>
        <v>0</v>
      </c>
      <c r="I613" s="250"/>
      <c r="J613" s="251"/>
      <c r="K613" s="252"/>
      <c r="L613" s="253"/>
      <c r="M613" s="128"/>
      <c r="N613" s="128">
        <f t="shared" si="161"/>
        <v>0</v>
      </c>
      <c r="O613" s="254"/>
      <c r="P613" s="128">
        <f t="shared" si="134"/>
        <v>0</v>
      </c>
      <c r="Q613" s="18">
        <f t="shared" si="162"/>
        <v>0</v>
      </c>
      <c r="R613" s="255">
        <f t="shared" si="163"/>
        <v>0</v>
      </c>
      <c r="S613" s="1"/>
      <c r="T613" s="1">
        <f t="shared" si="154"/>
        <v>0</v>
      </c>
      <c r="U613" s="2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4"/>
      <c r="AG613" s="4"/>
      <c r="AH613" s="4"/>
      <c r="AI613" s="4"/>
      <c r="AJ613" s="4"/>
    </row>
    <row r="614" spans="1:36" ht="13.5" customHeight="1">
      <c r="A614" s="259"/>
      <c r="B614" s="15" t="str">
        <f>TB!B649</f>
        <v>W027</v>
      </c>
      <c r="C614" s="298" t="str">
        <f>TB!C649</f>
        <v>Two Island Cabaernet Merlot</v>
      </c>
      <c r="D614" s="257">
        <f>SUMIF(GL!$D$5:$D$6446,B614,GL!$G$5:$G$6446)</f>
        <v>0</v>
      </c>
      <c r="E614" s="258">
        <f>SUMIF(GL!$D$6:$D$6484,B614,GL!$H$6:$H$6484)</f>
        <v>0</v>
      </c>
      <c r="F614" s="258">
        <f>SUMIF(GL!$D$6:$D$6484,B614,GL!$I$6:$I$6484)</f>
        <v>0</v>
      </c>
      <c r="G614" s="258">
        <f t="shared" si="164"/>
        <v>0</v>
      </c>
      <c r="H614" s="258">
        <f t="shared" si="165"/>
        <v>0</v>
      </c>
      <c r="I614" s="250">
        <v>2</v>
      </c>
      <c r="J614" s="251">
        <v>191436</v>
      </c>
      <c r="K614" s="252">
        <v>382872</v>
      </c>
      <c r="L614" s="253">
        <f t="shared" ref="L614:L615" si="176">D614+I614</f>
        <v>2</v>
      </c>
      <c r="M614" s="128">
        <f t="shared" ref="M614:M615" si="177">(G614+K614)/L614</f>
        <v>191436</v>
      </c>
      <c r="N614" s="128">
        <f t="shared" si="161"/>
        <v>382872</v>
      </c>
      <c r="O614" s="254">
        <v>2</v>
      </c>
      <c r="P614" s="128">
        <f t="shared" si="134"/>
        <v>191436</v>
      </c>
      <c r="Q614" s="18">
        <f t="shared" si="162"/>
        <v>382872</v>
      </c>
      <c r="R614" s="255">
        <f t="shared" si="163"/>
        <v>0</v>
      </c>
      <c r="S614" s="1"/>
      <c r="T614" s="1">
        <f t="shared" si="154"/>
        <v>0</v>
      </c>
      <c r="U614" s="2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4"/>
      <c r="AG614" s="4"/>
      <c r="AH614" s="4"/>
      <c r="AI614" s="4"/>
      <c r="AJ614" s="4"/>
    </row>
    <row r="615" spans="1:36" ht="13.5" customHeight="1">
      <c r="A615" s="259"/>
      <c r="B615" s="15" t="str">
        <f>TB!B650</f>
        <v>W028</v>
      </c>
      <c r="C615" s="298" t="str">
        <f>TB!C650</f>
        <v>Two Island Ti Riesling</v>
      </c>
      <c r="D615" s="257">
        <f>SUMIF(GL!$D$5:$D$6446,B615,GL!$G$5:$G$6446)</f>
        <v>0</v>
      </c>
      <c r="E615" s="258">
        <f>SUMIF(GL!$D$6:$D$6484,B615,GL!$H$6:$H$6484)</f>
        <v>0</v>
      </c>
      <c r="F615" s="258">
        <f>SUMIF(GL!$D$6:$D$6484,B615,GL!$I$6:$I$6484)</f>
        <v>0</v>
      </c>
      <c r="G615" s="258">
        <f t="shared" si="164"/>
        <v>0</v>
      </c>
      <c r="H615" s="258">
        <f t="shared" si="165"/>
        <v>0</v>
      </c>
      <c r="I615" s="250">
        <v>2</v>
      </c>
      <c r="J615" s="251">
        <v>208898</v>
      </c>
      <c r="K615" s="252">
        <v>417795</v>
      </c>
      <c r="L615" s="253">
        <f t="shared" si="176"/>
        <v>2</v>
      </c>
      <c r="M615" s="128">
        <f t="shared" si="177"/>
        <v>208897.5</v>
      </c>
      <c r="N615" s="128">
        <f t="shared" si="161"/>
        <v>417795</v>
      </c>
      <c r="O615" s="254">
        <v>2</v>
      </c>
      <c r="P615" s="128">
        <f t="shared" si="134"/>
        <v>208897.5</v>
      </c>
      <c r="Q615" s="18">
        <f t="shared" si="162"/>
        <v>417795</v>
      </c>
      <c r="R615" s="255">
        <f t="shared" si="163"/>
        <v>0</v>
      </c>
      <c r="S615" s="1"/>
      <c r="T615" s="1">
        <f t="shared" si="154"/>
        <v>0.5</v>
      </c>
      <c r="U615" s="2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4"/>
      <c r="AG615" s="4"/>
      <c r="AH615" s="4"/>
      <c r="AI615" s="4"/>
      <c r="AJ615" s="4"/>
    </row>
    <row r="616" spans="1:36" ht="13.5" customHeight="1">
      <c r="A616" s="259" t="s">
        <v>3842</v>
      </c>
      <c r="B616" s="15" t="str">
        <f>TB!B651</f>
        <v>W029</v>
      </c>
      <c r="C616" s="298" t="str">
        <f>TB!C651</f>
        <v>Bach Cava Semi Secco (Sparkling Wine)</v>
      </c>
      <c r="D616" s="257">
        <f>SUMIF(GL!$D$5:$D$6446,B616,GL!$G$5:$G$6446)</f>
        <v>0</v>
      </c>
      <c r="E616" s="258">
        <f>SUMIF(GL!$D$6:$D$6484,B616,GL!$H$6:$H$6484)</f>
        <v>0</v>
      </c>
      <c r="F616" s="258">
        <f>SUMIF(GL!$D$6:$D$6484,B616,GL!$I$6:$I$6484)</f>
        <v>0</v>
      </c>
      <c r="G616" s="258">
        <f t="shared" si="164"/>
        <v>0</v>
      </c>
      <c r="H616" s="258">
        <f t="shared" si="165"/>
        <v>0</v>
      </c>
      <c r="I616" s="250"/>
      <c r="J616" s="251"/>
      <c r="K616" s="252"/>
      <c r="L616" s="253"/>
      <c r="M616" s="128"/>
      <c r="N616" s="128">
        <f t="shared" si="161"/>
        <v>0</v>
      </c>
      <c r="O616" s="254"/>
      <c r="P616" s="128">
        <f t="shared" si="134"/>
        <v>0</v>
      </c>
      <c r="Q616" s="18">
        <f t="shared" si="162"/>
        <v>0</v>
      </c>
      <c r="R616" s="255">
        <f t="shared" si="163"/>
        <v>0</v>
      </c>
      <c r="S616" s="1"/>
      <c r="T616" s="1">
        <f t="shared" si="154"/>
        <v>0</v>
      </c>
      <c r="U616" s="2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1"/>
      <c r="AG616" s="1"/>
      <c r="AH616" s="1"/>
      <c r="AI616" s="1"/>
      <c r="AJ616" s="1"/>
    </row>
    <row r="617" spans="1:36" ht="13.5" customHeight="1">
      <c r="A617" s="259"/>
      <c r="B617" s="15" t="str">
        <f>TB!B652</f>
        <v>W030</v>
      </c>
      <c r="C617" s="298" t="str">
        <f>TB!C652</f>
        <v>Nederbrug Brut Cuvee</v>
      </c>
      <c r="D617" s="257">
        <f>SUMIF(GL!$D$5:$D$6446,B617,GL!$G$5:$G$6446)</f>
        <v>0</v>
      </c>
      <c r="E617" s="258">
        <f>SUMIF(GL!$D$6:$D$6484,B617,GL!$H$6:$H$6484)</f>
        <v>0</v>
      </c>
      <c r="F617" s="258">
        <f>SUMIF(GL!$D$6:$D$6484,B617,GL!$I$6:$I$6484)</f>
        <v>0</v>
      </c>
      <c r="G617" s="258">
        <f t="shared" si="164"/>
        <v>0</v>
      </c>
      <c r="H617" s="258">
        <f t="shared" si="165"/>
        <v>0</v>
      </c>
      <c r="I617" s="250"/>
      <c r="J617" s="251"/>
      <c r="K617" s="252"/>
      <c r="L617" s="253"/>
      <c r="M617" s="128"/>
      <c r="N617" s="128">
        <f t="shared" si="161"/>
        <v>0</v>
      </c>
      <c r="O617" s="254"/>
      <c r="P617" s="128">
        <f t="shared" si="134"/>
        <v>0</v>
      </c>
      <c r="Q617" s="18">
        <f t="shared" si="162"/>
        <v>0</v>
      </c>
      <c r="R617" s="255">
        <f t="shared" si="163"/>
        <v>0</v>
      </c>
      <c r="S617" s="1"/>
      <c r="T617" s="1">
        <f t="shared" si="154"/>
        <v>0</v>
      </c>
      <c r="U617" s="2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1"/>
      <c r="AG617" s="1"/>
      <c r="AH617" s="1"/>
      <c r="AI617" s="1"/>
      <c r="AJ617" s="1"/>
    </row>
    <row r="618" spans="1:36" ht="13.5" customHeight="1">
      <c r="A618" s="259"/>
      <c r="B618" s="15" t="str">
        <f>TB!B653</f>
        <v>W031</v>
      </c>
      <c r="C618" s="298" t="str">
        <f>TB!C653</f>
        <v>Chandon Brut</v>
      </c>
      <c r="D618" s="257">
        <f>SUMIF(GL!$D$5:$D$6446,B618,GL!$G$5:$G$6446)</f>
        <v>0</v>
      </c>
      <c r="E618" s="258">
        <f>SUMIF(GL!$D$6:$D$6484,B618,GL!$H$6:$H$6484)</f>
        <v>0</v>
      </c>
      <c r="F618" s="258">
        <f>SUMIF(GL!$D$6:$D$6484,B618,GL!$I$6:$I$6484)</f>
        <v>0</v>
      </c>
      <c r="G618" s="258">
        <f t="shared" si="164"/>
        <v>0</v>
      </c>
      <c r="H618" s="258">
        <f t="shared" si="165"/>
        <v>0</v>
      </c>
      <c r="I618" s="250">
        <v>7</v>
      </c>
      <c r="J618" s="251">
        <v>468000</v>
      </c>
      <c r="K618" s="252">
        <v>3275999</v>
      </c>
      <c r="L618" s="253">
        <f>D618+I618</f>
        <v>7</v>
      </c>
      <c r="M618" s="128">
        <f>(G618+K618)/L618</f>
        <v>467999.85714285716</v>
      </c>
      <c r="N618" s="128">
        <f t="shared" si="161"/>
        <v>3275999</v>
      </c>
      <c r="O618" s="254">
        <v>7</v>
      </c>
      <c r="P618" s="128">
        <f t="shared" si="134"/>
        <v>467999.85714285716</v>
      </c>
      <c r="Q618" s="18">
        <f t="shared" si="162"/>
        <v>3275999</v>
      </c>
      <c r="R618" s="255">
        <f t="shared" si="163"/>
        <v>0</v>
      </c>
      <c r="S618" s="1"/>
      <c r="T618" s="1">
        <f t="shared" si="154"/>
        <v>0.1428571428405121</v>
      </c>
      <c r="U618" s="2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1"/>
      <c r="AG618" s="1"/>
      <c r="AH618" s="1"/>
      <c r="AI618" s="1"/>
      <c r="AJ618" s="1"/>
    </row>
    <row r="619" spans="1:36" ht="13.5" customHeight="1">
      <c r="A619" s="259"/>
      <c r="B619" s="15" t="str">
        <f>TB!B654</f>
        <v>W032</v>
      </c>
      <c r="C619" s="298" t="str">
        <f>TB!C654</f>
        <v>Zonin - Prosecco</v>
      </c>
      <c r="D619" s="257">
        <f>SUMIF(GL!$D$5:$D$6446,B619,GL!$G$5:$G$6446)</f>
        <v>0</v>
      </c>
      <c r="E619" s="258">
        <f>SUMIF(GL!$D$6:$D$6484,B619,GL!$H$6:$H$6484)</f>
        <v>0</v>
      </c>
      <c r="F619" s="258">
        <f>SUMIF(GL!$D$6:$D$6484,B619,GL!$I$6:$I$6484)</f>
        <v>0</v>
      </c>
      <c r="G619" s="258">
        <f t="shared" si="164"/>
        <v>0</v>
      </c>
      <c r="H619" s="258">
        <f t="shared" si="165"/>
        <v>0</v>
      </c>
      <c r="I619" s="250"/>
      <c r="J619" s="251"/>
      <c r="K619" s="252"/>
      <c r="L619" s="253"/>
      <c r="M619" s="128"/>
      <c r="N619" s="128">
        <f t="shared" si="161"/>
        <v>0</v>
      </c>
      <c r="O619" s="254"/>
      <c r="P619" s="128">
        <f t="shared" si="134"/>
        <v>0</v>
      </c>
      <c r="Q619" s="18">
        <f t="shared" si="162"/>
        <v>0</v>
      </c>
      <c r="R619" s="255">
        <f t="shared" si="163"/>
        <v>0</v>
      </c>
      <c r="S619" s="1"/>
      <c r="T619" s="1">
        <f t="shared" si="154"/>
        <v>0</v>
      </c>
      <c r="U619" s="2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4"/>
      <c r="AG619" s="4"/>
      <c r="AH619" s="4"/>
      <c r="AI619" s="4"/>
      <c r="AJ619" s="4"/>
    </row>
    <row r="620" spans="1:36" ht="13.5" customHeight="1">
      <c r="A620" s="259"/>
      <c r="B620" s="15" t="str">
        <f>TB!B655</f>
        <v>W033</v>
      </c>
      <c r="C620" s="298" t="str">
        <f>TB!C655</f>
        <v>Barefoot Cabernet Sauvignon</v>
      </c>
      <c r="D620" s="257">
        <f>SUMIF(GL!$D$5:$D$6446,B620,GL!$G$5:$G$6446)</f>
        <v>0</v>
      </c>
      <c r="E620" s="258">
        <f>SUMIF(GL!$D$6:$D$6484,B620,GL!$H$6:$H$6484)</f>
        <v>0</v>
      </c>
      <c r="F620" s="258">
        <f>SUMIF(GL!$D$6:$D$6484,B620,GL!$I$6:$I$6484)</f>
        <v>0</v>
      </c>
      <c r="G620" s="258">
        <f t="shared" si="164"/>
        <v>0</v>
      </c>
      <c r="H620" s="258">
        <f t="shared" si="165"/>
        <v>0</v>
      </c>
      <c r="I620" s="250"/>
      <c r="J620" s="251"/>
      <c r="K620" s="252"/>
      <c r="L620" s="253"/>
      <c r="M620" s="128"/>
      <c r="N620" s="128">
        <f t="shared" si="161"/>
        <v>0</v>
      </c>
      <c r="O620" s="254"/>
      <c r="P620" s="128">
        <f t="shared" si="134"/>
        <v>0</v>
      </c>
      <c r="Q620" s="18">
        <f t="shared" si="162"/>
        <v>0</v>
      </c>
      <c r="R620" s="255">
        <f t="shared" si="163"/>
        <v>0</v>
      </c>
      <c r="S620" s="1"/>
      <c r="T620" s="1">
        <f t="shared" si="154"/>
        <v>0</v>
      </c>
      <c r="U620" s="2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4"/>
      <c r="AG620" s="4"/>
      <c r="AH620" s="4"/>
      <c r="AI620" s="4"/>
      <c r="AJ620" s="4"/>
    </row>
    <row r="621" spans="1:36" ht="13.5" customHeight="1">
      <c r="A621" s="284"/>
      <c r="B621" s="15" t="str">
        <f>TB!B656</f>
        <v>W034</v>
      </c>
      <c r="C621" s="298" t="str">
        <f>TB!C656</f>
        <v>Lady Gaga Dom Perigno</v>
      </c>
      <c r="D621" s="257">
        <f>SUMIF(GL!$D$5:$D$6446,B621,GL!$G$5:$G$6446)</f>
        <v>0</v>
      </c>
      <c r="E621" s="258">
        <f>SUMIF(GL!$D$6:$D$6484,B621,GL!$H$6:$H$6484)</f>
        <v>0</v>
      </c>
      <c r="F621" s="258">
        <f>SUMIF(GL!$D$6:$D$6484,B621,GL!$I$6:$I$6484)</f>
        <v>0</v>
      </c>
      <c r="G621" s="258">
        <f t="shared" si="164"/>
        <v>0</v>
      </c>
      <c r="H621" s="258">
        <f t="shared" si="165"/>
        <v>0</v>
      </c>
      <c r="I621" s="250"/>
      <c r="J621" s="251"/>
      <c r="K621" s="252"/>
      <c r="L621" s="253"/>
      <c r="M621" s="128"/>
      <c r="N621" s="128">
        <f t="shared" si="161"/>
        <v>0</v>
      </c>
      <c r="O621" s="254"/>
      <c r="P621" s="128">
        <f t="shared" si="134"/>
        <v>0</v>
      </c>
      <c r="Q621" s="18">
        <f t="shared" si="162"/>
        <v>0</v>
      </c>
      <c r="R621" s="255">
        <f t="shared" si="163"/>
        <v>0</v>
      </c>
      <c r="S621" s="1"/>
      <c r="T621" s="1">
        <f t="shared" si="154"/>
        <v>0</v>
      </c>
      <c r="U621" s="2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1"/>
      <c r="AG621" s="1"/>
      <c r="AH621" s="1"/>
      <c r="AI621" s="1"/>
      <c r="AJ621" s="1"/>
    </row>
    <row r="622" spans="1:36" ht="13.5" customHeight="1">
      <c r="A622" s="259"/>
      <c r="B622" s="15" t="str">
        <f>TB!B657</f>
        <v>W035</v>
      </c>
      <c r="C622" s="298" t="str">
        <f>TB!C657</f>
        <v>Fentinel Sauvignon</v>
      </c>
      <c r="D622" s="257">
        <f>SUMIF(GL!$D$5:$D$6446,B622,GL!$G$5:$G$6446)</f>
        <v>0</v>
      </c>
      <c r="E622" s="258">
        <f>SUMIF(GL!$D$6:$D$6484,B622,GL!$H$6:$H$6484)</f>
        <v>0</v>
      </c>
      <c r="F622" s="258">
        <f>SUMIF(GL!$D$6:$D$6484,B622,GL!$I$6:$I$6484)</f>
        <v>0</v>
      </c>
      <c r="G622" s="258">
        <f t="shared" si="164"/>
        <v>0</v>
      </c>
      <c r="H622" s="258">
        <f t="shared" si="165"/>
        <v>0</v>
      </c>
      <c r="I622" s="250">
        <v>1</v>
      </c>
      <c r="J622" s="251">
        <v>400000</v>
      </c>
      <c r="K622" s="252">
        <v>400000</v>
      </c>
      <c r="L622" s="253">
        <f t="shared" ref="L622:L623" si="178">D622+I622</f>
        <v>1</v>
      </c>
      <c r="M622" s="128">
        <f t="shared" ref="M622:M623" si="179">(G622+K622)/L622</f>
        <v>400000</v>
      </c>
      <c r="N622" s="128">
        <f t="shared" si="161"/>
        <v>400000</v>
      </c>
      <c r="O622" s="254">
        <v>1</v>
      </c>
      <c r="P622" s="128">
        <f t="shared" si="134"/>
        <v>400000</v>
      </c>
      <c r="Q622" s="18">
        <f t="shared" si="162"/>
        <v>400000</v>
      </c>
      <c r="R622" s="255">
        <f t="shared" si="163"/>
        <v>0</v>
      </c>
      <c r="S622" s="1"/>
      <c r="T622" s="1">
        <f t="shared" si="154"/>
        <v>0</v>
      </c>
      <c r="U622" s="2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1"/>
      <c r="AG622" s="1"/>
      <c r="AH622" s="1"/>
      <c r="AI622" s="1"/>
      <c r="AJ622" s="1"/>
    </row>
    <row r="623" spans="1:36" ht="13.5" customHeight="1">
      <c r="A623" s="259"/>
      <c r="B623" s="15" t="str">
        <f>TB!B658</f>
        <v>W036</v>
      </c>
      <c r="C623" s="298" t="str">
        <f>TB!C658</f>
        <v>Da Vinci Pinot Grigio</v>
      </c>
      <c r="D623" s="257">
        <f>SUMIF(GL!$D$5:$D$6446,B623,GL!$G$5:$G$6446)</f>
        <v>0</v>
      </c>
      <c r="E623" s="258">
        <f>SUMIF(GL!$D$6:$D$6484,B623,GL!$H$6:$H$6484)</f>
        <v>0</v>
      </c>
      <c r="F623" s="258">
        <f>SUMIF(GL!$D$6:$D$6484,B623,GL!$I$6:$I$6484)</f>
        <v>0</v>
      </c>
      <c r="G623" s="258">
        <f t="shared" si="164"/>
        <v>0</v>
      </c>
      <c r="H623" s="258">
        <f t="shared" si="165"/>
        <v>0</v>
      </c>
      <c r="I623" s="250">
        <v>2</v>
      </c>
      <c r="J623" s="251">
        <v>276250</v>
      </c>
      <c r="K623" s="252">
        <v>552500</v>
      </c>
      <c r="L623" s="253">
        <f t="shared" si="178"/>
        <v>2</v>
      </c>
      <c r="M623" s="128">
        <f t="shared" si="179"/>
        <v>276250</v>
      </c>
      <c r="N623" s="128">
        <f t="shared" si="161"/>
        <v>552500</v>
      </c>
      <c r="O623" s="254">
        <v>2</v>
      </c>
      <c r="P623" s="128">
        <f t="shared" si="134"/>
        <v>276250</v>
      </c>
      <c r="Q623" s="18">
        <f t="shared" si="162"/>
        <v>552500</v>
      </c>
      <c r="R623" s="255">
        <f t="shared" si="163"/>
        <v>0</v>
      </c>
      <c r="S623" s="1"/>
      <c r="T623" s="1">
        <f t="shared" si="154"/>
        <v>0</v>
      </c>
      <c r="U623" s="2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4"/>
      <c r="AG623" s="4"/>
      <c r="AH623" s="4"/>
      <c r="AI623" s="4"/>
      <c r="AJ623" s="4"/>
    </row>
    <row r="624" spans="1:36" ht="13.5" customHeight="1">
      <c r="A624" s="259"/>
      <c r="B624" s="15" t="str">
        <f>TB!B659</f>
        <v>W037</v>
      </c>
      <c r="C624" s="298" t="str">
        <f>TB!C659</f>
        <v>Don Alejandro Merlot</v>
      </c>
      <c r="D624" s="257">
        <f>SUMIF(GL!$D$5:$D$6446,B624,GL!$G$5:$G$6446)</f>
        <v>0</v>
      </c>
      <c r="E624" s="258">
        <f>SUMIF(GL!$D$6:$D$6484,B624,GL!$H$6:$H$6484)</f>
        <v>0</v>
      </c>
      <c r="F624" s="258">
        <f>SUMIF(GL!$D$6:$D$6484,B624,GL!$I$6:$I$6484)</f>
        <v>0</v>
      </c>
      <c r="G624" s="258">
        <f t="shared" si="164"/>
        <v>0</v>
      </c>
      <c r="H624" s="258">
        <f t="shared" si="165"/>
        <v>0</v>
      </c>
      <c r="I624" s="250"/>
      <c r="J624" s="251"/>
      <c r="K624" s="252"/>
      <c r="L624" s="253"/>
      <c r="M624" s="128"/>
      <c r="N624" s="128">
        <f t="shared" si="161"/>
        <v>0</v>
      </c>
      <c r="O624" s="254"/>
      <c r="P624" s="128">
        <f t="shared" si="134"/>
        <v>0</v>
      </c>
      <c r="Q624" s="18">
        <f t="shared" si="162"/>
        <v>0</v>
      </c>
      <c r="R624" s="255">
        <f t="shared" si="163"/>
        <v>0</v>
      </c>
      <c r="S624" s="1"/>
      <c r="T624" s="1">
        <f t="shared" si="154"/>
        <v>0</v>
      </c>
      <c r="U624" s="2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4"/>
      <c r="AG624" s="4"/>
      <c r="AH624" s="4"/>
      <c r="AI624" s="4"/>
      <c r="AJ624" s="4"/>
    </row>
    <row r="625" spans="1:36" ht="13.5" customHeight="1">
      <c r="A625" s="259"/>
      <c r="B625" s="15" t="str">
        <f>TB!B660</f>
        <v>W038</v>
      </c>
      <c r="C625" s="298" t="str">
        <f>TB!C660</f>
        <v>Don Alejandro Sav Blanc</v>
      </c>
      <c r="D625" s="257">
        <f>SUMIF(GL!$D$5:$D$6446,B625,GL!$G$5:$G$6446)</f>
        <v>0</v>
      </c>
      <c r="E625" s="258">
        <f>SUMIF(GL!$D$6:$D$6484,B625,GL!$H$6:$H$6484)</f>
        <v>0</v>
      </c>
      <c r="F625" s="258">
        <f>SUMIF(GL!$D$6:$D$6484,B625,GL!$I$6:$I$6484)</f>
        <v>0</v>
      </c>
      <c r="G625" s="258">
        <f t="shared" si="164"/>
        <v>0</v>
      </c>
      <c r="H625" s="258">
        <f t="shared" si="165"/>
        <v>0</v>
      </c>
      <c r="I625" s="250"/>
      <c r="J625" s="251"/>
      <c r="K625" s="252"/>
      <c r="L625" s="253"/>
      <c r="M625" s="128"/>
      <c r="N625" s="128">
        <f t="shared" si="161"/>
        <v>0</v>
      </c>
      <c r="O625" s="254"/>
      <c r="P625" s="128">
        <f t="shared" si="134"/>
        <v>0</v>
      </c>
      <c r="Q625" s="18">
        <f t="shared" si="162"/>
        <v>0</v>
      </c>
      <c r="R625" s="255">
        <f t="shared" si="163"/>
        <v>0</v>
      </c>
      <c r="S625" s="1"/>
      <c r="T625" s="1">
        <f t="shared" si="154"/>
        <v>0</v>
      </c>
      <c r="U625" s="2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4"/>
      <c r="AG625" s="4"/>
      <c r="AH625" s="4"/>
      <c r="AI625" s="4"/>
      <c r="AJ625" s="4"/>
    </row>
    <row r="626" spans="1:36" ht="13.5" customHeight="1">
      <c r="A626" s="259"/>
      <c r="B626" s="15" t="str">
        <f>TB!B661</f>
        <v>W039</v>
      </c>
      <c r="C626" s="298" t="str">
        <f>TB!C661</f>
        <v>Vulcano Demi Tiera Blanco</v>
      </c>
      <c r="D626" s="257">
        <f>SUMIF(GL!$D$5:$D$6446,B626,GL!$G$5:$G$6446)</f>
        <v>0</v>
      </c>
      <c r="E626" s="258">
        <f>SUMIF(GL!$D$6:$D$6484,B626,GL!$H$6:$H$6484)</f>
        <v>0</v>
      </c>
      <c r="F626" s="258">
        <f>SUMIF(GL!$D$6:$D$6484,B626,GL!$I$6:$I$6484)</f>
        <v>0</v>
      </c>
      <c r="G626" s="258">
        <f t="shared" si="164"/>
        <v>0</v>
      </c>
      <c r="H626" s="258">
        <f t="shared" si="165"/>
        <v>0</v>
      </c>
      <c r="I626" s="250"/>
      <c r="J626" s="251">
        <v>818572</v>
      </c>
      <c r="K626" s="252"/>
      <c r="L626" s="253"/>
      <c r="M626" s="128"/>
      <c r="N626" s="128">
        <f t="shared" si="161"/>
        <v>0</v>
      </c>
      <c r="O626" s="254">
        <v>5</v>
      </c>
      <c r="P626" s="128">
        <f t="shared" si="134"/>
        <v>0</v>
      </c>
      <c r="Q626" s="18">
        <f t="shared" si="162"/>
        <v>0</v>
      </c>
      <c r="R626" s="255">
        <f t="shared" si="163"/>
        <v>0</v>
      </c>
      <c r="S626" s="1"/>
      <c r="T626" s="1">
        <f t="shared" si="154"/>
        <v>818572</v>
      </c>
      <c r="U626" s="2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4"/>
      <c r="AG626" s="4"/>
      <c r="AH626" s="4"/>
      <c r="AI626" s="4"/>
      <c r="AJ626" s="4"/>
    </row>
    <row r="627" spans="1:36" ht="13.5" customHeight="1">
      <c r="A627" s="259"/>
      <c r="B627" s="15" t="str">
        <f>TB!B662</f>
        <v>W040</v>
      </c>
      <c r="C627" s="298" t="str">
        <f>TB!C662</f>
        <v>Chandon Rose</v>
      </c>
      <c r="D627" s="257">
        <f>SUMIF(GL!$D$5:$D$6446,B627,GL!$G$5:$G$6446)</f>
        <v>0</v>
      </c>
      <c r="E627" s="258">
        <f>SUMIF(GL!$D$6:$D$6484,B627,GL!$H$6:$H$6484)</f>
        <v>0</v>
      </c>
      <c r="F627" s="258">
        <f>SUMIF(GL!$D$6:$D$6484,B627,GL!$I$6:$I$6484)</f>
        <v>0</v>
      </c>
      <c r="G627" s="258">
        <f t="shared" si="164"/>
        <v>0</v>
      </c>
      <c r="H627" s="258">
        <f t="shared" si="165"/>
        <v>0</v>
      </c>
      <c r="I627" s="250">
        <v>2</v>
      </c>
      <c r="J627" s="251">
        <v>289091</v>
      </c>
      <c r="K627" s="252">
        <v>578181</v>
      </c>
      <c r="L627" s="253">
        <f>D627+I627</f>
        <v>2</v>
      </c>
      <c r="M627" s="128">
        <f>(G627+K627)/L627</f>
        <v>289090.5</v>
      </c>
      <c r="N627" s="128">
        <f t="shared" si="161"/>
        <v>578181</v>
      </c>
      <c r="O627" s="254">
        <v>2</v>
      </c>
      <c r="P627" s="128">
        <f t="shared" si="134"/>
        <v>289090.5</v>
      </c>
      <c r="Q627" s="18">
        <f t="shared" si="162"/>
        <v>578181</v>
      </c>
      <c r="R627" s="255">
        <f t="shared" si="163"/>
        <v>0</v>
      </c>
      <c r="S627" s="1"/>
      <c r="T627" s="1">
        <f t="shared" si="154"/>
        <v>0.5</v>
      </c>
      <c r="U627" s="2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4"/>
      <c r="AG627" s="4"/>
      <c r="AH627" s="4"/>
      <c r="AI627" s="4"/>
      <c r="AJ627" s="4"/>
    </row>
    <row r="628" spans="1:36" ht="13.5" customHeight="1">
      <c r="A628" s="259"/>
      <c r="B628" s="15" t="str">
        <f>TB!B663</f>
        <v>W041</v>
      </c>
      <c r="C628" s="298" t="str">
        <f>TB!C663</f>
        <v>Richland Sauv Blanc</v>
      </c>
      <c r="D628" s="257">
        <f>SUMIF(GL!$D$5:$D$6446,B628,GL!$G$5:$G$6446)</f>
        <v>0</v>
      </c>
      <c r="E628" s="258">
        <f>SUMIF(GL!$D$6:$D$6484,B628,GL!$H$6:$H$6484)</f>
        <v>0</v>
      </c>
      <c r="F628" s="258">
        <f>SUMIF(GL!$D$6:$D$6484,B628,GL!$I$6:$I$6484)</f>
        <v>0</v>
      </c>
      <c r="G628" s="258">
        <f t="shared" si="164"/>
        <v>0</v>
      </c>
      <c r="H628" s="258">
        <f t="shared" si="165"/>
        <v>0</v>
      </c>
      <c r="I628" s="250"/>
      <c r="J628" s="251">
        <v>192000</v>
      </c>
      <c r="K628" s="252"/>
      <c r="L628" s="253"/>
      <c r="M628" s="128"/>
      <c r="N628" s="128">
        <f t="shared" si="161"/>
        <v>0</v>
      </c>
      <c r="O628" s="254">
        <v>2</v>
      </c>
      <c r="P628" s="128">
        <v>192000</v>
      </c>
      <c r="Q628" s="18">
        <f t="shared" si="162"/>
        <v>384000</v>
      </c>
      <c r="R628" s="255">
        <f t="shared" si="163"/>
        <v>-384000</v>
      </c>
      <c r="S628" s="1"/>
      <c r="T628" s="1">
        <f t="shared" si="154"/>
        <v>192000</v>
      </c>
      <c r="U628" s="2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4"/>
      <c r="AG628" s="4"/>
      <c r="AH628" s="4"/>
      <c r="AI628" s="4"/>
      <c r="AJ628" s="4"/>
    </row>
    <row r="629" spans="1:36" ht="13.5" customHeight="1">
      <c r="A629" s="259"/>
      <c r="B629" s="15" t="str">
        <f>TB!B664</f>
        <v>W042</v>
      </c>
      <c r="C629" s="298" t="str">
        <f>TB!C664</f>
        <v>Nir Moet Chandon Dry Rose</v>
      </c>
      <c r="D629" s="257">
        <f>SUMIF(GL!$D$5:$D$6446,B629,GL!$G$5:$G$6446)</f>
        <v>0</v>
      </c>
      <c r="E629" s="258">
        <f>SUMIF(GL!$D$6:$D$6484,B629,GL!$H$6:$H$6484)</f>
        <v>0</v>
      </c>
      <c r="F629" s="258">
        <f>SUMIF(GL!$D$6:$D$6484,B629,GL!$I$6:$I$6484)</f>
        <v>0</v>
      </c>
      <c r="G629" s="258">
        <f t="shared" si="164"/>
        <v>0</v>
      </c>
      <c r="H629" s="258">
        <f t="shared" si="165"/>
        <v>0</v>
      </c>
      <c r="I629" s="250">
        <v>3</v>
      </c>
      <c r="J629" s="251">
        <v>1133334</v>
      </c>
      <c r="K629" s="252">
        <v>3400001</v>
      </c>
      <c r="L629" s="253">
        <f>D629+I629</f>
        <v>3</v>
      </c>
      <c r="M629" s="128">
        <f>(G629+K629)/L629</f>
        <v>1133333.6666666667</v>
      </c>
      <c r="N629" s="128">
        <f t="shared" si="161"/>
        <v>3400001</v>
      </c>
      <c r="O629" s="254">
        <v>3</v>
      </c>
      <c r="P629" s="128">
        <f t="shared" ref="P629:P637" si="180">M629</f>
        <v>1133333.6666666667</v>
      </c>
      <c r="Q629" s="18">
        <f t="shared" si="162"/>
        <v>3400001</v>
      </c>
      <c r="R629" s="255">
        <f t="shared" si="163"/>
        <v>0</v>
      </c>
      <c r="S629" s="1"/>
      <c r="T629" s="1">
        <f t="shared" si="154"/>
        <v>0.33333333325572312</v>
      </c>
      <c r="U629" s="299"/>
      <c r="V629" s="99"/>
      <c r="W629" s="99"/>
      <c r="X629" s="4"/>
      <c r="Y629" s="4"/>
      <c r="Z629" s="4"/>
      <c r="AA629" s="4"/>
      <c r="AB629" s="4"/>
      <c r="AC629" s="4"/>
      <c r="AD629" s="99"/>
      <c r="AE629" s="99"/>
      <c r="AF629" s="4"/>
      <c r="AG629" s="4"/>
      <c r="AH629" s="4"/>
      <c r="AI629" s="4"/>
      <c r="AJ629" s="4"/>
    </row>
    <row r="630" spans="1:36" ht="13.5" customHeight="1">
      <c r="A630" s="259"/>
      <c r="B630" s="15" t="str">
        <f>TB!B665</f>
        <v>W043</v>
      </c>
      <c r="C630" s="298" t="str">
        <f>TB!C665</f>
        <v>Accademia Prosecco</v>
      </c>
      <c r="D630" s="257">
        <f>SUMIF(GL!$D$5:$D$6446,B630,GL!$G$5:$G$6446)</f>
        <v>0</v>
      </c>
      <c r="E630" s="258">
        <f>SUMIF(GL!$D$6:$D$6484,B630,GL!$H$6:$H$6484)</f>
        <v>0</v>
      </c>
      <c r="F630" s="258">
        <f>SUMIF(GL!$D$6:$D$6484,B630,GL!$I$6:$I$6484)</f>
        <v>0</v>
      </c>
      <c r="G630" s="258">
        <f t="shared" si="164"/>
        <v>0</v>
      </c>
      <c r="H630" s="258">
        <f t="shared" si="165"/>
        <v>0</v>
      </c>
      <c r="I630" s="250"/>
      <c r="J630" s="251"/>
      <c r="K630" s="252"/>
      <c r="L630" s="253"/>
      <c r="M630" s="128"/>
      <c r="N630" s="128">
        <f t="shared" si="161"/>
        <v>0</v>
      </c>
      <c r="O630" s="254"/>
      <c r="P630" s="128">
        <f t="shared" si="180"/>
        <v>0</v>
      </c>
      <c r="Q630" s="18">
        <f t="shared" si="162"/>
        <v>0</v>
      </c>
      <c r="R630" s="255">
        <f t="shared" si="163"/>
        <v>0</v>
      </c>
      <c r="S630" s="1"/>
      <c r="T630" s="1">
        <f t="shared" si="154"/>
        <v>0</v>
      </c>
      <c r="U630" s="299"/>
      <c r="V630" s="99"/>
      <c r="W630" s="99"/>
      <c r="X630" s="4"/>
      <c r="Y630" s="4"/>
      <c r="Z630" s="4"/>
      <c r="AA630" s="4"/>
      <c r="AB630" s="4"/>
      <c r="AC630" s="4"/>
      <c r="AD630" s="99"/>
      <c r="AE630" s="99"/>
      <c r="AF630" s="4"/>
      <c r="AG630" s="4"/>
      <c r="AH630" s="4"/>
      <c r="AI630" s="4"/>
      <c r="AJ630" s="4"/>
    </row>
    <row r="631" spans="1:36" ht="13.5" customHeight="1">
      <c r="A631" s="259"/>
      <c r="B631" s="15" t="str">
        <f>TB!B666</f>
        <v>W044</v>
      </c>
      <c r="C631" s="298" t="str">
        <f>TB!C666</f>
        <v>Moet Cchandon Rose</v>
      </c>
      <c r="D631" s="257">
        <f>SUMIF(GL!$D$5:$D$6446,B631,GL!$G$5:$G$6446)</f>
        <v>0</v>
      </c>
      <c r="E631" s="258">
        <f>SUMIF(GL!$D$6:$D$6484,B631,GL!$H$6:$H$6484)</f>
        <v>0</v>
      </c>
      <c r="F631" s="258">
        <f>SUMIF(GL!$D$6:$D$6484,B631,GL!$I$6:$I$6484)</f>
        <v>0</v>
      </c>
      <c r="G631" s="258">
        <f t="shared" si="164"/>
        <v>0</v>
      </c>
      <c r="H631" s="258">
        <f t="shared" si="165"/>
        <v>0</v>
      </c>
      <c r="I631" s="250">
        <v>2</v>
      </c>
      <c r="J631" s="251">
        <v>1575000</v>
      </c>
      <c r="K631" s="252">
        <v>3150000</v>
      </c>
      <c r="L631" s="253">
        <f>D631+I631</f>
        <v>2</v>
      </c>
      <c r="M631" s="128">
        <f>(G631+K631)/L631</f>
        <v>1575000</v>
      </c>
      <c r="N631" s="128">
        <f t="shared" si="161"/>
        <v>3150000</v>
      </c>
      <c r="O631" s="254">
        <v>3</v>
      </c>
      <c r="P631" s="128">
        <f t="shared" si="180"/>
        <v>1575000</v>
      </c>
      <c r="Q631" s="18">
        <f t="shared" si="162"/>
        <v>4725000</v>
      </c>
      <c r="R631" s="255">
        <f t="shared" si="163"/>
        <v>-1575000</v>
      </c>
      <c r="S631" s="1"/>
      <c r="T631" s="1">
        <f t="shared" si="154"/>
        <v>0</v>
      </c>
      <c r="U631" s="299"/>
      <c r="V631" s="99"/>
      <c r="W631" s="99"/>
      <c r="X631" s="4"/>
      <c r="Y631" s="4"/>
      <c r="Z631" s="4"/>
      <c r="AA631" s="4"/>
      <c r="AB631" s="4"/>
      <c r="AC631" s="4"/>
      <c r="AD631" s="99"/>
      <c r="AE631" s="99"/>
      <c r="AF631" s="4"/>
      <c r="AG631" s="4"/>
      <c r="AH631" s="4"/>
      <c r="AI631" s="4"/>
      <c r="AJ631" s="4"/>
    </row>
    <row r="632" spans="1:36" ht="13.5" customHeight="1">
      <c r="A632" s="259"/>
      <c r="B632" s="15">
        <f>TB!B667</f>
        <v>0</v>
      </c>
      <c r="C632" s="298">
        <f>TB!C667</f>
        <v>0</v>
      </c>
      <c r="D632" s="257">
        <f>SUMIF(GL!$D$5:$D$6446,B632,GL!$G$5:$G$6446)</f>
        <v>0</v>
      </c>
      <c r="E632" s="258">
        <f>SUMIF(GL!$D$6:$D$6484,B632,GL!$H$6:$H$6484)</f>
        <v>0</v>
      </c>
      <c r="F632" s="258">
        <f>SUMIF(GL!$D$6:$D$6484,B632,GL!$I$6:$I$6484)</f>
        <v>0</v>
      </c>
      <c r="G632" s="258">
        <f t="shared" si="164"/>
        <v>0</v>
      </c>
      <c r="H632" s="258">
        <f t="shared" si="165"/>
        <v>0</v>
      </c>
      <c r="I632" s="250"/>
      <c r="J632" s="251"/>
      <c r="K632" s="252"/>
      <c r="L632" s="253"/>
      <c r="M632" s="128"/>
      <c r="N632" s="128">
        <f t="shared" si="161"/>
        <v>0</v>
      </c>
      <c r="O632" s="254"/>
      <c r="P632" s="128">
        <f t="shared" si="180"/>
        <v>0</v>
      </c>
      <c r="Q632" s="18">
        <f t="shared" si="162"/>
        <v>0</v>
      </c>
      <c r="R632" s="255">
        <f t="shared" si="163"/>
        <v>0</v>
      </c>
      <c r="S632" s="1"/>
      <c r="T632" s="1">
        <f t="shared" si="154"/>
        <v>0</v>
      </c>
      <c r="U632" s="4"/>
      <c r="V632" s="4"/>
      <c r="W632" s="99"/>
      <c r="X632" s="4"/>
      <c r="Y632" s="4"/>
      <c r="Z632" s="4"/>
      <c r="AA632" s="4"/>
      <c r="AB632" s="4"/>
      <c r="AC632" s="4"/>
      <c r="AD632" s="99"/>
      <c r="AE632" s="99"/>
      <c r="AF632" s="4"/>
      <c r="AG632" s="4"/>
      <c r="AH632" s="4"/>
      <c r="AI632" s="4"/>
      <c r="AJ632" s="4"/>
    </row>
    <row r="633" spans="1:36" ht="13.5" customHeight="1">
      <c r="A633" s="259"/>
      <c r="B633" s="174"/>
      <c r="C633" s="295" t="s">
        <v>2630</v>
      </c>
      <c r="D633" s="257">
        <f>SUMIF(GL!$D$5:$D$6446,B633,GL!$G$5:$G$6446)</f>
        <v>0</v>
      </c>
      <c r="E633" s="258">
        <f>SUMIF(GL!$D$6:$D$6484,B633,GL!$H$6:$H$6484)</f>
        <v>0</v>
      </c>
      <c r="F633" s="258">
        <f>SUMIF(GL!$D$6:$D$6484,B633,GL!$I$6:$I$6484)</f>
        <v>0</v>
      </c>
      <c r="G633" s="258">
        <f t="shared" si="164"/>
        <v>0</v>
      </c>
      <c r="H633" s="258">
        <f t="shared" si="165"/>
        <v>0</v>
      </c>
      <c r="I633" s="250"/>
      <c r="J633" s="251"/>
      <c r="K633" s="252"/>
      <c r="L633" s="253"/>
      <c r="M633" s="128"/>
      <c r="N633" s="128">
        <f t="shared" si="161"/>
        <v>0</v>
      </c>
      <c r="O633" s="254"/>
      <c r="P633" s="128">
        <f t="shared" si="180"/>
        <v>0</v>
      </c>
      <c r="Q633" s="18">
        <f t="shared" si="162"/>
        <v>0</v>
      </c>
      <c r="R633" s="255">
        <f t="shared" si="163"/>
        <v>0</v>
      </c>
      <c r="S633" s="1"/>
      <c r="T633" s="1">
        <f t="shared" si="154"/>
        <v>0</v>
      </c>
      <c r="U633" s="4"/>
      <c r="V633" s="4"/>
      <c r="W633" s="99"/>
      <c r="X633" s="4"/>
      <c r="Y633" s="4"/>
      <c r="Z633" s="4"/>
      <c r="AA633" s="4"/>
      <c r="AB633" s="4"/>
      <c r="AC633" s="4"/>
      <c r="AD633" s="99"/>
      <c r="AE633" s="99"/>
      <c r="AF633" s="4"/>
      <c r="AG633" s="4"/>
      <c r="AH633" s="4"/>
      <c r="AI633" s="4"/>
      <c r="AJ633" s="4"/>
    </row>
    <row r="634" spans="1:36" ht="13.5" customHeight="1">
      <c r="A634" s="259"/>
      <c r="B634" s="174"/>
      <c r="C634" s="261" t="s">
        <v>3843</v>
      </c>
      <c r="D634" s="257">
        <f>SUMIF(GL!$D$5:$D$6446,B634,GL!$G$5:$G$6446)</f>
        <v>0</v>
      </c>
      <c r="E634" s="258">
        <f>SUMIF(GL!$D$6:$D$6484,B634,GL!$H$6:$H$6484)</f>
        <v>0</v>
      </c>
      <c r="F634" s="258">
        <f>SUMIF(GL!$D$6:$D$6484,B634,GL!$I$6:$I$6484)</f>
        <v>0</v>
      </c>
      <c r="G634" s="258">
        <f t="shared" si="164"/>
        <v>0</v>
      </c>
      <c r="H634" s="258">
        <f t="shared" si="165"/>
        <v>0</v>
      </c>
      <c r="I634" s="250"/>
      <c r="J634" s="251"/>
      <c r="K634" s="252"/>
      <c r="L634" s="253"/>
      <c r="M634" s="128"/>
      <c r="N634" s="128">
        <f t="shared" si="161"/>
        <v>0</v>
      </c>
      <c r="O634" s="254"/>
      <c r="P634" s="128">
        <f t="shared" si="180"/>
        <v>0</v>
      </c>
      <c r="Q634" s="18">
        <f t="shared" si="162"/>
        <v>0</v>
      </c>
      <c r="R634" s="255">
        <f t="shared" si="163"/>
        <v>0</v>
      </c>
      <c r="S634" s="1"/>
      <c r="T634" s="1">
        <f t="shared" si="154"/>
        <v>0</v>
      </c>
      <c r="U634" s="4"/>
      <c r="V634" s="4"/>
      <c r="W634" s="99"/>
      <c r="X634" s="4"/>
      <c r="Y634" s="4"/>
      <c r="Z634" s="4"/>
      <c r="AA634" s="4"/>
      <c r="AB634" s="4"/>
      <c r="AC634" s="4"/>
      <c r="AD634" s="99"/>
      <c r="AE634" s="99"/>
      <c r="AF634" s="4"/>
      <c r="AG634" s="4"/>
      <c r="AH634" s="4"/>
      <c r="AI634" s="4"/>
      <c r="AJ634" s="4"/>
    </row>
    <row r="635" spans="1:36" ht="13.5" customHeight="1">
      <c r="A635" s="259"/>
      <c r="B635" s="174" t="str">
        <f>TB!B669</f>
        <v>SM001</v>
      </c>
      <c r="C635" s="288" t="str">
        <f>TB!C669</f>
        <v>Single Malt</v>
      </c>
      <c r="D635" s="257">
        <f>SUMIF(GL!$D$5:$D$6446,B635,GL!$G$5:$G$6446)</f>
        <v>0</v>
      </c>
      <c r="E635" s="258">
        <f>SUMIF(GL!$D$6:$D$6484,B635,GL!$H$6:$H$6484)</f>
        <v>0</v>
      </c>
      <c r="F635" s="258">
        <f>SUMIF(GL!$D$6:$D$6484,B635,GL!$I$6:$I$6484)</f>
        <v>0</v>
      </c>
      <c r="G635" s="258">
        <f t="shared" si="164"/>
        <v>0</v>
      </c>
      <c r="H635" s="258">
        <f t="shared" si="165"/>
        <v>0</v>
      </c>
      <c r="I635" s="250"/>
      <c r="J635" s="251"/>
      <c r="K635" s="252"/>
      <c r="L635" s="253"/>
      <c r="M635" s="128"/>
      <c r="N635" s="128">
        <f t="shared" si="161"/>
        <v>0</v>
      </c>
      <c r="O635" s="254"/>
      <c r="P635" s="128">
        <f t="shared" si="180"/>
        <v>0</v>
      </c>
      <c r="Q635" s="18">
        <f t="shared" si="162"/>
        <v>0</v>
      </c>
      <c r="R635" s="255">
        <f t="shared" si="163"/>
        <v>0</v>
      </c>
      <c r="S635" s="1"/>
      <c r="T635" s="1">
        <f t="shared" si="154"/>
        <v>0</v>
      </c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4"/>
      <c r="AG635" s="4"/>
      <c r="AH635" s="4"/>
      <c r="AI635" s="4"/>
      <c r="AJ635" s="4"/>
    </row>
    <row r="636" spans="1:36" ht="13.5" customHeight="1">
      <c r="A636" s="259"/>
      <c r="B636" s="174" t="str">
        <f>TB!B670</f>
        <v>SM002</v>
      </c>
      <c r="C636" s="288" t="str">
        <f>TB!C670</f>
        <v>Maccallan 12 Yo</v>
      </c>
      <c r="D636" s="257">
        <f>SUMIF(GL!$D$5:$D$6446,B636,GL!$G$5:$G$6446)</f>
        <v>1</v>
      </c>
      <c r="E636" s="258">
        <f>SUMIF(GL!$D$6:$D$6484,B636,GL!$H$6:$H$6484)</f>
        <v>1675000</v>
      </c>
      <c r="F636" s="258">
        <f>SUMIF(GL!$D$6:$D$6484,B636,GL!$I$6:$I$6484)</f>
        <v>0</v>
      </c>
      <c r="G636" s="258">
        <f t="shared" si="164"/>
        <v>1675000</v>
      </c>
      <c r="H636" s="258">
        <f t="shared" si="165"/>
        <v>0</v>
      </c>
      <c r="I636" s="250">
        <v>1</v>
      </c>
      <c r="J636" s="251">
        <v>1756937</v>
      </c>
      <c r="K636" s="252">
        <v>1756937</v>
      </c>
      <c r="L636" s="253">
        <f>D636+I636</f>
        <v>2</v>
      </c>
      <c r="M636" s="128">
        <f>(G636+K636)/L636</f>
        <v>1715968.5</v>
      </c>
      <c r="N636" s="128">
        <f t="shared" si="161"/>
        <v>3431937</v>
      </c>
      <c r="O636" s="254">
        <v>2</v>
      </c>
      <c r="P636" s="128">
        <f t="shared" si="180"/>
        <v>1715968.5</v>
      </c>
      <c r="Q636" s="18">
        <f t="shared" si="162"/>
        <v>3431937</v>
      </c>
      <c r="R636" s="255">
        <f t="shared" si="163"/>
        <v>0</v>
      </c>
      <c r="S636" s="1"/>
      <c r="T636" s="1">
        <f t="shared" si="154"/>
        <v>40968.5</v>
      </c>
      <c r="U636" s="99"/>
      <c r="V636" s="4"/>
      <c r="W636" s="99"/>
      <c r="X636" s="99"/>
      <c r="Y636" s="99"/>
      <c r="Z636" s="99"/>
      <c r="AA636" s="99"/>
      <c r="AB636" s="99"/>
      <c r="AC636" s="99"/>
      <c r="AD636" s="99"/>
      <c r="AE636" s="99"/>
      <c r="AF636" s="4"/>
      <c r="AG636" s="4"/>
      <c r="AH636" s="4"/>
      <c r="AI636" s="4"/>
      <c r="AJ636" s="4"/>
    </row>
    <row r="637" spans="1:36" ht="13.5" customHeight="1">
      <c r="A637" s="259"/>
      <c r="B637" s="174"/>
      <c r="C637" s="260"/>
      <c r="D637" s="257">
        <f>SUMIF(GL!$D$5:$D$6446,B637,GL!$G$5:$G$6446)</f>
        <v>0</v>
      </c>
      <c r="E637" s="258">
        <f>SUMIF(GL!$D$6:$D$6484,B637,GL!$H$6:$H$6484)</f>
        <v>0</v>
      </c>
      <c r="F637" s="258">
        <f>SUMIF(GL!$D$6:$D$6484,B637,GL!$I$6:$I$6484)</f>
        <v>0</v>
      </c>
      <c r="G637" s="258">
        <f t="shared" si="164"/>
        <v>0</v>
      </c>
      <c r="H637" s="258">
        <f t="shared" si="165"/>
        <v>0</v>
      </c>
      <c r="I637" s="250"/>
      <c r="J637" s="251"/>
      <c r="K637" s="252"/>
      <c r="L637" s="253"/>
      <c r="M637" s="128"/>
      <c r="N637" s="128">
        <f t="shared" si="161"/>
        <v>0</v>
      </c>
      <c r="O637" s="254"/>
      <c r="P637" s="128">
        <f t="shared" si="180"/>
        <v>0</v>
      </c>
      <c r="Q637" s="18">
        <f t="shared" si="162"/>
        <v>0</v>
      </c>
      <c r="R637" s="255">
        <f t="shared" si="163"/>
        <v>0</v>
      </c>
      <c r="S637" s="134"/>
      <c r="T637" s="1">
        <f t="shared" si="154"/>
        <v>0</v>
      </c>
      <c r="U637" s="4"/>
      <c r="V637" s="4"/>
      <c r="W637" s="99"/>
      <c r="X637" s="4"/>
      <c r="Y637" s="4"/>
      <c r="Z637" s="4"/>
      <c r="AA637" s="4"/>
      <c r="AB637" s="4"/>
      <c r="AC637" s="4"/>
      <c r="AD637" s="1"/>
      <c r="AE637" s="4"/>
      <c r="AF637" s="4"/>
      <c r="AG637" s="4"/>
      <c r="AH637" s="4"/>
      <c r="AI637" s="4"/>
      <c r="AJ637" s="4"/>
    </row>
    <row r="638" spans="1:36" ht="13.5" customHeight="1">
      <c r="A638" s="259"/>
      <c r="B638" s="174"/>
      <c r="C638" s="260"/>
      <c r="D638" s="300"/>
      <c r="E638" s="301"/>
      <c r="F638" s="302"/>
      <c r="G638" s="302"/>
      <c r="H638" s="255"/>
      <c r="I638" s="303"/>
      <c r="J638" s="304"/>
      <c r="K638" s="305"/>
      <c r="L638" s="253"/>
      <c r="M638" s="128"/>
      <c r="N638" s="128"/>
      <c r="O638" s="254"/>
      <c r="P638" s="128"/>
      <c r="Q638" s="18"/>
      <c r="R638" s="255"/>
      <c r="S638" s="225"/>
      <c r="T638" s="226"/>
      <c r="U638" s="4"/>
      <c r="V638" s="99"/>
      <c r="W638" s="99"/>
      <c r="X638" s="4"/>
      <c r="Y638" s="4"/>
      <c r="Z638" s="4"/>
      <c r="AA638" s="4"/>
      <c r="AB638" s="4"/>
      <c r="AC638" s="4"/>
      <c r="AD638" s="1"/>
      <c r="AE638" s="4"/>
      <c r="AF638" s="4"/>
      <c r="AG638" s="4"/>
      <c r="AH638" s="4"/>
      <c r="AI638" s="4"/>
      <c r="AJ638" s="4"/>
    </row>
    <row r="639" spans="1:36" ht="13.5" customHeight="1">
      <c r="A639" s="259"/>
      <c r="B639" s="306" t="s">
        <v>3625</v>
      </c>
      <c r="C639" s="307" t="s">
        <v>3844</v>
      </c>
      <c r="D639" s="308">
        <f>SUM(D640:D680)</f>
        <v>0</v>
      </c>
      <c r="E639" s="309">
        <f>SUM(E640:E681)</f>
        <v>0</v>
      </c>
      <c r="F639" s="309">
        <f t="shared" ref="F639:R639" si="181">SUM(F640:F680)</f>
        <v>0</v>
      </c>
      <c r="G639" s="309">
        <f t="shared" si="181"/>
        <v>0</v>
      </c>
      <c r="H639" s="310">
        <f t="shared" si="181"/>
        <v>0</v>
      </c>
      <c r="I639" s="311">
        <f t="shared" si="181"/>
        <v>39.20000000000001</v>
      </c>
      <c r="J639" s="311">
        <f t="shared" si="181"/>
        <v>8398809</v>
      </c>
      <c r="K639" s="311">
        <f t="shared" si="181"/>
        <v>3876229</v>
      </c>
      <c r="L639" s="312">
        <f t="shared" si="181"/>
        <v>39.20000000000001</v>
      </c>
      <c r="M639" s="309">
        <f t="shared" si="181"/>
        <v>7276587.0606060596</v>
      </c>
      <c r="N639" s="309">
        <f t="shared" si="181"/>
        <v>3876229</v>
      </c>
      <c r="O639" s="308">
        <f t="shared" si="181"/>
        <v>39.200000000000003</v>
      </c>
      <c r="P639" s="309">
        <f t="shared" si="181"/>
        <v>7276587.0606060596</v>
      </c>
      <c r="Q639" s="309">
        <f t="shared" si="181"/>
        <v>3140527.1181818182</v>
      </c>
      <c r="R639" s="309">
        <f t="shared" si="181"/>
        <v>735701.88181818172</v>
      </c>
      <c r="S639" s="225">
        <f>TB!X673</f>
        <v>3140526.1181818182</v>
      </c>
      <c r="T639" s="226">
        <f>Q639-S639</f>
        <v>1</v>
      </c>
      <c r="U639" s="4"/>
      <c r="V639" s="99"/>
      <c r="W639" s="4"/>
      <c r="X639" s="4"/>
      <c r="Y639" s="4"/>
      <c r="Z639" s="4"/>
      <c r="AA639" s="4"/>
      <c r="AB639" s="4"/>
      <c r="AC639" s="4"/>
      <c r="AD639" s="1"/>
      <c r="AE639" s="4"/>
      <c r="AF639" s="4"/>
      <c r="AG639" s="4"/>
      <c r="AH639" s="4"/>
      <c r="AI639" s="4"/>
      <c r="AJ639" s="4"/>
    </row>
    <row r="640" spans="1:36" ht="13.5" customHeight="1">
      <c r="A640" s="259"/>
      <c r="B640" s="174" t="str">
        <f>TB!B674</f>
        <v>SS001</v>
      </c>
      <c r="C640" s="313" t="str">
        <f>TB!C674</f>
        <v>Tm B Muffin</v>
      </c>
      <c r="D640" s="257">
        <f>SUMIF(GL!$D$5:$D$6446,B640,GL!$G$5:$G$6446)</f>
        <v>0</v>
      </c>
      <c r="E640" s="258">
        <f>SUMIF(GL!$D$6:$D$6484,B640,GL!$H$6:$H$6484)</f>
        <v>0</v>
      </c>
      <c r="F640" s="258">
        <f>SUMIF(GL!$D$6:$D$6484,B640,GL!$I$6:$I$6484)</f>
        <v>0</v>
      </c>
      <c r="G640" s="258">
        <f t="shared" ref="G640:G676" si="182">IF(E640&gt;F640,E640-F640,0)</f>
        <v>0</v>
      </c>
      <c r="H640" s="258">
        <f t="shared" ref="H640:H676" si="183">IF(F640&gt;E640,F640-E640,0)</f>
        <v>0</v>
      </c>
      <c r="I640" s="250"/>
      <c r="J640" s="251"/>
      <c r="K640" s="252"/>
      <c r="L640" s="253"/>
      <c r="M640" s="128"/>
      <c r="N640" s="128">
        <f t="shared" ref="N640:N679" si="184">G640+K640</f>
        <v>0</v>
      </c>
      <c r="O640" s="254"/>
      <c r="P640" s="128">
        <f t="shared" ref="P640:P679" si="185">M640</f>
        <v>0</v>
      </c>
      <c r="Q640" s="18">
        <f t="shared" ref="Q640:Q679" si="186">O640*P640</f>
        <v>0</v>
      </c>
      <c r="R640" s="255">
        <f t="shared" ref="R640:R679" si="187">N640-Q640</f>
        <v>0</v>
      </c>
      <c r="S640" s="225"/>
      <c r="T640" s="226"/>
      <c r="U640" s="4"/>
      <c r="V640" s="4"/>
      <c r="W640" s="4"/>
      <c r="X640" s="4"/>
      <c r="Y640" s="4"/>
      <c r="Z640" s="4"/>
      <c r="AA640" s="4"/>
      <c r="AB640" s="4"/>
      <c r="AC640" s="4"/>
      <c r="AD640" s="1"/>
      <c r="AE640" s="4"/>
      <c r="AF640" s="4"/>
      <c r="AG640" s="4"/>
      <c r="AH640" s="4"/>
      <c r="AI640" s="4"/>
      <c r="AJ640" s="4"/>
    </row>
    <row r="641" spans="1:36" ht="13.5" customHeight="1">
      <c r="A641" s="259"/>
      <c r="B641" s="174" t="str">
        <f>TB!B675</f>
        <v>SS002</v>
      </c>
      <c r="C641" s="313" t="str">
        <f>TB!C675</f>
        <v>Afjal Blueberry</v>
      </c>
      <c r="D641" s="257">
        <f>SUMIF(GL!$D$5:$D$6446,B641,GL!$G$5:$G$6446)</f>
        <v>0</v>
      </c>
      <c r="E641" s="258">
        <f>SUMIF(GL!$D$6:$D$6484,B641,GL!$H$6:$H$6484)</f>
        <v>0</v>
      </c>
      <c r="F641" s="258">
        <f>SUMIF(GL!$D$6:$D$6484,B641,GL!$I$6:$I$6484)</f>
        <v>0</v>
      </c>
      <c r="G641" s="258">
        <f t="shared" si="182"/>
        <v>0</v>
      </c>
      <c r="H641" s="258">
        <f t="shared" si="183"/>
        <v>0</v>
      </c>
      <c r="I641" s="250">
        <v>0.35</v>
      </c>
      <c r="J641" s="251">
        <v>600000</v>
      </c>
      <c r="K641" s="252">
        <v>210000</v>
      </c>
      <c r="L641" s="253">
        <f t="shared" ref="L641:L647" si="188">D641+I641</f>
        <v>0.35</v>
      </c>
      <c r="M641" s="128">
        <f t="shared" ref="M641:M647" si="189">(G641+K641)/L641</f>
        <v>600000</v>
      </c>
      <c r="N641" s="128">
        <f t="shared" si="184"/>
        <v>210000</v>
      </c>
      <c r="O641" s="254"/>
      <c r="P641" s="128">
        <f t="shared" si="185"/>
        <v>600000</v>
      </c>
      <c r="Q641" s="18">
        <f t="shared" si="186"/>
        <v>0</v>
      </c>
      <c r="R641" s="255">
        <f t="shared" si="187"/>
        <v>210000</v>
      </c>
      <c r="S641" s="225"/>
      <c r="T641" s="1">
        <f t="shared" ref="T641:T658" si="190">J641-M641</f>
        <v>0</v>
      </c>
      <c r="U641" s="4"/>
      <c r="V641" s="4"/>
      <c r="W641" s="4"/>
      <c r="X641" s="4"/>
      <c r="Y641" s="4"/>
      <c r="Z641" s="4"/>
      <c r="AA641" s="4"/>
      <c r="AB641" s="4"/>
      <c r="AC641" s="4"/>
      <c r="AD641" s="1"/>
      <c r="AE641" s="4"/>
      <c r="AF641" s="4"/>
      <c r="AG641" s="4"/>
      <c r="AH641" s="4"/>
      <c r="AI641" s="4"/>
      <c r="AJ641" s="4"/>
    </row>
    <row r="642" spans="1:36" ht="13.5" customHeight="1">
      <c r="A642" s="259"/>
      <c r="B642" s="174" t="str">
        <f>TB!B676</f>
        <v>SS003</v>
      </c>
      <c r="C642" s="313" t="str">
        <f>TB!C676</f>
        <v>Tm Lemon</v>
      </c>
      <c r="D642" s="257">
        <f>SUMIF(GL!$D$5:$D$6446,B642,GL!$G$5:$G$6446)</f>
        <v>0</v>
      </c>
      <c r="E642" s="258">
        <f>SUMIF(GL!$D$6:$D$6484,B642,GL!$H$6:$H$6484)</f>
        <v>0</v>
      </c>
      <c r="F642" s="258">
        <f>SUMIF(GL!$D$6:$D$6484,B642,GL!$I$6:$I$6484)</f>
        <v>0</v>
      </c>
      <c r="G642" s="258">
        <f t="shared" si="182"/>
        <v>0</v>
      </c>
      <c r="H642" s="258">
        <f t="shared" si="183"/>
        <v>0</v>
      </c>
      <c r="I642" s="250">
        <v>0.5</v>
      </c>
      <c r="J642" s="251">
        <v>425000</v>
      </c>
      <c r="K642" s="252">
        <v>212500</v>
      </c>
      <c r="L642" s="253">
        <f t="shared" si="188"/>
        <v>0.5</v>
      </c>
      <c r="M642" s="128">
        <f t="shared" si="189"/>
        <v>425000</v>
      </c>
      <c r="N642" s="128">
        <f t="shared" si="184"/>
        <v>212500</v>
      </c>
      <c r="O642" s="254">
        <v>0.45</v>
      </c>
      <c r="P642" s="128">
        <f t="shared" si="185"/>
        <v>425000</v>
      </c>
      <c r="Q642" s="18">
        <f t="shared" si="186"/>
        <v>191250</v>
      </c>
      <c r="R642" s="255">
        <f t="shared" si="187"/>
        <v>21250</v>
      </c>
      <c r="S642" s="225"/>
      <c r="T642" s="1">
        <f t="shared" si="190"/>
        <v>0</v>
      </c>
      <c r="U642" s="4"/>
      <c r="V642" s="4"/>
      <c r="W642" s="4"/>
      <c r="X642" s="4"/>
      <c r="Y642" s="4"/>
      <c r="Z642" s="4"/>
      <c r="AA642" s="4"/>
      <c r="AB642" s="4"/>
      <c r="AC642" s="4"/>
      <c r="AD642" s="1"/>
      <c r="AE642" s="4"/>
      <c r="AF642" s="4"/>
      <c r="AG642" s="4"/>
      <c r="AH642" s="4"/>
      <c r="AI642" s="4"/>
      <c r="AJ642" s="4"/>
    </row>
    <row r="643" spans="1:36" ht="13.5" customHeight="1">
      <c r="A643" s="259"/>
      <c r="B643" s="174" t="str">
        <f>TB!B677</f>
        <v>SS004</v>
      </c>
      <c r="C643" s="313" t="str">
        <f>TB!C677</f>
        <v>Afjal Dauble Apple</v>
      </c>
      <c r="D643" s="257">
        <f>SUMIF(GL!$D$5:$D$6446,B643,GL!$G$5:$G$6446)</f>
        <v>0</v>
      </c>
      <c r="E643" s="258">
        <f>SUMIF(GL!$D$6:$D$6484,B643,GL!$H$6:$H$6484)</f>
        <v>0</v>
      </c>
      <c r="F643" s="258">
        <f>SUMIF(GL!$D$6:$D$6484,B643,GL!$I$6:$I$6484)</f>
        <v>0</v>
      </c>
      <c r="G643" s="258">
        <f t="shared" si="182"/>
        <v>0</v>
      </c>
      <c r="H643" s="258">
        <f t="shared" si="183"/>
        <v>0</v>
      </c>
      <c r="I643" s="250">
        <v>1.05</v>
      </c>
      <c r="J643" s="251">
        <v>413793</v>
      </c>
      <c r="K643" s="252">
        <v>434483</v>
      </c>
      <c r="L643" s="253">
        <f t="shared" si="188"/>
        <v>1.05</v>
      </c>
      <c r="M643" s="128">
        <f t="shared" si="189"/>
        <v>413793.33333333331</v>
      </c>
      <c r="N643" s="128">
        <f t="shared" si="184"/>
        <v>434483</v>
      </c>
      <c r="O643" s="254">
        <v>0.55000000000000004</v>
      </c>
      <c r="P643" s="128">
        <f t="shared" si="185"/>
        <v>413793.33333333331</v>
      </c>
      <c r="Q643" s="18">
        <f t="shared" si="186"/>
        <v>227586.33333333334</v>
      </c>
      <c r="R643" s="255">
        <f t="shared" si="187"/>
        <v>206896.66666666666</v>
      </c>
      <c r="S643" s="225"/>
      <c r="T643" s="1">
        <f t="shared" si="190"/>
        <v>-0.33333333331393078</v>
      </c>
      <c r="U643" s="4"/>
      <c r="V643" s="4"/>
      <c r="W643" s="4"/>
      <c r="X643" s="4"/>
      <c r="Y643" s="4"/>
      <c r="Z643" s="4"/>
      <c r="AA643" s="4"/>
      <c r="AB643" s="4"/>
      <c r="AC643" s="4"/>
      <c r="AD643" s="1"/>
      <c r="AE643" s="4"/>
      <c r="AF643" s="4"/>
      <c r="AG643" s="4"/>
      <c r="AH643" s="4"/>
      <c r="AI643" s="4"/>
      <c r="AJ643" s="4"/>
    </row>
    <row r="644" spans="1:36" ht="13.5" customHeight="1">
      <c r="A644" s="259"/>
      <c r="B644" s="174" t="str">
        <f>TB!B678</f>
        <v>SS005</v>
      </c>
      <c r="C644" s="313" t="str">
        <f>TB!C678</f>
        <v>Tm Ice</v>
      </c>
      <c r="D644" s="257">
        <f>SUMIF(GL!$D$5:$D$6446,B644,GL!$G$5:$G$6446)</f>
        <v>0</v>
      </c>
      <c r="E644" s="258">
        <f>SUMIF(GL!$D$6:$D$6484,B644,GL!$H$6:$H$6484)</f>
        <v>0</v>
      </c>
      <c r="F644" s="258">
        <f>SUMIF(GL!$D$6:$D$6484,B644,GL!$I$6:$I$6484)</f>
        <v>0</v>
      </c>
      <c r="G644" s="258">
        <f t="shared" si="182"/>
        <v>0</v>
      </c>
      <c r="H644" s="258">
        <f t="shared" si="183"/>
        <v>0</v>
      </c>
      <c r="I644" s="250">
        <v>0.2</v>
      </c>
      <c r="J644" s="251">
        <v>481414</v>
      </c>
      <c r="K644" s="252">
        <v>96283</v>
      </c>
      <c r="L644" s="253">
        <f t="shared" si="188"/>
        <v>0.2</v>
      </c>
      <c r="M644" s="128">
        <f t="shared" si="189"/>
        <v>481415</v>
      </c>
      <c r="N644" s="128">
        <f t="shared" si="184"/>
        <v>96283</v>
      </c>
      <c r="O644" s="254">
        <v>0.2</v>
      </c>
      <c r="P644" s="128">
        <f t="shared" si="185"/>
        <v>481415</v>
      </c>
      <c r="Q644" s="18">
        <f t="shared" si="186"/>
        <v>96283</v>
      </c>
      <c r="R644" s="255">
        <f t="shared" si="187"/>
        <v>0</v>
      </c>
      <c r="S644" s="225"/>
      <c r="T644" s="1">
        <f t="shared" si="190"/>
        <v>-1</v>
      </c>
      <c r="U644" s="4"/>
      <c r="V644" s="4"/>
      <c r="W644" s="4"/>
      <c r="X644" s="4"/>
      <c r="Y644" s="4"/>
      <c r="Z644" s="4"/>
      <c r="AA644" s="4"/>
      <c r="AB644" s="4"/>
      <c r="AC644" s="4"/>
      <c r="AD644" s="1"/>
      <c r="AE644" s="4"/>
      <c r="AF644" s="4"/>
      <c r="AG644" s="4"/>
      <c r="AH644" s="4"/>
      <c r="AI644" s="4"/>
      <c r="AJ644" s="4"/>
    </row>
    <row r="645" spans="1:36" ht="13.5" customHeight="1">
      <c r="A645" s="259"/>
      <c r="B645" s="174" t="str">
        <f>TB!B679</f>
        <v>SS006</v>
      </c>
      <c r="C645" s="313" t="str">
        <f>TB!C679</f>
        <v>Afjal Strawberry</v>
      </c>
      <c r="D645" s="257">
        <f>SUMIF(GL!$D$5:$D$6446,B645,GL!$G$5:$G$6446)</f>
        <v>0</v>
      </c>
      <c r="E645" s="258">
        <f>SUMIF(GL!$D$6:$D$6484,B645,GL!$H$6:$H$6484)</f>
        <v>0</v>
      </c>
      <c r="F645" s="258">
        <f>SUMIF(GL!$D$6:$D$6484,B645,GL!$I$6:$I$6484)</f>
        <v>0</v>
      </c>
      <c r="G645" s="258">
        <f t="shared" si="182"/>
        <v>0</v>
      </c>
      <c r="H645" s="258">
        <f t="shared" si="183"/>
        <v>0</v>
      </c>
      <c r="I645" s="250">
        <v>0.6</v>
      </c>
      <c r="J645" s="251">
        <v>600000</v>
      </c>
      <c r="K645" s="252">
        <v>360000</v>
      </c>
      <c r="L645" s="253">
        <f t="shared" si="188"/>
        <v>0.6</v>
      </c>
      <c r="M645" s="128">
        <f t="shared" si="189"/>
        <v>600000</v>
      </c>
      <c r="N645" s="128">
        <f t="shared" si="184"/>
        <v>360000</v>
      </c>
      <c r="O645" s="254">
        <v>0.55000000000000004</v>
      </c>
      <c r="P645" s="128">
        <f t="shared" si="185"/>
        <v>600000</v>
      </c>
      <c r="Q645" s="18">
        <f t="shared" si="186"/>
        <v>330000</v>
      </c>
      <c r="R645" s="255">
        <f t="shared" si="187"/>
        <v>30000</v>
      </c>
      <c r="S645" s="225"/>
      <c r="T645" s="1">
        <f t="shared" si="190"/>
        <v>0</v>
      </c>
      <c r="U645" s="4"/>
      <c r="V645" s="4"/>
      <c r="W645" s="4"/>
      <c r="X645" s="4"/>
      <c r="Y645" s="4"/>
      <c r="Z645" s="4"/>
      <c r="AA645" s="4"/>
      <c r="AB645" s="4"/>
      <c r="AC645" s="4"/>
      <c r="AD645" s="1"/>
      <c r="AE645" s="4"/>
      <c r="AF645" s="4"/>
      <c r="AG645" s="4"/>
      <c r="AH645" s="4"/>
      <c r="AI645" s="4"/>
      <c r="AJ645" s="4"/>
    </row>
    <row r="646" spans="1:36" ht="13.5" customHeight="1">
      <c r="A646" s="259"/>
      <c r="B646" s="174" t="str">
        <f>TB!B680</f>
        <v>SS007</v>
      </c>
      <c r="C646" s="313" t="str">
        <f>TB!C680</f>
        <v>Afjal Mint</v>
      </c>
      <c r="D646" s="257">
        <f>SUMIF(GL!$D$5:$D$6446,B646,GL!$G$5:$G$6446)</f>
        <v>0</v>
      </c>
      <c r="E646" s="258">
        <f>SUMIF(GL!$D$6:$D$6484,B646,GL!$H$6:$H$6484)</f>
        <v>0</v>
      </c>
      <c r="F646" s="258">
        <f>SUMIF(GL!$D$6:$D$6484,B646,GL!$I$6:$I$6484)</f>
        <v>0</v>
      </c>
      <c r="G646" s="258">
        <f t="shared" si="182"/>
        <v>0</v>
      </c>
      <c r="H646" s="258">
        <f t="shared" si="183"/>
        <v>0</v>
      </c>
      <c r="I646" s="250">
        <v>0.55000000000000004</v>
      </c>
      <c r="J646" s="251">
        <v>466712</v>
      </c>
      <c r="K646" s="252">
        <v>256692</v>
      </c>
      <c r="L646" s="253">
        <f t="shared" si="188"/>
        <v>0.55000000000000004</v>
      </c>
      <c r="M646" s="128">
        <f t="shared" si="189"/>
        <v>466712.72727272724</v>
      </c>
      <c r="N646" s="128">
        <f t="shared" si="184"/>
        <v>256692</v>
      </c>
      <c r="O646" s="254">
        <v>0.3</v>
      </c>
      <c r="P646" s="128">
        <f t="shared" si="185"/>
        <v>466712.72727272724</v>
      </c>
      <c r="Q646" s="18">
        <f t="shared" si="186"/>
        <v>140013.81818181818</v>
      </c>
      <c r="R646" s="255">
        <f t="shared" si="187"/>
        <v>116678.18181818182</v>
      </c>
      <c r="S646" s="225"/>
      <c r="T646" s="1">
        <f t="shared" si="190"/>
        <v>-0.72727272723568603</v>
      </c>
      <c r="U646" s="4"/>
      <c r="V646" s="4"/>
      <c r="W646" s="4"/>
      <c r="X646" s="4"/>
      <c r="Y646" s="4"/>
      <c r="Z646" s="4"/>
      <c r="AA646" s="4"/>
      <c r="AB646" s="4"/>
      <c r="AC646" s="4"/>
      <c r="AD646" s="1"/>
      <c r="AE646" s="4"/>
      <c r="AF646" s="4"/>
      <c r="AG646" s="4"/>
      <c r="AH646" s="4"/>
      <c r="AI646" s="4"/>
      <c r="AJ646" s="4"/>
    </row>
    <row r="647" spans="1:36" ht="13.5" customHeight="1">
      <c r="A647" s="259"/>
      <c r="B647" s="174" t="str">
        <f>TB!B681</f>
        <v>SS008</v>
      </c>
      <c r="C647" s="313" t="str">
        <f>TB!C681</f>
        <v>Ajal Mango</v>
      </c>
      <c r="D647" s="257">
        <f>SUMIF(GL!$D$5:$D$6446,B647,GL!$G$5:$G$6446)</f>
        <v>0</v>
      </c>
      <c r="E647" s="258">
        <f>SUMIF(GL!$D$6:$D$6484,B647,GL!$H$6:$H$6484)</f>
        <v>0</v>
      </c>
      <c r="F647" s="258">
        <f>SUMIF(GL!$D$6:$D$6484,B647,GL!$I$6:$I$6484)</f>
        <v>0</v>
      </c>
      <c r="G647" s="258">
        <f t="shared" si="182"/>
        <v>0</v>
      </c>
      <c r="H647" s="258">
        <f t="shared" si="183"/>
        <v>0</v>
      </c>
      <c r="I647" s="250">
        <v>0.45</v>
      </c>
      <c r="J647" s="251">
        <v>492309</v>
      </c>
      <c r="K647" s="252">
        <v>221539</v>
      </c>
      <c r="L647" s="253">
        <f t="shared" si="188"/>
        <v>0.45</v>
      </c>
      <c r="M647" s="128">
        <f t="shared" si="189"/>
        <v>492308.88888888888</v>
      </c>
      <c r="N647" s="128">
        <f t="shared" si="184"/>
        <v>221539</v>
      </c>
      <c r="O647" s="254">
        <v>0.3</v>
      </c>
      <c r="P647" s="128">
        <f t="shared" si="185"/>
        <v>492308.88888888888</v>
      </c>
      <c r="Q647" s="18">
        <f t="shared" si="186"/>
        <v>147692.66666666666</v>
      </c>
      <c r="R647" s="255">
        <f t="shared" si="187"/>
        <v>73846.333333333343</v>
      </c>
      <c r="S647" s="225"/>
      <c r="T647" s="1">
        <f t="shared" si="190"/>
        <v>0.11111111112404615</v>
      </c>
      <c r="U647" s="4"/>
      <c r="V647" s="4"/>
      <c r="W647" s="4"/>
      <c r="X647" s="4"/>
      <c r="Y647" s="4"/>
      <c r="Z647" s="4"/>
      <c r="AA647" s="4"/>
      <c r="AB647" s="4"/>
      <c r="AC647" s="4"/>
      <c r="AD647" s="1"/>
      <c r="AE647" s="4"/>
      <c r="AF647" s="4"/>
      <c r="AG647" s="4"/>
      <c r="AH647" s="4"/>
      <c r="AI647" s="4"/>
      <c r="AJ647" s="4"/>
    </row>
    <row r="648" spans="1:36" ht="13.5" customHeight="1">
      <c r="A648" s="259"/>
      <c r="B648" s="174" t="str">
        <f>TB!B682</f>
        <v>SS009</v>
      </c>
      <c r="C648" s="313" t="str">
        <f>TB!C682</f>
        <v>Tm 69</v>
      </c>
      <c r="D648" s="257">
        <f>SUMIF(GL!$D$5:$D$6446,B648,GL!$G$5:$G$6446)</f>
        <v>0</v>
      </c>
      <c r="E648" s="258">
        <f>SUMIF(GL!$D$6:$D$6484,B648,GL!$H$6:$H$6484)</f>
        <v>0</v>
      </c>
      <c r="F648" s="258">
        <f>SUMIF(GL!$D$6:$D$6484,B648,GL!$I$6:$I$6484)</f>
        <v>0</v>
      </c>
      <c r="G648" s="258">
        <f t="shared" si="182"/>
        <v>0</v>
      </c>
      <c r="H648" s="258">
        <f t="shared" si="183"/>
        <v>0</v>
      </c>
      <c r="I648" s="250"/>
      <c r="J648" s="251"/>
      <c r="K648" s="252"/>
      <c r="L648" s="253"/>
      <c r="M648" s="128"/>
      <c r="N648" s="128">
        <f t="shared" si="184"/>
        <v>0</v>
      </c>
      <c r="O648" s="254"/>
      <c r="P648" s="128">
        <f t="shared" si="185"/>
        <v>0</v>
      </c>
      <c r="Q648" s="18">
        <f t="shared" si="186"/>
        <v>0</v>
      </c>
      <c r="R648" s="255">
        <f t="shared" si="187"/>
        <v>0</v>
      </c>
      <c r="S648" s="225"/>
      <c r="T648" s="1">
        <f t="shared" si="190"/>
        <v>0</v>
      </c>
      <c r="U648" s="4"/>
      <c r="V648" s="4"/>
      <c r="W648" s="4"/>
      <c r="X648" s="4"/>
      <c r="Y648" s="4"/>
      <c r="Z648" s="4"/>
      <c r="AA648" s="4"/>
      <c r="AB648" s="4"/>
      <c r="AC648" s="4"/>
      <c r="AD648" s="1"/>
      <c r="AE648" s="4"/>
      <c r="AF648" s="4"/>
      <c r="AG648" s="4"/>
      <c r="AH648" s="4"/>
      <c r="AI648" s="4"/>
      <c r="AJ648" s="4"/>
    </row>
    <row r="649" spans="1:36" ht="13.5" customHeight="1">
      <c r="A649" s="259"/>
      <c r="B649" s="174" t="str">
        <f>TB!B683</f>
        <v>SS010</v>
      </c>
      <c r="C649" s="313" t="str">
        <f>TB!C683</f>
        <v>Tm Pineapalle</v>
      </c>
      <c r="D649" s="257">
        <f>SUMIF(GL!$D$5:$D$6446,B649,GL!$G$5:$G$6446)</f>
        <v>0</v>
      </c>
      <c r="E649" s="258">
        <f>SUMIF(GL!$D$6:$D$6484,B649,GL!$H$6:$H$6484)</f>
        <v>0</v>
      </c>
      <c r="F649" s="258">
        <f>SUMIF(GL!$D$6:$D$6484,B649,GL!$I$6:$I$6484)</f>
        <v>0</v>
      </c>
      <c r="G649" s="258">
        <f t="shared" si="182"/>
        <v>0</v>
      </c>
      <c r="H649" s="258">
        <f t="shared" si="183"/>
        <v>0</v>
      </c>
      <c r="I649" s="250"/>
      <c r="J649" s="251">
        <v>522225</v>
      </c>
      <c r="K649" s="252"/>
      <c r="L649" s="253"/>
      <c r="M649" s="128"/>
      <c r="N649" s="128">
        <f t="shared" si="184"/>
        <v>0</v>
      </c>
      <c r="O649" s="254"/>
      <c r="P649" s="128">
        <f t="shared" si="185"/>
        <v>0</v>
      </c>
      <c r="Q649" s="18">
        <f t="shared" si="186"/>
        <v>0</v>
      </c>
      <c r="R649" s="255">
        <f t="shared" si="187"/>
        <v>0</v>
      </c>
      <c r="S649" s="225"/>
      <c r="T649" s="1">
        <f t="shared" si="190"/>
        <v>522225</v>
      </c>
      <c r="U649" s="4"/>
      <c r="V649" s="4"/>
      <c r="W649" s="4"/>
      <c r="X649" s="4"/>
      <c r="Y649" s="4"/>
      <c r="Z649" s="4"/>
      <c r="AA649" s="4"/>
      <c r="AB649" s="4"/>
      <c r="AC649" s="4"/>
      <c r="AD649" s="1"/>
      <c r="AE649" s="4"/>
      <c r="AF649" s="4"/>
      <c r="AG649" s="4"/>
      <c r="AH649" s="4"/>
      <c r="AI649" s="4"/>
      <c r="AJ649" s="4"/>
    </row>
    <row r="650" spans="1:36" ht="13.5" customHeight="1">
      <c r="A650" s="259"/>
      <c r="B650" s="174" t="str">
        <f>TB!B684</f>
        <v>SS011</v>
      </c>
      <c r="C650" s="313" t="str">
        <f>TB!C684</f>
        <v>Tm Melon</v>
      </c>
      <c r="D650" s="257">
        <f>SUMIF(GL!$D$5:$D$6446,B650,GL!$G$5:$G$6446)</f>
        <v>0</v>
      </c>
      <c r="E650" s="258">
        <f>SUMIF(GL!$D$6:$D$6484,B650,GL!$H$6:$H$6484)</f>
        <v>0</v>
      </c>
      <c r="F650" s="258">
        <f>SUMIF(GL!$D$6:$D$6484,B650,GL!$I$6:$I$6484)</f>
        <v>0</v>
      </c>
      <c r="G650" s="258">
        <f t="shared" si="182"/>
        <v>0</v>
      </c>
      <c r="H650" s="258">
        <f t="shared" si="183"/>
        <v>0</v>
      </c>
      <c r="I650" s="250">
        <v>0.45</v>
      </c>
      <c r="J650" s="251">
        <v>535962</v>
      </c>
      <c r="K650" s="252">
        <v>241183</v>
      </c>
      <c r="L650" s="253">
        <f>D650+I650</f>
        <v>0.45</v>
      </c>
      <c r="M650" s="128">
        <f>(G650+K650)/L650</f>
        <v>535962.22222222225</v>
      </c>
      <c r="N650" s="128">
        <f t="shared" si="184"/>
        <v>241183</v>
      </c>
      <c r="O650" s="254">
        <v>0.45</v>
      </c>
      <c r="P650" s="128">
        <f t="shared" si="185"/>
        <v>535962.22222222225</v>
      </c>
      <c r="Q650" s="18">
        <f t="shared" si="186"/>
        <v>241183.00000000003</v>
      </c>
      <c r="R650" s="255">
        <f t="shared" si="187"/>
        <v>0</v>
      </c>
      <c r="S650" s="225"/>
      <c r="T650" s="1">
        <f t="shared" si="190"/>
        <v>-0.22222222224809229</v>
      </c>
      <c r="U650" s="4"/>
      <c r="V650" s="4"/>
      <c r="W650" s="4"/>
      <c r="X650" s="4"/>
      <c r="Y650" s="4"/>
      <c r="Z650" s="4"/>
      <c r="AA650" s="4"/>
      <c r="AB650" s="4"/>
      <c r="AC650" s="4"/>
      <c r="AD650" s="1"/>
      <c r="AE650" s="4"/>
      <c r="AF650" s="4"/>
      <c r="AG650" s="4"/>
      <c r="AH650" s="4"/>
      <c r="AI650" s="4"/>
      <c r="AJ650" s="4"/>
    </row>
    <row r="651" spans="1:36" ht="13.5" customHeight="1">
      <c r="A651" s="259"/>
      <c r="B651" s="174" t="str">
        <f>TB!B685</f>
        <v>SS012</v>
      </c>
      <c r="C651" s="313" t="str">
        <f>TB!C685</f>
        <v>Afjal Lime</v>
      </c>
      <c r="D651" s="257">
        <f>SUMIF(GL!$D$5:$D$6446,B651,GL!$G$5:$G$6446)</f>
        <v>0</v>
      </c>
      <c r="E651" s="258">
        <f>SUMIF(GL!$D$6:$D$6484,B651,GL!$H$6:$H$6484)</f>
        <v>0</v>
      </c>
      <c r="F651" s="258">
        <f>SUMIF(GL!$D$6:$D$6484,B651,GL!$I$6:$I$6484)</f>
        <v>0</v>
      </c>
      <c r="G651" s="258">
        <f t="shared" si="182"/>
        <v>0</v>
      </c>
      <c r="H651" s="258">
        <f t="shared" si="183"/>
        <v>0</v>
      </c>
      <c r="I651" s="250"/>
      <c r="J651" s="251"/>
      <c r="K651" s="252"/>
      <c r="L651" s="253"/>
      <c r="M651" s="128"/>
      <c r="N651" s="128">
        <f t="shared" si="184"/>
        <v>0</v>
      </c>
      <c r="O651" s="254"/>
      <c r="P651" s="128">
        <f t="shared" si="185"/>
        <v>0</v>
      </c>
      <c r="Q651" s="18">
        <f t="shared" si="186"/>
        <v>0</v>
      </c>
      <c r="R651" s="255">
        <f t="shared" si="187"/>
        <v>0</v>
      </c>
      <c r="S651" s="225"/>
      <c r="T651" s="1">
        <f t="shared" si="190"/>
        <v>0</v>
      </c>
      <c r="U651" s="4"/>
      <c r="V651" s="4"/>
      <c r="W651" s="4"/>
      <c r="X651" s="4"/>
      <c r="Y651" s="4"/>
      <c r="Z651" s="4"/>
      <c r="AA651" s="4"/>
      <c r="AB651" s="4"/>
      <c r="AC651" s="4"/>
      <c r="AD651" s="1"/>
      <c r="AE651" s="4"/>
      <c r="AF651" s="4"/>
      <c r="AG651" s="4"/>
      <c r="AH651" s="4"/>
      <c r="AI651" s="4"/>
      <c r="AJ651" s="4"/>
    </row>
    <row r="652" spans="1:36" ht="13.5" customHeight="1">
      <c r="A652" s="259"/>
      <c r="B652" s="174" t="str">
        <f>TB!B686</f>
        <v>SS013</v>
      </c>
      <c r="C652" s="313" t="str">
        <f>TB!C686</f>
        <v>Afjal Grape</v>
      </c>
      <c r="D652" s="257">
        <f>SUMIF(GL!$D$5:$D$6446,B652,GL!$G$5:$G$6446)</f>
        <v>0</v>
      </c>
      <c r="E652" s="258">
        <f>SUMIF(GL!$D$6:$D$6484,B652,GL!$H$6:$H$6484)</f>
        <v>0</v>
      </c>
      <c r="F652" s="258">
        <f>SUMIF(GL!$D$6:$D$6484,B652,GL!$I$6:$I$6484)</f>
        <v>0</v>
      </c>
      <c r="G652" s="258">
        <f t="shared" si="182"/>
        <v>0</v>
      </c>
      <c r="H652" s="258">
        <f t="shared" si="183"/>
        <v>0</v>
      </c>
      <c r="I652" s="250"/>
      <c r="J652" s="251"/>
      <c r="K652" s="252"/>
      <c r="L652" s="253"/>
      <c r="M652" s="128"/>
      <c r="N652" s="128">
        <f t="shared" si="184"/>
        <v>0</v>
      </c>
      <c r="O652" s="254"/>
      <c r="P652" s="128">
        <f t="shared" si="185"/>
        <v>0</v>
      </c>
      <c r="Q652" s="18">
        <f t="shared" si="186"/>
        <v>0</v>
      </c>
      <c r="R652" s="255">
        <f t="shared" si="187"/>
        <v>0</v>
      </c>
      <c r="S652" s="225"/>
      <c r="T652" s="1">
        <f t="shared" si="190"/>
        <v>0</v>
      </c>
      <c r="U652" s="4"/>
      <c r="V652" s="4"/>
      <c r="W652" s="4"/>
      <c r="X652" s="4"/>
      <c r="Y652" s="4"/>
      <c r="Z652" s="4"/>
      <c r="AA652" s="4"/>
      <c r="AB652" s="4"/>
      <c r="AC652" s="4"/>
      <c r="AD652" s="1"/>
      <c r="AE652" s="4"/>
      <c r="AF652" s="4"/>
      <c r="AG652" s="4"/>
      <c r="AH652" s="4"/>
      <c r="AI652" s="4"/>
      <c r="AJ652" s="4"/>
    </row>
    <row r="653" spans="1:36" ht="13.5" customHeight="1">
      <c r="A653" s="259"/>
      <c r="B653" s="174" t="str">
        <f>TB!B687</f>
        <v>SS014</v>
      </c>
      <c r="C653" s="313" t="str">
        <f>TB!C687</f>
        <v>Tm Bubble Gum</v>
      </c>
      <c r="D653" s="257">
        <f>SUMIF(GL!$D$5:$D$6446,B653,GL!$G$5:$G$6446)</f>
        <v>0</v>
      </c>
      <c r="E653" s="258">
        <f>SUMIF(GL!$D$6:$D$6484,B653,GL!$H$6:$H$6484)</f>
        <v>0</v>
      </c>
      <c r="F653" s="258">
        <f>SUMIF(GL!$D$6:$D$6484,B653,GL!$I$6:$I$6484)</f>
        <v>0</v>
      </c>
      <c r="G653" s="258">
        <f t="shared" si="182"/>
        <v>0</v>
      </c>
      <c r="H653" s="258">
        <f t="shared" si="183"/>
        <v>0</v>
      </c>
      <c r="I653" s="250">
        <v>0.45</v>
      </c>
      <c r="J653" s="251">
        <v>522223</v>
      </c>
      <c r="K653" s="252">
        <v>235001</v>
      </c>
      <c r="L653" s="253">
        <f>D653+I653</f>
        <v>0.45</v>
      </c>
      <c r="M653" s="128">
        <f>(G653+K653)/L653</f>
        <v>522224.44444444444</v>
      </c>
      <c r="N653" s="128">
        <f t="shared" si="184"/>
        <v>235001</v>
      </c>
      <c r="O653" s="254">
        <v>0.25</v>
      </c>
      <c r="P653" s="128">
        <f t="shared" si="185"/>
        <v>522224.44444444444</v>
      </c>
      <c r="Q653" s="18">
        <f t="shared" si="186"/>
        <v>130556.11111111111</v>
      </c>
      <c r="R653" s="255">
        <f t="shared" si="187"/>
        <v>104444.88888888889</v>
      </c>
      <c r="S653" s="225"/>
      <c r="T653" s="1">
        <f t="shared" si="190"/>
        <v>-1.4444444444379769</v>
      </c>
      <c r="U653" s="4"/>
      <c r="V653" s="4"/>
      <c r="W653" s="4"/>
      <c r="X653" s="4"/>
      <c r="Y653" s="4"/>
      <c r="Z653" s="4"/>
      <c r="AA653" s="4"/>
      <c r="AB653" s="4"/>
      <c r="AC653" s="4"/>
      <c r="AD653" s="1"/>
      <c r="AE653" s="4"/>
      <c r="AF653" s="4"/>
      <c r="AG653" s="4"/>
      <c r="AH653" s="4"/>
      <c r="AI653" s="4"/>
      <c r="AJ653" s="4"/>
    </row>
    <row r="654" spans="1:36" ht="13.5" customHeight="1">
      <c r="A654" s="4"/>
      <c r="B654" s="174" t="str">
        <f>TB!B688</f>
        <v>SS015</v>
      </c>
      <c r="C654" s="313" t="str">
        <f>TB!C688</f>
        <v>Afjal Orange</v>
      </c>
      <c r="D654" s="257">
        <f>SUMIF(GL!$D$5:$D$6446,B654,GL!$G$5:$G$6446)</f>
        <v>0</v>
      </c>
      <c r="E654" s="258">
        <f>SUMIF(GL!$D$6:$D$6484,B654,GL!$H$6:$H$6484)</f>
        <v>0</v>
      </c>
      <c r="F654" s="258">
        <f>SUMIF(GL!$D$6:$D$6484,B654,GL!$I$6:$I$6484)</f>
        <v>0</v>
      </c>
      <c r="G654" s="258">
        <f t="shared" si="182"/>
        <v>0</v>
      </c>
      <c r="H654" s="258">
        <f t="shared" si="183"/>
        <v>0</v>
      </c>
      <c r="I654" s="250"/>
      <c r="J654" s="251">
        <v>600000</v>
      </c>
      <c r="K654" s="252"/>
      <c r="L654" s="253"/>
      <c r="M654" s="128"/>
      <c r="N654" s="128">
        <f t="shared" si="184"/>
        <v>0</v>
      </c>
      <c r="O654" s="254"/>
      <c r="P654" s="128">
        <f t="shared" si="185"/>
        <v>0</v>
      </c>
      <c r="Q654" s="18">
        <f t="shared" si="186"/>
        <v>0</v>
      </c>
      <c r="R654" s="255">
        <f t="shared" si="187"/>
        <v>0</v>
      </c>
      <c r="S654" s="225"/>
      <c r="T654" s="1">
        <f t="shared" si="190"/>
        <v>600000</v>
      </c>
      <c r="U654" s="4"/>
      <c r="V654" s="4"/>
      <c r="W654" s="4"/>
      <c r="X654" s="4"/>
      <c r="Y654" s="4"/>
      <c r="Z654" s="4"/>
      <c r="AA654" s="4"/>
      <c r="AB654" s="4"/>
      <c r="AC654" s="4"/>
      <c r="AD654" s="1"/>
      <c r="AE654" s="4"/>
      <c r="AF654" s="4"/>
      <c r="AG654" s="4"/>
      <c r="AH654" s="4"/>
      <c r="AI654" s="4"/>
      <c r="AJ654" s="4"/>
    </row>
    <row r="655" spans="1:36" ht="13.5" customHeight="1">
      <c r="A655" s="4"/>
      <c r="B655" s="174" t="str">
        <f>TB!B689</f>
        <v>SS016</v>
      </c>
      <c r="C655" s="313" t="str">
        <f>TB!C689</f>
        <v>Tm Peach</v>
      </c>
      <c r="D655" s="257">
        <f>SUMIF(GL!$D$5:$D$6446,B655,GL!$G$5:$G$6446)</f>
        <v>0</v>
      </c>
      <c r="E655" s="258">
        <f>SUMIF(GL!$D$6:$D$6484,B655,GL!$H$6:$H$6484)</f>
        <v>0</v>
      </c>
      <c r="F655" s="258">
        <f>SUMIF(GL!$D$6:$D$6484,B655,GL!$I$6:$I$6484)</f>
        <v>0</v>
      </c>
      <c r="G655" s="258">
        <f t="shared" si="182"/>
        <v>0</v>
      </c>
      <c r="H655" s="258">
        <f t="shared" si="183"/>
        <v>0</v>
      </c>
      <c r="I655" s="250">
        <v>0.2</v>
      </c>
      <c r="J655" s="251">
        <v>600000</v>
      </c>
      <c r="K655" s="252">
        <v>120000</v>
      </c>
      <c r="L655" s="253">
        <f>D655+I655</f>
        <v>0.2</v>
      </c>
      <c r="M655" s="128">
        <f>(G655+K655)/L655</f>
        <v>600000</v>
      </c>
      <c r="N655" s="128">
        <f t="shared" si="184"/>
        <v>120000</v>
      </c>
      <c r="O655" s="254">
        <v>0.2</v>
      </c>
      <c r="P655" s="128">
        <f t="shared" si="185"/>
        <v>600000</v>
      </c>
      <c r="Q655" s="18">
        <f t="shared" si="186"/>
        <v>120000</v>
      </c>
      <c r="R655" s="255">
        <f t="shared" si="187"/>
        <v>0</v>
      </c>
      <c r="S655" s="225"/>
      <c r="T655" s="1">
        <f t="shared" si="190"/>
        <v>0</v>
      </c>
      <c r="U655" s="4"/>
      <c r="V655" s="4"/>
      <c r="W655" s="4"/>
      <c r="X655" s="4"/>
      <c r="Y655" s="4"/>
      <c r="Z655" s="4"/>
      <c r="AA655" s="4"/>
      <c r="AB655" s="4"/>
      <c r="AC655" s="4"/>
      <c r="AD655" s="1"/>
      <c r="AE655" s="4"/>
      <c r="AF655" s="4"/>
      <c r="AG655" s="4"/>
      <c r="AH655" s="4"/>
      <c r="AI655" s="4"/>
      <c r="AJ655" s="4"/>
    </row>
    <row r="656" spans="1:36" ht="13.5" customHeight="1">
      <c r="A656" s="4"/>
      <c r="B656" s="174" t="str">
        <f>TB!B690</f>
        <v>SS017</v>
      </c>
      <c r="C656" s="313" t="str">
        <f>TB!C690</f>
        <v>Selang Plastick</v>
      </c>
      <c r="D656" s="257">
        <f>SUMIF(GL!$D$5:$D$6446,B656,GL!$G$5:$G$6446)</f>
        <v>0</v>
      </c>
      <c r="E656" s="258">
        <f>SUMIF(GL!$D$6:$D$6484,B656,GL!$H$6:$H$6484)</f>
        <v>0</v>
      </c>
      <c r="F656" s="258">
        <f>SUMIF(GL!$D$6:$D$6484,B656,GL!$I$6:$I$6484)</f>
        <v>0</v>
      </c>
      <c r="G656" s="258">
        <f t="shared" si="182"/>
        <v>0</v>
      </c>
      <c r="H656" s="258">
        <f t="shared" si="183"/>
        <v>0</v>
      </c>
      <c r="I656" s="250"/>
      <c r="J656" s="251"/>
      <c r="K656" s="252"/>
      <c r="L656" s="253"/>
      <c r="M656" s="128"/>
      <c r="N656" s="128">
        <f t="shared" si="184"/>
        <v>0</v>
      </c>
      <c r="O656" s="254"/>
      <c r="P656" s="128">
        <f t="shared" si="185"/>
        <v>0</v>
      </c>
      <c r="Q656" s="18">
        <f t="shared" si="186"/>
        <v>0</v>
      </c>
      <c r="R656" s="255">
        <f t="shared" si="187"/>
        <v>0</v>
      </c>
      <c r="S656" s="225"/>
      <c r="T656" s="1">
        <f t="shared" si="190"/>
        <v>0</v>
      </c>
      <c r="U656" s="4"/>
      <c r="V656" s="4"/>
      <c r="W656" s="4"/>
      <c r="X656" s="4"/>
      <c r="Y656" s="4"/>
      <c r="Z656" s="4"/>
      <c r="AA656" s="4"/>
      <c r="AB656" s="4"/>
      <c r="AC656" s="4"/>
      <c r="AD656" s="1"/>
      <c r="AE656" s="4"/>
      <c r="AF656" s="4"/>
      <c r="AG656" s="4"/>
      <c r="AH656" s="4"/>
      <c r="AI656" s="4"/>
      <c r="AJ656" s="4"/>
    </row>
    <row r="657" spans="1:36" ht="13.5" customHeight="1">
      <c r="A657" s="4"/>
      <c r="B657" s="174" t="str">
        <f>TB!B691</f>
        <v>SS018</v>
      </c>
      <c r="C657" s="313" t="str">
        <f>TB!C691</f>
        <v>Selang Normal</v>
      </c>
      <c r="D657" s="257">
        <f>SUMIF(GL!$D$5:$D$6446,B657,GL!$G$5:$G$6446)</f>
        <v>0</v>
      </c>
      <c r="E657" s="258">
        <f>SUMIF(GL!$D$6:$D$6484,B657,GL!$H$6:$H$6484)</f>
        <v>0</v>
      </c>
      <c r="F657" s="258">
        <f>SUMIF(GL!$D$6:$D$6484,B657,GL!$I$6:$I$6484)</f>
        <v>0</v>
      </c>
      <c r="G657" s="258">
        <f t="shared" si="182"/>
        <v>0</v>
      </c>
      <c r="H657" s="258">
        <f t="shared" si="183"/>
        <v>0</v>
      </c>
      <c r="I657" s="250">
        <v>9</v>
      </c>
      <c r="J657" s="251">
        <v>5769</v>
      </c>
      <c r="K657" s="252">
        <v>51924</v>
      </c>
      <c r="L657" s="253">
        <f t="shared" ref="L657:L659" si="191">D657+I657</f>
        <v>9</v>
      </c>
      <c r="M657" s="128">
        <f t="shared" ref="M657:M659" si="192">(G657+K657)/L657</f>
        <v>5769.333333333333</v>
      </c>
      <c r="N657" s="128">
        <f t="shared" si="184"/>
        <v>51924</v>
      </c>
      <c r="O657" s="254">
        <v>9</v>
      </c>
      <c r="P657" s="128">
        <f t="shared" si="185"/>
        <v>5769.333333333333</v>
      </c>
      <c r="Q657" s="18">
        <f t="shared" si="186"/>
        <v>51924</v>
      </c>
      <c r="R657" s="255">
        <f t="shared" si="187"/>
        <v>0</v>
      </c>
      <c r="S657" s="225"/>
      <c r="T657" s="1">
        <f t="shared" si="190"/>
        <v>-0.33333333333303017</v>
      </c>
      <c r="U657" s="4"/>
      <c r="V657" s="4"/>
      <c r="W657" s="4"/>
      <c r="X657" s="4"/>
      <c r="Y657" s="4"/>
      <c r="Z657" s="4"/>
      <c r="AA657" s="4"/>
      <c r="AB657" s="4"/>
      <c r="AC657" s="4"/>
      <c r="AD657" s="1"/>
      <c r="AE657" s="4"/>
      <c r="AF657" s="4"/>
      <c r="AG657" s="4"/>
      <c r="AH657" s="4"/>
      <c r="AI657" s="4"/>
      <c r="AJ657" s="4"/>
    </row>
    <row r="658" spans="1:36" ht="13.5" customHeight="1">
      <c r="A658" s="4"/>
      <c r="B658" s="174" t="str">
        <f>TB!B692</f>
        <v>SS019</v>
      </c>
      <c r="C658" s="313" t="str">
        <f>TB!C692</f>
        <v>Pipet</v>
      </c>
      <c r="D658" s="257">
        <f>SUMIF(GL!$D$5:$D$6446,B658,GL!$G$5:$G$6446)</f>
        <v>0</v>
      </c>
      <c r="E658" s="258">
        <f>SUMIF(GL!$D$6:$D$6484,B658,GL!$H$6:$H$6484)</f>
        <v>0</v>
      </c>
      <c r="F658" s="258">
        <f>SUMIF(GL!$D$6:$D$6484,B658,GL!$I$6:$I$6484)</f>
        <v>0</v>
      </c>
      <c r="G658" s="258">
        <f t="shared" si="182"/>
        <v>0</v>
      </c>
      <c r="H658" s="258">
        <f t="shared" si="183"/>
        <v>0</v>
      </c>
      <c r="I658" s="250">
        <v>2</v>
      </c>
      <c r="J658" s="251">
        <v>33442</v>
      </c>
      <c r="K658" s="252">
        <v>66884</v>
      </c>
      <c r="L658" s="253">
        <f t="shared" si="191"/>
        <v>2</v>
      </c>
      <c r="M658" s="128">
        <f t="shared" si="192"/>
        <v>33442</v>
      </c>
      <c r="N658" s="128">
        <f t="shared" si="184"/>
        <v>66884</v>
      </c>
      <c r="O658" s="254">
        <f>100/10</f>
        <v>10</v>
      </c>
      <c r="P658" s="128">
        <f t="shared" si="185"/>
        <v>33442</v>
      </c>
      <c r="Q658" s="18">
        <f t="shared" si="186"/>
        <v>334420</v>
      </c>
      <c r="R658" s="255">
        <f t="shared" si="187"/>
        <v>-267536</v>
      </c>
      <c r="S658" s="225"/>
      <c r="T658" s="1">
        <f t="shared" si="190"/>
        <v>0</v>
      </c>
      <c r="U658" s="4"/>
      <c r="V658" s="4"/>
      <c r="W658" s="4"/>
      <c r="X658" s="4"/>
      <c r="Y658" s="4"/>
      <c r="Z658" s="4"/>
      <c r="AA658" s="4"/>
      <c r="AB658" s="4"/>
      <c r="AC658" s="4"/>
      <c r="AD658" s="1"/>
      <c r="AE658" s="4"/>
      <c r="AF658" s="4"/>
      <c r="AG658" s="4"/>
      <c r="AH658" s="4"/>
      <c r="AI658" s="4"/>
      <c r="AJ658" s="4"/>
    </row>
    <row r="659" spans="1:36" ht="13.5" customHeight="1">
      <c r="A659" s="4"/>
      <c r="B659" s="174" t="str">
        <f>TB!B693</f>
        <v>SS020</v>
      </c>
      <c r="C659" s="313" t="str">
        <f>TB!C693</f>
        <v>Sikat Panjang Kecil</v>
      </c>
      <c r="D659" s="257">
        <f>SUMIF(GL!$D$5:$D$6446,B659,GL!$G$5:$G$6446)</f>
        <v>0</v>
      </c>
      <c r="E659" s="258">
        <f>SUMIF(GL!$D$6:$D$6484,B659,GL!$H$6:$H$6484)</f>
        <v>0</v>
      </c>
      <c r="F659" s="258">
        <f>SUMIF(GL!$D$6:$D$6484,B659,GL!$I$6:$I$6484)</f>
        <v>0</v>
      </c>
      <c r="G659" s="258">
        <f t="shared" si="182"/>
        <v>0</v>
      </c>
      <c r="H659" s="258">
        <f t="shared" si="183"/>
        <v>0</v>
      </c>
      <c r="I659" s="250">
        <v>2</v>
      </c>
      <c r="J659" s="251" t="s">
        <v>3828</v>
      </c>
      <c r="K659" s="252"/>
      <c r="L659" s="253">
        <f t="shared" si="191"/>
        <v>2</v>
      </c>
      <c r="M659" s="128">
        <f t="shared" si="192"/>
        <v>0</v>
      </c>
      <c r="N659" s="128">
        <f t="shared" si="184"/>
        <v>0</v>
      </c>
      <c r="O659" s="254">
        <v>2</v>
      </c>
      <c r="P659" s="128">
        <f t="shared" si="185"/>
        <v>0</v>
      </c>
      <c r="Q659" s="18">
        <f t="shared" si="186"/>
        <v>0</v>
      </c>
      <c r="R659" s="255">
        <f t="shared" si="187"/>
        <v>0</v>
      </c>
      <c r="S659" s="225"/>
      <c r="T659" s="1"/>
      <c r="U659" s="4"/>
      <c r="V659" s="4"/>
      <c r="W659" s="4"/>
      <c r="X659" s="4"/>
      <c r="Y659" s="4"/>
      <c r="Z659" s="4"/>
      <c r="AA659" s="4"/>
      <c r="AB659" s="4"/>
      <c r="AC659" s="4"/>
      <c r="AD659" s="1"/>
      <c r="AE659" s="4"/>
      <c r="AF659" s="4"/>
      <c r="AG659" s="4"/>
      <c r="AH659" s="4"/>
      <c r="AI659" s="4"/>
      <c r="AJ659" s="4"/>
    </row>
    <row r="660" spans="1:36" ht="13.5" customHeight="1">
      <c r="A660" s="4"/>
      <c r="B660" s="174" t="str">
        <f>TB!B694</f>
        <v>SS021</v>
      </c>
      <c r="C660" s="313" t="str">
        <f>TB!C694</f>
        <v>Foil Cufter</v>
      </c>
      <c r="D660" s="257">
        <f>SUMIF(GL!$D$5:$D$6446,B660,GL!$G$5:$G$6446)</f>
        <v>0</v>
      </c>
      <c r="E660" s="258">
        <f>SUMIF(GL!$D$6:$D$6484,B660,GL!$H$6:$H$6484)</f>
        <v>0</v>
      </c>
      <c r="F660" s="258">
        <f>SUMIF(GL!$D$6:$D$6484,B660,GL!$I$6:$I$6484)</f>
        <v>0</v>
      </c>
      <c r="G660" s="258">
        <f t="shared" si="182"/>
        <v>0</v>
      </c>
      <c r="H660" s="258">
        <f t="shared" si="183"/>
        <v>0</v>
      </c>
      <c r="I660" s="250"/>
      <c r="J660" s="251"/>
      <c r="K660" s="252"/>
      <c r="L660" s="253"/>
      <c r="M660" s="128"/>
      <c r="N660" s="128">
        <f t="shared" si="184"/>
        <v>0</v>
      </c>
      <c r="O660" s="254"/>
      <c r="P660" s="128">
        <f t="shared" si="185"/>
        <v>0</v>
      </c>
      <c r="Q660" s="18">
        <f t="shared" si="186"/>
        <v>0</v>
      </c>
      <c r="R660" s="255">
        <f t="shared" si="187"/>
        <v>0</v>
      </c>
      <c r="S660" s="225"/>
      <c r="T660" s="1">
        <f t="shared" ref="T660:T667" si="193">J660-M660</f>
        <v>0</v>
      </c>
      <c r="U660" s="4"/>
      <c r="V660" s="4"/>
      <c r="W660" s="4"/>
      <c r="X660" s="4"/>
      <c r="Y660" s="4"/>
      <c r="Z660" s="4"/>
      <c r="AA660" s="4"/>
      <c r="AB660" s="4"/>
      <c r="AC660" s="4"/>
      <c r="AD660" s="1"/>
      <c r="AE660" s="4"/>
      <c r="AF660" s="4"/>
      <c r="AG660" s="4"/>
      <c r="AH660" s="4"/>
      <c r="AI660" s="4"/>
      <c r="AJ660" s="4"/>
    </row>
    <row r="661" spans="1:36" ht="13.5" customHeight="1">
      <c r="A661" s="4"/>
      <c r="B661" s="174" t="str">
        <f>TB!B695</f>
        <v>SS022</v>
      </c>
      <c r="C661" s="313" t="str">
        <f>TB!C695</f>
        <v>Seramir</v>
      </c>
      <c r="D661" s="257">
        <f>SUMIF(GL!$D$5:$D$6446,B661,GL!$G$5:$G$6446)</f>
        <v>0</v>
      </c>
      <c r="E661" s="258">
        <f>SUMIF(GL!$D$6:$D$6484,B661,GL!$H$6:$H$6484)</f>
        <v>0</v>
      </c>
      <c r="F661" s="258">
        <f>SUMIF(GL!$D$6:$D$6484,B661,GL!$I$6:$I$6484)</f>
        <v>0</v>
      </c>
      <c r="G661" s="258">
        <f t="shared" si="182"/>
        <v>0</v>
      </c>
      <c r="H661" s="258">
        <f t="shared" si="183"/>
        <v>0</v>
      </c>
      <c r="I661" s="250">
        <v>9</v>
      </c>
      <c r="J661" s="251">
        <v>61835</v>
      </c>
      <c r="K661" s="252">
        <v>556515</v>
      </c>
      <c r="L661" s="253">
        <f t="shared" ref="L661:L662" si="194">D661+I661</f>
        <v>9</v>
      </c>
      <c r="M661" s="128">
        <f t="shared" ref="M661:M662" si="195">(G661+K661)/L661</f>
        <v>61835</v>
      </c>
      <c r="N661" s="128">
        <f t="shared" si="184"/>
        <v>556515</v>
      </c>
      <c r="O661" s="254">
        <v>9</v>
      </c>
      <c r="P661" s="128">
        <f t="shared" si="185"/>
        <v>61835</v>
      </c>
      <c r="Q661" s="18">
        <f t="shared" si="186"/>
        <v>556515</v>
      </c>
      <c r="R661" s="255">
        <f t="shared" si="187"/>
        <v>0</v>
      </c>
      <c r="S661" s="225"/>
      <c r="T661" s="1">
        <f t="shared" si="193"/>
        <v>0</v>
      </c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 spans="1:36" ht="13.5" customHeight="1">
      <c r="A662" s="4"/>
      <c r="B662" s="174" t="str">
        <f>TB!B696</f>
        <v>SS023</v>
      </c>
      <c r="C662" s="313" t="str">
        <f>TB!C696</f>
        <v>Arang</v>
      </c>
      <c r="D662" s="257">
        <f>SUMIF(GL!$D$5:$D$6446,B662,GL!$G$5:$G$6446)</f>
        <v>0</v>
      </c>
      <c r="E662" s="258">
        <f>SUMIF(GL!$D$6:$D$6484,B662,GL!$H$6:$H$6484)</f>
        <v>0</v>
      </c>
      <c r="F662" s="258">
        <f>SUMIF(GL!$D$6:$D$6484,B662,GL!$I$6:$I$6484)</f>
        <v>0</v>
      </c>
      <c r="G662" s="258">
        <f t="shared" si="182"/>
        <v>0</v>
      </c>
      <c r="H662" s="258">
        <f t="shared" si="183"/>
        <v>0</v>
      </c>
      <c r="I662" s="250">
        <v>8</v>
      </c>
      <c r="J662" s="251">
        <v>24749</v>
      </c>
      <c r="K662" s="252">
        <v>197992</v>
      </c>
      <c r="L662" s="253">
        <f t="shared" si="194"/>
        <v>8</v>
      </c>
      <c r="M662" s="128">
        <f t="shared" si="195"/>
        <v>24749</v>
      </c>
      <c r="N662" s="128">
        <f t="shared" si="184"/>
        <v>197992</v>
      </c>
      <c r="O662" s="254">
        <v>5</v>
      </c>
      <c r="P662" s="128">
        <f t="shared" si="185"/>
        <v>24749</v>
      </c>
      <c r="Q662" s="18">
        <f t="shared" si="186"/>
        <v>123745</v>
      </c>
      <c r="R662" s="255">
        <f t="shared" si="187"/>
        <v>74247</v>
      </c>
      <c r="S662" s="225"/>
      <c r="T662" s="1">
        <f t="shared" si="193"/>
        <v>0</v>
      </c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spans="1:36" ht="13.5" customHeight="1">
      <c r="A663" s="4"/>
      <c r="B663" s="174" t="str">
        <f>TB!B697</f>
        <v>SS024</v>
      </c>
      <c r="C663" s="313" t="str">
        <f>TB!C697</f>
        <v>Karet</v>
      </c>
      <c r="D663" s="257">
        <f>SUMIF(GL!$D$5:$D$6446,B663,GL!$G$5:$G$6446)</f>
        <v>0</v>
      </c>
      <c r="E663" s="258">
        <f>SUMIF(GL!$D$6:$D$6484,B663,GL!$H$6:$H$6484)</f>
        <v>0</v>
      </c>
      <c r="F663" s="258">
        <f>SUMIF(GL!$D$6:$D$6484,B663,GL!$I$6:$I$6484)</f>
        <v>0</v>
      </c>
      <c r="G663" s="258">
        <f t="shared" si="182"/>
        <v>0</v>
      </c>
      <c r="H663" s="258">
        <f t="shared" si="183"/>
        <v>0</v>
      </c>
      <c r="I663" s="250"/>
      <c r="J663" s="251"/>
      <c r="K663" s="252"/>
      <c r="L663" s="253"/>
      <c r="M663" s="128"/>
      <c r="N663" s="128">
        <f t="shared" si="184"/>
        <v>0</v>
      </c>
      <c r="O663" s="254"/>
      <c r="P663" s="128">
        <f t="shared" si="185"/>
        <v>0</v>
      </c>
      <c r="Q663" s="18">
        <f t="shared" si="186"/>
        <v>0</v>
      </c>
      <c r="R663" s="255">
        <f t="shared" si="187"/>
        <v>0</v>
      </c>
      <c r="S663" s="225"/>
      <c r="T663" s="1">
        <f t="shared" si="193"/>
        <v>0</v>
      </c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spans="1:36" ht="13.5" customHeight="1">
      <c r="A664" s="4"/>
      <c r="B664" s="174" t="str">
        <f>TB!B698</f>
        <v>SS025</v>
      </c>
      <c r="C664" s="313" t="str">
        <f>TB!C698</f>
        <v>Blueberry Ice</v>
      </c>
      <c r="D664" s="257">
        <f>SUMIF(GL!$D$5:$D$6446,B664,GL!$G$5:$G$6446)</f>
        <v>0</v>
      </c>
      <c r="E664" s="258">
        <f>SUMIF(GL!$D$6:$D$6484,B664,GL!$H$6:$H$6484)</f>
        <v>0</v>
      </c>
      <c r="F664" s="258">
        <f>SUMIF(GL!$D$6:$D$6484,B664,GL!$I$6:$I$6484)</f>
        <v>0</v>
      </c>
      <c r="G664" s="258">
        <f t="shared" si="182"/>
        <v>0</v>
      </c>
      <c r="H664" s="258">
        <f t="shared" si="183"/>
        <v>0</v>
      </c>
      <c r="I664" s="250"/>
      <c r="J664" s="251"/>
      <c r="K664" s="252"/>
      <c r="L664" s="253"/>
      <c r="M664" s="128"/>
      <c r="N664" s="128">
        <f t="shared" si="184"/>
        <v>0</v>
      </c>
      <c r="O664" s="254"/>
      <c r="P664" s="128">
        <f t="shared" si="185"/>
        <v>0</v>
      </c>
      <c r="Q664" s="18">
        <f t="shared" si="186"/>
        <v>0</v>
      </c>
      <c r="R664" s="255">
        <f t="shared" si="187"/>
        <v>0</v>
      </c>
      <c r="S664" s="225"/>
      <c r="T664" s="1">
        <f t="shared" si="193"/>
        <v>0</v>
      </c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spans="1:36" ht="13.5" customHeight="1">
      <c r="A665" s="4"/>
      <c r="B665" s="174" t="str">
        <f>TB!B699</f>
        <v>SS026</v>
      </c>
      <c r="C665" s="313" t="str">
        <f>TB!C699</f>
        <v>Ctc Gold Plastic</v>
      </c>
      <c r="D665" s="257">
        <f>SUMIF(GL!$D$5:$D$6446,B665,GL!$G$5:$G$6446)</f>
        <v>0</v>
      </c>
      <c r="E665" s="258">
        <f>SUMIF(GL!$D$6:$D$6484,B665,GL!$H$6:$H$6484)</f>
        <v>0</v>
      </c>
      <c r="F665" s="258">
        <f>SUMIF(GL!$D$6:$D$6484,B665,GL!$I$6:$I$6484)</f>
        <v>0</v>
      </c>
      <c r="G665" s="258">
        <f t="shared" si="182"/>
        <v>0</v>
      </c>
      <c r="H665" s="258">
        <f t="shared" si="183"/>
        <v>0</v>
      </c>
      <c r="I665" s="250"/>
      <c r="J665" s="251"/>
      <c r="K665" s="252"/>
      <c r="L665" s="253"/>
      <c r="M665" s="128"/>
      <c r="N665" s="128">
        <f t="shared" si="184"/>
        <v>0</v>
      </c>
      <c r="O665" s="254"/>
      <c r="P665" s="128">
        <f t="shared" si="185"/>
        <v>0</v>
      </c>
      <c r="Q665" s="18">
        <f t="shared" si="186"/>
        <v>0</v>
      </c>
      <c r="R665" s="255">
        <f t="shared" si="187"/>
        <v>0</v>
      </c>
      <c r="S665" s="225"/>
      <c r="T665" s="1">
        <f t="shared" si="193"/>
        <v>0</v>
      </c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 spans="1:36" ht="13.5" customHeight="1">
      <c r="A666" s="4"/>
      <c r="B666" s="174" t="str">
        <f>TB!B700</f>
        <v>SS027</v>
      </c>
      <c r="C666" s="313" t="str">
        <f>TB!C700</f>
        <v>Tm Orange</v>
      </c>
      <c r="D666" s="257">
        <f>SUMIF(GL!$D$5:$D$6446,B666,GL!$G$5:$G$6446)</f>
        <v>0</v>
      </c>
      <c r="E666" s="258">
        <f>SUMIF(GL!$D$6:$D$6484,B666,GL!$H$6:$H$6484)</f>
        <v>0</v>
      </c>
      <c r="F666" s="258">
        <f>SUMIF(GL!$D$6:$D$6484,B666,GL!$I$6:$I$6484)</f>
        <v>0</v>
      </c>
      <c r="G666" s="258">
        <f t="shared" si="182"/>
        <v>0</v>
      </c>
      <c r="H666" s="258">
        <f t="shared" si="183"/>
        <v>0</v>
      </c>
      <c r="I666" s="250">
        <v>0.5</v>
      </c>
      <c r="J666" s="251">
        <v>392594</v>
      </c>
      <c r="K666" s="252">
        <v>196297</v>
      </c>
      <c r="L666" s="253">
        <f t="shared" ref="L666:L676" si="196">D666+I666</f>
        <v>0.5</v>
      </c>
      <c r="M666" s="128">
        <f t="shared" ref="M666:M676" si="197">(G666+K666)/L666</f>
        <v>392594</v>
      </c>
      <c r="N666" s="128">
        <f t="shared" si="184"/>
        <v>196297</v>
      </c>
      <c r="O666" s="254">
        <v>0.45</v>
      </c>
      <c r="P666" s="128">
        <f t="shared" si="185"/>
        <v>392594</v>
      </c>
      <c r="Q666" s="18">
        <f t="shared" si="186"/>
        <v>176667.30000000002</v>
      </c>
      <c r="R666" s="255">
        <f t="shared" si="187"/>
        <v>19629.699999999983</v>
      </c>
      <c r="S666" s="225"/>
      <c r="T666" s="1">
        <f t="shared" si="193"/>
        <v>0</v>
      </c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 spans="1:36" ht="13.5" customHeight="1">
      <c r="A667" s="4"/>
      <c r="B667" s="174" t="str">
        <f>TB!B701</f>
        <v>SS028</v>
      </c>
      <c r="C667" s="313" t="str">
        <f>TB!C701</f>
        <v>Tombako Watermelon</v>
      </c>
      <c r="D667" s="257">
        <f>SUMIF(GL!$D$5:$D$6446,B667,GL!$G$5:$G$6446)</f>
        <v>0</v>
      </c>
      <c r="E667" s="258">
        <f>SUMIF(GL!$D$6:$D$6484,B667,GL!$H$6:$H$6484)</f>
        <v>0</v>
      </c>
      <c r="F667" s="258">
        <f>SUMIF(GL!$D$6:$D$6484,B667,GL!$I$6:$I$6484)</f>
        <v>0</v>
      </c>
      <c r="G667" s="258">
        <f t="shared" si="182"/>
        <v>0</v>
      </c>
      <c r="H667" s="258">
        <f t="shared" si="183"/>
        <v>0</v>
      </c>
      <c r="I667" s="250">
        <v>0.45</v>
      </c>
      <c r="J667" s="251">
        <v>562452</v>
      </c>
      <c r="K667" s="252">
        <v>253103</v>
      </c>
      <c r="L667" s="253">
        <f t="shared" si="196"/>
        <v>0.45</v>
      </c>
      <c r="M667" s="128">
        <f t="shared" si="197"/>
        <v>562451.11111111112</v>
      </c>
      <c r="N667" s="128">
        <f t="shared" si="184"/>
        <v>253103</v>
      </c>
      <c r="O667" s="254">
        <v>0.35</v>
      </c>
      <c r="P667" s="128">
        <f t="shared" si="185"/>
        <v>562451.11111111112</v>
      </c>
      <c r="Q667" s="18">
        <f t="shared" si="186"/>
        <v>196857.88888888888</v>
      </c>
      <c r="R667" s="255">
        <f t="shared" si="187"/>
        <v>56245.111111111124</v>
      </c>
      <c r="S667" s="225"/>
      <c r="T667" s="1">
        <f t="shared" si="193"/>
        <v>0.88888888887595385</v>
      </c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 spans="1:36" ht="13.5" customHeight="1">
      <c r="A668" s="4"/>
      <c r="B668" s="174" t="str">
        <f>TB!B702</f>
        <v>SS029</v>
      </c>
      <c r="C668" s="313" t="str">
        <f>TB!C702</f>
        <v>Tm Chocolate</v>
      </c>
      <c r="D668" s="257">
        <f>SUMIF(GL!$D$5:$D$6446,B668,GL!$G$5:$G$6446)</f>
        <v>0</v>
      </c>
      <c r="E668" s="258">
        <f>SUMIF(GL!$D$6:$D$6484,B668,GL!$H$6:$H$6484)</f>
        <v>0</v>
      </c>
      <c r="F668" s="258">
        <f>SUMIF(GL!$D$6:$D$6484,B668,GL!$I$6:$I$6484)</f>
        <v>0</v>
      </c>
      <c r="G668" s="258">
        <f t="shared" si="182"/>
        <v>0</v>
      </c>
      <c r="H668" s="258">
        <f t="shared" si="183"/>
        <v>0</v>
      </c>
      <c r="I668" s="250">
        <v>0.65</v>
      </c>
      <c r="J668" s="251" t="s">
        <v>3828</v>
      </c>
      <c r="K668" s="252"/>
      <c r="L668" s="253">
        <f t="shared" si="196"/>
        <v>0.65</v>
      </c>
      <c r="M668" s="128">
        <f t="shared" si="197"/>
        <v>0</v>
      </c>
      <c r="N668" s="128">
        <f t="shared" si="184"/>
        <v>0</v>
      </c>
      <c r="O668" s="254"/>
      <c r="P668" s="128">
        <f t="shared" si="185"/>
        <v>0</v>
      </c>
      <c r="Q668" s="18">
        <f t="shared" si="186"/>
        <v>0</v>
      </c>
      <c r="R668" s="255">
        <f t="shared" si="187"/>
        <v>0</v>
      </c>
      <c r="S668" s="225"/>
      <c r="T668" s="1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 spans="1:36" ht="13.5" customHeight="1">
      <c r="A669" s="4"/>
      <c r="B669" s="174" t="str">
        <f>TB!B703</f>
        <v>SS030</v>
      </c>
      <c r="C669" s="313" t="str">
        <f>TB!C703</f>
        <v>Tm Mbo Yem</v>
      </c>
      <c r="D669" s="257">
        <f>SUMIF(GL!$D$5:$D$6446,B669,GL!$G$5:$G$6446)</f>
        <v>0</v>
      </c>
      <c r="E669" s="258">
        <f>SUMIF(GL!$D$6:$D$6484,B669,GL!$H$6:$H$6484)</f>
        <v>0</v>
      </c>
      <c r="F669" s="258">
        <f>SUMIF(GL!$D$6:$D$6484,B669,GL!$I$6:$I$6484)</f>
        <v>0</v>
      </c>
      <c r="G669" s="258">
        <f t="shared" si="182"/>
        <v>0</v>
      </c>
      <c r="H669" s="258">
        <f t="shared" si="183"/>
        <v>0</v>
      </c>
      <c r="I669" s="250">
        <v>0.65</v>
      </c>
      <c r="J669" s="251" t="s">
        <v>3828</v>
      </c>
      <c r="K669" s="252"/>
      <c r="L669" s="253">
        <f t="shared" si="196"/>
        <v>0.65</v>
      </c>
      <c r="M669" s="128">
        <f t="shared" si="197"/>
        <v>0</v>
      </c>
      <c r="N669" s="128">
        <f t="shared" si="184"/>
        <v>0</v>
      </c>
      <c r="O669" s="254"/>
      <c r="P669" s="128">
        <f t="shared" si="185"/>
        <v>0</v>
      </c>
      <c r="Q669" s="18">
        <f t="shared" si="186"/>
        <v>0</v>
      </c>
      <c r="R669" s="255">
        <f t="shared" si="187"/>
        <v>0</v>
      </c>
      <c r="S669" s="225"/>
      <c r="T669" s="1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 spans="1:36" ht="13.5" customHeight="1">
      <c r="A670" s="4"/>
      <c r="B670" s="174" t="str">
        <f>TB!B704</f>
        <v>SS031</v>
      </c>
      <c r="C670" s="313" t="str">
        <f>TB!C704</f>
        <v>Tm Kang Asep</v>
      </c>
      <c r="D670" s="257">
        <f>SUMIF(GL!$D$5:$D$6446,B670,GL!$G$5:$G$6446)</f>
        <v>0</v>
      </c>
      <c r="E670" s="258">
        <f>SUMIF(GL!$D$6:$D$6484,B670,GL!$H$6:$H$6484)</f>
        <v>0</v>
      </c>
      <c r="F670" s="258">
        <f>SUMIF(GL!$D$6:$D$6484,B670,GL!$I$6:$I$6484)</f>
        <v>0</v>
      </c>
      <c r="G670" s="258">
        <f t="shared" si="182"/>
        <v>0</v>
      </c>
      <c r="H670" s="258">
        <f t="shared" si="183"/>
        <v>0</v>
      </c>
      <c r="I670" s="250">
        <v>0.75</v>
      </c>
      <c r="J670" s="251" t="s">
        <v>3828</v>
      </c>
      <c r="K670" s="252"/>
      <c r="L670" s="253">
        <f t="shared" si="196"/>
        <v>0.75</v>
      </c>
      <c r="M670" s="128">
        <f t="shared" si="197"/>
        <v>0</v>
      </c>
      <c r="N670" s="128">
        <f t="shared" si="184"/>
        <v>0</v>
      </c>
      <c r="O670" s="254"/>
      <c r="P670" s="128">
        <f t="shared" si="185"/>
        <v>0</v>
      </c>
      <c r="Q670" s="18">
        <f t="shared" si="186"/>
        <v>0</v>
      </c>
      <c r="R670" s="255">
        <f t="shared" si="187"/>
        <v>0</v>
      </c>
      <c r="S670" s="225"/>
      <c r="T670" s="1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 spans="1:36" ht="13.5" customHeight="1">
      <c r="A671" s="4"/>
      <c r="B671" s="174" t="str">
        <f>TB!B705</f>
        <v>SS032</v>
      </c>
      <c r="C671" s="313" t="str">
        <f>TB!C705</f>
        <v>Tm Arjuna</v>
      </c>
      <c r="D671" s="257">
        <f>SUMIF(GL!$D$5:$D$6446,B671,GL!$G$5:$G$6446)</f>
        <v>0</v>
      </c>
      <c r="E671" s="258">
        <f>SUMIF(GL!$D$6:$D$6484,B671,GL!$H$6:$H$6484)</f>
        <v>0</v>
      </c>
      <c r="F671" s="258">
        <f>SUMIF(GL!$D$6:$D$6484,B671,GL!$I$6:$I$6484)</f>
        <v>0</v>
      </c>
      <c r="G671" s="258">
        <f t="shared" si="182"/>
        <v>0</v>
      </c>
      <c r="H671" s="258">
        <f t="shared" si="183"/>
        <v>0</v>
      </c>
      <c r="I671" s="250">
        <v>0.2</v>
      </c>
      <c r="J671" s="251" t="s">
        <v>3828</v>
      </c>
      <c r="K671" s="252"/>
      <c r="L671" s="253">
        <f t="shared" si="196"/>
        <v>0.2</v>
      </c>
      <c r="M671" s="128">
        <f t="shared" si="197"/>
        <v>0</v>
      </c>
      <c r="N671" s="128">
        <f t="shared" si="184"/>
        <v>0</v>
      </c>
      <c r="O671" s="254"/>
      <c r="P671" s="128">
        <f t="shared" si="185"/>
        <v>0</v>
      </c>
      <c r="Q671" s="18">
        <f t="shared" si="186"/>
        <v>0</v>
      </c>
      <c r="R671" s="255">
        <f t="shared" si="187"/>
        <v>0</v>
      </c>
      <c r="S671" s="225"/>
      <c r="T671" s="1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spans="1:36" ht="13.5" customHeight="1">
      <c r="A672" s="4"/>
      <c r="B672" s="174" t="str">
        <f>TB!B706</f>
        <v>SS033</v>
      </c>
      <c r="C672" s="313" t="str">
        <f>TB!C706</f>
        <v>Tm Go Jack Go</v>
      </c>
      <c r="D672" s="257">
        <f>SUMIF(GL!$D$5:$D$6446,B672,GL!$G$5:$G$6446)</f>
        <v>0</v>
      </c>
      <c r="E672" s="258">
        <f>SUMIF(GL!$D$6:$D$6484,B672,GL!$H$6:$H$6484)</f>
        <v>0</v>
      </c>
      <c r="F672" s="258">
        <f>SUMIF(GL!$D$6:$D$6484,B672,GL!$I$6:$I$6484)</f>
        <v>0</v>
      </c>
      <c r="G672" s="258">
        <f t="shared" si="182"/>
        <v>0</v>
      </c>
      <c r="H672" s="258">
        <f t="shared" si="183"/>
        <v>0</v>
      </c>
      <c r="I672" s="250">
        <v>0.25</v>
      </c>
      <c r="J672" s="251" t="s">
        <v>3828</v>
      </c>
      <c r="K672" s="252"/>
      <c r="L672" s="253">
        <f t="shared" si="196"/>
        <v>0.25</v>
      </c>
      <c r="M672" s="128">
        <f t="shared" si="197"/>
        <v>0</v>
      </c>
      <c r="N672" s="128">
        <f t="shared" si="184"/>
        <v>0</v>
      </c>
      <c r="O672" s="254"/>
      <c r="P672" s="128">
        <f t="shared" si="185"/>
        <v>0</v>
      </c>
      <c r="Q672" s="18">
        <f t="shared" si="186"/>
        <v>0</v>
      </c>
      <c r="R672" s="255">
        <f t="shared" si="187"/>
        <v>0</v>
      </c>
      <c r="S672" s="225"/>
      <c r="T672" s="1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spans="1:36" ht="13.5" customHeight="1">
      <c r="A673" s="4"/>
      <c r="B673" s="174" t="str">
        <f>TB!B707</f>
        <v>SS034</v>
      </c>
      <c r="C673" s="313" t="str">
        <f>TB!C707</f>
        <v>Tm Irish Cream</v>
      </c>
      <c r="D673" s="257">
        <f>SUMIF(GL!$D$5:$D$6446,B673,GL!$G$5:$G$6446)</f>
        <v>0</v>
      </c>
      <c r="E673" s="258">
        <f>SUMIF(GL!$D$6:$D$6484,B673,GL!$H$6:$H$6484)</f>
        <v>0</v>
      </c>
      <c r="F673" s="258">
        <f>SUMIF(GL!$D$6:$D$6484,B673,GL!$I$6:$I$6484)</f>
        <v>0</v>
      </c>
      <c r="G673" s="258">
        <f t="shared" si="182"/>
        <v>0</v>
      </c>
      <c r="H673" s="258">
        <f t="shared" si="183"/>
        <v>0</v>
      </c>
      <c r="I673" s="250">
        <v>0.2</v>
      </c>
      <c r="J673" s="251" t="s">
        <v>3828</v>
      </c>
      <c r="K673" s="252"/>
      <c r="L673" s="253">
        <f t="shared" si="196"/>
        <v>0.2</v>
      </c>
      <c r="M673" s="128">
        <f t="shared" si="197"/>
        <v>0</v>
      </c>
      <c r="N673" s="128">
        <f t="shared" si="184"/>
        <v>0</v>
      </c>
      <c r="O673" s="254"/>
      <c r="P673" s="128">
        <f t="shared" si="185"/>
        <v>0</v>
      </c>
      <c r="Q673" s="18">
        <f t="shared" si="186"/>
        <v>0</v>
      </c>
      <c r="R673" s="255">
        <f t="shared" si="187"/>
        <v>0</v>
      </c>
      <c r="S673" s="225"/>
      <c r="T673" s="1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spans="1:36" ht="13.5" customHeight="1">
      <c r="A674" s="4"/>
      <c r="B674" s="174" t="str">
        <f>TB!B708</f>
        <v>SS035</v>
      </c>
      <c r="C674" s="313" t="str">
        <f>TB!C708</f>
        <v>Tm Barbarossa</v>
      </c>
      <c r="D674" s="257">
        <f>SUMIF(GL!$D$5:$D$6446,B674,GL!$G$5:$G$6446)</f>
        <v>0</v>
      </c>
      <c r="E674" s="258">
        <f>SUMIF(GL!$D$6:$D$6484,B674,GL!$H$6:$H$6484)</f>
        <v>0</v>
      </c>
      <c r="F674" s="258">
        <f>SUMIF(GL!$D$6:$D$6484,B674,GL!$I$6:$I$6484)</f>
        <v>0</v>
      </c>
      <c r="G674" s="258">
        <f t="shared" si="182"/>
        <v>0</v>
      </c>
      <c r="H674" s="258">
        <f t="shared" si="183"/>
        <v>0</v>
      </c>
      <c r="I674" s="250">
        <v>0.45</v>
      </c>
      <c r="J674" s="251" t="s">
        <v>3828</v>
      </c>
      <c r="K674" s="252"/>
      <c r="L674" s="253">
        <f t="shared" si="196"/>
        <v>0.45</v>
      </c>
      <c r="M674" s="128">
        <f t="shared" si="197"/>
        <v>0</v>
      </c>
      <c r="N674" s="128">
        <f t="shared" si="184"/>
        <v>0</v>
      </c>
      <c r="O674" s="254"/>
      <c r="P674" s="128">
        <f t="shared" si="185"/>
        <v>0</v>
      </c>
      <c r="Q674" s="18">
        <f t="shared" si="186"/>
        <v>0</v>
      </c>
      <c r="R674" s="255">
        <f t="shared" si="187"/>
        <v>0</v>
      </c>
      <c r="S674" s="225"/>
      <c r="T674" s="1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 spans="1:36" ht="13.5" customHeight="1">
      <c r="A675" s="4"/>
      <c r="B675" s="174" t="str">
        <f>TB!B709</f>
        <v>SS036</v>
      </c>
      <c r="C675" s="313" t="str">
        <f>TB!C709</f>
        <v>Tm Geisha</v>
      </c>
      <c r="D675" s="257">
        <f>SUMIF(GL!$D$5:$D$6446,B675,GL!$G$5:$G$6446)</f>
        <v>0</v>
      </c>
      <c r="E675" s="258">
        <f>SUMIF(GL!$D$6:$D$6484,B675,GL!$H$6:$H$6484)</f>
        <v>0</v>
      </c>
      <c r="F675" s="258">
        <f>SUMIF(GL!$D$6:$D$6484,B675,GL!$I$6:$I$6484)</f>
        <v>0</v>
      </c>
      <c r="G675" s="258">
        <f t="shared" si="182"/>
        <v>0</v>
      </c>
      <c r="H675" s="258">
        <f t="shared" si="183"/>
        <v>0</v>
      </c>
      <c r="I675" s="250">
        <v>0.1</v>
      </c>
      <c r="J675" s="251">
        <v>458330</v>
      </c>
      <c r="K675" s="252">
        <v>45833</v>
      </c>
      <c r="L675" s="253">
        <f t="shared" si="196"/>
        <v>0.1</v>
      </c>
      <c r="M675" s="128">
        <f t="shared" si="197"/>
        <v>458330</v>
      </c>
      <c r="N675" s="128">
        <f t="shared" si="184"/>
        <v>45833</v>
      </c>
      <c r="O675" s="254">
        <v>0.1</v>
      </c>
      <c r="P675" s="128">
        <f t="shared" si="185"/>
        <v>458330</v>
      </c>
      <c r="Q675" s="18">
        <f t="shared" si="186"/>
        <v>45833</v>
      </c>
      <c r="R675" s="255">
        <f t="shared" si="187"/>
        <v>0</v>
      </c>
      <c r="S675" s="225"/>
      <c r="T675" s="1">
        <f t="shared" ref="T675:T676" si="198">J675-M675</f>
        <v>0</v>
      </c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 spans="1:36" ht="13.5" customHeight="1">
      <c r="A676" s="4"/>
      <c r="B676" s="174" t="str">
        <f>TB!B710</f>
        <v>SS037</v>
      </c>
      <c r="C676" s="313" t="str">
        <f>TB!C710</f>
        <v>Tm Grape</v>
      </c>
      <c r="D676" s="257">
        <f>SUMIF(GL!$D$5:$D$6446,B676,GL!$G$5:$G$6446)</f>
        <v>0</v>
      </c>
      <c r="E676" s="258">
        <f>SUMIF(GL!$D$6:$D$6484,B676,GL!$H$6:$H$6484)</f>
        <v>0</v>
      </c>
      <c r="F676" s="258">
        <f>SUMIF(GL!$D$6:$D$6484,B676,GL!$I$6:$I$6484)</f>
        <v>0</v>
      </c>
      <c r="G676" s="258">
        <f t="shared" si="182"/>
        <v>0</v>
      </c>
      <c r="H676" s="258">
        <f t="shared" si="183"/>
        <v>0</v>
      </c>
      <c r="I676" s="250">
        <v>0.2</v>
      </c>
      <c r="J676" s="251">
        <v>600000</v>
      </c>
      <c r="K676" s="252">
        <v>120000</v>
      </c>
      <c r="L676" s="253">
        <f t="shared" si="196"/>
        <v>0.2</v>
      </c>
      <c r="M676" s="128">
        <f t="shared" si="197"/>
        <v>600000</v>
      </c>
      <c r="N676" s="128">
        <f t="shared" si="184"/>
        <v>120000</v>
      </c>
      <c r="O676" s="254">
        <v>0.05</v>
      </c>
      <c r="P676" s="128">
        <f t="shared" si="185"/>
        <v>600000</v>
      </c>
      <c r="Q676" s="18">
        <f t="shared" si="186"/>
        <v>30000</v>
      </c>
      <c r="R676" s="255">
        <f t="shared" si="187"/>
        <v>90000</v>
      </c>
      <c r="S676" s="225"/>
      <c r="T676" s="1">
        <f t="shared" si="198"/>
        <v>0</v>
      </c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 spans="1:36" ht="13.5" customHeight="1">
      <c r="A677" s="4"/>
      <c r="B677" s="174">
        <f>TB!B711</f>
        <v>0</v>
      </c>
      <c r="C677" s="313">
        <f>TB!C711</f>
        <v>0</v>
      </c>
      <c r="D677" s="314"/>
      <c r="E677" s="15"/>
      <c r="F677" s="146"/>
      <c r="G677" s="146"/>
      <c r="H677" s="15"/>
      <c r="I677" s="250"/>
      <c r="J677" s="251"/>
      <c r="K677" s="252"/>
      <c r="L677" s="253"/>
      <c r="M677" s="128"/>
      <c r="N677" s="128">
        <f t="shared" si="184"/>
        <v>0</v>
      </c>
      <c r="O677" s="254"/>
      <c r="P677" s="128">
        <f t="shared" si="185"/>
        <v>0</v>
      </c>
      <c r="Q677" s="18">
        <f t="shared" si="186"/>
        <v>0</v>
      </c>
      <c r="R677" s="255">
        <f t="shared" si="187"/>
        <v>0</v>
      </c>
      <c r="S677" s="225"/>
      <c r="T677" s="226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 spans="1:36" ht="13.5" customHeight="1">
      <c r="A678" s="4"/>
      <c r="B678" s="174">
        <f>TB!B712</f>
        <v>0</v>
      </c>
      <c r="C678" s="313">
        <f>TB!C712</f>
        <v>0</v>
      </c>
      <c r="D678" s="314"/>
      <c r="E678" s="15"/>
      <c r="F678" s="146"/>
      <c r="G678" s="146"/>
      <c r="H678" s="15"/>
      <c r="I678" s="250"/>
      <c r="J678" s="251"/>
      <c r="K678" s="252"/>
      <c r="L678" s="253"/>
      <c r="M678" s="128"/>
      <c r="N678" s="128">
        <f t="shared" si="184"/>
        <v>0</v>
      </c>
      <c r="O678" s="254"/>
      <c r="P678" s="128">
        <f t="shared" si="185"/>
        <v>0</v>
      </c>
      <c r="Q678" s="18">
        <f t="shared" si="186"/>
        <v>0</v>
      </c>
      <c r="R678" s="255">
        <f t="shared" si="187"/>
        <v>0</v>
      </c>
      <c r="S678" s="225" t="str">
        <f>PROPER(C678)</f>
        <v>0</v>
      </c>
      <c r="T678" s="226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 spans="1:36" ht="13.5" customHeight="1">
      <c r="A679" s="4"/>
      <c r="B679" s="174">
        <f>TB!B713</f>
        <v>0</v>
      </c>
      <c r="C679" s="313">
        <f>TB!C713</f>
        <v>0</v>
      </c>
      <c r="D679" s="314"/>
      <c r="E679" s="15"/>
      <c r="F679" s="146"/>
      <c r="G679" s="146"/>
      <c r="H679" s="15"/>
      <c r="I679" s="315"/>
      <c r="J679" s="15"/>
      <c r="K679" s="174"/>
      <c r="L679" s="253"/>
      <c r="M679" s="128"/>
      <c r="N679" s="128">
        <f t="shared" si="184"/>
        <v>0</v>
      </c>
      <c r="O679" s="254"/>
      <c r="P679" s="128">
        <f t="shared" si="185"/>
        <v>0</v>
      </c>
      <c r="Q679" s="18">
        <f t="shared" si="186"/>
        <v>0</v>
      </c>
      <c r="R679" s="255">
        <f t="shared" si="187"/>
        <v>0</v>
      </c>
      <c r="S679" s="225"/>
      <c r="T679" s="226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 spans="1:36" ht="13.5" customHeight="1">
      <c r="A680" s="4"/>
      <c r="B680" s="15"/>
      <c r="C680" s="15"/>
      <c r="D680" s="254"/>
      <c r="E680" s="15"/>
      <c r="F680" s="15"/>
      <c r="G680" s="15"/>
      <c r="H680" s="15"/>
      <c r="I680" s="15"/>
      <c r="J680" s="15"/>
      <c r="K680" s="15"/>
      <c r="L680" s="254"/>
      <c r="M680" s="15"/>
      <c r="N680" s="15"/>
      <c r="O680" s="254"/>
      <c r="P680" s="15"/>
      <c r="Q680" s="15"/>
      <c r="R680" s="15"/>
      <c r="S680" s="225"/>
      <c r="T680" s="226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spans="1:36" ht="13.5" customHeight="1">
      <c r="A681" s="4"/>
      <c r="B681" s="316"/>
      <c r="C681" s="15"/>
      <c r="D681" s="254"/>
      <c r="E681" s="15"/>
      <c r="F681" s="15"/>
      <c r="G681" s="15"/>
      <c r="H681" s="15"/>
      <c r="I681" s="15"/>
      <c r="J681" s="15"/>
      <c r="K681" s="15"/>
      <c r="L681" s="254"/>
      <c r="M681" s="15"/>
      <c r="N681" s="15"/>
      <c r="O681" s="254"/>
      <c r="P681" s="15"/>
      <c r="Q681" s="15"/>
      <c r="R681" s="15"/>
      <c r="S681" s="225"/>
      <c r="T681" s="226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spans="1:36" ht="13.5" customHeight="1">
      <c r="A682" s="81"/>
      <c r="B682" s="317" t="s">
        <v>3627</v>
      </c>
      <c r="C682" s="318" t="s">
        <v>3845</v>
      </c>
      <c r="D682" s="319">
        <f>SUM(D683:D724)</f>
        <v>363</v>
      </c>
      <c r="E682" s="319">
        <f>SUM(E683:E725)</f>
        <v>16949360</v>
      </c>
      <c r="F682" s="319">
        <f t="shared" ref="F682:R682" si="199">SUM(F683:F724)</f>
        <v>0</v>
      </c>
      <c r="G682" s="319">
        <f t="shared" si="199"/>
        <v>16949360</v>
      </c>
      <c r="H682" s="319">
        <f t="shared" si="199"/>
        <v>0</v>
      </c>
      <c r="I682" s="319">
        <f t="shared" si="199"/>
        <v>63</v>
      </c>
      <c r="J682" s="319">
        <f t="shared" si="199"/>
        <v>188342</v>
      </c>
      <c r="K682" s="319">
        <f t="shared" si="199"/>
        <v>1727334</v>
      </c>
      <c r="L682" s="319">
        <f t="shared" si="199"/>
        <v>426</v>
      </c>
      <c r="M682" s="319">
        <f t="shared" si="199"/>
        <v>443862.98608190782</v>
      </c>
      <c r="N682" s="319">
        <f t="shared" si="199"/>
        <v>18676694</v>
      </c>
      <c r="O682" s="319">
        <f t="shared" si="199"/>
        <v>147</v>
      </c>
      <c r="P682" s="319">
        <f t="shared" si="199"/>
        <v>443862.98608190782</v>
      </c>
      <c r="Q682" s="319">
        <f t="shared" si="199"/>
        <v>1594327.423491328</v>
      </c>
      <c r="R682" s="319">
        <f t="shared" si="199"/>
        <v>17082366.576508671</v>
      </c>
      <c r="S682" s="81">
        <f>TB!X714</f>
        <v>1594328.423491329</v>
      </c>
      <c r="T682" s="81">
        <f>Q682-S682</f>
        <v>-1.0000000009313226</v>
      </c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</row>
    <row r="683" spans="1:36" ht="13.5" customHeight="1">
      <c r="A683" s="4"/>
      <c r="B683" s="15" t="str">
        <f>TB!B715</f>
        <v>CC001</v>
      </c>
      <c r="C683" s="320" t="str">
        <f>TB!C715</f>
        <v>Marlboro Merah</v>
      </c>
      <c r="D683" s="257">
        <f>SUMIF(GL!$D$5:$D$6446,B683,GL!$G$5:$G$6446)</f>
        <v>120</v>
      </c>
      <c r="E683" s="258">
        <f>SUMIF(GL!$D$6:$D$6484,B683,GL!$H$6:$H$6484)</f>
        <v>5698000</v>
      </c>
      <c r="F683" s="258">
        <f>SUMIF(GL!$D$6:$D$6484,B683,GL!$I$6:$I$6484)</f>
        <v>0</v>
      </c>
      <c r="G683" s="258">
        <f t="shared" ref="G683:G723" si="200">IF(E683&gt;F683,E683-F683,0)</f>
        <v>5698000</v>
      </c>
      <c r="H683" s="258">
        <f t="shared" ref="H683:H723" si="201">IF(F683&gt;E683,F683-E683,0)</f>
        <v>0</v>
      </c>
      <c r="I683" s="250">
        <v>8</v>
      </c>
      <c r="J683" s="251">
        <v>51597</v>
      </c>
      <c r="K683" s="252">
        <v>412780</v>
      </c>
      <c r="L683" s="253">
        <f t="shared" ref="L683:L686" si="202">D683+I683</f>
        <v>128</v>
      </c>
      <c r="M683" s="128">
        <f t="shared" ref="M683:M686" si="203">(G683+K683)/L683</f>
        <v>47740.46875</v>
      </c>
      <c r="N683" s="128">
        <f t="shared" ref="N683:N723" si="204">G683+K683</f>
        <v>6110780</v>
      </c>
      <c r="O683" s="254">
        <v>4</v>
      </c>
      <c r="P683" s="128">
        <f t="shared" ref="P683:P723" si="205">M683</f>
        <v>47740.46875</v>
      </c>
      <c r="Q683" s="18">
        <f t="shared" ref="Q683:Q723" si="206">O683*P683</f>
        <v>190961.875</v>
      </c>
      <c r="R683" s="255">
        <f t="shared" ref="R683:R723" si="207">N683-Q683</f>
        <v>5919818.125</v>
      </c>
      <c r="S683" s="225"/>
      <c r="T683" s="226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 spans="1:36" ht="13.5" customHeight="1">
      <c r="A684" s="4"/>
      <c r="B684" s="15" t="str">
        <f>TB!B716</f>
        <v>CC002</v>
      </c>
      <c r="C684" s="320" t="str">
        <f>TB!C716</f>
        <v>Marlboro Light / GOLD</v>
      </c>
      <c r="D684" s="257">
        <f>SUMIF(GL!$D$5:$D$6446,B684,GL!$G$5:$G$6446)</f>
        <v>130</v>
      </c>
      <c r="E684" s="258">
        <f>SUMIF(GL!$D$6:$D$6484,B684,GL!$H$6:$H$6484)</f>
        <v>6216000</v>
      </c>
      <c r="F684" s="258">
        <f>SUMIF(GL!$D$6:$D$6484,B684,GL!$I$6:$I$6484)</f>
        <v>0</v>
      </c>
      <c r="G684" s="258">
        <f t="shared" si="200"/>
        <v>6216000</v>
      </c>
      <c r="H684" s="258">
        <f t="shared" si="201"/>
        <v>0</v>
      </c>
      <c r="I684" s="250">
        <v>8</v>
      </c>
      <c r="J684" s="251">
        <v>51569</v>
      </c>
      <c r="K684" s="252">
        <v>412551</v>
      </c>
      <c r="L684" s="253">
        <f t="shared" si="202"/>
        <v>138</v>
      </c>
      <c r="M684" s="128">
        <f t="shared" si="203"/>
        <v>48032.978260869568</v>
      </c>
      <c r="N684" s="128">
        <f t="shared" si="204"/>
        <v>6628551</v>
      </c>
      <c r="O684" s="254">
        <v>8</v>
      </c>
      <c r="P684" s="128">
        <f t="shared" si="205"/>
        <v>48032.978260869568</v>
      </c>
      <c r="Q684" s="18">
        <f t="shared" si="206"/>
        <v>384263.82608695654</v>
      </c>
      <c r="R684" s="255">
        <f t="shared" si="207"/>
        <v>6244287.173913043</v>
      </c>
      <c r="S684" s="225"/>
      <c r="T684" s="226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 spans="1:36" ht="13.5" customHeight="1">
      <c r="A685" s="4"/>
      <c r="B685" s="15" t="str">
        <f>TB!B717</f>
        <v>CC003</v>
      </c>
      <c r="C685" s="320" t="str">
        <f>TB!C717</f>
        <v>Marlboro Ice Blast</v>
      </c>
      <c r="D685" s="257">
        <f>SUMIF(GL!$D$5:$D$6446,B685,GL!$G$5:$G$6446)</f>
        <v>50</v>
      </c>
      <c r="E685" s="258">
        <f>SUMIF(GL!$D$6:$D$6484,B685,GL!$H$6:$H$6484)</f>
        <v>2487000</v>
      </c>
      <c r="F685" s="258">
        <f>SUMIF(GL!$D$6:$D$6484,B685,GL!$I$6:$I$6484)</f>
        <v>0</v>
      </c>
      <c r="G685" s="258">
        <f t="shared" si="200"/>
        <v>2487000</v>
      </c>
      <c r="H685" s="258">
        <f t="shared" si="201"/>
        <v>0</v>
      </c>
      <c r="I685" s="250">
        <v>11</v>
      </c>
      <c r="J685" s="251">
        <v>50243</v>
      </c>
      <c r="K685" s="252">
        <v>552670</v>
      </c>
      <c r="L685" s="253">
        <f t="shared" si="202"/>
        <v>61</v>
      </c>
      <c r="M685" s="128">
        <f t="shared" si="203"/>
        <v>49830.655737704918</v>
      </c>
      <c r="N685" s="128">
        <f t="shared" si="204"/>
        <v>3039670</v>
      </c>
      <c r="O685" s="254">
        <v>1</v>
      </c>
      <c r="P685" s="128">
        <f t="shared" si="205"/>
        <v>49830.655737704918</v>
      </c>
      <c r="Q685" s="18">
        <f t="shared" si="206"/>
        <v>49830.655737704918</v>
      </c>
      <c r="R685" s="255">
        <f t="shared" si="207"/>
        <v>2989839.3442622949</v>
      </c>
      <c r="S685" s="225"/>
      <c r="T685" s="226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 spans="1:36" ht="13.5" customHeight="1">
      <c r="A686" s="4"/>
      <c r="B686" s="15" t="str">
        <f>TB!B718</f>
        <v xml:space="preserve">CC004 </v>
      </c>
      <c r="C686" s="320" t="str">
        <f>TB!C718</f>
        <v>Sampoerna</v>
      </c>
      <c r="D686" s="257">
        <f>SUMIF(GL!$D$5:$D$6446,B686,GL!$G$5:$G$6446)</f>
        <v>50</v>
      </c>
      <c r="E686" s="258">
        <f>SUMIF(GL!$D$6:$D$6484,B686,GL!$H$6:$H$6484)</f>
        <v>1759000</v>
      </c>
      <c r="F686" s="258">
        <f>SUMIF(GL!$D$6:$D$6484,B686,GL!$I$6:$I$6484)</f>
        <v>0</v>
      </c>
      <c r="G686" s="258">
        <f t="shared" si="200"/>
        <v>1759000</v>
      </c>
      <c r="H686" s="258">
        <f t="shared" si="201"/>
        <v>0</v>
      </c>
      <c r="I686" s="250">
        <v>10</v>
      </c>
      <c r="J686" s="251">
        <v>34933</v>
      </c>
      <c r="K686" s="252">
        <v>349333</v>
      </c>
      <c r="L686" s="253">
        <f t="shared" si="202"/>
        <v>60</v>
      </c>
      <c r="M686" s="128">
        <f t="shared" si="203"/>
        <v>35138.883333333331</v>
      </c>
      <c r="N686" s="128">
        <f t="shared" si="204"/>
        <v>2108333</v>
      </c>
      <c r="O686" s="254">
        <v>8</v>
      </c>
      <c r="P686" s="128">
        <f t="shared" si="205"/>
        <v>35138.883333333331</v>
      </c>
      <c r="Q686" s="18">
        <f t="shared" si="206"/>
        <v>281111.06666666665</v>
      </c>
      <c r="R686" s="255">
        <f t="shared" si="207"/>
        <v>1827221.9333333333</v>
      </c>
      <c r="S686" s="225"/>
      <c r="T686" s="226"/>
      <c r="U686" s="79"/>
      <c r="V686" s="79"/>
      <c r="W686" s="79"/>
      <c r="X686" s="79"/>
      <c r="Y686" s="79"/>
      <c r="Z686" s="79"/>
      <c r="AA686" s="79"/>
      <c r="AB686" s="79"/>
      <c r="AC686" s="79"/>
      <c r="AD686" s="4"/>
      <c r="AE686" s="4"/>
      <c r="AF686" s="4"/>
      <c r="AG686" s="4"/>
      <c r="AH686" s="4"/>
      <c r="AI686" s="4"/>
      <c r="AJ686" s="4"/>
    </row>
    <row r="687" spans="1:36" ht="13.5" customHeight="1">
      <c r="A687" s="4"/>
      <c r="B687" s="15" t="str">
        <f>TB!B719</f>
        <v>CC005</v>
      </c>
      <c r="C687" s="320" t="str">
        <f>TB!C719</f>
        <v>Camel Yellow Long</v>
      </c>
      <c r="D687" s="257">
        <f>SUMIF(GL!$D$5:$D$6446,B687,GL!$G$5:$G$6446)</f>
        <v>0</v>
      </c>
      <c r="E687" s="258">
        <f>SUMIF(GL!$D$6:$D$6484,B687,GL!$H$6:$H$6484)</f>
        <v>0</v>
      </c>
      <c r="F687" s="258">
        <f>SUMIF(GL!$D$6:$D$6484,B687,GL!$I$6:$I$6484)</f>
        <v>0</v>
      </c>
      <c r="G687" s="258">
        <f t="shared" si="200"/>
        <v>0</v>
      </c>
      <c r="H687" s="258">
        <f t="shared" si="201"/>
        <v>0</v>
      </c>
      <c r="I687" s="250">
        <v>0</v>
      </c>
      <c r="J687" s="251"/>
      <c r="K687" s="252"/>
      <c r="L687" s="253"/>
      <c r="M687" s="128"/>
      <c r="N687" s="128">
        <f t="shared" si="204"/>
        <v>0</v>
      </c>
      <c r="O687" s="254">
        <v>0</v>
      </c>
      <c r="P687" s="128">
        <f t="shared" si="205"/>
        <v>0</v>
      </c>
      <c r="Q687" s="18">
        <f t="shared" si="206"/>
        <v>0</v>
      </c>
      <c r="R687" s="255">
        <f t="shared" si="207"/>
        <v>0</v>
      </c>
      <c r="S687" s="225"/>
      <c r="T687" s="226"/>
      <c r="U687" s="79"/>
      <c r="V687" s="79"/>
      <c r="W687" s="79"/>
      <c r="X687" s="79"/>
      <c r="Y687" s="79"/>
      <c r="Z687" s="79"/>
      <c r="AA687" s="79"/>
      <c r="AB687" s="79"/>
      <c r="AC687" s="79"/>
      <c r="AD687" s="4"/>
      <c r="AE687" s="4"/>
      <c r="AF687" s="4"/>
      <c r="AG687" s="4"/>
      <c r="AH687" s="4"/>
      <c r="AI687" s="4"/>
      <c r="AJ687" s="4"/>
    </row>
    <row r="688" spans="1:36" ht="13.5" customHeight="1">
      <c r="A688" s="4"/>
      <c r="B688" s="15" t="str">
        <f>TB!B720</f>
        <v>CC006</v>
      </c>
      <c r="C688" s="320" t="str">
        <f>TB!C720</f>
        <v>Camel Yellow</v>
      </c>
      <c r="D688" s="257">
        <f>SUMIF(GL!$D$5:$D$6446,B688,GL!$G$5:$G$6446)</f>
        <v>0</v>
      </c>
      <c r="E688" s="258">
        <f>SUMIF(GL!$D$6:$D$6484,B688,GL!$H$6:$H$6484)</f>
        <v>0</v>
      </c>
      <c r="F688" s="258">
        <f>SUMIF(GL!$D$6:$D$6484,B688,GL!$I$6:$I$6484)</f>
        <v>0</v>
      </c>
      <c r="G688" s="258">
        <f t="shared" si="200"/>
        <v>0</v>
      </c>
      <c r="H688" s="258">
        <f t="shared" si="201"/>
        <v>0</v>
      </c>
      <c r="I688" s="250">
        <v>0</v>
      </c>
      <c r="J688" s="251"/>
      <c r="K688" s="252"/>
      <c r="L688" s="253"/>
      <c r="M688" s="128"/>
      <c r="N688" s="128">
        <f t="shared" si="204"/>
        <v>0</v>
      </c>
      <c r="O688" s="254">
        <v>0</v>
      </c>
      <c r="P688" s="128">
        <f t="shared" si="205"/>
        <v>0</v>
      </c>
      <c r="Q688" s="18">
        <f t="shared" si="206"/>
        <v>0</v>
      </c>
      <c r="R688" s="255">
        <f t="shared" si="207"/>
        <v>0</v>
      </c>
      <c r="S688" s="225"/>
      <c r="T688" s="226"/>
      <c r="U688" s="79"/>
      <c r="V688" s="79"/>
      <c r="W688" s="79"/>
      <c r="X688" s="79"/>
      <c r="Y688" s="79"/>
      <c r="Z688" s="79"/>
      <c r="AA688" s="79"/>
      <c r="AB688" s="79"/>
      <c r="AC688" s="79"/>
      <c r="AD688" s="4"/>
      <c r="AE688" s="4"/>
      <c r="AF688" s="4"/>
      <c r="AG688" s="4"/>
      <c r="AH688" s="4"/>
      <c r="AI688" s="4"/>
      <c r="AJ688" s="4"/>
    </row>
    <row r="689" spans="1:36" ht="13.5" customHeight="1">
      <c r="A689" s="4"/>
      <c r="B689" s="15" t="str">
        <f>TB!B721</f>
        <v>CC007</v>
      </c>
      <c r="C689" s="320" t="str">
        <f>TB!C721</f>
        <v>Camel Activate</v>
      </c>
      <c r="D689" s="257">
        <f>SUMIF(GL!$D$5:$D$6446,B689,GL!$G$5:$G$6446)</f>
        <v>0</v>
      </c>
      <c r="E689" s="258">
        <f>SUMIF(GL!$D$6:$D$6484,B689,GL!$H$6:$H$6484)</f>
        <v>0</v>
      </c>
      <c r="F689" s="258">
        <f>SUMIF(GL!$D$6:$D$6484,B689,GL!$I$6:$I$6484)</f>
        <v>0</v>
      </c>
      <c r="G689" s="258">
        <f t="shared" si="200"/>
        <v>0</v>
      </c>
      <c r="H689" s="258">
        <f t="shared" si="201"/>
        <v>0</v>
      </c>
      <c r="I689" s="250">
        <v>0</v>
      </c>
      <c r="J689" s="251"/>
      <c r="K689" s="252"/>
      <c r="L689" s="253"/>
      <c r="M689" s="128"/>
      <c r="N689" s="128">
        <f t="shared" si="204"/>
        <v>0</v>
      </c>
      <c r="O689" s="254">
        <v>0</v>
      </c>
      <c r="P689" s="128">
        <f t="shared" si="205"/>
        <v>0</v>
      </c>
      <c r="Q689" s="18">
        <f t="shared" si="206"/>
        <v>0</v>
      </c>
      <c r="R689" s="255">
        <f t="shared" si="207"/>
        <v>0</v>
      </c>
      <c r="S689" s="225"/>
      <c r="T689" s="226"/>
      <c r="U689" s="79"/>
      <c r="V689" s="79"/>
      <c r="W689" s="79"/>
      <c r="X689" s="79"/>
      <c r="Y689" s="79"/>
      <c r="Z689" s="79"/>
      <c r="AA689" s="79"/>
      <c r="AB689" s="79"/>
      <c r="AC689" s="79"/>
      <c r="AD689" s="4"/>
      <c r="AE689" s="4"/>
      <c r="AF689" s="4"/>
      <c r="AG689" s="4"/>
      <c r="AH689" s="4"/>
      <c r="AI689" s="4"/>
      <c r="AJ689" s="4"/>
    </row>
    <row r="690" spans="1:36" ht="13.5" customHeight="1">
      <c r="A690" s="4"/>
      <c r="B690" s="15" t="str">
        <f>TB!B722</f>
        <v>CC008</v>
      </c>
      <c r="C690" s="320" t="str">
        <f>TB!C722</f>
        <v>Camel White</v>
      </c>
      <c r="D690" s="257">
        <f>SUMIF(GL!$D$5:$D$6446,B690,GL!$G$5:$G$6446)</f>
        <v>0</v>
      </c>
      <c r="E690" s="258">
        <f>SUMIF(GL!$D$6:$D$6484,B690,GL!$H$6:$H$6484)</f>
        <v>0</v>
      </c>
      <c r="F690" s="258">
        <f>SUMIF(GL!$D$6:$D$6484,B690,GL!$I$6:$I$6484)</f>
        <v>0</v>
      </c>
      <c r="G690" s="258">
        <f t="shared" si="200"/>
        <v>0</v>
      </c>
      <c r="H690" s="258">
        <f t="shared" si="201"/>
        <v>0</v>
      </c>
      <c r="I690" s="250">
        <v>0</v>
      </c>
      <c r="J690" s="251"/>
      <c r="K690" s="252"/>
      <c r="L690" s="253"/>
      <c r="M690" s="128"/>
      <c r="N690" s="128">
        <f t="shared" si="204"/>
        <v>0</v>
      </c>
      <c r="O690" s="254">
        <v>0</v>
      </c>
      <c r="P690" s="128">
        <f t="shared" si="205"/>
        <v>0</v>
      </c>
      <c r="Q690" s="18">
        <f t="shared" si="206"/>
        <v>0</v>
      </c>
      <c r="R690" s="255">
        <f t="shared" si="207"/>
        <v>0</v>
      </c>
      <c r="S690" s="225"/>
      <c r="T690" s="226"/>
      <c r="U690" s="79"/>
      <c r="V690" s="79"/>
      <c r="W690" s="79"/>
      <c r="X690" s="79"/>
      <c r="Y690" s="79"/>
      <c r="Z690" s="79"/>
      <c r="AA690" s="79"/>
      <c r="AB690" s="79"/>
      <c r="AC690" s="79"/>
      <c r="AD690" s="4"/>
      <c r="AE690" s="4"/>
      <c r="AF690" s="4"/>
      <c r="AG690" s="4"/>
      <c r="AH690" s="4"/>
      <c r="AI690" s="4"/>
      <c r="AJ690" s="4"/>
    </row>
    <row r="691" spans="1:36" ht="13.5" customHeight="1">
      <c r="A691" s="4"/>
      <c r="B691" s="15" t="str">
        <f>TB!B723</f>
        <v>CC009</v>
      </c>
      <c r="C691" s="320" t="str">
        <f>TB!C723</f>
        <v>Vuse Watermelon</v>
      </c>
      <c r="D691" s="257">
        <f>SUMIF(GL!$D$5:$D$6446,B691,GL!$G$5:$G$6446)</f>
        <v>3</v>
      </c>
      <c r="E691" s="258">
        <f>SUMIF(GL!$D$6:$D$6484,B691,GL!$H$6:$H$6484)</f>
        <v>182160</v>
      </c>
      <c r="F691" s="258">
        <f>SUMIF(GL!$D$6:$D$6484,B691,GL!$I$6:$I$6484)</f>
        <v>0</v>
      </c>
      <c r="G691" s="258">
        <f t="shared" si="200"/>
        <v>182160</v>
      </c>
      <c r="H691" s="258">
        <f t="shared" si="201"/>
        <v>0</v>
      </c>
      <c r="I691" s="250">
        <v>0</v>
      </c>
      <c r="J691" s="251"/>
      <c r="K691" s="252"/>
      <c r="L691" s="253">
        <f t="shared" ref="L691:L696" si="208">D691+I691</f>
        <v>3</v>
      </c>
      <c r="M691" s="128">
        <f t="shared" ref="M691:M696" si="209">(G691+K691)/L691</f>
        <v>60720</v>
      </c>
      <c r="N691" s="128">
        <f t="shared" si="204"/>
        <v>182160</v>
      </c>
      <c r="O691" s="254">
        <v>3</v>
      </c>
      <c r="P691" s="128">
        <f t="shared" si="205"/>
        <v>60720</v>
      </c>
      <c r="Q691" s="18">
        <f t="shared" si="206"/>
        <v>182160</v>
      </c>
      <c r="R691" s="255">
        <f t="shared" si="207"/>
        <v>0</v>
      </c>
      <c r="S691" s="225"/>
      <c r="T691" s="226"/>
      <c r="U691" s="79"/>
      <c r="V691" s="79"/>
      <c r="W691" s="79"/>
      <c r="X691" s="79"/>
      <c r="Y691" s="79"/>
      <c r="Z691" s="79"/>
      <c r="AA691" s="79"/>
      <c r="AB691" s="79"/>
      <c r="AC691" s="79"/>
      <c r="AD691" s="4"/>
      <c r="AE691" s="4"/>
      <c r="AF691" s="4"/>
      <c r="AG691" s="4"/>
      <c r="AH691" s="4"/>
      <c r="AI691" s="4"/>
      <c r="AJ691" s="4"/>
    </row>
    <row r="692" spans="1:36" ht="13.5" customHeight="1">
      <c r="A692" s="4"/>
      <c r="B692" s="15" t="str">
        <f>TB!B724</f>
        <v>CC010</v>
      </c>
      <c r="C692" s="320" t="str">
        <f>TB!C724</f>
        <v>Vuse Strawberry</v>
      </c>
      <c r="D692" s="257">
        <f>SUMIF(GL!$D$5:$D$6446,B692,GL!$G$5:$G$6446)</f>
        <v>2</v>
      </c>
      <c r="E692" s="258">
        <f>SUMIF(GL!$D$6:$D$6484,B692,GL!$H$6:$H$6484)</f>
        <v>121440</v>
      </c>
      <c r="F692" s="258">
        <f>SUMIF(GL!$D$6:$D$6484,B692,GL!$I$6:$I$6484)</f>
        <v>0</v>
      </c>
      <c r="G692" s="258">
        <f t="shared" si="200"/>
        <v>121440</v>
      </c>
      <c r="H692" s="258">
        <f t="shared" si="201"/>
        <v>0</v>
      </c>
      <c r="I692" s="250">
        <v>1</v>
      </c>
      <c r="J692" s="251"/>
      <c r="K692" s="252"/>
      <c r="L692" s="253">
        <f t="shared" si="208"/>
        <v>3</v>
      </c>
      <c r="M692" s="128">
        <f t="shared" si="209"/>
        <v>40480</v>
      </c>
      <c r="N692" s="128">
        <f t="shared" si="204"/>
        <v>121440</v>
      </c>
      <c r="O692" s="254">
        <v>2</v>
      </c>
      <c r="P692" s="128">
        <f t="shared" si="205"/>
        <v>40480</v>
      </c>
      <c r="Q692" s="18">
        <f t="shared" si="206"/>
        <v>80960</v>
      </c>
      <c r="R692" s="255">
        <f t="shared" si="207"/>
        <v>40480</v>
      </c>
      <c r="S692" s="225"/>
      <c r="T692" s="226"/>
      <c r="U692" s="79"/>
      <c r="V692" s="79"/>
      <c r="W692" s="79"/>
      <c r="X692" s="79"/>
      <c r="Y692" s="79"/>
      <c r="Z692" s="79"/>
      <c r="AA692" s="79"/>
      <c r="AB692" s="79"/>
      <c r="AC692" s="79"/>
      <c r="AD692" s="4"/>
      <c r="AE692" s="4"/>
      <c r="AF692" s="4"/>
      <c r="AG692" s="4"/>
      <c r="AH692" s="4"/>
      <c r="AI692" s="4"/>
      <c r="AJ692" s="4"/>
    </row>
    <row r="693" spans="1:36" ht="13.5" customHeight="1">
      <c r="A693" s="4"/>
      <c r="B693" s="15" t="str">
        <f>TB!B725</f>
        <v>CC011</v>
      </c>
      <c r="C693" s="320" t="str">
        <f>TB!C725</f>
        <v>Vuse Manggo</v>
      </c>
      <c r="D693" s="257">
        <f>SUMIF(GL!$D$5:$D$6446,B693,GL!$G$5:$G$6446)</f>
        <v>3</v>
      </c>
      <c r="E693" s="258">
        <f>SUMIF(GL!$D$6:$D$6484,B693,GL!$H$6:$H$6484)</f>
        <v>182160</v>
      </c>
      <c r="F693" s="258">
        <f>SUMIF(GL!$D$6:$D$6484,B693,GL!$I$6:$I$6484)</f>
        <v>0</v>
      </c>
      <c r="G693" s="258">
        <f t="shared" si="200"/>
        <v>182160</v>
      </c>
      <c r="H693" s="258">
        <f t="shared" si="201"/>
        <v>0</v>
      </c>
      <c r="I693" s="250">
        <v>0</v>
      </c>
      <c r="J693" s="251"/>
      <c r="K693" s="252"/>
      <c r="L693" s="253">
        <f t="shared" si="208"/>
        <v>3</v>
      </c>
      <c r="M693" s="128">
        <f t="shared" si="209"/>
        <v>60720</v>
      </c>
      <c r="N693" s="128">
        <f t="shared" si="204"/>
        <v>182160</v>
      </c>
      <c r="O693" s="254">
        <v>2</v>
      </c>
      <c r="P693" s="128">
        <f t="shared" si="205"/>
        <v>60720</v>
      </c>
      <c r="Q693" s="18">
        <f t="shared" si="206"/>
        <v>121440</v>
      </c>
      <c r="R693" s="255">
        <f t="shared" si="207"/>
        <v>60720</v>
      </c>
      <c r="S693" s="225"/>
      <c r="T693" s="226"/>
      <c r="U693" s="79"/>
      <c r="V693" s="79"/>
      <c r="W693" s="79"/>
      <c r="X693" s="79"/>
      <c r="Y693" s="79"/>
      <c r="Z693" s="79"/>
      <c r="AA693" s="79"/>
      <c r="AB693" s="79"/>
      <c r="AC693" s="79"/>
      <c r="AD693" s="4"/>
      <c r="AE693" s="4"/>
      <c r="AF693" s="4"/>
      <c r="AG693" s="4"/>
      <c r="AH693" s="4"/>
      <c r="AI693" s="4"/>
      <c r="AJ693" s="4"/>
    </row>
    <row r="694" spans="1:36" ht="13.5" customHeight="1">
      <c r="A694" s="4"/>
      <c r="B694" s="15" t="str">
        <f>TB!B726</f>
        <v>CC012</v>
      </c>
      <c r="C694" s="320" t="str">
        <f>TB!C726</f>
        <v>Vuse Blueberry</v>
      </c>
      <c r="D694" s="257">
        <f>SUMIF(GL!$D$5:$D$6446,B694,GL!$G$5:$G$6446)</f>
        <v>3</v>
      </c>
      <c r="E694" s="258">
        <f>SUMIF(GL!$D$6:$D$6484,B694,GL!$H$6:$H$6484)</f>
        <v>182160</v>
      </c>
      <c r="F694" s="258">
        <f>SUMIF(GL!$D$6:$D$6484,B694,GL!$I$6:$I$6484)</f>
        <v>0</v>
      </c>
      <c r="G694" s="258">
        <f t="shared" si="200"/>
        <v>182160</v>
      </c>
      <c r="H694" s="258">
        <f t="shared" si="201"/>
        <v>0</v>
      </c>
      <c r="I694" s="250">
        <v>0</v>
      </c>
      <c r="J694" s="251"/>
      <c r="K694" s="252"/>
      <c r="L694" s="253">
        <f t="shared" si="208"/>
        <v>3</v>
      </c>
      <c r="M694" s="128">
        <f t="shared" si="209"/>
        <v>60720</v>
      </c>
      <c r="N694" s="128">
        <f t="shared" si="204"/>
        <v>182160</v>
      </c>
      <c r="O694" s="254">
        <v>3</v>
      </c>
      <c r="P694" s="128">
        <f t="shared" si="205"/>
        <v>60720</v>
      </c>
      <c r="Q694" s="18">
        <f t="shared" si="206"/>
        <v>182160</v>
      </c>
      <c r="R694" s="255">
        <f t="shared" si="207"/>
        <v>0</v>
      </c>
      <c r="S694" s="225"/>
      <c r="T694" s="226"/>
      <c r="U694" s="79"/>
      <c r="V694" s="79"/>
      <c r="W694" s="79"/>
      <c r="X694" s="79"/>
      <c r="Y694" s="79"/>
      <c r="Z694" s="79"/>
      <c r="AA694" s="79"/>
      <c r="AB694" s="79"/>
      <c r="AC694" s="79"/>
      <c r="AD694" s="4"/>
      <c r="AE694" s="4"/>
      <c r="AF694" s="4"/>
      <c r="AG694" s="4"/>
      <c r="AH694" s="4"/>
      <c r="AI694" s="4"/>
      <c r="AJ694" s="4"/>
    </row>
    <row r="695" spans="1:36" ht="13.5" customHeight="1">
      <c r="A695" s="4"/>
      <c r="B695" s="15" t="str">
        <f>TB!B727</f>
        <v>CC013</v>
      </c>
      <c r="C695" s="320" t="str">
        <f>TB!C727</f>
        <v>Vuse Tabacco</v>
      </c>
      <c r="D695" s="257">
        <f>SUMIF(GL!$D$5:$D$6446,B695,GL!$G$5:$G$6446)</f>
        <v>0</v>
      </c>
      <c r="E695" s="258">
        <f>SUMIF(GL!$D$6:$D$6484,B695,GL!$H$6:$H$6484)</f>
        <v>0</v>
      </c>
      <c r="F695" s="258">
        <f>SUMIF(GL!$D$6:$D$6484,B695,GL!$I$6:$I$6484)</f>
        <v>0</v>
      </c>
      <c r="G695" s="258">
        <f t="shared" si="200"/>
        <v>0</v>
      </c>
      <c r="H695" s="258">
        <f t="shared" si="201"/>
        <v>0</v>
      </c>
      <c r="I695" s="250">
        <v>2</v>
      </c>
      <c r="J695" s="251"/>
      <c r="K695" s="252"/>
      <c r="L695" s="253">
        <f t="shared" si="208"/>
        <v>2</v>
      </c>
      <c r="M695" s="128">
        <f t="shared" si="209"/>
        <v>0</v>
      </c>
      <c r="N695" s="128">
        <f t="shared" si="204"/>
        <v>0</v>
      </c>
      <c r="O695" s="254">
        <v>2</v>
      </c>
      <c r="P695" s="128">
        <f t="shared" si="205"/>
        <v>0</v>
      </c>
      <c r="Q695" s="18">
        <f t="shared" si="206"/>
        <v>0</v>
      </c>
      <c r="R695" s="255">
        <f t="shared" si="207"/>
        <v>0</v>
      </c>
      <c r="S695" s="225"/>
      <c r="T695" s="226"/>
      <c r="U695" s="79"/>
      <c r="V695" s="79"/>
      <c r="W695" s="79"/>
      <c r="X695" s="79"/>
      <c r="Y695" s="79"/>
      <c r="Z695" s="79"/>
      <c r="AA695" s="79"/>
      <c r="AB695" s="79"/>
      <c r="AC695" s="79"/>
      <c r="AD695" s="4"/>
      <c r="AE695" s="4"/>
      <c r="AF695" s="4"/>
      <c r="AG695" s="4"/>
      <c r="AH695" s="4"/>
      <c r="AI695" s="4"/>
      <c r="AJ695" s="4"/>
    </row>
    <row r="696" spans="1:36" ht="13.5" customHeight="1">
      <c r="A696" s="4"/>
      <c r="B696" s="15" t="str">
        <f>TB!B728</f>
        <v>CC013A</v>
      </c>
      <c r="C696" s="320" t="str">
        <f>TB!C728</f>
        <v>Vuse Grape</v>
      </c>
      <c r="D696" s="257">
        <f>SUMIF(GL!$D$5:$D$6446,B696,GL!$G$5:$G$6446)</f>
        <v>1</v>
      </c>
      <c r="E696" s="258">
        <f>SUMIF(GL!$D$6:$D$6484,B696,GL!$H$6:$H$6484)</f>
        <v>60720</v>
      </c>
      <c r="F696" s="258">
        <f>SUMIF(GL!$D$6:$D$6484,B696,GL!$I$6:$I$6484)</f>
        <v>0</v>
      </c>
      <c r="G696" s="258">
        <f t="shared" si="200"/>
        <v>60720</v>
      </c>
      <c r="H696" s="258">
        <f t="shared" si="201"/>
        <v>0</v>
      </c>
      <c r="I696" s="250">
        <v>2</v>
      </c>
      <c r="J696" s="251"/>
      <c r="K696" s="252"/>
      <c r="L696" s="253">
        <f t="shared" si="208"/>
        <v>3</v>
      </c>
      <c r="M696" s="128">
        <f t="shared" si="209"/>
        <v>20240</v>
      </c>
      <c r="N696" s="128">
        <f t="shared" si="204"/>
        <v>60720</v>
      </c>
      <c r="O696" s="254">
        <v>3</v>
      </c>
      <c r="P696" s="128">
        <f t="shared" si="205"/>
        <v>20240</v>
      </c>
      <c r="Q696" s="18">
        <f t="shared" si="206"/>
        <v>60720</v>
      </c>
      <c r="R696" s="255">
        <f t="shared" si="207"/>
        <v>0</v>
      </c>
      <c r="S696" s="225"/>
      <c r="T696" s="226"/>
      <c r="U696" s="79"/>
      <c r="V696" s="79"/>
      <c r="W696" s="79"/>
      <c r="X696" s="79"/>
      <c r="Y696" s="79"/>
      <c r="Z696" s="79"/>
      <c r="AA696" s="79"/>
      <c r="AB696" s="79"/>
      <c r="AC696" s="79"/>
      <c r="AD696" s="4"/>
      <c r="AE696" s="4"/>
      <c r="AF696" s="4"/>
      <c r="AG696" s="4"/>
      <c r="AH696" s="4"/>
      <c r="AI696" s="4"/>
      <c r="AJ696" s="4"/>
    </row>
    <row r="697" spans="1:36" ht="13.5" customHeight="1">
      <c r="A697" s="4"/>
      <c r="B697" s="15" t="str">
        <f>TB!B729</f>
        <v>CC013B</v>
      </c>
      <c r="C697" s="320" t="str">
        <f>TB!C729</f>
        <v>Vuse Creamy</v>
      </c>
      <c r="D697" s="257">
        <f>SUMIF(GL!$D$5:$D$6446,B697,GL!$G$5:$G$6446)</f>
        <v>0</v>
      </c>
      <c r="E697" s="258">
        <f>SUMIF(GL!$D$6:$D$6484,B697,GL!$H$6:$H$6484)</f>
        <v>0</v>
      </c>
      <c r="F697" s="258">
        <f>SUMIF(GL!$D$6:$D$6484,B697,GL!$I$6:$I$6484)</f>
        <v>0</v>
      </c>
      <c r="G697" s="258">
        <f t="shared" si="200"/>
        <v>0</v>
      </c>
      <c r="H697" s="258">
        <f t="shared" si="201"/>
        <v>0</v>
      </c>
      <c r="I697" s="250">
        <v>0</v>
      </c>
      <c r="J697" s="251"/>
      <c r="K697" s="252"/>
      <c r="L697" s="253"/>
      <c r="M697" s="128"/>
      <c r="N697" s="128">
        <f t="shared" si="204"/>
        <v>0</v>
      </c>
      <c r="O697" s="254">
        <v>0</v>
      </c>
      <c r="P697" s="128">
        <f t="shared" si="205"/>
        <v>0</v>
      </c>
      <c r="Q697" s="18">
        <f t="shared" si="206"/>
        <v>0</v>
      </c>
      <c r="R697" s="255">
        <f t="shared" si="207"/>
        <v>0</v>
      </c>
      <c r="S697" s="225"/>
      <c r="T697" s="226"/>
      <c r="U697" s="79"/>
      <c r="V697" s="79"/>
      <c r="W697" s="79"/>
      <c r="X697" s="79"/>
      <c r="Y697" s="79"/>
      <c r="Z697" s="79"/>
      <c r="AA697" s="79"/>
      <c r="AB697" s="79"/>
      <c r="AC697" s="79"/>
      <c r="AD697" s="4"/>
      <c r="AE697" s="4"/>
      <c r="AF697" s="4"/>
      <c r="AG697" s="4"/>
      <c r="AH697" s="4"/>
      <c r="AI697" s="4"/>
      <c r="AJ697" s="4"/>
    </row>
    <row r="698" spans="1:36" ht="13.5" customHeight="1">
      <c r="A698" s="4"/>
      <c r="B698" s="15" t="str">
        <f>TB!B730</f>
        <v>CC014</v>
      </c>
      <c r="C698" s="320" t="str">
        <f>TB!C730</f>
        <v>Vuse Mint Ice</v>
      </c>
      <c r="D698" s="257">
        <f>SUMIF(GL!$D$5:$D$6446,B698,GL!$G$5:$G$6446)</f>
        <v>1</v>
      </c>
      <c r="E698" s="258">
        <f>SUMIF(GL!$D$6:$D$6484,B698,GL!$H$6:$H$6484)</f>
        <v>60720</v>
      </c>
      <c r="F698" s="258">
        <f>SUMIF(GL!$D$6:$D$6484,B698,GL!$I$6:$I$6484)</f>
        <v>0</v>
      </c>
      <c r="G698" s="258">
        <f t="shared" si="200"/>
        <v>60720</v>
      </c>
      <c r="H698" s="258">
        <f t="shared" si="201"/>
        <v>0</v>
      </c>
      <c r="I698" s="250">
        <v>2</v>
      </c>
      <c r="J698" s="251"/>
      <c r="K698" s="252"/>
      <c r="L698" s="253">
        <f>D698+I698</f>
        <v>3</v>
      </c>
      <c r="M698" s="128">
        <f>(G698+K698)/L698</f>
        <v>20240</v>
      </c>
      <c r="N698" s="128">
        <f t="shared" si="204"/>
        <v>60720</v>
      </c>
      <c r="O698" s="254">
        <v>3</v>
      </c>
      <c r="P698" s="128">
        <f t="shared" si="205"/>
        <v>20240</v>
      </c>
      <c r="Q698" s="18">
        <f t="shared" si="206"/>
        <v>60720</v>
      </c>
      <c r="R698" s="255">
        <f t="shared" si="207"/>
        <v>0</v>
      </c>
      <c r="S698" s="225"/>
      <c r="T698" s="226"/>
      <c r="U698" s="79"/>
      <c r="V698" s="79"/>
      <c r="W698" s="79"/>
      <c r="X698" s="79"/>
      <c r="Y698" s="79"/>
      <c r="Z698" s="79"/>
      <c r="AA698" s="79"/>
      <c r="AB698" s="79"/>
      <c r="AC698" s="79"/>
      <c r="AD698" s="4"/>
      <c r="AE698" s="4"/>
      <c r="AF698" s="4"/>
      <c r="AG698" s="4"/>
      <c r="AH698" s="4"/>
      <c r="AI698" s="4"/>
      <c r="AJ698" s="4"/>
    </row>
    <row r="699" spans="1:36" ht="13.5" customHeight="1">
      <c r="A699" s="4"/>
      <c r="B699" s="15" t="str">
        <f>TB!B731</f>
        <v>CC014A</v>
      </c>
      <c r="C699" s="320" t="str">
        <f>TB!C731</f>
        <v>Vuse Apple</v>
      </c>
      <c r="D699" s="257">
        <f>SUMIF(GL!$D$5:$D$6446,B699,GL!$G$5:$G$6446)</f>
        <v>0</v>
      </c>
      <c r="E699" s="258">
        <f>SUMIF(GL!$D$6:$D$6484,B699,GL!$H$6:$H$6484)</f>
        <v>0</v>
      </c>
      <c r="F699" s="258">
        <f>SUMIF(GL!$D$6:$D$6484,B699,GL!$I$6:$I$6484)</f>
        <v>0</v>
      </c>
      <c r="G699" s="258">
        <f t="shared" si="200"/>
        <v>0</v>
      </c>
      <c r="H699" s="258">
        <f t="shared" si="201"/>
        <v>0</v>
      </c>
      <c r="I699" s="250">
        <v>0</v>
      </c>
      <c r="J699" s="251"/>
      <c r="K699" s="252"/>
      <c r="L699" s="253"/>
      <c r="M699" s="128"/>
      <c r="N699" s="128">
        <f t="shared" si="204"/>
        <v>0</v>
      </c>
      <c r="O699" s="254">
        <v>0</v>
      </c>
      <c r="P699" s="128">
        <f t="shared" si="205"/>
        <v>0</v>
      </c>
      <c r="Q699" s="18">
        <f t="shared" si="206"/>
        <v>0</v>
      </c>
      <c r="R699" s="255">
        <f t="shared" si="207"/>
        <v>0</v>
      </c>
      <c r="S699" s="225"/>
      <c r="T699" s="226"/>
      <c r="U699" s="79"/>
      <c r="V699" s="79"/>
      <c r="W699" s="79"/>
      <c r="X699" s="79"/>
      <c r="Y699" s="79"/>
      <c r="Z699" s="79"/>
      <c r="AA699" s="79"/>
      <c r="AB699" s="79"/>
      <c r="AC699" s="79"/>
      <c r="AD699" s="4"/>
      <c r="AE699" s="4"/>
      <c r="AF699" s="4"/>
      <c r="AG699" s="4"/>
      <c r="AH699" s="4"/>
      <c r="AI699" s="4"/>
      <c r="AJ699" s="4"/>
    </row>
    <row r="700" spans="1:36" ht="13.5" customHeight="1">
      <c r="A700" s="4"/>
      <c r="B700" s="15" t="str">
        <f>TB!B732</f>
        <v>CC014B</v>
      </c>
      <c r="C700" s="320" t="str">
        <f>TB!C732</f>
        <v>Vuse Banana</v>
      </c>
      <c r="D700" s="257">
        <f>SUMIF(GL!$D$5:$D$6446,B700,GL!$G$5:$G$6446)</f>
        <v>0</v>
      </c>
      <c r="E700" s="258">
        <f>SUMIF(GL!$D$6:$D$6484,B700,GL!$H$6:$H$6484)</f>
        <v>0</v>
      </c>
      <c r="F700" s="258">
        <f>SUMIF(GL!$D$6:$D$6484,B700,GL!$I$6:$I$6484)</f>
        <v>0</v>
      </c>
      <c r="G700" s="258">
        <f t="shared" si="200"/>
        <v>0</v>
      </c>
      <c r="H700" s="258">
        <f t="shared" si="201"/>
        <v>0</v>
      </c>
      <c r="I700" s="250">
        <v>1</v>
      </c>
      <c r="J700" s="251"/>
      <c r="K700" s="252"/>
      <c r="L700" s="253">
        <f>D700+I700</f>
        <v>1</v>
      </c>
      <c r="M700" s="128">
        <f>(G700+K700)/L700</f>
        <v>0</v>
      </c>
      <c r="N700" s="128">
        <f t="shared" si="204"/>
        <v>0</v>
      </c>
      <c r="O700" s="254">
        <v>0</v>
      </c>
      <c r="P700" s="128">
        <f t="shared" si="205"/>
        <v>0</v>
      </c>
      <c r="Q700" s="18">
        <f t="shared" si="206"/>
        <v>0</v>
      </c>
      <c r="R700" s="255">
        <f t="shared" si="207"/>
        <v>0</v>
      </c>
      <c r="S700" s="225"/>
      <c r="T700" s="226"/>
      <c r="U700" s="79"/>
      <c r="V700" s="79"/>
      <c r="W700" s="79"/>
      <c r="X700" s="79"/>
      <c r="Y700" s="79"/>
      <c r="Z700" s="79"/>
      <c r="AA700" s="79"/>
      <c r="AB700" s="79"/>
      <c r="AC700" s="79"/>
      <c r="AD700" s="4"/>
      <c r="AE700" s="4"/>
      <c r="AF700" s="4"/>
      <c r="AG700" s="4"/>
      <c r="AH700" s="4"/>
      <c r="AI700" s="4"/>
      <c r="AJ700" s="4"/>
    </row>
    <row r="701" spans="1:36" ht="13.5" customHeight="1">
      <c r="A701" s="4"/>
      <c r="B701" s="15" t="str">
        <f>TB!B733</f>
        <v>CC014C</v>
      </c>
      <c r="C701" s="320" t="str">
        <f>TB!C733</f>
        <v>Vuse Raspberry</v>
      </c>
      <c r="D701" s="257">
        <f>SUMIF(GL!$D$5:$D$6446,B701,GL!$G$5:$G$6446)</f>
        <v>0</v>
      </c>
      <c r="E701" s="258">
        <f>SUMIF(GL!$D$6:$D$6484,B701,GL!$H$6:$H$6484)</f>
        <v>0</v>
      </c>
      <c r="F701" s="258">
        <f>SUMIF(GL!$D$6:$D$6484,B701,GL!$I$6:$I$6484)</f>
        <v>0</v>
      </c>
      <c r="G701" s="258">
        <f t="shared" si="200"/>
        <v>0</v>
      </c>
      <c r="H701" s="258">
        <f t="shared" si="201"/>
        <v>0</v>
      </c>
      <c r="I701" s="250">
        <v>0</v>
      </c>
      <c r="J701" s="251"/>
      <c r="K701" s="252"/>
      <c r="L701" s="253"/>
      <c r="M701" s="128"/>
      <c r="N701" s="128">
        <f t="shared" si="204"/>
        <v>0</v>
      </c>
      <c r="O701" s="254">
        <v>0</v>
      </c>
      <c r="P701" s="128">
        <f t="shared" si="205"/>
        <v>0</v>
      </c>
      <c r="Q701" s="18">
        <f t="shared" si="206"/>
        <v>0</v>
      </c>
      <c r="R701" s="255">
        <f t="shared" si="207"/>
        <v>0</v>
      </c>
      <c r="S701" s="225"/>
      <c r="T701" s="226"/>
      <c r="U701" s="79"/>
      <c r="V701" s="79"/>
      <c r="W701" s="79"/>
      <c r="X701" s="79"/>
      <c r="Y701" s="79"/>
      <c r="Z701" s="79"/>
      <c r="AA701" s="79"/>
      <c r="AB701" s="79"/>
      <c r="AC701" s="79"/>
      <c r="AD701" s="4"/>
      <c r="AE701" s="4"/>
      <c r="AF701" s="4"/>
      <c r="AG701" s="4"/>
      <c r="AH701" s="4"/>
      <c r="AI701" s="4"/>
      <c r="AJ701" s="4"/>
    </row>
    <row r="702" spans="1:36" ht="13.5" customHeight="1">
      <c r="A702" s="4"/>
      <c r="B702" s="15" t="str">
        <f>TB!B734</f>
        <v>CC015</v>
      </c>
      <c r="C702" s="320" t="str">
        <f>TB!C734</f>
        <v>Esse Change 20</v>
      </c>
      <c r="D702" s="257">
        <f>SUMIF(GL!$D$5:$D$6446,B702,GL!$G$5:$G$6446)</f>
        <v>0</v>
      </c>
      <c r="E702" s="258">
        <f>SUMIF(GL!$D$6:$D$6484,B702,GL!$H$6:$H$6484)</f>
        <v>0</v>
      </c>
      <c r="F702" s="258">
        <f>SUMIF(GL!$D$6:$D$6484,B702,GL!$I$6:$I$6484)</f>
        <v>0</v>
      </c>
      <c r="G702" s="258">
        <f t="shared" si="200"/>
        <v>0</v>
      </c>
      <c r="H702" s="258">
        <f t="shared" si="201"/>
        <v>0</v>
      </c>
      <c r="I702" s="250">
        <v>0</v>
      </c>
      <c r="J702" s="251"/>
      <c r="K702" s="252"/>
      <c r="L702" s="253"/>
      <c r="M702" s="128"/>
      <c r="N702" s="128">
        <f t="shared" si="204"/>
        <v>0</v>
      </c>
      <c r="O702" s="254">
        <v>0</v>
      </c>
      <c r="P702" s="128">
        <f t="shared" si="205"/>
        <v>0</v>
      </c>
      <c r="Q702" s="18">
        <f t="shared" si="206"/>
        <v>0</v>
      </c>
      <c r="R702" s="255">
        <f t="shared" si="207"/>
        <v>0</v>
      </c>
      <c r="S702" s="225"/>
      <c r="T702" s="226"/>
      <c r="U702" s="79"/>
      <c r="V702" s="79"/>
      <c r="W702" s="79"/>
      <c r="X702" s="79"/>
      <c r="Y702" s="79"/>
      <c r="Z702" s="79"/>
      <c r="AA702" s="79"/>
      <c r="AB702" s="79"/>
      <c r="AC702" s="79"/>
      <c r="AD702" s="4"/>
      <c r="AE702" s="4"/>
      <c r="AF702" s="4"/>
      <c r="AG702" s="4"/>
      <c r="AH702" s="4"/>
      <c r="AI702" s="4"/>
      <c r="AJ702" s="4"/>
    </row>
    <row r="703" spans="1:36" ht="13.5" customHeight="1">
      <c r="A703" s="4"/>
      <c r="B703" s="15" t="str">
        <f>TB!B735</f>
        <v>CC016</v>
      </c>
      <c r="C703" s="320" t="str">
        <f>TB!C735</f>
        <v>Esse Blue Change 20</v>
      </c>
      <c r="D703" s="257">
        <f>SUMIF(GL!$D$5:$D$6446,B703,GL!$G$5:$G$6446)</f>
        <v>0</v>
      </c>
      <c r="E703" s="258">
        <f>SUMIF(GL!$D$6:$D$6484,B703,GL!$H$6:$H$6484)</f>
        <v>0</v>
      </c>
      <c r="F703" s="258">
        <f>SUMIF(GL!$D$6:$D$6484,B703,GL!$I$6:$I$6484)</f>
        <v>0</v>
      </c>
      <c r="G703" s="258">
        <f t="shared" si="200"/>
        <v>0</v>
      </c>
      <c r="H703" s="258">
        <f t="shared" si="201"/>
        <v>0</v>
      </c>
      <c r="I703" s="250">
        <v>0</v>
      </c>
      <c r="J703" s="251"/>
      <c r="K703" s="252"/>
      <c r="L703" s="253"/>
      <c r="M703" s="128"/>
      <c r="N703" s="128">
        <f t="shared" si="204"/>
        <v>0</v>
      </c>
      <c r="O703" s="254">
        <v>0</v>
      </c>
      <c r="P703" s="128">
        <f t="shared" si="205"/>
        <v>0</v>
      </c>
      <c r="Q703" s="18">
        <f t="shared" si="206"/>
        <v>0</v>
      </c>
      <c r="R703" s="255">
        <f t="shared" si="207"/>
        <v>0</v>
      </c>
      <c r="S703" s="225"/>
      <c r="T703" s="226"/>
      <c r="U703" s="79"/>
      <c r="V703" s="79"/>
      <c r="W703" s="79"/>
      <c r="X703" s="79"/>
      <c r="Y703" s="79"/>
      <c r="Z703" s="79"/>
      <c r="AA703" s="79"/>
      <c r="AB703" s="79"/>
      <c r="AC703" s="79"/>
      <c r="AD703" s="4"/>
      <c r="AE703" s="4"/>
      <c r="AF703" s="4"/>
      <c r="AG703" s="4"/>
      <c r="AH703" s="4"/>
      <c r="AI703" s="4"/>
      <c r="AJ703" s="4"/>
    </row>
    <row r="704" spans="1:36" ht="13.5" customHeight="1">
      <c r="A704" s="4"/>
      <c r="B704" s="15" t="str">
        <f>TB!B736</f>
        <v>CC017</v>
      </c>
      <c r="C704" s="320" t="str">
        <f>TB!C736</f>
        <v>Esse Berry Pop 18</v>
      </c>
      <c r="D704" s="257">
        <f>SUMIF(GL!$D$5:$D$6446,B704,GL!$G$5:$G$6446)</f>
        <v>0</v>
      </c>
      <c r="E704" s="258">
        <f>SUMIF(GL!$D$6:$D$6484,B704,GL!$H$6:$H$6484)</f>
        <v>0</v>
      </c>
      <c r="F704" s="258">
        <f>SUMIF(GL!$D$6:$D$6484,B704,GL!$I$6:$I$6484)</f>
        <v>0</v>
      </c>
      <c r="G704" s="258">
        <f t="shared" si="200"/>
        <v>0</v>
      </c>
      <c r="H704" s="258">
        <f t="shared" si="201"/>
        <v>0</v>
      </c>
      <c r="I704" s="250">
        <v>0</v>
      </c>
      <c r="J704" s="251"/>
      <c r="K704" s="252"/>
      <c r="L704" s="253"/>
      <c r="M704" s="128"/>
      <c r="N704" s="128">
        <f t="shared" si="204"/>
        <v>0</v>
      </c>
      <c r="O704" s="254">
        <v>0</v>
      </c>
      <c r="P704" s="128">
        <f t="shared" si="205"/>
        <v>0</v>
      </c>
      <c r="Q704" s="18">
        <f t="shared" si="206"/>
        <v>0</v>
      </c>
      <c r="R704" s="255">
        <f t="shared" si="207"/>
        <v>0</v>
      </c>
      <c r="S704" s="225"/>
      <c r="T704" s="226"/>
      <c r="U704" s="79"/>
      <c r="V704" s="79"/>
      <c r="W704" s="79"/>
      <c r="X704" s="79"/>
      <c r="Y704" s="79"/>
      <c r="Z704" s="79"/>
      <c r="AA704" s="79"/>
      <c r="AB704" s="79"/>
      <c r="AC704" s="79"/>
      <c r="AD704" s="4"/>
      <c r="AE704" s="4"/>
      <c r="AF704" s="4"/>
      <c r="AG704" s="4"/>
      <c r="AH704" s="4"/>
      <c r="AI704" s="4"/>
      <c r="AJ704" s="4"/>
    </row>
    <row r="705" spans="1:36" ht="13.5" customHeight="1">
      <c r="A705" s="4"/>
      <c r="B705" s="15" t="str">
        <f>TB!B737</f>
        <v>CC018</v>
      </c>
      <c r="C705" s="320" t="str">
        <f>TB!C737</f>
        <v>Esse Change Double 20</v>
      </c>
      <c r="D705" s="257">
        <f>SUMIF(GL!$D$5:$D$6446,B705,GL!$G$5:$G$6446)</f>
        <v>0</v>
      </c>
      <c r="E705" s="258">
        <f>SUMIF(GL!$D$6:$D$6484,B705,GL!$H$6:$H$6484)</f>
        <v>0</v>
      </c>
      <c r="F705" s="258">
        <f>SUMIF(GL!$D$6:$D$6484,B705,GL!$I$6:$I$6484)</f>
        <v>0</v>
      </c>
      <c r="G705" s="258">
        <f t="shared" si="200"/>
        <v>0</v>
      </c>
      <c r="H705" s="258">
        <f t="shared" si="201"/>
        <v>0</v>
      </c>
      <c r="I705" s="250">
        <v>0</v>
      </c>
      <c r="J705" s="251"/>
      <c r="K705" s="252"/>
      <c r="L705" s="253"/>
      <c r="M705" s="128"/>
      <c r="N705" s="128">
        <f t="shared" si="204"/>
        <v>0</v>
      </c>
      <c r="O705" s="254">
        <v>0</v>
      </c>
      <c r="P705" s="128">
        <f t="shared" si="205"/>
        <v>0</v>
      </c>
      <c r="Q705" s="18">
        <f t="shared" si="206"/>
        <v>0</v>
      </c>
      <c r="R705" s="255">
        <f t="shared" si="207"/>
        <v>0</v>
      </c>
      <c r="S705" s="225"/>
      <c r="T705" s="226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 spans="1:36" ht="13.5" customHeight="1">
      <c r="A706" s="4"/>
      <c r="B706" s="15" t="str">
        <f>TB!B738</f>
        <v>CC019</v>
      </c>
      <c r="C706" s="320" t="str">
        <f>TB!C738</f>
        <v>Esse Honey Pop 16</v>
      </c>
      <c r="D706" s="257">
        <f>SUMIF(GL!$D$5:$D$6446,B706,GL!$G$5:$G$6446)</f>
        <v>0</v>
      </c>
      <c r="E706" s="258">
        <f>SUMIF(GL!$D$6:$D$6484,B706,GL!$H$6:$H$6484)</f>
        <v>0</v>
      </c>
      <c r="F706" s="258">
        <f>SUMIF(GL!$D$6:$D$6484,B706,GL!$I$6:$I$6484)</f>
        <v>0</v>
      </c>
      <c r="G706" s="258">
        <f t="shared" si="200"/>
        <v>0</v>
      </c>
      <c r="H706" s="258">
        <f t="shared" si="201"/>
        <v>0</v>
      </c>
      <c r="I706" s="250">
        <v>0</v>
      </c>
      <c r="J706" s="251"/>
      <c r="K706" s="252"/>
      <c r="L706" s="253"/>
      <c r="M706" s="128"/>
      <c r="N706" s="128">
        <f t="shared" si="204"/>
        <v>0</v>
      </c>
      <c r="O706" s="254">
        <v>0</v>
      </c>
      <c r="P706" s="128">
        <f t="shared" si="205"/>
        <v>0</v>
      </c>
      <c r="Q706" s="18">
        <f t="shared" si="206"/>
        <v>0</v>
      </c>
      <c r="R706" s="255">
        <f t="shared" si="207"/>
        <v>0</v>
      </c>
      <c r="S706" s="225"/>
      <c r="T706" s="226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 spans="1:36" ht="13.5" customHeight="1">
      <c r="A707" s="4"/>
      <c r="B707" s="15" t="str">
        <f>TB!B739</f>
        <v>CC020</v>
      </c>
      <c r="C707" s="320" t="str">
        <f>TB!C739</f>
        <v>Esse Blue</v>
      </c>
      <c r="D707" s="257">
        <f>SUMIF(GL!$D$5:$D$6446,B707,GL!$G$5:$G$6446)</f>
        <v>0</v>
      </c>
      <c r="E707" s="258">
        <f>SUMIF(GL!$D$6:$D$6484,B707,GL!$H$6:$H$6484)</f>
        <v>0</v>
      </c>
      <c r="F707" s="258">
        <f>SUMIF(GL!$D$6:$D$6484,B707,GL!$I$6:$I$6484)</f>
        <v>0</v>
      </c>
      <c r="G707" s="258">
        <f t="shared" si="200"/>
        <v>0</v>
      </c>
      <c r="H707" s="258">
        <f t="shared" si="201"/>
        <v>0</v>
      </c>
      <c r="I707" s="250">
        <v>0</v>
      </c>
      <c r="J707" s="251"/>
      <c r="K707" s="252"/>
      <c r="L707" s="253"/>
      <c r="M707" s="128"/>
      <c r="N707" s="128">
        <f t="shared" si="204"/>
        <v>0</v>
      </c>
      <c r="O707" s="254">
        <v>0</v>
      </c>
      <c r="P707" s="128">
        <f t="shared" si="205"/>
        <v>0</v>
      </c>
      <c r="Q707" s="18">
        <f t="shared" si="206"/>
        <v>0</v>
      </c>
      <c r="R707" s="255">
        <f t="shared" si="207"/>
        <v>0</v>
      </c>
      <c r="S707" s="225"/>
      <c r="T707" s="226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spans="1:36" ht="13.5" customHeight="1">
      <c r="A708" s="4"/>
      <c r="B708" s="15" t="str">
        <f>TB!B740</f>
        <v>CC021</v>
      </c>
      <c r="C708" s="320" t="str">
        <f>TB!C740</f>
        <v>Esse Bohem</v>
      </c>
      <c r="D708" s="257">
        <f>SUMIF(GL!$D$5:$D$6446,B708,GL!$G$5:$G$6446)</f>
        <v>0</v>
      </c>
      <c r="E708" s="258">
        <f>SUMIF(GL!$D$6:$D$6484,B708,GL!$H$6:$H$6484)</f>
        <v>0</v>
      </c>
      <c r="F708" s="258">
        <f>SUMIF(GL!$D$6:$D$6484,B708,GL!$I$6:$I$6484)</f>
        <v>0</v>
      </c>
      <c r="G708" s="258">
        <f t="shared" si="200"/>
        <v>0</v>
      </c>
      <c r="H708" s="258">
        <f t="shared" si="201"/>
        <v>0</v>
      </c>
      <c r="I708" s="250">
        <v>0</v>
      </c>
      <c r="J708" s="251"/>
      <c r="K708" s="252"/>
      <c r="L708" s="253"/>
      <c r="M708" s="128"/>
      <c r="N708" s="128">
        <f t="shared" si="204"/>
        <v>0</v>
      </c>
      <c r="O708" s="254">
        <v>0</v>
      </c>
      <c r="P708" s="128">
        <f t="shared" si="205"/>
        <v>0</v>
      </c>
      <c r="Q708" s="18">
        <f t="shared" si="206"/>
        <v>0</v>
      </c>
      <c r="R708" s="255">
        <f t="shared" si="207"/>
        <v>0</v>
      </c>
      <c r="S708" s="225"/>
      <c r="T708" s="226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spans="1:36" ht="13.5" customHeight="1">
      <c r="A709" s="4"/>
      <c r="B709" s="15" t="str">
        <f>TB!B741</f>
        <v>CC022</v>
      </c>
      <c r="C709" s="320" t="str">
        <f>TB!C741</f>
        <v xml:space="preserve">Esse Change Icy </v>
      </c>
      <c r="D709" s="257">
        <f>SUMIF(GL!$D$5:$D$6446,B709,GL!$G$5:$G$6446)</f>
        <v>0</v>
      </c>
      <c r="E709" s="258">
        <f>SUMIF(GL!$D$6:$D$6484,B709,GL!$H$6:$H$6484)</f>
        <v>0</v>
      </c>
      <c r="F709" s="258">
        <f>SUMIF(GL!$D$6:$D$6484,B709,GL!$I$6:$I$6484)</f>
        <v>0</v>
      </c>
      <c r="G709" s="258">
        <f t="shared" si="200"/>
        <v>0</v>
      </c>
      <c r="H709" s="258">
        <f t="shared" si="201"/>
        <v>0</v>
      </c>
      <c r="I709" s="250">
        <v>0</v>
      </c>
      <c r="J709" s="251"/>
      <c r="K709" s="252"/>
      <c r="L709" s="253"/>
      <c r="M709" s="128"/>
      <c r="N709" s="128">
        <f t="shared" si="204"/>
        <v>0</v>
      </c>
      <c r="O709" s="254">
        <v>0</v>
      </c>
      <c r="P709" s="128">
        <f t="shared" si="205"/>
        <v>0</v>
      </c>
      <c r="Q709" s="18">
        <f t="shared" si="206"/>
        <v>0</v>
      </c>
      <c r="R709" s="255">
        <f t="shared" si="207"/>
        <v>0</v>
      </c>
      <c r="S709" s="225"/>
      <c r="T709" s="226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 ht="13.5" customHeight="1">
      <c r="A710" s="4"/>
      <c r="B710" s="15" t="str">
        <f>TB!B742</f>
        <v>CC023</v>
      </c>
      <c r="C710" s="320" t="str">
        <f>TB!C742</f>
        <v>Esse Apple Mint</v>
      </c>
      <c r="D710" s="257">
        <f>SUMIF(GL!$D$5:$D$6446,B710,GL!$G$5:$G$6446)</f>
        <v>0</v>
      </c>
      <c r="E710" s="258">
        <f>SUMIF(GL!$D$6:$D$6484,B710,GL!$H$6:$H$6484)</f>
        <v>0</v>
      </c>
      <c r="F710" s="258">
        <f>SUMIF(GL!$D$6:$D$6484,B710,GL!$I$6:$I$6484)</f>
        <v>0</v>
      </c>
      <c r="G710" s="258">
        <f t="shared" si="200"/>
        <v>0</v>
      </c>
      <c r="H710" s="258">
        <f t="shared" si="201"/>
        <v>0</v>
      </c>
      <c r="I710" s="250">
        <v>0</v>
      </c>
      <c r="J710" s="251"/>
      <c r="K710" s="252"/>
      <c r="L710" s="253"/>
      <c r="M710" s="128"/>
      <c r="N710" s="128">
        <f t="shared" si="204"/>
        <v>0</v>
      </c>
      <c r="O710" s="254">
        <v>0</v>
      </c>
      <c r="P710" s="128">
        <f t="shared" si="205"/>
        <v>0</v>
      </c>
      <c r="Q710" s="18">
        <f t="shared" si="206"/>
        <v>0</v>
      </c>
      <c r="R710" s="255">
        <f t="shared" si="207"/>
        <v>0</v>
      </c>
      <c r="S710" s="225"/>
      <c r="T710" s="226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 spans="1:36" ht="13.5" customHeight="1">
      <c r="A711" s="4"/>
      <c r="B711" s="15" t="str">
        <f>TB!B743</f>
        <v>CC024</v>
      </c>
      <c r="C711" s="320" t="str">
        <f>TB!C743</f>
        <v>Esse Himalaya</v>
      </c>
      <c r="D711" s="257">
        <f>SUMIF(GL!$D$5:$D$6446,B711,GL!$G$5:$G$6446)</f>
        <v>0</v>
      </c>
      <c r="E711" s="258">
        <f>SUMIF(GL!$D$6:$D$6484,B711,GL!$H$6:$H$6484)</f>
        <v>0</v>
      </c>
      <c r="F711" s="258">
        <f>SUMIF(GL!$D$6:$D$6484,B711,GL!$I$6:$I$6484)</f>
        <v>0</v>
      </c>
      <c r="G711" s="258">
        <f t="shared" si="200"/>
        <v>0</v>
      </c>
      <c r="H711" s="258">
        <f t="shared" si="201"/>
        <v>0</v>
      </c>
      <c r="I711" s="250">
        <v>0</v>
      </c>
      <c r="J711" s="251"/>
      <c r="K711" s="252"/>
      <c r="L711" s="253"/>
      <c r="M711" s="128"/>
      <c r="N711" s="128">
        <f t="shared" si="204"/>
        <v>0</v>
      </c>
      <c r="O711" s="254">
        <v>0</v>
      </c>
      <c r="P711" s="128">
        <f t="shared" si="205"/>
        <v>0</v>
      </c>
      <c r="Q711" s="18">
        <f t="shared" si="206"/>
        <v>0</v>
      </c>
      <c r="R711" s="255">
        <f t="shared" si="207"/>
        <v>0</v>
      </c>
      <c r="S711" s="225"/>
      <c r="T711" s="226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 spans="1:36" ht="13.5" customHeight="1">
      <c r="A712" s="4"/>
      <c r="B712" s="15" t="str">
        <f>TB!B744</f>
        <v>CC025</v>
      </c>
      <c r="C712" s="320" t="str">
        <f>TB!C744</f>
        <v>Ignite V10 Watermelon Ice</v>
      </c>
      <c r="D712" s="257">
        <f>SUMIF(GL!$D$5:$D$6446,B712,GL!$G$5:$G$6446)</f>
        <v>0</v>
      </c>
      <c r="E712" s="258">
        <f>SUMIF(GL!$D$6:$D$6484,B712,GL!$H$6:$H$6484)</f>
        <v>0</v>
      </c>
      <c r="F712" s="258">
        <f>SUMIF(GL!$D$6:$D$6484,B712,GL!$I$6:$I$6484)</f>
        <v>0</v>
      </c>
      <c r="G712" s="258">
        <f t="shared" si="200"/>
        <v>0</v>
      </c>
      <c r="H712" s="258">
        <f t="shared" si="201"/>
        <v>0</v>
      </c>
      <c r="I712" s="250">
        <v>1</v>
      </c>
      <c r="J712" s="251"/>
      <c r="K712" s="252"/>
      <c r="L712" s="253">
        <f t="shared" ref="L712:L717" si="210">D712+I712</f>
        <v>1</v>
      </c>
      <c r="M712" s="128">
        <f t="shared" ref="M712:M717" si="211">(G712+K712)/L712</f>
        <v>0</v>
      </c>
      <c r="N712" s="128">
        <f t="shared" si="204"/>
        <v>0</v>
      </c>
      <c r="O712" s="254">
        <v>4</v>
      </c>
      <c r="P712" s="128">
        <f t="shared" si="205"/>
        <v>0</v>
      </c>
      <c r="Q712" s="18">
        <f t="shared" si="206"/>
        <v>0</v>
      </c>
      <c r="R712" s="255">
        <f t="shared" si="207"/>
        <v>0</v>
      </c>
      <c r="S712" s="225"/>
      <c r="T712" s="226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 spans="1:36" ht="13.5" customHeight="1">
      <c r="A713" s="4"/>
      <c r="B713" s="15" t="str">
        <f>TB!B745</f>
        <v>CC026</v>
      </c>
      <c r="C713" s="320" t="str">
        <f>TB!C745</f>
        <v>Ignite V10 Blue Rasberry</v>
      </c>
      <c r="D713" s="257">
        <f>SUMIF(GL!$D$5:$D$6446,B713,GL!$G$5:$G$6446)</f>
        <v>0</v>
      </c>
      <c r="E713" s="258">
        <f>SUMIF(GL!$D$6:$D$6484,B713,GL!$H$6:$H$6484)</f>
        <v>0</v>
      </c>
      <c r="F713" s="258">
        <f>SUMIF(GL!$D$6:$D$6484,B713,GL!$I$6:$I$6484)</f>
        <v>0</v>
      </c>
      <c r="G713" s="258">
        <f t="shared" si="200"/>
        <v>0</v>
      </c>
      <c r="H713" s="258">
        <f t="shared" si="201"/>
        <v>0</v>
      </c>
      <c r="I713" s="250">
        <v>4</v>
      </c>
      <c r="J713" s="251"/>
      <c r="K713" s="252"/>
      <c r="L713" s="253">
        <f t="shared" si="210"/>
        <v>4</v>
      </c>
      <c r="M713" s="128">
        <f t="shared" si="211"/>
        <v>0</v>
      </c>
      <c r="N713" s="128">
        <f t="shared" si="204"/>
        <v>0</v>
      </c>
      <c r="O713" s="254">
        <v>1</v>
      </c>
      <c r="P713" s="128">
        <f t="shared" si="205"/>
        <v>0</v>
      </c>
      <c r="Q713" s="18">
        <f t="shared" si="206"/>
        <v>0</v>
      </c>
      <c r="R713" s="255">
        <f t="shared" si="207"/>
        <v>0</v>
      </c>
      <c r="S713" s="225"/>
      <c r="T713" s="226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 spans="1:36" ht="13.5" customHeight="1">
      <c r="A714" s="4"/>
      <c r="B714" s="15" t="str">
        <f>TB!B746</f>
        <v>CC027</v>
      </c>
      <c r="C714" s="320" t="str">
        <f>TB!C746</f>
        <v>Ignite V10 Strawberry Kiwi</v>
      </c>
      <c r="D714" s="257">
        <f>SUMIF(GL!$D$5:$D$6446,B714,GL!$G$5:$G$6446)</f>
        <v>0</v>
      </c>
      <c r="E714" s="258">
        <f>SUMIF(GL!$D$6:$D$6484,B714,GL!$H$6:$H$6484)</f>
        <v>0</v>
      </c>
      <c r="F714" s="258">
        <f>SUMIF(GL!$D$6:$D$6484,B714,GL!$I$6:$I$6484)</f>
        <v>0</v>
      </c>
      <c r="G714" s="258">
        <f t="shared" si="200"/>
        <v>0</v>
      </c>
      <c r="H714" s="258">
        <f t="shared" si="201"/>
        <v>0</v>
      </c>
      <c r="I714" s="250">
        <v>3</v>
      </c>
      <c r="J714" s="251"/>
      <c r="K714" s="252"/>
      <c r="L714" s="253">
        <f t="shared" si="210"/>
        <v>3</v>
      </c>
      <c r="M714" s="128">
        <f t="shared" si="211"/>
        <v>0</v>
      </c>
      <c r="N714" s="128">
        <f t="shared" si="204"/>
        <v>0</v>
      </c>
      <c r="O714" s="254">
        <v>0</v>
      </c>
      <c r="P714" s="128">
        <f t="shared" si="205"/>
        <v>0</v>
      </c>
      <c r="Q714" s="18">
        <f t="shared" si="206"/>
        <v>0</v>
      </c>
      <c r="R714" s="255">
        <f t="shared" si="207"/>
        <v>0</v>
      </c>
      <c r="S714" s="225"/>
      <c r="T714" s="226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 spans="1:36" ht="13.5" customHeight="1">
      <c r="A715" s="4"/>
      <c r="B715" s="15" t="str">
        <f>TB!B747</f>
        <v>CC028</v>
      </c>
      <c r="C715" s="320" t="str">
        <f>TB!C747</f>
        <v>Ignite V10 Cool Mint</v>
      </c>
      <c r="D715" s="257">
        <f>SUMIF(GL!$D$5:$D$6446,B715,GL!$G$5:$G$6446)</f>
        <v>0</v>
      </c>
      <c r="E715" s="258">
        <f>SUMIF(GL!$D$6:$D$6484,B715,GL!$H$6:$H$6484)</f>
        <v>0</v>
      </c>
      <c r="F715" s="258">
        <f>SUMIF(GL!$D$6:$D$6484,B715,GL!$I$6:$I$6484)</f>
        <v>0</v>
      </c>
      <c r="G715" s="258">
        <f t="shared" si="200"/>
        <v>0</v>
      </c>
      <c r="H715" s="258">
        <f t="shared" si="201"/>
        <v>0</v>
      </c>
      <c r="I715" s="250">
        <v>5</v>
      </c>
      <c r="J715" s="251"/>
      <c r="K715" s="252"/>
      <c r="L715" s="253">
        <f t="shared" si="210"/>
        <v>5</v>
      </c>
      <c r="M715" s="128">
        <f t="shared" si="211"/>
        <v>0</v>
      </c>
      <c r="N715" s="128">
        <f t="shared" si="204"/>
        <v>0</v>
      </c>
      <c r="O715" s="254">
        <v>6</v>
      </c>
      <c r="P715" s="128">
        <f t="shared" si="205"/>
        <v>0</v>
      </c>
      <c r="Q715" s="18">
        <f t="shared" si="206"/>
        <v>0</v>
      </c>
      <c r="R715" s="255">
        <f t="shared" si="207"/>
        <v>0</v>
      </c>
      <c r="S715" s="225"/>
      <c r="T715" s="226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 spans="1:36" ht="13.5" customHeight="1">
      <c r="A716" s="4"/>
      <c r="B716" s="15" t="str">
        <f>TB!B748</f>
        <v>CC029</v>
      </c>
      <c r="C716" s="320" t="str">
        <f>TB!C748</f>
        <v>Ignite V25 Grape Ice</v>
      </c>
      <c r="D716" s="257">
        <f>SUMIF(GL!$D$5:$D$6446,B716,GL!$G$5:$G$6446)</f>
        <v>0</v>
      </c>
      <c r="E716" s="258">
        <f>SUMIF(GL!$D$6:$D$6484,B716,GL!$H$6:$H$6484)</f>
        <v>0</v>
      </c>
      <c r="F716" s="258">
        <f>SUMIF(GL!$D$6:$D$6484,B716,GL!$I$6:$I$6484)</f>
        <v>0</v>
      </c>
      <c r="G716" s="258">
        <f t="shared" si="200"/>
        <v>0</v>
      </c>
      <c r="H716" s="258">
        <f t="shared" si="201"/>
        <v>0</v>
      </c>
      <c r="I716" s="250">
        <v>2</v>
      </c>
      <c r="J716" s="251"/>
      <c r="K716" s="252"/>
      <c r="L716" s="253">
        <f t="shared" si="210"/>
        <v>2</v>
      </c>
      <c r="M716" s="128">
        <f t="shared" si="211"/>
        <v>0</v>
      </c>
      <c r="N716" s="128">
        <f t="shared" si="204"/>
        <v>0</v>
      </c>
      <c r="O716" s="254">
        <v>1</v>
      </c>
      <c r="P716" s="128">
        <f t="shared" si="205"/>
        <v>0</v>
      </c>
      <c r="Q716" s="18">
        <f t="shared" si="206"/>
        <v>0</v>
      </c>
      <c r="R716" s="255">
        <f t="shared" si="207"/>
        <v>0</v>
      </c>
      <c r="S716" s="225"/>
      <c r="T716" s="226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 spans="1:36" ht="13.5" customHeight="1">
      <c r="A717" s="4"/>
      <c r="B717" s="15" t="str">
        <f>TB!B749</f>
        <v>CC030</v>
      </c>
      <c r="C717" s="320" t="str">
        <f>TB!C749</f>
        <v>Ignite V25 Mixed Berry</v>
      </c>
      <c r="D717" s="257">
        <f>SUMIF(GL!$D$5:$D$6446,B717,GL!$G$5:$G$6446)</f>
        <v>0</v>
      </c>
      <c r="E717" s="258">
        <f>SUMIF(GL!$D$6:$D$6484,B717,GL!$H$6:$H$6484)</f>
        <v>0</v>
      </c>
      <c r="F717" s="258">
        <f>SUMIF(GL!$D$6:$D$6484,B717,GL!$I$6:$I$6484)</f>
        <v>0</v>
      </c>
      <c r="G717" s="258">
        <f t="shared" si="200"/>
        <v>0</v>
      </c>
      <c r="H717" s="258">
        <f t="shared" si="201"/>
        <v>0</v>
      </c>
      <c r="I717" s="250">
        <v>3</v>
      </c>
      <c r="J717" s="251"/>
      <c r="K717" s="252"/>
      <c r="L717" s="253">
        <f t="shared" si="210"/>
        <v>3</v>
      </c>
      <c r="M717" s="128">
        <f t="shared" si="211"/>
        <v>0</v>
      </c>
      <c r="N717" s="128">
        <f t="shared" si="204"/>
        <v>0</v>
      </c>
      <c r="O717" s="254">
        <v>3</v>
      </c>
      <c r="P717" s="128">
        <f t="shared" si="205"/>
        <v>0</v>
      </c>
      <c r="Q717" s="18">
        <f t="shared" si="206"/>
        <v>0</v>
      </c>
      <c r="R717" s="255">
        <f t="shared" si="207"/>
        <v>0</v>
      </c>
      <c r="S717" s="225"/>
      <c r="T717" s="226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 spans="1:36" ht="13.5" customHeight="1">
      <c r="A718" s="4"/>
      <c r="B718" s="15" t="str">
        <f>TB!B750</f>
        <v>CC031</v>
      </c>
      <c r="C718" s="320" t="str">
        <f>TB!C750</f>
        <v>Climax Click Mix 20</v>
      </c>
      <c r="D718" s="257">
        <f>SUMIF(GL!$D$5:$D$6446,B718,GL!$G$5:$G$6446)</f>
        <v>0</v>
      </c>
      <c r="E718" s="258">
        <f>SUMIF(GL!$D$6:$D$6484,B718,GL!$H$6:$H$6484)</f>
        <v>0</v>
      </c>
      <c r="F718" s="258">
        <f>SUMIF(GL!$D$6:$D$6484,B718,GL!$I$6:$I$6484)</f>
        <v>0</v>
      </c>
      <c r="G718" s="258">
        <f t="shared" si="200"/>
        <v>0</v>
      </c>
      <c r="H718" s="258">
        <f t="shared" si="201"/>
        <v>0</v>
      </c>
      <c r="I718" s="250">
        <v>0</v>
      </c>
      <c r="J718" s="251"/>
      <c r="K718" s="252"/>
      <c r="L718" s="253"/>
      <c r="M718" s="128"/>
      <c r="N718" s="128">
        <f t="shared" si="204"/>
        <v>0</v>
      </c>
      <c r="O718" s="254">
        <v>0</v>
      </c>
      <c r="P718" s="128">
        <f t="shared" si="205"/>
        <v>0</v>
      </c>
      <c r="Q718" s="18">
        <f t="shared" si="206"/>
        <v>0</v>
      </c>
      <c r="R718" s="255">
        <f t="shared" si="207"/>
        <v>0</v>
      </c>
      <c r="S718" s="225"/>
      <c r="T718" s="226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 spans="1:36" ht="13.5" customHeight="1">
      <c r="A719" s="4"/>
      <c r="B719" s="15" t="str">
        <f>TB!B751</f>
        <v>CC032</v>
      </c>
      <c r="C719" s="320" t="str">
        <f>TB!C751</f>
        <v>Climax Click Mango</v>
      </c>
      <c r="D719" s="257">
        <f>SUMIF(GL!$D$5:$D$6446,B719,GL!$G$5:$G$6446)</f>
        <v>0</v>
      </c>
      <c r="E719" s="258">
        <f>SUMIF(GL!$D$6:$D$6484,B719,GL!$H$6:$H$6484)</f>
        <v>0</v>
      </c>
      <c r="F719" s="258">
        <f>SUMIF(GL!$D$6:$D$6484,B719,GL!$I$6:$I$6484)</f>
        <v>0</v>
      </c>
      <c r="G719" s="258">
        <f t="shared" si="200"/>
        <v>0</v>
      </c>
      <c r="H719" s="258">
        <f t="shared" si="201"/>
        <v>0</v>
      </c>
      <c r="I719" s="250">
        <v>0</v>
      </c>
      <c r="J719" s="251"/>
      <c r="K719" s="252"/>
      <c r="L719" s="253"/>
      <c r="M719" s="128"/>
      <c r="N719" s="128">
        <f t="shared" si="204"/>
        <v>0</v>
      </c>
      <c r="O719" s="254">
        <v>0</v>
      </c>
      <c r="P719" s="128">
        <f t="shared" si="205"/>
        <v>0</v>
      </c>
      <c r="Q719" s="18">
        <f t="shared" si="206"/>
        <v>0</v>
      </c>
      <c r="R719" s="255">
        <f t="shared" si="207"/>
        <v>0</v>
      </c>
      <c r="S719" s="225"/>
      <c r="T719" s="226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 spans="1:36" ht="13.5" customHeight="1">
      <c r="A720" s="4"/>
      <c r="B720" s="15" t="str">
        <f>TB!B752</f>
        <v>CC033</v>
      </c>
      <c r="C720" s="320" t="str">
        <f>TB!C752</f>
        <v xml:space="preserve">Climax Filter Punch </v>
      </c>
      <c r="D720" s="257">
        <f>SUMIF(GL!$D$5:$D$6446,B720,GL!$G$5:$G$6446)</f>
        <v>0</v>
      </c>
      <c r="E720" s="258">
        <f>SUMIF(GL!$D$6:$D$6484,B720,GL!$H$6:$H$6484)</f>
        <v>0</v>
      </c>
      <c r="F720" s="258">
        <f>SUMIF(GL!$D$6:$D$6484,B720,GL!$I$6:$I$6484)</f>
        <v>0</v>
      </c>
      <c r="G720" s="258">
        <f t="shared" si="200"/>
        <v>0</v>
      </c>
      <c r="H720" s="258">
        <f t="shared" si="201"/>
        <v>0</v>
      </c>
      <c r="I720" s="250">
        <v>0</v>
      </c>
      <c r="J720" s="251"/>
      <c r="K720" s="252"/>
      <c r="L720" s="253"/>
      <c r="M720" s="128"/>
      <c r="N720" s="128">
        <f t="shared" si="204"/>
        <v>0</v>
      </c>
      <c r="O720" s="254">
        <v>0</v>
      </c>
      <c r="P720" s="128">
        <f t="shared" si="205"/>
        <v>0</v>
      </c>
      <c r="Q720" s="18">
        <f t="shared" si="206"/>
        <v>0</v>
      </c>
      <c r="R720" s="255">
        <f t="shared" si="207"/>
        <v>0</v>
      </c>
      <c r="S720" s="225"/>
      <c r="T720" s="226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 spans="1:36" ht="13.5" customHeight="1">
      <c r="A721" s="4"/>
      <c r="B721" s="15" t="str">
        <f>TB!B753</f>
        <v>CC034</v>
      </c>
      <c r="C721" s="320" t="str">
        <f>TB!C753</f>
        <v>Climax Click Icy</v>
      </c>
      <c r="D721" s="257">
        <f>SUMIF(GL!$D$5:$D$6446,B721,GL!$G$5:$G$6446)</f>
        <v>0</v>
      </c>
      <c r="E721" s="258">
        <f>SUMIF(GL!$D$6:$D$6484,B721,GL!$H$6:$H$6484)</f>
        <v>0</v>
      </c>
      <c r="F721" s="258">
        <f>SUMIF(GL!$D$6:$D$6484,B721,GL!$I$6:$I$6484)</f>
        <v>0</v>
      </c>
      <c r="G721" s="258">
        <f t="shared" si="200"/>
        <v>0</v>
      </c>
      <c r="H721" s="258">
        <f t="shared" si="201"/>
        <v>0</v>
      </c>
      <c r="I721" s="250">
        <v>0</v>
      </c>
      <c r="J721" s="251"/>
      <c r="K721" s="252"/>
      <c r="L721" s="253"/>
      <c r="M721" s="128"/>
      <c r="N721" s="128">
        <f t="shared" si="204"/>
        <v>0</v>
      </c>
      <c r="O721" s="254">
        <v>0</v>
      </c>
      <c r="P721" s="128">
        <f t="shared" si="205"/>
        <v>0</v>
      </c>
      <c r="Q721" s="18">
        <f t="shared" si="206"/>
        <v>0</v>
      </c>
      <c r="R721" s="255">
        <f t="shared" si="207"/>
        <v>0</v>
      </c>
      <c r="S721" s="225"/>
      <c r="T721" s="226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 spans="1:36" ht="13.5" customHeight="1">
      <c r="A722" s="4"/>
      <c r="B722" s="15" t="str">
        <f>TB!B754</f>
        <v>CC035</v>
      </c>
      <c r="C722" s="320" t="s">
        <v>3846</v>
      </c>
      <c r="D722" s="257">
        <f>SUMIF(GL!$D$5:$D$6446,B722,GL!$G$5:$G$6446)</f>
        <v>0</v>
      </c>
      <c r="E722" s="258">
        <f>SUMIF(GL!$D$6:$D$6484,B722,GL!$H$6:$H$6484)</f>
        <v>0</v>
      </c>
      <c r="F722" s="258">
        <f>SUMIF(GL!$D$6:$D$6484,B722,GL!$I$6:$I$6484)</f>
        <v>0</v>
      </c>
      <c r="G722" s="258">
        <f t="shared" si="200"/>
        <v>0</v>
      </c>
      <c r="H722" s="258">
        <f t="shared" si="201"/>
        <v>0</v>
      </c>
      <c r="I722" s="250">
        <v>0</v>
      </c>
      <c r="J722" s="251"/>
      <c r="K722" s="252"/>
      <c r="L722" s="253"/>
      <c r="M722" s="128"/>
      <c r="N722" s="128">
        <f t="shared" si="204"/>
        <v>0</v>
      </c>
      <c r="O722" s="254">
        <v>48</v>
      </c>
      <c r="P722" s="128">
        <f t="shared" si="205"/>
        <v>0</v>
      </c>
      <c r="Q722" s="18">
        <f t="shared" si="206"/>
        <v>0</v>
      </c>
      <c r="R722" s="255">
        <f t="shared" si="207"/>
        <v>0</v>
      </c>
      <c r="S722" s="225"/>
      <c r="T722" s="226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 spans="1:36" ht="13.5" customHeight="1">
      <c r="A723" s="4"/>
      <c r="B723" s="15" t="str">
        <f>TB!B755</f>
        <v>CC036</v>
      </c>
      <c r="C723" s="320" t="s">
        <v>3847</v>
      </c>
      <c r="D723" s="257">
        <f>SUMIF(GL!$D$5:$D$6446,B723,GL!$G$5:$G$6446)</f>
        <v>0</v>
      </c>
      <c r="E723" s="258">
        <f>SUMIF(GL!$D$6:$D$6484,B723,GL!$H$6:$H$6484)</f>
        <v>0</v>
      </c>
      <c r="F723" s="258">
        <f>SUMIF(GL!$D$6:$D$6484,B723,GL!$I$6:$I$6484)</f>
        <v>0</v>
      </c>
      <c r="G723" s="258">
        <f t="shared" si="200"/>
        <v>0</v>
      </c>
      <c r="H723" s="258">
        <f t="shared" si="201"/>
        <v>0</v>
      </c>
      <c r="I723" s="250">
        <v>0</v>
      </c>
      <c r="J723" s="251"/>
      <c r="K723" s="252"/>
      <c r="L723" s="253"/>
      <c r="M723" s="128"/>
      <c r="N723" s="128">
        <f t="shared" si="204"/>
        <v>0</v>
      </c>
      <c r="O723" s="254">
        <v>45</v>
      </c>
      <c r="P723" s="128">
        <f t="shared" si="205"/>
        <v>0</v>
      </c>
      <c r="Q723" s="18">
        <f t="shared" si="206"/>
        <v>0</v>
      </c>
      <c r="R723" s="255">
        <f t="shared" si="207"/>
        <v>0</v>
      </c>
      <c r="S723" s="225"/>
      <c r="T723" s="226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 spans="1:36" ht="13.5" customHeight="1">
      <c r="A724" s="4"/>
      <c r="B724" s="15"/>
      <c r="C724" s="321" t="s">
        <v>2630</v>
      </c>
      <c r="D724" s="322"/>
      <c r="E724" s="51"/>
      <c r="F724" s="317"/>
      <c r="G724" s="317"/>
      <c r="H724" s="317"/>
      <c r="I724" s="323"/>
      <c r="J724" s="317"/>
      <c r="K724" s="324"/>
      <c r="L724" s="325"/>
      <c r="M724" s="51"/>
      <c r="N724" s="51"/>
      <c r="O724" s="322"/>
      <c r="P724" s="51"/>
      <c r="Q724" s="317"/>
      <c r="R724" s="317"/>
      <c r="S724" s="225" t="str">
        <f>PROPER(C724)</f>
        <v/>
      </c>
      <c r="T724" s="226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 spans="1:36" ht="13.5" customHeight="1">
      <c r="A725" s="4"/>
      <c r="B725" s="127"/>
      <c r="C725" s="326"/>
      <c r="D725" s="322"/>
      <c r="E725" s="51"/>
      <c r="F725" s="317"/>
      <c r="G725" s="317"/>
      <c r="H725" s="317"/>
      <c r="I725" s="323"/>
      <c r="J725" s="317"/>
      <c r="K725" s="324"/>
      <c r="L725" s="325"/>
      <c r="M725" s="51"/>
      <c r="N725" s="51"/>
      <c r="O725" s="322"/>
      <c r="P725" s="51"/>
      <c r="Q725" s="317"/>
      <c r="R725" s="317"/>
      <c r="S725" s="225"/>
      <c r="T725" s="226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spans="1:36" ht="13.5" customHeight="1">
      <c r="A726" s="4"/>
      <c r="B726" s="127" t="s">
        <v>3629</v>
      </c>
      <c r="C726" s="327" t="s">
        <v>3630</v>
      </c>
      <c r="D726" s="319">
        <f>SUM(D727:D766)</f>
        <v>0</v>
      </c>
      <c r="E726" s="311">
        <f>SUM(E727:E771)</f>
        <v>0</v>
      </c>
      <c r="F726" s="311">
        <f t="shared" ref="F726:H726" si="212">SUM(F727:F766)</f>
        <v>0</v>
      </c>
      <c r="G726" s="311">
        <f t="shared" si="212"/>
        <v>0</v>
      </c>
      <c r="H726" s="311">
        <f t="shared" si="212"/>
        <v>0</v>
      </c>
      <c r="I726" s="311">
        <f t="shared" ref="I726:K726" si="213">SUM(I727:I771)</f>
        <v>10</v>
      </c>
      <c r="J726" s="311">
        <f t="shared" si="213"/>
        <v>400000</v>
      </c>
      <c r="K726" s="311">
        <f t="shared" si="213"/>
        <v>0</v>
      </c>
      <c r="L726" s="319">
        <f>SUM(L727:L766)</f>
        <v>7</v>
      </c>
      <c r="M726" s="311">
        <f>SUM(M727:M771)</f>
        <v>0</v>
      </c>
      <c r="N726" s="311">
        <f t="shared" ref="N726:Q726" si="214">SUM(N727:N766)</f>
        <v>0</v>
      </c>
      <c r="O726" s="319">
        <f t="shared" si="214"/>
        <v>7</v>
      </c>
      <c r="P726" s="311">
        <f t="shared" si="214"/>
        <v>0</v>
      </c>
      <c r="Q726" s="311">
        <f t="shared" si="214"/>
        <v>0</v>
      </c>
      <c r="R726" s="311">
        <f>SUM(R727:R812)</f>
        <v>0</v>
      </c>
      <c r="S726" s="225">
        <f>TB!X757</f>
        <v>0</v>
      </c>
      <c r="T726" s="226">
        <f>Q726-S726</f>
        <v>0</v>
      </c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spans="1:36" ht="13.5" customHeight="1">
      <c r="A727" s="4"/>
      <c r="B727" s="15" t="s">
        <v>3848</v>
      </c>
      <c r="C727" s="328" t="s">
        <v>3849</v>
      </c>
      <c r="D727" s="257">
        <f>SUMIF(GL!$D$5:$D$6446,B727,GL!$G$5:$G$6446)</f>
        <v>0</v>
      </c>
      <c r="E727" s="258">
        <f>SUMIF(GL!$D$6:$D$6484,B727,GL!$H$6:$H$6484)</f>
        <v>0</v>
      </c>
      <c r="F727" s="258">
        <f>SUMIF(GL!$D$6:$D$6484,B727,GL!$I$6:$I$6484)</f>
        <v>0</v>
      </c>
      <c r="G727" s="258">
        <f t="shared" ref="G727:G771" si="215">IF(E727&gt;F727,E727-F727,0)</f>
        <v>0</v>
      </c>
      <c r="H727" s="258">
        <f t="shared" ref="H727:H771" si="216">IF(F727&gt;E727,F727-E727,0)</f>
        <v>0</v>
      </c>
      <c r="I727" s="250"/>
      <c r="J727" s="251"/>
      <c r="K727" s="252"/>
      <c r="L727" s="253">
        <f t="shared" ref="L727:L769" si="217">D727+I727</f>
        <v>0</v>
      </c>
      <c r="M727" s="128"/>
      <c r="N727" s="128">
        <f t="shared" ref="N727:N771" si="218">G727+K727</f>
        <v>0</v>
      </c>
      <c r="O727" s="254"/>
      <c r="P727" s="128">
        <f>M727</f>
        <v>0</v>
      </c>
      <c r="Q727" s="18">
        <f>O727*P727</f>
        <v>0</v>
      </c>
      <c r="R727" s="255">
        <f>N727-Q727</f>
        <v>0</v>
      </c>
      <c r="S727" s="225"/>
      <c r="T727" s="226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 ht="13.5" customHeight="1">
      <c r="A728" s="4"/>
      <c r="B728" s="15" t="s">
        <v>3850</v>
      </c>
      <c r="C728" s="328" t="s">
        <v>3851</v>
      </c>
      <c r="D728" s="257">
        <f>SUMIF(GL!$D$5:$D$6446,B728,GL!$G$5:$G$6446)</f>
        <v>0</v>
      </c>
      <c r="E728" s="258">
        <f>SUMIF(GL!$D$6:$D$6484,B728,GL!$H$6:$H$6484)</f>
        <v>0</v>
      </c>
      <c r="F728" s="258">
        <f>SUMIF(GL!$D$6:$D$6484,B728,GL!$I$6:$I$6484)</f>
        <v>0</v>
      </c>
      <c r="G728" s="258">
        <f t="shared" si="215"/>
        <v>0</v>
      </c>
      <c r="H728" s="258">
        <f t="shared" si="216"/>
        <v>0</v>
      </c>
      <c r="I728" s="250"/>
      <c r="J728" s="251"/>
      <c r="K728" s="252"/>
      <c r="L728" s="253">
        <f t="shared" si="217"/>
        <v>0</v>
      </c>
      <c r="M728" s="128"/>
      <c r="N728" s="128">
        <f t="shared" si="218"/>
        <v>0</v>
      </c>
      <c r="O728" s="254"/>
      <c r="P728" s="128"/>
      <c r="Q728" s="18"/>
      <c r="R728" s="255"/>
      <c r="S728" s="225"/>
      <c r="T728" s="226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 spans="1:36" ht="13.5" customHeight="1">
      <c r="A729" s="4"/>
      <c r="B729" s="15" t="s">
        <v>3852</v>
      </c>
      <c r="C729" s="328" t="s">
        <v>3853</v>
      </c>
      <c r="D729" s="257">
        <f>SUMIF(GL!$D$5:$D$6446,B729,GL!$G$5:$G$6446)</f>
        <v>0</v>
      </c>
      <c r="E729" s="258">
        <f>SUMIF(GL!$D$6:$D$6484,B729,GL!$H$6:$H$6484)</f>
        <v>0</v>
      </c>
      <c r="F729" s="258">
        <f>SUMIF(GL!$D$6:$D$6484,B729,GL!$I$6:$I$6484)</f>
        <v>0</v>
      </c>
      <c r="G729" s="258">
        <f t="shared" si="215"/>
        <v>0</v>
      </c>
      <c r="H729" s="258">
        <f t="shared" si="216"/>
        <v>0</v>
      </c>
      <c r="I729" s="250"/>
      <c r="J729" s="251"/>
      <c r="K729" s="252"/>
      <c r="L729" s="253">
        <f t="shared" si="217"/>
        <v>0</v>
      </c>
      <c r="M729" s="128"/>
      <c r="N729" s="128">
        <f t="shared" si="218"/>
        <v>0</v>
      </c>
      <c r="O729" s="254"/>
      <c r="P729" s="128"/>
      <c r="Q729" s="18"/>
      <c r="R729" s="255"/>
      <c r="S729" s="225"/>
      <c r="T729" s="226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 spans="1:36" ht="13.5" customHeight="1">
      <c r="A730" s="4"/>
      <c r="B730" s="15" t="s">
        <v>3854</v>
      </c>
      <c r="C730" s="328" t="s">
        <v>3855</v>
      </c>
      <c r="D730" s="257">
        <f>SUMIF(GL!$D$5:$D$6446,B730,GL!$G$5:$G$6446)</f>
        <v>0</v>
      </c>
      <c r="E730" s="258">
        <f>SUMIF(GL!$D$6:$D$6484,B730,GL!$H$6:$H$6484)</f>
        <v>0</v>
      </c>
      <c r="F730" s="258">
        <f>SUMIF(GL!$D$6:$D$6484,B730,GL!$I$6:$I$6484)</f>
        <v>0</v>
      </c>
      <c r="G730" s="258">
        <f t="shared" si="215"/>
        <v>0</v>
      </c>
      <c r="H730" s="258">
        <f t="shared" si="216"/>
        <v>0</v>
      </c>
      <c r="I730" s="250"/>
      <c r="J730" s="251"/>
      <c r="K730" s="252"/>
      <c r="L730" s="253">
        <f t="shared" si="217"/>
        <v>0</v>
      </c>
      <c r="M730" s="128"/>
      <c r="N730" s="128">
        <f t="shared" si="218"/>
        <v>0</v>
      </c>
      <c r="O730" s="254" t="s">
        <v>3856</v>
      </c>
      <c r="P730" s="128"/>
      <c r="Q730" s="18"/>
      <c r="R730" s="255"/>
      <c r="S730" s="225"/>
      <c r="T730" s="226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 spans="1:36" ht="13.5" customHeight="1">
      <c r="A731" s="4"/>
      <c r="B731" s="15" t="s">
        <v>3857</v>
      </c>
      <c r="C731" s="328" t="s">
        <v>3858</v>
      </c>
      <c r="D731" s="257">
        <f>SUMIF(GL!$D$5:$D$6446,B731,GL!$G$5:$G$6446)</f>
        <v>0</v>
      </c>
      <c r="E731" s="258">
        <f>SUMIF(GL!$D$6:$D$6484,B731,GL!$H$6:$H$6484)</f>
        <v>0</v>
      </c>
      <c r="F731" s="258">
        <f>SUMIF(GL!$D$6:$D$6484,B731,GL!$I$6:$I$6484)</f>
        <v>0</v>
      </c>
      <c r="G731" s="258">
        <f t="shared" si="215"/>
        <v>0</v>
      </c>
      <c r="H731" s="258">
        <f t="shared" si="216"/>
        <v>0</v>
      </c>
      <c r="I731" s="250"/>
      <c r="J731" s="251"/>
      <c r="K731" s="252"/>
      <c r="L731" s="253">
        <f t="shared" si="217"/>
        <v>0</v>
      </c>
      <c r="M731" s="128"/>
      <c r="N731" s="128">
        <f t="shared" si="218"/>
        <v>0</v>
      </c>
      <c r="O731" s="254"/>
      <c r="P731" s="128"/>
      <c r="Q731" s="18"/>
      <c r="R731" s="255"/>
      <c r="S731" s="225"/>
      <c r="T731" s="226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 spans="1:36" ht="13.5" customHeight="1">
      <c r="A732" s="4"/>
      <c r="B732" s="15" t="s">
        <v>3859</v>
      </c>
      <c r="C732" s="328" t="s">
        <v>3860</v>
      </c>
      <c r="D732" s="257">
        <f>SUMIF(GL!$D$5:$D$6446,B732,GL!$G$5:$G$6446)</f>
        <v>0</v>
      </c>
      <c r="E732" s="258">
        <f>SUMIF(GL!$D$6:$D$6484,B732,GL!$H$6:$H$6484)</f>
        <v>0</v>
      </c>
      <c r="F732" s="258">
        <f>SUMIF(GL!$D$6:$D$6484,B732,GL!$I$6:$I$6484)</f>
        <v>0</v>
      </c>
      <c r="G732" s="258">
        <f t="shared" si="215"/>
        <v>0</v>
      </c>
      <c r="H732" s="258">
        <f t="shared" si="216"/>
        <v>0</v>
      </c>
      <c r="I732" s="250"/>
      <c r="J732" s="251"/>
      <c r="K732" s="252"/>
      <c r="L732" s="253">
        <f t="shared" si="217"/>
        <v>0</v>
      </c>
      <c r="M732" s="128"/>
      <c r="N732" s="128">
        <f t="shared" si="218"/>
        <v>0</v>
      </c>
      <c r="O732" s="254"/>
      <c r="P732" s="128"/>
      <c r="Q732" s="18"/>
      <c r="R732" s="255"/>
      <c r="S732" s="225"/>
      <c r="T732" s="226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 spans="1:36" ht="13.5" customHeight="1">
      <c r="A733" s="4"/>
      <c r="B733" s="15" t="s">
        <v>3861</v>
      </c>
      <c r="C733" s="328" t="s">
        <v>3862</v>
      </c>
      <c r="D733" s="257">
        <f>SUMIF(GL!$D$5:$D$6446,B733,GL!$G$5:$G$6446)</f>
        <v>0</v>
      </c>
      <c r="E733" s="258">
        <f>SUMIF(GL!$D$6:$D$6484,B733,GL!$H$6:$H$6484)</f>
        <v>0</v>
      </c>
      <c r="F733" s="258">
        <f>SUMIF(GL!$D$6:$D$6484,B733,GL!$I$6:$I$6484)</f>
        <v>0</v>
      </c>
      <c r="G733" s="258">
        <f t="shared" si="215"/>
        <v>0</v>
      </c>
      <c r="H733" s="258">
        <f t="shared" si="216"/>
        <v>0</v>
      </c>
      <c r="I733" s="250"/>
      <c r="J733" s="251"/>
      <c r="K733" s="252"/>
      <c r="L733" s="253">
        <f t="shared" si="217"/>
        <v>0</v>
      </c>
      <c r="M733" s="128"/>
      <c r="N733" s="128">
        <f t="shared" si="218"/>
        <v>0</v>
      </c>
      <c r="O733" s="254"/>
      <c r="P733" s="128"/>
      <c r="Q733" s="18"/>
      <c r="R733" s="255"/>
      <c r="S733" s="225"/>
      <c r="T733" s="226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 spans="1:36" ht="13.5" customHeight="1">
      <c r="A734" s="4"/>
      <c r="B734" s="15" t="s">
        <v>3863</v>
      </c>
      <c r="C734" s="328" t="s">
        <v>3864</v>
      </c>
      <c r="D734" s="257">
        <f>SUMIF(GL!$D$5:$D$6446,B734,GL!$G$5:$G$6446)</f>
        <v>0</v>
      </c>
      <c r="E734" s="258">
        <f>SUMIF(GL!$D$6:$D$6484,B734,GL!$H$6:$H$6484)</f>
        <v>0</v>
      </c>
      <c r="F734" s="258">
        <f>SUMIF(GL!$D$6:$D$6484,B734,GL!$I$6:$I$6484)</f>
        <v>0</v>
      </c>
      <c r="G734" s="258">
        <f t="shared" si="215"/>
        <v>0</v>
      </c>
      <c r="H734" s="258">
        <f t="shared" si="216"/>
        <v>0</v>
      </c>
      <c r="I734" s="250"/>
      <c r="J734" s="251"/>
      <c r="K734" s="252"/>
      <c r="L734" s="253">
        <f t="shared" si="217"/>
        <v>0</v>
      </c>
      <c r="M734" s="128"/>
      <c r="N734" s="128">
        <f t="shared" si="218"/>
        <v>0</v>
      </c>
      <c r="O734" s="254" t="s">
        <v>3856</v>
      </c>
      <c r="P734" s="128"/>
      <c r="Q734" s="18"/>
      <c r="R734" s="255"/>
      <c r="S734" s="225"/>
      <c r="T734" s="226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spans="1:36" ht="13.5" customHeight="1">
      <c r="A735" s="4"/>
      <c r="B735" s="15" t="s">
        <v>3865</v>
      </c>
      <c r="C735" s="328" t="s">
        <v>3866</v>
      </c>
      <c r="D735" s="257">
        <f>SUMIF(GL!$D$5:$D$6446,B735,GL!$G$5:$G$6446)</f>
        <v>0</v>
      </c>
      <c r="E735" s="258">
        <f>SUMIF(GL!$D$6:$D$6484,B735,GL!$H$6:$H$6484)</f>
        <v>0</v>
      </c>
      <c r="F735" s="258">
        <f>SUMIF(GL!$D$6:$D$6484,B735,GL!$I$6:$I$6484)</f>
        <v>0</v>
      </c>
      <c r="G735" s="258">
        <f t="shared" si="215"/>
        <v>0</v>
      </c>
      <c r="H735" s="258">
        <f t="shared" si="216"/>
        <v>0</v>
      </c>
      <c r="I735" s="250"/>
      <c r="J735" s="251"/>
      <c r="K735" s="252"/>
      <c r="L735" s="253">
        <f t="shared" si="217"/>
        <v>0</v>
      </c>
      <c r="M735" s="128"/>
      <c r="N735" s="128">
        <f t="shared" si="218"/>
        <v>0</v>
      </c>
      <c r="O735" s="254" t="s">
        <v>3856</v>
      </c>
      <c r="P735" s="128"/>
      <c r="Q735" s="18"/>
      <c r="R735" s="255"/>
      <c r="S735" s="225"/>
      <c r="T735" s="226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spans="1:36" ht="13.5" customHeight="1">
      <c r="A736" s="4"/>
      <c r="B736" s="15" t="s">
        <v>3867</v>
      </c>
      <c r="C736" s="328" t="s">
        <v>3868</v>
      </c>
      <c r="D736" s="257">
        <f>SUMIF(GL!$D$5:$D$6446,B736,GL!$G$5:$G$6446)</f>
        <v>0</v>
      </c>
      <c r="E736" s="258">
        <f>SUMIF(GL!$D$6:$D$6484,B736,GL!$H$6:$H$6484)</f>
        <v>0</v>
      </c>
      <c r="F736" s="258">
        <f>SUMIF(GL!$D$6:$D$6484,B736,GL!$I$6:$I$6484)</f>
        <v>0</v>
      </c>
      <c r="G736" s="258">
        <f t="shared" si="215"/>
        <v>0</v>
      </c>
      <c r="H736" s="258">
        <f t="shared" si="216"/>
        <v>0</v>
      </c>
      <c r="I736" s="250"/>
      <c r="J736" s="251"/>
      <c r="K736" s="252"/>
      <c r="L736" s="253">
        <f t="shared" si="217"/>
        <v>0</v>
      </c>
      <c r="M736" s="128"/>
      <c r="N736" s="128">
        <f t="shared" si="218"/>
        <v>0</v>
      </c>
      <c r="O736" s="254"/>
      <c r="P736" s="128"/>
      <c r="Q736" s="18"/>
      <c r="R736" s="255"/>
      <c r="S736" s="225"/>
      <c r="T736" s="226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spans="1:36" ht="13.5" customHeight="1">
      <c r="A737" s="4"/>
      <c r="B737" s="15" t="s">
        <v>3869</v>
      </c>
      <c r="C737" s="328" t="s">
        <v>3870</v>
      </c>
      <c r="D737" s="257">
        <f>SUMIF(GL!$D$5:$D$6446,B737,GL!$G$5:$G$6446)</f>
        <v>0</v>
      </c>
      <c r="E737" s="258">
        <f>SUMIF(GL!$D$6:$D$6484,B737,GL!$H$6:$H$6484)</f>
        <v>0</v>
      </c>
      <c r="F737" s="258">
        <f>SUMIF(GL!$D$6:$D$6484,B737,GL!$I$6:$I$6484)</f>
        <v>0</v>
      </c>
      <c r="G737" s="258">
        <f t="shared" si="215"/>
        <v>0</v>
      </c>
      <c r="H737" s="258">
        <f t="shared" si="216"/>
        <v>0</v>
      </c>
      <c r="I737" s="250"/>
      <c r="J737" s="251"/>
      <c r="K737" s="252"/>
      <c r="L737" s="253">
        <f t="shared" si="217"/>
        <v>0</v>
      </c>
      <c r="M737" s="128"/>
      <c r="N737" s="128">
        <f t="shared" si="218"/>
        <v>0</v>
      </c>
      <c r="O737" s="254" t="s">
        <v>3856</v>
      </c>
      <c r="P737" s="128"/>
      <c r="Q737" s="18"/>
      <c r="R737" s="255"/>
      <c r="S737" s="225"/>
      <c r="T737" s="226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 spans="1:36" ht="13.5" customHeight="1">
      <c r="A738" s="4"/>
      <c r="B738" s="15" t="s">
        <v>3871</v>
      </c>
      <c r="C738" s="328" t="s">
        <v>3872</v>
      </c>
      <c r="D738" s="257">
        <f>SUMIF(GL!$D$5:$D$6446,B738,GL!$G$5:$G$6446)</f>
        <v>0</v>
      </c>
      <c r="E738" s="258">
        <f>SUMIF(GL!$D$6:$D$6484,B738,GL!$H$6:$H$6484)</f>
        <v>0</v>
      </c>
      <c r="F738" s="258">
        <f>SUMIF(GL!$D$6:$D$6484,B738,GL!$I$6:$I$6484)</f>
        <v>0</v>
      </c>
      <c r="G738" s="258">
        <f t="shared" si="215"/>
        <v>0</v>
      </c>
      <c r="H738" s="258">
        <f t="shared" si="216"/>
        <v>0</v>
      </c>
      <c r="I738" s="250"/>
      <c r="J738" s="251"/>
      <c r="K738" s="252"/>
      <c r="L738" s="253">
        <f t="shared" si="217"/>
        <v>0</v>
      </c>
      <c r="M738" s="128"/>
      <c r="N738" s="128">
        <f t="shared" si="218"/>
        <v>0</v>
      </c>
      <c r="O738" s="254" t="s">
        <v>3856</v>
      </c>
      <c r="P738" s="128"/>
      <c r="Q738" s="18"/>
      <c r="R738" s="255"/>
      <c r="S738" s="225"/>
      <c r="T738" s="226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 spans="1:36" ht="13.5" customHeight="1">
      <c r="A739" s="4"/>
      <c r="B739" s="15" t="s">
        <v>3873</v>
      </c>
      <c r="C739" s="328" t="s">
        <v>3874</v>
      </c>
      <c r="D739" s="257">
        <f>SUMIF(GL!$D$5:$D$6446,B739,GL!$G$5:$G$6446)</f>
        <v>0</v>
      </c>
      <c r="E739" s="258">
        <f>SUMIF(GL!$D$6:$D$6484,B739,GL!$H$6:$H$6484)</f>
        <v>0</v>
      </c>
      <c r="F739" s="258">
        <f>SUMIF(GL!$D$6:$D$6484,B739,GL!$I$6:$I$6484)</f>
        <v>0</v>
      </c>
      <c r="G739" s="258">
        <f t="shared" si="215"/>
        <v>0</v>
      </c>
      <c r="H739" s="258">
        <f t="shared" si="216"/>
        <v>0</v>
      </c>
      <c r="I739" s="250"/>
      <c r="J739" s="251"/>
      <c r="K739" s="252"/>
      <c r="L739" s="253">
        <f t="shared" si="217"/>
        <v>0</v>
      </c>
      <c r="M739" s="128"/>
      <c r="N739" s="128">
        <f t="shared" si="218"/>
        <v>0</v>
      </c>
      <c r="O739" s="254" t="s">
        <v>3856</v>
      </c>
      <c r="P739" s="128"/>
      <c r="Q739" s="18"/>
      <c r="R739" s="255"/>
      <c r="S739" s="225"/>
      <c r="T739" s="226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 spans="1:36" ht="13.5" customHeight="1">
      <c r="A740" s="4"/>
      <c r="B740" s="15" t="s">
        <v>3875</v>
      </c>
      <c r="C740" s="328" t="s">
        <v>3876</v>
      </c>
      <c r="D740" s="257">
        <f>SUMIF(GL!$D$5:$D$6446,B740,GL!$G$5:$G$6446)</f>
        <v>0</v>
      </c>
      <c r="E740" s="258">
        <f>SUMIF(GL!$D$6:$D$6484,B740,GL!$H$6:$H$6484)</f>
        <v>0</v>
      </c>
      <c r="F740" s="258">
        <f>SUMIF(GL!$D$6:$D$6484,B740,GL!$I$6:$I$6484)</f>
        <v>0</v>
      </c>
      <c r="G740" s="258">
        <f t="shared" si="215"/>
        <v>0</v>
      </c>
      <c r="H740" s="258">
        <f t="shared" si="216"/>
        <v>0</v>
      </c>
      <c r="I740" s="250"/>
      <c r="J740" s="251"/>
      <c r="K740" s="252"/>
      <c r="L740" s="253">
        <f t="shared" si="217"/>
        <v>0</v>
      </c>
      <c r="M740" s="128"/>
      <c r="N740" s="128">
        <f t="shared" si="218"/>
        <v>0</v>
      </c>
      <c r="O740" s="254" t="s">
        <v>3856</v>
      </c>
      <c r="P740" s="128"/>
      <c r="Q740" s="18"/>
      <c r="R740" s="255"/>
      <c r="S740" s="225"/>
      <c r="T740" s="226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 spans="1:36" ht="13.5" customHeight="1">
      <c r="A741" s="4"/>
      <c r="B741" s="15" t="s">
        <v>3877</v>
      </c>
      <c r="C741" s="328" t="s">
        <v>3878</v>
      </c>
      <c r="D741" s="257">
        <f>SUMIF(GL!$D$5:$D$6446,B741,GL!$G$5:$G$6446)</f>
        <v>0</v>
      </c>
      <c r="E741" s="258">
        <f>SUMIF(GL!$D$6:$D$6484,B741,GL!$H$6:$H$6484)</f>
        <v>0</v>
      </c>
      <c r="F741" s="258">
        <f>SUMIF(GL!$D$6:$D$6484,B741,GL!$I$6:$I$6484)</f>
        <v>0</v>
      </c>
      <c r="G741" s="258">
        <f t="shared" si="215"/>
        <v>0</v>
      </c>
      <c r="H741" s="258">
        <f t="shared" si="216"/>
        <v>0</v>
      </c>
      <c r="I741" s="250"/>
      <c r="J741" s="251"/>
      <c r="K741" s="252"/>
      <c r="L741" s="253">
        <f t="shared" si="217"/>
        <v>0</v>
      </c>
      <c r="M741" s="128"/>
      <c r="N741" s="128">
        <f t="shared" si="218"/>
        <v>0</v>
      </c>
      <c r="O741" s="254" t="s">
        <v>3856</v>
      </c>
      <c r="P741" s="128"/>
      <c r="Q741" s="18"/>
      <c r="R741" s="255"/>
      <c r="S741" s="225"/>
      <c r="T741" s="226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 spans="1:36" ht="13.5" customHeight="1">
      <c r="A742" s="4"/>
      <c r="B742" s="15" t="s">
        <v>3879</v>
      </c>
      <c r="C742" s="328" t="s">
        <v>3880</v>
      </c>
      <c r="D742" s="257">
        <f>SUMIF(GL!$D$5:$D$6446,B742,GL!$G$5:$G$6446)</f>
        <v>0</v>
      </c>
      <c r="E742" s="258">
        <f>SUMIF(GL!$D$6:$D$6484,B742,GL!$H$6:$H$6484)</f>
        <v>0</v>
      </c>
      <c r="F742" s="258">
        <f>SUMIF(GL!$D$6:$D$6484,B742,GL!$I$6:$I$6484)</f>
        <v>0</v>
      </c>
      <c r="G742" s="258">
        <f t="shared" si="215"/>
        <v>0</v>
      </c>
      <c r="H742" s="258">
        <f t="shared" si="216"/>
        <v>0</v>
      </c>
      <c r="I742" s="250"/>
      <c r="J742" s="251"/>
      <c r="K742" s="252"/>
      <c r="L742" s="253">
        <f t="shared" si="217"/>
        <v>0</v>
      </c>
      <c r="M742" s="128"/>
      <c r="N742" s="128">
        <f t="shared" si="218"/>
        <v>0</v>
      </c>
      <c r="O742" s="254" t="s">
        <v>3856</v>
      </c>
      <c r="P742" s="128"/>
      <c r="Q742" s="18"/>
      <c r="R742" s="255"/>
      <c r="S742" s="225"/>
      <c r="T742" s="226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 spans="1:36" ht="13.5" customHeight="1">
      <c r="A743" s="4"/>
      <c r="B743" s="15" t="s">
        <v>3881</v>
      </c>
      <c r="C743" s="328" t="s">
        <v>3882</v>
      </c>
      <c r="D743" s="257">
        <f>SUMIF(GL!$D$5:$D$6446,B743,GL!$G$5:$G$6446)</f>
        <v>0</v>
      </c>
      <c r="E743" s="258">
        <f>SUMIF(GL!$D$6:$D$6484,B743,GL!$H$6:$H$6484)</f>
        <v>0</v>
      </c>
      <c r="F743" s="258">
        <f>SUMIF(GL!$D$6:$D$6484,B743,GL!$I$6:$I$6484)</f>
        <v>0</v>
      </c>
      <c r="G743" s="258">
        <f t="shared" si="215"/>
        <v>0</v>
      </c>
      <c r="H743" s="258">
        <f t="shared" si="216"/>
        <v>0</v>
      </c>
      <c r="I743" s="250"/>
      <c r="J743" s="251"/>
      <c r="K743" s="252"/>
      <c r="L743" s="253">
        <f t="shared" si="217"/>
        <v>0</v>
      </c>
      <c r="M743" s="128"/>
      <c r="N743" s="128">
        <f t="shared" si="218"/>
        <v>0</v>
      </c>
      <c r="O743" s="254" t="s">
        <v>3856</v>
      </c>
      <c r="P743" s="128"/>
      <c r="Q743" s="18"/>
      <c r="R743" s="255"/>
      <c r="S743" s="225"/>
      <c r="T743" s="226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spans="1:36" ht="13.5" customHeight="1">
      <c r="A744" s="4"/>
      <c r="B744" s="15" t="s">
        <v>3883</v>
      </c>
      <c r="C744" s="328" t="s">
        <v>3884</v>
      </c>
      <c r="D744" s="257">
        <f>SUMIF(GL!$D$5:$D$6446,B744,GL!$G$5:$G$6446)</f>
        <v>0</v>
      </c>
      <c r="E744" s="258">
        <f>SUMIF(GL!$D$6:$D$6484,B744,GL!$H$6:$H$6484)</f>
        <v>0</v>
      </c>
      <c r="F744" s="258">
        <f>SUMIF(GL!$D$6:$D$6484,B744,GL!$I$6:$I$6484)</f>
        <v>0</v>
      </c>
      <c r="G744" s="258">
        <f t="shared" si="215"/>
        <v>0</v>
      </c>
      <c r="H744" s="258">
        <f t="shared" si="216"/>
        <v>0</v>
      </c>
      <c r="I744" s="250"/>
      <c r="J744" s="251"/>
      <c r="K744" s="252"/>
      <c r="L744" s="253">
        <f t="shared" si="217"/>
        <v>0</v>
      </c>
      <c r="M744" s="128"/>
      <c r="N744" s="128">
        <f t="shared" si="218"/>
        <v>0</v>
      </c>
      <c r="O744" s="254" t="s">
        <v>3856</v>
      </c>
      <c r="P744" s="128"/>
      <c r="Q744" s="18"/>
      <c r="R744" s="255"/>
      <c r="S744" s="225"/>
      <c r="T744" s="226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spans="1:36" ht="13.5" customHeight="1">
      <c r="A745" s="4"/>
      <c r="B745" s="15" t="s">
        <v>3885</v>
      </c>
      <c r="C745" s="328" t="s">
        <v>3886</v>
      </c>
      <c r="D745" s="257">
        <f>SUMIF(GL!$D$5:$D$6446,B745,GL!$G$5:$G$6446)</f>
        <v>0</v>
      </c>
      <c r="E745" s="258">
        <f>SUMIF(GL!$D$6:$D$6484,B745,GL!$H$6:$H$6484)</f>
        <v>0</v>
      </c>
      <c r="F745" s="258">
        <f>SUMIF(GL!$D$6:$D$6484,B745,GL!$I$6:$I$6484)</f>
        <v>0</v>
      </c>
      <c r="G745" s="258">
        <f t="shared" si="215"/>
        <v>0</v>
      </c>
      <c r="H745" s="258">
        <f t="shared" si="216"/>
        <v>0</v>
      </c>
      <c r="I745" s="250"/>
      <c r="J745" s="251"/>
      <c r="K745" s="252"/>
      <c r="L745" s="253">
        <f t="shared" si="217"/>
        <v>0</v>
      </c>
      <c r="M745" s="128"/>
      <c r="N745" s="128">
        <f t="shared" si="218"/>
        <v>0</v>
      </c>
      <c r="O745" s="254" t="s">
        <v>3856</v>
      </c>
      <c r="P745" s="128"/>
      <c r="Q745" s="18"/>
      <c r="R745" s="255"/>
      <c r="S745" s="225"/>
      <c r="T745" s="226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spans="1:36" ht="13.5" customHeight="1">
      <c r="A746" s="4"/>
      <c r="B746" s="15" t="s">
        <v>3887</v>
      </c>
      <c r="C746" s="328" t="s">
        <v>3888</v>
      </c>
      <c r="D746" s="257">
        <f>SUMIF(GL!$D$5:$D$6446,B746,GL!$G$5:$G$6446)</f>
        <v>0</v>
      </c>
      <c r="E746" s="258">
        <f>SUMIF(GL!$D$6:$D$6484,B746,GL!$H$6:$H$6484)</f>
        <v>0</v>
      </c>
      <c r="F746" s="258">
        <f>SUMIF(GL!$D$6:$D$6484,B746,GL!$I$6:$I$6484)</f>
        <v>0</v>
      </c>
      <c r="G746" s="258">
        <f t="shared" si="215"/>
        <v>0</v>
      </c>
      <c r="H746" s="258">
        <f t="shared" si="216"/>
        <v>0</v>
      </c>
      <c r="I746" s="250"/>
      <c r="J746" s="251"/>
      <c r="K746" s="252"/>
      <c r="L746" s="253">
        <f t="shared" si="217"/>
        <v>0</v>
      </c>
      <c r="M746" s="128"/>
      <c r="N746" s="128">
        <f t="shared" si="218"/>
        <v>0</v>
      </c>
      <c r="O746" s="254" t="s">
        <v>3856</v>
      </c>
      <c r="P746" s="128"/>
      <c r="Q746" s="18"/>
      <c r="R746" s="255"/>
      <c r="S746" s="225"/>
      <c r="T746" s="226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 spans="1:36" ht="13.5" customHeight="1">
      <c r="A747" s="4"/>
      <c r="B747" s="15" t="s">
        <v>3889</v>
      </c>
      <c r="C747" s="328" t="s">
        <v>3890</v>
      </c>
      <c r="D747" s="257">
        <f>SUMIF(GL!$D$5:$D$6446,B747,GL!$G$5:$G$6446)</f>
        <v>0</v>
      </c>
      <c r="E747" s="258">
        <f>SUMIF(GL!$D$6:$D$6484,B747,GL!$H$6:$H$6484)</f>
        <v>0</v>
      </c>
      <c r="F747" s="258">
        <f>SUMIF(GL!$D$6:$D$6484,B747,GL!$I$6:$I$6484)</f>
        <v>0</v>
      </c>
      <c r="G747" s="258">
        <f t="shared" si="215"/>
        <v>0</v>
      </c>
      <c r="H747" s="258">
        <f t="shared" si="216"/>
        <v>0</v>
      </c>
      <c r="I747" s="250"/>
      <c r="J747" s="251"/>
      <c r="K747" s="252"/>
      <c r="L747" s="253">
        <f t="shared" si="217"/>
        <v>0</v>
      </c>
      <c r="M747" s="128"/>
      <c r="N747" s="128">
        <f t="shared" si="218"/>
        <v>0</v>
      </c>
      <c r="O747" s="254" t="s">
        <v>3856</v>
      </c>
      <c r="P747" s="128"/>
      <c r="Q747" s="18"/>
      <c r="R747" s="255"/>
      <c r="S747" s="225"/>
      <c r="T747" s="226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 spans="1:36" ht="13.5" customHeight="1">
      <c r="A748" s="4"/>
      <c r="B748" s="15" t="s">
        <v>3891</v>
      </c>
      <c r="C748" s="328" t="s">
        <v>3892</v>
      </c>
      <c r="D748" s="257">
        <f>SUMIF(GL!$D$5:$D$6446,B748,GL!$G$5:$G$6446)</f>
        <v>0</v>
      </c>
      <c r="E748" s="258">
        <f>SUMIF(GL!$D$6:$D$6484,B748,GL!$H$6:$H$6484)</f>
        <v>0</v>
      </c>
      <c r="F748" s="258">
        <f>SUMIF(GL!$D$6:$D$6484,B748,GL!$I$6:$I$6484)</f>
        <v>0</v>
      </c>
      <c r="G748" s="258">
        <f t="shared" si="215"/>
        <v>0</v>
      </c>
      <c r="H748" s="258">
        <f t="shared" si="216"/>
        <v>0</v>
      </c>
      <c r="I748" s="250"/>
      <c r="J748" s="251">
        <v>200000</v>
      </c>
      <c r="K748" s="252"/>
      <c r="L748" s="253">
        <f t="shared" si="217"/>
        <v>0</v>
      </c>
      <c r="M748" s="128"/>
      <c r="N748" s="128">
        <f t="shared" si="218"/>
        <v>0</v>
      </c>
      <c r="O748" s="254"/>
      <c r="P748" s="128">
        <f t="shared" ref="P748:P751" si="219">M748</f>
        <v>0</v>
      </c>
      <c r="Q748" s="18">
        <f t="shared" ref="Q748:Q751" si="220">O748*P748</f>
        <v>0</v>
      </c>
      <c r="R748" s="255">
        <f t="shared" ref="R748:R751" si="221">N748-Q748</f>
        <v>0</v>
      </c>
      <c r="S748" s="225"/>
      <c r="T748" s="226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 spans="1:36" ht="13.5" customHeight="1">
      <c r="A749" s="4"/>
      <c r="B749" s="15" t="s">
        <v>3893</v>
      </c>
      <c r="C749" s="328" t="s">
        <v>3894</v>
      </c>
      <c r="D749" s="257">
        <f>SUMIF(GL!$D$5:$D$6446,B749,GL!$G$5:$G$6446)</f>
        <v>0</v>
      </c>
      <c r="E749" s="258">
        <f>SUMIF(GL!$D$6:$D$6484,B749,GL!$H$6:$H$6484)</f>
        <v>0</v>
      </c>
      <c r="F749" s="258">
        <f>SUMIF(GL!$D$6:$D$6484,B749,GL!$I$6:$I$6484)</f>
        <v>0</v>
      </c>
      <c r="G749" s="258">
        <f t="shared" si="215"/>
        <v>0</v>
      </c>
      <c r="H749" s="258">
        <f t="shared" si="216"/>
        <v>0</v>
      </c>
      <c r="I749" s="250">
        <v>1</v>
      </c>
      <c r="J749" s="251"/>
      <c r="K749" s="252"/>
      <c r="L749" s="253">
        <f t="shared" si="217"/>
        <v>1</v>
      </c>
      <c r="M749" s="128"/>
      <c r="N749" s="128">
        <f t="shared" si="218"/>
        <v>0</v>
      </c>
      <c r="O749" s="254">
        <v>1</v>
      </c>
      <c r="P749" s="128">
        <f t="shared" si="219"/>
        <v>0</v>
      </c>
      <c r="Q749" s="18">
        <f t="shared" si="220"/>
        <v>0</v>
      </c>
      <c r="R749" s="255">
        <f t="shared" si="221"/>
        <v>0</v>
      </c>
      <c r="S749" s="225"/>
      <c r="T749" s="226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 spans="1:36" ht="13.5" customHeight="1">
      <c r="A750" s="4"/>
      <c r="B750" s="15" t="s">
        <v>3895</v>
      </c>
      <c r="C750" s="328" t="s">
        <v>3896</v>
      </c>
      <c r="D750" s="257">
        <f>SUMIF(GL!$D$5:$D$6446,B750,GL!$G$5:$G$6446)</f>
        <v>0</v>
      </c>
      <c r="E750" s="258">
        <f>SUMIF(GL!$D$6:$D$6484,B750,GL!$H$6:$H$6484)</f>
        <v>0</v>
      </c>
      <c r="F750" s="258">
        <f>SUMIF(GL!$D$6:$D$6484,B750,GL!$I$6:$I$6484)</f>
        <v>0</v>
      </c>
      <c r="G750" s="258">
        <f t="shared" si="215"/>
        <v>0</v>
      </c>
      <c r="H750" s="258">
        <f t="shared" si="216"/>
        <v>0</v>
      </c>
      <c r="I750" s="250"/>
      <c r="J750" s="251">
        <v>200000</v>
      </c>
      <c r="K750" s="252"/>
      <c r="L750" s="253">
        <f t="shared" si="217"/>
        <v>0</v>
      </c>
      <c r="M750" s="128"/>
      <c r="N750" s="128">
        <f t="shared" si="218"/>
        <v>0</v>
      </c>
      <c r="O750" s="254"/>
      <c r="P750" s="128">
        <f t="shared" si="219"/>
        <v>0</v>
      </c>
      <c r="Q750" s="18">
        <f t="shared" si="220"/>
        <v>0</v>
      </c>
      <c r="R750" s="255">
        <f t="shared" si="221"/>
        <v>0</v>
      </c>
      <c r="S750" s="225"/>
      <c r="T750" s="226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 spans="1:36" ht="13.5" customHeight="1">
      <c r="A751" s="4"/>
      <c r="B751" s="15" t="s">
        <v>3897</v>
      </c>
      <c r="C751" s="328" t="s">
        <v>3898</v>
      </c>
      <c r="D751" s="257">
        <f>SUMIF(GL!$D$5:$D$6446,B751,GL!$G$5:$G$6446)</f>
        <v>0</v>
      </c>
      <c r="E751" s="258">
        <f>SUMIF(GL!$D$6:$D$6484,B751,GL!$H$6:$H$6484)</f>
        <v>0</v>
      </c>
      <c r="F751" s="258">
        <f>SUMIF(GL!$D$6:$D$6484,B751,GL!$I$6:$I$6484)</f>
        <v>0</v>
      </c>
      <c r="G751" s="258">
        <f t="shared" si="215"/>
        <v>0</v>
      </c>
      <c r="H751" s="258">
        <f t="shared" si="216"/>
        <v>0</v>
      </c>
      <c r="I751" s="250">
        <v>1</v>
      </c>
      <c r="J751" s="251"/>
      <c r="K751" s="252"/>
      <c r="L751" s="253">
        <f t="shared" si="217"/>
        <v>1</v>
      </c>
      <c r="M751" s="128"/>
      <c r="N751" s="128">
        <f t="shared" si="218"/>
        <v>0</v>
      </c>
      <c r="O751" s="254">
        <v>1</v>
      </c>
      <c r="P751" s="128">
        <f t="shared" si="219"/>
        <v>0</v>
      </c>
      <c r="Q751" s="18">
        <f t="shared" si="220"/>
        <v>0</v>
      </c>
      <c r="R751" s="255">
        <f t="shared" si="221"/>
        <v>0</v>
      </c>
      <c r="S751" s="225"/>
      <c r="T751" s="226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 spans="1:36" ht="13.5" customHeight="1">
      <c r="A752" s="4"/>
      <c r="B752" s="15" t="s">
        <v>3899</v>
      </c>
      <c r="C752" s="260" t="s">
        <v>3900</v>
      </c>
      <c r="D752" s="257">
        <f>SUMIF(GL!$D$5:$D$6446,B752,GL!$G$5:$G$6446)</f>
        <v>0</v>
      </c>
      <c r="E752" s="258">
        <f>SUMIF(GL!$D$6:$D$6484,B752,GL!$H$6:$H$6484)</f>
        <v>0</v>
      </c>
      <c r="F752" s="258">
        <f>SUMIF(GL!$D$6:$D$6484,B752,GL!$I$6:$I$6484)</f>
        <v>0</v>
      </c>
      <c r="G752" s="258">
        <f t="shared" si="215"/>
        <v>0</v>
      </c>
      <c r="H752" s="258">
        <f t="shared" si="216"/>
        <v>0</v>
      </c>
      <c r="I752" s="250"/>
      <c r="J752" s="251"/>
      <c r="K752" s="252"/>
      <c r="L752" s="253">
        <f t="shared" si="217"/>
        <v>0</v>
      </c>
      <c r="M752" s="128"/>
      <c r="N752" s="128">
        <f t="shared" si="218"/>
        <v>0</v>
      </c>
      <c r="O752" s="254" t="s">
        <v>3856</v>
      </c>
      <c r="P752" s="128"/>
      <c r="Q752" s="18"/>
      <c r="R752" s="255"/>
      <c r="S752" s="225"/>
      <c r="T752" s="226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spans="1:36" ht="13.5" customHeight="1">
      <c r="A753" s="4"/>
      <c r="B753" s="15" t="s">
        <v>3901</v>
      </c>
      <c r="C753" s="260" t="s">
        <v>3902</v>
      </c>
      <c r="D753" s="257">
        <f>SUMIF(GL!$D$5:$D$6446,B753,GL!$G$5:$G$6446)</f>
        <v>0</v>
      </c>
      <c r="E753" s="258">
        <f>SUMIF(GL!$D$6:$D$6484,B753,GL!$H$6:$H$6484)</f>
        <v>0</v>
      </c>
      <c r="F753" s="258">
        <f>SUMIF(GL!$D$6:$D$6484,B753,GL!$I$6:$I$6484)</f>
        <v>0</v>
      </c>
      <c r="G753" s="258">
        <f t="shared" si="215"/>
        <v>0</v>
      </c>
      <c r="H753" s="258">
        <f t="shared" si="216"/>
        <v>0</v>
      </c>
      <c r="I753" s="250"/>
      <c r="J753" s="251"/>
      <c r="K753" s="252"/>
      <c r="L753" s="253">
        <f t="shared" si="217"/>
        <v>0</v>
      </c>
      <c r="M753" s="128"/>
      <c r="N753" s="128">
        <f t="shared" si="218"/>
        <v>0</v>
      </c>
      <c r="O753" s="254" t="s">
        <v>3856</v>
      </c>
      <c r="P753" s="128"/>
      <c r="Q753" s="18"/>
      <c r="R753" s="255"/>
      <c r="S753" s="225"/>
      <c r="T753" s="226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spans="1:36" ht="13.5" customHeight="1">
      <c r="A754" s="4"/>
      <c r="B754" s="15" t="s">
        <v>3903</v>
      </c>
      <c r="C754" s="260" t="s">
        <v>3904</v>
      </c>
      <c r="D754" s="257">
        <f>SUMIF(GL!$D$5:$D$6446,B754,GL!$G$5:$G$6446)</f>
        <v>0</v>
      </c>
      <c r="E754" s="258">
        <f>SUMIF(GL!$D$6:$D$6484,B754,GL!$H$6:$H$6484)</f>
        <v>0</v>
      </c>
      <c r="F754" s="258">
        <f>SUMIF(GL!$D$6:$D$6484,B754,GL!$I$6:$I$6484)</f>
        <v>0</v>
      </c>
      <c r="G754" s="258">
        <f t="shared" si="215"/>
        <v>0</v>
      </c>
      <c r="H754" s="258">
        <f t="shared" si="216"/>
        <v>0</v>
      </c>
      <c r="I754" s="250"/>
      <c r="J754" s="251"/>
      <c r="K754" s="252"/>
      <c r="L754" s="253">
        <f t="shared" si="217"/>
        <v>0</v>
      </c>
      <c r="M754" s="128"/>
      <c r="N754" s="128">
        <f t="shared" si="218"/>
        <v>0</v>
      </c>
      <c r="O754" s="254" t="s">
        <v>3856</v>
      </c>
      <c r="P754" s="128"/>
      <c r="Q754" s="18"/>
      <c r="R754" s="255"/>
      <c r="S754" s="225"/>
      <c r="T754" s="226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spans="1:36" ht="13.5" customHeight="1">
      <c r="A755" s="4"/>
      <c r="B755" s="15" t="s">
        <v>3905</v>
      </c>
      <c r="C755" s="260" t="s">
        <v>3906</v>
      </c>
      <c r="D755" s="257">
        <f>SUMIF(GL!$D$5:$D$6446,B755,GL!$G$5:$G$6446)</f>
        <v>0</v>
      </c>
      <c r="E755" s="258">
        <f>SUMIF(GL!$D$6:$D$6484,B755,GL!$H$6:$H$6484)</f>
        <v>0</v>
      </c>
      <c r="F755" s="258">
        <f>SUMIF(GL!$D$6:$D$6484,B755,GL!$I$6:$I$6484)</f>
        <v>0</v>
      </c>
      <c r="G755" s="258">
        <f t="shared" si="215"/>
        <v>0</v>
      </c>
      <c r="H755" s="258">
        <f t="shared" si="216"/>
        <v>0</v>
      </c>
      <c r="I755" s="250"/>
      <c r="J755" s="251"/>
      <c r="K755" s="252"/>
      <c r="L755" s="253">
        <f t="shared" si="217"/>
        <v>0</v>
      </c>
      <c r="M755" s="128"/>
      <c r="N755" s="128">
        <f t="shared" si="218"/>
        <v>0</v>
      </c>
      <c r="O755" s="254" t="s">
        <v>3856</v>
      </c>
      <c r="P755" s="128"/>
      <c r="Q755" s="18"/>
      <c r="R755" s="255"/>
      <c r="S755" s="225"/>
      <c r="T755" s="226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 spans="1:36" ht="13.5" customHeight="1">
      <c r="A756" s="4"/>
      <c r="B756" s="15" t="s">
        <v>3907</v>
      </c>
      <c r="C756" s="260" t="s">
        <v>3908</v>
      </c>
      <c r="D756" s="257">
        <f>SUMIF(GL!$D$5:$D$6446,B756,GL!$G$5:$G$6446)</f>
        <v>0</v>
      </c>
      <c r="E756" s="258">
        <f>SUMIF(GL!$D$6:$D$6484,B756,GL!$H$6:$H$6484)</f>
        <v>0</v>
      </c>
      <c r="F756" s="258">
        <f>SUMIF(GL!$D$6:$D$6484,B756,GL!$I$6:$I$6484)</f>
        <v>0</v>
      </c>
      <c r="G756" s="258">
        <f t="shared" si="215"/>
        <v>0</v>
      </c>
      <c r="H756" s="258">
        <f t="shared" si="216"/>
        <v>0</v>
      </c>
      <c r="I756" s="250"/>
      <c r="J756" s="251"/>
      <c r="K756" s="252"/>
      <c r="L756" s="253">
        <f t="shared" si="217"/>
        <v>0</v>
      </c>
      <c r="M756" s="128"/>
      <c r="N756" s="128">
        <f t="shared" si="218"/>
        <v>0</v>
      </c>
      <c r="O756" s="254" t="s">
        <v>3856</v>
      </c>
      <c r="P756" s="128"/>
      <c r="Q756" s="18"/>
      <c r="R756" s="255"/>
      <c r="S756" s="225"/>
      <c r="T756" s="226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 spans="1:36" ht="13.5" customHeight="1">
      <c r="A757" s="4"/>
      <c r="B757" s="15" t="s">
        <v>3909</v>
      </c>
      <c r="C757" s="260" t="s">
        <v>3910</v>
      </c>
      <c r="D757" s="257">
        <f>SUMIF(GL!$D$5:$D$6446,B757,GL!$G$5:$G$6446)</f>
        <v>0</v>
      </c>
      <c r="E757" s="258">
        <f>SUMIF(GL!$D$6:$D$6484,B757,GL!$H$6:$H$6484)</f>
        <v>0</v>
      </c>
      <c r="F757" s="258">
        <f>SUMIF(GL!$D$6:$D$6484,B757,GL!$I$6:$I$6484)</f>
        <v>0</v>
      </c>
      <c r="G757" s="258">
        <f t="shared" si="215"/>
        <v>0</v>
      </c>
      <c r="H757" s="258">
        <f t="shared" si="216"/>
        <v>0</v>
      </c>
      <c r="I757" s="250"/>
      <c r="J757" s="251"/>
      <c r="K757" s="252"/>
      <c r="L757" s="253">
        <f t="shared" si="217"/>
        <v>0</v>
      </c>
      <c r="M757" s="128"/>
      <c r="N757" s="128">
        <f t="shared" si="218"/>
        <v>0</v>
      </c>
      <c r="O757" s="254" t="s">
        <v>3856</v>
      </c>
      <c r="P757" s="128"/>
      <c r="Q757" s="18"/>
      <c r="R757" s="255"/>
      <c r="S757" s="225"/>
      <c r="T757" s="226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 spans="1:36" ht="13.5" customHeight="1">
      <c r="A758" s="4"/>
      <c r="B758" s="15" t="s">
        <v>3911</v>
      </c>
      <c r="C758" s="260" t="s">
        <v>3912</v>
      </c>
      <c r="D758" s="257">
        <f>SUMIF(GL!$D$5:$D$6446,B758,GL!$G$5:$G$6446)</f>
        <v>0</v>
      </c>
      <c r="E758" s="258">
        <f>SUMIF(GL!$D$6:$D$6484,B758,GL!$H$6:$H$6484)</f>
        <v>0</v>
      </c>
      <c r="F758" s="258">
        <f>SUMIF(GL!$D$6:$D$6484,B758,GL!$I$6:$I$6484)</f>
        <v>0</v>
      </c>
      <c r="G758" s="258">
        <f t="shared" si="215"/>
        <v>0</v>
      </c>
      <c r="H758" s="258">
        <f t="shared" si="216"/>
        <v>0</v>
      </c>
      <c r="I758" s="250"/>
      <c r="J758" s="251"/>
      <c r="K758" s="252"/>
      <c r="L758" s="253">
        <f t="shared" si="217"/>
        <v>0</v>
      </c>
      <c r="M758" s="128"/>
      <c r="N758" s="128">
        <f t="shared" si="218"/>
        <v>0</v>
      </c>
      <c r="O758" s="254" t="s">
        <v>3856</v>
      </c>
      <c r="P758" s="128"/>
      <c r="Q758" s="18"/>
      <c r="R758" s="255"/>
      <c r="S758" s="225"/>
      <c r="T758" s="226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 spans="1:36" ht="13.5" customHeight="1">
      <c r="A759" s="4"/>
      <c r="B759" s="15" t="s">
        <v>3913</v>
      </c>
      <c r="C759" s="260" t="s">
        <v>3914</v>
      </c>
      <c r="D759" s="257">
        <f>SUMIF(GL!$D$5:$D$6446,B759,GL!$G$5:$G$6446)</f>
        <v>0</v>
      </c>
      <c r="E759" s="258">
        <f>SUMIF(GL!$D$6:$D$6484,B759,GL!$H$6:$H$6484)</f>
        <v>0</v>
      </c>
      <c r="F759" s="258">
        <f>SUMIF(GL!$D$6:$D$6484,B759,GL!$I$6:$I$6484)</f>
        <v>0</v>
      </c>
      <c r="G759" s="258">
        <f t="shared" si="215"/>
        <v>0</v>
      </c>
      <c r="H759" s="258">
        <f t="shared" si="216"/>
        <v>0</v>
      </c>
      <c r="I759" s="250"/>
      <c r="J759" s="251"/>
      <c r="K759" s="252"/>
      <c r="L759" s="253">
        <f t="shared" si="217"/>
        <v>0</v>
      </c>
      <c r="M759" s="128"/>
      <c r="N759" s="128">
        <f t="shared" si="218"/>
        <v>0</v>
      </c>
      <c r="O759" s="254" t="s">
        <v>3856</v>
      </c>
      <c r="P759" s="128"/>
      <c r="Q759" s="18"/>
      <c r="R759" s="255"/>
      <c r="S759" s="225"/>
      <c r="T759" s="226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 spans="1:36" ht="13.5" customHeight="1">
      <c r="A760" s="4"/>
      <c r="B760" s="15" t="s">
        <v>3915</v>
      </c>
      <c r="C760" s="328" t="s">
        <v>3916</v>
      </c>
      <c r="D760" s="257">
        <f>SUMIF(GL!$D$5:$D$6446,B760,GL!$G$5:$G$6446)</f>
        <v>0</v>
      </c>
      <c r="E760" s="258">
        <f>SUMIF(GL!$D$6:$D$6484,B760,GL!$H$6:$H$6484)</f>
        <v>0</v>
      </c>
      <c r="F760" s="258">
        <f>SUMIF(GL!$D$6:$D$6484,B760,GL!$I$6:$I$6484)</f>
        <v>0</v>
      </c>
      <c r="G760" s="258">
        <f t="shared" si="215"/>
        <v>0</v>
      </c>
      <c r="H760" s="258">
        <f t="shared" si="216"/>
        <v>0</v>
      </c>
      <c r="I760" s="250"/>
      <c r="J760" s="251"/>
      <c r="K760" s="252"/>
      <c r="L760" s="253">
        <f t="shared" si="217"/>
        <v>0</v>
      </c>
      <c r="M760" s="128"/>
      <c r="N760" s="128">
        <f t="shared" si="218"/>
        <v>0</v>
      </c>
      <c r="O760" s="254"/>
      <c r="P760" s="128">
        <f t="shared" ref="P760:P771" si="222">M760</f>
        <v>0</v>
      </c>
      <c r="Q760" s="18">
        <f t="shared" ref="Q760:Q771" si="223">O760*P760</f>
        <v>0</v>
      </c>
      <c r="R760" s="255">
        <f t="shared" ref="R760:R771" si="224">N760-Q760</f>
        <v>0</v>
      </c>
      <c r="S760" s="225"/>
      <c r="T760" s="226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 spans="1:36" ht="13.5" customHeight="1">
      <c r="A761" s="4"/>
      <c r="B761" s="15" t="s">
        <v>3917</v>
      </c>
      <c r="C761" s="328" t="s">
        <v>3918</v>
      </c>
      <c r="D761" s="257">
        <f>SUMIF(GL!$D$5:$D$6446,B761,GL!$G$5:$G$6446)</f>
        <v>0</v>
      </c>
      <c r="E761" s="258">
        <f>SUMIF(GL!$D$6:$D$6484,B761,GL!$H$6:$H$6484)</f>
        <v>0</v>
      </c>
      <c r="F761" s="258">
        <f>SUMIF(GL!$D$6:$D$6484,B761,GL!$I$6:$I$6484)</f>
        <v>0</v>
      </c>
      <c r="G761" s="258">
        <f t="shared" si="215"/>
        <v>0</v>
      </c>
      <c r="H761" s="258">
        <f t="shared" si="216"/>
        <v>0</v>
      </c>
      <c r="I761" s="250">
        <v>2</v>
      </c>
      <c r="J761" s="251"/>
      <c r="K761" s="252"/>
      <c r="L761" s="253">
        <f t="shared" si="217"/>
        <v>2</v>
      </c>
      <c r="M761" s="128"/>
      <c r="N761" s="128">
        <f t="shared" si="218"/>
        <v>0</v>
      </c>
      <c r="O761" s="254">
        <v>2</v>
      </c>
      <c r="P761" s="128">
        <f t="shared" si="222"/>
        <v>0</v>
      </c>
      <c r="Q761" s="18">
        <f t="shared" si="223"/>
        <v>0</v>
      </c>
      <c r="R761" s="255">
        <f t="shared" si="224"/>
        <v>0</v>
      </c>
      <c r="S761" s="225"/>
      <c r="T761" s="226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spans="1:36" ht="13.5" customHeight="1">
      <c r="A762" s="4"/>
      <c r="B762" s="15" t="s">
        <v>3919</v>
      </c>
      <c r="C762" s="328" t="s">
        <v>3920</v>
      </c>
      <c r="D762" s="257">
        <f>SUMIF(GL!$D$5:$D$6446,B762,GL!$G$5:$G$6446)</f>
        <v>0</v>
      </c>
      <c r="E762" s="258">
        <f>SUMIF(GL!$D$6:$D$6484,B762,GL!$H$6:$H$6484)</f>
        <v>0</v>
      </c>
      <c r="F762" s="258">
        <f>SUMIF(GL!$D$6:$D$6484,B762,GL!$I$6:$I$6484)</f>
        <v>0</v>
      </c>
      <c r="G762" s="258">
        <f t="shared" si="215"/>
        <v>0</v>
      </c>
      <c r="H762" s="258">
        <f t="shared" si="216"/>
        <v>0</v>
      </c>
      <c r="I762" s="250">
        <v>1</v>
      </c>
      <c r="J762" s="251"/>
      <c r="K762" s="252"/>
      <c r="L762" s="253">
        <f t="shared" si="217"/>
        <v>1</v>
      </c>
      <c r="M762" s="128"/>
      <c r="N762" s="128">
        <f t="shared" si="218"/>
        <v>0</v>
      </c>
      <c r="O762" s="254">
        <v>1</v>
      </c>
      <c r="P762" s="128">
        <f t="shared" si="222"/>
        <v>0</v>
      </c>
      <c r="Q762" s="18">
        <f t="shared" si="223"/>
        <v>0</v>
      </c>
      <c r="R762" s="255">
        <f t="shared" si="224"/>
        <v>0</v>
      </c>
      <c r="S762" s="225"/>
      <c r="T762" s="226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spans="1:36" ht="13.5" customHeight="1">
      <c r="A763" s="4"/>
      <c r="B763" s="15" t="s">
        <v>3921</v>
      </c>
      <c r="C763" s="328" t="s">
        <v>3922</v>
      </c>
      <c r="D763" s="257">
        <f>SUMIF(GL!$D$5:$D$6446,B763,GL!$G$5:$G$6446)</f>
        <v>0</v>
      </c>
      <c r="E763" s="258">
        <f>SUMIF(GL!$D$6:$D$6484,B763,GL!$H$6:$H$6484)</f>
        <v>0</v>
      </c>
      <c r="F763" s="258">
        <f>SUMIF(GL!$D$6:$D$6484,B763,GL!$I$6:$I$6484)</f>
        <v>0</v>
      </c>
      <c r="G763" s="258">
        <f t="shared" si="215"/>
        <v>0</v>
      </c>
      <c r="H763" s="258">
        <f t="shared" si="216"/>
        <v>0</v>
      </c>
      <c r="I763" s="250">
        <v>2</v>
      </c>
      <c r="J763" s="251"/>
      <c r="K763" s="252"/>
      <c r="L763" s="253">
        <f t="shared" si="217"/>
        <v>2</v>
      </c>
      <c r="M763" s="128"/>
      <c r="N763" s="128">
        <f t="shared" si="218"/>
        <v>0</v>
      </c>
      <c r="O763" s="254">
        <v>2</v>
      </c>
      <c r="P763" s="128">
        <f t="shared" si="222"/>
        <v>0</v>
      </c>
      <c r="Q763" s="18">
        <f t="shared" si="223"/>
        <v>0</v>
      </c>
      <c r="R763" s="255">
        <f t="shared" si="224"/>
        <v>0</v>
      </c>
      <c r="S763" s="225"/>
      <c r="T763" s="226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spans="1:36" ht="13.5" customHeight="1">
      <c r="A764" s="4"/>
      <c r="B764" s="15" t="s">
        <v>3923</v>
      </c>
      <c r="C764" s="328" t="s">
        <v>3924</v>
      </c>
      <c r="D764" s="257">
        <f>SUMIF(GL!$D$5:$D$6446,B764,GL!$G$5:$G$6446)</f>
        <v>0</v>
      </c>
      <c r="E764" s="258">
        <f>SUMIF(GL!$D$6:$D$6484,B764,GL!$H$6:$H$6484)</f>
        <v>0</v>
      </c>
      <c r="F764" s="258">
        <f>SUMIF(GL!$D$6:$D$6484,B764,GL!$I$6:$I$6484)</f>
        <v>0</v>
      </c>
      <c r="G764" s="258">
        <f t="shared" si="215"/>
        <v>0</v>
      </c>
      <c r="H764" s="258">
        <f t="shared" si="216"/>
        <v>0</v>
      </c>
      <c r="I764" s="250"/>
      <c r="J764" s="251"/>
      <c r="K764" s="252"/>
      <c r="L764" s="253">
        <f t="shared" si="217"/>
        <v>0</v>
      </c>
      <c r="M764" s="128"/>
      <c r="N764" s="128">
        <f t="shared" si="218"/>
        <v>0</v>
      </c>
      <c r="O764" s="254"/>
      <c r="P764" s="128">
        <f t="shared" si="222"/>
        <v>0</v>
      </c>
      <c r="Q764" s="18">
        <f t="shared" si="223"/>
        <v>0</v>
      </c>
      <c r="R764" s="255">
        <f t="shared" si="224"/>
        <v>0</v>
      </c>
      <c r="S764" s="225"/>
      <c r="T764" s="226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 spans="1:36" ht="13.5" customHeight="1">
      <c r="A765" s="4"/>
      <c r="B765" s="15" t="s">
        <v>3925</v>
      </c>
      <c r="C765" s="328" t="s">
        <v>3926</v>
      </c>
      <c r="D765" s="257">
        <f>SUMIF(GL!$D$5:$D$6446,B765,GL!$G$5:$G$6446)</f>
        <v>0</v>
      </c>
      <c r="E765" s="258">
        <f>SUMIF(GL!$D$6:$D$6484,B765,GL!$H$6:$H$6484)</f>
        <v>0</v>
      </c>
      <c r="F765" s="258">
        <f>SUMIF(GL!$D$6:$D$6484,B765,GL!$I$6:$I$6484)</f>
        <v>0</v>
      </c>
      <c r="G765" s="258">
        <f t="shared" si="215"/>
        <v>0</v>
      </c>
      <c r="H765" s="258">
        <f t="shared" si="216"/>
        <v>0</v>
      </c>
      <c r="I765" s="250"/>
      <c r="J765" s="251"/>
      <c r="K765" s="252"/>
      <c r="L765" s="253">
        <f t="shared" si="217"/>
        <v>0</v>
      </c>
      <c r="M765" s="128"/>
      <c r="N765" s="128">
        <f t="shared" si="218"/>
        <v>0</v>
      </c>
      <c r="O765" s="254"/>
      <c r="P765" s="128">
        <f t="shared" si="222"/>
        <v>0</v>
      </c>
      <c r="Q765" s="18">
        <f t="shared" si="223"/>
        <v>0</v>
      </c>
      <c r="R765" s="255">
        <f t="shared" si="224"/>
        <v>0</v>
      </c>
      <c r="S765" s="225"/>
      <c r="T765" s="226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 spans="1:36" ht="13.5" customHeight="1">
      <c r="A766" s="4"/>
      <c r="B766" s="15" t="s">
        <v>3927</v>
      </c>
      <c r="C766" s="328" t="s">
        <v>3928</v>
      </c>
      <c r="D766" s="257">
        <f>SUMIF(GL!$D$5:$D$6446,B766,GL!$G$5:$G$6446)</f>
        <v>0</v>
      </c>
      <c r="E766" s="258">
        <f>SUMIF(GL!$D$6:$D$6484,B766,GL!$H$6:$H$6484)</f>
        <v>0</v>
      </c>
      <c r="F766" s="258">
        <f>SUMIF(GL!$D$6:$D$6484,B766,GL!$I$6:$I$6484)</f>
        <v>0</v>
      </c>
      <c r="G766" s="258">
        <f t="shared" si="215"/>
        <v>0</v>
      </c>
      <c r="H766" s="258">
        <f t="shared" si="216"/>
        <v>0</v>
      </c>
      <c r="I766" s="250"/>
      <c r="J766" s="251"/>
      <c r="K766" s="252"/>
      <c r="L766" s="253">
        <f t="shared" si="217"/>
        <v>0</v>
      </c>
      <c r="M766" s="128"/>
      <c r="N766" s="128">
        <f t="shared" si="218"/>
        <v>0</v>
      </c>
      <c r="O766" s="254"/>
      <c r="P766" s="128">
        <f t="shared" si="222"/>
        <v>0</v>
      </c>
      <c r="Q766" s="18">
        <f t="shared" si="223"/>
        <v>0</v>
      </c>
      <c r="R766" s="255">
        <f t="shared" si="224"/>
        <v>0</v>
      </c>
      <c r="S766" s="225"/>
      <c r="T766" s="226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 spans="1:36" ht="13.5" customHeight="1">
      <c r="A767" s="4"/>
      <c r="B767" s="15" t="s">
        <v>3929</v>
      </c>
      <c r="C767" s="328" t="s">
        <v>3930</v>
      </c>
      <c r="D767" s="257">
        <f>SUMIF(GL!$D$5:$D$6446,B767,GL!$G$5:$G$6446)</f>
        <v>0</v>
      </c>
      <c r="E767" s="258">
        <f>SUMIF(GL!$D$6:$D$6484,B767,GL!$H$6:$H$6484)</f>
        <v>0</v>
      </c>
      <c r="F767" s="258">
        <f>SUMIF(GL!$D$6:$D$6484,B767,GL!$I$6:$I$6484)</f>
        <v>0</v>
      </c>
      <c r="G767" s="258">
        <f t="shared" si="215"/>
        <v>0</v>
      </c>
      <c r="H767" s="258">
        <f t="shared" si="216"/>
        <v>0</v>
      </c>
      <c r="I767" s="250"/>
      <c r="J767" s="251"/>
      <c r="K767" s="252"/>
      <c r="L767" s="253">
        <f t="shared" si="217"/>
        <v>0</v>
      </c>
      <c r="M767" s="128"/>
      <c r="N767" s="128">
        <f t="shared" si="218"/>
        <v>0</v>
      </c>
      <c r="O767" s="254"/>
      <c r="P767" s="128">
        <f t="shared" si="222"/>
        <v>0</v>
      </c>
      <c r="Q767" s="18">
        <f t="shared" si="223"/>
        <v>0</v>
      </c>
      <c r="R767" s="255">
        <f t="shared" si="224"/>
        <v>0</v>
      </c>
      <c r="S767" s="225"/>
      <c r="T767" s="226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 spans="1:36" ht="13.5" customHeight="1">
      <c r="A768" s="4"/>
      <c r="B768" s="15" t="s">
        <v>3931</v>
      </c>
      <c r="C768" s="328" t="s">
        <v>3932</v>
      </c>
      <c r="D768" s="257">
        <f>SUMIF(GL!$D$5:$D$6446,B768,GL!$G$5:$G$6446)</f>
        <v>0</v>
      </c>
      <c r="E768" s="258">
        <f>SUMIF(GL!$D$6:$D$6484,B768,GL!$H$6:$H$6484)</f>
        <v>0</v>
      </c>
      <c r="F768" s="258">
        <f>SUMIF(GL!$D$6:$D$6484,B768,GL!$I$6:$I$6484)</f>
        <v>0</v>
      </c>
      <c r="G768" s="258">
        <f t="shared" si="215"/>
        <v>0</v>
      </c>
      <c r="H768" s="258">
        <f t="shared" si="216"/>
        <v>0</v>
      </c>
      <c r="I768" s="250">
        <v>2</v>
      </c>
      <c r="J768" s="251"/>
      <c r="K768" s="252"/>
      <c r="L768" s="253">
        <f t="shared" si="217"/>
        <v>2</v>
      </c>
      <c r="M768" s="128"/>
      <c r="N768" s="128">
        <f t="shared" si="218"/>
        <v>0</v>
      </c>
      <c r="O768" s="254">
        <v>2</v>
      </c>
      <c r="P768" s="128">
        <f t="shared" si="222"/>
        <v>0</v>
      </c>
      <c r="Q768" s="18">
        <f t="shared" si="223"/>
        <v>0</v>
      </c>
      <c r="R768" s="255">
        <f t="shared" si="224"/>
        <v>0</v>
      </c>
      <c r="S768" s="225"/>
      <c r="T768" s="226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 spans="1:36" ht="13.5" customHeight="1">
      <c r="A769" s="4"/>
      <c r="B769" s="15" t="s">
        <v>3933</v>
      </c>
      <c r="C769" s="328" t="s">
        <v>3934</v>
      </c>
      <c r="D769" s="257">
        <f>SUMIF(GL!$D$5:$D$6446,B769,GL!$G$5:$G$6446)</f>
        <v>0</v>
      </c>
      <c r="E769" s="258">
        <f>SUMIF(GL!$D$6:$D$6484,B769,GL!$H$6:$H$6484)</f>
        <v>0</v>
      </c>
      <c r="F769" s="258">
        <f>SUMIF(GL!$D$6:$D$6484,B769,GL!$I$6:$I$6484)</f>
        <v>0</v>
      </c>
      <c r="G769" s="258">
        <f t="shared" si="215"/>
        <v>0</v>
      </c>
      <c r="H769" s="258">
        <f t="shared" si="216"/>
        <v>0</v>
      </c>
      <c r="I769" s="250">
        <v>1</v>
      </c>
      <c r="J769" s="251"/>
      <c r="K769" s="252"/>
      <c r="L769" s="253">
        <f t="shared" si="217"/>
        <v>1</v>
      </c>
      <c r="M769" s="128"/>
      <c r="N769" s="128">
        <f t="shared" si="218"/>
        <v>0</v>
      </c>
      <c r="O769" s="254">
        <v>1</v>
      </c>
      <c r="P769" s="128">
        <f t="shared" si="222"/>
        <v>0</v>
      </c>
      <c r="Q769" s="18">
        <f t="shared" si="223"/>
        <v>0</v>
      </c>
      <c r="R769" s="255">
        <f t="shared" si="224"/>
        <v>0</v>
      </c>
      <c r="S769" s="225"/>
      <c r="T769" s="226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 spans="1:36" ht="13.5" customHeight="1">
      <c r="A770" s="4"/>
      <c r="B770" s="15" t="s">
        <v>3935</v>
      </c>
      <c r="C770" s="328" t="s">
        <v>3936</v>
      </c>
      <c r="D770" s="257">
        <f>SUMIF(GL!$D$5:$D$6446,B770,GL!$G$5:$G$6446)</f>
        <v>0</v>
      </c>
      <c r="E770" s="258">
        <f>SUMIF(GL!$D$6:$D$6484,B770,GL!$H$6:$H$6484)</f>
        <v>0</v>
      </c>
      <c r="F770" s="258">
        <f>SUMIF(GL!$D$6:$D$6484,B770,GL!$I$6:$I$6484)</f>
        <v>0</v>
      </c>
      <c r="G770" s="258">
        <f t="shared" si="215"/>
        <v>0</v>
      </c>
      <c r="H770" s="258">
        <f t="shared" si="216"/>
        <v>0</v>
      </c>
      <c r="I770" s="250"/>
      <c r="J770" s="251"/>
      <c r="K770" s="252"/>
      <c r="L770" s="253"/>
      <c r="M770" s="128"/>
      <c r="N770" s="128">
        <f t="shared" si="218"/>
        <v>0</v>
      </c>
      <c r="O770" s="254"/>
      <c r="P770" s="128">
        <f t="shared" si="222"/>
        <v>0</v>
      </c>
      <c r="Q770" s="18">
        <f t="shared" si="223"/>
        <v>0</v>
      </c>
      <c r="R770" s="255">
        <f t="shared" si="224"/>
        <v>0</v>
      </c>
      <c r="S770" s="225"/>
      <c r="T770" s="226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spans="1:36" ht="13.5" customHeight="1">
      <c r="A771" s="4"/>
      <c r="B771" s="15" t="s">
        <v>3937</v>
      </c>
      <c r="C771" s="328" t="s">
        <v>3938</v>
      </c>
      <c r="D771" s="257">
        <f>SUMIF(GL!$D$5:$D$6446,B771,GL!$G$5:$G$6446)</f>
        <v>0</v>
      </c>
      <c r="E771" s="258">
        <f>SUMIF(GL!$D$6:$D$6484,B771,GL!$H$6:$H$6484)</f>
        <v>0</v>
      </c>
      <c r="F771" s="258">
        <f>SUMIF(GL!$D$6:$D$6484,B771,GL!$I$6:$I$6484)</f>
        <v>0</v>
      </c>
      <c r="G771" s="258">
        <f t="shared" si="215"/>
        <v>0</v>
      </c>
      <c r="H771" s="258">
        <f t="shared" si="216"/>
        <v>0</v>
      </c>
      <c r="I771" s="250"/>
      <c r="J771" s="251"/>
      <c r="K771" s="252"/>
      <c r="L771" s="253"/>
      <c r="M771" s="128"/>
      <c r="N771" s="128">
        <f t="shared" si="218"/>
        <v>0</v>
      </c>
      <c r="O771" s="254"/>
      <c r="P771" s="128">
        <f t="shared" si="222"/>
        <v>0</v>
      </c>
      <c r="Q771" s="18">
        <f t="shared" si="223"/>
        <v>0</v>
      </c>
      <c r="R771" s="255">
        <f t="shared" si="224"/>
        <v>0</v>
      </c>
      <c r="S771" s="225"/>
      <c r="T771" s="226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spans="1:36" ht="15.75" customHeight="1">
      <c r="A772" s="4"/>
      <c r="B772" s="316"/>
      <c r="C772" s="259"/>
      <c r="D772" s="224"/>
      <c r="E772" s="102"/>
      <c r="F772" s="102"/>
      <c r="G772" s="102"/>
      <c r="H772" s="102"/>
      <c r="I772" s="223"/>
      <c r="J772" s="102"/>
      <c r="K772" s="78"/>
      <c r="L772" s="224"/>
      <c r="M772" s="102"/>
      <c r="N772" s="102"/>
      <c r="O772" s="224"/>
      <c r="P772" s="102"/>
      <c r="Q772" s="102"/>
      <c r="R772" s="102"/>
      <c r="S772" s="225"/>
      <c r="T772" s="226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spans="1:36" ht="15.75" customHeight="1">
      <c r="A773" s="4"/>
      <c r="B773" s="316"/>
      <c r="C773" s="259"/>
      <c r="D773" s="224"/>
      <c r="E773" s="102"/>
      <c r="F773" s="102"/>
      <c r="G773" s="102"/>
      <c r="H773" s="102"/>
      <c r="I773" s="223"/>
      <c r="J773" s="102"/>
      <c r="K773" s="78"/>
      <c r="L773" s="224"/>
      <c r="M773" s="102"/>
      <c r="N773" s="102"/>
      <c r="O773" s="224"/>
      <c r="P773" s="102"/>
      <c r="Q773" s="102"/>
      <c r="R773" s="102"/>
      <c r="S773" s="225"/>
      <c r="T773" s="226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 spans="1:36" ht="15.75" customHeight="1">
      <c r="A774" s="4"/>
      <c r="B774" s="316"/>
      <c r="C774" s="259"/>
      <c r="D774" s="224"/>
      <c r="E774" s="102"/>
      <c r="F774" s="102"/>
      <c r="G774" s="102"/>
      <c r="H774" s="102"/>
      <c r="I774" s="223"/>
      <c r="J774" s="102"/>
      <c r="K774" s="78"/>
      <c r="L774" s="224"/>
      <c r="M774" s="102"/>
      <c r="N774" s="102"/>
      <c r="O774" s="224"/>
      <c r="P774" s="102"/>
      <c r="Q774" s="102"/>
      <c r="R774" s="102"/>
      <c r="S774" s="225"/>
      <c r="T774" s="226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 spans="1:36" ht="15.75" customHeight="1">
      <c r="A775" s="4"/>
      <c r="B775" s="316"/>
      <c r="C775" s="259"/>
      <c r="D775" s="224"/>
      <c r="E775" s="102"/>
      <c r="F775" s="102"/>
      <c r="G775" s="102"/>
      <c r="H775" s="102"/>
      <c r="I775" s="223"/>
      <c r="J775" s="102"/>
      <c r="K775" s="78"/>
      <c r="L775" s="224"/>
      <c r="M775" s="102"/>
      <c r="N775" s="102"/>
      <c r="O775" s="224"/>
      <c r="P775" s="102"/>
      <c r="Q775" s="102"/>
      <c r="R775" s="102"/>
      <c r="S775" s="225"/>
      <c r="T775" s="226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 spans="1:36" ht="15.75" customHeight="1">
      <c r="A776" s="4"/>
      <c r="B776" s="316"/>
      <c r="C776" s="259"/>
      <c r="D776" s="224"/>
      <c r="E776" s="102"/>
      <c r="F776" s="102"/>
      <c r="G776" s="102"/>
      <c r="H776" s="102"/>
      <c r="I776" s="223"/>
      <c r="J776" s="102"/>
      <c r="K776" s="78"/>
      <c r="L776" s="224"/>
      <c r="M776" s="102"/>
      <c r="N776" s="102"/>
      <c r="O776" s="224"/>
      <c r="P776" s="102"/>
      <c r="Q776" s="102"/>
      <c r="R776" s="102"/>
      <c r="S776" s="225"/>
      <c r="T776" s="226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 spans="1:36" ht="15.75" customHeight="1">
      <c r="A777" s="4"/>
      <c r="B777" s="316"/>
      <c r="C777" s="259"/>
      <c r="D777" s="224"/>
      <c r="E777" s="102"/>
      <c r="F777" s="102"/>
      <c r="G777" s="102"/>
      <c r="H777" s="102"/>
      <c r="I777" s="223"/>
      <c r="J777" s="102"/>
      <c r="K777" s="78"/>
      <c r="L777" s="224"/>
      <c r="M777" s="102"/>
      <c r="N777" s="102"/>
      <c r="O777" s="224"/>
      <c r="P777" s="102"/>
      <c r="Q777" s="102"/>
      <c r="R777" s="102"/>
      <c r="S777" s="225"/>
      <c r="T777" s="226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 spans="1:36" ht="15.75" customHeight="1">
      <c r="A778" s="4"/>
      <c r="B778" s="316"/>
      <c r="C778" s="259"/>
      <c r="D778" s="224"/>
      <c r="E778" s="102"/>
      <c r="F778" s="102"/>
      <c r="G778" s="102"/>
      <c r="H778" s="102"/>
      <c r="I778" s="223"/>
      <c r="J778" s="102"/>
      <c r="K778" s="78"/>
      <c r="L778" s="224"/>
      <c r="M778" s="102"/>
      <c r="N778" s="102"/>
      <c r="O778" s="224"/>
      <c r="P778" s="102"/>
      <c r="Q778" s="102"/>
      <c r="R778" s="102"/>
      <c r="S778" s="225"/>
      <c r="T778" s="226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 spans="1:36" ht="15.75" customHeight="1">
      <c r="A779" s="4"/>
      <c r="B779" s="316"/>
      <c r="C779" s="259"/>
      <c r="D779" s="224"/>
      <c r="E779" s="102"/>
      <c r="F779" s="102"/>
      <c r="G779" s="102"/>
      <c r="H779" s="102"/>
      <c r="I779" s="223"/>
      <c r="J779" s="102"/>
      <c r="K779" s="78"/>
      <c r="L779" s="224"/>
      <c r="M779" s="102"/>
      <c r="N779" s="102"/>
      <c r="O779" s="224"/>
      <c r="P779" s="102"/>
      <c r="Q779" s="102"/>
      <c r="R779" s="102"/>
      <c r="S779" s="225"/>
      <c r="T779" s="226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spans="1:36" ht="15.75" customHeight="1">
      <c r="A780" s="4"/>
      <c r="B780" s="316"/>
      <c r="C780" s="259"/>
      <c r="D780" s="224"/>
      <c r="E780" s="102"/>
      <c r="F780" s="102"/>
      <c r="G780" s="102"/>
      <c r="H780" s="102"/>
      <c r="I780" s="223"/>
      <c r="J780" s="102"/>
      <c r="K780" s="78"/>
      <c r="L780" s="224"/>
      <c r="M780" s="102"/>
      <c r="N780" s="102"/>
      <c r="O780" s="224"/>
      <c r="P780" s="102"/>
      <c r="Q780" s="102"/>
      <c r="R780" s="102"/>
      <c r="S780" s="225"/>
      <c r="T780" s="226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spans="1:36" ht="15.75" customHeight="1">
      <c r="A781" s="4"/>
      <c r="B781" s="316"/>
      <c r="C781" s="259"/>
      <c r="D781" s="224"/>
      <c r="E781" s="102"/>
      <c r="F781" s="102"/>
      <c r="G781" s="102"/>
      <c r="H781" s="102"/>
      <c r="I781" s="223"/>
      <c r="J781" s="102"/>
      <c r="K781" s="78"/>
      <c r="L781" s="224"/>
      <c r="M781" s="102"/>
      <c r="N781" s="102"/>
      <c r="O781" s="224"/>
      <c r="P781" s="102"/>
      <c r="Q781" s="102"/>
      <c r="R781" s="102"/>
      <c r="S781" s="225"/>
      <c r="T781" s="226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spans="1:36" ht="15.75" customHeight="1">
      <c r="A782" s="4"/>
      <c r="B782" s="316"/>
      <c r="C782" s="259"/>
      <c r="D782" s="224"/>
      <c r="E782" s="102"/>
      <c r="F782" s="102"/>
      <c r="G782" s="102"/>
      <c r="H782" s="102"/>
      <c r="I782" s="223"/>
      <c r="J782" s="102"/>
      <c r="K782" s="78"/>
      <c r="L782" s="224"/>
      <c r="M782" s="102"/>
      <c r="N782" s="102"/>
      <c r="O782" s="224"/>
      <c r="P782" s="102"/>
      <c r="Q782" s="102"/>
      <c r="R782" s="102"/>
      <c r="S782" s="225"/>
      <c r="T782" s="226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 spans="1:36" ht="15.75" customHeight="1">
      <c r="A783" s="4"/>
      <c r="B783" s="316"/>
      <c r="C783" s="259"/>
      <c r="D783" s="224"/>
      <c r="E783" s="102"/>
      <c r="F783" s="102"/>
      <c r="G783" s="102"/>
      <c r="H783" s="102"/>
      <c r="I783" s="223"/>
      <c r="J783" s="102"/>
      <c r="K783" s="78"/>
      <c r="L783" s="224"/>
      <c r="M783" s="102"/>
      <c r="N783" s="102"/>
      <c r="O783" s="224"/>
      <c r="P783" s="102"/>
      <c r="Q783" s="102"/>
      <c r="R783" s="102"/>
      <c r="S783" s="225"/>
      <c r="T783" s="226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 spans="1:36" ht="15.75" customHeight="1">
      <c r="A784" s="4"/>
      <c r="B784" s="316"/>
      <c r="C784" s="259"/>
      <c r="D784" s="224"/>
      <c r="E784" s="102"/>
      <c r="F784" s="102"/>
      <c r="G784" s="102"/>
      <c r="H784" s="102"/>
      <c r="I784" s="223"/>
      <c r="J784" s="102"/>
      <c r="K784" s="78"/>
      <c r="L784" s="224"/>
      <c r="M784" s="102"/>
      <c r="N784" s="102"/>
      <c r="O784" s="224"/>
      <c r="P784" s="102"/>
      <c r="Q784" s="102"/>
      <c r="R784" s="102"/>
      <c r="S784" s="225"/>
      <c r="T784" s="226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 spans="1:36" ht="15.75" customHeight="1">
      <c r="A785" s="4"/>
      <c r="B785" s="316"/>
      <c r="C785" s="259"/>
      <c r="D785" s="224"/>
      <c r="E785" s="102"/>
      <c r="F785" s="102"/>
      <c r="G785" s="102"/>
      <c r="H785" s="102"/>
      <c r="I785" s="223"/>
      <c r="J785" s="102"/>
      <c r="K785" s="78"/>
      <c r="L785" s="224"/>
      <c r="M785" s="102"/>
      <c r="N785" s="102"/>
      <c r="O785" s="224"/>
      <c r="P785" s="102"/>
      <c r="Q785" s="102"/>
      <c r="R785" s="102"/>
      <c r="S785" s="225"/>
      <c r="T785" s="226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 spans="1:36" ht="15.75" customHeight="1">
      <c r="A786" s="4"/>
      <c r="B786" s="316"/>
      <c r="C786" s="259"/>
      <c r="D786" s="224"/>
      <c r="E786" s="102"/>
      <c r="F786" s="102"/>
      <c r="G786" s="102"/>
      <c r="H786" s="102"/>
      <c r="I786" s="223"/>
      <c r="J786" s="102"/>
      <c r="K786" s="78"/>
      <c r="L786" s="224"/>
      <c r="M786" s="102"/>
      <c r="N786" s="102"/>
      <c r="O786" s="224"/>
      <c r="P786" s="102"/>
      <c r="Q786" s="102"/>
      <c r="R786" s="102"/>
      <c r="S786" s="225"/>
      <c r="T786" s="226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 spans="1:36" ht="15.75" customHeight="1">
      <c r="A787" s="4"/>
      <c r="B787" s="316"/>
      <c r="C787" s="259"/>
      <c r="D787" s="224"/>
      <c r="E787" s="102"/>
      <c r="F787" s="102"/>
      <c r="G787" s="102"/>
      <c r="H787" s="102"/>
      <c r="I787" s="223"/>
      <c r="J787" s="102"/>
      <c r="K787" s="78"/>
      <c r="L787" s="224"/>
      <c r="M787" s="102"/>
      <c r="N787" s="102"/>
      <c r="O787" s="224"/>
      <c r="P787" s="102"/>
      <c r="Q787" s="102"/>
      <c r="R787" s="102"/>
      <c r="S787" s="225"/>
      <c r="T787" s="226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 spans="1:36" ht="15.75" customHeight="1">
      <c r="A788" s="4"/>
      <c r="B788" s="316"/>
      <c r="C788" s="259"/>
      <c r="D788" s="224"/>
      <c r="E788" s="102"/>
      <c r="F788" s="102"/>
      <c r="G788" s="102"/>
      <c r="H788" s="102"/>
      <c r="I788" s="223"/>
      <c r="J788" s="102"/>
      <c r="K788" s="78"/>
      <c r="L788" s="224"/>
      <c r="M788" s="102"/>
      <c r="N788" s="102"/>
      <c r="O788" s="224"/>
      <c r="P788" s="102"/>
      <c r="Q788" s="102"/>
      <c r="R788" s="102"/>
      <c r="S788" s="225"/>
      <c r="T788" s="226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spans="1:36" ht="15.75" customHeight="1">
      <c r="A789" s="4"/>
      <c r="B789" s="316"/>
      <c r="C789" s="259"/>
      <c r="D789" s="224"/>
      <c r="E789" s="102"/>
      <c r="F789" s="102"/>
      <c r="G789" s="102"/>
      <c r="H789" s="102"/>
      <c r="I789" s="223"/>
      <c r="J789" s="102"/>
      <c r="K789" s="78"/>
      <c r="L789" s="224"/>
      <c r="M789" s="102"/>
      <c r="N789" s="102"/>
      <c r="O789" s="224"/>
      <c r="P789" s="102"/>
      <c r="Q789" s="102"/>
      <c r="R789" s="102"/>
      <c r="S789" s="225"/>
      <c r="T789" s="226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spans="1:36" ht="15.75" customHeight="1">
      <c r="A790" s="4"/>
      <c r="B790" s="316"/>
      <c r="C790" s="259"/>
      <c r="D790" s="224"/>
      <c r="E790" s="102"/>
      <c r="F790" s="102"/>
      <c r="G790" s="102"/>
      <c r="H790" s="102"/>
      <c r="I790" s="223"/>
      <c r="J790" s="102"/>
      <c r="K790" s="78"/>
      <c r="L790" s="224"/>
      <c r="M790" s="102"/>
      <c r="N790" s="102"/>
      <c r="O790" s="224"/>
      <c r="P790" s="102"/>
      <c r="Q790" s="102"/>
      <c r="R790" s="102"/>
      <c r="S790" s="225"/>
      <c r="T790" s="226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spans="1:36" ht="15.75" customHeight="1">
      <c r="A791" s="4"/>
      <c r="B791" s="316"/>
      <c r="C791" s="259"/>
      <c r="D791" s="224"/>
      <c r="E791" s="102"/>
      <c r="F791" s="102"/>
      <c r="G791" s="102"/>
      <c r="H791" s="102"/>
      <c r="I791" s="223"/>
      <c r="J791" s="102"/>
      <c r="K791" s="78"/>
      <c r="L791" s="224"/>
      <c r="M791" s="102"/>
      <c r="N791" s="102"/>
      <c r="O791" s="224"/>
      <c r="P791" s="102"/>
      <c r="Q791" s="102"/>
      <c r="R791" s="102"/>
      <c r="S791" s="225"/>
      <c r="T791" s="226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 spans="1:36" ht="15.75" customHeight="1">
      <c r="A792" s="4"/>
      <c r="B792" s="316"/>
      <c r="C792" s="259"/>
      <c r="D792" s="224"/>
      <c r="E792" s="102"/>
      <c r="F792" s="102"/>
      <c r="G792" s="102"/>
      <c r="H792" s="102"/>
      <c r="I792" s="223"/>
      <c r="J792" s="102"/>
      <c r="K792" s="78"/>
      <c r="L792" s="224"/>
      <c r="M792" s="102"/>
      <c r="N792" s="102"/>
      <c r="O792" s="224"/>
      <c r="P792" s="102"/>
      <c r="Q792" s="102"/>
      <c r="R792" s="102"/>
      <c r="S792" s="225"/>
      <c r="T792" s="226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 spans="1:36" ht="15.75" customHeight="1">
      <c r="A793" s="4"/>
      <c r="B793" s="316"/>
      <c r="C793" s="259"/>
      <c r="D793" s="224"/>
      <c r="E793" s="102"/>
      <c r="F793" s="102"/>
      <c r="G793" s="102"/>
      <c r="H793" s="102"/>
      <c r="I793" s="223"/>
      <c r="J793" s="102"/>
      <c r="K793" s="78"/>
      <c r="L793" s="224"/>
      <c r="M793" s="102"/>
      <c r="N793" s="102"/>
      <c r="O793" s="224"/>
      <c r="P793" s="102"/>
      <c r="Q793" s="102"/>
      <c r="R793" s="102"/>
      <c r="S793" s="225"/>
      <c r="T793" s="226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 spans="1:36" ht="15.75" customHeight="1">
      <c r="A794" s="4"/>
      <c r="B794" s="316"/>
      <c r="C794" s="259"/>
      <c r="D794" s="224"/>
      <c r="E794" s="102"/>
      <c r="F794" s="102"/>
      <c r="G794" s="102"/>
      <c r="H794" s="102"/>
      <c r="I794" s="223"/>
      <c r="J794" s="102"/>
      <c r="K794" s="78"/>
      <c r="L794" s="224"/>
      <c r="M794" s="102"/>
      <c r="N794" s="102"/>
      <c r="O794" s="224"/>
      <c r="P794" s="102"/>
      <c r="Q794" s="102"/>
      <c r="R794" s="102"/>
      <c r="S794" s="225"/>
      <c r="T794" s="226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 spans="1:36" ht="15.75" customHeight="1">
      <c r="A795" s="4"/>
      <c r="B795" s="316"/>
      <c r="C795" s="259"/>
      <c r="D795" s="224"/>
      <c r="E795" s="102"/>
      <c r="F795" s="102"/>
      <c r="G795" s="102"/>
      <c r="H795" s="102"/>
      <c r="I795" s="223"/>
      <c r="J795" s="102"/>
      <c r="K795" s="78"/>
      <c r="L795" s="224"/>
      <c r="M795" s="102"/>
      <c r="N795" s="102"/>
      <c r="O795" s="224"/>
      <c r="P795" s="102"/>
      <c r="Q795" s="102"/>
      <c r="R795" s="102"/>
      <c r="S795" s="225"/>
      <c r="T795" s="226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 spans="1:36" ht="15.75" customHeight="1">
      <c r="A796" s="4"/>
      <c r="B796" s="316"/>
      <c r="C796" s="259"/>
      <c r="D796" s="224"/>
      <c r="E796" s="102"/>
      <c r="F796" s="102"/>
      <c r="G796" s="102"/>
      <c r="H796" s="102"/>
      <c r="I796" s="223"/>
      <c r="J796" s="102"/>
      <c r="K796" s="78"/>
      <c r="L796" s="224"/>
      <c r="M796" s="102"/>
      <c r="N796" s="102"/>
      <c r="O796" s="224"/>
      <c r="P796" s="102"/>
      <c r="Q796" s="102"/>
      <c r="R796" s="102"/>
      <c r="S796" s="225"/>
      <c r="T796" s="226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 spans="1:36" ht="15.75" customHeight="1">
      <c r="A797" s="4"/>
      <c r="B797" s="316"/>
      <c r="C797" s="259"/>
      <c r="D797" s="224"/>
      <c r="E797" s="102"/>
      <c r="F797" s="102"/>
      <c r="G797" s="102"/>
      <c r="H797" s="102"/>
      <c r="I797" s="223"/>
      <c r="J797" s="102"/>
      <c r="K797" s="78"/>
      <c r="L797" s="224"/>
      <c r="M797" s="102"/>
      <c r="N797" s="102"/>
      <c r="O797" s="224"/>
      <c r="P797" s="102"/>
      <c r="Q797" s="102"/>
      <c r="R797" s="102"/>
      <c r="S797" s="225"/>
      <c r="T797" s="226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spans="1:36" ht="15.75" customHeight="1">
      <c r="A798" s="4"/>
      <c r="B798" s="316"/>
      <c r="C798" s="259"/>
      <c r="D798" s="224"/>
      <c r="E798" s="102"/>
      <c r="F798" s="102"/>
      <c r="G798" s="102"/>
      <c r="H798" s="102"/>
      <c r="I798" s="223"/>
      <c r="J798" s="102"/>
      <c r="K798" s="78"/>
      <c r="L798" s="224"/>
      <c r="M798" s="102"/>
      <c r="N798" s="102"/>
      <c r="O798" s="224"/>
      <c r="P798" s="102"/>
      <c r="Q798" s="102"/>
      <c r="R798" s="102"/>
      <c r="S798" s="225"/>
      <c r="T798" s="226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spans="1:36" ht="15.75" customHeight="1">
      <c r="A799" s="4"/>
      <c r="B799" s="316"/>
      <c r="C799" s="259"/>
      <c r="D799" s="224"/>
      <c r="E799" s="102"/>
      <c r="F799" s="102"/>
      <c r="G799" s="102"/>
      <c r="H799" s="102"/>
      <c r="I799" s="223"/>
      <c r="J799" s="102"/>
      <c r="K799" s="78"/>
      <c r="L799" s="224"/>
      <c r="M799" s="102"/>
      <c r="N799" s="102"/>
      <c r="O799" s="224"/>
      <c r="P799" s="102"/>
      <c r="Q799" s="102"/>
      <c r="R799" s="102"/>
      <c r="S799" s="225"/>
      <c r="T799" s="226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spans="1:36" ht="15.75" customHeight="1">
      <c r="A800" s="4"/>
      <c r="B800" s="316"/>
      <c r="C800" s="259"/>
      <c r="D800" s="224"/>
      <c r="E800" s="102"/>
      <c r="F800" s="102"/>
      <c r="G800" s="102"/>
      <c r="H800" s="102"/>
      <c r="I800" s="223"/>
      <c r="J800" s="102"/>
      <c r="K800" s="78"/>
      <c r="L800" s="224"/>
      <c r="M800" s="102"/>
      <c r="N800" s="102"/>
      <c r="O800" s="224"/>
      <c r="P800" s="102"/>
      <c r="Q800" s="102"/>
      <c r="R800" s="102"/>
      <c r="S800" s="225"/>
      <c r="T800" s="226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 spans="1:36" ht="15.75" customHeight="1">
      <c r="A801" s="4"/>
      <c r="B801" s="316"/>
      <c r="C801" s="259"/>
      <c r="D801" s="224"/>
      <c r="E801" s="102"/>
      <c r="F801" s="102"/>
      <c r="G801" s="102"/>
      <c r="H801" s="102"/>
      <c r="I801" s="223"/>
      <c r="J801" s="102"/>
      <c r="K801" s="78"/>
      <c r="L801" s="224"/>
      <c r="M801" s="102"/>
      <c r="N801" s="102"/>
      <c r="O801" s="224"/>
      <c r="P801" s="102"/>
      <c r="Q801" s="102"/>
      <c r="R801" s="102"/>
      <c r="S801" s="225"/>
      <c r="T801" s="226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 spans="1:36" ht="15.75" customHeight="1">
      <c r="A802" s="4"/>
      <c r="B802" s="316"/>
      <c r="C802" s="259"/>
      <c r="D802" s="224"/>
      <c r="E802" s="102"/>
      <c r="F802" s="102"/>
      <c r="G802" s="102"/>
      <c r="H802" s="102"/>
      <c r="I802" s="223"/>
      <c r="J802" s="102"/>
      <c r="K802" s="78"/>
      <c r="L802" s="224"/>
      <c r="M802" s="102"/>
      <c r="N802" s="102"/>
      <c r="O802" s="224"/>
      <c r="P802" s="102"/>
      <c r="Q802" s="102"/>
      <c r="R802" s="102"/>
      <c r="S802" s="225"/>
      <c r="T802" s="226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 spans="1:36" ht="15.75" customHeight="1">
      <c r="A803" s="4"/>
      <c r="B803" s="316"/>
      <c r="C803" s="259"/>
      <c r="D803" s="224"/>
      <c r="E803" s="102"/>
      <c r="F803" s="102"/>
      <c r="G803" s="102"/>
      <c r="H803" s="102"/>
      <c r="I803" s="223"/>
      <c r="J803" s="102"/>
      <c r="K803" s="78"/>
      <c r="L803" s="224"/>
      <c r="M803" s="102"/>
      <c r="N803" s="102"/>
      <c r="O803" s="224"/>
      <c r="P803" s="102"/>
      <c r="Q803" s="102"/>
      <c r="R803" s="102"/>
      <c r="S803" s="225"/>
      <c r="T803" s="226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 spans="1:36" ht="15.75" customHeight="1">
      <c r="A804" s="4"/>
      <c r="B804" s="316"/>
      <c r="C804" s="259"/>
      <c r="D804" s="224"/>
      <c r="E804" s="102"/>
      <c r="F804" s="102"/>
      <c r="G804" s="102"/>
      <c r="H804" s="102"/>
      <c r="I804" s="223"/>
      <c r="J804" s="102"/>
      <c r="K804" s="78"/>
      <c r="L804" s="224"/>
      <c r="M804" s="102"/>
      <c r="N804" s="102"/>
      <c r="O804" s="224"/>
      <c r="P804" s="102"/>
      <c r="Q804" s="102"/>
      <c r="R804" s="102"/>
      <c r="S804" s="225"/>
      <c r="T804" s="226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 spans="1:36" ht="15.75" customHeight="1">
      <c r="A805" s="4"/>
      <c r="B805" s="316"/>
      <c r="C805" s="259"/>
      <c r="D805" s="224"/>
      <c r="E805" s="102"/>
      <c r="F805" s="102"/>
      <c r="G805" s="102"/>
      <c r="H805" s="102"/>
      <c r="I805" s="223"/>
      <c r="J805" s="102"/>
      <c r="K805" s="78"/>
      <c r="L805" s="224"/>
      <c r="M805" s="102"/>
      <c r="N805" s="102"/>
      <c r="O805" s="224"/>
      <c r="P805" s="102"/>
      <c r="Q805" s="102"/>
      <c r="R805" s="102"/>
      <c r="S805" s="225"/>
      <c r="T805" s="226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 spans="1:36" ht="15.75" customHeight="1">
      <c r="A806" s="4"/>
      <c r="B806" s="316"/>
      <c r="C806" s="259"/>
      <c r="D806" s="224"/>
      <c r="E806" s="102"/>
      <c r="F806" s="102"/>
      <c r="G806" s="102"/>
      <c r="H806" s="102"/>
      <c r="I806" s="223"/>
      <c r="J806" s="102"/>
      <c r="K806" s="78"/>
      <c r="L806" s="224"/>
      <c r="M806" s="102"/>
      <c r="N806" s="102"/>
      <c r="O806" s="224"/>
      <c r="P806" s="102"/>
      <c r="Q806" s="102"/>
      <c r="R806" s="102"/>
      <c r="S806" s="225"/>
      <c r="T806" s="226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spans="1:36" ht="15.75" customHeight="1">
      <c r="A807" s="4"/>
      <c r="B807" s="316"/>
      <c r="C807" s="259"/>
      <c r="D807" s="224"/>
      <c r="E807" s="102"/>
      <c r="F807" s="102"/>
      <c r="G807" s="102"/>
      <c r="H807" s="102"/>
      <c r="I807" s="223"/>
      <c r="J807" s="102"/>
      <c r="K807" s="78"/>
      <c r="L807" s="224"/>
      <c r="M807" s="102"/>
      <c r="N807" s="102"/>
      <c r="O807" s="224"/>
      <c r="P807" s="102"/>
      <c r="Q807" s="102"/>
      <c r="R807" s="102"/>
      <c r="S807" s="225"/>
      <c r="T807" s="226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spans="1:36" ht="15.75" customHeight="1">
      <c r="A808" s="4"/>
      <c r="B808" s="316"/>
      <c r="C808" s="259"/>
      <c r="D808" s="224"/>
      <c r="E808" s="102"/>
      <c r="F808" s="102"/>
      <c r="G808" s="102"/>
      <c r="H808" s="102"/>
      <c r="I808" s="223"/>
      <c r="J808" s="102"/>
      <c r="K808" s="78"/>
      <c r="L808" s="224"/>
      <c r="M808" s="102"/>
      <c r="N808" s="102"/>
      <c r="O808" s="224"/>
      <c r="P808" s="102"/>
      <c r="Q808" s="102"/>
      <c r="R808" s="102"/>
      <c r="S808" s="225"/>
      <c r="T808" s="226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spans="1:36" ht="15.75" customHeight="1">
      <c r="A809" s="4"/>
      <c r="B809" s="316"/>
      <c r="C809" s="259"/>
      <c r="D809" s="224"/>
      <c r="E809" s="102"/>
      <c r="F809" s="102"/>
      <c r="G809" s="102"/>
      <c r="H809" s="102"/>
      <c r="I809" s="223"/>
      <c r="J809" s="102"/>
      <c r="K809" s="78"/>
      <c r="L809" s="224"/>
      <c r="M809" s="102"/>
      <c r="N809" s="102"/>
      <c r="O809" s="224"/>
      <c r="P809" s="102"/>
      <c r="Q809" s="102"/>
      <c r="R809" s="102"/>
      <c r="S809" s="225"/>
      <c r="T809" s="226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 spans="1:36" ht="15.75" customHeight="1">
      <c r="A810" s="4"/>
      <c r="B810" s="316"/>
      <c r="C810" s="259"/>
      <c r="D810" s="224"/>
      <c r="E810" s="102"/>
      <c r="F810" s="102"/>
      <c r="G810" s="102"/>
      <c r="H810" s="102"/>
      <c r="I810" s="223"/>
      <c r="J810" s="102"/>
      <c r="K810" s="78"/>
      <c r="L810" s="224"/>
      <c r="M810" s="102"/>
      <c r="N810" s="102"/>
      <c r="O810" s="224"/>
      <c r="P810" s="102"/>
      <c r="Q810" s="102"/>
      <c r="R810" s="102"/>
      <c r="S810" s="225"/>
      <c r="T810" s="226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 spans="1:36" ht="15.75" customHeight="1">
      <c r="A811" s="4"/>
      <c r="B811" s="316"/>
      <c r="C811" s="259"/>
      <c r="D811" s="224"/>
      <c r="E811" s="102"/>
      <c r="F811" s="102"/>
      <c r="G811" s="102"/>
      <c r="H811" s="102"/>
      <c r="I811" s="223"/>
      <c r="J811" s="102"/>
      <c r="K811" s="78"/>
      <c r="L811" s="224"/>
      <c r="M811" s="102"/>
      <c r="N811" s="102"/>
      <c r="O811" s="224"/>
      <c r="P811" s="102"/>
      <c r="Q811" s="102"/>
      <c r="R811" s="102"/>
      <c r="S811" s="225"/>
      <c r="T811" s="226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 spans="1:36" ht="15.75" customHeight="1">
      <c r="A812" s="4"/>
      <c r="B812" s="316"/>
      <c r="C812" s="259"/>
      <c r="D812" s="224"/>
      <c r="E812" s="102"/>
      <c r="F812" s="102"/>
      <c r="G812" s="102"/>
      <c r="H812" s="102"/>
      <c r="I812" s="223"/>
      <c r="J812" s="102"/>
      <c r="K812" s="78"/>
      <c r="L812" s="224"/>
      <c r="M812" s="102"/>
      <c r="N812" s="102"/>
      <c r="O812" s="224"/>
      <c r="P812" s="102"/>
      <c r="Q812" s="102"/>
      <c r="R812" s="102"/>
      <c r="S812" s="225"/>
      <c r="T812" s="226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 spans="1:36" ht="15.75" customHeight="1">
      <c r="A813" s="4"/>
      <c r="B813" s="316"/>
      <c r="C813" s="259"/>
      <c r="D813" s="224"/>
      <c r="E813" s="102"/>
      <c r="F813" s="102"/>
      <c r="G813" s="102"/>
      <c r="H813" s="102"/>
      <c r="I813" s="223"/>
      <c r="J813" s="102"/>
      <c r="K813" s="78"/>
      <c r="L813" s="224"/>
      <c r="M813" s="102"/>
      <c r="N813" s="102"/>
      <c r="O813" s="224"/>
      <c r="P813" s="102"/>
      <c r="Q813" s="102"/>
      <c r="R813" s="102"/>
      <c r="S813" s="225"/>
      <c r="T813" s="226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 spans="1:36" ht="15.75" customHeight="1">
      <c r="A814" s="4"/>
      <c r="B814" s="316"/>
      <c r="C814" s="259"/>
      <c r="D814" s="224"/>
      <c r="E814" s="102"/>
      <c r="F814" s="102"/>
      <c r="G814" s="102"/>
      <c r="H814" s="102"/>
      <c r="I814" s="223"/>
      <c r="J814" s="102"/>
      <c r="K814" s="78"/>
      <c r="L814" s="224"/>
      <c r="M814" s="102"/>
      <c r="N814" s="102"/>
      <c r="O814" s="224"/>
      <c r="P814" s="102"/>
      <c r="Q814" s="102"/>
      <c r="R814" s="102"/>
      <c r="S814" s="225"/>
      <c r="T814" s="226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 spans="1:36" ht="15.75" customHeight="1">
      <c r="A815" s="4"/>
      <c r="B815" s="316"/>
      <c r="C815" s="259"/>
      <c r="D815" s="224"/>
      <c r="E815" s="102"/>
      <c r="F815" s="102"/>
      <c r="G815" s="102"/>
      <c r="H815" s="102"/>
      <c r="I815" s="223"/>
      <c r="J815" s="102"/>
      <c r="K815" s="78"/>
      <c r="L815" s="224"/>
      <c r="M815" s="102"/>
      <c r="N815" s="102"/>
      <c r="O815" s="224"/>
      <c r="P815" s="102"/>
      <c r="Q815" s="102"/>
      <c r="R815" s="102"/>
      <c r="S815" s="225"/>
      <c r="T815" s="226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spans="1:36" ht="15.75" customHeight="1">
      <c r="A816" s="4"/>
      <c r="B816" s="316"/>
      <c r="C816" s="259"/>
      <c r="D816" s="224"/>
      <c r="E816" s="102"/>
      <c r="F816" s="102"/>
      <c r="G816" s="102"/>
      <c r="H816" s="102"/>
      <c r="I816" s="223"/>
      <c r="J816" s="102"/>
      <c r="K816" s="78"/>
      <c r="L816" s="224"/>
      <c r="M816" s="102"/>
      <c r="N816" s="102"/>
      <c r="O816" s="224"/>
      <c r="P816" s="102"/>
      <c r="Q816" s="102"/>
      <c r="R816" s="102"/>
      <c r="S816" s="225"/>
      <c r="T816" s="226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spans="1:36" ht="15.75" customHeight="1">
      <c r="A817" s="4"/>
      <c r="B817" s="316"/>
      <c r="C817" s="259"/>
      <c r="D817" s="224"/>
      <c r="E817" s="102"/>
      <c r="F817" s="102"/>
      <c r="G817" s="102"/>
      <c r="H817" s="102"/>
      <c r="I817" s="223"/>
      <c r="J817" s="102"/>
      <c r="K817" s="78"/>
      <c r="L817" s="224"/>
      <c r="M817" s="102"/>
      <c r="N817" s="102"/>
      <c r="O817" s="224"/>
      <c r="P817" s="102"/>
      <c r="Q817" s="102"/>
      <c r="R817" s="102"/>
      <c r="S817" s="225"/>
      <c r="T817" s="226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spans="1:36" ht="15.75" customHeight="1">
      <c r="A818" s="4"/>
      <c r="B818" s="316"/>
      <c r="C818" s="259"/>
      <c r="D818" s="224"/>
      <c r="E818" s="102"/>
      <c r="F818" s="102"/>
      <c r="G818" s="102"/>
      <c r="H818" s="102"/>
      <c r="I818" s="223"/>
      <c r="J818" s="102"/>
      <c r="K818" s="78"/>
      <c r="L818" s="224"/>
      <c r="M818" s="102"/>
      <c r="N818" s="102"/>
      <c r="O818" s="224"/>
      <c r="P818" s="102"/>
      <c r="Q818" s="102"/>
      <c r="R818" s="102"/>
      <c r="S818" s="225"/>
      <c r="T818" s="226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 spans="1:36" ht="15.75" customHeight="1">
      <c r="A819" s="4"/>
      <c r="B819" s="316"/>
      <c r="C819" s="259"/>
      <c r="D819" s="224"/>
      <c r="E819" s="102"/>
      <c r="F819" s="102"/>
      <c r="G819" s="102"/>
      <c r="H819" s="102"/>
      <c r="I819" s="223"/>
      <c r="J819" s="102"/>
      <c r="K819" s="78"/>
      <c r="L819" s="224"/>
      <c r="M819" s="102"/>
      <c r="N819" s="102"/>
      <c r="O819" s="224"/>
      <c r="P819" s="102"/>
      <c r="Q819" s="102"/>
      <c r="R819" s="102"/>
      <c r="S819" s="225"/>
      <c r="T819" s="226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 spans="1:36" ht="15.75" customHeight="1">
      <c r="A820" s="4"/>
      <c r="B820" s="316"/>
      <c r="C820" s="259"/>
      <c r="D820" s="224"/>
      <c r="E820" s="102"/>
      <c r="F820" s="102"/>
      <c r="G820" s="102"/>
      <c r="H820" s="102"/>
      <c r="I820" s="223"/>
      <c r="J820" s="102"/>
      <c r="K820" s="78"/>
      <c r="L820" s="224"/>
      <c r="M820" s="102"/>
      <c r="N820" s="102"/>
      <c r="O820" s="224"/>
      <c r="P820" s="102"/>
      <c r="Q820" s="102"/>
      <c r="R820" s="102"/>
      <c r="S820" s="225"/>
      <c r="T820" s="226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 spans="1:36" ht="15.75" customHeight="1">
      <c r="A821" s="4"/>
      <c r="B821" s="316"/>
      <c r="C821" s="259"/>
      <c r="D821" s="224"/>
      <c r="E821" s="102"/>
      <c r="F821" s="102"/>
      <c r="G821" s="102"/>
      <c r="H821" s="102"/>
      <c r="I821" s="223"/>
      <c r="J821" s="102"/>
      <c r="K821" s="78"/>
      <c r="L821" s="224"/>
      <c r="M821" s="102"/>
      <c r="N821" s="102"/>
      <c r="O821" s="224"/>
      <c r="P821" s="102"/>
      <c r="Q821" s="102"/>
      <c r="R821" s="102"/>
      <c r="S821" s="225"/>
      <c r="T821" s="226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 spans="1:36" ht="15.75" customHeight="1">
      <c r="A822" s="4"/>
      <c r="B822" s="316"/>
      <c r="C822" s="259"/>
      <c r="D822" s="224"/>
      <c r="E822" s="102"/>
      <c r="F822" s="102"/>
      <c r="G822" s="102"/>
      <c r="H822" s="102"/>
      <c r="I822" s="223"/>
      <c r="J822" s="102"/>
      <c r="K822" s="78"/>
      <c r="L822" s="224"/>
      <c r="M822" s="102"/>
      <c r="N822" s="102"/>
      <c r="O822" s="224"/>
      <c r="P822" s="102"/>
      <c r="Q822" s="102"/>
      <c r="R822" s="102"/>
      <c r="S822" s="225"/>
      <c r="T822" s="226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 spans="1:36" ht="15.75" customHeight="1">
      <c r="A823" s="4"/>
      <c r="B823" s="316"/>
      <c r="C823" s="259"/>
      <c r="D823" s="224"/>
      <c r="E823" s="102"/>
      <c r="F823" s="102"/>
      <c r="G823" s="102"/>
      <c r="H823" s="102"/>
      <c r="I823" s="223"/>
      <c r="J823" s="102"/>
      <c r="K823" s="78"/>
      <c r="L823" s="224"/>
      <c r="M823" s="102"/>
      <c r="N823" s="102"/>
      <c r="O823" s="224"/>
      <c r="P823" s="102"/>
      <c r="Q823" s="102"/>
      <c r="R823" s="102"/>
      <c r="S823" s="225"/>
      <c r="T823" s="226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 spans="1:36" ht="15.75" customHeight="1">
      <c r="A824" s="4"/>
      <c r="B824" s="316"/>
      <c r="C824" s="259"/>
      <c r="D824" s="224"/>
      <c r="E824" s="102"/>
      <c r="F824" s="102"/>
      <c r="G824" s="102"/>
      <c r="H824" s="102"/>
      <c r="I824" s="223"/>
      <c r="J824" s="102"/>
      <c r="K824" s="78"/>
      <c r="L824" s="224"/>
      <c r="M824" s="102"/>
      <c r="N824" s="102"/>
      <c r="O824" s="224"/>
      <c r="P824" s="102"/>
      <c r="Q824" s="102"/>
      <c r="R824" s="102"/>
      <c r="S824" s="225"/>
      <c r="T824" s="226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spans="1:36" ht="15.75" customHeight="1">
      <c r="A825" s="4"/>
      <c r="B825" s="316"/>
      <c r="C825" s="259"/>
      <c r="D825" s="224"/>
      <c r="E825" s="102"/>
      <c r="F825" s="102"/>
      <c r="G825" s="102"/>
      <c r="H825" s="102"/>
      <c r="I825" s="223"/>
      <c r="J825" s="102"/>
      <c r="K825" s="78"/>
      <c r="L825" s="224"/>
      <c r="M825" s="102"/>
      <c r="N825" s="102"/>
      <c r="O825" s="224"/>
      <c r="P825" s="102"/>
      <c r="Q825" s="102"/>
      <c r="R825" s="102"/>
      <c r="S825" s="225"/>
      <c r="T825" s="226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spans="1:36" ht="15.75" customHeight="1">
      <c r="A826" s="4"/>
      <c r="B826" s="316"/>
      <c r="C826" s="259"/>
      <c r="D826" s="224"/>
      <c r="E826" s="102"/>
      <c r="F826" s="102"/>
      <c r="G826" s="102"/>
      <c r="H826" s="102"/>
      <c r="I826" s="223"/>
      <c r="J826" s="102"/>
      <c r="K826" s="78"/>
      <c r="L826" s="224"/>
      <c r="M826" s="102"/>
      <c r="N826" s="102"/>
      <c r="O826" s="224"/>
      <c r="P826" s="102"/>
      <c r="Q826" s="102"/>
      <c r="R826" s="102"/>
      <c r="S826" s="225"/>
      <c r="T826" s="226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spans="1:36" ht="15.75" customHeight="1">
      <c r="A827" s="4"/>
      <c r="B827" s="316"/>
      <c r="C827" s="259"/>
      <c r="D827" s="224"/>
      <c r="E827" s="102"/>
      <c r="F827" s="102"/>
      <c r="G827" s="102"/>
      <c r="H827" s="102"/>
      <c r="I827" s="223"/>
      <c r="J827" s="102"/>
      <c r="K827" s="78"/>
      <c r="L827" s="224"/>
      <c r="M827" s="102"/>
      <c r="N827" s="102"/>
      <c r="O827" s="224"/>
      <c r="P827" s="102"/>
      <c r="Q827" s="102"/>
      <c r="R827" s="102"/>
      <c r="S827" s="225"/>
      <c r="T827" s="226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 spans="1:36" ht="15.75" customHeight="1">
      <c r="A828" s="4"/>
      <c r="B828" s="316"/>
      <c r="C828" s="259"/>
      <c r="D828" s="224"/>
      <c r="E828" s="102"/>
      <c r="F828" s="102"/>
      <c r="G828" s="102"/>
      <c r="H828" s="102"/>
      <c r="I828" s="223"/>
      <c r="J828" s="102"/>
      <c r="K828" s="78"/>
      <c r="L828" s="224"/>
      <c r="M828" s="102"/>
      <c r="N828" s="102"/>
      <c r="O828" s="224"/>
      <c r="P828" s="102"/>
      <c r="Q828" s="102"/>
      <c r="R828" s="102"/>
      <c r="S828" s="225"/>
      <c r="T828" s="226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 spans="1:36" ht="15.75" customHeight="1">
      <c r="A829" s="4"/>
      <c r="B829" s="316"/>
      <c r="C829" s="259"/>
      <c r="D829" s="224"/>
      <c r="E829" s="102"/>
      <c r="F829" s="102"/>
      <c r="G829" s="102"/>
      <c r="H829" s="102"/>
      <c r="I829" s="223"/>
      <c r="J829" s="102"/>
      <c r="K829" s="78"/>
      <c r="L829" s="224"/>
      <c r="M829" s="102"/>
      <c r="N829" s="102"/>
      <c r="O829" s="224"/>
      <c r="P829" s="102"/>
      <c r="Q829" s="102"/>
      <c r="R829" s="102"/>
      <c r="S829" s="225"/>
      <c r="T829" s="226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 spans="1:36" ht="15.75" customHeight="1">
      <c r="A830" s="4"/>
      <c r="B830" s="316"/>
      <c r="C830" s="259"/>
      <c r="D830" s="224"/>
      <c r="E830" s="102"/>
      <c r="F830" s="102"/>
      <c r="G830" s="102"/>
      <c r="H830" s="102"/>
      <c r="I830" s="223"/>
      <c r="J830" s="102"/>
      <c r="K830" s="78"/>
      <c r="L830" s="224"/>
      <c r="M830" s="102"/>
      <c r="N830" s="102"/>
      <c r="O830" s="224"/>
      <c r="P830" s="102"/>
      <c r="Q830" s="102"/>
      <c r="R830" s="102"/>
      <c r="S830" s="225"/>
      <c r="T830" s="226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 spans="1:36" ht="15.75" customHeight="1">
      <c r="A831" s="4"/>
      <c r="B831" s="316"/>
      <c r="C831" s="259"/>
      <c r="D831" s="224"/>
      <c r="E831" s="102"/>
      <c r="F831" s="102"/>
      <c r="G831" s="102"/>
      <c r="H831" s="102"/>
      <c r="I831" s="223"/>
      <c r="J831" s="102"/>
      <c r="K831" s="78"/>
      <c r="L831" s="224"/>
      <c r="M831" s="102"/>
      <c r="N831" s="102"/>
      <c r="O831" s="224"/>
      <c r="P831" s="102"/>
      <c r="Q831" s="102"/>
      <c r="R831" s="102"/>
      <c r="S831" s="225"/>
      <c r="T831" s="226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 spans="1:36" ht="15.75" customHeight="1">
      <c r="A832" s="4"/>
      <c r="B832" s="316"/>
      <c r="C832" s="259"/>
      <c r="D832" s="224"/>
      <c r="E832" s="102"/>
      <c r="F832" s="102"/>
      <c r="G832" s="102"/>
      <c r="H832" s="102"/>
      <c r="I832" s="223"/>
      <c r="J832" s="102"/>
      <c r="K832" s="78"/>
      <c r="L832" s="224"/>
      <c r="M832" s="102"/>
      <c r="N832" s="102"/>
      <c r="O832" s="224"/>
      <c r="P832" s="102"/>
      <c r="Q832" s="102"/>
      <c r="R832" s="102"/>
      <c r="S832" s="225"/>
      <c r="T832" s="226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 spans="1:36" ht="15.75" customHeight="1">
      <c r="A833" s="4"/>
      <c r="B833" s="316"/>
      <c r="C833" s="259"/>
      <c r="D833" s="224"/>
      <c r="E833" s="102"/>
      <c r="F833" s="102"/>
      <c r="G833" s="102"/>
      <c r="H833" s="102"/>
      <c r="I833" s="223"/>
      <c r="J833" s="102"/>
      <c r="K833" s="78"/>
      <c r="L833" s="224"/>
      <c r="M833" s="102"/>
      <c r="N833" s="102"/>
      <c r="O833" s="224"/>
      <c r="P833" s="102"/>
      <c r="Q833" s="102"/>
      <c r="R833" s="102"/>
      <c r="S833" s="225"/>
      <c r="T833" s="226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spans="1:36" ht="15.75" customHeight="1">
      <c r="A834" s="4"/>
      <c r="B834" s="316"/>
      <c r="C834" s="259"/>
      <c r="D834" s="224"/>
      <c r="E834" s="102"/>
      <c r="F834" s="102"/>
      <c r="G834" s="102"/>
      <c r="H834" s="102"/>
      <c r="I834" s="223"/>
      <c r="J834" s="102"/>
      <c r="K834" s="78"/>
      <c r="L834" s="224"/>
      <c r="M834" s="102"/>
      <c r="N834" s="102"/>
      <c r="O834" s="224"/>
      <c r="P834" s="102"/>
      <c r="Q834" s="102"/>
      <c r="R834" s="102"/>
      <c r="S834" s="225"/>
      <c r="T834" s="226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spans="1:36" ht="15.75" customHeight="1">
      <c r="A835" s="4"/>
      <c r="B835" s="316"/>
      <c r="C835" s="259"/>
      <c r="D835" s="224"/>
      <c r="E835" s="102"/>
      <c r="F835" s="102"/>
      <c r="G835" s="102"/>
      <c r="H835" s="102"/>
      <c r="I835" s="223"/>
      <c r="J835" s="102"/>
      <c r="K835" s="78"/>
      <c r="L835" s="224"/>
      <c r="M835" s="102"/>
      <c r="N835" s="102"/>
      <c r="O835" s="224"/>
      <c r="P835" s="102"/>
      <c r="Q835" s="102"/>
      <c r="R835" s="102"/>
      <c r="S835" s="225"/>
      <c r="T835" s="226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spans="1:36" ht="15.75" customHeight="1">
      <c r="A836" s="4"/>
      <c r="B836" s="316"/>
      <c r="C836" s="259"/>
      <c r="D836" s="224"/>
      <c r="E836" s="102"/>
      <c r="F836" s="102"/>
      <c r="G836" s="102"/>
      <c r="H836" s="102"/>
      <c r="I836" s="223"/>
      <c r="J836" s="102"/>
      <c r="K836" s="78"/>
      <c r="L836" s="224"/>
      <c r="M836" s="102"/>
      <c r="N836" s="102"/>
      <c r="O836" s="224"/>
      <c r="P836" s="102"/>
      <c r="Q836" s="102"/>
      <c r="R836" s="102"/>
      <c r="S836" s="225"/>
      <c r="T836" s="226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 spans="1:36" ht="15.75" customHeight="1">
      <c r="A837" s="4"/>
      <c r="B837" s="316"/>
      <c r="C837" s="259"/>
      <c r="D837" s="224"/>
      <c r="E837" s="102"/>
      <c r="F837" s="102"/>
      <c r="G837" s="102"/>
      <c r="H837" s="102"/>
      <c r="I837" s="223"/>
      <c r="J837" s="102"/>
      <c r="K837" s="78"/>
      <c r="L837" s="224"/>
      <c r="M837" s="102"/>
      <c r="N837" s="102"/>
      <c r="O837" s="224"/>
      <c r="P837" s="102"/>
      <c r="Q837" s="102"/>
      <c r="R837" s="102"/>
      <c r="S837" s="225"/>
      <c r="T837" s="226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 spans="1:36" ht="15.75" customHeight="1">
      <c r="A838" s="4"/>
      <c r="B838" s="316"/>
      <c r="C838" s="259"/>
      <c r="D838" s="224"/>
      <c r="E838" s="102"/>
      <c r="F838" s="102"/>
      <c r="G838" s="102"/>
      <c r="H838" s="102"/>
      <c r="I838" s="223"/>
      <c r="J838" s="102"/>
      <c r="K838" s="78"/>
      <c r="L838" s="224"/>
      <c r="M838" s="102"/>
      <c r="N838" s="102"/>
      <c r="O838" s="224"/>
      <c r="P838" s="102"/>
      <c r="Q838" s="102"/>
      <c r="R838" s="102"/>
      <c r="S838" s="225"/>
      <c r="T838" s="226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 spans="1:36" ht="15.75" customHeight="1">
      <c r="A839" s="4"/>
      <c r="B839" s="316"/>
      <c r="C839" s="259"/>
      <c r="D839" s="224"/>
      <c r="E839" s="102"/>
      <c r="F839" s="102"/>
      <c r="G839" s="102"/>
      <c r="H839" s="102"/>
      <c r="I839" s="223"/>
      <c r="J839" s="102"/>
      <c r="K839" s="78"/>
      <c r="L839" s="224"/>
      <c r="M839" s="102"/>
      <c r="N839" s="102"/>
      <c r="O839" s="224"/>
      <c r="P839" s="102"/>
      <c r="Q839" s="102"/>
      <c r="R839" s="102"/>
      <c r="S839" s="225"/>
      <c r="T839" s="226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 spans="1:36" ht="15.75" customHeight="1">
      <c r="A840" s="4"/>
      <c r="B840" s="316"/>
      <c r="C840" s="259"/>
      <c r="D840" s="224"/>
      <c r="E840" s="102"/>
      <c r="F840" s="102"/>
      <c r="G840" s="102"/>
      <c r="H840" s="102"/>
      <c r="I840" s="223"/>
      <c r="J840" s="102"/>
      <c r="K840" s="78"/>
      <c r="L840" s="224"/>
      <c r="M840" s="102"/>
      <c r="N840" s="102"/>
      <c r="O840" s="224"/>
      <c r="P840" s="102"/>
      <c r="Q840" s="102"/>
      <c r="R840" s="102"/>
      <c r="S840" s="225"/>
      <c r="T840" s="226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 spans="1:36" ht="15.75" customHeight="1">
      <c r="A841" s="4"/>
      <c r="B841" s="316"/>
      <c r="C841" s="259"/>
      <c r="D841" s="224"/>
      <c r="E841" s="102"/>
      <c r="F841" s="102"/>
      <c r="G841" s="102"/>
      <c r="H841" s="102"/>
      <c r="I841" s="223"/>
      <c r="J841" s="102"/>
      <c r="K841" s="78"/>
      <c r="L841" s="224"/>
      <c r="M841" s="102"/>
      <c r="N841" s="102"/>
      <c r="O841" s="224"/>
      <c r="P841" s="102"/>
      <c r="Q841" s="102"/>
      <c r="R841" s="102"/>
      <c r="S841" s="225"/>
      <c r="T841" s="226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 spans="1:36" ht="15.75" customHeight="1">
      <c r="A842" s="4"/>
      <c r="B842" s="316"/>
      <c r="C842" s="259"/>
      <c r="D842" s="224"/>
      <c r="E842" s="102"/>
      <c r="F842" s="102"/>
      <c r="G842" s="102"/>
      <c r="H842" s="102"/>
      <c r="I842" s="223"/>
      <c r="J842" s="102"/>
      <c r="K842" s="78"/>
      <c r="L842" s="224"/>
      <c r="M842" s="102"/>
      <c r="N842" s="102"/>
      <c r="O842" s="224"/>
      <c r="P842" s="102"/>
      <c r="Q842" s="102"/>
      <c r="R842" s="102"/>
      <c r="S842" s="225"/>
      <c r="T842" s="226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spans="1:36" ht="15.75" customHeight="1">
      <c r="A843" s="4"/>
      <c r="B843" s="316"/>
      <c r="C843" s="259"/>
      <c r="D843" s="224"/>
      <c r="E843" s="102"/>
      <c r="F843" s="102"/>
      <c r="G843" s="102"/>
      <c r="H843" s="102"/>
      <c r="I843" s="223"/>
      <c r="J843" s="102"/>
      <c r="K843" s="78"/>
      <c r="L843" s="224"/>
      <c r="M843" s="102"/>
      <c r="N843" s="102"/>
      <c r="O843" s="224"/>
      <c r="P843" s="102"/>
      <c r="Q843" s="102"/>
      <c r="R843" s="102"/>
      <c r="S843" s="225"/>
      <c r="T843" s="226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spans="1:36" ht="15.75" customHeight="1">
      <c r="A844" s="4"/>
      <c r="B844" s="316"/>
      <c r="C844" s="259"/>
      <c r="D844" s="224"/>
      <c r="E844" s="102"/>
      <c r="F844" s="102"/>
      <c r="G844" s="102"/>
      <c r="H844" s="102"/>
      <c r="I844" s="223"/>
      <c r="J844" s="102"/>
      <c r="K844" s="78"/>
      <c r="L844" s="224"/>
      <c r="M844" s="102"/>
      <c r="N844" s="102"/>
      <c r="O844" s="224"/>
      <c r="P844" s="102"/>
      <c r="Q844" s="102"/>
      <c r="R844" s="102"/>
      <c r="S844" s="225"/>
      <c r="T844" s="226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spans="1:36" ht="15.75" customHeight="1">
      <c r="A845" s="4"/>
      <c r="B845" s="316"/>
      <c r="C845" s="259"/>
      <c r="D845" s="224"/>
      <c r="E845" s="102"/>
      <c r="F845" s="102"/>
      <c r="G845" s="102"/>
      <c r="H845" s="102"/>
      <c r="I845" s="223"/>
      <c r="J845" s="102"/>
      <c r="K845" s="78"/>
      <c r="L845" s="224"/>
      <c r="M845" s="102"/>
      <c r="N845" s="102"/>
      <c r="O845" s="224"/>
      <c r="P845" s="102"/>
      <c r="Q845" s="102"/>
      <c r="R845" s="102"/>
      <c r="S845" s="225"/>
      <c r="T845" s="226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 spans="1:36" ht="15.75" customHeight="1">
      <c r="A846" s="4"/>
      <c r="B846" s="316"/>
      <c r="C846" s="259"/>
      <c r="D846" s="224"/>
      <c r="E846" s="102"/>
      <c r="F846" s="102"/>
      <c r="G846" s="102"/>
      <c r="H846" s="102"/>
      <c r="I846" s="223"/>
      <c r="J846" s="102"/>
      <c r="K846" s="78"/>
      <c r="L846" s="224"/>
      <c r="M846" s="102"/>
      <c r="N846" s="102"/>
      <c r="O846" s="224"/>
      <c r="P846" s="102"/>
      <c r="Q846" s="102"/>
      <c r="R846" s="102"/>
      <c r="S846" s="225"/>
      <c r="T846" s="226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 spans="1:36" ht="15.75" customHeight="1">
      <c r="A847" s="4"/>
      <c r="B847" s="316"/>
      <c r="C847" s="259"/>
      <c r="D847" s="224"/>
      <c r="E847" s="102"/>
      <c r="F847" s="102"/>
      <c r="G847" s="102"/>
      <c r="H847" s="102"/>
      <c r="I847" s="223"/>
      <c r="J847" s="102"/>
      <c r="K847" s="78"/>
      <c r="L847" s="224"/>
      <c r="M847" s="102"/>
      <c r="N847" s="102"/>
      <c r="O847" s="224"/>
      <c r="P847" s="102"/>
      <c r="Q847" s="102"/>
      <c r="R847" s="102"/>
      <c r="S847" s="225"/>
      <c r="T847" s="226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 spans="1:36" ht="15.75" customHeight="1">
      <c r="A848" s="4"/>
      <c r="B848" s="316"/>
      <c r="C848" s="259"/>
      <c r="D848" s="224"/>
      <c r="E848" s="102"/>
      <c r="F848" s="102"/>
      <c r="G848" s="102"/>
      <c r="H848" s="102"/>
      <c r="I848" s="223"/>
      <c r="J848" s="102"/>
      <c r="K848" s="78"/>
      <c r="L848" s="224"/>
      <c r="M848" s="102"/>
      <c r="N848" s="102"/>
      <c r="O848" s="224"/>
      <c r="P848" s="102"/>
      <c r="Q848" s="102"/>
      <c r="R848" s="102"/>
      <c r="S848" s="225"/>
      <c r="T848" s="226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 spans="1:36" ht="15.75" customHeight="1">
      <c r="A849" s="4"/>
      <c r="B849" s="316"/>
      <c r="C849" s="259"/>
      <c r="D849" s="224"/>
      <c r="E849" s="102"/>
      <c r="F849" s="102"/>
      <c r="G849" s="102"/>
      <c r="H849" s="102"/>
      <c r="I849" s="223"/>
      <c r="J849" s="102"/>
      <c r="K849" s="78"/>
      <c r="L849" s="224"/>
      <c r="M849" s="102"/>
      <c r="N849" s="102"/>
      <c r="O849" s="224"/>
      <c r="P849" s="102"/>
      <c r="Q849" s="102"/>
      <c r="R849" s="102"/>
      <c r="S849" s="225"/>
      <c r="T849" s="226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 spans="1:36" ht="15.75" customHeight="1">
      <c r="A850" s="4"/>
      <c r="B850" s="316"/>
      <c r="C850" s="259"/>
      <c r="D850" s="224"/>
      <c r="E850" s="102"/>
      <c r="F850" s="102"/>
      <c r="G850" s="102"/>
      <c r="H850" s="102"/>
      <c r="I850" s="223"/>
      <c r="J850" s="102"/>
      <c r="K850" s="78"/>
      <c r="L850" s="224"/>
      <c r="M850" s="102"/>
      <c r="N850" s="102"/>
      <c r="O850" s="224"/>
      <c r="P850" s="102"/>
      <c r="Q850" s="102"/>
      <c r="R850" s="102"/>
      <c r="S850" s="225"/>
      <c r="T850" s="226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 spans="1:36" ht="15.75" customHeight="1">
      <c r="A851" s="4"/>
      <c r="B851" s="316"/>
      <c r="C851" s="259"/>
      <c r="D851" s="224"/>
      <c r="E851" s="102"/>
      <c r="F851" s="102"/>
      <c r="G851" s="102"/>
      <c r="H851" s="102"/>
      <c r="I851" s="223"/>
      <c r="J851" s="102"/>
      <c r="K851" s="78"/>
      <c r="L851" s="224"/>
      <c r="M851" s="102"/>
      <c r="N851" s="102"/>
      <c r="O851" s="224"/>
      <c r="P851" s="102"/>
      <c r="Q851" s="102"/>
      <c r="R851" s="102"/>
      <c r="S851" s="225"/>
      <c r="T851" s="226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spans="1:36" ht="15.75" customHeight="1">
      <c r="A852" s="4"/>
      <c r="B852" s="316"/>
      <c r="C852" s="259"/>
      <c r="D852" s="224"/>
      <c r="E852" s="102"/>
      <c r="F852" s="102"/>
      <c r="G852" s="102"/>
      <c r="H852" s="102"/>
      <c r="I852" s="223"/>
      <c r="J852" s="102"/>
      <c r="K852" s="78"/>
      <c r="L852" s="224"/>
      <c r="M852" s="102"/>
      <c r="N852" s="102"/>
      <c r="O852" s="224"/>
      <c r="P852" s="102"/>
      <c r="Q852" s="102"/>
      <c r="R852" s="102"/>
      <c r="S852" s="225"/>
      <c r="T852" s="226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spans="1:36" ht="15.75" customHeight="1">
      <c r="A853" s="4"/>
      <c r="B853" s="316"/>
      <c r="C853" s="259"/>
      <c r="D853" s="224"/>
      <c r="E853" s="102"/>
      <c r="F853" s="102"/>
      <c r="G853" s="102"/>
      <c r="H853" s="102"/>
      <c r="I853" s="223"/>
      <c r="J853" s="102"/>
      <c r="K853" s="78"/>
      <c r="L853" s="224"/>
      <c r="M853" s="102"/>
      <c r="N853" s="102"/>
      <c r="O853" s="224"/>
      <c r="P853" s="102"/>
      <c r="Q853" s="102"/>
      <c r="R853" s="102"/>
      <c r="S853" s="225"/>
      <c r="T853" s="226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spans="1:36" ht="15.75" customHeight="1">
      <c r="A854" s="4"/>
      <c r="B854" s="316"/>
      <c r="C854" s="259"/>
      <c r="D854" s="224"/>
      <c r="E854" s="102"/>
      <c r="F854" s="102"/>
      <c r="G854" s="102"/>
      <c r="H854" s="102"/>
      <c r="I854" s="223"/>
      <c r="J854" s="102"/>
      <c r="K854" s="78"/>
      <c r="L854" s="224"/>
      <c r="M854" s="102"/>
      <c r="N854" s="102"/>
      <c r="O854" s="224"/>
      <c r="P854" s="102"/>
      <c r="Q854" s="102"/>
      <c r="R854" s="102"/>
      <c r="S854" s="225"/>
      <c r="T854" s="226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 spans="1:36" ht="15.75" customHeight="1">
      <c r="A855" s="4"/>
      <c r="B855" s="316"/>
      <c r="C855" s="259"/>
      <c r="D855" s="224"/>
      <c r="E855" s="102"/>
      <c r="F855" s="102"/>
      <c r="G855" s="102"/>
      <c r="H855" s="102"/>
      <c r="I855" s="223"/>
      <c r="J855" s="102"/>
      <c r="K855" s="78"/>
      <c r="L855" s="224"/>
      <c r="M855" s="102"/>
      <c r="N855" s="102"/>
      <c r="O855" s="224"/>
      <c r="P855" s="102"/>
      <c r="Q855" s="102"/>
      <c r="R855" s="102"/>
      <c r="S855" s="225"/>
      <c r="T855" s="226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 spans="1:36" ht="15.75" customHeight="1">
      <c r="A856" s="4"/>
      <c r="B856" s="316"/>
      <c r="C856" s="259"/>
      <c r="D856" s="224"/>
      <c r="E856" s="102"/>
      <c r="F856" s="102"/>
      <c r="G856" s="102"/>
      <c r="H856" s="102"/>
      <c r="I856" s="223"/>
      <c r="J856" s="102"/>
      <c r="K856" s="78"/>
      <c r="L856" s="224"/>
      <c r="M856" s="102"/>
      <c r="N856" s="102"/>
      <c r="O856" s="224"/>
      <c r="P856" s="102"/>
      <c r="Q856" s="102"/>
      <c r="R856" s="102"/>
      <c r="S856" s="225"/>
      <c r="T856" s="226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 spans="1:36" ht="15.75" customHeight="1">
      <c r="A857" s="4"/>
      <c r="B857" s="316"/>
      <c r="C857" s="259"/>
      <c r="D857" s="224"/>
      <c r="E857" s="102"/>
      <c r="F857" s="102"/>
      <c r="G857" s="102"/>
      <c r="H857" s="102"/>
      <c r="I857" s="223"/>
      <c r="J857" s="102"/>
      <c r="K857" s="78"/>
      <c r="L857" s="224"/>
      <c r="M857" s="102"/>
      <c r="N857" s="102"/>
      <c r="O857" s="224"/>
      <c r="P857" s="102"/>
      <c r="Q857" s="102"/>
      <c r="R857" s="102"/>
      <c r="S857" s="225"/>
      <c r="T857" s="226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 spans="1:36" ht="15.75" customHeight="1">
      <c r="A858" s="4"/>
      <c r="B858" s="316"/>
      <c r="C858" s="259"/>
      <c r="D858" s="224"/>
      <c r="E858" s="102"/>
      <c r="F858" s="102"/>
      <c r="G858" s="102"/>
      <c r="H858" s="102"/>
      <c r="I858" s="223"/>
      <c r="J858" s="102"/>
      <c r="K858" s="78"/>
      <c r="L858" s="224"/>
      <c r="M858" s="102"/>
      <c r="N858" s="102"/>
      <c r="O858" s="224"/>
      <c r="P858" s="102"/>
      <c r="Q858" s="102"/>
      <c r="R858" s="102"/>
      <c r="S858" s="225"/>
      <c r="T858" s="226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 spans="1:36" ht="15.75" customHeight="1">
      <c r="A859" s="4"/>
      <c r="B859" s="316"/>
      <c r="C859" s="259"/>
      <c r="D859" s="224"/>
      <c r="E859" s="102"/>
      <c r="F859" s="102"/>
      <c r="G859" s="102"/>
      <c r="H859" s="102"/>
      <c r="I859" s="223"/>
      <c r="J859" s="102"/>
      <c r="K859" s="78"/>
      <c r="L859" s="224"/>
      <c r="M859" s="102"/>
      <c r="N859" s="102"/>
      <c r="O859" s="224"/>
      <c r="P859" s="102"/>
      <c r="Q859" s="102"/>
      <c r="R859" s="102"/>
      <c r="S859" s="225"/>
      <c r="T859" s="226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 spans="1:36" ht="15.75" customHeight="1">
      <c r="A860" s="4"/>
      <c r="B860" s="316"/>
      <c r="C860" s="259"/>
      <c r="D860" s="224"/>
      <c r="E860" s="102"/>
      <c r="F860" s="102"/>
      <c r="G860" s="102"/>
      <c r="H860" s="102"/>
      <c r="I860" s="223"/>
      <c r="J860" s="102"/>
      <c r="K860" s="78"/>
      <c r="L860" s="224"/>
      <c r="M860" s="102"/>
      <c r="N860" s="102"/>
      <c r="O860" s="224"/>
      <c r="P860" s="102"/>
      <c r="Q860" s="102"/>
      <c r="R860" s="102"/>
      <c r="S860" s="225"/>
      <c r="T860" s="226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spans="1:36" ht="15.75" customHeight="1">
      <c r="A861" s="4"/>
      <c r="B861" s="316"/>
      <c r="C861" s="259"/>
      <c r="D861" s="224"/>
      <c r="E861" s="102"/>
      <c r="F861" s="102"/>
      <c r="G861" s="102"/>
      <c r="H861" s="102"/>
      <c r="I861" s="223"/>
      <c r="J861" s="102"/>
      <c r="K861" s="78"/>
      <c r="L861" s="224"/>
      <c r="M861" s="102"/>
      <c r="N861" s="102"/>
      <c r="O861" s="224"/>
      <c r="P861" s="102"/>
      <c r="Q861" s="102"/>
      <c r="R861" s="102"/>
      <c r="S861" s="225"/>
      <c r="T861" s="226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spans="1:36" ht="15.75" customHeight="1">
      <c r="A862" s="4"/>
      <c r="B862" s="316"/>
      <c r="C862" s="259"/>
      <c r="D862" s="224"/>
      <c r="E862" s="102"/>
      <c r="F862" s="102"/>
      <c r="G862" s="102"/>
      <c r="H862" s="102"/>
      <c r="I862" s="223"/>
      <c r="J862" s="102"/>
      <c r="K862" s="78"/>
      <c r="L862" s="224"/>
      <c r="M862" s="102"/>
      <c r="N862" s="102"/>
      <c r="O862" s="224"/>
      <c r="P862" s="102"/>
      <c r="Q862" s="102"/>
      <c r="R862" s="102"/>
      <c r="S862" s="225"/>
      <c r="T862" s="226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spans="1:36" ht="15.75" customHeight="1">
      <c r="A863" s="4"/>
      <c r="B863" s="316"/>
      <c r="C863" s="259"/>
      <c r="D863" s="224"/>
      <c r="E863" s="102"/>
      <c r="F863" s="102"/>
      <c r="G863" s="102"/>
      <c r="H863" s="102"/>
      <c r="I863" s="223"/>
      <c r="J863" s="102"/>
      <c r="K863" s="78"/>
      <c r="L863" s="224"/>
      <c r="M863" s="102"/>
      <c r="N863" s="102"/>
      <c r="O863" s="224"/>
      <c r="P863" s="102"/>
      <c r="Q863" s="102"/>
      <c r="R863" s="102"/>
      <c r="S863" s="225"/>
      <c r="T863" s="226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 spans="1:36" ht="15.75" customHeight="1">
      <c r="A864" s="4"/>
      <c r="B864" s="316"/>
      <c r="C864" s="259"/>
      <c r="D864" s="224"/>
      <c r="E864" s="102"/>
      <c r="F864" s="102"/>
      <c r="G864" s="102"/>
      <c r="H864" s="102"/>
      <c r="I864" s="223"/>
      <c r="J864" s="102"/>
      <c r="K864" s="78"/>
      <c r="L864" s="224"/>
      <c r="M864" s="102"/>
      <c r="N864" s="102"/>
      <c r="O864" s="224"/>
      <c r="P864" s="102"/>
      <c r="Q864" s="102"/>
      <c r="R864" s="102"/>
      <c r="S864" s="225"/>
      <c r="T864" s="226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 spans="1:36" ht="15.75" customHeight="1">
      <c r="A865" s="4"/>
      <c r="B865" s="316"/>
      <c r="C865" s="259"/>
      <c r="D865" s="224"/>
      <c r="E865" s="102"/>
      <c r="F865" s="102"/>
      <c r="G865" s="102"/>
      <c r="H865" s="102"/>
      <c r="I865" s="223"/>
      <c r="J865" s="102"/>
      <c r="K865" s="78"/>
      <c r="L865" s="224"/>
      <c r="M865" s="102"/>
      <c r="N865" s="102"/>
      <c r="O865" s="224"/>
      <c r="P865" s="102"/>
      <c r="Q865" s="102"/>
      <c r="R865" s="102"/>
      <c r="S865" s="225"/>
      <c r="T865" s="226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 spans="1:36" ht="15.75" customHeight="1">
      <c r="A866" s="4"/>
      <c r="B866" s="316"/>
      <c r="C866" s="259"/>
      <c r="D866" s="224"/>
      <c r="E866" s="102"/>
      <c r="F866" s="102"/>
      <c r="G866" s="102"/>
      <c r="H866" s="102"/>
      <c r="I866" s="223"/>
      <c r="J866" s="102"/>
      <c r="K866" s="78"/>
      <c r="L866" s="224"/>
      <c r="M866" s="102"/>
      <c r="N866" s="102"/>
      <c r="O866" s="224"/>
      <c r="P866" s="102"/>
      <c r="Q866" s="102"/>
      <c r="R866" s="102"/>
      <c r="S866" s="225"/>
      <c r="T866" s="226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 spans="1:36" ht="15.75" customHeight="1">
      <c r="A867" s="4"/>
      <c r="B867" s="316"/>
      <c r="C867" s="259"/>
      <c r="D867" s="224"/>
      <c r="E867" s="102"/>
      <c r="F867" s="102"/>
      <c r="G867" s="102"/>
      <c r="H867" s="102"/>
      <c r="I867" s="223"/>
      <c r="J867" s="102"/>
      <c r="K867" s="78"/>
      <c r="L867" s="224"/>
      <c r="M867" s="102"/>
      <c r="N867" s="102"/>
      <c r="O867" s="224"/>
      <c r="P867" s="102"/>
      <c r="Q867" s="102"/>
      <c r="R867" s="102"/>
      <c r="S867" s="225"/>
      <c r="T867" s="226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 spans="1:36" ht="15.75" customHeight="1">
      <c r="A868" s="4"/>
      <c r="B868" s="316"/>
      <c r="C868" s="259"/>
      <c r="D868" s="224"/>
      <c r="E868" s="102"/>
      <c r="F868" s="102"/>
      <c r="G868" s="102"/>
      <c r="H868" s="102"/>
      <c r="I868" s="223"/>
      <c r="J868" s="102"/>
      <c r="K868" s="78"/>
      <c r="L868" s="224"/>
      <c r="M868" s="102"/>
      <c r="N868" s="102"/>
      <c r="O868" s="224"/>
      <c r="P868" s="102"/>
      <c r="Q868" s="102"/>
      <c r="R868" s="102"/>
      <c r="S868" s="225"/>
      <c r="T868" s="226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 spans="1:36" ht="15.75" customHeight="1">
      <c r="A869" s="4"/>
      <c r="B869" s="316"/>
      <c r="C869" s="259"/>
      <c r="D869" s="224"/>
      <c r="E869" s="102"/>
      <c r="F869" s="102"/>
      <c r="G869" s="102"/>
      <c r="H869" s="102"/>
      <c r="I869" s="223"/>
      <c r="J869" s="102"/>
      <c r="K869" s="78"/>
      <c r="L869" s="224"/>
      <c r="M869" s="102"/>
      <c r="N869" s="102"/>
      <c r="O869" s="224"/>
      <c r="P869" s="102"/>
      <c r="Q869" s="102"/>
      <c r="R869" s="102"/>
      <c r="S869" s="225"/>
      <c r="T869" s="226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spans="1:36" ht="15.75" customHeight="1">
      <c r="A870" s="4"/>
      <c r="B870" s="316"/>
      <c r="C870" s="259"/>
      <c r="D870" s="224"/>
      <c r="E870" s="102"/>
      <c r="F870" s="102"/>
      <c r="G870" s="102"/>
      <c r="H870" s="102"/>
      <c r="I870" s="223"/>
      <c r="J870" s="102"/>
      <c r="K870" s="78"/>
      <c r="L870" s="224"/>
      <c r="M870" s="102"/>
      <c r="N870" s="102"/>
      <c r="O870" s="224"/>
      <c r="P870" s="102"/>
      <c r="Q870" s="102"/>
      <c r="R870" s="102"/>
      <c r="S870" s="225"/>
      <c r="T870" s="226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spans="1:36" ht="15.75" customHeight="1">
      <c r="A871" s="4"/>
      <c r="B871" s="316"/>
      <c r="C871" s="259"/>
      <c r="D871" s="224"/>
      <c r="E871" s="102"/>
      <c r="F871" s="102"/>
      <c r="G871" s="102"/>
      <c r="H871" s="102"/>
      <c r="I871" s="223"/>
      <c r="J871" s="102"/>
      <c r="K871" s="78"/>
      <c r="L871" s="224"/>
      <c r="M871" s="102"/>
      <c r="N871" s="102"/>
      <c r="O871" s="224"/>
      <c r="P871" s="102"/>
      <c r="Q871" s="102"/>
      <c r="R871" s="102"/>
      <c r="S871" s="225"/>
      <c r="T871" s="226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spans="1:36" ht="15.75" customHeight="1">
      <c r="A872" s="4"/>
      <c r="B872" s="316"/>
      <c r="C872" s="259"/>
      <c r="D872" s="224"/>
      <c r="E872" s="102"/>
      <c r="F872" s="102"/>
      <c r="G872" s="102"/>
      <c r="H872" s="102"/>
      <c r="I872" s="223"/>
      <c r="J872" s="102"/>
      <c r="K872" s="78"/>
      <c r="L872" s="224"/>
      <c r="M872" s="102"/>
      <c r="N872" s="102"/>
      <c r="O872" s="224"/>
      <c r="P872" s="102"/>
      <c r="Q872" s="102"/>
      <c r="R872" s="102"/>
      <c r="S872" s="225"/>
      <c r="T872" s="226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 spans="1:36" ht="15.75" customHeight="1">
      <c r="A873" s="4"/>
      <c r="B873" s="316"/>
      <c r="C873" s="259"/>
      <c r="D873" s="224"/>
      <c r="E873" s="102"/>
      <c r="F873" s="102"/>
      <c r="G873" s="102"/>
      <c r="H873" s="102"/>
      <c r="I873" s="223"/>
      <c r="J873" s="102"/>
      <c r="K873" s="78"/>
      <c r="L873" s="224"/>
      <c r="M873" s="102"/>
      <c r="N873" s="102"/>
      <c r="O873" s="224"/>
      <c r="P873" s="102"/>
      <c r="Q873" s="102"/>
      <c r="R873" s="102"/>
      <c r="S873" s="225"/>
      <c r="T873" s="226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 spans="1:36" ht="15.75" customHeight="1">
      <c r="A874" s="4"/>
      <c r="B874" s="316"/>
      <c r="C874" s="259"/>
      <c r="D874" s="224"/>
      <c r="E874" s="102"/>
      <c r="F874" s="102"/>
      <c r="G874" s="102"/>
      <c r="H874" s="102"/>
      <c r="I874" s="223"/>
      <c r="J874" s="102"/>
      <c r="K874" s="78"/>
      <c r="L874" s="224"/>
      <c r="M874" s="102"/>
      <c r="N874" s="102"/>
      <c r="O874" s="224"/>
      <c r="P874" s="102"/>
      <c r="Q874" s="102"/>
      <c r="R874" s="102"/>
      <c r="S874" s="225"/>
      <c r="T874" s="226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 spans="1:36" ht="15.75" customHeight="1">
      <c r="A875" s="4"/>
      <c r="B875" s="316"/>
      <c r="C875" s="259"/>
      <c r="D875" s="224"/>
      <c r="E875" s="102"/>
      <c r="F875" s="102"/>
      <c r="G875" s="102"/>
      <c r="H875" s="102"/>
      <c r="I875" s="223"/>
      <c r="J875" s="102"/>
      <c r="K875" s="78"/>
      <c r="L875" s="224"/>
      <c r="M875" s="102"/>
      <c r="N875" s="102"/>
      <c r="O875" s="224"/>
      <c r="P875" s="102"/>
      <c r="Q875" s="102"/>
      <c r="R875" s="102"/>
      <c r="S875" s="225"/>
      <c r="T875" s="226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 spans="1:36" ht="15.75" customHeight="1">
      <c r="A876" s="4"/>
      <c r="B876" s="316"/>
      <c r="C876" s="259"/>
      <c r="D876" s="224"/>
      <c r="E876" s="102"/>
      <c r="F876" s="102"/>
      <c r="G876" s="102"/>
      <c r="H876" s="102"/>
      <c r="I876" s="223"/>
      <c r="J876" s="102"/>
      <c r="K876" s="78"/>
      <c r="L876" s="224"/>
      <c r="M876" s="102"/>
      <c r="N876" s="102"/>
      <c r="O876" s="224"/>
      <c r="P876" s="102"/>
      <c r="Q876" s="102"/>
      <c r="R876" s="102"/>
      <c r="S876" s="225"/>
      <c r="T876" s="226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 spans="1:36" ht="15.75" customHeight="1">
      <c r="A877" s="4"/>
      <c r="B877" s="316"/>
      <c r="C877" s="259"/>
      <c r="D877" s="224"/>
      <c r="E877" s="102"/>
      <c r="F877" s="102"/>
      <c r="G877" s="102"/>
      <c r="H877" s="102"/>
      <c r="I877" s="223"/>
      <c r="J877" s="102"/>
      <c r="K877" s="78"/>
      <c r="L877" s="224"/>
      <c r="M877" s="102"/>
      <c r="N877" s="102"/>
      <c r="O877" s="224"/>
      <c r="P877" s="102"/>
      <c r="Q877" s="102"/>
      <c r="R877" s="102"/>
      <c r="S877" s="225"/>
      <c r="T877" s="226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 spans="1:36" ht="15.75" customHeight="1">
      <c r="A878" s="4"/>
      <c r="B878" s="316"/>
      <c r="C878" s="259"/>
      <c r="D878" s="224"/>
      <c r="E878" s="102"/>
      <c r="F878" s="102"/>
      <c r="G878" s="102"/>
      <c r="H878" s="102"/>
      <c r="I878" s="223"/>
      <c r="J878" s="102"/>
      <c r="K878" s="78"/>
      <c r="L878" s="224"/>
      <c r="M878" s="102"/>
      <c r="N878" s="102"/>
      <c r="O878" s="224"/>
      <c r="P878" s="102"/>
      <c r="Q878" s="102"/>
      <c r="R878" s="102"/>
      <c r="S878" s="225"/>
      <c r="T878" s="226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spans="1:36" ht="15.75" customHeight="1">
      <c r="A879" s="4"/>
      <c r="B879" s="316"/>
      <c r="C879" s="259"/>
      <c r="D879" s="224"/>
      <c r="E879" s="102"/>
      <c r="F879" s="102"/>
      <c r="G879" s="102"/>
      <c r="H879" s="102"/>
      <c r="I879" s="223"/>
      <c r="J879" s="102"/>
      <c r="K879" s="78"/>
      <c r="L879" s="224"/>
      <c r="M879" s="102"/>
      <c r="N879" s="102"/>
      <c r="O879" s="224"/>
      <c r="P879" s="102"/>
      <c r="Q879" s="102"/>
      <c r="R879" s="102"/>
      <c r="S879" s="225"/>
      <c r="T879" s="226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spans="1:36" ht="15.75" customHeight="1">
      <c r="A880" s="4"/>
      <c r="B880" s="316"/>
      <c r="C880" s="259"/>
      <c r="D880" s="224"/>
      <c r="E880" s="102"/>
      <c r="F880" s="102"/>
      <c r="G880" s="102"/>
      <c r="H880" s="102"/>
      <c r="I880" s="223"/>
      <c r="J880" s="102"/>
      <c r="K880" s="78"/>
      <c r="L880" s="224"/>
      <c r="M880" s="102"/>
      <c r="N880" s="102"/>
      <c r="O880" s="224"/>
      <c r="P880" s="102"/>
      <c r="Q880" s="102"/>
      <c r="R880" s="102"/>
      <c r="S880" s="225"/>
      <c r="T880" s="226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spans="1:36" ht="15.75" customHeight="1">
      <c r="A881" s="4"/>
      <c r="B881" s="316"/>
      <c r="C881" s="259"/>
      <c r="D881" s="224"/>
      <c r="E881" s="102"/>
      <c r="F881" s="102"/>
      <c r="G881" s="102"/>
      <c r="H881" s="102"/>
      <c r="I881" s="223"/>
      <c r="J881" s="102"/>
      <c r="K881" s="78"/>
      <c r="L881" s="224"/>
      <c r="M881" s="102"/>
      <c r="N881" s="102"/>
      <c r="O881" s="224"/>
      <c r="P881" s="102"/>
      <c r="Q881" s="102"/>
      <c r="R881" s="102"/>
      <c r="S881" s="225"/>
      <c r="T881" s="226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 spans="1:36" ht="15.75" customHeight="1">
      <c r="A882" s="4"/>
      <c r="B882" s="316"/>
      <c r="C882" s="259"/>
      <c r="D882" s="224"/>
      <c r="E882" s="102"/>
      <c r="F882" s="102"/>
      <c r="G882" s="102"/>
      <c r="H882" s="102"/>
      <c r="I882" s="223"/>
      <c r="J882" s="102"/>
      <c r="K882" s="78"/>
      <c r="L882" s="224"/>
      <c r="M882" s="102"/>
      <c r="N882" s="102"/>
      <c r="O882" s="224"/>
      <c r="P882" s="102"/>
      <c r="Q882" s="102"/>
      <c r="R882" s="102"/>
      <c r="S882" s="225"/>
      <c r="T882" s="226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 spans="1:36" ht="15.75" customHeight="1">
      <c r="A883" s="4"/>
      <c r="B883" s="316"/>
      <c r="C883" s="259"/>
      <c r="D883" s="224"/>
      <c r="E883" s="102"/>
      <c r="F883" s="102"/>
      <c r="G883" s="102"/>
      <c r="H883" s="102"/>
      <c r="I883" s="223"/>
      <c r="J883" s="102"/>
      <c r="K883" s="78"/>
      <c r="L883" s="224"/>
      <c r="M883" s="102"/>
      <c r="N883" s="102"/>
      <c r="O883" s="224"/>
      <c r="P883" s="102"/>
      <c r="Q883" s="102"/>
      <c r="R883" s="102"/>
      <c r="S883" s="225"/>
      <c r="T883" s="226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 spans="1:36" ht="15.75" customHeight="1">
      <c r="A884" s="4"/>
      <c r="B884" s="316"/>
      <c r="C884" s="259"/>
      <c r="D884" s="224"/>
      <c r="E884" s="102"/>
      <c r="F884" s="102"/>
      <c r="G884" s="102"/>
      <c r="H884" s="102"/>
      <c r="I884" s="223"/>
      <c r="J884" s="102"/>
      <c r="K884" s="78"/>
      <c r="L884" s="224"/>
      <c r="M884" s="102"/>
      <c r="N884" s="102"/>
      <c r="O884" s="224"/>
      <c r="P884" s="102"/>
      <c r="Q884" s="102"/>
      <c r="R884" s="102"/>
      <c r="S884" s="225"/>
      <c r="T884" s="226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 spans="1:36" ht="15.75" customHeight="1">
      <c r="A885" s="4"/>
      <c r="B885" s="316"/>
      <c r="C885" s="259"/>
      <c r="D885" s="224"/>
      <c r="E885" s="102"/>
      <c r="F885" s="102"/>
      <c r="G885" s="102"/>
      <c r="H885" s="102"/>
      <c r="I885" s="223"/>
      <c r="J885" s="102"/>
      <c r="K885" s="78"/>
      <c r="L885" s="224"/>
      <c r="M885" s="102"/>
      <c r="N885" s="102"/>
      <c r="O885" s="224"/>
      <c r="P885" s="102"/>
      <c r="Q885" s="102"/>
      <c r="R885" s="102"/>
      <c r="S885" s="225"/>
      <c r="T885" s="226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 spans="1:36" ht="15.75" customHeight="1">
      <c r="A886" s="4"/>
      <c r="B886" s="316"/>
      <c r="C886" s="259"/>
      <c r="D886" s="224"/>
      <c r="E886" s="102"/>
      <c r="F886" s="102"/>
      <c r="G886" s="102"/>
      <c r="H886" s="102"/>
      <c r="I886" s="223"/>
      <c r="J886" s="102"/>
      <c r="K886" s="78"/>
      <c r="L886" s="224"/>
      <c r="M886" s="102"/>
      <c r="N886" s="102"/>
      <c r="O886" s="224"/>
      <c r="P886" s="102"/>
      <c r="Q886" s="102"/>
      <c r="R886" s="102"/>
      <c r="S886" s="225"/>
      <c r="T886" s="226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 spans="1:36" ht="15.75" customHeight="1">
      <c r="A887" s="4"/>
      <c r="B887" s="316"/>
      <c r="C887" s="259"/>
      <c r="D887" s="224"/>
      <c r="E887" s="102"/>
      <c r="F887" s="102"/>
      <c r="G887" s="102"/>
      <c r="H887" s="102"/>
      <c r="I887" s="223"/>
      <c r="J887" s="102"/>
      <c r="K887" s="78"/>
      <c r="L887" s="224"/>
      <c r="M887" s="102"/>
      <c r="N887" s="102"/>
      <c r="O887" s="224"/>
      <c r="P887" s="102"/>
      <c r="Q887" s="102"/>
      <c r="R887" s="102"/>
      <c r="S887" s="225"/>
      <c r="T887" s="226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spans="1:36" ht="15.75" customHeight="1">
      <c r="A888" s="4"/>
      <c r="B888" s="316"/>
      <c r="C888" s="259"/>
      <c r="D888" s="224"/>
      <c r="E888" s="102"/>
      <c r="F888" s="102"/>
      <c r="G888" s="102"/>
      <c r="H888" s="102"/>
      <c r="I888" s="223"/>
      <c r="J888" s="102"/>
      <c r="K888" s="78"/>
      <c r="L888" s="224"/>
      <c r="M888" s="102"/>
      <c r="N888" s="102"/>
      <c r="O888" s="224"/>
      <c r="P888" s="102"/>
      <c r="Q888" s="102"/>
      <c r="R888" s="102"/>
      <c r="S888" s="225"/>
      <c r="T888" s="226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spans="1:36" ht="15.75" customHeight="1">
      <c r="A889" s="4"/>
      <c r="B889" s="316"/>
      <c r="C889" s="259"/>
      <c r="D889" s="224"/>
      <c r="E889" s="102"/>
      <c r="F889" s="102"/>
      <c r="G889" s="102"/>
      <c r="H889" s="102"/>
      <c r="I889" s="223"/>
      <c r="J889" s="102"/>
      <c r="K889" s="78"/>
      <c r="L889" s="224"/>
      <c r="M889" s="102"/>
      <c r="N889" s="102"/>
      <c r="O889" s="224"/>
      <c r="P889" s="102"/>
      <c r="Q889" s="102"/>
      <c r="R889" s="102"/>
      <c r="S889" s="225"/>
      <c r="T889" s="226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spans="1:36" ht="15.75" customHeight="1">
      <c r="A890" s="4"/>
      <c r="B890" s="316"/>
      <c r="C890" s="259"/>
      <c r="D890" s="224"/>
      <c r="E890" s="102"/>
      <c r="F890" s="102"/>
      <c r="G890" s="102"/>
      <c r="H890" s="102"/>
      <c r="I890" s="223"/>
      <c r="J890" s="102"/>
      <c r="K890" s="78"/>
      <c r="L890" s="224"/>
      <c r="M890" s="102"/>
      <c r="N890" s="102"/>
      <c r="O890" s="224"/>
      <c r="P890" s="102"/>
      <c r="Q890" s="102"/>
      <c r="R890" s="102"/>
      <c r="S890" s="225"/>
      <c r="T890" s="226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 spans="1:36" ht="15.75" customHeight="1">
      <c r="A891" s="4"/>
      <c r="B891" s="316"/>
      <c r="C891" s="259"/>
      <c r="D891" s="224"/>
      <c r="E891" s="102"/>
      <c r="F891" s="102"/>
      <c r="G891" s="102"/>
      <c r="H891" s="102"/>
      <c r="I891" s="223"/>
      <c r="J891" s="102"/>
      <c r="K891" s="78"/>
      <c r="L891" s="224"/>
      <c r="M891" s="102"/>
      <c r="N891" s="102"/>
      <c r="O891" s="224"/>
      <c r="P891" s="102"/>
      <c r="Q891" s="102"/>
      <c r="R891" s="102"/>
      <c r="S891" s="225"/>
      <c r="T891" s="226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 spans="1:36" ht="15.75" customHeight="1">
      <c r="A892" s="4"/>
      <c r="B892" s="316"/>
      <c r="C892" s="259"/>
      <c r="D892" s="224"/>
      <c r="E892" s="102"/>
      <c r="F892" s="102"/>
      <c r="G892" s="102"/>
      <c r="H892" s="102"/>
      <c r="I892" s="223"/>
      <c r="J892" s="102"/>
      <c r="K892" s="78"/>
      <c r="L892" s="224"/>
      <c r="M892" s="102"/>
      <c r="N892" s="102"/>
      <c r="O892" s="224"/>
      <c r="P892" s="102"/>
      <c r="Q892" s="102"/>
      <c r="R892" s="102"/>
      <c r="S892" s="225"/>
      <c r="T892" s="226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 spans="1:36" ht="15.75" customHeight="1">
      <c r="A893" s="4"/>
      <c r="B893" s="316"/>
      <c r="C893" s="259"/>
      <c r="D893" s="224"/>
      <c r="E893" s="102"/>
      <c r="F893" s="102"/>
      <c r="G893" s="102"/>
      <c r="H893" s="102"/>
      <c r="I893" s="223"/>
      <c r="J893" s="102"/>
      <c r="K893" s="78"/>
      <c r="L893" s="224"/>
      <c r="M893" s="102"/>
      <c r="N893" s="102"/>
      <c r="O893" s="224"/>
      <c r="P893" s="102"/>
      <c r="Q893" s="102"/>
      <c r="R893" s="102"/>
      <c r="S893" s="225"/>
      <c r="T893" s="226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 spans="1:36" ht="15.75" customHeight="1">
      <c r="A894" s="4"/>
      <c r="B894" s="316"/>
      <c r="C894" s="259"/>
      <c r="D894" s="224"/>
      <c r="E894" s="102"/>
      <c r="F894" s="102"/>
      <c r="G894" s="102"/>
      <c r="H894" s="102"/>
      <c r="I894" s="223"/>
      <c r="J894" s="102"/>
      <c r="K894" s="78"/>
      <c r="L894" s="224"/>
      <c r="M894" s="102"/>
      <c r="N894" s="102"/>
      <c r="O894" s="224"/>
      <c r="P894" s="102"/>
      <c r="Q894" s="102"/>
      <c r="R894" s="102"/>
      <c r="S894" s="225"/>
      <c r="T894" s="226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 spans="1:36" ht="15.75" customHeight="1">
      <c r="A895" s="4"/>
      <c r="B895" s="316"/>
      <c r="C895" s="259"/>
      <c r="D895" s="224"/>
      <c r="E895" s="102"/>
      <c r="F895" s="102"/>
      <c r="G895" s="102"/>
      <c r="H895" s="102"/>
      <c r="I895" s="223"/>
      <c r="J895" s="102"/>
      <c r="K895" s="78"/>
      <c r="L895" s="224"/>
      <c r="M895" s="102"/>
      <c r="N895" s="102"/>
      <c r="O895" s="224"/>
      <c r="P895" s="102"/>
      <c r="Q895" s="102"/>
      <c r="R895" s="102"/>
      <c r="S895" s="225"/>
      <c r="T895" s="226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 spans="1:36" ht="15.75" customHeight="1">
      <c r="A896" s="4"/>
      <c r="B896" s="316"/>
      <c r="C896" s="259"/>
      <c r="D896" s="224"/>
      <c r="E896" s="102"/>
      <c r="F896" s="102"/>
      <c r="G896" s="102"/>
      <c r="H896" s="102"/>
      <c r="I896" s="223"/>
      <c r="J896" s="102"/>
      <c r="K896" s="78"/>
      <c r="L896" s="224"/>
      <c r="M896" s="102"/>
      <c r="N896" s="102"/>
      <c r="O896" s="224"/>
      <c r="P896" s="102"/>
      <c r="Q896" s="102"/>
      <c r="R896" s="102"/>
      <c r="S896" s="225"/>
      <c r="T896" s="226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spans="1:36" ht="15.75" customHeight="1">
      <c r="A897" s="4"/>
      <c r="B897" s="316"/>
      <c r="C897" s="259"/>
      <c r="D897" s="224"/>
      <c r="E897" s="102"/>
      <c r="F897" s="102"/>
      <c r="G897" s="102"/>
      <c r="H897" s="102"/>
      <c r="I897" s="223"/>
      <c r="J897" s="102"/>
      <c r="K897" s="78"/>
      <c r="L897" s="224"/>
      <c r="M897" s="102"/>
      <c r="N897" s="102"/>
      <c r="O897" s="224"/>
      <c r="P897" s="102"/>
      <c r="Q897" s="102"/>
      <c r="R897" s="102"/>
      <c r="S897" s="225"/>
      <c r="T897" s="226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spans="1:36" ht="15.75" customHeight="1">
      <c r="A898" s="4"/>
      <c r="B898" s="316"/>
      <c r="C898" s="259"/>
      <c r="D898" s="224"/>
      <c r="E898" s="102"/>
      <c r="F898" s="102"/>
      <c r="G898" s="102"/>
      <c r="H898" s="102"/>
      <c r="I898" s="223"/>
      <c r="J898" s="102"/>
      <c r="K898" s="78"/>
      <c r="L898" s="224"/>
      <c r="M898" s="102"/>
      <c r="N898" s="102"/>
      <c r="O898" s="224"/>
      <c r="P898" s="102"/>
      <c r="Q898" s="102"/>
      <c r="R898" s="102"/>
      <c r="S898" s="225"/>
      <c r="T898" s="226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spans="1:36" ht="15.75" customHeight="1">
      <c r="A899" s="4"/>
      <c r="B899" s="316"/>
      <c r="C899" s="259"/>
      <c r="D899" s="224"/>
      <c r="E899" s="102"/>
      <c r="F899" s="102"/>
      <c r="G899" s="102"/>
      <c r="H899" s="102"/>
      <c r="I899" s="223"/>
      <c r="J899" s="102"/>
      <c r="K899" s="78"/>
      <c r="L899" s="224"/>
      <c r="M899" s="102"/>
      <c r="N899" s="102"/>
      <c r="O899" s="224"/>
      <c r="P899" s="102"/>
      <c r="Q899" s="102"/>
      <c r="R899" s="102"/>
      <c r="S899" s="225"/>
      <c r="T899" s="226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 spans="1:36" ht="15.75" customHeight="1">
      <c r="A900" s="4"/>
      <c r="B900" s="316"/>
      <c r="C900" s="259"/>
      <c r="D900" s="224"/>
      <c r="E900" s="102"/>
      <c r="F900" s="102"/>
      <c r="G900" s="102"/>
      <c r="H900" s="102"/>
      <c r="I900" s="223"/>
      <c r="J900" s="102"/>
      <c r="K900" s="78"/>
      <c r="L900" s="224"/>
      <c r="M900" s="102"/>
      <c r="N900" s="102"/>
      <c r="O900" s="224"/>
      <c r="P900" s="102"/>
      <c r="Q900" s="102"/>
      <c r="R900" s="102"/>
      <c r="S900" s="225"/>
      <c r="T900" s="226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 spans="1:36" ht="15.75" customHeight="1">
      <c r="A901" s="4"/>
      <c r="B901" s="316"/>
      <c r="C901" s="259"/>
      <c r="D901" s="224"/>
      <c r="E901" s="102"/>
      <c r="F901" s="102"/>
      <c r="G901" s="102"/>
      <c r="H901" s="102"/>
      <c r="I901" s="223"/>
      <c r="J901" s="102"/>
      <c r="K901" s="78"/>
      <c r="L901" s="224"/>
      <c r="M901" s="102"/>
      <c r="N901" s="102"/>
      <c r="O901" s="224"/>
      <c r="P901" s="102"/>
      <c r="Q901" s="102"/>
      <c r="R901" s="102"/>
      <c r="S901" s="225"/>
      <c r="T901" s="226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 spans="1:36" ht="15.75" customHeight="1">
      <c r="A902" s="4"/>
      <c r="B902" s="316"/>
      <c r="C902" s="259"/>
      <c r="D902" s="224"/>
      <c r="E902" s="102"/>
      <c r="F902" s="102"/>
      <c r="G902" s="102"/>
      <c r="H902" s="102"/>
      <c r="I902" s="223"/>
      <c r="J902" s="102"/>
      <c r="K902" s="78"/>
      <c r="L902" s="224"/>
      <c r="M902" s="102"/>
      <c r="N902" s="102"/>
      <c r="O902" s="224"/>
      <c r="P902" s="102"/>
      <c r="Q902" s="102"/>
      <c r="R902" s="102"/>
      <c r="S902" s="225"/>
      <c r="T902" s="226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 spans="1:36" ht="15.75" customHeight="1">
      <c r="A903" s="4"/>
      <c r="B903" s="316"/>
      <c r="C903" s="259"/>
      <c r="D903" s="224"/>
      <c r="E903" s="102"/>
      <c r="F903" s="102"/>
      <c r="G903" s="102"/>
      <c r="H903" s="102"/>
      <c r="I903" s="223"/>
      <c r="J903" s="102"/>
      <c r="K903" s="78"/>
      <c r="L903" s="224"/>
      <c r="M903" s="102"/>
      <c r="N903" s="102"/>
      <c r="O903" s="224"/>
      <c r="P903" s="102"/>
      <c r="Q903" s="102"/>
      <c r="R903" s="102"/>
      <c r="S903" s="225"/>
      <c r="T903" s="226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 spans="1:36" ht="15.75" customHeight="1">
      <c r="A904" s="4"/>
      <c r="B904" s="316"/>
      <c r="C904" s="259"/>
      <c r="D904" s="224"/>
      <c r="E904" s="102"/>
      <c r="F904" s="102"/>
      <c r="G904" s="102"/>
      <c r="H904" s="102"/>
      <c r="I904" s="223"/>
      <c r="J904" s="102"/>
      <c r="K904" s="78"/>
      <c r="L904" s="224"/>
      <c r="M904" s="102"/>
      <c r="N904" s="102"/>
      <c r="O904" s="224"/>
      <c r="P904" s="102"/>
      <c r="Q904" s="102"/>
      <c r="R904" s="102"/>
      <c r="S904" s="225"/>
      <c r="T904" s="226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 spans="1:36" ht="15.75" customHeight="1">
      <c r="A905" s="4"/>
      <c r="B905" s="4"/>
      <c r="C905" s="4"/>
      <c r="D905" s="224"/>
      <c r="E905" s="102"/>
      <c r="F905" s="102"/>
      <c r="G905" s="102"/>
      <c r="H905" s="102"/>
      <c r="I905" s="102"/>
      <c r="J905" s="102"/>
      <c r="K905" s="102"/>
      <c r="L905" s="224"/>
      <c r="M905" s="102"/>
      <c r="N905" s="102"/>
      <c r="O905" s="224"/>
      <c r="P905" s="102"/>
      <c r="Q905" s="102"/>
      <c r="R905" s="102"/>
      <c r="S905" s="225"/>
      <c r="T905" s="226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 spans="1:36" ht="15.75" customHeight="1">
      <c r="A906" s="4"/>
      <c r="B906" s="4"/>
      <c r="C906" s="4"/>
      <c r="D906" s="224"/>
      <c r="E906" s="102"/>
      <c r="F906" s="102"/>
      <c r="G906" s="102"/>
      <c r="H906" s="102"/>
      <c r="I906" s="102"/>
      <c r="J906" s="102"/>
      <c r="K906" s="102"/>
      <c r="L906" s="224"/>
      <c r="M906" s="102"/>
      <c r="N906" s="102"/>
      <c r="O906" s="224"/>
      <c r="P906" s="102"/>
      <c r="Q906" s="102"/>
      <c r="R906" s="102"/>
      <c r="S906" s="225"/>
      <c r="T906" s="226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 spans="1:36" ht="15.75" customHeight="1">
      <c r="A907" s="4"/>
      <c r="B907" s="4"/>
      <c r="C907" s="4"/>
      <c r="D907" s="224"/>
      <c r="E907" s="102"/>
      <c r="F907" s="102"/>
      <c r="G907" s="102"/>
      <c r="H907" s="102"/>
      <c r="I907" s="102"/>
      <c r="J907" s="102"/>
      <c r="K907" s="102"/>
      <c r="L907" s="224"/>
      <c r="M907" s="102"/>
      <c r="N907" s="102"/>
      <c r="O907" s="224"/>
      <c r="P907" s="102"/>
      <c r="Q907" s="102"/>
      <c r="R907" s="102"/>
      <c r="S907" s="225"/>
      <c r="T907" s="226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 spans="1:36" ht="15.75" customHeight="1">
      <c r="A908" s="4"/>
      <c r="B908" s="4"/>
      <c r="C908" s="4"/>
      <c r="D908" s="224"/>
      <c r="E908" s="102"/>
      <c r="F908" s="102"/>
      <c r="G908" s="102"/>
      <c r="H908" s="102"/>
      <c r="I908" s="102"/>
      <c r="J908" s="102"/>
      <c r="K908" s="102"/>
      <c r="L908" s="224"/>
      <c r="M908" s="102"/>
      <c r="N908" s="102"/>
      <c r="O908" s="224"/>
      <c r="P908" s="102"/>
      <c r="Q908" s="102"/>
      <c r="R908" s="102"/>
      <c r="S908" s="225"/>
      <c r="T908" s="226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 spans="1:36" ht="15.75" customHeight="1">
      <c r="A909" s="4"/>
      <c r="B909" s="4"/>
      <c r="C909" s="4"/>
      <c r="D909" s="224"/>
      <c r="E909" s="102"/>
      <c r="F909" s="102"/>
      <c r="G909" s="102"/>
      <c r="H909" s="102"/>
      <c r="I909" s="102"/>
      <c r="J909" s="102"/>
      <c r="K909" s="102"/>
      <c r="L909" s="224"/>
      <c r="M909" s="102"/>
      <c r="N909" s="102"/>
      <c r="O909" s="224"/>
      <c r="P909" s="102"/>
      <c r="Q909" s="102"/>
      <c r="R909" s="102"/>
      <c r="S909" s="225"/>
      <c r="T909" s="226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 spans="1:36" ht="15.75" customHeight="1">
      <c r="A910" s="4"/>
      <c r="B910" s="4"/>
      <c r="C910" s="4"/>
      <c r="D910" s="224"/>
      <c r="E910" s="102"/>
      <c r="F910" s="102"/>
      <c r="G910" s="102"/>
      <c r="H910" s="102"/>
      <c r="I910" s="102"/>
      <c r="J910" s="102"/>
      <c r="K910" s="102"/>
      <c r="L910" s="224"/>
      <c r="M910" s="102"/>
      <c r="N910" s="102"/>
      <c r="O910" s="224"/>
      <c r="P910" s="102"/>
      <c r="Q910" s="102"/>
      <c r="R910" s="102"/>
      <c r="S910" s="225"/>
      <c r="T910" s="226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 spans="1:36" ht="15.75" customHeight="1">
      <c r="A911" s="4"/>
      <c r="B911" s="4"/>
      <c r="C911" s="4"/>
      <c r="D911" s="224"/>
      <c r="E911" s="102"/>
      <c r="F911" s="102"/>
      <c r="G911" s="102"/>
      <c r="H911" s="102"/>
      <c r="I911" s="102"/>
      <c r="J911" s="102"/>
      <c r="K911" s="102"/>
      <c r="L911" s="224"/>
      <c r="M911" s="102"/>
      <c r="N911" s="102"/>
      <c r="O911" s="224"/>
      <c r="P911" s="102"/>
      <c r="Q911" s="102"/>
      <c r="R911" s="102"/>
      <c r="S911" s="225"/>
      <c r="T911" s="226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 spans="1:36" ht="15.75" customHeight="1">
      <c r="A912" s="4"/>
      <c r="B912" s="4"/>
      <c r="C912" s="4"/>
      <c r="D912" s="224"/>
      <c r="E912" s="102"/>
      <c r="F912" s="102"/>
      <c r="G912" s="102"/>
      <c r="H912" s="102"/>
      <c r="I912" s="102"/>
      <c r="J912" s="102"/>
      <c r="K912" s="102"/>
      <c r="L912" s="224"/>
      <c r="M912" s="102"/>
      <c r="N912" s="102"/>
      <c r="O912" s="224"/>
      <c r="P912" s="102"/>
      <c r="Q912" s="102"/>
      <c r="R912" s="102"/>
      <c r="S912" s="225"/>
      <c r="T912" s="226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 spans="1:36" ht="15.75" customHeight="1">
      <c r="A913" s="4"/>
      <c r="B913" s="4"/>
      <c r="C913" s="4"/>
      <c r="D913" s="224"/>
      <c r="E913" s="102"/>
      <c r="F913" s="102"/>
      <c r="G913" s="102"/>
      <c r="H913" s="102"/>
      <c r="I913" s="102"/>
      <c r="J913" s="102"/>
      <c r="K913" s="102"/>
      <c r="L913" s="224"/>
      <c r="M913" s="102"/>
      <c r="N913" s="102"/>
      <c r="O913" s="224"/>
      <c r="P913" s="102"/>
      <c r="Q913" s="102"/>
      <c r="R913" s="102"/>
      <c r="S913" s="225"/>
      <c r="T913" s="226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 spans="1:36" ht="15.75" customHeight="1">
      <c r="A914" s="4"/>
      <c r="B914" s="4"/>
      <c r="C914" s="4"/>
      <c r="D914" s="224"/>
      <c r="E914" s="102"/>
      <c r="F914" s="102"/>
      <c r="G914" s="102"/>
      <c r="H914" s="102"/>
      <c r="I914" s="102"/>
      <c r="J914" s="102"/>
      <c r="K914" s="102"/>
      <c r="L914" s="224"/>
      <c r="M914" s="102"/>
      <c r="N914" s="102"/>
      <c r="O914" s="224"/>
      <c r="P914" s="102"/>
      <c r="Q914" s="102"/>
      <c r="R914" s="102"/>
      <c r="S914" s="225"/>
      <c r="T914" s="226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 spans="1:36" ht="15.75" customHeight="1">
      <c r="A915" s="4"/>
      <c r="B915" s="4"/>
      <c r="C915" s="4"/>
      <c r="D915" s="224"/>
      <c r="E915" s="102"/>
      <c r="F915" s="102"/>
      <c r="G915" s="102"/>
      <c r="H915" s="102"/>
      <c r="I915" s="102"/>
      <c r="J915" s="102"/>
      <c r="K915" s="102"/>
      <c r="L915" s="224"/>
      <c r="M915" s="102"/>
      <c r="N915" s="102"/>
      <c r="O915" s="224"/>
      <c r="P915" s="102"/>
      <c r="Q915" s="102"/>
      <c r="R915" s="102"/>
      <c r="S915" s="225"/>
      <c r="T915" s="226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 spans="1:36" ht="15.75" customHeight="1">
      <c r="A916" s="4"/>
      <c r="B916" s="4"/>
      <c r="C916" s="4"/>
      <c r="D916" s="224"/>
      <c r="E916" s="102"/>
      <c r="F916" s="102"/>
      <c r="G916" s="102"/>
      <c r="H916" s="102"/>
      <c r="I916" s="102"/>
      <c r="J916" s="102"/>
      <c r="K916" s="102"/>
      <c r="L916" s="224"/>
      <c r="M916" s="102"/>
      <c r="N916" s="102"/>
      <c r="O916" s="224"/>
      <c r="P916" s="102"/>
      <c r="Q916" s="102"/>
      <c r="R916" s="102"/>
      <c r="S916" s="225"/>
      <c r="T916" s="226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 spans="1:36" ht="15.75" customHeight="1">
      <c r="A917" s="4"/>
      <c r="B917" s="4"/>
      <c r="C917" s="4"/>
      <c r="D917" s="224"/>
      <c r="E917" s="102"/>
      <c r="F917" s="102"/>
      <c r="G917" s="102"/>
      <c r="H917" s="102"/>
      <c r="I917" s="102"/>
      <c r="J917" s="102"/>
      <c r="K917" s="102"/>
      <c r="L917" s="224"/>
      <c r="M917" s="102"/>
      <c r="N917" s="102"/>
      <c r="O917" s="224"/>
      <c r="P917" s="102"/>
      <c r="Q917" s="102"/>
      <c r="R917" s="102"/>
      <c r="S917" s="225"/>
      <c r="T917" s="226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 spans="1:36" ht="15.75" customHeight="1">
      <c r="A918" s="4"/>
      <c r="B918" s="4"/>
      <c r="C918" s="4"/>
      <c r="D918" s="224"/>
      <c r="E918" s="102"/>
      <c r="F918" s="102"/>
      <c r="G918" s="102"/>
      <c r="H918" s="102"/>
      <c r="I918" s="102"/>
      <c r="J918" s="102"/>
      <c r="K918" s="102"/>
      <c r="L918" s="224"/>
      <c r="M918" s="102"/>
      <c r="N918" s="102"/>
      <c r="O918" s="224"/>
      <c r="P918" s="102"/>
      <c r="Q918" s="102"/>
      <c r="R918" s="102"/>
      <c r="S918" s="225"/>
      <c r="T918" s="226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 spans="1:36" ht="15.75" customHeight="1">
      <c r="A919" s="4"/>
      <c r="B919" s="4"/>
      <c r="C919" s="4"/>
      <c r="D919" s="224"/>
      <c r="E919" s="102"/>
      <c r="F919" s="102"/>
      <c r="G919" s="102"/>
      <c r="H919" s="102"/>
      <c r="I919" s="102"/>
      <c r="J919" s="102"/>
      <c r="K919" s="102"/>
      <c r="L919" s="224"/>
      <c r="M919" s="102"/>
      <c r="N919" s="102"/>
      <c r="O919" s="224"/>
      <c r="P919" s="102"/>
      <c r="Q919" s="102"/>
      <c r="R919" s="102"/>
      <c r="S919" s="225"/>
      <c r="T919" s="226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 spans="1:36" ht="15.75" customHeight="1">
      <c r="A920" s="4"/>
      <c r="B920" s="4"/>
      <c r="C920" s="4"/>
      <c r="D920" s="224"/>
      <c r="E920" s="102"/>
      <c r="F920" s="102"/>
      <c r="G920" s="102"/>
      <c r="H920" s="102"/>
      <c r="I920" s="102"/>
      <c r="J920" s="102"/>
      <c r="K920" s="102"/>
      <c r="L920" s="224"/>
      <c r="M920" s="102"/>
      <c r="N920" s="102"/>
      <c r="O920" s="224"/>
      <c r="P920" s="102"/>
      <c r="Q920" s="102"/>
      <c r="R920" s="102"/>
      <c r="S920" s="225"/>
      <c r="T920" s="226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 spans="1:36" ht="15.75" customHeight="1">
      <c r="A921" s="4"/>
      <c r="B921" s="4"/>
      <c r="C921" s="4"/>
      <c r="D921" s="224"/>
      <c r="E921" s="102"/>
      <c r="F921" s="102"/>
      <c r="G921" s="102"/>
      <c r="H921" s="102"/>
      <c r="I921" s="102"/>
      <c r="J921" s="102"/>
      <c r="K921" s="102"/>
      <c r="L921" s="224"/>
      <c r="M921" s="102"/>
      <c r="N921" s="102"/>
      <c r="O921" s="224"/>
      <c r="P921" s="102"/>
      <c r="Q921" s="102"/>
      <c r="R921" s="102"/>
      <c r="S921" s="225"/>
      <c r="T921" s="226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 spans="1:36" ht="15.75" customHeight="1">
      <c r="A922" s="4"/>
      <c r="B922" s="4"/>
      <c r="C922" s="4"/>
      <c r="D922" s="224"/>
      <c r="E922" s="102"/>
      <c r="F922" s="102"/>
      <c r="G922" s="102"/>
      <c r="H922" s="102"/>
      <c r="I922" s="102"/>
      <c r="J922" s="102"/>
      <c r="K922" s="102"/>
      <c r="L922" s="224"/>
      <c r="M922" s="102"/>
      <c r="N922" s="102"/>
      <c r="O922" s="224"/>
      <c r="P922" s="102"/>
      <c r="Q922" s="102"/>
      <c r="R922" s="102"/>
      <c r="S922" s="225"/>
      <c r="T922" s="226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 spans="1:36" ht="15.75" customHeight="1">
      <c r="A923" s="4"/>
      <c r="B923" s="4"/>
      <c r="C923" s="4"/>
      <c r="D923" s="224"/>
      <c r="E923" s="102"/>
      <c r="F923" s="102"/>
      <c r="G923" s="102"/>
      <c r="H923" s="102"/>
      <c r="I923" s="102"/>
      <c r="J923" s="102"/>
      <c r="K923" s="102"/>
      <c r="L923" s="224"/>
      <c r="M923" s="102"/>
      <c r="N923" s="102"/>
      <c r="O923" s="224"/>
      <c r="P923" s="102"/>
      <c r="Q923" s="102"/>
      <c r="R923" s="102"/>
      <c r="S923" s="225"/>
      <c r="T923" s="226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 spans="1:36" ht="15.75" customHeight="1">
      <c r="A924" s="4"/>
      <c r="B924" s="4"/>
      <c r="C924" s="4"/>
      <c r="D924" s="224"/>
      <c r="E924" s="102"/>
      <c r="F924" s="102"/>
      <c r="G924" s="102"/>
      <c r="H924" s="102"/>
      <c r="I924" s="102"/>
      <c r="J924" s="102"/>
      <c r="K924" s="102"/>
      <c r="L924" s="224"/>
      <c r="M924" s="102"/>
      <c r="N924" s="102"/>
      <c r="O924" s="224"/>
      <c r="P924" s="102"/>
      <c r="Q924" s="102"/>
      <c r="R924" s="102"/>
      <c r="S924" s="225"/>
      <c r="T924" s="226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 spans="1:36" ht="15.75" customHeight="1">
      <c r="A925" s="4"/>
      <c r="B925" s="4"/>
      <c r="C925" s="4"/>
      <c r="D925" s="224"/>
      <c r="E925" s="102"/>
      <c r="F925" s="102"/>
      <c r="G925" s="102"/>
      <c r="H925" s="102"/>
      <c r="I925" s="102"/>
      <c r="J925" s="102"/>
      <c r="K925" s="102"/>
      <c r="L925" s="224"/>
      <c r="M925" s="102"/>
      <c r="N925" s="102"/>
      <c r="O925" s="224"/>
      <c r="P925" s="102"/>
      <c r="Q925" s="102"/>
      <c r="R925" s="102"/>
      <c r="S925" s="225"/>
      <c r="T925" s="226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 spans="1:36" ht="15.75" customHeight="1">
      <c r="A926" s="4"/>
      <c r="B926" s="4"/>
      <c r="C926" s="4"/>
      <c r="D926" s="224"/>
      <c r="E926" s="102"/>
      <c r="F926" s="102"/>
      <c r="G926" s="102"/>
      <c r="H926" s="102"/>
      <c r="I926" s="102"/>
      <c r="J926" s="102"/>
      <c r="K926" s="102"/>
      <c r="L926" s="224"/>
      <c r="M926" s="102"/>
      <c r="N926" s="102"/>
      <c r="O926" s="224"/>
      <c r="P926" s="102"/>
      <c r="Q926" s="102"/>
      <c r="R926" s="102"/>
      <c r="S926" s="225"/>
      <c r="T926" s="226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 spans="1:36" ht="15.75" customHeight="1">
      <c r="A927" s="4"/>
      <c r="B927" s="4"/>
      <c r="C927" s="4"/>
      <c r="D927" s="224"/>
      <c r="E927" s="102"/>
      <c r="F927" s="102"/>
      <c r="G927" s="102"/>
      <c r="H927" s="102"/>
      <c r="I927" s="102"/>
      <c r="J927" s="102"/>
      <c r="K927" s="102"/>
      <c r="L927" s="224"/>
      <c r="M927" s="102"/>
      <c r="N927" s="102"/>
      <c r="O927" s="224"/>
      <c r="P927" s="102"/>
      <c r="Q927" s="102"/>
      <c r="R927" s="102"/>
      <c r="S927" s="225"/>
      <c r="T927" s="226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 spans="1:36" ht="15.75" customHeight="1">
      <c r="A928" s="4"/>
      <c r="B928" s="4"/>
      <c r="C928" s="4"/>
      <c r="D928" s="224"/>
      <c r="E928" s="102"/>
      <c r="F928" s="102"/>
      <c r="G928" s="102"/>
      <c r="H928" s="102"/>
      <c r="I928" s="102"/>
      <c r="J928" s="102"/>
      <c r="K928" s="102"/>
      <c r="L928" s="224"/>
      <c r="M928" s="102"/>
      <c r="N928" s="102"/>
      <c r="O928" s="224"/>
      <c r="P928" s="102"/>
      <c r="Q928" s="102"/>
      <c r="R928" s="102"/>
      <c r="S928" s="225"/>
      <c r="T928" s="226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 spans="1:36" ht="15.75" customHeight="1">
      <c r="A929" s="4"/>
      <c r="B929" s="4"/>
      <c r="C929" s="4"/>
      <c r="D929" s="224"/>
      <c r="E929" s="102"/>
      <c r="F929" s="102"/>
      <c r="G929" s="102"/>
      <c r="H929" s="102"/>
      <c r="I929" s="102"/>
      <c r="J929" s="102"/>
      <c r="K929" s="102"/>
      <c r="L929" s="224"/>
      <c r="M929" s="102"/>
      <c r="N929" s="102"/>
      <c r="O929" s="224"/>
      <c r="P929" s="102"/>
      <c r="Q929" s="102"/>
      <c r="R929" s="102"/>
      <c r="S929" s="225"/>
      <c r="T929" s="226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 spans="1:36" ht="15.75" customHeight="1">
      <c r="A930" s="4"/>
      <c r="B930" s="4"/>
      <c r="C930" s="4"/>
      <c r="D930" s="224"/>
      <c r="E930" s="102"/>
      <c r="F930" s="102"/>
      <c r="G930" s="102"/>
      <c r="H930" s="102"/>
      <c r="I930" s="102"/>
      <c r="J930" s="102"/>
      <c r="K930" s="102"/>
      <c r="L930" s="224"/>
      <c r="M930" s="102"/>
      <c r="N930" s="102"/>
      <c r="O930" s="224"/>
      <c r="P930" s="102"/>
      <c r="Q930" s="102"/>
      <c r="R930" s="102"/>
      <c r="S930" s="225"/>
      <c r="T930" s="226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 spans="1:36" ht="15.75" customHeight="1">
      <c r="A931" s="4"/>
      <c r="B931" s="4"/>
      <c r="C931" s="4"/>
      <c r="D931" s="224"/>
      <c r="E931" s="102"/>
      <c r="F931" s="102"/>
      <c r="G931" s="102"/>
      <c r="H931" s="102"/>
      <c r="I931" s="102"/>
      <c r="J931" s="102"/>
      <c r="K931" s="102"/>
      <c r="L931" s="224"/>
      <c r="M931" s="102"/>
      <c r="N931" s="102"/>
      <c r="O931" s="224"/>
      <c r="P931" s="102"/>
      <c r="Q931" s="102"/>
      <c r="R931" s="102"/>
      <c r="S931" s="225"/>
      <c r="T931" s="226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 spans="1:36" ht="15.75" customHeight="1">
      <c r="A932" s="4"/>
      <c r="B932" s="4"/>
      <c r="C932" s="4"/>
      <c r="D932" s="224"/>
      <c r="E932" s="102"/>
      <c r="F932" s="102"/>
      <c r="G932" s="102"/>
      <c r="H932" s="102"/>
      <c r="I932" s="102"/>
      <c r="J932" s="102"/>
      <c r="K932" s="102"/>
      <c r="L932" s="224"/>
      <c r="M932" s="102"/>
      <c r="N932" s="102"/>
      <c r="O932" s="224"/>
      <c r="P932" s="102"/>
      <c r="Q932" s="102"/>
      <c r="R932" s="102"/>
      <c r="S932" s="225"/>
      <c r="T932" s="226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 spans="1:36" ht="15.75" customHeight="1">
      <c r="A933" s="4"/>
      <c r="B933" s="4"/>
      <c r="C933" s="4"/>
      <c r="D933" s="224"/>
      <c r="E933" s="102"/>
      <c r="F933" s="102"/>
      <c r="G933" s="102"/>
      <c r="H933" s="102"/>
      <c r="I933" s="102"/>
      <c r="J933" s="102"/>
      <c r="K933" s="102"/>
      <c r="L933" s="224"/>
      <c r="M933" s="102"/>
      <c r="N933" s="102"/>
      <c r="O933" s="224"/>
      <c r="P933" s="102"/>
      <c r="Q933" s="102"/>
      <c r="R933" s="102"/>
      <c r="S933" s="225"/>
      <c r="T933" s="226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 spans="1:36" ht="15.75" customHeight="1">
      <c r="A934" s="4"/>
      <c r="B934" s="4"/>
      <c r="C934" s="4"/>
      <c r="D934" s="224"/>
      <c r="E934" s="102"/>
      <c r="F934" s="102"/>
      <c r="G934" s="102"/>
      <c r="H934" s="102"/>
      <c r="I934" s="102"/>
      <c r="J934" s="102"/>
      <c r="K934" s="102"/>
      <c r="L934" s="224"/>
      <c r="M934" s="102"/>
      <c r="N934" s="102"/>
      <c r="O934" s="224"/>
      <c r="P934" s="102"/>
      <c r="Q934" s="102"/>
      <c r="R934" s="102"/>
      <c r="S934" s="225"/>
      <c r="T934" s="226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 spans="1:36" ht="15.75" customHeight="1">
      <c r="A935" s="4"/>
      <c r="B935" s="4"/>
      <c r="C935" s="4"/>
      <c r="D935" s="224"/>
      <c r="E935" s="102"/>
      <c r="F935" s="102"/>
      <c r="G935" s="102"/>
      <c r="H935" s="102"/>
      <c r="I935" s="102"/>
      <c r="J935" s="102"/>
      <c r="K935" s="102"/>
      <c r="L935" s="224"/>
      <c r="M935" s="102"/>
      <c r="N935" s="102"/>
      <c r="O935" s="224"/>
      <c r="P935" s="102"/>
      <c r="Q935" s="102"/>
      <c r="R935" s="102"/>
      <c r="S935" s="225"/>
      <c r="T935" s="226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 spans="1:36" ht="15.75" customHeight="1">
      <c r="A936" s="4"/>
      <c r="B936" s="4"/>
      <c r="C936" s="4"/>
      <c r="D936" s="224"/>
      <c r="E936" s="102"/>
      <c r="F936" s="102"/>
      <c r="G936" s="102"/>
      <c r="H936" s="102"/>
      <c r="I936" s="102"/>
      <c r="J936" s="102"/>
      <c r="K936" s="102"/>
      <c r="L936" s="224"/>
      <c r="M936" s="102"/>
      <c r="N936" s="102"/>
      <c r="O936" s="224"/>
      <c r="P936" s="102"/>
      <c r="Q936" s="102"/>
      <c r="R936" s="102"/>
      <c r="S936" s="225"/>
      <c r="T936" s="226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 spans="1:36" ht="15.75" customHeight="1">
      <c r="A937" s="4"/>
      <c r="B937" s="4"/>
      <c r="C937" s="4"/>
      <c r="D937" s="224"/>
      <c r="E937" s="102"/>
      <c r="F937" s="102"/>
      <c r="G937" s="102"/>
      <c r="H937" s="102"/>
      <c r="I937" s="102"/>
      <c r="J937" s="102"/>
      <c r="K937" s="102"/>
      <c r="L937" s="224"/>
      <c r="M937" s="102"/>
      <c r="N937" s="102"/>
      <c r="O937" s="224"/>
      <c r="P937" s="102"/>
      <c r="Q937" s="102"/>
      <c r="R937" s="102"/>
      <c r="S937" s="225"/>
      <c r="T937" s="226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 spans="1:36" ht="15.75" customHeight="1">
      <c r="A938" s="4"/>
      <c r="B938" s="4"/>
      <c r="C938" s="4"/>
      <c r="D938" s="224"/>
      <c r="E938" s="102"/>
      <c r="F938" s="102"/>
      <c r="G938" s="102"/>
      <c r="H938" s="102"/>
      <c r="I938" s="102"/>
      <c r="J938" s="102"/>
      <c r="K938" s="102"/>
      <c r="L938" s="224"/>
      <c r="M938" s="102"/>
      <c r="N938" s="102"/>
      <c r="O938" s="224"/>
      <c r="P938" s="102"/>
      <c r="Q938" s="102"/>
      <c r="R938" s="102"/>
      <c r="S938" s="225"/>
      <c r="T938" s="226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 spans="1:36" ht="15.75" customHeight="1">
      <c r="A939" s="4"/>
      <c r="B939" s="4"/>
      <c r="C939" s="4"/>
      <c r="D939" s="224"/>
      <c r="E939" s="102"/>
      <c r="F939" s="102"/>
      <c r="G939" s="102"/>
      <c r="H939" s="102"/>
      <c r="I939" s="102"/>
      <c r="J939" s="102"/>
      <c r="K939" s="102"/>
      <c r="L939" s="224"/>
      <c r="M939" s="102"/>
      <c r="N939" s="102"/>
      <c r="O939" s="224"/>
      <c r="P939" s="102"/>
      <c r="Q939" s="102"/>
      <c r="R939" s="102"/>
      <c r="S939" s="225"/>
      <c r="T939" s="226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 spans="1:36" ht="15.75" customHeight="1">
      <c r="A940" s="4"/>
      <c r="B940" s="4"/>
      <c r="C940" s="4"/>
      <c r="D940" s="224"/>
      <c r="E940" s="102"/>
      <c r="F940" s="102"/>
      <c r="G940" s="102"/>
      <c r="H940" s="102"/>
      <c r="I940" s="102"/>
      <c r="J940" s="102"/>
      <c r="K940" s="102"/>
      <c r="L940" s="224"/>
      <c r="M940" s="102"/>
      <c r="N940" s="102"/>
      <c r="O940" s="224"/>
      <c r="P940" s="102"/>
      <c r="Q940" s="102"/>
      <c r="R940" s="102"/>
      <c r="S940" s="225"/>
      <c r="T940" s="226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 spans="1:36" ht="15.75" customHeight="1">
      <c r="A941" s="4"/>
      <c r="B941" s="4"/>
      <c r="C941" s="4"/>
      <c r="D941" s="224"/>
      <c r="E941" s="102"/>
      <c r="F941" s="102"/>
      <c r="G941" s="102"/>
      <c r="H941" s="102"/>
      <c r="I941" s="102"/>
      <c r="J941" s="102"/>
      <c r="K941" s="102"/>
      <c r="L941" s="224"/>
      <c r="M941" s="102"/>
      <c r="N941" s="102"/>
      <c r="O941" s="224"/>
      <c r="P941" s="102"/>
      <c r="Q941" s="102"/>
      <c r="R941" s="102"/>
      <c r="S941" s="225"/>
      <c r="T941" s="226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 spans="1:36" ht="15.75" customHeight="1">
      <c r="A942" s="4"/>
      <c r="B942" s="4"/>
      <c r="C942" s="4"/>
      <c r="D942" s="224"/>
      <c r="E942" s="102"/>
      <c r="F942" s="102"/>
      <c r="G942" s="102"/>
      <c r="H942" s="102"/>
      <c r="I942" s="102"/>
      <c r="J942" s="102"/>
      <c r="K942" s="102"/>
      <c r="L942" s="224"/>
      <c r="M942" s="102"/>
      <c r="N942" s="102"/>
      <c r="O942" s="224"/>
      <c r="P942" s="102"/>
      <c r="Q942" s="102"/>
      <c r="R942" s="102"/>
      <c r="S942" s="225"/>
      <c r="T942" s="226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 spans="1:36" ht="15.75" customHeight="1">
      <c r="A943" s="4"/>
      <c r="B943" s="4"/>
      <c r="C943" s="4"/>
      <c r="D943" s="224"/>
      <c r="E943" s="102"/>
      <c r="F943" s="102"/>
      <c r="G943" s="102"/>
      <c r="H943" s="102"/>
      <c r="I943" s="102"/>
      <c r="J943" s="102"/>
      <c r="K943" s="102"/>
      <c r="L943" s="224"/>
      <c r="M943" s="102"/>
      <c r="N943" s="102"/>
      <c r="O943" s="224"/>
      <c r="P943" s="102"/>
      <c r="Q943" s="102"/>
      <c r="R943" s="102"/>
      <c r="S943" s="225"/>
      <c r="T943" s="226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 spans="1:36" ht="15.75" customHeight="1">
      <c r="A944" s="4"/>
      <c r="B944" s="4"/>
      <c r="C944" s="4"/>
      <c r="D944" s="224"/>
      <c r="E944" s="102"/>
      <c r="F944" s="102"/>
      <c r="G944" s="102"/>
      <c r="H944" s="102"/>
      <c r="I944" s="102"/>
      <c r="J944" s="102"/>
      <c r="K944" s="102"/>
      <c r="L944" s="224"/>
      <c r="M944" s="102"/>
      <c r="N944" s="102"/>
      <c r="O944" s="224"/>
      <c r="P944" s="102"/>
      <c r="Q944" s="102"/>
      <c r="R944" s="102"/>
      <c r="S944" s="225"/>
      <c r="T944" s="226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 spans="1:36" ht="15.75" customHeight="1">
      <c r="A945" s="4"/>
      <c r="B945" s="4"/>
      <c r="C945" s="4"/>
      <c r="D945" s="224"/>
      <c r="E945" s="102"/>
      <c r="F945" s="102"/>
      <c r="G945" s="102"/>
      <c r="H945" s="102"/>
      <c r="I945" s="102"/>
      <c r="J945" s="102"/>
      <c r="K945" s="102"/>
      <c r="L945" s="224"/>
      <c r="M945" s="102"/>
      <c r="N945" s="102"/>
      <c r="O945" s="224"/>
      <c r="P945" s="102"/>
      <c r="Q945" s="102"/>
      <c r="R945" s="102"/>
      <c r="S945" s="225"/>
      <c r="T945" s="226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 spans="1:36" ht="15.75" customHeight="1">
      <c r="A946" s="4"/>
      <c r="B946" s="4"/>
      <c r="C946" s="4"/>
      <c r="D946" s="224"/>
      <c r="E946" s="102"/>
      <c r="F946" s="102"/>
      <c r="G946" s="102"/>
      <c r="H946" s="102"/>
      <c r="I946" s="102"/>
      <c r="J946" s="102"/>
      <c r="K946" s="102"/>
      <c r="L946" s="224"/>
      <c r="M946" s="102"/>
      <c r="N946" s="102"/>
      <c r="O946" s="224"/>
      <c r="P946" s="102"/>
      <c r="Q946" s="102"/>
      <c r="R946" s="102"/>
      <c r="S946" s="225"/>
      <c r="T946" s="226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 spans="1:36" ht="15.75" customHeight="1">
      <c r="A947" s="4"/>
      <c r="B947" s="4"/>
      <c r="C947" s="4"/>
      <c r="D947" s="224"/>
      <c r="E947" s="102"/>
      <c r="F947" s="102"/>
      <c r="G947" s="102"/>
      <c r="H947" s="102"/>
      <c r="I947" s="102"/>
      <c r="J947" s="102"/>
      <c r="K947" s="102"/>
      <c r="L947" s="224"/>
      <c r="M947" s="102"/>
      <c r="N947" s="102"/>
      <c r="O947" s="224"/>
      <c r="P947" s="102"/>
      <c r="Q947" s="102"/>
      <c r="R947" s="102"/>
      <c r="S947" s="225"/>
      <c r="T947" s="226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 spans="1:36" ht="15.75" customHeight="1">
      <c r="A948" s="4"/>
      <c r="B948" s="4"/>
      <c r="C948" s="4"/>
      <c r="D948" s="224"/>
      <c r="E948" s="102"/>
      <c r="F948" s="102"/>
      <c r="G948" s="102"/>
      <c r="H948" s="102"/>
      <c r="I948" s="102"/>
      <c r="J948" s="102"/>
      <c r="K948" s="102"/>
      <c r="L948" s="224"/>
      <c r="M948" s="102"/>
      <c r="N948" s="102"/>
      <c r="O948" s="224"/>
      <c r="P948" s="102"/>
      <c r="Q948" s="102"/>
      <c r="R948" s="102"/>
      <c r="S948" s="225"/>
      <c r="T948" s="226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 spans="1:36" ht="15.75" customHeight="1">
      <c r="A949" s="4"/>
      <c r="B949" s="4"/>
      <c r="C949" s="4"/>
      <c r="D949" s="224"/>
      <c r="E949" s="102"/>
      <c r="F949" s="102"/>
      <c r="G949" s="102"/>
      <c r="H949" s="102"/>
      <c r="I949" s="102"/>
      <c r="J949" s="102"/>
      <c r="K949" s="102"/>
      <c r="L949" s="224"/>
      <c r="M949" s="102"/>
      <c r="N949" s="102"/>
      <c r="O949" s="224"/>
      <c r="P949" s="102"/>
      <c r="Q949" s="102"/>
      <c r="R949" s="102"/>
      <c r="S949" s="225"/>
      <c r="T949" s="226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 spans="1:36" ht="15.75" customHeight="1">
      <c r="A950" s="4"/>
      <c r="B950" s="4"/>
      <c r="C950" s="4"/>
      <c r="D950" s="224"/>
      <c r="E950" s="102"/>
      <c r="F950" s="102"/>
      <c r="G950" s="102"/>
      <c r="H950" s="102"/>
      <c r="I950" s="102"/>
      <c r="J950" s="102"/>
      <c r="K950" s="102"/>
      <c r="L950" s="224"/>
      <c r="M950" s="102"/>
      <c r="N950" s="102"/>
      <c r="O950" s="224"/>
      <c r="P950" s="102"/>
      <c r="Q950" s="102"/>
      <c r="R950" s="102"/>
      <c r="S950" s="225"/>
      <c r="T950" s="226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 spans="1:36" ht="15.75" customHeight="1">
      <c r="A951" s="4"/>
      <c r="B951" s="4"/>
      <c r="C951" s="4"/>
      <c r="D951" s="224"/>
      <c r="E951" s="102"/>
      <c r="F951" s="102"/>
      <c r="G951" s="102"/>
      <c r="H951" s="102"/>
      <c r="I951" s="102"/>
      <c r="J951" s="102"/>
      <c r="K951" s="102"/>
      <c r="L951" s="224"/>
      <c r="M951" s="102"/>
      <c r="N951" s="102"/>
      <c r="O951" s="224"/>
      <c r="P951" s="102"/>
      <c r="Q951" s="102"/>
      <c r="R951" s="102"/>
      <c r="S951" s="225"/>
      <c r="T951" s="226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 spans="1:36" ht="15.75" customHeight="1">
      <c r="A952" s="4"/>
      <c r="B952" s="4"/>
      <c r="C952" s="4"/>
      <c r="D952" s="224"/>
      <c r="E952" s="102"/>
      <c r="F952" s="102"/>
      <c r="G952" s="102"/>
      <c r="H952" s="102"/>
      <c r="I952" s="102"/>
      <c r="J952" s="102"/>
      <c r="K952" s="102"/>
      <c r="L952" s="224"/>
      <c r="M952" s="102"/>
      <c r="N952" s="102"/>
      <c r="O952" s="224"/>
      <c r="P952" s="102"/>
      <c r="Q952" s="102"/>
      <c r="R952" s="102"/>
      <c r="S952" s="225"/>
      <c r="T952" s="226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 spans="1:36" ht="15.75" customHeight="1">
      <c r="A953" s="4"/>
      <c r="B953" s="4"/>
      <c r="C953" s="4"/>
      <c r="D953" s="224"/>
      <c r="E953" s="102"/>
      <c r="F953" s="102"/>
      <c r="G953" s="102"/>
      <c r="H953" s="102"/>
      <c r="I953" s="102"/>
      <c r="J953" s="102"/>
      <c r="K953" s="102"/>
      <c r="L953" s="224"/>
      <c r="M953" s="102"/>
      <c r="N953" s="102"/>
      <c r="O953" s="224"/>
      <c r="P953" s="102"/>
      <c r="Q953" s="102"/>
      <c r="R953" s="102"/>
      <c r="S953" s="225"/>
      <c r="T953" s="226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 spans="1:36" ht="15.75" customHeight="1">
      <c r="A954" s="4"/>
      <c r="B954" s="4"/>
      <c r="C954" s="4"/>
      <c r="D954" s="224"/>
      <c r="E954" s="102"/>
      <c r="F954" s="102"/>
      <c r="G954" s="102"/>
      <c r="H954" s="102"/>
      <c r="I954" s="102"/>
      <c r="J954" s="102"/>
      <c r="K954" s="102"/>
      <c r="L954" s="224"/>
      <c r="M954" s="102"/>
      <c r="N954" s="102"/>
      <c r="O954" s="224"/>
      <c r="P954" s="102"/>
      <c r="Q954" s="102"/>
      <c r="R954" s="102"/>
      <c r="S954" s="225"/>
      <c r="T954" s="226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 spans="1:36" ht="15.75" customHeight="1">
      <c r="A955" s="4"/>
      <c r="B955" s="4"/>
      <c r="C955" s="4"/>
      <c r="D955" s="224"/>
      <c r="E955" s="102"/>
      <c r="F955" s="102"/>
      <c r="G955" s="102"/>
      <c r="H955" s="102"/>
      <c r="I955" s="102"/>
      <c r="J955" s="102"/>
      <c r="K955" s="102"/>
      <c r="L955" s="224"/>
      <c r="M955" s="102"/>
      <c r="N955" s="102"/>
      <c r="O955" s="224"/>
      <c r="P955" s="102"/>
      <c r="Q955" s="102"/>
      <c r="R955" s="102"/>
      <c r="S955" s="225"/>
      <c r="T955" s="226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 spans="1:36" ht="15.75" customHeight="1">
      <c r="A956" s="4"/>
      <c r="B956" s="4"/>
      <c r="C956" s="4"/>
      <c r="D956" s="224"/>
      <c r="E956" s="102"/>
      <c r="F956" s="102"/>
      <c r="G956" s="102"/>
      <c r="H956" s="102"/>
      <c r="I956" s="102"/>
      <c r="J956" s="102"/>
      <c r="K956" s="102"/>
      <c r="L956" s="224"/>
      <c r="M956" s="102"/>
      <c r="N956" s="102"/>
      <c r="O956" s="224"/>
      <c r="P956" s="102"/>
      <c r="Q956" s="102"/>
      <c r="R956" s="102"/>
      <c r="S956" s="225"/>
      <c r="T956" s="226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 spans="1:36" ht="15.75" customHeight="1">
      <c r="A957" s="4"/>
      <c r="B957" s="4"/>
      <c r="C957" s="4"/>
      <c r="D957" s="224"/>
      <c r="E957" s="102"/>
      <c r="F957" s="102"/>
      <c r="G957" s="102"/>
      <c r="H957" s="102"/>
      <c r="I957" s="102"/>
      <c r="J957" s="102"/>
      <c r="K957" s="102"/>
      <c r="L957" s="224"/>
      <c r="M957" s="102"/>
      <c r="N957" s="102"/>
      <c r="O957" s="224"/>
      <c r="P957" s="102"/>
      <c r="Q957" s="102"/>
      <c r="R957" s="102"/>
      <c r="S957" s="225"/>
      <c r="T957" s="226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 spans="1:36" ht="15.75" customHeight="1">
      <c r="A958" s="4"/>
      <c r="B958" s="4"/>
      <c r="C958" s="4"/>
      <c r="D958" s="224"/>
      <c r="E958" s="102"/>
      <c r="F958" s="102"/>
      <c r="G958" s="102"/>
      <c r="H958" s="102"/>
      <c r="I958" s="102"/>
      <c r="J958" s="102"/>
      <c r="K958" s="102"/>
      <c r="L958" s="224"/>
      <c r="M958" s="102"/>
      <c r="N958" s="102"/>
      <c r="O958" s="224"/>
      <c r="P958" s="102"/>
      <c r="Q958" s="102"/>
      <c r="R958" s="102"/>
      <c r="S958" s="225"/>
      <c r="T958" s="226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 spans="1:36" ht="15.75" customHeight="1">
      <c r="A959" s="4"/>
      <c r="B959" s="4"/>
      <c r="C959" s="4"/>
      <c r="D959" s="224"/>
      <c r="E959" s="102"/>
      <c r="F959" s="102"/>
      <c r="G959" s="102"/>
      <c r="H959" s="102"/>
      <c r="I959" s="102"/>
      <c r="J959" s="102"/>
      <c r="K959" s="102"/>
      <c r="L959" s="224"/>
      <c r="M959" s="102"/>
      <c r="N959" s="102"/>
      <c r="O959" s="224"/>
      <c r="P959" s="102"/>
      <c r="Q959" s="102"/>
      <c r="R959" s="102"/>
      <c r="S959" s="225"/>
      <c r="T959" s="226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 spans="1:36" ht="15.75" customHeight="1">
      <c r="A960" s="4"/>
      <c r="B960" s="4"/>
      <c r="C960" s="4"/>
      <c r="D960" s="224"/>
      <c r="E960" s="102"/>
      <c r="F960" s="102"/>
      <c r="G960" s="102"/>
      <c r="H960" s="102"/>
      <c r="I960" s="102"/>
      <c r="J960" s="102"/>
      <c r="K960" s="102"/>
      <c r="L960" s="224"/>
      <c r="M960" s="102"/>
      <c r="N960" s="102"/>
      <c r="O960" s="224"/>
      <c r="P960" s="102"/>
      <c r="Q960" s="102"/>
      <c r="R960" s="102"/>
      <c r="S960" s="225"/>
      <c r="T960" s="226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 spans="1:36" ht="15.75" customHeight="1">
      <c r="A961" s="4"/>
      <c r="B961" s="4"/>
      <c r="C961" s="4"/>
      <c r="D961" s="224"/>
      <c r="E961" s="102"/>
      <c r="F961" s="102"/>
      <c r="G961" s="102"/>
      <c r="H961" s="102"/>
      <c r="I961" s="102"/>
      <c r="J961" s="102"/>
      <c r="K961" s="102"/>
      <c r="L961" s="224"/>
      <c r="M961" s="102"/>
      <c r="N961" s="102"/>
      <c r="O961" s="224"/>
      <c r="P961" s="102"/>
      <c r="Q961" s="102"/>
      <c r="R961" s="102"/>
      <c r="S961" s="225"/>
      <c r="T961" s="226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 spans="1:36" ht="15.75" customHeight="1">
      <c r="A962" s="4"/>
      <c r="B962" s="4"/>
      <c r="C962" s="4"/>
      <c r="D962" s="224"/>
      <c r="E962" s="102"/>
      <c r="F962" s="102"/>
      <c r="G962" s="102"/>
      <c r="H962" s="102"/>
      <c r="I962" s="102"/>
      <c r="J962" s="102"/>
      <c r="K962" s="102"/>
      <c r="L962" s="224"/>
      <c r="M962" s="102"/>
      <c r="N962" s="102"/>
      <c r="O962" s="224"/>
      <c r="P962" s="102"/>
      <c r="Q962" s="102"/>
      <c r="R962" s="102"/>
      <c r="S962" s="225"/>
      <c r="T962" s="226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 spans="1:36" ht="15.75" customHeight="1">
      <c r="A963" s="4"/>
      <c r="B963" s="4"/>
      <c r="C963" s="4"/>
      <c r="D963" s="224"/>
      <c r="E963" s="102"/>
      <c r="F963" s="102"/>
      <c r="G963" s="102"/>
      <c r="H963" s="102"/>
      <c r="I963" s="102"/>
      <c r="J963" s="102"/>
      <c r="K963" s="102"/>
      <c r="L963" s="224"/>
      <c r="M963" s="102"/>
      <c r="N963" s="102"/>
      <c r="O963" s="224"/>
      <c r="P963" s="102"/>
      <c r="Q963" s="102"/>
      <c r="R963" s="102"/>
      <c r="S963" s="225"/>
      <c r="T963" s="226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 spans="1:36" ht="15.75" customHeight="1">
      <c r="A964" s="4"/>
      <c r="B964" s="4"/>
      <c r="C964" s="4"/>
      <c r="D964" s="224"/>
      <c r="E964" s="102"/>
      <c r="F964" s="102"/>
      <c r="G964" s="102"/>
      <c r="H964" s="102"/>
      <c r="I964" s="102"/>
      <c r="J964" s="102"/>
      <c r="K964" s="102"/>
      <c r="L964" s="224"/>
      <c r="M964" s="102"/>
      <c r="N964" s="102"/>
      <c r="O964" s="224"/>
      <c r="P964" s="102"/>
      <c r="Q964" s="102"/>
      <c r="R964" s="102"/>
      <c r="S964" s="225"/>
      <c r="T964" s="226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 spans="1:36" ht="15.75" customHeight="1">
      <c r="A965" s="4"/>
      <c r="B965" s="4"/>
      <c r="C965" s="4"/>
      <c r="D965" s="224"/>
      <c r="E965" s="102"/>
      <c r="F965" s="102"/>
      <c r="G965" s="102"/>
      <c r="H965" s="102"/>
      <c r="I965" s="102"/>
      <c r="J965" s="102"/>
      <c r="K965" s="102"/>
      <c r="L965" s="224"/>
      <c r="M965" s="102"/>
      <c r="N965" s="102"/>
      <c r="O965" s="224"/>
      <c r="P965" s="102"/>
      <c r="Q965" s="102"/>
      <c r="R965" s="102"/>
      <c r="S965" s="225"/>
      <c r="T965" s="226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 spans="1:36" ht="15.75" customHeight="1">
      <c r="A966" s="4"/>
      <c r="B966" s="4"/>
      <c r="C966" s="4"/>
      <c r="D966" s="224"/>
      <c r="E966" s="102"/>
      <c r="F966" s="102"/>
      <c r="G966" s="102"/>
      <c r="H966" s="102"/>
      <c r="I966" s="102"/>
      <c r="J966" s="102"/>
      <c r="K966" s="102"/>
      <c r="L966" s="224"/>
      <c r="M966" s="102"/>
      <c r="N966" s="102"/>
      <c r="O966" s="224"/>
      <c r="P966" s="102"/>
      <c r="Q966" s="102"/>
      <c r="R966" s="102"/>
      <c r="S966" s="225"/>
      <c r="T966" s="226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 spans="1:36" ht="15.75" customHeight="1">
      <c r="A967" s="4"/>
      <c r="B967" s="4"/>
      <c r="C967" s="4"/>
      <c r="D967" s="224"/>
      <c r="E967" s="102"/>
      <c r="F967" s="102"/>
      <c r="G967" s="102"/>
      <c r="H967" s="102"/>
      <c r="I967" s="102"/>
      <c r="J967" s="102"/>
      <c r="K967" s="102"/>
      <c r="L967" s="224"/>
      <c r="M967" s="102"/>
      <c r="N967" s="102"/>
      <c r="O967" s="224"/>
      <c r="P967" s="102"/>
      <c r="Q967" s="102"/>
      <c r="R967" s="102"/>
      <c r="S967" s="225"/>
      <c r="T967" s="226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 spans="1:36" ht="15.75" customHeight="1">
      <c r="A968" s="4"/>
      <c r="B968" s="4"/>
      <c r="C968" s="4"/>
      <c r="D968" s="224"/>
      <c r="E968" s="102"/>
      <c r="F968" s="102"/>
      <c r="G968" s="102"/>
      <c r="H968" s="102"/>
      <c r="I968" s="102"/>
      <c r="J968" s="102"/>
      <c r="K968" s="102"/>
      <c r="L968" s="224"/>
      <c r="M968" s="102"/>
      <c r="N968" s="102"/>
      <c r="O968" s="224"/>
      <c r="P968" s="102"/>
      <c r="Q968" s="102"/>
      <c r="R968" s="102"/>
      <c r="S968" s="225"/>
      <c r="T968" s="226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 spans="1:36" ht="15.75" customHeight="1">
      <c r="A969" s="4"/>
      <c r="B969" s="4"/>
      <c r="C969" s="4"/>
      <c r="D969" s="224"/>
      <c r="E969" s="102"/>
      <c r="F969" s="102"/>
      <c r="G969" s="102"/>
      <c r="H969" s="102"/>
      <c r="I969" s="102"/>
      <c r="J969" s="102"/>
      <c r="K969" s="102"/>
      <c r="L969" s="224"/>
      <c r="M969" s="102"/>
      <c r="N969" s="102"/>
      <c r="O969" s="224"/>
      <c r="P969" s="102"/>
      <c r="Q969" s="102"/>
      <c r="R969" s="102"/>
      <c r="S969" s="225"/>
      <c r="T969" s="226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 spans="1:36" ht="15.75" customHeight="1">
      <c r="A970" s="4"/>
      <c r="B970" s="4"/>
      <c r="C970" s="4"/>
      <c r="D970" s="224"/>
      <c r="E970" s="102"/>
      <c r="F970" s="102"/>
      <c r="G970" s="102"/>
      <c r="H970" s="102"/>
      <c r="I970" s="102"/>
      <c r="J970" s="102"/>
      <c r="K970" s="102"/>
      <c r="L970" s="224"/>
      <c r="M970" s="102"/>
      <c r="N970" s="102"/>
      <c r="O970" s="224"/>
      <c r="P970" s="102"/>
      <c r="Q970" s="102"/>
      <c r="R970" s="102"/>
      <c r="S970" s="225"/>
      <c r="T970" s="226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 spans="1:36" ht="15.75" customHeight="1">
      <c r="A971" s="4"/>
      <c r="B971" s="4"/>
      <c r="C971" s="4"/>
      <c r="D971" s="224"/>
      <c r="E971" s="102"/>
      <c r="F971" s="102"/>
      <c r="G971" s="102"/>
      <c r="H971" s="102"/>
      <c r="I971" s="102"/>
      <c r="J971" s="102"/>
      <c r="K971" s="102"/>
      <c r="L971" s="224"/>
      <c r="M971" s="102"/>
      <c r="N971" s="102"/>
      <c r="O971" s="224"/>
      <c r="P971" s="102"/>
      <c r="Q971" s="102"/>
      <c r="R971" s="102"/>
      <c r="S971" s="225"/>
      <c r="T971" s="226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 spans="1:36" ht="15.75" customHeight="1">
      <c r="A972" s="4"/>
      <c r="B972" s="4"/>
      <c r="C972" s="4"/>
      <c r="D972" s="224"/>
      <c r="E972" s="102"/>
      <c r="F972" s="102"/>
      <c r="G972" s="102"/>
      <c r="H972" s="102"/>
      <c r="I972" s="102"/>
      <c r="J972" s="102"/>
      <c r="K972" s="102"/>
      <c r="L972" s="224"/>
      <c r="M972" s="102"/>
      <c r="N972" s="102"/>
      <c r="O972" s="224"/>
      <c r="P972" s="102"/>
      <c r="Q972" s="102"/>
      <c r="R972" s="102"/>
      <c r="S972" s="225"/>
      <c r="T972" s="226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 spans="1:36" ht="15.75" customHeight="1">
      <c r="A973" s="4"/>
      <c r="B973" s="4"/>
      <c r="C973" s="4"/>
      <c r="D973" s="224"/>
      <c r="E973" s="102"/>
      <c r="F973" s="102"/>
      <c r="G973" s="102"/>
      <c r="H973" s="102"/>
      <c r="I973" s="102"/>
      <c r="J973" s="102"/>
      <c r="K973" s="102"/>
      <c r="L973" s="224"/>
      <c r="M973" s="102"/>
      <c r="N973" s="102"/>
      <c r="O973" s="224"/>
      <c r="P973" s="102"/>
      <c r="Q973" s="102"/>
      <c r="R973" s="102"/>
      <c r="S973" s="225"/>
      <c r="T973" s="226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 spans="1:36" ht="15.75" customHeight="1">
      <c r="A974" s="4"/>
      <c r="B974" s="4"/>
      <c r="C974" s="4"/>
      <c r="D974" s="224"/>
      <c r="E974" s="102"/>
      <c r="F974" s="102"/>
      <c r="G974" s="102"/>
      <c r="H974" s="102"/>
      <c r="I974" s="102"/>
      <c r="J974" s="102"/>
      <c r="K974" s="102"/>
      <c r="L974" s="224"/>
      <c r="M974" s="102"/>
      <c r="N974" s="102"/>
      <c r="O974" s="224"/>
      <c r="P974" s="102"/>
      <c r="Q974" s="102"/>
      <c r="R974" s="102"/>
      <c r="S974" s="225"/>
      <c r="T974" s="226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 spans="1:36" ht="15.75" customHeight="1">
      <c r="A975" s="4"/>
      <c r="B975" s="4"/>
      <c r="C975" s="4"/>
      <c r="D975" s="224"/>
      <c r="E975" s="102"/>
      <c r="F975" s="102"/>
      <c r="G975" s="102"/>
      <c r="H975" s="102"/>
      <c r="I975" s="102"/>
      <c r="J975" s="102"/>
      <c r="K975" s="102"/>
      <c r="L975" s="224"/>
      <c r="M975" s="102"/>
      <c r="N975" s="102"/>
      <c r="O975" s="224"/>
      <c r="P975" s="102"/>
      <c r="Q975" s="102"/>
      <c r="R975" s="102"/>
      <c r="S975" s="225"/>
      <c r="T975" s="226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 spans="1:36" ht="15.75" customHeight="1">
      <c r="A976" s="4"/>
      <c r="B976" s="4"/>
      <c r="C976" s="4"/>
      <c r="D976" s="224"/>
      <c r="E976" s="102"/>
      <c r="F976" s="102"/>
      <c r="G976" s="102"/>
      <c r="H976" s="102"/>
      <c r="I976" s="102"/>
      <c r="J976" s="102"/>
      <c r="K976" s="102"/>
      <c r="L976" s="224"/>
      <c r="M976" s="102"/>
      <c r="N976" s="102"/>
      <c r="O976" s="224"/>
      <c r="P976" s="102"/>
      <c r="Q976" s="102"/>
      <c r="R976" s="102"/>
      <c r="S976" s="225"/>
      <c r="T976" s="226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 spans="1:36" ht="15.75" customHeight="1">
      <c r="A977" s="4"/>
      <c r="B977" s="4"/>
      <c r="C977" s="4"/>
      <c r="D977" s="224"/>
      <c r="E977" s="102"/>
      <c r="F977" s="102"/>
      <c r="G977" s="102"/>
      <c r="H977" s="102"/>
      <c r="I977" s="102"/>
      <c r="J977" s="102"/>
      <c r="K977" s="102"/>
      <c r="L977" s="224"/>
      <c r="M977" s="102"/>
      <c r="N977" s="102"/>
      <c r="O977" s="224"/>
      <c r="P977" s="102"/>
      <c r="Q977" s="102"/>
      <c r="R977" s="102"/>
      <c r="S977" s="225"/>
      <c r="T977" s="226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 spans="1:36" ht="15.75" customHeight="1">
      <c r="A978" s="4"/>
      <c r="B978" s="4"/>
      <c r="C978" s="4"/>
      <c r="D978" s="224"/>
      <c r="E978" s="102"/>
      <c r="F978" s="102"/>
      <c r="G978" s="102"/>
      <c r="H978" s="102"/>
      <c r="I978" s="102"/>
      <c r="J978" s="102"/>
      <c r="K978" s="102"/>
      <c r="L978" s="224"/>
      <c r="M978" s="102"/>
      <c r="N978" s="102"/>
      <c r="O978" s="224"/>
      <c r="P978" s="102"/>
      <c r="Q978" s="102"/>
      <c r="R978" s="102"/>
      <c r="S978" s="225"/>
      <c r="T978" s="226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 spans="1:36" ht="15.75" customHeight="1">
      <c r="A979" s="4"/>
      <c r="B979" s="4"/>
      <c r="C979" s="4"/>
      <c r="D979" s="224"/>
      <c r="E979" s="102"/>
      <c r="F979" s="102"/>
      <c r="G979" s="102"/>
      <c r="H979" s="102"/>
      <c r="I979" s="102"/>
      <c r="J979" s="102"/>
      <c r="K979" s="102"/>
      <c r="L979" s="224"/>
      <c r="M979" s="102"/>
      <c r="N979" s="102"/>
      <c r="O979" s="224"/>
      <c r="P979" s="102"/>
      <c r="Q979" s="102"/>
      <c r="R979" s="102"/>
      <c r="S979" s="225"/>
      <c r="T979" s="226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 spans="1:36" ht="15.75" customHeight="1">
      <c r="A980" s="4"/>
      <c r="B980" s="4"/>
      <c r="C980" s="4"/>
      <c r="D980" s="224"/>
      <c r="E980" s="102"/>
      <c r="F980" s="102"/>
      <c r="G980" s="102"/>
      <c r="H980" s="102"/>
      <c r="I980" s="102"/>
      <c r="J980" s="102"/>
      <c r="K980" s="102"/>
      <c r="L980" s="224"/>
      <c r="M980" s="102"/>
      <c r="N980" s="102"/>
      <c r="O980" s="224"/>
      <c r="P980" s="102"/>
      <c r="Q980" s="102"/>
      <c r="R980" s="102"/>
      <c r="S980" s="225"/>
      <c r="T980" s="226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 spans="1:36" ht="15.75" customHeight="1">
      <c r="A981" s="4"/>
      <c r="B981" s="4"/>
      <c r="C981" s="4"/>
      <c r="D981" s="224"/>
      <c r="E981" s="102"/>
      <c r="F981" s="102"/>
      <c r="G981" s="102"/>
      <c r="H981" s="102"/>
      <c r="I981" s="102"/>
      <c r="J981" s="102"/>
      <c r="K981" s="102"/>
      <c r="L981" s="224"/>
      <c r="M981" s="102"/>
      <c r="N981" s="102"/>
      <c r="O981" s="224"/>
      <c r="P981" s="102"/>
      <c r="Q981" s="102"/>
      <c r="R981" s="102"/>
      <c r="S981" s="225"/>
      <c r="T981" s="226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 spans="1:36" ht="15.75" customHeight="1">
      <c r="A982" s="4"/>
      <c r="B982" s="4"/>
      <c r="C982" s="4"/>
      <c r="D982" s="224"/>
      <c r="E982" s="102"/>
      <c r="F982" s="102"/>
      <c r="G982" s="102"/>
      <c r="H982" s="102"/>
      <c r="I982" s="102"/>
      <c r="J982" s="102"/>
      <c r="K982" s="102"/>
      <c r="L982" s="224"/>
      <c r="M982" s="102"/>
      <c r="N982" s="102"/>
      <c r="O982" s="224"/>
      <c r="P982" s="102"/>
      <c r="Q982" s="102"/>
      <c r="R982" s="102"/>
      <c r="S982" s="225"/>
      <c r="T982" s="226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 spans="1:36" ht="15.75" customHeight="1">
      <c r="A983" s="4"/>
      <c r="B983" s="4"/>
      <c r="C983" s="4"/>
      <c r="D983" s="224"/>
      <c r="E983" s="102"/>
      <c r="F983" s="102"/>
      <c r="G983" s="102"/>
      <c r="H983" s="102"/>
      <c r="I983" s="102"/>
      <c r="J983" s="102"/>
      <c r="K983" s="102"/>
      <c r="L983" s="224"/>
      <c r="M983" s="102"/>
      <c r="N983" s="102"/>
      <c r="O983" s="224"/>
      <c r="P983" s="102"/>
      <c r="Q983" s="102"/>
      <c r="R983" s="102"/>
      <c r="S983" s="225"/>
      <c r="T983" s="226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 spans="1:36" ht="15.75" customHeight="1">
      <c r="A984" s="4"/>
      <c r="B984" s="4"/>
      <c r="C984" s="4"/>
      <c r="D984" s="224"/>
      <c r="E984" s="102"/>
      <c r="F984" s="102"/>
      <c r="G984" s="102"/>
      <c r="H984" s="102"/>
      <c r="I984" s="102"/>
      <c r="J984" s="102"/>
      <c r="K984" s="102"/>
      <c r="L984" s="224"/>
      <c r="M984" s="102"/>
      <c r="N984" s="102"/>
      <c r="O984" s="224"/>
      <c r="P984" s="102"/>
      <c r="Q984" s="102"/>
      <c r="R984" s="102"/>
      <c r="S984" s="225"/>
      <c r="T984" s="226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 spans="1:36" ht="15.75" customHeight="1">
      <c r="A985" s="4"/>
      <c r="B985" s="4"/>
      <c r="C985" s="4"/>
      <c r="D985" s="224"/>
      <c r="E985" s="102"/>
      <c r="F985" s="102"/>
      <c r="G985" s="102"/>
      <c r="H985" s="102"/>
      <c r="I985" s="102"/>
      <c r="J985" s="102"/>
      <c r="K985" s="102"/>
      <c r="L985" s="224"/>
      <c r="M985" s="102"/>
      <c r="N985" s="102"/>
      <c r="O985" s="224"/>
      <c r="P985" s="102"/>
      <c r="Q985" s="102"/>
      <c r="R985" s="102"/>
      <c r="S985" s="225"/>
      <c r="T985" s="226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 spans="1:36" ht="15.75" customHeight="1">
      <c r="A986" s="4"/>
      <c r="B986" s="4"/>
      <c r="C986" s="4"/>
      <c r="D986" s="224"/>
      <c r="E986" s="102"/>
      <c r="F986" s="102"/>
      <c r="G986" s="102"/>
      <c r="H986" s="102"/>
      <c r="I986" s="102"/>
      <c r="J986" s="102"/>
      <c r="K986" s="102"/>
      <c r="L986" s="224"/>
      <c r="M986" s="102"/>
      <c r="N986" s="102"/>
      <c r="O986" s="224"/>
      <c r="P986" s="102"/>
      <c r="Q986" s="102"/>
      <c r="R986" s="102"/>
      <c r="S986" s="225"/>
      <c r="T986" s="226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 spans="1:36" ht="15.75" customHeight="1">
      <c r="A987" s="4"/>
      <c r="B987" s="4"/>
      <c r="C987" s="4"/>
      <c r="D987" s="224"/>
      <c r="E987" s="102"/>
      <c r="F987" s="102"/>
      <c r="G987" s="102"/>
      <c r="H987" s="102"/>
      <c r="I987" s="102"/>
      <c r="J987" s="102"/>
      <c r="K987" s="102"/>
      <c r="L987" s="224"/>
      <c r="M987" s="102"/>
      <c r="N987" s="102"/>
      <c r="O987" s="224"/>
      <c r="P987" s="102"/>
      <c r="Q987" s="102"/>
      <c r="R987" s="102"/>
      <c r="S987" s="225"/>
      <c r="T987" s="226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 spans="1:36" ht="15.75" customHeight="1">
      <c r="A988" s="4"/>
      <c r="B988" s="4"/>
      <c r="C988" s="4"/>
      <c r="D988" s="224"/>
      <c r="E988" s="102"/>
      <c r="F988" s="102"/>
      <c r="G988" s="102"/>
      <c r="H988" s="102"/>
      <c r="I988" s="102"/>
      <c r="J988" s="102"/>
      <c r="K988" s="102"/>
      <c r="L988" s="224"/>
      <c r="M988" s="102"/>
      <c r="N988" s="102"/>
      <c r="O988" s="224"/>
      <c r="P988" s="102"/>
      <c r="Q988" s="102"/>
      <c r="R988" s="102"/>
      <c r="S988" s="225"/>
      <c r="T988" s="226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 spans="1:36" ht="15.75" customHeight="1">
      <c r="A989" s="4"/>
      <c r="B989" s="4"/>
      <c r="C989" s="4"/>
      <c r="D989" s="224"/>
      <c r="E989" s="102"/>
      <c r="F989" s="102"/>
      <c r="G989" s="102"/>
      <c r="H989" s="102"/>
      <c r="I989" s="102"/>
      <c r="J989" s="102"/>
      <c r="K989" s="102"/>
      <c r="L989" s="224"/>
      <c r="M989" s="102"/>
      <c r="N989" s="102"/>
      <c r="O989" s="224"/>
      <c r="P989" s="102"/>
      <c r="Q989" s="102"/>
      <c r="R989" s="102"/>
      <c r="S989" s="225"/>
      <c r="T989" s="226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 spans="1:36" ht="15.75" customHeight="1">
      <c r="A990" s="4"/>
      <c r="B990" s="4"/>
      <c r="C990" s="4"/>
      <c r="D990" s="224"/>
      <c r="E990" s="102"/>
      <c r="F990" s="102"/>
      <c r="G990" s="102"/>
      <c r="H990" s="102"/>
      <c r="I990" s="102"/>
      <c r="J990" s="102"/>
      <c r="K990" s="102"/>
      <c r="L990" s="224"/>
      <c r="M990" s="102"/>
      <c r="N990" s="102"/>
      <c r="O990" s="224"/>
      <c r="P990" s="102"/>
      <c r="Q990" s="102"/>
      <c r="R990" s="102"/>
      <c r="S990" s="225"/>
      <c r="T990" s="226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 spans="1:36" ht="15.75" customHeight="1">
      <c r="A991" s="4"/>
      <c r="B991" s="4"/>
      <c r="C991" s="4"/>
      <c r="D991" s="224"/>
      <c r="E991" s="102"/>
      <c r="F991" s="102"/>
      <c r="G991" s="102"/>
      <c r="H991" s="102"/>
      <c r="I991" s="102"/>
      <c r="J991" s="102"/>
      <c r="K991" s="102"/>
      <c r="L991" s="224"/>
      <c r="M991" s="102"/>
      <c r="N991" s="102"/>
      <c r="O991" s="224"/>
      <c r="P991" s="102"/>
      <c r="Q991" s="102"/>
      <c r="R991" s="102"/>
      <c r="S991" s="225"/>
      <c r="T991" s="226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 spans="1:36" ht="15.75" customHeight="1">
      <c r="A992" s="4"/>
      <c r="B992" s="4"/>
      <c r="C992" s="4"/>
      <c r="D992" s="224"/>
      <c r="E992" s="102"/>
      <c r="F992" s="102"/>
      <c r="G992" s="102"/>
      <c r="H992" s="102"/>
      <c r="I992" s="102"/>
      <c r="J992" s="102"/>
      <c r="K992" s="102"/>
      <c r="L992" s="224"/>
      <c r="M992" s="102"/>
      <c r="N992" s="102"/>
      <c r="O992" s="224"/>
      <c r="P992" s="102"/>
      <c r="Q992" s="102"/>
      <c r="R992" s="102"/>
      <c r="S992" s="225"/>
      <c r="T992" s="226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 spans="1:36" ht="15.75" customHeight="1">
      <c r="A993" s="4"/>
      <c r="B993" s="4"/>
      <c r="C993" s="4"/>
      <c r="D993" s="224"/>
      <c r="E993" s="102"/>
      <c r="F993" s="102"/>
      <c r="G993" s="102"/>
      <c r="H993" s="102"/>
      <c r="I993" s="102"/>
      <c r="J993" s="102"/>
      <c r="K993" s="102"/>
      <c r="L993" s="224"/>
      <c r="M993" s="102"/>
      <c r="N993" s="102"/>
      <c r="O993" s="224"/>
      <c r="P993" s="102"/>
      <c r="Q993" s="102"/>
      <c r="R993" s="102"/>
      <c r="S993" s="225"/>
      <c r="T993" s="226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 spans="1:36" ht="15.75" customHeight="1">
      <c r="A994" s="4"/>
      <c r="B994" s="4"/>
      <c r="C994" s="4"/>
      <c r="D994" s="224"/>
      <c r="E994" s="102"/>
      <c r="F994" s="102"/>
      <c r="G994" s="102"/>
      <c r="H994" s="102"/>
      <c r="I994" s="102"/>
      <c r="J994" s="102"/>
      <c r="K994" s="102"/>
      <c r="L994" s="224"/>
      <c r="M994" s="102"/>
      <c r="N994" s="102"/>
      <c r="O994" s="224"/>
      <c r="P994" s="102"/>
      <c r="Q994" s="102"/>
      <c r="R994" s="102"/>
      <c r="S994" s="225"/>
      <c r="T994" s="226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 spans="1:36" ht="15.75" customHeight="1">
      <c r="A995" s="4"/>
      <c r="B995" s="4"/>
      <c r="C995" s="4"/>
      <c r="D995" s="224"/>
      <c r="E995" s="102"/>
      <c r="F995" s="102"/>
      <c r="G995" s="102"/>
      <c r="H995" s="102"/>
      <c r="I995" s="102"/>
      <c r="J995" s="102"/>
      <c r="K995" s="102"/>
      <c r="L995" s="224"/>
      <c r="M995" s="102"/>
      <c r="N995" s="102"/>
      <c r="O995" s="224"/>
      <c r="P995" s="102"/>
      <c r="Q995" s="102"/>
      <c r="R995" s="102"/>
      <c r="S995" s="225"/>
      <c r="T995" s="226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 spans="1:36" ht="15.75" customHeight="1">
      <c r="A996" s="4"/>
      <c r="B996" s="4"/>
      <c r="C996" s="4"/>
      <c r="D996" s="224"/>
      <c r="E996" s="102"/>
      <c r="F996" s="102"/>
      <c r="G996" s="102"/>
      <c r="H996" s="102"/>
      <c r="I996" s="102"/>
      <c r="J996" s="102"/>
      <c r="K996" s="102"/>
      <c r="L996" s="224"/>
      <c r="M996" s="102"/>
      <c r="N996" s="102"/>
      <c r="O996" s="224"/>
      <c r="P996" s="102"/>
      <c r="Q996" s="102"/>
      <c r="R996" s="102"/>
      <c r="S996" s="225"/>
      <c r="T996" s="226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 spans="1:36" ht="15.75" customHeight="1">
      <c r="A997" s="4"/>
      <c r="B997" s="4"/>
      <c r="C997" s="4"/>
      <c r="D997" s="224"/>
      <c r="E997" s="102"/>
      <c r="F997" s="102"/>
      <c r="G997" s="102"/>
      <c r="H997" s="102"/>
      <c r="I997" s="102"/>
      <c r="J997" s="102"/>
      <c r="K997" s="102"/>
      <c r="L997" s="224"/>
      <c r="M997" s="102"/>
      <c r="N997" s="102"/>
      <c r="O997" s="224"/>
      <c r="P997" s="102"/>
      <c r="Q997" s="102"/>
      <c r="R997" s="102"/>
      <c r="S997" s="225"/>
      <c r="T997" s="226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 spans="1:36" ht="15.75" customHeight="1">
      <c r="A998" s="4"/>
      <c r="B998" s="4"/>
      <c r="C998" s="4"/>
      <c r="D998" s="224"/>
      <c r="E998" s="102"/>
      <c r="F998" s="102"/>
      <c r="G998" s="102"/>
      <c r="H998" s="102"/>
      <c r="I998" s="102"/>
      <c r="J998" s="102"/>
      <c r="K998" s="102"/>
      <c r="L998" s="224"/>
      <c r="M998" s="102"/>
      <c r="N998" s="102"/>
      <c r="O998" s="224"/>
      <c r="P998" s="102"/>
      <c r="Q998" s="102"/>
      <c r="R998" s="102"/>
      <c r="S998" s="225"/>
      <c r="T998" s="226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 spans="1:36" ht="15.75" customHeight="1">
      <c r="A999" s="4"/>
      <c r="B999" s="4"/>
      <c r="C999" s="4"/>
      <c r="D999" s="224"/>
      <c r="E999" s="102"/>
      <c r="F999" s="102"/>
      <c r="G999" s="102"/>
      <c r="H999" s="102"/>
      <c r="I999" s="102"/>
      <c r="J999" s="102"/>
      <c r="K999" s="102"/>
      <c r="L999" s="224"/>
      <c r="M999" s="102"/>
      <c r="N999" s="102"/>
      <c r="O999" s="224"/>
      <c r="P999" s="102"/>
      <c r="Q999" s="102"/>
      <c r="R999" s="102"/>
      <c r="S999" s="225"/>
      <c r="T999" s="226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 spans="1:36" ht="15.75" customHeight="1">
      <c r="A1000" s="4"/>
      <c r="B1000" s="4"/>
      <c r="C1000" s="4"/>
      <c r="D1000" s="224"/>
      <c r="E1000" s="102"/>
      <c r="F1000" s="102"/>
      <c r="G1000" s="102"/>
      <c r="H1000" s="102"/>
      <c r="I1000" s="102"/>
      <c r="J1000" s="102"/>
      <c r="K1000" s="102"/>
      <c r="L1000" s="224"/>
      <c r="M1000" s="102"/>
      <c r="N1000" s="102"/>
      <c r="O1000" s="224"/>
      <c r="P1000" s="102"/>
      <c r="Q1000" s="102"/>
      <c r="R1000" s="102"/>
      <c r="S1000" s="225"/>
      <c r="T1000" s="226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 spans="1:36" ht="15.75" customHeight="1">
      <c r="A1001" s="4"/>
      <c r="B1001" s="4"/>
      <c r="C1001" s="4"/>
      <c r="D1001" s="224"/>
      <c r="E1001" s="102"/>
      <c r="F1001" s="102"/>
      <c r="G1001" s="102"/>
      <c r="H1001" s="102"/>
      <c r="I1001" s="102"/>
      <c r="J1001" s="102"/>
      <c r="K1001" s="102"/>
      <c r="L1001" s="224"/>
      <c r="M1001" s="102"/>
      <c r="N1001" s="102"/>
      <c r="O1001" s="224"/>
      <c r="P1001" s="102"/>
      <c r="Q1001" s="102"/>
      <c r="R1001" s="102"/>
      <c r="S1001" s="225"/>
      <c r="T1001" s="226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 spans="1:36" ht="15.75" customHeight="1">
      <c r="A1002" s="4"/>
      <c r="B1002" s="4"/>
      <c r="C1002" s="4"/>
      <c r="D1002" s="224"/>
      <c r="E1002" s="102"/>
      <c r="F1002" s="102"/>
      <c r="G1002" s="102"/>
      <c r="H1002" s="102"/>
      <c r="I1002" s="102"/>
      <c r="J1002" s="102"/>
      <c r="K1002" s="102"/>
      <c r="L1002" s="224"/>
      <c r="M1002" s="102"/>
      <c r="N1002" s="102"/>
      <c r="O1002" s="224"/>
      <c r="P1002" s="102"/>
      <c r="Q1002" s="102"/>
      <c r="R1002" s="102"/>
      <c r="S1002" s="225"/>
      <c r="T1002" s="226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 spans="1:36" ht="15.75" customHeight="1">
      <c r="A1003" s="4"/>
      <c r="B1003" s="4"/>
      <c r="C1003" s="4"/>
      <c r="D1003" s="224"/>
      <c r="E1003" s="102"/>
      <c r="F1003" s="102"/>
      <c r="G1003" s="102"/>
      <c r="H1003" s="102"/>
      <c r="I1003" s="102"/>
      <c r="J1003" s="102"/>
      <c r="K1003" s="102"/>
      <c r="L1003" s="224"/>
      <c r="M1003" s="102"/>
      <c r="N1003" s="102"/>
      <c r="O1003" s="224"/>
      <c r="P1003" s="102"/>
      <c r="Q1003" s="102"/>
      <c r="R1003" s="102"/>
      <c r="S1003" s="225"/>
      <c r="T1003" s="226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 spans="1:36" ht="15.75" customHeight="1">
      <c r="A1004" s="4"/>
      <c r="B1004" s="4"/>
      <c r="C1004" s="4"/>
      <c r="D1004" s="224"/>
      <c r="E1004" s="102"/>
      <c r="F1004" s="102"/>
      <c r="G1004" s="102"/>
      <c r="H1004" s="102"/>
      <c r="I1004" s="102"/>
      <c r="J1004" s="102"/>
      <c r="K1004" s="102"/>
      <c r="L1004" s="224"/>
      <c r="M1004" s="102"/>
      <c r="N1004" s="102"/>
      <c r="O1004" s="224"/>
      <c r="P1004" s="102"/>
      <c r="Q1004" s="102"/>
      <c r="R1004" s="102"/>
      <c r="S1004" s="225"/>
      <c r="T1004" s="226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 spans="1:36" ht="15.75" customHeight="1">
      <c r="A1005" s="4"/>
      <c r="B1005" s="4"/>
      <c r="C1005" s="4"/>
      <c r="D1005" s="224"/>
      <c r="E1005" s="102"/>
      <c r="F1005" s="102"/>
      <c r="G1005" s="102"/>
      <c r="H1005" s="102"/>
      <c r="I1005" s="102"/>
      <c r="J1005" s="102"/>
      <c r="K1005" s="102"/>
      <c r="L1005" s="224"/>
      <c r="M1005" s="102"/>
      <c r="N1005" s="102"/>
      <c r="O1005" s="224"/>
      <c r="P1005" s="102"/>
      <c r="Q1005" s="102"/>
      <c r="R1005" s="102"/>
      <c r="S1005" s="225"/>
      <c r="T1005" s="226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 spans="1:36" ht="15.75" customHeight="1">
      <c r="A1006" s="4"/>
      <c r="B1006" s="4"/>
      <c r="C1006" s="4"/>
      <c r="D1006" s="224"/>
      <c r="E1006" s="102"/>
      <c r="F1006" s="102"/>
      <c r="G1006" s="102"/>
      <c r="H1006" s="102"/>
      <c r="I1006" s="102"/>
      <c r="J1006" s="102"/>
      <c r="K1006" s="102"/>
      <c r="L1006" s="224"/>
      <c r="M1006" s="102"/>
      <c r="N1006" s="102"/>
      <c r="O1006" s="224"/>
      <c r="P1006" s="102"/>
      <c r="Q1006" s="102"/>
      <c r="R1006" s="102"/>
      <c r="S1006" s="225"/>
      <c r="T1006" s="226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 spans="1:36" ht="15.75" customHeight="1">
      <c r="A1007" s="4"/>
      <c r="B1007" s="4"/>
      <c r="C1007" s="4"/>
      <c r="D1007" s="224"/>
      <c r="E1007" s="102"/>
      <c r="F1007" s="102"/>
      <c r="G1007" s="102"/>
      <c r="H1007" s="102"/>
      <c r="I1007" s="102"/>
      <c r="J1007" s="102"/>
      <c r="K1007" s="102"/>
      <c r="L1007" s="224"/>
      <c r="M1007" s="102"/>
      <c r="N1007" s="102"/>
      <c r="O1007" s="224"/>
      <c r="P1007" s="102"/>
      <c r="Q1007" s="102"/>
      <c r="R1007" s="102"/>
      <c r="S1007" s="225"/>
      <c r="T1007" s="226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 spans="1:36" ht="15.75" customHeight="1">
      <c r="A1008" s="4"/>
      <c r="B1008" s="4"/>
      <c r="C1008" s="4"/>
      <c r="D1008" s="224"/>
      <c r="E1008" s="102"/>
      <c r="F1008" s="102"/>
      <c r="G1008" s="102"/>
      <c r="H1008" s="102"/>
      <c r="I1008" s="102"/>
      <c r="J1008" s="102"/>
      <c r="K1008" s="102"/>
      <c r="L1008" s="224"/>
      <c r="M1008" s="102"/>
      <c r="N1008" s="102"/>
      <c r="O1008" s="224"/>
      <c r="P1008" s="102"/>
      <c r="Q1008" s="102"/>
      <c r="R1008" s="102"/>
      <c r="S1008" s="225"/>
      <c r="T1008" s="226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 spans="1:36" ht="15.75" customHeight="1">
      <c r="A1009" s="4"/>
      <c r="B1009" s="4"/>
      <c r="C1009" s="4"/>
      <c r="D1009" s="224"/>
      <c r="E1009" s="102"/>
      <c r="F1009" s="102"/>
      <c r="G1009" s="102"/>
      <c r="H1009" s="102"/>
      <c r="I1009" s="102"/>
      <c r="J1009" s="102"/>
      <c r="K1009" s="102"/>
      <c r="L1009" s="224"/>
      <c r="M1009" s="102"/>
      <c r="N1009" s="102"/>
      <c r="O1009" s="224"/>
      <c r="P1009" s="102"/>
      <c r="Q1009" s="102"/>
      <c r="R1009" s="102"/>
      <c r="S1009" s="225"/>
      <c r="T1009" s="226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 spans="1:36" ht="15.75" customHeight="1">
      <c r="A1010" s="4"/>
      <c r="B1010" s="4"/>
      <c r="C1010" s="4"/>
      <c r="D1010" s="224"/>
      <c r="E1010" s="102"/>
      <c r="F1010" s="102"/>
      <c r="G1010" s="102"/>
      <c r="H1010" s="102"/>
      <c r="I1010" s="102"/>
      <c r="J1010" s="102"/>
      <c r="K1010" s="102"/>
      <c r="L1010" s="224"/>
      <c r="M1010" s="102"/>
      <c r="N1010" s="102"/>
      <c r="O1010" s="224"/>
      <c r="P1010" s="102"/>
      <c r="Q1010" s="102"/>
      <c r="R1010" s="102"/>
      <c r="S1010" s="225"/>
      <c r="T1010" s="226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 spans="1:36" ht="15.75" customHeight="1">
      <c r="A1011" s="4"/>
      <c r="B1011" s="4"/>
      <c r="C1011" s="4"/>
      <c r="D1011" s="224"/>
      <c r="E1011" s="102"/>
      <c r="F1011" s="102"/>
      <c r="G1011" s="102"/>
      <c r="H1011" s="102"/>
      <c r="I1011" s="102"/>
      <c r="J1011" s="102"/>
      <c r="K1011" s="102"/>
      <c r="L1011" s="224"/>
      <c r="M1011" s="102"/>
      <c r="N1011" s="102"/>
      <c r="O1011" s="224"/>
      <c r="P1011" s="102"/>
      <c r="Q1011" s="102"/>
      <c r="R1011" s="102"/>
      <c r="S1011" s="225"/>
      <c r="T1011" s="226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  <row r="1012" spans="1:36" ht="15.75" customHeight="1">
      <c r="A1012" s="4"/>
      <c r="B1012" s="4"/>
      <c r="C1012" s="4"/>
      <c r="D1012" s="224"/>
      <c r="E1012" s="102"/>
      <c r="F1012" s="102"/>
      <c r="G1012" s="102"/>
      <c r="H1012" s="102"/>
      <c r="I1012" s="102"/>
      <c r="J1012" s="102"/>
      <c r="K1012" s="102"/>
      <c r="L1012" s="224"/>
      <c r="M1012" s="102"/>
      <c r="N1012" s="102"/>
      <c r="O1012" s="224"/>
      <c r="P1012" s="102"/>
      <c r="Q1012" s="102"/>
      <c r="R1012" s="102"/>
      <c r="S1012" s="225"/>
      <c r="T1012" s="226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</row>
    <row r="1013" spans="1:36" ht="15.75" customHeight="1">
      <c r="A1013" s="4"/>
      <c r="B1013" s="4"/>
      <c r="C1013" s="4"/>
      <c r="D1013" s="224"/>
      <c r="E1013" s="102"/>
      <c r="F1013" s="102"/>
      <c r="G1013" s="102"/>
      <c r="H1013" s="102"/>
      <c r="I1013" s="102"/>
      <c r="J1013" s="102"/>
      <c r="K1013" s="102"/>
      <c r="L1013" s="224"/>
      <c r="M1013" s="102"/>
      <c r="N1013" s="102"/>
      <c r="O1013" s="224"/>
      <c r="P1013" s="102"/>
      <c r="Q1013" s="102"/>
      <c r="R1013" s="102"/>
      <c r="S1013" s="225"/>
      <c r="T1013" s="226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</row>
    <row r="1014" spans="1:36" ht="15.75" customHeight="1">
      <c r="A1014" s="4"/>
      <c r="B1014" s="4"/>
      <c r="C1014" s="4"/>
      <c r="D1014" s="224"/>
      <c r="E1014" s="102"/>
      <c r="F1014" s="102"/>
      <c r="G1014" s="102"/>
      <c r="H1014" s="102"/>
      <c r="I1014" s="102"/>
      <c r="J1014" s="102"/>
      <c r="K1014" s="102"/>
      <c r="L1014" s="224"/>
      <c r="M1014" s="102"/>
      <c r="N1014" s="102"/>
      <c r="O1014" s="224"/>
      <c r="P1014" s="102"/>
      <c r="Q1014" s="102"/>
      <c r="R1014" s="102"/>
      <c r="S1014" s="225"/>
      <c r="T1014" s="226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</row>
    <row r="1015" spans="1:36" ht="15.75" customHeight="1">
      <c r="A1015" s="4"/>
      <c r="B1015" s="4"/>
      <c r="C1015" s="4"/>
      <c r="D1015" s="224"/>
      <c r="E1015" s="102"/>
      <c r="F1015" s="102"/>
      <c r="G1015" s="102"/>
      <c r="H1015" s="102"/>
      <c r="I1015" s="102"/>
      <c r="J1015" s="102"/>
      <c r="K1015" s="102"/>
      <c r="L1015" s="224"/>
      <c r="M1015" s="102"/>
      <c r="N1015" s="102"/>
      <c r="O1015" s="224"/>
      <c r="P1015" s="102"/>
      <c r="Q1015" s="102"/>
      <c r="R1015" s="102"/>
      <c r="S1015" s="225"/>
      <c r="T1015" s="226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</row>
    <row r="1016" spans="1:36" ht="15.75" customHeight="1">
      <c r="A1016" s="4"/>
      <c r="B1016" s="4"/>
      <c r="C1016" s="4"/>
      <c r="D1016" s="224"/>
      <c r="E1016" s="102"/>
      <c r="F1016" s="102"/>
      <c r="G1016" s="102"/>
      <c r="H1016" s="102"/>
      <c r="I1016" s="102"/>
      <c r="J1016" s="102"/>
      <c r="K1016" s="102"/>
      <c r="L1016" s="224"/>
      <c r="M1016" s="102"/>
      <c r="N1016" s="102"/>
      <c r="O1016" s="224"/>
      <c r="P1016" s="102"/>
      <c r="Q1016" s="102"/>
      <c r="R1016" s="102"/>
      <c r="S1016" s="225"/>
      <c r="T1016" s="226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</row>
    <row r="1017" spans="1:36" ht="15.75" customHeight="1">
      <c r="A1017" s="4"/>
      <c r="B1017" s="4"/>
      <c r="C1017" s="4"/>
      <c r="D1017" s="224"/>
      <c r="E1017" s="102"/>
      <c r="F1017" s="102"/>
      <c r="G1017" s="102"/>
      <c r="H1017" s="102"/>
      <c r="I1017" s="102"/>
      <c r="J1017" s="102"/>
      <c r="K1017" s="102"/>
      <c r="L1017" s="224"/>
      <c r="M1017" s="102"/>
      <c r="N1017" s="102"/>
      <c r="O1017" s="224"/>
      <c r="P1017" s="102"/>
      <c r="Q1017" s="102"/>
      <c r="R1017" s="102"/>
      <c r="S1017" s="225"/>
      <c r="T1017" s="226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</row>
    <row r="1018" spans="1:36" ht="15.75" customHeight="1">
      <c r="A1018" s="4"/>
      <c r="B1018" s="4"/>
      <c r="C1018" s="4"/>
      <c r="D1018" s="224"/>
      <c r="E1018" s="102"/>
      <c r="F1018" s="102"/>
      <c r="G1018" s="102"/>
      <c r="H1018" s="102"/>
      <c r="I1018" s="102"/>
      <c r="J1018" s="102"/>
      <c r="K1018" s="102"/>
      <c r="L1018" s="224"/>
      <c r="M1018" s="102"/>
      <c r="N1018" s="102"/>
      <c r="O1018" s="224"/>
      <c r="P1018" s="102"/>
      <c r="Q1018" s="102"/>
      <c r="R1018" s="102"/>
      <c r="S1018" s="225"/>
      <c r="T1018" s="226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</row>
    <row r="1019" spans="1:36" ht="15.75" customHeight="1">
      <c r="A1019" s="4"/>
      <c r="B1019" s="4"/>
      <c r="C1019" s="4"/>
      <c r="D1019" s="224"/>
      <c r="E1019" s="102"/>
      <c r="F1019" s="102"/>
      <c r="G1019" s="102"/>
      <c r="H1019" s="102"/>
      <c r="I1019" s="102"/>
      <c r="J1019" s="102"/>
      <c r="K1019" s="102"/>
      <c r="L1019" s="224"/>
      <c r="M1019" s="102"/>
      <c r="N1019" s="102"/>
      <c r="O1019" s="224"/>
      <c r="P1019" s="102"/>
      <c r="Q1019" s="102"/>
      <c r="R1019" s="102"/>
      <c r="S1019" s="225"/>
      <c r="T1019" s="226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</row>
    <row r="1020" spans="1:36" ht="15.75" customHeight="1">
      <c r="A1020" s="4"/>
      <c r="B1020" s="4"/>
      <c r="C1020" s="4"/>
      <c r="D1020" s="224"/>
      <c r="E1020" s="102"/>
      <c r="F1020" s="102"/>
      <c r="G1020" s="102"/>
      <c r="H1020" s="102"/>
      <c r="I1020" s="102"/>
      <c r="J1020" s="102"/>
      <c r="K1020" s="102"/>
      <c r="L1020" s="224"/>
      <c r="M1020" s="102"/>
      <c r="N1020" s="102"/>
      <c r="O1020" s="224"/>
      <c r="P1020" s="102"/>
      <c r="Q1020" s="102"/>
      <c r="R1020" s="102"/>
      <c r="S1020" s="225"/>
      <c r="T1020" s="226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</row>
    <row r="1021" spans="1:36" ht="15.75" customHeight="1">
      <c r="A1021" s="4"/>
      <c r="B1021" s="4"/>
      <c r="C1021" s="4"/>
      <c r="D1021" s="224"/>
      <c r="E1021" s="102"/>
      <c r="F1021" s="102"/>
      <c r="G1021" s="102"/>
      <c r="H1021" s="102"/>
      <c r="I1021" s="102"/>
      <c r="J1021" s="102"/>
      <c r="K1021" s="102"/>
      <c r="L1021" s="224"/>
      <c r="M1021" s="102"/>
      <c r="N1021" s="102"/>
      <c r="O1021" s="224"/>
      <c r="P1021" s="102"/>
      <c r="Q1021" s="102"/>
      <c r="R1021" s="102"/>
      <c r="S1021" s="225"/>
      <c r="T1021" s="226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</row>
    <row r="1022" spans="1:36" ht="15.75" customHeight="1">
      <c r="A1022" s="4"/>
      <c r="B1022" s="4"/>
      <c r="C1022" s="4"/>
      <c r="D1022" s="224"/>
      <c r="E1022" s="102"/>
      <c r="F1022" s="102"/>
      <c r="G1022" s="102"/>
      <c r="H1022" s="102"/>
      <c r="I1022" s="102"/>
      <c r="J1022" s="102"/>
      <c r="K1022" s="102"/>
      <c r="L1022" s="224"/>
      <c r="M1022" s="102"/>
      <c r="N1022" s="102"/>
      <c r="O1022" s="224"/>
      <c r="P1022" s="102"/>
      <c r="Q1022" s="102"/>
      <c r="R1022" s="102"/>
      <c r="S1022" s="225"/>
      <c r="T1022" s="226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</row>
    <row r="1023" spans="1:36" ht="15.75" customHeight="1">
      <c r="A1023" s="4"/>
      <c r="B1023" s="4"/>
      <c r="C1023" s="4"/>
      <c r="D1023" s="224"/>
      <c r="E1023" s="102"/>
      <c r="F1023" s="102"/>
      <c r="G1023" s="102"/>
      <c r="H1023" s="102"/>
      <c r="I1023" s="102"/>
      <c r="J1023" s="102"/>
      <c r="K1023" s="102"/>
      <c r="L1023" s="224"/>
      <c r="M1023" s="102"/>
      <c r="N1023" s="102"/>
      <c r="O1023" s="224"/>
      <c r="P1023" s="102"/>
      <c r="Q1023" s="102"/>
      <c r="R1023" s="102"/>
      <c r="S1023" s="225"/>
      <c r="T1023" s="226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</row>
    <row r="1024" spans="1:36" ht="15.75" customHeight="1">
      <c r="A1024" s="4"/>
      <c r="B1024" s="4"/>
      <c r="C1024" s="4"/>
      <c r="D1024" s="224"/>
      <c r="E1024" s="102"/>
      <c r="F1024" s="102"/>
      <c r="G1024" s="102"/>
      <c r="H1024" s="102"/>
      <c r="I1024" s="102"/>
      <c r="J1024" s="102"/>
      <c r="K1024" s="102"/>
      <c r="L1024" s="224"/>
      <c r="M1024" s="102"/>
      <c r="N1024" s="102"/>
      <c r="O1024" s="224"/>
      <c r="P1024" s="102"/>
      <c r="Q1024" s="102"/>
      <c r="R1024" s="102"/>
      <c r="S1024" s="225"/>
      <c r="T1024" s="226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</row>
    <row r="1025" spans="1:36" ht="15.75" customHeight="1">
      <c r="A1025" s="4"/>
      <c r="B1025" s="4"/>
      <c r="C1025" s="4"/>
      <c r="D1025" s="224"/>
      <c r="E1025" s="102"/>
      <c r="F1025" s="102"/>
      <c r="G1025" s="102"/>
      <c r="H1025" s="102"/>
      <c r="I1025" s="102"/>
      <c r="J1025" s="102"/>
      <c r="K1025" s="102"/>
      <c r="L1025" s="224"/>
      <c r="M1025" s="102"/>
      <c r="N1025" s="102"/>
      <c r="O1025" s="224"/>
      <c r="P1025" s="102"/>
      <c r="Q1025" s="102"/>
      <c r="R1025" s="102"/>
      <c r="S1025" s="225"/>
      <c r="T1025" s="226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</row>
    <row r="1026" spans="1:36" ht="15.75" customHeight="1">
      <c r="A1026" s="4"/>
      <c r="B1026" s="4"/>
      <c r="C1026" s="4"/>
      <c r="D1026" s="224"/>
      <c r="E1026" s="102"/>
      <c r="F1026" s="102"/>
      <c r="G1026" s="102"/>
      <c r="H1026" s="102"/>
      <c r="I1026" s="102"/>
      <c r="J1026" s="102"/>
      <c r="K1026" s="102"/>
      <c r="L1026" s="224"/>
      <c r="M1026" s="102"/>
      <c r="N1026" s="102"/>
      <c r="O1026" s="224"/>
      <c r="P1026" s="102"/>
      <c r="Q1026" s="102"/>
      <c r="R1026" s="102"/>
      <c r="S1026" s="225"/>
      <c r="T1026" s="226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</row>
    <row r="1027" spans="1:36" ht="15.75" customHeight="1">
      <c r="A1027" s="4"/>
      <c r="B1027" s="4"/>
      <c r="C1027" s="4"/>
      <c r="D1027" s="224"/>
      <c r="E1027" s="102"/>
      <c r="F1027" s="102"/>
      <c r="G1027" s="102"/>
      <c r="H1027" s="102"/>
      <c r="I1027" s="102"/>
      <c r="J1027" s="102"/>
      <c r="K1027" s="102"/>
      <c r="L1027" s="224"/>
      <c r="M1027" s="102"/>
      <c r="N1027" s="102"/>
      <c r="O1027" s="224"/>
      <c r="P1027" s="102"/>
      <c r="Q1027" s="102"/>
      <c r="R1027" s="102"/>
      <c r="S1027" s="225"/>
      <c r="T1027" s="226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</row>
    <row r="1028" spans="1:36" ht="15.75" customHeight="1">
      <c r="A1028" s="4"/>
      <c r="B1028" s="4"/>
      <c r="C1028" s="4"/>
      <c r="D1028" s="224"/>
      <c r="E1028" s="102"/>
      <c r="F1028" s="102"/>
      <c r="G1028" s="102"/>
      <c r="H1028" s="102"/>
      <c r="I1028" s="102"/>
      <c r="J1028" s="102"/>
      <c r="K1028" s="102"/>
      <c r="L1028" s="224"/>
      <c r="M1028" s="102"/>
      <c r="N1028" s="102"/>
      <c r="O1028" s="224"/>
      <c r="P1028" s="102"/>
      <c r="Q1028" s="102"/>
      <c r="R1028" s="102"/>
      <c r="S1028" s="225"/>
      <c r="T1028" s="226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</row>
    <row r="1029" spans="1:36" ht="15.75" customHeight="1">
      <c r="A1029" s="4"/>
      <c r="B1029" s="4"/>
      <c r="C1029" s="4"/>
      <c r="D1029" s="224"/>
      <c r="E1029" s="102"/>
      <c r="F1029" s="102"/>
      <c r="G1029" s="102"/>
      <c r="H1029" s="102"/>
      <c r="I1029" s="102"/>
      <c r="J1029" s="102"/>
      <c r="K1029" s="102"/>
      <c r="L1029" s="224"/>
      <c r="M1029" s="102"/>
      <c r="N1029" s="102"/>
      <c r="O1029" s="224"/>
      <c r="P1029" s="102"/>
      <c r="Q1029" s="102"/>
      <c r="R1029" s="102"/>
      <c r="S1029" s="225"/>
      <c r="T1029" s="226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</row>
    <row r="1030" spans="1:36" ht="15.75" customHeight="1">
      <c r="A1030" s="4"/>
      <c r="B1030" s="4"/>
      <c r="C1030" s="4"/>
      <c r="D1030" s="224"/>
      <c r="E1030" s="102"/>
      <c r="F1030" s="102"/>
      <c r="G1030" s="102"/>
      <c r="H1030" s="102"/>
      <c r="I1030" s="102"/>
      <c r="J1030" s="102"/>
      <c r="K1030" s="102"/>
      <c r="L1030" s="224"/>
      <c r="M1030" s="102"/>
      <c r="N1030" s="102"/>
      <c r="O1030" s="224"/>
      <c r="P1030" s="102"/>
      <c r="Q1030" s="102"/>
      <c r="R1030" s="102"/>
      <c r="S1030" s="225"/>
      <c r="T1030" s="226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</row>
    <row r="1031" spans="1:36" ht="15.75" customHeight="1">
      <c r="A1031" s="4"/>
      <c r="B1031" s="4"/>
      <c r="C1031" s="4"/>
      <c r="D1031" s="224"/>
      <c r="E1031" s="102"/>
      <c r="F1031" s="102"/>
      <c r="G1031" s="102"/>
      <c r="H1031" s="102"/>
      <c r="I1031" s="102"/>
      <c r="J1031" s="102"/>
      <c r="K1031" s="102"/>
      <c r="L1031" s="224"/>
      <c r="M1031" s="102"/>
      <c r="N1031" s="102"/>
      <c r="O1031" s="224"/>
      <c r="P1031" s="102"/>
      <c r="Q1031" s="102"/>
      <c r="R1031" s="102"/>
      <c r="S1031" s="225"/>
      <c r="T1031" s="226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</row>
    <row r="1032" spans="1:36" ht="15.75" customHeight="1">
      <c r="A1032" s="4"/>
      <c r="B1032" s="4"/>
      <c r="C1032" s="4"/>
      <c r="D1032" s="224"/>
      <c r="E1032" s="102"/>
      <c r="F1032" s="102"/>
      <c r="G1032" s="102"/>
      <c r="H1032" s="102"/>
      <c r="I1032" s="102"/>
      <c r="J1032" s="102"/>
      <c r="K1032" s="102"/>
      <c r="L1032" s="224"/>
      <c r="M1032" s="102"/>
      <c r="N1032" s="102"/>
      <c r="O1032" s="224"/>
      <c r="P1032" s="102"/>
      <c r="Q1032" s="102"/>
      <c r="R1032" s="102"/>
      <c r="S1032" s="225"/>
      <c r="T1032" s="226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</row>
    <row r="1033" spans="1:36" ht="15.75" customHeight="1">
      <c r="A1033" s="4"/>
      <c r="B1033" s="4"/>
      <c r="C1033" s="4"/>
      <c r="D1033" s="224"/>
      <c r="E1033" s="102"/>
      <c r="F1033" s="102"/>
      <c r="G1033" s="102"/>
      <c r="H1033" s="102"/>
      <c r="I1033" s="102"/>
      <c r="J1033" s="102"/>
      <c r="K1033" s="102"/>
      <c r="L1033" s="224"/>
      <c r="M1033" s="102"/>
      <c r="N1033" s="102"/>
      <c r="O1033" s="224"/>
      <c r="P1033" s="102"/>
      <c r="Q1033" s="102"/>
      <c r="R1033" s="102"/>
      <c r="S1033" s="225"/>
      <c r="T1033" s="226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</row>
    <row r="1034" spans="1:36" ht="15.75" customHeight="1">
      <c r="A1034" s="4"/>
      <c r="B1034" s="4"/>
      <c r="C1034" s="4"/>
      <c r="D1034" s="224"/>
      <c r="E1034" s="102"/>
      <c r="F1034" s="102"/>
      <c r="G1034" s="102"/>
      <c r="H1034" s="102"/>
      <c r="I1034" s="102"/>
      <c r="J1034" s="102"/>
      <c r="K1034" s="102"/>
      <c r="L1034" s="224"/>
      <c r="M1034" s="102"/>
      <c r="N1034" s="102"/>
      <c r="O1034" s="224"/>
      <c r="P1034" s="102"/>
      <c r="Q1034" s="102"/>
      <c r="R1034" s="102"/>
      <c r="S1034" s="225"/>
      <c r="T1034" s="226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</row>
    <row r="1035" spans="1:36" ht="15.75" customHeight="1">
      <c r="A1035" s="4"/>
      <c r="B1035" s="4"/>
      <c r="C1035" s="4"/>
      <c r="D1035" s="224"/>
      <c r="E1035" s="102"/>
      <c r="F1035" s="102"/>
      <c r="G1035" s="102"/>
      <c r="H1035" s="102"/>
      <c r="I1035" s="102"/>
      <c r="J1035" s="102"/>
      <c r="K1035" s="102"/>
      <c r="L1035" s="224"/>
      <c r="M1035" s="102"/>
      <c r="N1035" s="102"/>
      <c r="O1035" s="224"/>
      <c r="P1035" s="102"/>
      <c r="Q1035" s="102"/>
      <c r="R1035" s="102"/>
      <c r="S1035" s="225"/>
      <c r="T1035" s="226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</row>
    <row r="1036" spans="1:36" ht="15.75" customHeight="1">
      <c r="A1036" s="4"/>
      <c r="B1036" s="4"/>
      <c r="C1036" s="4"/>
      <c r="D1036" s="224"/>
      <c r="E1036" s="102"/>
      <c r="F1036" s="102"/>
      <c r="G1036" s="102"/>
      <c r="H1036" s="102"/>
      <c r="I1036" s="102"/>
      <c r="J1036" s="102"/>
      <c r="K1036" s="102"/>
      <c r="L1036" s="224"/>
      <c r="M1036" s="102"/>
      <c r="N1036" s="102"/>
      <c r="O1036" s="224"/>
      <c r="P1036" s="102"/>
      <c r="Q1036" s="102"/>
      <c r="R1036" s="102"/>
      <c r="S1036" s="225"/>
      <c r="T1036" s="226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</row>
    <row r="1037" spans="1:36" ht="15.75" customHeight="1">
      <c r="A1037" s="4"/>
      <c r="B1037" s="4"/>
      <c r="C1037" s="4"/>
      <c r="D1037" s="224"/>
      <c r="E1037" s="102"/>
      <c r="F1037" s="102"/>
      <c r="G1037" s="102"/>
      <c r="H1037" s="102"/>
      <c r="I1037" s="102"/>
      <c r="J1037" s="102"/>
      <c r="K1037" s="102"/>
      <c r="L1037" s="224"/>
      <c r="M1037" s="102"/>
      <c r="N1037" s="102"/>
      <c r="O1037" s="224"/>
      <c r="P1037" s="102"/>
      <c r="Q1037" s="102"/>
      <c r="R1037" s="102"/>
      <c r="S1037" s="225"/>
      <c r="T1037" s="226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</row>
    <row r="1038" spans="1:36" ht="15.75" customHeight="1">
      <c r="A1038" s="4"/>
      <c r="B1038" s="4"/>
      <c r="C1038" s="4"/>
      <c r="D1038" s="224"/>
      <c r="E1038" s="102"/>
      <c r="F1038" s="102"/>
      <c r="G1038" s="102"/>
      <c r="H1038" s="102"/>
      <c r="I1038" s="102"/>
      <c r="J1038" s="102"/>
      <c r="K1038" s="102"/>
      <c r="L1038" s="224"/>
      <c r="M1038" s="102"/>
      <c r="N1038" s="102"/>
      <c r="O1038" s="224"/>
      <c r="P1038" s="102"/>
      <c r="Q1038" s="102"/>
      <c r="R1038" s="102"/>
      <c r="S1038" s="225"/>
      <c r="T1038" s="226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</row>
    <row r="1039" spans="1:36" ht="15.75" customHeight="1">
      <c r="A1039" s="4"/>
      <c r="B1039" s="4"/>
      <c r="C1039" s="4"/>
      <c r="D1039" s="224"/>
      <c r="E1039" s="102"/>
      <c r="F1039" s="102"/>
      <c r="G1039" s="102"/>
      <c r="H1039" s="102"/>
      <c r="I1039" s="102"/>
      <c r="J1039" s="102"/>
      <c r="K1039" s="102"/>
      <c r="L1039" s="224"/>
      <c r="M1039" s="102"/>
      <c r="N1039" s="102"/>
      <c r="O1039" s="224"/>
      <c r="P1039" s="102"/>
      <c r="Q1039" s="102"/>
      <c r="R1039" s="102"/>
      <c r="S1039" s="225"/>
      <c r="T1039" s="226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</row>
    <row r="1040" spans="1:36" ht="15.75" customHeight="1">
      <c r="A1040" s="4"/>
      <c r="B1040" s="4"/>
      <c r="C1040" s="4"/>
      <c r="D1040" s="224"/>
      <c r="E1040" s="102"/>
      <c r="F1040" s="102"/>
      <c r="G1040" s="102"/>
      <c r="H1040" s="102"/>
      <c r="I1040" s="102"/>
      <c r="J1040" s="102"/>
      <c r="K1040" s="102"/>
      <c r="L1040" s="224"/>
      <c r="M1040" s="102"/>
      <c r="N1040" s="102"/>
      <c r="O1040" s="224"/>
      <c r="P1040" s="102"/>
      <c r="Q1040" s="102"/>
      <c r="R1040" s="102"/>
      <c r="S1040" s="225"/>
      <c r="T1040" s="226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</row>
    <row r="1041" spans="1:36" ht="15.75" customHeight="1">
      <c r="A1041" s="4"/>
      <c r="B1041" s="4"/>
      <c r="C1041" s="4"/>
      <c r="D1041" s="224"/>
      <c r="E1041" s="102"/>
      <c r="F1041" s="102"/>
      <c r="G1041" s="102"/>
      <c r="H1041" s="102"/>
      <c r="I1041" s="102"/>
      <c r="J1041" s="102"/>
      <c r="K1041" s="102"/>
      <c r="L1041" s="224"/>
      <c r="M1041" s="102"/>
      <c r="N1041" s="102"/>
      <c r="O1041" s="224"/>
      <c r="P1041" s="102"/>
      <c r="Q1041" s="102"/>
      <c r="R1041" s="102"/>
      <c r="S1041" s="225"/>
      <c r="T1041" s="226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</row>
    <row r="1042" spans="1:36" ht="15.75" customHeight="1">
      <c r="A1042" s="4"/>
      <c r="B1042" s="4"/>
      <c r="C1042" s="4"/>
      <c r="D1042" s="224"/>
      <c r="E1042" s="102"/>
      <c r="F1042" s="102"/>
      <c r="G1042" s="102"/>
      <c r="H1042" s="102"/>
      <c r="I1042" s="102"/>
      <c r="J1042" s="102"/>
      <c r="K1042" s="102"/>
      <c r="L1042" s="224"/>
      <c r="M1042" s="102"/>
      <c r="N1042" s="102"/>
      <c r="O1042" s="224"/>
      <c r="P1042" s="102"/>
      <c r="Q1042" s="102"/>
      <c r="R1042" s="102"/>
      <c r="S1042" s="225"/>
      <c r="T1042" s="226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</row>
    <row r="1043" spans="1:36" ht="15.75" customHeight="1">
      <c r="A1043" s="4"/>
      <c r="B1043" s="4"/>
      <c r="C1043" s="4"/>
      <c r="D1043" s="224"/>
      <c r="E1043" s="102"/>
      <c r="F1043" s="102"/>
      <c r="G1043" s="102"/>
      <c r="H1043" s="102"/>
      <c r="I1043" s="102"/>
      <c r="J1043" s="102"/>
      <c r="K1043" s="102"/>
      <c r="L1043" s="224"/>
      <c r="M1043" s="102"/>
      <c r="N1043" s="102"/>
      <c r="O1043" s="224"/>
      <c r="P1043" s="102"/>
      <c r="Q1043" s="102"/>
      <c r="R1043" s="102"/>
      <c r="S1043" s="225"/>
      <c r="T1043" s="226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</row>
    <row r="1044" spans="1:36" ht="15.75" customHeight="1">
      <c r="A1044" s="4"/>
      <c r="B1044" s="4"/>
      <c r="C1044" s="4"/>
      <c r="D1044" s="224"/>
      <c r="E1044" s="102"/>
      <c r="F1044" s="102"/>
      <c r="G1044" s="102"/>
      <c r="H1044" s="102"/>
      <c r="I1044" s="102"/>
      <c r="J1044" s="102"/>
      <c r="K1044" s="102"/>
      <c r="L1044" s="224"/>
      <c r="M1044" s="102"/>
      <c r="N1044" s="102"/>
      <c r="O1044" s="224"/>
      <c r="P1044" s="102"/>
      <c r="Q1044" s="102"/>
      <c r="R1044" s="102"/>
      <c r="S1044" s="225"/>
      <c r="T1044" s="226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</row>
    <row r="1045" spans="1:36" ht="15.75" customHeight="1">
      <c r="A1045" s="4"/>
      <c r="B1045" s="4"/>
      <c r="C1045" s="4"/>
      <c r="D1045" s="224"/>
      <c r="E1045" s="102"/>
      <c r="F1045" s="102"/>
      <c r="G1045" s="102"/>
      <c r="H1045" s="102"/>
      <c r="I1045" s="102"/>
      <c r="J1045" s="102"/>
      <c r="K1045" s="102"/>
      <c r="L1045" s="224"/>
      <c r="M1045" s="102"/>
      <c r="N1045" s="102"/>
      <c r="O1045" s="224"/>
      <c r="P1045" s="102"/>
      <c r="Q1045" s="102"/>
      <c r="R1045" s="102"/>
      <c r="S1045" s="225"/>
      <c r="T1045" s="226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</row>
    <row r="1046" spans="1:36" ht="15.75" customHeight="1">
      <c r="A1046" s="4"/>
      <c r="B1046" s="4"/>
      <c r="C1046" s="4"/>
      <c r="D1046" s="224"/>
      <c r="E1046" s="102"/>
      <c r="F1046" s="102"/>
      <c r="G1046" s="102"/>
      <c r="H1046" s="102"/>
      <c r="I1046" s="102"/>
      <c r="J1046" s="102"/>
      <c r="K1046" s="102"/>
      <c r="L1046" s="224"/>
      <c r="M1046" s="102"/>
      <c r="N1046" s="102"/>
      <c r="O1046" s="224"/>
      <c r="P1046" s="102"/>
      <c r="Q1046" s="102"/>
      <c r="R1046" s="102"/>
      <c r="S1046" s="225"/>
      <c r="T1046" s="226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</row>
    <row r="1047" spans="1:36" ht="15.75" customHeight="1">
      <c r="A1047" s="4"/>
      <c r="B1047" s="4"/>
      <c r="C1047" s="4"/>
      <c r="D1047" s="224"/>
      <c r="E1047" s="102"/>
      <c r="F1047" s="102"/>
      <c r="G1047" s="102"/>
      <c r="H1047" s="102"/>
      <c r="I1047" s="102"/>
      <c r="J1047" s="102"/>
      <c r="K1047" s="102"/>
      <c r="L1047" s="224"/>
      <c r="M1047" s="102"/>
      <c r="N1047" s="102"/>
      <c r="O1047" s="224"/>
      <c r="P1047" s="102"/>
      <c r="Q1047" s="102"/>
      <c r="R1047" s="102"/>
      <c r="S1047" s="225"/>
      <c r="T1047" s="226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</row>
    <row r="1048" spans="1:36" ht="15.75" customHeight="1">
      <c r="A1048" s="4"/>
      <c r="B1048" s="4"/>
      <c r="C1048" s="4"/>
      <c r="D1048" s="224"/>
      <c r="E1048" s="102"/>
      <c r="F1048" s="102"/>
      <c r="G1048" s="102"/>
      <c r="H1048" s="102"/>
      <c r="I1048" s="102"/>
      <c r="J1048" s="102"/>
      <c r="K1048" s="102"/>
      <c r="L1048" s="224"/>
      <c r="M1048" s="102"/>
      <c r="N1048" s="102"/>
      <c r="O1048" s="224"/>
      <c r="P1048" s="102"/>
      <c r="Q1048" s="102"/>
      <c r="R1048" s="102"/>
      <c r="S1048" s="225"/>
      <c r="T1048" s="226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</row>
    <row r="1049" spans="1:36" ht="15.75" customHeight="1">
      <c r="A1049" s="4"/>
      <c r="B1049" s="4"/>
      <c r="C1049" s="4"/>
      <c r="D1049" s="224"/>
      <c r="E1049" s="102"/>
      <c r="F1049" s="102"/>
      <c r="G1049" s="102"/>
      <c r="H1049" s="102"/>
      <c r="I1049" s="102"/>
      <c r="J1049" s="102"/>
      <c r="K1049" s="102"/>
      <c r="L1049" s="224"/>
      <c r="M1049" s="102"/>
      <c r="N1049" s="102"/>
      <c r="O1049" s="224"/>
      <c r="P1049" s="102"/>
      <c r="Q1049" s="102"/>
      <c r="R1049" s="102"/>
      <c r="S1049" s="225"/>
      <c r="T1049" s="226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</row>
    <row r="1050" spans="1:36" ht="15.75" customHeight="1">
      <c r="A1050" s="4"/>
      <c r="B1050" s="4"/>
      <c r="C1050" s="4"/>
      <c r="D1050" s="224"/>
      <c r="E1050" s="102"/>
      <c r="F1050" s="102"/>
      <c r="G1050" s="102"/>
      <c r="H1050" s="102"/>
      <c r="I1050" s="102"/>
      <c r="J1050" s="102"/>
      <c r="K1050" s="102"/>
      <c r="L1050" s="224"/>
      <c r="M1050" s="102"/>
      <c r="N1050" s="102"/>
      <c r="O1050" s="224"/>
      <c r="P1050" s="102"/>
      <c r="Q1050" s="102"/>
      <c r="R1050" s="102"/>
      <c r="S1050" s="225"/>
      <c r="T1050" s="226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</row>
    <row r="1051" spans="1:36" ht="15.75" customHeight="1">
      <c r="A1051" s="4"/>
      <c r="B1051" s="4"/>
      <c r="C1051" s="4"/>
      <c r="D1051" s="224"/>
      <c r="E1051" s="102"/>
      <c r="F1051" s="102"/>
      <c r="G1051" s="102"/>
      <c r="H1051" s="102"/>
      <c r="I1051" s="102"/>
      <c r="J1051" s="102"/>
      <c r="K1051" s="102"/>
      <c r="L1051" s="224"/>
      <c r="M1051" s="102"/>
      <c r="N1051" s="102"/>
      <c r="O1051" s="224"/>
      <c r="P1051" s="102"/>
      <c r="Q1051" s="102"/>
      <c r="R1051" s="102"/>
      <c r="S1051" s="225"/>
      <c r="T1051" s="226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</row>
    <row r="1052" spans="1:36" ht="15.75" customHeight="1">
      <c r="A1052" s="4"/>
      <c r="B1052" s="4"/>
      <c r="C1052" s="4"/>
      <c r="D1052" s="224"/>
      <c r="E1052" s="102"/>
      <c r="F1052" s="102"/>
      <c r="G1052" s="102"/>
      <c r="H1052" s="102"/>
      <c r="I1052" s="102"/>
      <c r="J1052" s="102"/>
      <c r="K1052" s="102"/>
      <c r="L1052" s="224"/>
      <c r="M1052" s="102"/>
      <c r="N1052" s="102"/>
      <c r="O1052" s="224"/>
      <c r="P1052" s="102"/>
      <c r="Q1052" s="102"/>
      <c r="R1052" s="102"/>
      <c r="S1052" s="225"/>
      <c r="T1052" s="226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</row>
    <row r="1053" spans="1:36" ht="15.75" customHeight="1">
      <c r="A1053" s="4"/>
      <c r="B1053" s="4"/>
      <c r="C1053" s="4"/>
      <c r="D1053" s="224"/>
      <c r="E1053" s="102"/>
      <c r="F1053" s="102"/>
      <c r="G1053" s="102"/>
      <c r="H1053" s="102"/>
      <c r="I1053" s="102"/>
      <c r="J1053" s="102"/>
      <c r="K1053" s="102"/>
      <c r="L1053" s="224"/>
      <c r="M1053" s="102"/>
      <c r="N1053" s="102"/>
      <c r="O1053" s="224"/>
      <c r="P1053" s="102"/>
      <c r="Q1053" s="102"/>
      <c r="R1053" s="102"/>
      <c r="S1053" s="225"/>
      <c r="T1053" s="226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</row>
    <row r="1054" spans="1:36" ht="15.75" customHeight="1">
      <c r="A1054" s="4"/>
      <c r="B1054" s="4"/>
      <c r="C1054" s="4"/>
      <c r="D1054" s="224"/>
      <c r="E1054" s="102"/>
      <c r="F1054" s="102"/>
      <c r="G1054" s="102"/>
      <c r="H1054" s="102"/>
      <c r="I1054" s="102"/>
      <c r="J1054" s="102"/>
      <c r="K1054" s="102"/>
      <c r="L1054" s="224"/>
      <c r="M1054" s="102"/>
      <c r="N1054" s="102"/>
      <c r="O1054" s="224"/>
      <c r="P1054" s="102"/>
      <c r="Q1054" s="102"/>
      <c r="R1054" s="102"/>
      <c r="S1054" s="225"/>
      <c r="T1054" s="226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</row>
    <row r="1055" spans="1:36" ht="15.75" customHeight="1">
      <c r="A1055" s="4"/>
      <c r="B1055" s="4"/>
      <c r="C1055" s="4"/>
      <c r="D1055" s="224"/>
      <c r="E1055" s="102"/>
      <c r="F1055" s="102"/>
      <c r="G1055" s="102"/>
      <c r="H1055" s="102"/>
      <c r="I1055" s="102"/>
      <c r="J1055" s="102"/>
      <c r="K1055" s="102"/>
      <c r="L1055" s="224"/>
      <c r="M1055" s="102"/>
      <c r="N1055" s="102"/>
      <c r="O1055" s="224"/>
      <c r="P1055" s="102"/>
      <c r="Q1055" s="102"/>
      <c r="R1055" s="102"/>
      <c r="S1055" s="225"/>
      <c r="T1055" s="226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</row>
    <row r="1056" spans="1:36" ht="15.75" customHeight="1">
      <c r="A1056" s="4"/>
      <c r="B1056" s="4"/>
      <c r="C1056" s="4"/>
      <c r="D1056" s="224"/>
      <c r="E1056" s="102"/>
      <c r="F1056" s="102"/>
      <c r="G1056" s="102"/>
      <c r="H1056" s="102"/>
      <c r="I1056" s="102"/>
      <c r="J1056" s="102"/>
      <c r="K1056" s="102"/>
      <c r="L1056" s="224"/>
      <c r="M1056" s="102"/>
      <c r="N1056" s="102"/>
      <c r="O1056" s="224"/>
      <c r="P1056" s="102"/>
      <c r="Q1056" s="102"/>
      <c r="R1056" s="102"/>
      <c r="S1056" s="225"/>
      <c r="T1056" s="226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</row>
    <row r="1057" spans="1:36" ht="15.75" customHeight="1">
      <c r="A1057" s="4"/>
      <c r="B1057" s="4"/>
      <c r="C1057" s="4"/>
      <c r="D1057" s="224"/>
      <c r="E1057" s="102"/>
      <c r="F1057" s="102"/>
      <c r="G1057" s="102"/>
      <c r="H1057" s="102"/>
      <c r="I1057" s="102"/>
      <c r="J1057" s="102"/>
      <c r="K1057" s="102"/>
      <c r="L1057" s="224"/>
      <c r="M1057" s="102"/>
      <c r="N1057" s="102"/>
      <c r="O1057" s="224"/>
      <c r="P1057" s="102"/>
      <c r="Q1057" s="102"/>
      <c r="R1057" s="102"/>
      <c r="S1057" s="225"/>
      <c r="T1057" s="226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</row>
    <row r="1058" spans="1:36" ht="15.75" customHeight="1">
      <c r="A1058" s="4"/>
      <c r="B1058" s="4"/>
      <c r="C1058" s="4"/>
      <c r="D1058" s="224"/>
      <c r="E1058" s="102"/>
      <c r="F1058" s="102"/>
      <c r="G1058" s="102"/>
      <c r="H1058" s="102"/>
      <c r="I1058" s="102"/>
      <c r="J1058" s="102"/>
      <c r="K1058" s="102"/>
      <c r="L1058" s="224"/>
      <c r="M1058" s="102"/>
      <c r="N1058" s="102"/>
      <c r="O1058" s="224"/>
      <c r="P1058" s="102"/>
      <c r="Q1058" s="102"/>
      <c r="R1058" s="102"/>
      <c r="S1058" s="225"/>
      <c r="T1058" s="226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</row>
    <row r="1059" spans="1:36" ht="15.75" customHeight="1">
      <c r="A1059" s="4"/>
      <c r="B1059" s="4"/>
      <c r="C1059" s="4"/>
      <c r="D1059" s="224"/>
      <c r="E1059" s="102"/>
      <c r="F1059" s="102"/>
      <c r="G1059" s="102"/>
      <c r="H1059" s="102"/>
      <c r="I1059" s="102"/>
      <c r="J1059" s="102"/>
      <c r="K1059" s="102"/>
      <c r="L1059" s="224"/>
      <c r="M1059" s="102"/>
      <c r="N1059" s="102"/>
      <c r="O1059" s="224"/>
      <c r="P1059" s="102"/>
      <c r="Q1059" s="102"/>
      <c r="R1059" s="102"/>
      <c r="S1059" s="225"/>
      <c r="T1059" s="226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</row>
    <row r="1060" spans="1:36" ht="15.75" customHeight="1">
      <c r="A1060" s="4"/>
      <c r="B1060" s="4"/>
      <c r="C1060" s="4"/>
      <c r="D1060" s="224"/>
      <c r="E1060" s="102"/>
      <c r="F1060" s="102"/>
      <c r="G1060" s="102"/>
      <c r="H1060" s="102"/>
      <c r="I1060" s="102"/>
      <c r="J1060" s="102"/>
      <c r="K1060" s="102"/>
      <c r="L1060" s="224"/>
      <c r="M1060" s="102"/>
      <c r="N1060" s="102"/>
      <c r="O1060" s="224"/>
      <c r="P1060" s="102"/>
      <c r="Q1060" s="102"/>
      <c r="R1060" s="102"/>
      <c r="S1060" s="225"/>
      <c r="T1060" s="226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</row>
    <row r="1061" spans="1:36" ht="15.75" customHeight="1">
      <c r="A1061" s="4"/>
      <c r="B1061" s="4"/>
      <c r="C1061" s="4"/>
      <c r="D1061" s="224"/>
      <c r="E1061" s="102"/>
      <c r="F1061" s="102"/>
      <c r="G1061" s="102"/>
      <c r="H1061" s="102"/>
      <c r="I1061" s="102"/>
      <c r="J1061" s="102"/>
      <c r="K1061" s="102"/>
      <c r="L1061" s="224"/>
      <c r="M1061" s="102"/>
      <c r="N1061" s="102"/>
      <c r="O1061" s="224"/>
      <c r="P1061" s="102"/>
      <c r="Q1061" s="102"/>
      <c r="R1061" s="102"/>
      <c r="S1061" s="225"/>
      <c r="T1061" s="226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</row>
    <row r="1062" spans="1:36" ht="15.75" customHeight="1">
      <c r="A1062" s="4"/>
      <c r="B1062" s="4"/>
      <c r="C1062" s="4"/>
      <c r="D1062" s="224"/>
      <c r="E1062" s="102"/>
      <c r="F1062" s="102"/>
      <c r="G1062" s="102"/>
      <c r="H1062" s="102"/>
      <c r="I1062" s="102"/>
      <c r="J1062" s="102"/>
      <c r="K1062" s="102"/>
      <c r="L1062" s="224"/>
      <c r="M1062" s="102"/>
      <c r="N1062" s="102"/>
      <c r="O1062" s="224"/>
      <c r="P1062" s="102"/>
      <c r="Q1062" s="102"/>
      <c r="R1062" s="102"/>
      <c r="S1062" s="225"/>
      <c r="T1062" s="226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</row>
    <row r="1063" spans="1:36" ht="15.75" customHeight="1">
      <c r="A1063" s="4"/>
      <c r="B1063" s="4"/>
      <c r="C1063" s="4"/>
      <c r="D1063" s="224"/>
      <c r="E1063" s="102"/>
      <c r="F1063" s="102"/>
      <c r="G1063" s="102"/>
      <c r="H1063" s="102"/>
      <c r="I1063" s="102"/>
      <c r="J1063" s="102"/>
      <c r="K1063" s="102"/>
      <c r="L1063" s="224"/>
      <c r="M1063" s="102"/>
      <c r="N1063" s="102"/>
      <c r="O1063" s="224"/>
      <c r="P1063" s="102"/>
      <c r="Q1063" s="102"/>
      <c r="R1063" s="102"/>
      <c r="S1063" s="225"/>
      <c r="T1063" s="226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</row>
    <row r="1064" spans="1:36" ht="15.75" customHeight="1">
      <c r="A1064" s="4"/>
      <c r="B1064" s="4"/>
      <c r="C1064" s="4"/>
      <c r="D1064" s="224"/>
      <c r="E1064" s="102"/>
      <c r="F1064" s="102"/>
      <c r="G1064" s="102"/>
      <c r="H1064" s="102"/>
      <c r="I1064" s="102"/>
      <c r="J1064" s="102"/>
      <c r="K1064" s="102"/>
      <c r="L1064" s="224"/>
      <c r="M1064" s="102"/>
      <c r="N1064" s="102"/>
      <c r="O1064" s="224"/>
      <c r="P1064" s="102"/>
      <c r="Q1064" s="102"/>
      <c r="R1064" s="102"/>
      <c r="S1064" s="225"/>
      <c r="T1064" s="226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</row>
    <row r="1065" spans="1:36" ht="15.75" customHeight="1">
      <c r="A1065" s="4"/>
      <c r="B1065" s="4"/>
      <c r="C1065" s="4"/>
      <c r="D1065" s="224"/>
      <c r="E1065" s="102"/>
      <c r="F1065" s="102"/>
      <c r="G1065" s="102"/>
      <c r="H1065" s="102"/>
      <c r="I1065" s="102"/>
      <c r="J1065" s="102"/>
      <c r="K1065" s="102"/>
      <c r="L1065" s="224"/>
      <c r="M1065" s="102"/>
      <c r="N1065" s="102"/>
      <c r="O1065" s="224"/>
      <c r="P1065" s="102"/>
      <c r="Q1065" s="102"/>
      <c r="R1065" s="102"/>
      <c r="S1065" s="225"/>
      <c r="T1065" s="226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</row>
    <row r="1066" spans="1:36" ht="15.75" customHeight="1">
      <c r="A1066" s="4"/>
      <c r="B1066" s="4"/>
      <c r="C1066" s="4"/>
      <c r="D1066" s="224"/>
      <c r="E1066" s="102"/>
      <c r="F1066" s="102"/>
      <c r="G1066" s="102"/>
      <c r="H1066" s="102"/>
      <c r="I1066" s="102"/>
      <c r="J1066" s="102"/>
      <c r="K1066" s="102"/>
      <c r="L1066" s="224"/>
      <c r="M1066" s="102"/>
      <c r="N1066" s="102"/>
      <c r="O1066" s="224"/>
      <c r="P1066" s="102"/>
      <c r="Q1066" s="102"/>
      <c r="R1066" s="102"/>
      <c r="S1066" s="225"/>
      <c r="T1066" s="226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</row>
    <row r="1067" spans="1:36" ht="15.75" customHeight="1">
      <c r="A1067" s="4"/>
      <c r="B1067" s="4"/>
      <c r="C1067" s="4"/>
      <c r="D1067" s="224"/>
      <c r="E1067" s="102"/>
      <c r="F1067" s="102"/>
      <c r="G1067" s="102"/>
      <c r="H1067" s="102"/>
      <c r="I1067" s="102"/>
      <c r="J1067" s="102"/>
      <c r="K1067" s="102"/>
      <c r="L1067" s="224"/>
      <c r="M1067" s="102"/>
      <c r="N1067" s="102"/>
      <c r="O1067" s="224"/>
      <c r="P1067" s="102"/>
      <c r="Q1067" s="102"/>
      <c r="R1067" s="102"/>
      <c r="S1067" s="225"/>
      <c r="T1067" s="226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</row>
    <row r="1068" spans="1:36" ht="15.75" customHeight="1">
      <c r="A1068" s="4"/>
      <c r="B1068" s="4"/>
      <c r="C1068" s="4"/>
      <c r="D1068" s="224"/>
      <c r="E1068" s="102"/>
      <c r="F1068" s="102"/>
      <c r="G1068" s="102"/>
      <c r="H1068" s="102"/>
      <c r="I1068" s="102"/>
      <c r="J1068" s="102"/>
      <c r="K1068" s="102"/>
      <c r="L1068" s="224"/>
      <c r="M1068" s="102"/>
      <c r="N1068" s="102"/>
      <c r="O1068" s="224"/>
      <c r="P1068" s="102"/>
      <c r="Q1068" s="102"/>
      <c r="R1068" s="102"/>
      <c r="S1068" s="225"/>
      <c r="T1068" s="226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</row>
    <row r="1069" spans="1:36" ht="15.75" customHeight="1">
      <c r="A1069" s="4"/>
      <c r="B1069" s="4"/>
      <c r="C1069" s="4"/>
      <c r="D1069" s="224"/>
      <c r="E1069" s="102"/>
      <c r="F1069" s="102"/>
      <c r="G1069" s="102"/>
      <c r="H1069" s="102"/>
      <c r="I1069" s="102"/>
      <c r="J1069" s="102"/>
      <c r="K1069" s="102"/>
      <c r="L1069" s="224"/>
      <c r="M1069" s="102"/>
      <c r="N1069" s="102"/>
      <c r="O1069" s="224"/>
      <c r="P1069" s="102"/>
      <c r="Q1069" s="102"/>
      <c r="R1069" s="102"/>
      <c r="S1069" s="225"/>
      <c r="T1069" s="226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</row>
    <row r="1070" spans="1:36" ht="15.75" customHeight="1">
      <c r="A1070" s="4"/>
      <c r="B1070" s="4"/>
      <c r="C1070" s="4"/>
      <c r="D1070" s="224"/>
      <c r="E1070" s="102"/>
      <c r="F1070" s="102"/>
      <c r="G1070" s="102"/>
      <c r="H1070" s="102"/>
      <c r="I1070" s="102"/>
      <c r="J1070" s="102"/>
      <c r="K1070" s="102"/>
      <c r="L1070" s="224"/>
      <c r="M1070" s="102"/>
      <c r="N1070" s="102"/>
      <c r="O1070" s="224"/>
      <c r="P1070" s="102"/>
      <c r="Q1070" s="102"/>
      <c r="R1070" s="102"/>
      <c r="S1070" s="225"/>
      <c r="T1070" s="226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</row>
    <row r="1071" spans="1:36" ht="15.75" customHeight="1">
      <c r="A1071" s="4"/>
      <c r="B1071" s="4"/>
      <c r="C1071" s="4"/>
      <c r="D1071" s="224"/>
      <c r="E1071" s="102"/>
      <c r="F1071" s="102"/>
      <c r="G1071" s="102"/>
      <c r="H1071" s="102"/>
      <c r="I1071" s="102"/>
      <c r="J1071" s="102"/>
      <c r="K1071" s="102"/>
      <c r="L1071" s="224"/>
      <c r="M1071" s="102"/>
      <c r="N1071" s="102"/>
      <c r="O1071" s="224"/>
      <c r="P1071" s="102"/>
      <c r="Q1071" s="102"/>
      <c r="R1071" s="102"/>
      <c r="S1071" s="225"/>
      <c r="T1071" s="226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</row>
    <row r="1072" spans="1:36" ht="15.75" customHeight="1">
      <c r="A1072" s="4"/>
      <c r="B1072" s="4"/>
      <c r="C1072" s="4"/>
      <c r="D1072" s="224"/>
      <c r="E1072" s="102"/>
      <c r="F1072" s="102"/>
      <c r="G1072" s="102"/>
      <c r="H1072" s="102"/>
      <c r="I1072" s="102"/>
      <c r="J1072" s="102"/>
      <c r="K1072" s="102"/>
      <c r="L1072" s="224"/>
      <c r="M1072" s="102"/>
      <c r="N1072" s="102"/>
      <c r="O1072" s="224"/>
      <c r="P1072" s="102"/>
      <c r="Q1072" s="102"/>
      <c r="R1072" s="102"/>
      <c r="S1072" s="225"/>
      <c r="T1072" s="226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</row>
    <row r="1073" spans="1:36" ht="15.75" customHeight="1">
      <c r="A1073" s="4"/>
      <c r="B1073" s="4"/>
      <c r="C1073" s="4"/>
      <c r="D1073" s="224"/>
      <c r="E1073" s="102"/>
      <c r="F1073" s="102"/>
      <c r="G1073" s="102"/>
      <c r="H1073" s="102"/>
      <c r="I1073" s="102"/>
      <c r="J1073" s="102"/>
      <c r="K1073" s="102"/>
      <c r="L1073" s="224"/>
      <c r="M1073" s="102"/>
      <c r="N1073" s="102"/>
      <c r="O1073" s="224"/>
      <c r="P1073" s="102"/>
      <c r="Q1073" s="102"/>
      <c r="R1073" s="102"/>
      <c r="S1073" s="225"/>
      <c r="T1073" s="226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</row>
    <row r="1074" spans="1:36" ht="15.75" customHeight="1">
      <c r="A1074" s="4"/>
      <c r="B1074" s="4"/>
      <c r="C1074" s="4"/>
      <c r="D1074" s="224"/>
      <c r="E1074" s="102"/>
      <c r="F1074" s="102"/>
      <c r="G1074" s="102"/>
      <c r="H1074" s="102"/>
      <c r="I1074" s="102"/>
      <c r="J1074" s="102"/>
      <c r="K1074" s="102"/>
      <c r="L1074" s="224"/>
      <c r="M1074" s="102"/>
      <c r="N1074" s="102"/>
      <c r="O1074" s="224"/>
      <c r="P1074" s="102"/>
      <c r="Q1074" s="102"/>
      <c r="R1074" s="102"/>
      <c r="S1074" s="225"/>
      <c r="T1074" s="226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</row>
    <row r="1075" spans="1:36" ht="15.75" customHeight="1">
      <c r="A1075" s="4"/>
      <c r="B1075" s="4"/>
      <c r="C1075" s="4"/>
      <c r="D1075" s="224"/>
      <c r="E1075" s="102"/>
      <c r="F1075" s="102"/>
      <c r="G1075" s="102"/>
      <c r="H1075" s="102"/>
      <c r="I1075" s="102"/>
      <c r="J1075" s="102"/>
      <c r="K1075" s="102"/>
      <c r="L1075" s="224"/>
      <c r="M1075" s="102"/>
      <c r="N1075" s="102"/>
      <c r="O1075" s="224"/>
      <c r="P1075" s="102"/>
      <c r="Q1075" s="102"/>
      <c r="R1075" s="102"/>
      <c r="S1075" s="225"/>
      <c r="T1075" s="226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</row>
    <row r="1076" spans="1:36" ht="15.75" customHeight="1">
      <c r="A1076" s="4"/>
      <c r="B1076" s="4"/>
      <c r="C1076" s="4"/>
      <c r="D1076" s="224"/>
      <c r="E1076" s="102"/>
      <c r="F1076" s="102"/>
      <c r="G1076" s="102"/>
      <c r="H1076" s="102"/>
      <c r="I1076" s="102"/>
      <c r="J1076" s="102"/>
      <c r="K1076" s="102"/>
      <c r="L1076" s="224"/>
      <c r="M1076" s="102"/>
      <c r="N1076" s="102"/>
      <c r="O1076" s="224"/>
      <c r="P1076" s="102"/>
      <c r="Q1076" s="102"/>
      <c r="R1076" s="102"/>
      <c r="S1076" s="225"/>
      <c r="T1076" s="226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</row>
    <row r="1077" spans="1:36" ht="15.75" customHeight="1">
      <c r="A1077" s="4"/>
      <c r="B1077" s="4"/>
      <c r="C1077" s="4"/>
      <c r="D1077" s="224"/>
      <c r="E1077" s="102"/>
      <c r="F1077" s="102"/>
      <c r="G1077" s="102"/>
      <c r="H1077" s="102"/>
      <c r="I1077" s="102"/>
      <c r="J1077" s="102"/>
      <c r="K1077" s="102"/>
      <c r="L1077" s="224"/>
      <c r="M1077" s="102"/>
      <c r="N1077" s="102"/>
      <c r="O1077" s="224"/>
      <c r="P1077" s="102"/>
      <c r="Q1077" s="102"/>
      <c r="R1077" s="102"/>
      <c r="S1077" s="225"/>
      <c r="T1077" s="226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</row>
    <row r="1078" spans="1:36" ht="15.75" customHeight="1">
      <c r="A1078" s="4"/>
      <c r="B1078" s="4"/>
      <c r="C1078" s="4"/>
      <c r="D1078" s="224"/>
      <c r="E1078" s="102"/>
      <c r="F1078" s="102"/>
      <c r="G1078" s="102"/>
      <c r="H1078" s="102"/>
      <c r="I1078" s="102"/>
      <c r="J1078" s="102"/>
      <c r="K1078" s="102"/>
      <c r="L1078" s="224"/>
      <c r="M1078" s="102"/>
      <c r="N1078" s="102"/>
      <c r="O1078" s="224"/>
      <c r="P1078" s="102"/>
      <c r="Q1078" s="102"/>
      <c r="R1078" s="102"/>
      <c r="S1078" s="225"/>
      <c r="T1078" s="226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</row>
    <row r="1079" spans="1:36" ht="15.75" customHeight="1">
      <c r="A1079" s="4"/>
      <c r="B1079" s="4"/>
      <c r="C1079" s="4"/>
      <c r="D1079" s="224"/>
      <c r="E1079" s="102"/>
      <c r="F1079" s="102"/>
      <c r="G1079" s="102"/>
      <c r="H1079" s="102"/>
      <c r="I1079" s="102"/>
      <c r="J1079" s="102"/>
      <c r="K1079" s="102"/>
      <c r="L1079" s="224"/>
      <c r="M1079" s="102"/>
      <c r="N1079" s="102"/>
      <c r="O1079" s="224"/>
      <c r="P1079" s="102"/>
      <c r="Q1079" s="102"/>
      <c r="R1079" s="102"/>
      <c r="S1079" s="225"/>
      <c r="T1079" s="226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</row>
    <row r="1080" spans="1:36" ht="15.75" customHeight="1">
      <c r="A1080" s="4"/>
      <c r="B1080" s="4"/>
      <c r="C1080" s="4"/>
      <c r="D1080" s="224"/>
      <c r="E1080" s="102"/>
      <c r="F1080" s="102"/>
      <c r="G1080" s="102"/>
      <c r="H1080" s="102"/>
      <c r="I1080" s="102"/>
      <c r="J1080" s="102"/>
      <c r="K1080" s="102"/>
      <c r="L1080" s="224"/>
      <c r="M1080" s="102"/>
      <c r="N1080" s="102"/>
      <c r="O1080" s="224"/>
      <c r="P1080" s="102"/>
      <c r="Q1080" s="102"/>
      <c r="R1080" s="102"/>
      <c r="S1080" s="225"/>
      <c r="T1080" s="226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</row>
    <row r="1081" spans="1:36" ht="15.75" customHeight="1">
      <c r="A1081" s="4"/>
      <c r="B1081" s="4"/>
      <c r="C1081" s="4"/>
      <c r="D1081" s="224"/>
      <c r="E1081" s="102"/>
      <c r="F1081" s="102"/>
      <c r="G1081" s="102"/>
      <c r="H1081" s="102"/>
      <c r="I1081" s="102"/>
      <c r="J1081" s="102"/>
      <c r="K1081" s="102"/>
      <c r="L1081" s="224"/>
      <c r="M1081" s="102"/>
      <c r="N1081" s="102"/>
      <c r="O1081" s="224"/>
      <c r="P1081" s="102"/>
      <c r="Q1081" s="102"/>
      <c r="R1081" s="102"/>
      <c r="S1081" s="225"/>
      <c r="T1081" s="226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</row>
    <row r="1082" spans="1:36" ht="15.75" customHeight="1">
      <c r="A1082" s="4"/>
      <c r="B1082" s="4"/>
      <c r="C1082" s="4"/>
      <c r="D1082" s="224"/>
      <c r="E1082" s="102"/>
      <c r="F1082" s="102"/>
      <c r="G1082" s="102"/>
      <c r="H1082" s="102"/>
      <c r="I1082" s="102"/>
      <c r="J1082" s="102"/>
      <c r="K1082" s="102"/>
      <c r="L1082" s="224"/>
      <c r="M1082" s="102"/>
      <c r="N1082" s="102"/>
      <c r="O1082" s="224"/>
      <c r="P1082" s="102"/>
      <c r="Q1082" s="102"/>
      <c r="R1082" s="102"/>
      <c r="S1082" s="225"/>
      <c r="T1082" s="226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</row>
    <row r="1083" spans="1:36" ht="15.75" customHeight="1">
      <c r="A1083" s="4"/>
      <c r="B1083" s="4"/>
      <c r="C1083" s="4"/>
      <c r="D1083" s="224"/>
      <c r="E1083" s="102"/>
      <c r="F1083" s="102"/>
      <c r="G1083" s="102"/>
      <c r="H1083" s="102"/>
      <c r="I1083" s="102"/>
      <c r="J1083" s="102"/>
      <c r="K1083" s="102"/>
      <c r="L1083" s="224"/>
      <c r="M1083" s="102"/>
      <c r="N1083" s="102"/>
      <c r="O1083" s="224"/>
      <c r="P1083" s="102"/>
      <c r="Q1083" s="102"/>
      <c r="R1083" s="102"/>
      <c r="S1083" s="225"/>
      <c r="T1083" s="226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</row>
    <row r="1084" spans="1:36" ht="15.75" customHeight="1">
      <c r="A1084" s="4"/>
      <c r="B1084" s="4"/>
      <c r="C1084" s="4"/>
      <c r="D1084" s="224"/>
      <c r="E1084" s="102"/>
      <c r="F1084" s="102"/>
      <c r="G1084" s="102"/>
      <c r="H1084" s="102"/>
      <c r="I1084" s="102"/>
      <c r="J1084" s="102"/>
      <c r="K1084" s="102"/>
      <c r="L1084" s="224"/>
      <c r="M1084" s="102"/>
      <c r="N1084" s="102"/>
      <c r="O1084" s="224"/>
      <c r="P1084" s="102"/>
      <c r="Q1084" s="102"/>
      <c r="R1084" s="102"/>
      <c r="S1084" s="225"/>
      <c r="T1084" s="226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</row>
    <row r="1085" spans="1:36" ht="15.75" customHeight="1">
      <c r="A1085" s="4"/>
      <c r="B1085" s="4"/>
      <c r="C1085" s="4"/>
      <c r="D1085" s="224"/>
      <c r="E1085" s="102"/>
      <c r="F1085" s="102"/>
      <c r="G1085" s="102"/>
      <c r="H1085" s="102"/>
      <c r="I1085" s="102"/>
      <c r="J1085" s="102"/>
      <c r="K1085" s="102"/>
      <c r="L1085" s="224"/>
      <c r="M1085" s="102"/>
      <c r="N1085" s="102"/>
      <c r="O1085" s="224"/>
      <c r="P1085" s="102"/>
      <c r="Q1085" s="102"/>
      <c r="R1085" s="102"/>
      <c r="S1085" s="225"/>
      <c r="T1085" s="226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</row>
    <row r="1086" spans="1:36" ht="15.75" customHeight="1">
      <c r="A1086" s="4"/>
      <c r="B1086" s="4"/>
      <c r="C1086" s="4"/>
      <c r="D1086" s="224"/>
      <c r="E1086" s="102"/>
      <c r="F1086" s="102"/>
      <c r="G1086" s="102"/>
      <c r="H1086" s="102"/>
      <c r="I1086" s="102"/>
      <c r="J1086" s="102"/>
      <c r="K1086" s="102"/>
      <c r="L1086" s="224"/>
      <c r="M1086" s="102"/>
      <c r="N1086" s="102"/>
      <c r="O1086" s="224"/>
      <c r="P1086" s="102"/>
      <c r="Q1086" s="102"/>
      <c r="R1086" s="102"/>
      <c r="S1086" s="225"/>
      <c r="T1086" s="226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</row>
    <row r="1087" spans="1:36" ht="15.75" customHeight="1">
      <c r="A1087" s="4"/>
      <c r="B1087" s="4"/>
      <c r="C1087" s="4"/>
      <c r="D1087" s="224"/>
      <c r="E1087" s="102"/>
      <c r="F1087" s="102"/>
      <c r="G1087" s="102"/>
      <c r="H1087" s="102"/>
      <c r="I1087" s="102"/>
      <c r="J1087" s="102"/>
      <c r="K1087" s="102"/>
      <c r="L1087" s="224"/>
      <c r="M1087" s="102"/>
      <c r="N1087" s="102"/>
      <c r="O1087" s="224"/>
      <c r="P1087" s="102"/>
      <c r="Q1087" s="102"/>
      <c r="R1087" s="102"/>
      <c r="S1087" s="225"/>
      <c r="T1087" s="226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</row>
    <row r="1088" spans="1:36" ht="15.75" customHeight="1">
      <c r="A1088" s="4"/>
      <c r="B1088" s="4"/>
      <c r="C1088" s="4"/>
      <c r="D1088" s="224"/>
      <c r="E1088" s="102"/>
      <c r="F1088" s="102"/>
      <c r="G1088" s="102"/>
      <c r="H1088" s="102"/>
      <c r="I1088" s="102"/>
      <c r="J1088" s="102"/>
      <c r="K1088" s="102"/>
      <c r="L1088" s="224"/>
      <c r="M1088" s="102"/>
      <c r="N1088" s="102"/>
      <c r="O1088" s="224"/>
      <c r="P1088" s="102"/>
      <c r="Q1088" s="102"/>
      <c r="R1088" s="102"/>
      <c r="S1088" s="225"/>
      <c r="T1088" s="226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</row>
    <row r="1089" spans="1:36" ht="15.75" customHeight="1">
      <c r="A1089" s="4"/>
      <c r="B1089" s="4"/>
      <c r="C1089" s="4"/>
      <c r="D1089" s="224"/>
      <c r="E1089" s="102"/>
      <c r="F1089" s="102"/>
      <c r="G1089" s="102"/>
      <c r="H1089" s="102"/>
      <c r="I1089" s="102"/>
      <c r="J1089" s="102"/>
      <c r="K1089" s="102"/>
      <c r="L1089" s="224"/>
      <c r="M1089" s="102"/>
      <c r="N1089" s="102"/>
      <c r="O1089" s="224"/>
      <c r="P1089" s="102"/>
      <c r="Q1089" s="102"/>
      <c r="R1089" s="102"/>
      <c r="S1089" s="225"/>
      <c r="T1089" s="226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</row>
    <row r="1090" spans="1:36" ht="15.75" customHeight="1">
      <c r="A1090" s="4"/>
      <c r="B1090" s="4"/>
      <c r="C1090" s="4"/>
      <c r="D1090" s="224"/>
      <c r="E1090" s="102"/>
      <c r="F1090" s="102"/>
      <c r="G1090" s="102"/>
      <c r="H1090" s="102"/>
      <c r="I1090" s="102"/>
      <c r="J1090" s="102"/>
      <c r="K1090" s="102"/>
      <c r="L1090" s="224"/>
      <c r="M1090" s="102"/>
      <c r="N1090" s="102"/>
      <c r="O1090" s="224"/>
      <c r="P1090" s="102"/>
      <c r="Q1090" s="102"/>
      <c r="R1090" s="102"/>
      <c r="S1090" s="225"/>
      <c r="T1090" s="226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</row>
    <row r="1091" spans="1:36" ht="15.75" customHeight="1">
      <c r="A1091" s="4"/>
      <c r="B1091" s="4"/>
      <c r="C1091" s="4"/>
      <c r="D1091" s="224"/>
      <c r="E1091" s="102"/>
      <c r="F1091" s="102"/>
      <c r="G1091" s="102"/>
      <c r="H1091" s="102"/>
      <c r="I1091" s="102"/>
      <c r="J1091" s="102"/>
      <c r="K1091" s="102"/>
      <c r="L1091" s="224"/>
      <c r="M1091" s="102"/>
      <c r="N1091" s="102"/>
      <c r="O1091" s="224"/>
      <c r="P1091" s="102"/>
      <c r="Q1091" s="102"/>
      <c r="R1091" s="102"/>
      <c r="S1091" s="225"/>
      <c r="T1091" s="226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</row>
    <row r="1092" spans="1:36" ht="15.75" customHeight="1">
      <c r="A1092" s="4"/>
      <c r="B1092" s="4"/>
      <c r="C1092" s="4"/>
      <c r="D1092" s="224"/>
      <c r="E1092" s="102"/>
      <c r="F1092" s="102"/>
      <c r="G1092" s="102"/>
      <c r="H1092" s="102"/>
      <c r="I1092" s="102"/>
      <c r="J1092" s="102"/>
      <c r="K1092" s="102"/>
      <c r="L1092" s="224"/>
      <c r="M1092" s="102"/>
      <c r="N1092" s="102"/>
      <c r="O1092" s="224"/>
      <c r="P1092" s="102"/>
      <c r="Q1092" s="102"/>
      <c r="R1092" s="102"/>
      <c r="S1092" s="225"/>
      <c r="T1092" s="226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</row>
    <row r="1093" spans="1:36" ht="15.75" customHeight="1">
      <c r="A1093" s="4"/>
      <c r="B1093" s="4"/>
      <c r="C1093" s="4"/>
      <c r="D1093" s="224"/>
      <c r="E1093" s="102"/>
      <c r="F1093" s="102"/>
      <c r="G1093" s="102"/>
      <c r="H1093" s="102"/>
      <c r="I1093" s="102"/>
      <c r="J1093" s="102"/>
      <c r="K1093" s="102"/>
      <c r="L1093" s="224"/>
      <c r="M1093" s="102"/>
      <c r="N1093" s="102"/>
      <c r="O1093" s="224"/>
      <c r="P1093" s="102"/>
      <c r="Q1093" s="102"/>
      <c r="R1093" s="102"/>
      <c r="S1093" s="225"/>
      <c r="T1093" s="226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</row>
    <row r="1094" spans="1:36" ht="15.75" customHeight="1">
      <c r="A1094" s="4"/>
      <c r="B1094" s="4"/>
      <c r="C1094" s="4"/>
      <c r="D1094" s="224"/>
      <c r="E1094" s="102"/>
      <c r="F1094" s="102"/>
      <c r="G1094" s="102"/>
      <c r="H1094" s="102"/>
      <c r="I1094" s="102"/>
      <c r="J1094" s="102"/>
      <c r="K1094" s="102"/>
      <c r="L1094" s="224"/>
      <c r="M1094" s="102"/>
      <c r="N1094" s="102"/>
      <c r="O1094" s="224"/>
      <c r="P1094" s="102"/>
      <c r="Q1094" s="102"/>
      <c r="R1094" s="102"/>
      <c r="S1094" s="225"/>
      <c r="T1094" s="226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</row>
    <row r="1095" spans="1:36" ht="15.75" customHeight="1">
      <c r="A1095" s="4"/>
      <c r="B1095" s="4"/>
      <c r="C1095" s="4"/>
      <c r="D1095" s="224"/>
      <c r="E1095" s="102"/>
      <c r="F1095" s="102"/>
      <c r="G1095" s="102"/>
      <c r="H1095" s="102"/>
      <c r="I1095" s="102"/>
      <c r="J1095" s="102"/>
      <c r="K1095" s="102"/>
      <c r="L1095" s="224"/>
      <c r="M1095" s="102"/>
      <c r="N1095" s="102"/>
      <c r="O1095" s="224"/>
      <c r="P1095" s="102"/>
      <c r="Q1095" s="102"/>
      <c r="R1095" s="102"/>
      <c r="S1095" s="225"/>
      <c r="T1095" s="226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</row>
    <row r="1096" spans="1:36" ht="15.75" customHeight="1">
      <c r="A1096" s="4"/>
      <c r="B1096" s="4"/>
      <c r="C1096" s="4"/>
      <c r="D1096" s="224"/>
      <c r="E1096" s="102"/>
      <c r="F1096" s="102"/>
      <c r="G1096" s="102"/>
      <c r="H1096" s="102"/>
      <c r="I1096" s="102"/>
      <c r="J1096" s="102"/>
      <c r="K1096" s="102"/>
      <c r="L1096" s="224"/>
      <c r="M1096" s="102"/>
      <c r="N1096" s="102"/>
      <c r="O1096" s="224"/>
      <c r="P1096" s="102"/>
      <c r="Q1096" s="102"/>
      <c r="R1096" s="102"/>
      <c r="S1096" s="225"/>
      <c r="T1096" s="226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</row>
    <row r="1097" spans="1:36" ht="15.75" customHeight="1">
      <c r="A1097" s="4"/>
      <c r="B1097" s="4"/>
      <c r="C1097" s="4"/>
      <c r="D1097" s="224"/>
      <c r="E1097" s="102"/>
      <c r="F1097" s="102"/>
      <c r="G1097" s="102"/>
      <c r="H1097" s="102"/>
      <c r="I1097" s="102"/>
      <c r="J1097" s="102"/>
      <c r="K1097" s="102"/>
      <c r="L1097" s="224"/>
      <c r="M1097" s="102"/>
      <c r="N1097" s="102"/>
      <c r="O1097" s="224"/>
      <c r="P1097" s="102"/>
      <c r="Q1097" s="102"/>
      <c r="R1097" s="102"/>
      <c r="S1097" s="225"/>
      <c r="T1097" s="226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</row>
    <row r="1098" spans="1:36" ht="15.75" customHeight="1">
      <c r="A1098" s="4"/>
      <c r="B1098" s="4"/>
      <c r="C1098" s="4"/>
      <c r="D1098" s="224"/>
      <c r="E1098" s="102"/>
      <c r="F1098" s="102"/>
      <c r="G1098" s="102"/>
      <c r="H1098" s="102"/>
      <c r="I1098" s="102"/>
      <c r="J1098" s="102"/>
      <c r="K1098" s="102"/>
      <c r="L1098" s="224"/>
      <c r="M1098" s="102"/>
      <c r="N1098" s="102"/>
      <c r="O1098" s="224"/>
      <c r="P1098" s="102"/>
      <c r="Q1098" s="102"/>
      <c r="R1098" s="102"/>
      <c r="S1098" s="225"/>
      <c r="T1098" s="226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</row>
  </sheetData>
  <autoFilter ref="B6:R1051" xr:uid="{00000000-0009-0000-0000-000002000000}"/>
  <mergeCells count="11">
    <mergeCell ref="M4:N4"/>
    <mergeCell ref="O4:O5"/>
    <mergeCell ref="P4:Q4"/>
    <mergeCell ref="R4:R5"/>
    <mergeCell ref="B4:C5"/>
    <mergeCell ref="D4:D5"/>
    <mergeCell ref="E4:F4"/>
    <mergeCell ref="G4:H4"/>
    <mergeCell ref="I4:I5"/>
    <mergeCell ref="J4:K4"/>
    <mergeCell ref="L4:L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/>
  <cols>
    <col min="1" max="1" width="1.5703125" customWidth="1"/>
    <col min="2" max="2" width="7.28515625" customWidth="1"/>
    <col min="3" max="3" width="36.42578125" customWidth="1"/>
    <col min="4" max="4" width="15.42578125" customWidth="1"/>
    <col min="5" max="5" width="5" customWidth="1"/>
    <col min="6" max="6" width="15" customWidth="1"/>
    <col min="7" max="7" width="5" customWidth="1"/>
    <col min="8" max="8" width="16.5703125" customWidth="1"/>
    <col min="9" max="9" width="10.28515625" customWidth="1"/>
    <col min="10" max="14" width="5.140625" customWidth="1"/>
    <col min="15" max="15" width="16" customWidth="1"/>
    <col min="16" max="25" width="14.42578125" customWidth="1"/>
  </cols>
  <sheetData>
    <row r="1" spans="1:25" ht="13.5" customHeight="1">
      <c r="A1" s="110"/>
      <c r="B1" s="351" t="str">
        <f>PL!C1</f>
        <v xml:space="preserve"> PROFIT &amp; LOSS</v>
      </c>
      <c r="C1" s="110"/>
      <c r="D1" s="435"/>
      <c r="E1" s="435"/>
      <c r="F1" s="435"/>
      <c r="G1" s="435"/>
      <c r="H1" s="435"/>
      <c r="I1" s="410"/>
      <c r="J1" s="110"/>
      <c r="K1" s="110"/>
      <c r="L1" s="110"/>
      <c r="M1" s="110"/>
      <c r="N1" s="110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3.5" customHeight="1">
      <c r="A2" s="110"/>
      <c r="B2" s="352" t="str">
        <f>PL!C3</f>
        <v>PT Taman Bintang Bali</v>
      </c>
      <c r="C2" s="110"/>
      <c r="D2" s="435"/>
      <c r="E2" s="435"/>
      <c r="F2" s="435"/>
      <c r="G2" s="435"/>
      <c r="H2" s="435"/>
      <c r="I2" s="410"/>
      <c r="J2" s="110"/>
      <c r="K2" s="110"/>
      <c r="L2" s="110"/>
      <c r="M2" s="110"/>
      <c r="N2" s="110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3.5" customHeight="1">
      <c r="A3" s="4"/>
      <c r="B3" s="489" t="s">
        <v>1</v>
      </c>
      <c r="C3" s="505"/>
      <c r="D3" s="507" t="s">
        <v>5422</v>
      </c>
      <c r="E3" s="508" t="s">
        <v>5423</v>
      </c>
      <c r="F3" s="507" t="s">
        <v>5424</v>
      </c>
      <c r="G3" s="508" t="s">
        <v>5423</v>
      </c>
      <c r="H3" s="509" t="s">
        <v>5425</v>
      </c>
      <c r="I3" s="410"/>
      <c r="J3" s="110"/>
      <c r="K3" s="110"/>
      <c r="L3" s="110"/>
      <c r="M3" s="110"/>
      <c r="N3" s="110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3.5" customHeight="1">
      <c r="A4" s="4"/>
      <c r="B4" s="491"/>
      <c r="C4" s="506"/>
      <c r="D4" s="480"/>
      <c r="E4" s="486"/>
      <c r="F4" s="480"/>
      <c r="G4" s="486"/>
      <c r="H4" s="480"/>
      <c r="I4" s="410"/>
      <c r="J4" s="110"/>
      <c r="K4" s="110"/>
      <c r="L4" s="110"/>
      <c r="M4" s="110"/>
      <c r="N4" s="110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5" customHeight="1">
      <c r="A5" s="351"/>
      <c r="B5" s="415" t="s">
        <v>5252</v>
      </c>
      <c r="C5" s="416" t="s">
        <v>5253</v>
      </c>
      <c r="D5" s="51"/>
      <c r="E5" s="51"/>
      <c r="F5" s="51"/>
      <c r="G5" s="51"/>
      <c r="H5" s="51"/>
      <c r="I5" s="410"/>
      <c r="J5" s="110"/>
      <c r="K5" s="110"/>
      <c r="L5" s="110"/>
      <c r="M5" s="110"/>
      <c r="N5" s="110"/>
      <c r="O5" s="226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5" customHeight="1">
      <c r="A6" s="110"/>
      <c r="B6" s="15" t="s">
        <v>4</v>
      </c>
      <c r="C6" s="390" t="s">
        <v>5254</v>
      </c>
      <c r="D6" s="258">
        <v>187067250</v>
      </c>
      <c r="E6" s="51"/>
      <c r="F6" s="258">
        <f>PL!D7</f>
        <v>177970625</v>
      </c>
      <c r="G6" s="51"/>
      <c r="H6" s="436">
        <f t="shared" ref="H6:H16" si="0">IF(D6=0,"",(F6-D6)/D6)</f>
        <v>-4.8627565755096094E-2</v>
      </c>
      <c r="I6" s="410"/>
      <c r="J6" s="110"/>
      <c r="K6" s="110"/>
      <c r="L6" s="110"/>
      <c r="M6" s="110"/>
      <c r="N6" s="110"/>
      <c r="O6" s="226"/>
      <c r="P6" s="226"/>
      <c r="Q6" s="4"/>
      <c r="R6" s="4"/>
      <c r="S6" s="4"/>
      <c r="T6" s="4"/>
      <c r="U6" s="4"/>
      <c r="V6" s="4"/>
      <c r="W6" s="4"/>
      <c r="X6" s="4"/>
      <c r="Y6" s="4"/>
    </row>
    <row r="7" spans="1:25" ht="13.5" customHeight="1">
      <c r="A7" s="110"/>
      <c r="B7" s="15" t="s">
        <v>6</v>
      </c>
      <c r="C7" s="390" t="s">
        <v>5255</v>
      </c>
      <c r="D7" s="258">
        <v>1456188526</v>
      </c>
      <c r="E7" s="51"/>
      <c r="F7" s="258">
        <f>PL!D8</f>
        <v>1273200752</v>
      </c>
      <c r="G7" s="51"/>
      <c r="H7" s="436">
        <f t="shared" si="0"/>
        <v>-0.12566214520495406</v>
      </c>
      <c r="I7" s="410"/>
      <c r="J7" s="110"/>
      <c r="K7" s="110"/>
      <c r="L7" s="110"/>
      <c r="M7" s="110"/>
      <c r="N7" s="110"/>
      <c r="O7" s="226"/>
      <c r="P7" s="226"/>
      <c r="Q7" s="4"/>
      <c r="R7" s="4"/>
      <c r="S7" s="4"/>
      <c r="T7" s="4"/>
      <c r="U7" s="4"/>
      <c r="V7" s="4"/>
      <c r="W7" s="4"/>
      <c r="X7" s="4"/>
      <c r="Y7" s="4"/>
    </row>
    <row r="8" spans="1:25" ht="13.5" customHeight="1">
      <c r="A8" s="110"/>
      <c r="B8" s="15" t="s">
        <v>10</v>
      </c>
      <c r="C8" s="390" t="s">
        <v>5256</v>
      </c>
      <c r="D8" s="258">
        <v>11500000</v>
      </c>
      <c r="E8" s="51"/>
      <c r="F8" s="258">
        <f>PL!D9</f>
        <v>15070000</v>
      </c>
      <c r="G8" s="51"/>
      <c r="H8" s="436">
        <f t="shared" si="0"/>
        <v>0.31043478260869567</v>
      </c>
      <c r="I8" s="410"/>
      <c r="J8" s="110"/>
      <c r="K8" s="110"/>
      <c r="L8" s="110"/>
      <c r="M8" s="110"/>
      <c r="N8" s="110"/>
      <c r="O8" s="226"/>
      <c r="P8" s="226"/>
      <c r="Q8" s="4"/>
      <c r="R8" s="4"/>
      <c r="S8" s="4"/>
      <c r="T8" s="4"/>
      <c r="U8" s="4"/>
      <c r="V8" s="4"/>
      <c r="W8" s="4"/>
      <c r="X8" s="4"/>
      <c r="Y8" s="4"/>
    </row>
    <row r="9" spans="1:25" ht="13.5" customHeight="1">
      <c r="A9" s="110"/>
      <c r="B9" s="15" t="s">
        <v>8</v>
      </c>
      <c r="C9" s="390" t="s">
        <v>5257</v>
      </c>
      <c r="D9" s="258">
        <v>35874000</v>
      </c>
      <c r="E9" s="51"/>
      <c r="F9" s="258">
        <f>PL!D10</f>
        <v>25295000</v>
      </c>
      <c r="G9" s="51"/>
      <c r="H9" s="436">
        <f t="shared" si="0"/>
        <v>-0.29489323744215867</v>
      </c>
      <c r="I9" s="410"/>
      <c r="J9" s="110"/>
      <c r="K9" s="110"/>
      <c r="L9" s="110"/>
      <c r="M9" s="110"/>
      <c r="N9" s="110"/>
      <c r="O9" s="226"/>
      <c r="P9" s="226"/>
      <c r="Q9" s="4"/>
      <c r="R9" s="4"/>
      <c r="S9" s="4"/>
      <c r="T9" s="4"/>
      <c r="U9" s="4"/>
      <c r="V9" s="4"/>
      <c r="W9" s="4"/>
      <c r="X9" s="4"/>
      <c r="Y9" s="4"/>
    </row>
    <row r="10" spans="1:25" ht="13.5" customHeight="1">
      <c r="A10" s="110"/>
      <c r="B10" s="15" t="s">
        <v>25</v>
      </c>
      <c r="C10" s="340" t="s">
        <v>26</v>
      </c>
      <c r="D10" s="258">
        <v>518920833</v>
      </c>
      <c r="E10" s="51"/>
      <c r="F10" s="258">
        <f>PL!D11</f>
        <v>466710191</v>
      </c>
      <c r="G10" s="51"/>
      <c r="H10" s="436">
        <f t="shared" si="0"/>
        <v>-0.10061388689707897</v>
      </c>
      <c r="I10" s="410"/>
      <c r="J10" s="110"/>
      <c r="K10" s="110"/>
      <c r="L10" s="110"/>
      <c r="M10" s="110"/>
      <c r="N10" s="110"/>
      <c r="O10" s="226"/>
      <c r="P10" s="226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110"/>
      <c r="B11" s="15" t="s">
        <v>5258</v>
      </c>
      <c r="C11" s="340" t="s">
        <v>5259</v>
      </c>
      <c r="D11" s="258"/>
      <c r="E11" s="51"/>
      <c r="F11" s="258">
        <f>PL!D12</f>
        <v>0</v>
      </c>
      <c r="G11" s="51"/>
      <c r="H11" s="436" t="str">
        <f t="shared" si="0"/>
        <v/>
      </c>
      <c r="I11" s="410"/>
      <c r="J11" s="110"/>
      <c r="K11" s="110"/>
      <c r="L11" s="110"/>
      <c r="M11" s="110"/>
      <c r="N11" s="110"/>
      <c r="O11" s="226"/>
      <c r="P11" s="226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110"/>
      <c r="B12" s="15" t="s">
        <v>21</v>
      </c>
      <c r="C12" s="340" t="s">
        <v>5260</v>
      </c>
      <c r="D12" s="258">
        <v>52500000</v>
      </c>
      <c r="E12" s="51"/>
      <c r="F12" s="258">
        <f>PL!D13</f>
        <v>47820000</v>
      </c>
      <c r="G12" s="51"/>
      <c r="H12" s="436">
        <f t="shared" si="0"/>
        <v>-8.9142857142857149E-2</v>
      </c>
      <c r="I12" s="410"/>
      <c r="J12" s="110"/>
      <c r="K12" s="110"/>
      <c r="L12" s="110"/>
      <c r="M12" s="110"/>
      <c r="N12" s="110"/>
      <c r="O12" s="226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5" customHeight="1">
      <c r="A13" s="110"/>
      <c r="B13" s="24" t="s">
        <v>12</v>
      </c>
      <c r="C13" s="340" t="s">
        <v>5261</v>
      </c>
      <c r="D13" s="258"/>
      <c r="E13" s="51"/>
      <c r="F13" s="258">
        <f>PL!D14</f>
        <v>0</v>
      </c>
      <c r="G13" s="51"/>
      <c r="H13" s="436" t="str">
        <f t="shared" si="0"/>
        <v/>
      </c>
      <c r="I13" s="410"/>
      <c r="J13" s="110"/>
      <c r="K13" s="110"/>
      <c r="L13" s="110"/>
      <c r="M13" s="110"/>
      <c r="N13" s="110"/>
      <c r="O13" s="226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5" customHeight="1">
      <c r="A14" s="110"/>
      <c r="B14" s="15" t="s">
        <v>5262</v>
      </c>
      <c r="C14" s="340" t="s">
        <v>5263</v>
      </c>
      <c r="D14" s="258"/>
      <c r="E14" s="51"/>
      <c r="F14" s="258">
        <f>PL!D15</f>
        <v>0</v>
      </c>
      <c r="G14" s="51"/>
      <c r="H14" s="436" t="str">
        <f t="shared" si="0"/>
        <v/>
      </c>
      <c r="I14" s="410"/>
      <c r="J14" s="110"/>
      <c r="K14" s="110"/>
      <c r="L14" s="110"/>
      <c r="M14" s="110"/>
      <c r="N14" s="110"/>
      <c r="O14" s="226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5" customHeight="1">
      <c r="A15" s="110"/>
      <c r="B15" s="15" t="s">
        <v>29</v>
      </c>
      <c r="C15" s="340" t="s">
        <v>5264</v>
      </c>
      <c r="D15" s="258">
        <v>-26448500</v>
      </c>
      <c r="E15" s="51"/>
      <c r="F15" s="258">
        <f>PL!D16</f>
        <v>-30762000</v>
      </c>
      <c r="G15" s="51"/>
      <c r="H15" s="436">
        <f t="shared" si="0"/>
        <v>0.16309053443484509</v>
      </c>
      <c r="I15" s="410"/>
      <c r="J15" s="110"/>
      <c r="K15" s="110"/>
      <c r="L15" s="110"/>
      <c r="M15" s="110"/>
      <c r="N15" s="110"/>
      <c r="O15" s="226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5" customHeight="1">
      <c r="A16" s="351"/>
      <c r="B16" s="127" t="s">
        <v>5265</v>
      </c>
      <c r="C16" s="418" t="s">
        <v>5266</v>
      </c>
      <c r="D16" s="317">
        <f>SUM(D6:D15)</f>
        <v>2235602109</v>
      </c>
      <c r="E16" s="317" t="s">
        <v>3828</v>
      </c>
      <c r="F16" s="317">
        <f t="shared" ref="F16:G16" si="1">SUM(F6:F15)</f>
        <v>1975304568</v>
      </c>
      <c r="G16" s="317">
        <f t="shared" si="1"/>
        <v>0</v>
      </c>
      <c r="H16" s="436">
        <f t="shared" si="0"/>
        <v>-0.11643285714935779</v>
      </c>
      <c r="I16" s="120"/>
      <c r="J16" s="110"/>
      <c r="K16" s="110"/>
      <c r="L16" s="110"/>
      <c r="M16" s="110"/>
      <c r="N16" s="110"/>
      <c r="O16" s="226"/>
      <c r="P16" s="4"/>
      <c r="Q16" s="110"/>
      <c r="R16" s="4"/>
      <c r="S16" s="4"/>
      <c r="T16" s="4"/>
      <c r="U16" s="4"/>
      <c r="V16" s="4"/>
      <c r="W16" s="4"/>
      <c r="X16" s="4"/>
      <c r="Y16" s="4"/>
    </row>
    <row r="17" spans="1:25" ht="13.5" customHeight="1">
      <c r="A17" s="110"/>
      <c r="B17" s="15"/>
      <c r="C17" s="390"/>
      <c r="D17" s="258"/>
      <c r="E17" s="51"/>
      <c r="F17" s="51">
        <f>PL!D18</f>
        <v>0</v>
      </c>
      <c r="G17" s="51"/>
      <c r="H17" s="51"/>
      <c r="I17" s="410"/>
      <c r="J17" s="110"/>
      <c r="K17" s="110"/>
      <c r="L17" s="110"/>
      <c r="M17" s="110"/>
      <c r="N17" s="110"/>
      <c r="O17" s="81"/>
      <c r="P17" s="81"/>
      <c r="Q17" s="4"/>
      <c r="R17" s="4"/>
      <c r="S17" s="4"/>
      <c r="T17" s="4"/>
      <c r="U17" s="4"/>
      <c r="V17" s="4"/>
      <c r="W17" s="4"/>
      <c r="X17" s="4"/>
      <c r="Y17" s="4"/>
    </row>
    <row r="18" spans="1:25" ht="13.5" customHeight="1">
      <c r="A18" s="351"/>
      <c r="B18" s="127" t="s">
        <v>5267</v>
      </c>
      <c r="C18" s="22" t="s">
        <v>5268</v>
      </c>
      <c r="D18" s="258"/>
      <c r="E18" s="51"/>
      <c r="F18" s="51">
        <f>PL!D19</f>
        <v>0</v>
      </c>
      <c r="G18" s="51"/>
      <c r="H18" s="51"/>
      <c r="I18" s="410"/>
      <c r="J18" s="110"/>
      <c r="K18" s="110"/>
      <c r="L18" s="110"/>
      <c r="M18" s="110"/>
      <c r="N18" s="110"/>
      <c r="O18" s="226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5" customHeight="1">
      <c r="A19" s="110"/>
      <c r="B19" s="15" t="s">
        <v>3611</v>
      </c>
      <c r="C19" s="340" t="s">
        <v>5269</v>
      </c>
      <c r="D19" s="258">
        <v>64140771</v>
      </c>
      <c r="E19" s="437">
        <v>0.34</v>
      </c>
      <c r="F19" s="258">
        <f>PL!D20</f>
        <v>65753306.001255453</v>
      </c>
      <c r="G19" s="437">
        <f t="shared" ref="G19:G22" si="2">F19/F6</f>
        <v>0.36946156704936811</v>
      </c>
      <c r="H19" s="436">
        <f t="shared" ref="H19:H28" si="3">IF(D19=0,"",(F19-D19)/D19)</f>
        <v>2.5140561551021155E-2</v>
      </c>
      <c r="I19" s="419"/>
      <c r="J19" s="110"/>
      <c r="K19" s="110"/>
      <c r="L19" s="110"/>
      <c r="M19" s="110"/>
      <c r="N19" s="110"/>
      <c r="O19" s="226"/>
      <c r="P19" s="81"/>
      <c r="Q19" s="4"/>
      <c r="R19" s="4"/>
      <c r="S19" s="4"/>
      <c r="T19" s="4"/>
      <c r="U19" s="4"/>
      <c r="V19" s="4"/>
      <c r="W19" s="4"/>
      <c r="X19" s="4"/>
      <c r="Y19" s="4"/>
    </row>
    <row r="20" spans="1:25" ht="13.5" customHeight="1">
      <c r="A20" s="110"/>
      <c r="B20" s="15" t="s">
        <v>3613</v>
      </c>
      <c r="C20" s="340" t="s">
        <v>5270</v>
      </c>
      <c r="D20" s="258">
        <v>400060612</v>
      </c>
      <c r="E20" s="437">
        <v>0.27</v>
      </c>
      <c r="F20" s="258">
        <f>PL!D21</f>
        <v>349068994.72156817</v>
      </c>
      <c r="G20" s="437">
        <f t="shared" si="2"/>
        <v>0.27416650058777858</v>
      </c>
      <c r="H20" s="436">
        <f t="shared" si="3"/>
        <v>-0.12745972922331036</v>
      </c>
      <c r="I20" s="419"/>
      <c r="J20" s="110"/>
      <c r="K20" s="110"/>
      <c r="L20" s="110"/>
      <c r="M20" s="110"/>
      <c r="N20" s="110"/>
      <c r="O20" s="226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3.5" customHeight="1">
      <c r="A21" s="110"/>
      <c r="B21" s="15" t="s">
        <v>3615</v>
      </c>
      <c r="C21" s="340" t="s">
        <v>5271</v>
      </c>
      <c r="D21" s="258">
        <v>1302172</v>
      </c>
      <c r="E21" s="437">
        <v>0.11</v>
      </c>
      <c r="F21" s="258">
        <f>PL!D22</f>
        <v>735701.88181818172</v>
      </c>
      <c r="G21" s="437">
        <f t="shared" si="2"/>
        <v>4.881897025999879E-2</v>
      </c>
      <c r="H21" s="436">
        <f t="shared" si="3"/>
        <v>-0.43501942768068907</v>
      </c>
      <c r="I21" s="419"/>
      <c r="J21" s="110"/>
      <c r="K21" s="110"/>
      <c r="L21" s="110"/>
      <c r="M21" s="110"/>
      <c r="N21" s="110"/>
      <c r="O21" s="226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3.5" customHeight="1">
      <c r="A22" s="110"/>
      <c r="B22" s="15" t="s">
        <v>3617</v>
      </c>
      <c r="C22" s="340" t="s">
        <v>5272</v>
      </c>
      <c r="D22" s="258">
        <v>22953420</v>
      </c>
      <c r="E22" s="437">
        <v>0.64</v>
      </c>
      <c r="F22" s="258">
        <f>PL!D23</f>
        <v>17082366.576508671</v>
      </c>
      <c r="G22" s="437">
        <f t="shared" si="2"/>
        <v>0.67532581840318917</v>
      </c>
      <c r="H22" s="436">
        <f t="shared" si="3"/>
        <v>-0.2557812048701818</v>
      </c>
      <c r="I22" s="410"/>
      <c r="J22" s="110"/>
      <c r="K22" s="110"/>
      <c r="L22" s="110"/>
      <c r="M22" s="110"/>
      <c r="N22" s="110"/>
      <c r="O22" s="226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3.5" customHeight="1">
      <c r="A23" s="110"/>
      <c r="B23" s="15" t="s">
        <v>659</v>
      </c>
      <c r="C23" s="340" t="s">
        <v>5273</v>
      </c>
      <c r="D23" s="258">
        <v>324570194</v>
      </c>
      <c r="E23" s="437">
        <v>0.15</v>
      </c>
      <c r="F23" s="258">
        <f>PL!D24</f>
        <v>293036607</v>
      </c>
      <c r="G23" s="437">
        <f>F23/F16</f>
        <v>0.14835008825838952</v>
      </c>
      <c r="H23" s="436">
        <f t="shared" si="3"/>
        <v>-9.7154906959817752E-2</v>
      </c>
      <c r="I23" s="410"/>
      <c r="J23" s="110"/>
      <c r="K23" s="110"/>
      <c r="L23" s="110"/>
      <c r="M23" s="110"/>
      <c r="N23" s="110"/>
      <c r="O23" s="226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3.5" customHeight="1">
      <c r="A24" s="110"/>
      <c r="B24" s="15" t="s">
        <v>3619</v>
      </c>
      <c r="C24" s="340" t="s">
        <v>5274</v>
      </c>
      <c r="D24" s="258"/>
      <c r="E24" s="437"/>
      <c r="F24" s="258">
        <f>PL!D25</f>
        <v>0</v>
      </c>
      <c r="G24" s="437"/>
      <c r="H24" s="436" t="str">
        <f t="shared" si="3"/>
        <v/>
      </c>
      <c r="I24" s="410"/>
      <c r="J24" s="110"/>
      <c r="K24" s="110"/>
      <c r="L24" s="110"/>
      <c r="M24" s="110"/>
      <c r="N24" s="110"/>
      <c r="O24" s="226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3.5" customHeight="1">
      <c r="A25" s="110"/>
      <c r="B25" s="15" t="s">
        <v>3149</v>
      </c>
      <c r="C25" s="340" t="s">
        <v>5275</v>
      </c>
      <c r="D25" s="258">
        <v>38314879</v>
      </c>
      <c r="E25" s="437">
        <v>0.02</v>
      </c>
      <c r="F25" s="258">
        <f>PL!D26</f>
        <v>20356316.66</v>
      </c>
      <c r="G25" s="437">
        <f>F25/F16</f>
        <v>1.0305406563510767E-2</v>
      </c>
      <c r="H25" s="436">
        <f t="shared" si="3"/>
        <v>-0.46870988004425124</v>
      </c>
      <c r="I25" s="410"/>
      <c r="J25" s="110"/>
      <c r="K25" s="110"/>
      <c r="L25" s="110"/>
      <c r="M25" s="110"/>
      <c r="N25" s="110"/>
      <c r="O25" s="226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3.5" customHeight="1">
      <c r="A26" s="110"/>
      <c r="B26" s="15" t="s">
        <v>221</v>
      </c>
      <c r="C26" s="340" t="s">
        <v>5276</v>
      </c>
      <c r="D26" s="258">
        <v>16942523</v>
      </c>
      <c r="E26" s="437">
        <v>0.01</v>
      </c>
      <c r="F26" s="258">
        <f>PL!D27</f>
        <v>11354385.5</v>
      </c>
      <c r="G26" s="437">
        <f>F26/F16</f>
        <v>5.7481695146872156E-3</v>
      </c>
      <c r="H26" s="436">
        <f t="shared" si="3"/>
        <v>-0.32982912285259991</v>
      </c>
      <c r="I26" s="410"/>
      <c r="J26" s="110"/>
      <c r="K26" s="110"/>
      <c r="L26" s="110"/>
      <c r="M26" s="110"/>
      <c r="N26" s="110"/>
      <c r="O26" s="226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3.5" customHeight="1">
      <c r="A27" s="351"/>
      <c r="B27" s="178">
        <v>2593344</v>
      </c>
      <c r="C27" s="340" t="s">
        <v>5277</v>
      </c>
      <c r="D27" s="258">
        <v>334600</v>
      </c>
      <c r="E27" s="438">
        <v>0</v>
      </c>
      <c r="F27" s="258">
        <f>PL!D28</f>
        <v>105350.00000000001</v>
      </c>
      <c r="G27" s="438">
        <f>F27/F16</f>
        <v>5.3333547497775041E-5</v>
      </c>
      <c r="H27" s="436">
        <f t="shared" si="3"/>
        <v>-0.68514644351464438</v>
      </c>
      <c r="I27" s="410"/>
      <c r="J27" s="110"/>
      <c r="K27" s="110"/>
      <c r="L27" s="110"/>
      <c r="M27" s="110"/>
      <c r="N27" s="110"/>
      <c r="O27" s="226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351"/>
      <c r="B28" s="127" t="s">
        <v>5278</v>
      </c>
      <c r="C28" s="418" t="s">
        <v>5279</v>
      </c>
      <c r="D28" s="317">
        <f>SUM(D19:D27)</f>
        <v>868619171</v>
      </c>
      <c r="E28" s="439">
        <v>0.39</v>
      </c>
      <c r="F28" s="317">
        <f>SUM(F19:F27)</f>
        <v>757493028.3411504</v>
      </c>
      <c r="G28" s="439">
        <f>F28/F16</f>
        <v>0.38348163650940859</v>
      </c>
      <c r="H28" s="436">
        <f t="shared" si="3"/>
        <v>-0.12793425055414717</v>
      </c>
      <c r="I28" s="410"/>
      <c r="J28" s="110"/>
      <c r="K28" s="110"/>
      <c r="L28" s="110"/>
      <c r="M28" s="110"/>
      <c r="N28" s="110"/>
      <c r="O28" s="226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10"/>
      <c r="B29" s="15"/>
      <c r="C29" s="390"/>
      <c r="D29" s="258"/>
      <c r="E29" s="51"/>
      <c r="F29" s="51">
        <f>PL!D30</f>
        <v>0</v>
      </c>
      <c r="G29" s="51"/>
      <c r="H29" s="51"/>
      <c r="I29" s="410"/>
      <c r="J29" s="110"/>
      <c r="K29" s="110"/>
      <c r="L29" s="110"/>
      <c r="M29" s="110"/>
      <c r="N29" s="110"/>
      <c r="O29" s="226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351"/>
      <c r="B30" s="127" t="s">
        <v>5280</v>
      </c>
      <c r="C30" s="22" t="s">
        <v>5281</v>
      </c>
      <c r="D30" s="258"/>
      <c r="E30" s="51"/>
      <c r="F30" s="51">
        <f>PL!D31</f>
        <v>0</v>
      </c>
      <c r="G30" s="51"/>
      <c r="H30" s="51"/>
      <c r="I30" s="410"/>
      <c r="J30" s="110"/>
      <c r="K30" s="110"/>
      <c r="L30" s="110"/>
      <c r="M30" s="110"/>
      <c r="N30" s="110"/>
      <c r="O30" s="226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5" customHeight="1">
      <c r="A31" s="110"/>
      <c r="B31" s="15"/>
      <c r="C31" s="340"/>
      <c r="D31" s="258"/>
      <c r="E31" s="51"/>
      <c r="F31" s="51">
        <f>PL!D32</f>
        <v>0</v>
      </c>
      <c r="G31" s="51"/>
      <c r="H31" s="51"/>
      <c r="I31" s="410"/>
      <c r="J31" s="110"/>
      <c r="K31" s="110"/>
      <c r="L31" s="110"/>
      <c r="M31" s="110"/>
      <c r="N31" s="110"/>
      <c r="O31" s="226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3.5" customHeight="1">
      <c r="A32" s="351"/>
      <c r="B32" s="127" t="s">
        <v>5282</v>
      </c>
      <c r="C32" s="418" t="s">
        <v>5283</v>
      </c>
      <c r="D32" s="258"/>
      <c r="E32" s="51"/>
      <c r="F32" s="51">
        <f>PL!D33</f>
        <v>0</v>
      </c>
      <c r="G32" s="51"/>
      <c r="H32" s="51"/>
      <c r="I32" s="410"/>
      <c r="J32" s="110"/>
      <c r="K32" s="110"/>
      <c r="L32" s="110"/>
      <c r="M32" s="110"/>
      <c r="N32" s="110"/>
      <c r="O32" s="226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5" customHeight="1">
      <c r="A33" s="110"/>
      <c r="B33" s="15" t="s">
        <v>1538</v>
      </c>
      <c r="C33" s="390" t="s">
        <v>5284</v>
      </c>
      <c r="D33" s="258">
        <v>500980214</v>
      </c>
      <c r="E33" s="51"/>
      <c r="F33" s="258">
        <f>PL!D34</f>
        <v>506375748</v>
      </c>
      <c r="G33" s="51"/>
      <c r="H33" s="436">
        <f t="shared" ref="H33:H43" si="4">IF(D33=0,"",(F33-D33)/D33)</f>
        <v>1.076995428007063E-2</v>
      </c>
      <c r="I33" s="410"/>
      <c r="J33" s="110"/>
      <c r="K33" s="110"/>
      <c r="L33" s="110"/>
      <c r="M33" s="110"/>
      <c r="N33" s="110"/>
      <c r="O33" s="226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5" customHeight="1">
      <c r="A34" s="110"/>
      <c r="B34" s="15" t="s">
        <v>1540</v>
      </c>
      <c r="C34" s="390" t="s">
        <v>5285</v>
      </c>
      <c r="D34" s="258">
        <v>34339000</v>
      </c>
      <c r="E34" s="51"/>
      <c r="F34" s="258">
        <f>PL!D35</f>
        <v>36045000</v>
      </c>
      <c r="G34" s="51"/>
      <c r="H34" s="436">
        <f t="shared" si="4"/>
        <v>4.9681120591746994E-2</v>
      </c>
      <c r="I34" s="410"/>
      <c r="J34" s="110"/>
      <c r="K34" s="110"/>
      <c r="L34" s="110"/>
      <c r="M34" s="110"/>
      <c r="N34" s="110"/>
      <c r="O34" s="226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3.5" customHeight="1">
      <c r="A35" s="110"/>
      <c r="B35" s="15" t="s">
        <v>5286</v>
      </c>
      <c r="C35" s="390" t="s">
        <v>5287</v>
      </c>
      <c r="D35" s="258"/>
      <c r="E35" s="51"/>
      <c r="F35" s="258">
        <f>PL!D36</f>
        <v>0</v>
      </c>
      <c r="G35" s="51"/>
      <c r="H35" s="436" t="str">
        <f t="shared" si="4"/>
        <v/>
      </c>
      <c r="I35" s="410"/>
      <c r="J35" s="110"/>
      <c r="K35" s="110"/>
      <c r="L35" s="110"/>
      <c r="M35" s="110"/>
      <c r="N35" s="110"/>
      <c r="O35" s="226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3.5" customHeight="1">
      <c r="A36" s="110"/>
      <c r="B36" s="15" t="s">
        <v>3647</v>
      </c>
      <c r="C36" s="390" t="s">
        <v>3648</v>
      </c>
      <c r="D36" s="258">
        <v>25481796</v>
      </c>
      <c r="E36" s="51"/>
      <c r="F36" s="258">
        <f>PL!D37</f>
        <v>25670334</v>
      </c>
      <c r="G36" s="51"/>
      <c r="H36" s="436">
        <f t="shared" si="4"/>
        <v>7.3989290236842016E-3</v>
      </c>
      <c r="I36" s="410"/>
      <c r="J36" s="110"/>
      <c r="K36" s="110"/>
      <c r="L36" s="110"/>
      <c r="M36" s="110"/>
      <c r="N36" s="110"/>
      <c r="O36" s="226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3.5" customHeight="1">
      <c r="A37" s="110"/>
      <c r="B37" s="15" t="s">
        <v>5288</v>
      </c>
      <c r="C37" s="390" t="s">
        <v>5289</v>
      </c>
      <c r="D37" s="258"/>
      <c r="E37" s="51"/>
      <c r="F37" s="258">
        <f>PL!D38</f>
        <v>0</v>
      </c>
      <c r="G37" s="51"/>
      <c r="H37" s="436" t="str">
        <f t="shared" si="4"/>
        <v/>
      </c>
      <c r="I37" s="410"/>
      <c r="J37" s="110"/>
      <c r="K37" s="110"/>
      <c r="L37" s="110"/>
      <c r="M37" s="110"/>
      <c r="N37" s="110"/>
      <c r="O37" s="226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3.5" customHeight="1">
      <c r="A38" s="110"/>
      <c r="B38" s="15" t="s">
        <v>3637</v>
      </c>
      <c r="C38" s="390" t="s">
        <v>3685</v>
      </c>
      <c r="D38" s="258">
        <v>29555842</v>
      </c>
      <c r="E38" s="51"/>
      <c r="F38" s="258">
        <f>PL!D39</f>
        <v>25503742</v>
      </c>
      <c r="G38" s="51"/>
      <c r="H38" s="436">
        <f t="shared" si="4"/>
        <v>-0.13709979908540584</v>
      </c>
      <c r="I38" s="410"/>
      <c r="J38" s="110"/>
      <c r="K38" s="110"/>
      <c r="L38" s="110"/>
      <c r="M38" s="110"/>
      <c r="N38" s="110"/>
      <c r="O38" s="226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3.5" customHeight="1">
      <c r="A39" s="110"/>
      <c r="B39" s="15" t="s">
        <v>1335</v>
      </c>
      <c r="C39" s="390" t="s">
        <v>5290</v>
      </c>
      <c r="D39" s="258">
        <v>1800000</v>
      </c>
      <c r="E39" s="51"/>
      <c r="F39" s="258">
        <f>PL!D40</f>
        <v>1860000</v>
      </c>
      <c r="G39" s="51"/>
      <c r="H39" s="436">
        <f t="shared" si="4"/>
        <v>3.3333333333333333E-2</v>
      </c>
      <c r="I39" s="410"/>
      <c r="J39" s="110"/>
      <c r="K39" s="110"/>
      <c r="L39" s="110"/>
      <c r="M39" s="110"/>
      <c r="N39" s="110"/>
      <c r="O39" s="226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3.5" customHeight="1">
      <c r="A40" s="110"/>
      <c r="B40" s="15" t="s">
        <v>815</v>
      </c>
      <c r="C40" s="390" t="s">
        <v>5291</v>
      </c>
      <c r="D40" s="258">
        <v>8792409</v>
      </c>
      <c r="E40" s="51"/>
      <c r="F40" s="258">
        <f>PL!D41</f>
        <v>9909379.4399999995</v>
      </c>
      <c r="G40" s="51"/>
      <c r="H40" s="436">
        <f t="shared" si="4"/>
        <v>0.12703804383986225</v>
      </c>
      <c r="I40" s="410"/>
      <c r="J40" s="110"/>
      <c r="K40" s="110"/>
      <c r="L40" s="110"/>
      <c r="M40" s="110"/>
      <c r="N40" s="110"/>
      <c r="O40" s="226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3.5" customHeight="1">
      <c r="A41" s="110"/>
      <c r="B41" s="15" t="s">
        <v>5292</v>
      </c>
      <c r="C41" s="340" t="s">
        <v>5293</v>
      </c>
      <c r="D41" s="258">
        <v>1400000</v>
      </c>
      <c r="E41" s="51"/>
      <c r="F41" s="258">
        <f>PL!D42</f>
        <v>0</v>
      </c>
      <c r="G41" s="51"/>
      <c r="H41" s="436">
        <f t="shared" si="4"/>
        <v>-1</v>
      </c>
      <c r="I41" s="410"/>
      <c r="J41" s="110"/>
      <c r="K41" s="110"/>
      <c r="L41" s="110"/>
      <c r="M41" s="110"/>
      <c r="N41" s="110"/>
      <c r="O41" s="226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3.5" customHeight="1">
      <c r="A42" s="110"/>
      <c r="B42" s="15" t="s">
        <v>588</v>
      </c>
      <c r="C42" s="340" t="s">
        <v>5294</v>
      </c>
      <c r="D42" s="258">
        <v>14629479</v>
      </c>
      <c r="E42" s="51"/>
      <c r="F42" s="258">
        <f>PL!D43</f>
        <v>14758065</v>
      </c>
      <c r="G42" s="51"/>
      <c r="H42" s="436">
        <f t="shared" si="4"/>
        <v>8.7895132834190474E-3</v>
      </c>
      <c r="I42" s="410"/>
      <c r="J42" s="110"/>
      <c r="K42" s="110"/>
      <c r="L42" s="110"/>
      <c r="M42" s="110"/>
      <c r="N42" s="110"/>
      <c r="O42" s="226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3.5" customHeight="1">
      <c r="A43" s="351"/>
      <c r="B43" s="127" t="s">
        <v>5295</v>
      </c>
      <c r="C43" s="418" t="s">
        <v>5412</v>
      </c>
      <c r="D43" s="317">
        <f>SUM(D33:D42)</f>
        <v>616978740</v>
      </c>
      <c r="E43" s="439">
        <v>0.28000000000000003</v>
      </c>
      <c r="F43" s="317">
        <f>SUM(F33:F42)</f>
        <v>620122268.44000006</v>
      </c>
      <c r="G43" s="439">
        <f>F43/F16</f>
        <v>0.31393754587824152</v>
      </c>
      <c r="H43" s="436">
        <f t="shared" si="4"/>
        <v>5.0950352681521198E-3</v>
      </c>
      <c r="I43" s="410"/>
      <c r="J43" s="110"/>
      <c r="K43" s="110"/>
      <c r="L43" s="110"/>
      <c r="M43" s="110"/>
      <c r="N43" s="110"/>
      <c r="O43" s="226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3.5" customHeight="1">
      <c r="A44" s="110"/>
      <c r="B44" s="15"/>
      <c r="C44" s="340"/>
      <c r="D44" s="258"/>
      <c r="E44" s="255"/>
      <c r="F44" s="51">
        <f>PL!D45</f>
        <v>0</v>
      </c>
      <c r="G44" s="255"/>
      <c r="H44" s="51"/>
      <c r="I44" s="410"/>
      <c r="J44" s="110"/>
      <c r="K44" s="110"/>
      <c r="L44" s="110"/>
      <c r="M44" s="110"/>
      <c r="N44" s="110"/>
      <c r="O44" s="226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3.5" customHeight="1">
      <c r="A45" s="351"/>
      <c r="B45" s="127" t="s">
        <v>5297</v>
      </c>
      <c r="C45" s="22" t="s">
        <v>5298</v>
      </c>
      <c r="D45" s="258"/>
      <c r="E45" s="255"/>
      <c r="F45" s="51">
        <f>PL!D46</f>
        <v>0</v>
      </c>
      <c r="G45" s="255"/>
      <c r="H45" s="51"/>
      <c r="I45" s="410"/>
      <c r="J45" s="110"/>
      <c r="K45" s="110"/>
      <c r="L45" s="110"/>
      <c r="M45" s="110"/>
      <c r="N45" s="110"/>
      <c r="O45" s="226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3.5" customHeight="1">
      <c r="A46" s="110"/>
      <c r="B46" s="15" t="s">
        <v>617</v>
      </c>
      <c r="C46" s="390" t="s">
        <v>5299</v>
      </c>
      <c r="D46" s="258">
        <v>39521915</v>
      </c>
      <c r="E46" s="255"/>
      <c r="F46" s="258">
        <f>PL!D47</f>
        <v>24137819</v>
      </c>
      <c r="G46" s="255"/>
      <c r="H46" s="436">
        <f t="shared" ref="H46:H51" si="5">IF(D46=0,"",(F46-D46)/D46)</f>
        <v>-0.38925482229289748</v>
      </c>
      <c r="I46" s="410"/>
      <c r="J46" s="110"/>
      <c r="K46" s="110"/>
      <c r="L46" s="110"/>
      <c r="M46" s="110"/>
      <c r="N46" s="110"/>
      <c r="O46" s="226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3.5" customHeight="1">
      <c r="A47" s="110"/>
      <c r="B47" s="15" t="s">
        <v>5300</v>
      </c>
      <c r="C47" s="390" t="s">
        <v>5301</v>
      </c>
      <c r="D47" s="258">
        <v>120000</v>
      </c>
      <c r="E47" s="255"/>
      <c r="F47" s="258">
        <f>PL!D48</f>
        <v>0</v>
      </c>
      <c r="G47" s="255"/>
      <c r="H47" s="436">
        <f t="shared" si="5"/>
        <v>-1</v>
      </c>
      <c r="I47" s="410"/>
      <c r="J47" s="110"/>
      <c r="K47" s="110"/>
      <c r="L47" s="110"/>
      <c r="M47" s="110"/>
      <c r="N47" s="110"/>
      <c r="O47" s="226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3.5" customHeight="1">
      <c r="A48" s="110"/>
      <c r="B48" s="15" t="s">
        <v>1921</v>
      </c>
      <c r="C48" s="390" t="s">
        <v>5302</v>
      </c>
      <c r="D48" s="258">
        <v>7329200</v>
      </c>
      <c r="E48" s="255"/>
      <c r="F48" s="258">
        <f>PL!D49</f>
        <v>2164600</v>
      </c>
      <c r="G48" s="255"/>
      <c r="H48" s="436">
        <f t="shared" si="5"/>
        <v>-0.70466080881951643</v>
      </c>
      <c r="I48" s="410"/>
      <c r="J48" s="110"/>
      <c r="K48" s="110"/>
      <c r="L48" s="110"/>
      <c r="M48" s="110"/>
      <c r="N48" s="110"/>
      <c r="O48" s="226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3.5" customHeight="1">
      <c r="A49" s="110"/>
      <c r="B49" s="15" t="s">
        <v>1155</v>
      </c>
      <c r="C49" s="340" t="s">
        <v>5303</v>
      </c>
      <c r="D49" s="258">
        <v>4581764</v>
      </c>
      <c r="E49" s="255"/>
      <c r="F49" s="258">
        <f>PL!D50</f>
        <v>3451270</v>
      </c>
      <c r="G49" s="255"/>
      <c r="H49" s="436">
        <f t="shared" si="5"/>
        <v>-0.24673771935874481</v>
      </c>
      <c r="I49" s="410"/>
      <c r="J49" s="110"/>
      <c r="K49" s="110"/>
      <c r="L49" s="110"/>
      <c r="M49" s="110"/>
      <c r="N49" s="110"/>
      <c r="O49" s="226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3.5" customHeight="1">
      <c r="A50" s="110"/>
      <c r="B50" s="24" t="s">
        <v>5304</v>
      </c>
      <c r="C50" s="340" t="s">
        <v>5305</v>
      </c>
      <c r="D50" s="258"/>
      <c r="E50" s="255"/>
      <c r="F50" s="258">
        <f>PL!D51</f>
        <v>0</v>
      </c>
      <c r="G50" s="255"/>
      <c r="H50" s="436" t="str">
        <f t="shared" si="5"/>
        <v/>
      </c>
      <c r="I50" s="410"/>
      <c r="J50" s="110"/>
      <c r="K50" s="110"/>
      <c r="L50" s="110"/>
      <c r="M50" s="110"/>
      <c r="N50" s="110"/>
      <c r="O50" s="226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3.5" customHeight="1">
      <c r="A51" s="351"/>
      <c r="B51" s="127" t="s">
        <v>5306</v>
      </c>
      <c r="C51" s="22" t="s">
        <v>5307</v>
      </c>
      <c r="D51" s="317">
        <f>SUM(D46:D50)</f>
        <v>51552879</v>
      </c>
      <c r="E51" s="439">
        <v>0.02</v>
      </c>
      <c r="F51" s="317">
        <f>SUM(F46:F50)</f>
        <v>29753689</v>
      </c>
      <c r="G51" s="439">
        <f>F51/F16</f>
        <v>1.5062836122596361E-2</v>
      </c>
      <c r="H51" s="436">
        <f t="shared" si="5"/>
        <v>-0.42285106909354181</v>
      </c>
      <c r="I51" s="410"/>
      <c r="J51" s="110"/>
      <c r="K51" s="110"/>
      <c r="L51" s="110"/>
      <c r="M51" s="110"/>
      <c r="N51" s="110"/>
      <c r="O51" s="226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3.5" customHeight="1">
      <c r="A52" s="351"/>
      <c r="B52" s="127"/>
      <c r="C52" s="22"/>
      <c r="D52" s="258"/>
      <c r="E52" s="51"/>
      <c r="F52" s="51">
        <f>PL!D53</f>
        <v>0</v>
      </c>
      <c r="G52" s="51"/>
      <c r="H52" s="51"/>
      <c r="I52" s="410"/>
      <c r="J52" s="110"/>
      <c r="K52" s="110"/>
      <c r="L52" s="110"/>
      <c r="M52" s="110"/>
      <c r="N52" s="110"/>
      <c r="O52" s="226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3.5" customHeight="1">
      <c r="A53" s="351"/>
      <c r="B53" s="127" t="s">
        <v>5308</v>
      </c>
      <c r="C53" s="22" t="s">
        <v>5309</v>
      </c>
      <c r="D53" s="258"/>
      <c r="E53" s="51"/>
      <c r="F53" s="51">
        <f>PL!D54</f>
        <v>0</v>
      </c>
      <c r="G53" s="51"/>
      <c r="H53" s="51"/>
      <c r="I53" s="410"/>
      <c r="J53" s="110"/>
      <c r="K53" s="110"/>
      <c r="L53" s="110"/>
      <c r="M53" s="110"/>
      <c r="N53" s="110"/>
      <c r="O53" s="226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3.5" customHeight="1">
      <c r="A54" s="110"/>
      <c r="B54" s="15"/>
      <c r="C54" s="340"/>
      <c r="D54" s="258"/>
      <c r="E54" s="51"/>
      <c r="F54" s="51">
        <f>PL!D55</f>
        <v>0</v>
      </c>
      <c r="G54" s="51"/>
      <c r="H54" s="51"/>
      <c r="I54" s="410"/>
      <c r="J54" s="110"/>
      <c r="K54" s="110"/>
      <c r="L54" s="110"/>
      <c r="M54" s="110"/>
      <c r="N54" s="110"/>
      <c r="O54" s="226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3.5" customHeight="1">
      <c r="A55" s="351"/>
      <c r="B55" s="127" t="s">
        <v>5310</v>
      </c>
      <c r="C55" s="22" t="s">
        <v>5311</v>
      </c>
      <c r="D55" s="258"/>
      <c r="E55" s="51"/>
      <c r="F55" s="51">
        <f>PL!D56</f>
        <v>0</v>
      </c>
      <c r="G55" s="51"/>
      <c r="H55" s="51"/>
      <c r="I55" s="410"/>
      <c r="J55" s="110"/>
      <c r="K55" s="110"/>
      <c r="L55" s="110"/>
      <c r="M55" s="110"/>
      <c r="N55" s="110"/>
      <c r="O55" s="226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3.5" customHeight="1">
      <c r="A56" s="110"/>
      <c r="B56" s="15" t="s">
        <v>3561</v>
      </c>
      <c r="C56" s="390" t="s">
        <v>5312</v>
      </c>
      <c r="D56" s="258"/>
      <c r="E56" s="51"/>
      <c r="F56" s="258">
        <f>PL!D57</f>
        <v>31185</v>
      </c>
      <c r="G56" s="51"/>
      <c r="H56" s="436" t="str">
        <f t="shared" ref="H56:H73" si="6">IF(D56=0,"",(F56-D56)/D56)</f>
        <v/>
      </c>
      <c r="I56" s="410"/>
      <c r="J56" s="110"/>
      <c r="K56" s="110"/>
      <c r="L56" s="110"/>
      <c r="M56" s="110"/>
      <c r="N56" s="110"/>
      <c r="O56" s="226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3.5" customHeight="1">
      <c r="A57" s="110"/>
      <c r="B57" s="15" t="s">
        <v>5313</v>
      </c>
      <c r="C57" s="390" t="s">
        <v>5314</v>
      </c>
      <c r="D57" s="258"/>
      <c r="E57" s="51"/>
      <c r="F57" s="258">
        <f>PL!D58</f>
        <v>0</v>
      </c>
      <c r="G57" s="51"/>
      <c r="H57" s="436" t="str">
        <f t="shared" si="6"/>
        <v/>
      </c>
      <c r="I57" s="410"/>
      <c r="J57" s="110"/>
      <c r="K57" s="110"/>
      <c r="L57" s="110"/>
      <c r="M57" s="110"/>
      <c r="N57" s="110"/>
      <c r="O57" s="226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3.5" customHeight="1">
      <c r="A58" s="110"/>
      <c r="B58" s="15" t="s">
        <v>1208</v>
      </c>
      <c r="C58" s="390" t="s">
        <v>5315</v>
      </c>
      <c r="D58" s="258">
        <v>8237620</v>
      </c>
      <c r="E58" s="51"/>
      <c r="F58" s="258">
        <f>PL!D59</f>
        <v>5658516</v>
      </c>
      <c r="G58" s="51"/>
      <c r="H58" s="436">
        <f t="shared" si="6"/>
        <v>-0.31308848915099263</v>
      </c>
      <c r="I58" s="410"/>
      <c r="J58" s="110"/>
      <c r="K58" s="110"/>
      <c r="L58" s="110"/>
      <c r="M58" s="110"/>
      <c r="N58" s="110"/>
      <c r="O58" s="226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3.5" customHeight="1">
      <c r="A59" s="110"/>
      <c r="B59" s="15" t="s">
        <v>471</v>
      </c>
      <c r="C59" s="390" t="s">
        <v>5316</v>
      </c>
      <c r="D59" s="258">
        <v>3500000</v>
      </c>
      <c r="E59" s="51"/>
      <c r="F59" s="258">
        <f>PL!D60</f>
        <v>3500000</v>
      </c>
      <c r="G59" s="51"/>
      <c r="H59" s="436">
        <f t="shared" si="6"/>
        <v>0</v>
      </c>
      <c r="I59" s="410"/>
      <c r="J59" s="110"/>
      <c r="K59" s="110"/>
      <c r="L59" s="110"/>
      <c r="M59" s="110"/>
      <c r="N59" s="110"/>
      <c r="O59" s="226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3.5" customHeight="1">
      <c r="A60" s="110"/>
      <c r="B60" s="15" t="s">
        <v>1404</v>
      </c>
      <c r="C60" s="390" t="s">
        <v>3672</v>
      </c>
      <c r="D60" s="258">
        <v>8287060</v>
      </c>
      <c r="E60" s="51"/>
      <c r="F60" s="258">
        <f>PL!D61</f>
        <v>4550070</v>
      </c>
      <c r="G60" s="51"/>
      <c r="H60" s="436">
        <f t="shared" si="6"/>
        <v>-0.45094279515292518</v>
      </c>
      <c r="I60" s="410"/>
      <c r="J60" s="110"/>
      <c r="K60" s="110"/>
      <c r="L60" s="110"/>
      <c r="M60" s="110"/>
      <c r="N60" s="110"/>
      <c r="O60" s="226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3.5" customHeight="1">
      <c r="A61" s="110"/>
      <c r="B61" s="15" t="s">
        <v>3662</v>
      </c>
      <c r="C61" s="390" t="s">
        <v>3663</v>
      </c>
      <c r="D61" s="258">
        <v>18000000</v>
      </c>
      <c r="E61" s="51"/>
      <c r="F61" s="258">
        <f>PL!D62</f>
        <v>18000000</v>
      </c>
      <c r="G61" s="51"/>
      <c r="H61" s="436">
        <f t="shared" si="6"/>
        <v>0</v>
      </c>
      <c r="I61" s="410"/>
      <c r="J61" s="110"/>
      <c r="K61" s="110"/>
      <c r="L61" s="110"/>
      <c r="M61" s="110"/>
      <c r="N61" s="110"/>
      <c r="O61" s="226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3.5" customHeight="1">
      <c r="A62" s="110"/>
      <c r="B62" s="15" t="s">
        <v>3105</v>
      </c>
      <c r="C62" s="390" t="s">
        <v>5317</v>
      </c>
      <c r="D62" s="258">
        <v>2250000</v>
      </c>
      <c r="E62" s="51"/>
      <c r="F62" s="258">
        <f>PL!D63</f>
        <v>2250000</v>
      </c>
      <c r="G62" s="51"/>
      <c r="H62" s="436">
        <f t="shared" si="6"/>
        <v>0</v>
      </c>
      <c r="I62" s="410"/>
      <c r="J62" s="110"/>
      <c r="K62" s="110"/>
      <c r="L62" s="110"/>
      <c r="M62" s="110"/>
      <c r="N62" s="110"/>
      <c r="O62" s="226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3.5" customHeight="1">
      <c r="A63" s="110"/>
      <c r="B63" s="15" t="s">
        <v>5318</v>
      </c>
      <c r="C63" s="390" t="s">
        <v>5319</v>
      </c>
      <c r="D63" s="258"/>
      <c r="E63" s="51"/>
      <c r="F63" s="258">
        <f>PL!D64</f>
        <v>0</v>
      </c>
      <c r="G63" s="51"/>
      <c r="H63" s="436" t="str">
        <f t="shared" si="6"/>
        <v/>
      </c>
      <c r="I63" s="410"/>
      <c r="J63" s="110"/>
      <c r="K63" s="110"/>
      <c r="L63" s="110"/>
      <c r="M63" s="110"/>
      <c r="N63" s="110"/>
      <c r="O63" s="226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3.5" customHeight="1">
      <c r="A64" s="110"/>
      <c r="B64" s="15" t="s">
        <v>403</v>
      </c>
      <c r="C64" s="390" t="s">
        <v>5320</v>
      </c>
      <c r="D64" s="258">
        <v>73000000</v>
      </c>
      <c r="E64" s="51"/>
      <c r="F64" s="258">
        <f>PL!D65</f>
        <v>82000000</v>
      </c>
      <c r="G64" s="51"/>
      <c r="H64" s="436">
        <f t="shared" si="6"/>
        <v>0.12328767123287671</v>
      </c>
      <c r="I64" s="410"/>
      <c r="J64" s="110"/>
      <c r="K64" s="110"/>
      <c r="L64" s="110"/>
      <c r="M64" s="110"/>
      <c r="N64" s="110"/>
      <c r="O64" s="226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3.5" customHeight="1">
      <c r="A65" s="110"/>
      <c r="B65" s="15" t="s">
        <v>3653</v>
      </c>
      <c r="C65" s="390" t="s">
        <v>5321</v>
      </c>
      <c r="D65" s="258">
        <v>2000000</v>
      </c>
      <c r="E65" s="51"/>
      <c r="F65" s="258">
        <f>PL!D66</f>
        <v>2000000</v>
      </c>
      <c r="G65" s="51"/>
      <c r="H65" s="436">
        <f t="shared" si="6"/>
        <v>0</v>
      </c>
      <c r="I65" s="410"/>
      <c r="J65" s="110"/>
      <c r="K65" s="110"/>
      <c r="L65" s="110"/>
      <c r="M65" s="110"/>
      <c r="N65" s="110"/>
      <c r="O65" s="226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3.5" customHeight="1">
      <c r="A66" s="110"/>
      <c r="B66" s="15" t="s">
        <v>5322</v>
      </c>
      <c r="C66" s="390" t="s">
        <v>5323</v>
      </c>
      <c r="D66" s="258"/>
      <c r="E66" s="51"/>
      <c r="F66" s="258">
        <f>PL!D67</f>
        <v>0</v>
      </c>
      <c r="G66" s="51"/>
      <c r="H66" s="436" t="str">
        <f t="shared" si="6"/>
        <v/>
      </c>
      <c r="I66" s="410"/>
      <c r="J66" s="110"/>
      <c r="K66" s="110"/>
      <c r="L66" s="110"/>
      <c r="M66" s="110"/>
      <c r="N66" s="110"/>
      <c r="O66" s="226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.5" customHeight="1">
      <c r="A67" s="110"/>
      <c r="B67" s="15" t="s">
        <v>5324</v>
      </c>
      <c r="C67" s="390" t="s">
        <v>5413</v>
      </c>
      <c r="D67" s="258"/>
      <c r="E67" s="51"/>
      <c r="F67" s="258">
        <f>PL!D68</f>
        <v>0</v>
      </c>
      <c r="G67" s="51"/>
      <c r="H67" s="436" t="str">
        <f t="shared" si="6"/>
        <v/>
      </c>
      <c r="I67" s="410"/>
      <c r="J67" s="110"/>
      <c r="K67" s="110"/>
      <c r="L67" s="110"/>
      <c r="M67" s="110"/>
      <c r="N67" s="110"/>
      <c r="O67" s="226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3.5" customHeight="1">
      <c r="A68" s="110"/>
      <c r="B68" s="15" t="s">
        <v>1770</v>
      </c>
      <c r="C68" s="390" t="s">
        <v>1771</v>
      </c>
      <c r="D68" s="258">
        <v>1122000</v>
      </c>
      <c r="E68" s="51"/>
      <c r="F68" s="258">
        <f>PL!D69</f>
        <v>2135500</v>
      </c>
      <c r="G68" s="51"/>
      <c r="H68" s="436">
        <f t="shared" si="6"/>
        <v>0.90329768270944744</v>
      </c>
      <c r="I68" s="410"/>
      <c r="J68" s="110"/>
      <c r="K68" s="110"/>
      <c r="L68" s="110"/>
      <c r="M68" s="110"/>
      <c r="N68" s="110"/>
      <c r="O68" s="226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3.5" customHeight="1">
      <c r="A69" s="110"/>
      <c r="B69" s="15" t="s">
        <v>3502</v>
      </c>
      <c r="C69" s="390" t="s">
        <v>5326</v>
      </c>
      <c r="D69" s="258">
        <v>25590445</v>
      </c>
      <c r="E69" s="51"/>
      <c r="F69" s="258">
        <f>PL!D70</f>
        <v>22704316</v>
      </c>
      <c r="G69" s="51"/>
      <c r="H69" s="436">
        <f t="shared" si="6"/>
        <v>-0.11278150887958377</v>
      </c>
      <c r="I69" s="410"/>
      <c r="J69" s="110"/>
      <c r="K69" s="110"/>
      <c r="L69" s="110"/>
      <c r="M69" s="110"/>
      <c r="N69" s="110"/>
      <c r="O69" s="226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3.5" customHeight="1">
      <c r="A70" s="110"/>
      <c r="B70" s="15" t="s">
        <v>5327</v>
      </c>
      <c r="C70" s="390" t="s">
        <v>5328</v>
      </c>
      <c r="D70" s="258">
        <v>6500000</v>
      </c>
      <c r="E70" s="51"/>
      <c r="F70" s="258">
        <f>PL!D71</f>
        <v>0</v>
      </c>
      <c r="G70" s="51"/>
      <c r="H70" s="436">
        <f t="shared" si="6"/>
        <v>-1</v>
      </c>
      <c r="I70" s="410"/>
      <c r="J70" s="110"/>
      <c r="K70" s="110"/>
      <c r="L70" s="110"/>
      <c r="M70" s="110"/>
      <c r="N70" s="110"/>
      <c r="O70" s="226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.5" customHeight="1">
      <c r="A71" s="110"/>
      <c r="B71" s="15" t="s">
        <v>3583</v>
      </c>
      <c r="C71" s="390" t="s">
        <v>5329</v>
      </c>
      <c r="D71" s="258">
        <v>75250000</v>
      </c>
      <c r="E71" s="51"/>
      <c r="F71" s="258">
        <f>PL!D72</f>
        <v>75250000</v>
      </c>
      <c r="G71" s="51"/>
      <c r="H71" s="436">
        <f t="shared" si="6"/>
        <v>0</v>
      </c>
      <c r="I71" s="410"/>
      <c r="J71" s="110"/>
      <c r="K71" s="110"/>
      <c r="L71" s="110"/>
      <c r="M71" s="110"/>
      <c r="N71" s="110"/>
      <c r="O71" s="226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3.5" customHeight="1">
      <c r="A72" s="110"/>
      <c r="B72" s="15" t="s">
        <v>5330</v>
      </c>
      <c r="C72" s="390" t="s">
        <v>5331</v>
      </c>
      <c r="D72" s="258"/>
      <c r="E72" s="51"/>
      <c r="F72" s="258">
        <f>PL!D73</f>
        <v>0</v>
      </c>
      <c r="G72" s="51"/>
      <c r="H72" s="436" t="str">
        <f t="shared" si="6"/>
        <v/>
      </c>
      <c r="I72" s="410"/>
      <c r="J72" s="110"/>
      <c r="K72" s="110"/>
      <c r="L72" s="110"/>
      <c r="M72" s="110"/>
      <c r="N72" s="110"/>
      <c r="O72" s="226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3.5" customHeight="1">
      <c r="A73" s="351"/>
      <c r="B73" s="127" t="s">
        <v>5332</v>
      </c>
      <c r="C73" s="22" t="s">
        <v>5333</v>
      </c>
      <c r="D73" s="317">
        <f>SUM(D56:D72)</f>
        <v>223737125</v>
      </c>
      <c r="E73" s="439">
        <v>0.1</v>
      </c>
      <c r="F73" s="317">
        <f>SUM(F56:F72)</f>
        <v>218079587</v>
      </c>
      <c r="G73" s="439">
        <f>F73/F16</f>
        <v>0.11040301861945576</v>
      </c>
      <c r="H73" s="436">
        <f t="shared" si="6"/>
        <v>-2.528654106912297E-2</v>
      </c>
      <c r="I73" s="410"/>
      <c r="J73" s="110"/>
      <c r="K73" s="110"/>
      <c r="L73" s="110"/>
      <c r="M73" s="110"/>
      <c r="N73" s="110"/>
      <c r="O73" s="226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.5" customHeight="1">
      <c r="A74" s="110"/>
      <c r="B74" s="15"/>
      <c r="C74" s="390"/>
      <c r="D74" s="258"/>
      <c r="E74" s="51"/>
      <c r="F74" s="51">
        <f>PL!D75</f>
        <v>0</v>
      </c>
      <c r="G74" s="51"/>
      <c r="H74" s="51"/>
      <c r="I74" s="410"/>
      <c r="J74" s="110"/>
      <c r="K74" s="110"/>
      <c r="L74" s="110"/>
      <c r="M74" s="110"/>
      <c r="N74" s="110"/>
      <c r="O74" s="226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3.5" customHeight="1">
      <c r="A75" s="351"/>
      <c r="B75" s="127" t="s">
        <v>5334</v>
      </c>
      <c r="C75" s="22" t="s">
        <v>5335</v>
      </c>
      <c r="D75" s="258"/>
      <c r="E75" s="51"/>
      <c r="F75" s="51">
        <f>PL!D76</f>
        <v>0</v>
      </c>
      <c r="G75" s="51"/>
      <c r="H75" s="51"/>
      <c r="I75" s="410"/>
      <c r="J75" s="110"/>
      <c r="K75" s="110"/>
      <c r="L75" s="110"/>
      <c r="M75" s="110"/>
      <c r="N75" s="110"/>
      <c r="O75" s="226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.5" customHeight="1">
      <c r="A76" s="110"/>
      <c r="B76" s="15" t="s">
        <v>188</v>
      </c>
      <c r="C76" s="390" t="s">
        <v>3669</v>
      </c>
      <c r="D76" s="258">
        <v>53611487</v>
      </c>
      <c r="E76" s="51"/>
      <c r="F76" s="258">
        <f>PL!D77</f>
        <v>68640219</v>
      </c>
      <c r="G76" s="51"/>
      <c r="H76" s="436">
        <f t="shared" ref="H76:H88" si="7">IF(D76=0,"",(F76-D76)/D76)</f>
        <v>0.28032671431031192</v>
      </c>
      <c r="I76" s="410"/>
      <c r="J76" s="110"/>
      <c r="K76" s="110"/>
      <c r="L76" s="110"/>
      <c r="M76" s="110"/>
      <c r="N76" s="110"/>
      <c r="O76" s="226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3.5" customHeight="1">
      <c r="A77" s="110"/>
      <c r="B77" s="15" t="s">
        <v>3108</v>
      </c>
      <c r="C77" s="390" t="s">
        <v>5336</v>
      </c>
      <c r="D77" s="258">
        <v>128083721</v>
      </c>
      <c r="E77" s="51"/>
      <c r="F77" s="258">
        <f>PL!D78</f>
        <v>113415165</v>
      </c>
      <c r="G77" s="51"/>
      <c r="H77" s="436">
        <f t="shared" si="7"/>
        <v>-0.11452318753294183</v>
      </c>
      <c r="I77" s="410"/>
      <c r="J77" s="110"/>
      <c r="K77" s="110"/>
      <c r="L77" s="110"/>
      <c r="M77" s="110"/>
      <c r="N77" s="110"/>
      <c r="O77" s="226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3.5" customHeight="1">
      <c r="A78" s="110"/>
      <c r="B78" s="15" t="s">
        <v>438</v>
      </c>
      <c r="C78" s="390" t="s">
        <v>5337</v>
      </c>
      <c r="D78" s="258">
        <v>2514100</v>
      </c>
      <c r="E78" s="51"/>
      <c r="F78" s="258">
        <f>PL!D79</f>
        <v>3629000</v>
      </c>
      <c r="G78" s="51"/>
      <c r="H78" s="436">
        <f t="shared" si="7"/>
        <v>0.44345889184996617</v>
      </c>
      <c r="I78" s="410"/>
      <c r="J78" s="110"/>
      <c r="K78" s="110"/>
      <c r="L78" s="110"/>
      <c r="M78" s="110"/>
      <c r="N78" s="110"/>
      <c r="O78" s="226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3.5" customHeight="1">
      <c r="A79" s="110"/>
      <c r="B79" s="15" t="s">
        <v>5338</v>
      </c>
      <c r="C79" s="390" t="s">
        <v>5339</v>
      </c>
      <c r="D79" s="258"/>
      <c r="E79" s="51"/>
      <c r="F79" s="258">
        <f>PL!D80</f>
        <v>0</v>
      </c>
      <c r="G79" s="51"/>
      <c r="H79" s="436" t="str">
        <f t="shared" si="7"/>
        <v/>
      </c>
      <c r="I79" s="410"/>
      <c r="J79" s="110"/>
      <c r="K79" s="110"/>
      <c r="L79" s="110"/>
      <c r="M79" s="110"/>
      <c r="N79" s="110"/>
      <c r="O79" s="226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3.5" customHeight="1">
      <c r="A80" s="110"/>
      <c r="B80" s="15" t="s">
        <v>3103</v>
      </c>
      <c r="C80" s="340" t="s">
        <v>5340</v>
      </c>
      <c r="D80" s="258">
        <v>2000000</v>
      </c>
      <c r="E80" s="51"/>
      <c r="F80" s="258">
        <f>PL!D81</f>
        <v>2000000</v>
      </c>
      <c r="G80" s="51"/>
      <c r="H80" s="436">
        <f t="shared" si="7"/>
        <v>0</v>
      </c>
      <c r="I80" s="410"/>
      <c r="J80" s="110"/>
      <c r="K80" s="110"/>
      <c r="L80" s="110"/>
      <c r="M80" s="110"/>
      <c r="N80" s="110"/>
      <c r="O80" s="226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3.5" customHeight="1">
      <c r="A81" s="110"/>
      <c r="B81" s="15" t="s">
        <v>5341</v>
      </c>
      <c r="C81" s="340" t="s">
        <v>5342</v>
      </c>
      <c r="D81" s="258"/>
      <c r="E81" s="51"/>
      <c r="F81" s="258">
        <f>PL!D82</f>
        <v>0</v>
      </c>
      <c r="G81" s="51"/>
      <c r="H81" s="436" t="str">
        <f t="shared" si="7"/>
        <v/>
      </c>
      <c r="I81" s="410"/>
      <c r="J81" s="110"/>
      <c r="K81" s="110"/>
      <c r="L81" s="110"/>
      <c r="M81" s="110"/>
      <c r="N81" s="110"/>
      <c r="O81" s="226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3.5" customHeight="1">
      <c r="A82" s="110"/>
      <c r="B82" s="15" t="s">
        <v>3196</v>
      </c>
      <c r="C82" s="340" t="s">
        <v>5343</v>
      </c>
      <c r="D82" s="258">
        <v>4700000</v>
      </c>
      <c r="E82" s="51"/>
      <c r="F82" s="258">
        <f>PL!D83</f>
        <v>4100000</v>
      </c>
      <c r="G82" s="51"/>
      <c r="H82" s="436">
        <f t="shared" si="7"/>
        <v>-0.1276595744680851</v>
      </c>
      <c r="I82" s="410"/>
      <c r="J82" s="110"/>
      <c r="K82" s="110"/>
      <c r="L82" s="110"/>
      <c r="M82" s="110"/>
      <c r="N82" s="110"/>
      <c r="O82" s="226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3.5" customHeight="1">
      <c r="A83" s="110"/>
      <c r="B83" s="15" t="s">
        <v>5344</v>
      </c>
      <c r="C83" s="340" t="s">
        <v>5345</v>
      </c>
      <c r="D83" s="258"/>
      <c r="E83" s="51"/>
      <c r="F83" s="258">
        <f>PL!D84</f>
        <v>0</v>
      </c>
      <c r="G83" s="51"/>
      <c r="H83" s="436" t="str">
        <f t="shared" si="7"/>
        <v/>
      </c>
      <c r="I83" s="410"/>
      <c r="J83" s="110"/>
      <c r="K83" s="110"/>
      <c r="L83" s="110"/>
      <c r="M83" s="110"/>
      <c r="N83" s="110"/>
      <c r="O83" s="226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3.5" customHeight="1">
      <c r="A84" s="110"/>
      <c r="B84" s="15" t="s">
        <v>5346</v>
      </c>
      <c r="C84" s="340" t="s">
        <v>5347</v>
      </c>
      <c r="D84" s="258"/>
      <c r="E84" s="51"/>
      <c r="F84" s="258">
        <f>PL!D85</f>
        <v>0</v>
      </c>
      <c r="G84" s="51"/>
      <c r="H84" s="436" t="str">
        <f t="shared" si="7"/>
        <v/>
      </c>
      <c r="I84" s="410"/>
      <c r="J84" s="110"/>
      <c r="K84" s="110"/>
      <c r="L84" s="110"/>
      <c r="M84" s="110"/>
      <c r="N84" s="110"/>
      <c r="O84" s="226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3.5" customHeight="1">
      <c r="A85" s="110"/>
      <c r="B85" s="15" t="s">
        <v>3171</v>
      </c>
      <c r="C85" s="340" t="s">
        <v>5348</v>
      </c>
      <c r="D85" s="258"/>
      <c r="E85" s="51"/>
      <c r="F85" s="258">
        <f>PL!D86</f>
        <v>1000000</v>
      </c>
      <c r="G85" s="51"/>
      <c r="H85" s="436" t="str">
        <f t="shared" si="7"/>
        <v/>
      </c>
      <c r="I85" s="410"/>
      <c r="J85" s="110"/>
      <c r="K85" s="110"/>
      <c r="L85" s="110"/>
      <c r="M85" s="110"/>
      <c r="N85" s="110"/>
      <c r="O85" s="226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3.5" customHeight="1">
      <c r="A86" s="110"/>
      <c r="B86" s="15" t="s">
        <v>3161</v>
      </c>
      <c r="C86" s="340" t="s">
        <v>5349</v>
      </c>
      <c r="D86" s="258">
        <v>2474664</v>
      </c>
      <c r="E86" s="51"/>
      <c r="F86" s="258">
        <f>PL!D87</f>
        <v>4958296</v>
      </c>
      <c r="G86" s="51"/>
      <c r="H86" s="436">
        <f t="shared" si="7"/>
        <v>1.0036239263188862</v>
      </c>
      <c r="I86" s="410"/>
      <c r="J86" s="110"/>
      <c r="K86" s="110"/>
      <c r="L86" s="110"/>
      <c r="M86" s="110"/>
      <c r="N86" s="110"/>
      <c r="O86" s="226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3.5" customHeight="1">
      <c r="A87" s="110"/>
      <c r="B87" s="15" t="s">
        <v>933</v>
      </c>
      <c r="C87" s="340" t="s">
        <v>5350</v>
      </c>
      <c r="D87" s="258">
        <v>7630700</v>
      </c>
      <c r="E87" s="51"/>
      <c r="F87" s="258">
        <f>PL!D88</f>
        <v>642320</v>
      </c>
      <c r="G87" s="51"/>
      <c r="H87" s="436">
        <f t="shared" si="7"/>
        <v>-0.91582423630859555</v>
      </c>
      <c r="I87" s="410"/>
      <c r="J87" s="110"/>
      <c r="K87" s="110"/>
      <c r="L87" s="110"/>
      <c r="M87" s="110"/>
      <c r="N87" s="110"/>
      <c r="O87" s="226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3.5" customHeight="1">
      <c r="A88" s="351"/>
      <c r="B88" s="127" t="s">
        <v>5351</v>
      </c>
      <c r="C88" s="22" t="s">
        <v>5352</v>
      </c>
      <c r="D88" s="317">
        <f>SUM(D76:D87)</f>
        <v>201014672</v>
      </c>
      <c r="E88" s="439">
        <v>0.09</v>
      </c>
      <c r="F88" s="317">
        <f>SUM(F76:F87)</f>
        <v>198385000</v>
      </c>
      <c r="G88" s="439">
        <f>F88/F16</f>
        <v>0.10043261338724348</v>
      </c>
      <c r="H88" s="436">
        <f t="shared" si="7"/>
        <v>-1.3081990353420571E-2</v>
      </c>
      <c r="I88" s="410"/>
      <c r="J88" s="110"/>
      <c r="K88" s="110"/>
      <c r="L88" s="110"/>
      <c r="M88" s="110"/>
      <c r="N88" s="110"/>
      <c r="O88" s="226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3.5" customHeight="1">
      <c r="A89" s="110"/>
      <c r="B89" s="15"/>
      <c r="C89" s="340"/>
      <c r="D89" s="258"/>
      <c r="E89" s="255"/>
      <c r="F89" s="51">
        <f>PL!D90</f>
        <v>0</v>
      </c>
      <c r="G89" s="255"/>
      <c r="H89" s="51"/>
      <c r="I89" s="410"/>
      <c r="J89" s="110"/>
      <c r="K89" s="110"/>
      <c r="L89" s="110"/>
      <c r="M89" s="110"/>
      <c r="N89" s="110"/>
      <c r="O89" s="226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3.5" customHeight="1">
      <c r="A90" s="351"/>
      <c r="B90" s="127" t="s">
        <v>5353</v>
      </c>
      <c r="C90" s="22" t="s">
        <v>5354</v>
      </c>
      <c r="D90" s="258"/>
      <c r="E90" s="255"/>
      <c r="F90" s="51">
        <f>PL!D91</f>
        <v>0</v>
      </c>
      <c r="G90" s="255"/>
      <c r="H90" s="51"/>
      <c r="I90" s="410"/>
      <c r="J90" s="110"/>
      <c r="K90" s="110"/>
      <c r="L90" s="110"/>
      <c r="M90" s="110"/>
      <c r="N90" s="110"/>
      <c r="O90" s="226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3.5" customHeight="1">
      <c r="A91" s="110"/>
      <c r="B91" s="15" t="s">
        <v>5355</v>
      </c>
      <c r="C91" s="390" t="s">
        <v>5356</v>
      </c>
      <c r="D91" s="258"/>
      <c r="E91" s="255"/>
      <c r="F91" s="258">
        <f>PL!D92</f>
        <v>0</v>
      </c>
      <c r="G91" s="255"/>
      <c r="H91" s="436" t="str">
        <f t="shared" ref="H91:H96" si="8">IF(D91=0,"",(F91-D91)/D91)</f>
        <v/>
      </c>
      <c r="I91" s="410"/>
      <c r="J91" s="110"/>
      <c r="K91" s="110"/>
      <c r="L91" s="110"/>
      <c r="M91" s="110"/>
      <c r="N91" s="110"/>
      <c r="O91" s="226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3.5" customHeight="1">
      <c r="A92" s="110"/>
      <c r="B92" s="15" t="s">
        <v>1226</v>
      </c>
      <c r="C92" s="390" t="s">
        <v>5357</v>
      </c>
      <c r="D92" s="258">
        <v>646000</v>
      </c>
      <c r="E92" s="255"/>
      <c r="F92" s="258">
        <f>PL!D93</f>
        <v>2210267</v>
      </c>
      <c r="G92" s="255"/>
      <c r="H92" s="436">
        <f t="shared" si="8"/>
        <v>2.421465944272446</v>
      </c>
      <c r="I92" s="410"/>
      <c r="J92" s="110"/>
      <c r="K92" s="110"/>
      <c r="L92" s="110"/>
      <c r="M92" s="110"/>
      <c r="N92" s="110"/>
      <c r="O92" s="226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.5" customHeight="1">
      <c r="A93" s="110"/>
      <c r="B93" s="15" t="s">
        <v>1608</v>
      </c>
      <c r="C93" s="390" t="s">
        <v>5358</v>
      </c>
      <c r="D93" s="258">
        <v>2448000</v>
      </c>
      <c r="E93" s="255"/>
      <c r="F93" s="258">
        <f>PL!D94</f>
        <v>18180000</v>
      </c>
      <c r="G93" s="255"/>
      <c r="H93" s="436">
        <f t="shared" si="8"/>
        <v>6.4264705882352944</v>
      </c>
      <c r="I93" s="410"/>
      <c r="J93" s="110"/>
      <c r="K93" s="110"/>
      <c r="L93" s="110"/>
      <c r="M93" s="110"/>
      <c r="N93" s="110"/>
      <c r="O93" s="226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.5" customHeight="1">
      <c r="A94" s="110"/>
      <c r="B94" s="15" t="s">
        <v>2612</v>
      </c>
      <c r="C94" s="340" t="s">
        <v>5359</v>
      </c>
      <c r="D94" s="258">
        <v>6871000</v>
      </c>
      <c r="E94" s="255"/>
      <c r="F94" s="258">
        <f>PL!D95</f>
        <v>7774010</v>
      </c>
      <c r="G94" s="255"/>
      <c r="H94" s="436">
        <f t="shared" si="8"/>
        <v>0.13142337359918499</v>
      </c>
      <c r="I94" s="410"/>
      <c r="J94" s="110"/>
      <c r="K94" s="110"/>
      <c r="L94" s="110"/>
      <c r="M94" s="110"/>
      <c r="N94" s="110"/>
      <c r="O94" s="226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.5" customHeight="1">
      <c r="A95" s="110"/>
      <c r="B95" s="15" t="s">
        <v>3140</v>
      </c>
      <c r="C95" s="340" t="s">
        <v>5360</v>
      </c>
      <c r="D95" s="258">
        <v>1200000</v>
      </c>
      <c r="E95" s="255"/>
      <c r="F95" s="258">
        <f>PL!D96</f>
        <v>1200000</v>
      </c>
      <c r="G95" s="255"/>
      <c r="H95" s="436">
        <f t="shared" si="8"/>
        <v>0</v>
      </c>
      <c r="I95" s="410"/>
      <c r="J95" s="110"/>
      <c r="K95" s="110"/>
      <c r="L95" s="110"/>
      <c r="M95" s="110"/>
      <c r="N95" s="110"/>
      <c r="O95" s="226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3.5" customHeight="1">
      <c r="A96" s="351"/>
      <c r="B96" s="127" t="s">
        <v>5361</v>
      </c>
      <c r="C96" s="22" t="s">
        <v>5362</v>
      </c>
      <c r="D96" s="317">
        <f>SUM(D91:D95)</f>
        <v>11165000</v>
      </c>
      <c r="E96" s="439">
        <v>0</v>
      </c>
      <c r="F96" s="317">
        <f>SUM(F91:F95)</f>
        <v>29364277</v>
      </c>
      <c r="G96" s="439">
        <f>F96/F16</f>
        <v>1.4865695891004491E-2</v>
      </c>
      <c r="H96" s="436">
        <f t="shared" si="8"/>
        <v>1.6300292879534259</v>
      </c>
      <c r="I96" s="410"/>
      <c r="J96" s="110"/>
      <c r="K96" s="110"/>
      <c r="L96" s="110"/>
      <c r="M96" s="110"/>
      <c r="N96" s="110"/>
      <c r="O96" s="226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3.5" customHeight="1">
      <c r="A97" s="110"/>
      <c r="B97" s="15"/>
      <c r="C97" s="340"/>
      <c r="D97" s="258"/>
      <c r="E97" s="51"/>
      <c r="F97" s="51">
        <f>PL!D98</f>
        <v>0</v>
      </c>
      <c r="G97" s="51"/>
      <c r="H97" s="51"/>
      <c r="I97" s="410"/>
      <c r="J97" s="110"/>
      <c r="K97" s="110"/>
      <c r="L97" s="110"/>
      <c r="M97" s="110"/>
      <c r="N97" s="110"/>
      <c r="O97" s="226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3.5" customHeight="1">
      <c r="A98" s="110"/>
      <c r="B98" s="422" t="s">
        <v>5363</v>
      </c>
      <c r="C98" s="22" t="s">
        <v>5364</v>
      </c>
      <c r="D98" s="258"/>
      <c r="E98" s="51"/>
      <c r="F98" s="51">
        <f>PL!D99</f>
        <v>0</v>
      </c>
      <c r="G98" s="51"/>
      <c r="H98" s="51"/>
      <c r="I98" s="410"/>
      <c r="J98" s="110"/>
      <c r="K98" s="110"/>
      <c r="L98" s="110"/>
      <c r="M98" s="110"/>
      <c r="N98" s="110"/>
      <c r="O98" s="226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3.5" customHeight="1">
      <c r="A99" s="110"/>
      <c r="B99" s="15" t="s">
        <v>5365</v>
      </c>
      <c r="C99" s="340" t="s">
        <v>5366</v>
      </c>
      <c r="D99" s="258"/>
      <c r="E99" s="51"/>
      <c r="F99" s="258">
        <f>PL!D100</f>
        <v>0</v>
      </c>
      <c r="G99" s="51"/>
      <c r="H99" s="436" t="str">
        <f t="shared" ref="H99:H106" si="9">IF(D99=0,"",(F99-D99)/D99)</f>
        <v/>
      </c>
      <c r="I99" s="410"/>
      <c r="J99" s="110"/>
      <c r="K99" s="110"/>
      <c r="L99" s="110"/>
      <c r="M99" s="110"/>
      <c r="N99" s="110"/>
      <c r="O99" s="226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3.5" customHeight="1">
      <c r="A100" s="110"/>
      <c r="B100" s="15" t="s">
        <v>3777</v>
      </c>
      <c r="C100" s="340" t="s">
        <v>5367</v>
      </c>
      <c r="D100" s="258"/>
      <c r="E100" s="51"/>
      <c r="F100" s="258">
        <f>PL!D101</f>
        <v>1998000</v>
      </c>
      <c r="G100" s="51"/>
      <c r="H100" s="436" t="str">
        <f t="shared" si="9"/>
        <v/>
      </c>
      <c r="I100" s="410"/>
      <c r="J100" s="110"/>
      <c r="K100" s="110"/>
      <c r="L100" s="110"/>
      <c r="M100" s="110"/>
      <c r="N100" s="110"/>
      <c r="O100" s="226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3.5" customHeight="1">
      <c r="A101" s="110"/>
      <c r="B101" s="15" t="s">
        <v>5368</v>
      </c>
      <c r="C101" s="340" t="s">
        <v>5369</v>
      </c>
      <c r="D101" s="258"/>
      <c r="E101" s="51"/>
      <c r="F101" s="258">
        <f>PL!D102</f>
        <v>0</v>
      </c>
      <c r="G101" s="51"/>
      <c r="H101" s="436" t="str">
        <f t="shared" si="9"/>
        <v/>
      </c>
      <c r="I101" s="410"/>
      <c r="J101" s="110"/>
      <c r="K101" s="110"/>
      <c r="L101" s="110"/>
      <c r="M101" s="110"/>
      <c r="N101" s="110"/>
      <c r="O101" s="226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3.5" customHeight="1">
      <c r="A102" s="110"/>
      <c r="B102" s="15" t="s">
        <v>5370</v>
      </c>
      <c r="C102" s="340" t="s">
        <v>5371</v>
      </c>
      <c r="D102" s="258"/>
      <c r="E102" s="51"/>
      <c r="F102" s="258">
        <f>PL!D103</f>
        <v>0</v>
      </c>
      <c r="G102" s="51"/>
      <c r="H102" s="436" t="str">
        <f t="shared" si="9"/>
        <v/>
      </c>
      <c r="I102" s="410"/>
      <c r="J102" s="110"/>
      <c r="K102" s="110"/>
      <c r="L102" s="110"/>
      <c r="M102" s="110"/>
      <c r="N102" s="110"/>
      <c r="O102" s="226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3.5" customHeight="1">
      <c r="A103" s="110"/>
      <c r="B103" s="15" t="s">
        <v>801</v>
      </c>
      <c r="C103" s="340" t="s">
        <v>5372</v>
      </c>
      <c r="D103" s="258"/>
      <c r="E103" s="51"/>
      <c r="F103" s="258">
        <f>PL!D104</f>
        <v>2810000</v>
      </c>
      <c r="G103" s="51"/>
      <c r="H103" s="436" t="str">
        <f t="shared" si="9"/>
        <v/>
      </c>
      <c r="I103" s="410"/>
      <c r="J103" s="110"/>
      <c r="K103" s="110"/>
      <c r="L103" s="110"/>
      <c r="M103" s="110"/>
      <c r="N103" s="110"/>
      <c r="O103" s="226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3.5" customHeight="1">
      <c r="A104" s="110"/>
      <c r="B104" s="15" t="s">
        <v>5373</v>
      </c>
      <c r="C104" s="340" t="s">
        <v>5374</v>
      </c>
      <c r="D104" s="258"/>
      <c r="E104" s="51"/>
      <c r="F104" s="258">
        <f>PL!D105</f>
        <v>0</v>
      </c>
      <c r="G104" s="51"/>
      <c r="H104" s="436" t="str">
        <f t="shared" si="9"/>
        <v/>
      </c>
      <c r="I104" s="410"/>
      <c r="J104" s="110"/>
      <c r="K104" s="110"/>
      <c r="L104" s="110"/>
      <c r="M104" s="110"/>
      <c r="N104" s="110"/>
      <c r="O104" s="226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3.5" customHeight="1">
      <c r="A105" s="110"/>
      <c r="B105" s="15" t="s">
        <v>5375</v>
      </c>
      <c r="C105" s="340" t="s">
        <v>5376</v>
      </c>
      <c r="D105" s="258"/>
      <c r="E105" s="51"/>
      <c r="F105" s="258">
        <f>PL!D106</f>
        <v>0</v>
      </c>
      <c r="G105" s="51"/>
      <c r="H105" s="436" t="str">
        <f t="shared" si="9"/>
        <v/>
      </c>
      <c r="I105" s="410"/>
      <c r="J105" s="110"/>
      <c r="K105" s="110"/>
      <c r="L105" s="110"/>
      <c r="M105" s="110"/>
      <c r="N105" s="110"/>
      <c r="O105" s="226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3.5" customHeight="1">
      <c r="A106" s="110"/>
      <c r="B106" s="422" t="s">
        <v>5377</v>
      </c>
      <c r="C106" s="22" t="s">
        <v>5378</v>
      </c>
      <c r="D106" s="317">
        <f>SUM(D99:D105)</f>
        <v>0</v>
      </c>
      <c r="E106" s="439">
        <v>0</v>
      </c>
      <c r="F106" s="317">
        <f>SUM(F99:F105)</f>
        <v>4808000</v>
      </c>
      <c r="G106" s="439">
        <f>F106/F16</f>
        <v>2.4340550201167764E-3</v>
      </c>
      <c r="H106" s="436" t="str">
        <f t="shared" si="9"/>
        <v/>
      </c>
      <c r="I106" s="410"/>
      <c r="J106" s="110"/>
      <c r="K106" s="110"/>
      <c r="L106" s="110"/>
      <c r="M106" s="110"/>
      <c r="N106" s="110"/>
      <c r="O106" s="226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3.5" customHeight="1">
      <c r="A107" s="110"/>
      <c r="B107" s="15"/>
      <c r="C107" s="340"/>
      <c r="D107" s="255"/>
      <c r="E107" s="255"/>
      <c r="F107" s="255"/>
      <c r="G107" s="255"/>
      <c r="H107" s="255"/>
      <c r="I107" s="410"/>
      <c r="J107" s="110"/>
      <c r="K107" s="110"/>
      <c r="L107" s="110"/>
      <c r="M107" s="110"/>
      <c r="N107" s="330"/>
      <c r="O107" s="226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3.5" customHeight="1">
      <c r="A108" s="110"/>
      <c r="B108" s="15"/>
      <c r="C108" s="22" t="s">
        <v>5379</v>
      </c>
      <c r="D108" s="317">
        <f>D16-D28-D43-D51-D73-D88-D96-D106</f>
        <v>262534522</v>
      </c>
      <c r="E108" s="439">
        <v>0.12</v>
      </c>
      <c r="F108" s="317">
        <f>F16-F28-F43-F51-F73-F88-F96-F106</f>
        <v>117298718.21884966</v>
      </c>
      <c r="G108" s="439">
        <f>F108/F16</f>
        <v>5.9382598571933065E-2</v>
      </c>
      <c r="H108" s="436">
        <f>IF(D108=0,"",(F108-D108)/D108)</f>
        <v>-0.55320649899577912</v>
      </c>
      <c r="I108" s="410"/>
      <c r="J108" s="110"/>
      <c r="K108" s="110"/>
      <c r="L108" s="110"/>
      <c r="M108" s="110"/>
      <c r="N108" s="110"/>
      <c r="O108" s="226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3.5" customHeight="1">
      <c r="A109" s="110"/>
      <c r="B109" s="15"/>
      <c r="C109" s="340"/>
      <c r="D109" s="258"/>
      <c r="E109" s="51"/>
      <c r="F109" s="51">
        <f>PL!D110</f>
        <v>0</v>
      </c>
      <c r="G109" s="51"/>
      <c r="H109" s="51"/>
      <c r="I109" s="410"/>
      <c r="J109" s="110"/>
      <c r="K109" s="110"/>
      <c r="L109" s="110"/>
      <c r="M109" s="110"/>
      <c r="N109" s="110"/>
      <c r="O109" s="226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3.5" customHeight="1">
      <c r="A110" s="351"/>
      <c r="B110" s="127" t="s">
        <v>5380</v>
      </c>
      <c r="C110" s="418" t="s">
        <v>5381</v>
      </c>
      <c r="D110" s="258"/>
      <c r="E110" s="51"/>
      <c r="F110" s="51">
        <f>PL!D111</f>
        <v>0</v>
      </c>
      <c r="G110" s="51"/>
      <c r="H110" s="51"/>
      <c r="I110" s="410"/>
      <c r="J110" s="110"/>
      <c r="K110" s="110"/>
      <c r="L110" s="110"/>
      <c r="M110" s="110"/>
      <c r="N110" s="110"/>
      <c r="O110" s="226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3.5" customHeight="1">
      <c r="A111" s="110"/>
      <c r="B111" s="15" t="s">
        <v>3581</v>
      </c>
      <c r="C111" s="340" t="s">
        <v>3582</v>
      </c>
      <c r="D111" s="258">
        <v>65000000</v>
      </c>
      <c r="E111" s="51"/>
      <c r="F111" s="258">
        <f>PL!D112</f>
        <v>65000000</v>
      </c>
      <c r="G111" s="51"/>
      <c r="H111" s="436">
        <f t="shared" ref="H111:H119" si="10">IF(D111=0,"",(F111-D111)/D111)</f>
        <v>0</v>
      </c>
      <c r="I111" s="410"/>
      <c r="J111" s="110"/>
      <c r="K111" s="110"/>
      <c r="L111" s="110"/>
      <c r="M111" s="110"/>
      <c r="N111" s="110"/>
      <c r="O111" s="226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3.5" customHeight="1">
      <c r="A112" s="110"/>
      <c r="B112" s="15" t="s">
        <v>3584</v>
      </c>
      <c r="C112" s="340" t="s">
        <v>3585</v>
      </c>
      <c r="D112" s="258">
        <v>12104623</v>
      </c>
      <c r="E112" s="51"/>
      <c r="F112" s="258">
        <f>PL!D113</f>
        <v>12104623.216666667</v>
      </c>
      <c r="G112" s="51"/>
      <c r="H112" s="436">
        <f t="shared" si="10"/>
        <v>1.7899497307007661E-8</v>
      </c>
      <c r="I112" s="410"/>
      <c r="J112" s="110"/>
      <c r="K112" s="110"/>
      <c r="L112" s="110"/>
      <c r="M112" s="110"/>
      <c r="N112" s="110"/>
      <c r="O112" s="226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3.5" customHeight="1">
      <c r="A113" s="110"/>
      <c r="B113" s="178">
        <v>804782</v>
      </c>
      <c r="C113" s="340" t="s">
        <v>3587</v>
      </c>
      <c r="D113" s="258">
        <v>33077535</v>
      </c>
      <c r="E113" s="51"/>
      <c r="F113" s="258">
        <f>PL!D114</f>
        <v>31561415.395833321</v>
      </c>
      <c r="G113" s="51"/>
      <c r="H113" s="436">
        <f t="shared" si="10"/>
        <v>-4.5835326125924412E-2</v>
      </c>
      <c r="I113" s="410"/>
      <c r="J113" s="110"/>
      <c r="K113" s="110"/>
      <c r="L113" s="110"/>
      <c r="M113" s="110"/>
      <c r="N113" s="110"/>
      <c r="O113" s="226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3.5" customHeight="1">
      <c r="A114" s="110"/>
      <c r="B114" s="15" t="s">
        <v>3588</v>
      </c>
      <c r="C114" s="340" t="s">
        <v>3589</v>
      </c>
      <c r="D114" s="258">
        <v>7920608</v>
      </c>
      <c r="E114" s="51"/>
      <c r="F114" s="258">
        <f>PL!D115</f>
        <v>7885536.666666666</v>
      </c>
      <c r="G114" s="51"/>
      <c r="H114" s="436">
        <f t="shared" si="10"/>
        <v>-4.4278587367704543E-3</v>
      </c>
      <c r="I114" s="410"/>
      <c r="J114" s="110"/>
      <c r="K114" s="110"/>
      <c r="L114" s="110"/>
      <c r="M114" s="110"/>
      <c r="N114" s="110"/>
      <c r="O114" s="226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3.5" customHeight="1">
      <c r="A115" s="110"/>
      <c r="B115" s="15" t="s">
        <v>5382</v>
      </c>
      <c r="C115" s="340" t="s">
        <v>5383</v>
      </c>
      <c r="D115" s="258"/>
      <c r="E115" s="51"/>
      <c r="F115" s="258">
        <f>PL!D116</f>
        <v>0</v>
      </c>
      <c r="G115" s="51"/>
      <c r="H115" s="436" t="str">
        <f t="shared" si="10"/>
        <v/>
      </c>
      <c r="I115" s="410"/>
      <c r="J115" s="110"/>
      <c r="K115" s="110"/>
      <c r="L115" s="110"/>
      <c r="M115" s="110"/>
      <c r="N115" s="110"/>
      <c r="O115" s="226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3.5" customHeight="1">
      <c r="A116" s="110"/>
      <c r="B116" s="15" t="s">
        <v>3590</v>
      </c>
      <c r="C116" s="340" t="s">
        <v>3591</v>
      </c>
      <c r="D116" s="258">
        <v>1900000</v>
      </c>
      <c r="E116" s="51"/>
      <c r="F116" s="258">
        <f>PL!D117</f>
        <v>1900000</v>
      </c>
      <c r="G116" s="51"/>
      <c r="H116" s="436">
        <f t="shared" si="10"/>
        <v>0</v>
      </c>
      <c r="I116" s="410"/>
      <c r="J116" s="110"/>
      <c r="K116" s="110"/>
      <c r="L116" s="110"/>
      <c r="M116" s="110"/>
      <c r="N116" s="110"/>
      <c r="O116" s="226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3.5" customHeight="1">
      <c r="A117" s="110"/>
      <c r="B117" s="15" t="s">
        <v>3592</v>
      </c>
      <c r="C117" s="340" t="s">
        <v>3593</v>
      </c>
      <c r="D117" s="258">
        <v>643415</v>
      </c>
      <c r="E117" s="51"/>
      <c r="F117" s="258">
        <f>PL!D118</f>
        <v>643414.58333333326</v>
      </c>
      <c r="G117" s="51"/>
      <c r="H117" s="436">
        <f t="shared" si="10"/>
        <v>-6.475861873662828E-7</v>
      </c>
      <c r="I117" s="410"/>
      <c r="J117" s="110"/>
      <c r="K117" s="110"/>
      <c r="L117" s="110"/>
      <c r="M117" s="110"/>
      <c r="N117" s="110"/>
      <c r="O117" s="226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3.5" customHeight="1">
      <c r="A118" s="351"/>
      <c r="B118" s="15" t="s">
        <v>3594</v>
      </c>
      <c r="C118" s="390" t="s">
        <v>3595</v>
      </c>
      <c r="D118" s="258">
        <v>4642875</v>
      </c>
      <c r="E118" s="51"/>
      <c r="F118" s="258">
        <f>PL!D119</f>
        <v>4642875</v>
      </c>
      <c r="G118" s="51"/>
      <c r="H118" s="436">
        <f t="shared" si="10"/>
        <v>0</v>
      </c>
      <c r="I118" s="410"/>
      <c r="J118" s="110"/>
      <c r="K118" s="110"/>
      <c r="L118" s="110"/>
      <c r="M118" s="110"/>
      <c r="N118" s="110"/>
      <c r="O118" s="226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3.5" customHeight="1">
      <c r="A119" s="351"/>
      <c r="B119" s="127" t="s">
        <v>5384</v>
      </c>
      <c r="C119" s="22" t="s">
        <v>5385</v>
      </c>
      <c r="D119" s="317">
        <f>SUM(D111:D118)</f>
        <v>125289056</v>
      </c>
      <c r="E119" s="439">
        <v>0.06</v>
      </c>
      <c r="F119" s="317">
        <f>SUM(F111:F118)</f>
        <v>123737864.86249998</v>
      </c>
      <c r="G119" s="439">
        <f>F119/F16</f>
        <v>6.2642423283506513E-2</v>
      </c>
      <c r="H119" s="436">
        <f t="shared" si="10"/>
        <v>-1.2380898915065797E-2</v>
      </c>
      <c r="I119" s="410"/>
      <c r="J119" s="110"/>
      <c r="K119" s="110"/>
      <c r="L119" s="110"/>
      <c r="M119" s="110"/>
      <c r="N119" s="110"/>
      <c r="O119" s="226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3.5" customHeight="1">
      <c r="A120" s="110"/>
      <c r="B120" s="15"/>
      <c r="C120" s="340"/>
      <c r="D120" s="258"/>
      <c r="E120" s="51"/>
      <c r="F120" s="51">
        <f>PL!D121</f>
        <v>0</v>
      </c>
      <c r="G120" s="51"/>
      <c r="H120" s="51"/>
      <c r="I120" s="410"/>
      <c r="J120" s="110"/>
      <c r="K120" s="110"/>
      <c r="L120" s="110"/>
      <c r="M120" s="110"/>
      <c r="N120" s="110"/>
      <c r="O120" s="226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3.5" customHeight="1">
      <c r="A121" s="351"/>
      <c r="B121" s="127" t="s">
        <v>5386</v>
      </c>
      <c r="C121" s="22" t="s">
        <v>5387</v>
      </c>
      <c r="D121" s="258"/>
      <c r="E121" s="51"/>
      <c r="F121" s="51">
        <f>PL!D122</f>
        <v>0</v>
      </c>
      <c r="G121" s="51"/>
      <c r="H121" s="51"/>
      <c r="I121" s="410"/>
      <c r="J121" s="110"/>
      <c r="K121" s="110"/>
      <c r="L121" s="110"/>
      <c r="M121" s="110"/>
      <c r="N121" s="110"/>
      <c r="O121" s="226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.5" customHeight="1">
      <c r="A122" s="110"/>
      <c r="B122" s="15" t="s">
        <v>1721</v>
      </c>
      <c r="C122" s="390" t="s">
        <v>5388</v>
      </c>
      <c r="D122" s="258">
        <v>6113</v>
      </c>
      <c r="E122" s="51"/>
      <c r="F122" s="258">
        <f>PL!D123</f>
        <v>22743.93</v>
      </c>
      <c r="G122" s="51"/>
      <c r="H122" s="436">
        <f t="shared" ref="H122:H127" si="11">IF(D122=0,"",(F122-D122)/D122)</f>
        <v>2.7205840013086866</v>
      </c>
      <c r="I122" s="410"/>
      <c r="J122" s="110"/>
      <c r="K122" s="110"/>
      <c r="L122" s="110"/>
      <c r="M122" s="110"/>
      <c r="N122" s="110"/>
      <c r="O122" s="226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.5" customHeight="1">
      <c r="A123" s="110"/>
      <c r="B123" s="15" t="s">
        <v>5389</v>
      </c>
      <c r="C123" s="390" t="s">
        <v>5390</v>
      </c>
      <c r="D123" s="258"/>
      <c r="E123" s="51"/>
      <c r="F123" s="258">
        <f>PL!D124</f>
        <v>0</v>
      </c>
      <c r="G123" s="51"/>
      <c r="H123" s="436" t="str">
        <f t="shared" si="11"/>
        <v/>
      </c>
      <c r="I123" s="410"/>
      <c r="J123" s="110"/>
      <c r="K123" s="110"/>
      <c r="L123" s="110"/>
      <c r="M123" s="110"/>
      <c r="N123" s="110"/>
      <c r="O123" s="226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.5" customHeight="1">
      <c r="A124" s="110"/>
      <c r="B124" s="15" t="s">
        <v>869</v>
      </c>
      <c r="C124" s="390" t="s">
        <v>5391</v>
      </c>
      <c r="D124" s="258">
        <v>8500000</v>
      </c>
      <c r="E124" s="51"/>
      <c r="F124" s="258">
        <f>PL!D125</f>
        <v>170000</v>
      </c>
      <c r="G124" s="51"/>
      <c r="H124" s="436">
        <f t="shared" si="11"/>
        <v>-0.98</v>
      </c>
      <c r="I124" s="410"/>
      <c r="J124" s="110"/>
      <c r="K124" s="110"/>
      <c r="L124" s="110"/>
      <c r="M124" s="110"/>
      <c r="N124" s="110"/>
      <c r="O124" s="226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.5" customHeight="1">
      <c r="A125" s="110"/>
      <c r="B125" s="15" t="s">
        <v>5392</v>
      </c>
      <c r="C125" s="390" t="s">
        <v>5393</v>
      </c>
      <c r="D125" s="258"/>
      <c r="E125" s="51"/>
      <c r="F125" s="258">
        <f>PL!D126</f>
        <v>0</v>
      </c>
      <c r="G125" s="51"/>
      <c r="H125" s="436" t="str">
        <f t="shared" si="11"/>
        <v/>
      </c>
      <c r="I125" s="410"/>
      <c r="J125" s="110"/>
      <c r="K125" s="110"/>
      <c r="L125" s="110"/>
      <c r="M125" s="110"/>
      <c r="N125" s="110"/>
      <c r="O125" s="226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.5" customHeight="1">
      <c r="A126" s="351"/>
      <c r="B126" s="15" t="s">
        <v>5394</v>
      </c>
      <c r="C126" s="390" t="s">
        <v>5395</v>
      </c>
      <c r="D126" s="258"/>
      <c r="E126" s="51"/>
      <c r="F126" s="258">
        <f>PL!D127</f>
        <v>0</v>
      </c>
      <c r="G126" s="51"/>
      <c r="H126" s="436" t="str">
        <f t="shared" si="11"/>
        <v/>
      </c>
      <c r="I126" s="410"/>
      <c r="J126" s="110"/>
      <c r="K126" s="110"/>
      <c r="L126" s="110"/>
      <c r="M126" s="110"/>
      <c r="N126" s="110"/>
      <c r="O126" s="226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.5" customHeight="1">
      <c r="A127" s="110"/>
      <c r="B127" s="127" t="s">
        <v>5396</v>
      </c>
      <c r="C127" s="22" t="s">
        <v>5397</v>
      </c>
      <c r="D127" s="317">
        <f>SUM(D122:D126)</f>
        <v>8506113</v>
      </c>
      <c r="E127" s="439">
        <v>0</v>
      </c>
      <c r="F127" s="317">
        <f>SUM(F122:F126)</f>
        <v>192743.93</v>
      </c>
      <c r="G127" s="439">
        <f>F127/F16</f>
        <v>9.757681580980376E-5</v>
      </c>
      <c r="H127" s="436">
        <f t="shared" si="11"/>
        <v>-0.97734053968011014</v>
      </c>
      <c r="I127" s="410"/>
      <c r="J127" s="110"/>
      <c r="K127" s="110"/>
      <c r="L127" s="110"/>
      <c r="M127" s="110"/>
      <c r="N127" s="110"/>
      <c r="O127" s="226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3.5" customHeight="1">
      <c r="A128" s="110"/>
      <c r="B128" s="15"/>
      <c r="C128" s="340"/>
      <c r="D128" s="258"/>
      <c r="E128" s="51"/>
      <c r="F128" s="51">
        <f>PL!D129</f>
        <v>0</v>
      </c>
      <c r="G128" s="51"/>
      <c r="H128" s="51"/>
      <c r="I128" s="410"/>
      <c r="J128" s="110"/>
      <c r="K128" s="110"/>
      <c r="L128" s="110"/>
      <c r="M128" s="110"/>
      <c r="N128" s="110"/>
      <c r="O128" s="226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3.5" customHeight="1">
      <c r="A129" s="351"/>
      <c r="B129" s="127" t="s">
        <v>5398</v>
      </c>
      <c r="C129" s="22" t="s">
        <v>5399</v>
      </c>
      <c r="D129" s="258"/>
      <c r="E129" s="51"/>
      <c r="F129" s="51">
        <f>PL!D130</f>
        <v>0</v>
      </c>
      <c r="G129" s="51"/>
      <c r="H129" s="51"/>
      <c r="I129" s="410"/>
      <c r="J129" s="110"/>
      <c r="K129" s="110"/>
      <c r="L129" s="110"/>
      <c r="M129" s="110"/>
      <c r="N129" s="110"/>
      <c r="O129" s="226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3.5" customHeight="1">
      <c r="A130" s="110"/>
      <c r="B130" s="15" t="s">
        <v>480</v>
      </c>
      <c r="C130" s="390" t="s">
        <v>5400</v>
      </c>
      <c r="D130" s="258">
        <v>55701706</v>
      </c>
      <c r="E130" s="51"/>
      <c r="F130" s="258">
        <f>PL!D131</f>
        <v>54484524.714285716</v>
      </c>
      <c r="G130" s="51"/>
      <c r="H130" s="436">
        <f t="shared" ref="H130:H135" si="12">IF(D130=0,"",(F130-D130)/D130)</f>
        <v>-2.1851777496981577E-2</v>
      </c>
      <c r="I130" s="410"/>
      <c r="J130" s="110"/>
      <c r="K130" s="110"/>
      <c r="L130" s="110"/>
      <c r="M130" s="110"/>
      <c r="N130" s="110"/>
      <c r="O130" s="226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3.5" customHeight="1">
      <c r="A131" s="110"/>
      <c r="B131" s="15" t="s">
        <v>124</v>
      </c>
      <c r="C131" s="390" t="s">
        <v>1447</v>
      </c>
      <c r="D131" s="258">
        <v>38391913</v>
      </c>
      <c r="E131" s="51"/>
      <c r="F131" s="258">
        <f>PL!D132</f>
        <v>35035270.107999973</v>
      </c>
      <c r="G131" s="51"/>
      <c r="H131" s="436">
        <f t="shared" si="12"/>
        <v>-8.7430988187539055E-2</v>
      </c>
      <c r="I131" s="410"/>
      <c r="J131" s="110"/>
      <c r="K131" s="110"/>
      <c r="L131" s="110"/>
      <c r="M131" s="110"/>
      <c r="N131" s="110"/>
      <c r="O131" s="226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3.5" customHeight="1">
      <c r="A132" s="110"/>
      <c r="B132" s="15" t="s">
        <v>5401</v>
      </c>
      <c r="C132" s="390" t="s">
        <v>5402</v>
      </c>
      <c r="D132" s="258"/>
      <c r="E132" s="51"/>
      <c r="F132" s="258">
        <f>PL!D133</f>
        <v>0</v>
      </c>
      <c r="G132" s="51"/>
      <c r="H132" s="436" t="str">
        <f t="shared" si="12"/>
        <v/>
      </c>
      <c r="I132" s="410"/>
      <c r="J132" s="110"/>
      <c r="K132" s="110"/>
      <c r="L132" s="110"/>
      <c r="M132" s="110"/>
      <c r="N132" s="110"/>
      <c r="O132" s="226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3.5" customHeight="1">
      <c r="A133" s="110"/>
      <c r="B133" s="15" t="s">
        <v>1216</v>
      </c>
      <c r="C133" s="390" t="s">
        <v>5403</v>
      </c>
      <c r="D133" s="258"/>
      <c r="E133" s="51"/>
      <c r="F133" s="258">
        <f>PL!D134</f>
        <v>8416117</v>
      </c>
      <c r="G133" s="51"/>
      <c r="H133" s="436" t="str">
        <f t="shared" si="12"/>
        <v/>
      </c>
      <c r="I133" s="410"/>
      <c r="J133" s="110"/>
      <c r="K133" s="110"/>
      <c r="L133" s="110"/>
      <c r="M133" s="110"/>
      <c r="N133" s="110"/>
      <c r="O133" s="226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3.5" customHeight="1">
      <c r="A134" s="110"/>
      <c r="B134" s="15" t="s">
        <v>5404</v>
      </c>
      <c r="C134" s="390" t="s">
        <v>5405</v>
      </c>
      <c r="D134" s="258"/>
      <c r="E134" s="51"/>
      <c r="F134" s="258">
        <f>PL!D135</f>
        <v>0</v>
      </c>
      <c r="G134" s="51"/>
      <c r="H134" s="436" t="str">
        <f t="shared" si="12"/>
        <v/>
      </c>
      <c r="I134" s="410"/>
      <c r="J134" s="110"/>
      <c r="K134" s="110"/>
      <c r="L134" s="110"/>
      <c r="M134" s="110"/>
      <c r="N134" s="110"/>
      <c r="O134" s="226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3.5" customHeight="1">
      <c r="A135" s="110"/>
      <c r="B135" s="127" t="s">
        <v>5406</v>
      </c>
      <c r="C135" s="22" t="s">
        <v>5399</v>
      </c>
      <c r="D135" s="317">
        <f>SUM(D130:D134)</f>
        <v>94093619</v>
      </c>
      <c r="E135" s="317"/>
      <c r="F135" s="317">
        <f>SUM(F130:F134)</f>
        <v>97935911.822285682</v>
      </c>
      <c r="G135" s="317"/>
      <c r="H135" s="436">
        <f t="shared" si="12"/>
        <v>4.0834786281157727E-2</v>
      </c>
      <c r="I135" s="410"/>
      <c r="J135" s="110"/>
      <c r="K135" s="110"/>
      <c r="L135" s="110"/>
      <c r="M135" s="110"/>
      <c r="N135" s="110"/>
      <c r="O135" s="226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.5" customHeight="1">
      <c r="A136" s="110"/>
      <c r="B136" s="423"/>
      <c r="C136" s="25"/>
      <c r="D136" s="302"/>
      <c r="E136" s="239"/>
      <c r="F136" s="302"/>
      <c r="G136" s="239"/>
      <c r="H136" s="302"/>
      <c r="I136" s="410"/>
      <c r="J136" s="110"/>
      <c r="K136" s="110"/>
      <c r="L136" s="110"/>
      <c r="M136" s="110"/>
      <c r="N136" s="110"/>
      <c r="O136" s="226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3.5" customHeight="1">
      <c r="A137" s="351"/>
      <c r="B137" s="121"/>
      <c r="C137" s="440" t="s">
        <v>5414</v>
      </c>
      <c r="D137" s="441">
        <f>D108-D119+D127-D135</f>
        <v>51657960</v>
      </c>
      <c r="E137" s="442">
        <v>0.02</v>
      </c>
      <c r="F137" s="441">
        <f>F108-F119+F127-F135</f>
        <v>-104182314.535936</v>
      </c>
      <c r="G137" s="442">
        <f>F137/F16</f>
        <v>-5.274240551239185E-2</v>
      </c>
      <c r="H137" s="443">
        <f>IF(D137=0,"",(F137-D137)/D137)</f>
        <v>-3.0167717528128484</v>
      </c>
      <c r="I137" s="410"/>
      <c r="J137" s="110"/>
      <c r="K137" s="110"/>
      <c r="L137" s="110"/>
      <c r="M137" s="110"/>
      <c r="N137" s="110"/>
      <c r="O137" s="226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3.5" customHeight="1">
      <c r="A138" s="110"/>
      <c r="B138" s="4"/>
      <c r="C138" s="4"/>
      <c r="D138" s="444"/>
      <c r="E138" s="444"/>
      <c r="F138" s="444"/>
      <c r="G138" s="444"/>
      <c r="H138" s="444"/>
      <c r="I138" s="410"/>
      <c r="J138" s="110"/>
      <c r="K138" s="110"/>
      <c r="L138" s="110"/>
      <c r="M138" s="110"/>
      <c r="N138" s="110"/>
      <c r="O138" s="226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" customHeight="1">
      <c r="A139" s="110"/>
      <c r="B139" s="4"/>
      <c r="C139" s="4"/>
      <c r="D139" s="444"/>
      <c r="E139" s="444"/>
      <c r="F139" s="444"/>
      <c r="G139" s="444"/>
      <c r="H139" s="444"/>
      <c r="I139" s="410"/>
      <c r="J139" s="110"/>
      <c r="K139" s="110"/>
      <c r="L139" s="110"/>
      <c r="M139" s="110"/>
      <c r="N139" s="110"/>
      <c r="O139" s="226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" customHeight="1">
      <c r="A140" s="110"/>
      <c r="B140" s="4"/>
      <c r="C140" s="4"/>
      <c r="D140" s="435"/>
      <c r="E140" s="435"/>
      <c r="F140" s="435"/>
      <c r="G140" s="435"/>
      <c r="H140" s="435"/>
      <c r="I140" s="410"/>
      <c r="J140" s="110"/>
      <c r="K140" s="110"/>
      <c r="L140" s="110"/>
      <c r="M140" s="110"/>
      <c r="N140" s="110"/>
      <c r="O140" s="226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" customHeight="1">
      <c r="A141" s="110"/>
      <c r="B141" s="4"/>
      <c r="C141" s="4"/>
      <c r="D141" s="435"/>
      <c r="E141" s="435"/>
      <c r="F141" s="435"/>
      <c r="G141" s="435"/>
      <c r="H141" s="435"/>
      <c r="I141" s="410"/>
      <c r="J141" s="110"/>
      <c r="K141" s="110"/>
      <c r="L141" s="110"/>
      <c r="M141" s="110"/>
      <c r="N141" s="110"/>
      <c r="O141" s="226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" customHeight="1">
      <c r="A142" s="110"/>
      <c r="B142" s="4"/>
      <c r="C142" s="4"/>
      <c r="D142" s="435"/>
      <c r="E142" s="435"/>
      <c r="F142" s="435"/>
      <c r="G142" s="435"/>
      <c r="H142" s="435"/>
      <c r="I142" s="410"/>
      <c r="J142" s="110"/>
      <c r="K142" s="110"/>
      <c r="L142" s="110"/>
      <c r="M142" s="110"/>
      <c r="N142" s="110"/>
      <c r="O142" s="226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" customHeight="1">
      <c r="A143" s="110"/>
      <c r="B143" s="4"/>
      <c r="C143" s="4"/>
      <c r="D143" s="435"/>
      <c r="E143" s="435"/>
      <c r="F143" s="435"/>
      <c r="G143" s="435"/>
      <c r="H143" s="435"/>
      <c r="I143" s="410"/>
      <c r="J143" s="110"/>
      <c r="K143" s="110"/>
      <c r="L143" s="110"/>
      <c r="M143" s="110"/>
      <c r="N143" s="110"/>
      <c r="O143" s="226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" customHeight="1">
      <c r="A144" s="110"/>
      <c r="B144" s="4"/>
      <c r="C144" s="4"/>
      <c r="D144" s="435"/>
      <c r="E144" s="435"/>
      <c r="F144" s="435"/>
      <c r="G144" s="435"/>
      <c r="H144" s="435"/>
      <c r="I144" s="410"/>
      <c r="J144" s="110"/>
      <c r="K144" s="110"/>
      <c r="L144" s="110"/>
      <c r="M144" s="110"/>
      <c r="N144" s="110"/>
      <c r="O144" s="226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" customHeight="1">
      <c r="A145" s="110"/>
      <c r="B145" s="4"/>
      <c r="C145" s="4"/>
      <c r="D145" s="435"/>
      <c r="E145" s="435"/>
      <c r="F145" s="435"/>
      <c r="G145" s="435"/>
      <c r="H145" s="435"/>
      <c r="I145" s="410"/>
      <c r="J145" s="110"/>
      <c r="K145" s="110"/>
      <c r="L145" s="110"/>
      <c r="M145" s="110"/>
      <c r="N145" s="110"/>
      <c r="O145" s="226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" customHeight="1">
      <c r="A146" s="110"/>
      <c r="B146" s="4"/>
      <c r="C146" s="4"/>
      <c r="D146" s="435"/>
      <c r="E146" s="435"/>
      <c r="F146" s="435"/>
      <c r="G146" s="435"/>
      <c r="H146" s="435"/>
      <c r="I146" s="410"/>
      <c r="J146" s="110"/>
      <c r="K146" s="110"/>
      <c r="L146" s="110"/>
      <c r="M146" s="110"/>
      <c r="N146" s="110"/>
      <c r="O146" s="226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" customHeight="1">
      <c r="A147" s="110"/>
      <c r="B147" s="4"/>
      <c r="C147" s="4"/>
      <c r="D147" s="435"/>
      <c r="E147" s="435"/>
      <c r="F147" s="435"/>
      <c r="G147" s="435"/>
      <c r="H147" s="435"/>
      <c r="I147" s="410"/>
      <c r="J147" s="110"/>
      <c r="K147" s="110"/>
      <c r="L147" s="110"/>
      <c r="M147" s="110"/>
      <c r="N147" s="110"/>
      <c r="O147" s="226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" customHeight="1">
      <c r="A148" s="110"/>
      <c r="B148" s="4"/>
      <c r="C148" s="4"/>
      <c r="D148" s="435"/>
      <c r="E148" s="435"/>
      <c r="F148" s="435"/>
      <c r="G148" s="435"/>
      <c r="H148" s="435"/>
      <c r="I148" s="410"/>
      <c r="J148" s="110"/>
      <c r="K148" s="110"/>
      <c r="L148" s="110"/>
      <c r="M148" s="110"/>
      <c r="N148" s="110"/>
      <c r="O148" s="226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" customHeight="1">
      <c r="A149" s="110"/>
      <c r="B149" s="4"/>
      <c r="C149" s="4"/>
      <c r="D149" s="435"/>
      <c r="E149" s="435"/>
      <c r="F149" s="435"/>
      <c r="G149" s="435"/>
      <c r="H149" s="435"/>
      <c r="I149" s="410"/>
      <c r="J149" s="110"/>
      <c r="K149" s="110"/>
      <c r="L149" s="110"/>
      <c r="M149" s="110"/>
      <c r="N149" s="110"/>
      <c r="O149" s="226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" customHeight="1">
      <c r="A150" s="110"/>
      <c r="B150" s="4"/>
      <c r="C150" s="4"/>
      <c r="D150" s="435"/>
      <c r="E150" s="435"/>
      <c r="F150" s="435"/>
      <c r="G150" s="435"/>
      <c r="H150" s="435"/>
      <c r="I150" s="410"/>
      <c r="J150" s="110"/>
      <c r="K150" s="110"/>
      <c r="L150" s="110"/>
      <c r="M150" s="110"/>
      <c r="N150" s="110"/>
      <c r="O150" s="226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" customHeight="1">
      <c r="A151" s="110"/>
      <c r="B151" s="4"/>
      <c r="C151" s="4"/>
      <c r="D151" s="435"/>
      <c r="E151" s="435"/>
      <c r="F151" s="435"/>
      <c r="G151" s="435"/>
      <c r="H151" s="435"/>
      <c r="I151" s="410"/>
      <c r="J151" s="110"/>
      <c r="K151" s="110"/>
      <c r="L151" s="110"/>
      <c r="M151" s="110"/>
      <c r="N151" s="110"/>
      <c r="O151" s="226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" customHeight="1">
      <c r="A152" s="110"/>
      <c r="B152" s="4"/>
      <c r="C152" s="4"/>
      <c r="D152" s="435"/>
      <c r="E152" s="435"/>
      <c r="F152" s="435"/>
      <c r="G152" s="435"/>
      <c r="H152" s="435"/>
      <c r="I152" s="410"/>
      <c r="J152" s="110"/>
      <c r="K152" s="110"/>
      <c r="L152" s="110"/>
      <c r="M152" s="110"/>
      <c r="N152" s="110"/>
      <c r="O152" s="226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" customHeight="1">
      <c r="A153" s="110"/>
      <c r="B153" s="4"/>
      <c r="C153" s="4" t="s">
        <v>3842</v>
      </c>
      <c r="D153" s="435"/>
      <c r="E153" s="435"/>
      <c r="F153" s="435"/>
      <c r="G153" s="435"/>
      <c r="H153" s="435"/>
      <c r="I153" s="410"/>
      <c r="J153" s="110"/>
      <c r="K153" s="110"/>
      <c r="L153" s="110"/>
      <c r="M153" s="110"/>
      <c r="N153" s="110"/>
      <c r="O153" s="226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" customHeight="1">
      <c r="A154" s="110"/>
      <c r="B154" s="4"/>
      <c r="C154" s="4"/>
      <c r="D154" s="435"/>
      <c r="E154" s="435"/>
      <c r="F154" s="435"/>
      <c r="G154" s="435"/>
      <c r="H154" s="435"/>
      <c r="I154" s="410"/>
      <c r="J154" s="110"/>
      <c r="K154" s="110"/>
      <c r="L154" s="110"/>
      <c r="M154" s="110"/>
      <c r="N154" s="110"/>
      <c r="O154" s="226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" customHeight="1">
      <c r="A155" s="110"/>
      <c r="B155" s="110"/>
      <c r="C155" s="110"/>
      <c r="D155" s="435"/>
      <c r="E155" s="435"/>
      <c r="F155" s="435"/>
      <c r="G155" s="435"/>
      <c r="H155" s="435"/>
      <c r="I155" s="410"/>
      <c r="J155" s="110"/>
      <c r="K155" s="110"/>
      <c r="L155" s="110"/>
      <c r="M155" s="110"/>
      <c r="N155" s="110"/>
      <c r="O155" s="226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45"/>
      <c r="E156" s="445"/>
      <c r="F156" s="445"/>
      <c r="G156" s="445"/>
      <c r="H156" s="445"/>
      <c r="I156" s="134"/>
      <c r="J156" s="4"/>
      <c r="K156" s="4"/>
      <c r="L156" s="4"/>
      <c r="M156" s="4"/>
      <c r="N156" s="4"/>
      <c r="O156" s="226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45"/>
      <c r="E157" s="445"/>
      <c r="F157" s="445"/>
      <c r="G157" s="445"/>
      <c r="H157" s="445"/>
      <c r="I157" s="134"/>
      <c r="J157" s="4"/>
      <c r="K157" s="4"/>
      <c r="L157" s="4"/>
      <c r="M157" s="4"/>
      <c r="N157" s="4"/>
      <c r="O157" s="226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45"/>
      <c r="E158" s="445"/>
      <c r="F158" s="445"/>
      <c r="G158" s="445"/>
      <c r="H158" s="445"/>
      <c r="I158" s="134"/>
      <c r="J158" s="4"/>
      <c r="K158" s="4"/>
      <c r="L158" s="4"/>
      <c r="M158" s="4"/>
      <c r="N158" s="4"/>
      <c r="O158" s="226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45"/>
      <c r="E159" s="445"/>
      <c r="F159" s="445"/>
      <c r="G159" s="445"/>
      <c r="H159" s="445"/>
      <c r="I159" s="134"/>
      <c r="J159" s="4"/>
      <c r="K159" s="4"/>
      <c r="L159" s="4"/>
      <c r="M159" s="4"/>
      <c r="N159" s="4"/>
      <c r="O159" s="226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45"/>
      <c r="E160" s="445"/>
      <c r="F160" s="445"/>
      <c r="G160" s="445"/>
      <c r="H160" s="445"/>
      <c r="I160" s="134"/>
      <c r="J160" s="4"/>
      <c r="K160" s="4"/>
      <c r="L160" s="4"/>
      <c r="M160" s="4"/>
      <c r="N160" s="4"/>
      <c r="O160" s="226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45"/>
      <c r="E161" s="445"/>
      <c r="F161" s="445"/>
      <c r="G161" s="445"/>
      <c r="H161" s="445"/>
      <c r="I161" s="134"/>
      <c r="J161" s="4"/>
      <c r="K161" s="4"/>
      <c r="L161" s="4"/>
      <c r="M161" s="4"/>
      <c r="N161" s="4"/>
      <c r="O161" s="226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45"/>
      <c r="E162" s="445"/>
      <c r="F162" s="445"/>
      <c r="G162" s="445"/>
      <c r="H162" s="445"/>
      <c r="I162" s="134"/>
      <c r="J162" s="4"/>
      <c r="K162" s="4"/>
      <c r="L162" s="4"/>
      <c r="M162" s="4"/>
      <c r="N162" s="4"/>
      <c r="O162" s="226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45"/>
      <c r="E163" s="445"/>
      <c r="F163" s="445"/>
      <c r="G163" s="445"/>
      <c r="H163" s="445"/>
      <c r="I163" s="134"/>
      <c r="J163" s="4"/>
      <c r="K163" s="4"/>
      <c r="L163" s="4"/>
      <c r="M163" s="4"/>
      <c r="N163" s="4"/>
      <c r="O163" s="226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45"/>
      <c r="E164" s="445"/>
      <c r="F164" s="445"/>
      <c r="G164" s="445"/>
      <c r="H164" s="445"/>
      <c r="I164" s="134"/>
      <c r="J164" s="4"/>
      <c r="K164" s="4"/>
      <c r="L164" s="4"/>
      <c r="M164" s="4"/>
      <c r="N164" s="4"/>
      <c r="O164" s="226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45"/>
      <c r="E165" s="445"/>
      <c r="F165" s="445"/>
      <c r="G165" s="445"/>
      <c r="H165" s="445"/>
      <c r="I165" s="134"/>
      <c r="J165" s="4"/>
      <c r="K165" s="4"/>
      <c r="L165" s="4"/>
      <c r="M165" s="4"/>
      <c r="N165" s="4"/>
      <c r="O165" s="226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45"/>
      <c r="E166" s="445"/>
      <c r="F166" s="445"/>
      <c r="G166" s="445"/>
      <c r="H166" s="445"/>
      <c r="I166" s="134"/>
      <c r="J166" s="4"/>
      <c r="K166" s="4"/>
      <c r="L166" s="4"/>
      <c r="M166" s="4"/>
      <c r="N166" s="4"/>
      <c r="O166" s="226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45"/>
      <c r="E167" s="445"/>
      <c r="F167" s="445"/>
      <c r="G167" s="445"/>
      <c r="H167" s="445"/>
      <c r="I167" s="134"/>
      <c r="J167" s="4"/>
      <c r="K167" s="4"/>
      <c r="L167" s="4"/>
      <c r="M167" s="4"/>
      <c r="N167" s="4"/>
      <c r="O167" s="226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45"/>
      <c r="E168" s="445"/>
      <c r="F168" s="445"/>
      <c r="G168" s="445"/>
      <c r="H168" s="445"/>
      <c r="I168" s="134"/>
      <c r="J168" s="4"/>
      <c r="K168" s="4"/>
      <c r="L168" s="4"/>
      <c r="M168" s="4"/>
      <c r="N168" s="4"/>
      <c r="O168" s="226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45"/>
      <c r="E169" s="445"/>
      <c r="F169" s="445"/>
      <c r="G169" s="445"/>
      <c r="H169" s="445"/>
      <c r="I169" s="134"/>
      <c r="J169" s="4"/>
      <c r="K169" s="4"/>
      <c r="L169" s="4"/>
      <c r="M169" s="4"/>
      <c r="N169" s="4"/>
      <c r="O169" s="226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45"/>
      <c r="E170" s="445"/>
      <c r="F170" s="445"/>
      <c r="G170" s="445"/>
      <c r="H170" s="445"/>
      <c r="I170" s="134"/>
      <c r="J170" s="4"/>
      <c r="K170" s="4"/>
      <c r="L170" s="4"/>
      <c r="M170" s="4"/>
      <c r="N170" s="4"/>
      <c r="O170" s="226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45"/>
      <c r="E171" s="445"/>
      <c r="F171" s="445"/>
      <c r="G171" s="445"/>
      <c r="H171" s="445"/>
      <c r="I171" s="134"/>
      <c r="J171" s="4"/>
      <c r="K171" s="4"/>
      <c r="L171" s="4"/>
      <c r="M171" s="4"/>
      <c r="N171" s="4"/>
      <c r="O171" s="226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45"/>
      <c r="E172" s="445"/>
      <c r="F172" s="445"/>
      <c r="G172" s="445"/>
      <c r="H172" s="445"/>
      <c r="I172" s="134"/>
      <c r="J172" s="4"/>
      <c r="K172" s="4"/>
      <c r="L172" s="4"/>
      <c r="M172" s="4"/>
      <c r="N172" s="4"/>
      <c r="O172" s="226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45"/>
      <c r="E173" s="445"/>
      <c r="F173" s="445"/>
      <c r="G173" s="445"/>
      <c r="H173" s="445"/>
      <c r="I173" s="134"/>
      <c r="J173" s="4"/>
      <c r="K173" s="4"/>
      <c r="L173" s="4"/>
      <c r="M173" s="4"/>
      <c r="N173" s="4"/>
      <c r="O173" s="226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45"/>
      <c r="E174" s="445"/>
      <c r="F174" s="445"/>
      <c r="G174" s="445"/>
      <c r="H174" s="445"/>
      <c r="I174" s="134"/>
      <c r="J174" s="4"/>
      <c r="K174" s="4"/>
      <c r="L174" s="4"/>
      <c r="M174" s="4"/>
      <c r="N174" s="4"/>
      <c r="O174" s="226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45"/>
      <c r="E175" s="445"/>
      <c r="F175" s="445"/>
      <c r="G175" s="445"/>
      <c r="H175" s="445"/>
      <c r="I175" s="134"/>
      <c r="J175" s="4"/>
      <c r="K175" s="4"/>
      <c r="L175" s="4"/>
      <c r="M175" s="4"/>
      <c r="N175" s="4"/>
      <c r="O175" s="226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45"/>
      <c r="E176" s="445"/>
      <c r="F176" s="445"/>
      <c r="G176" s="445"/>
      <c r="H176" s="445"/>
      <c r="I176" s="134"/>
      <c r="J176" s="4"/>
      <c r="K176" s="4"/>
      <c r="L176" s="4"/>
      <c r="M176" s="4"/>
      <c r="N176" s="4"/>
      <c r="O176" s="226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45"/>
      <c r="E177" s="445"/>
      <c r="F177" s="445"/>
      <c r="G177" s="445"/>
      <c r="H177" s="445"/>
      <c r="I177" s="134"/>
      <c r="J177" s="4"/>
      <c r="K177" s="4"/>
      <c r="L177" s="4"/>
      <c r="M177" s="4"/>
      <c r="N177" s="4"/>
      <c r="O177" s="226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45"/>
      <c r="E178" s="445"/>
      <c r="F178" s="445"/>
      <c r="G178" s="445"/>
      <c r="H178" s="445"/>
      <c r="I178" s="134"/>
      <c r="J178" s="4"/>
      <c r="K178" s="4"/>
      <c r="L178" s="4"/>
      <c r="M178" s="4"/>
      <c r="N178" s="4"/>
      <c r="O178" s="226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45"/>
      <c r="E179" s="445"/>
      <c r="F179" s="445"/>
      <c r="G179" s="445"/>
      <c r="H179" s="445"/>
      <c r="I179" s="134"/>
      <c r="J179" s="4"/>
      <c r="K179" s="4"/>
      <c r="L179" s="4"/>
      <c r="M179" s="4"/>
      <c r="N179" s="4"/>
      <c r="O179" s="226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45"/>
      <c r="E180" s="445"/>
      <c r="F180" s="445"/>
      <c r="G180" s="445"/>
      <c r="H180" s="445"/>
      <c r="I180" s="134"/>
      <c r="J180" s="4"/>
      <c r="K180" s="4"/>
      <c r="L180" s="4"/>
      <c r="M180" s="4"/>
      <c r="N180" s="4"/>
      <c r="O180" s="226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45"/>
      <c r="E181" s="445"/>
      <c r="F181" s="445"/>
      <c r="G181" s="445"/>
      <c r="H181" s="445"/>
      <c r="I181" s="134"/>
      <c r="J181" s="4"/>
      <c r="K181" s="4"/>
      <c r="L181" s="4"/>
      <c r="M181" s="4"/>
      <c r="N181" s="4"/>
      <c r="O181" s="226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45"/>
      <c r="E182" s="445"/>
      <c r="F182" s="445"/>
      <c r="G182" s="445"/>
      <c r="H182" s="445"/>
      <c r="I182" s="134"/>
      <c r="J182" s="4"/>
      <c r="K182" s="4"/>
      <c r="L182" s="4"/>
      <c r="M182" s="4"/>
      <c r="N182" s="4"/>
      <c r="O182" s="226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45"/>
      <c r="E183" s="445"/>
      <c r="F183" s="445"/>
      <c r="G183" s="445"/>
      <c r="H183" s="445"/>
      <c r="I183" s="134"/>
      <c r="J183" s="4"/>
      <c r="K183" s="4"/>
      <c r="L183" s="4"/>
      <c r="M183" s="4"/>
      <c r="N183" s="4"/>
      <c r="O183" s="226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45"/>
      <c r="E184" s="445"/>
      <c r="F184" s="445"/>
      <c r="G184" s="445"/>
      <c r="H184" s="445"/>
      <c r="I184" s="134"/>
      <c r="J184" s="4"/>
      <c r="K184" s="4"/>
      <c r="L184" s="4"/>
      <c r="M184" s="4"/>
      <c r="N184" s="4"/>
      <c r="O184" s="226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45"/>
      <c r="E185" s="445"/>
      <c r="F185" s="445"/>
      <c r="G185" s="445"/>
      <c r="H185" s="445"/>
      <c r="I185" s="134"/>
      <c r="J185" s="4"/>
      <c r="K185" s="4"/>
      <c r="L185" s="4"/>
      <c r="M185" s="4"/>
      <c r="N185" s="4"/>
      <c r="O185" s="226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45"/>
      <c r="E186" s="445"/>
      <c r="F186" s="445"/>
      <c r="G186" s="445"/>
      <c r="H186" s="445"/>
      <c r="I186" s="134"/>
      <c r="J186" s="4"/>
      <c r="K186" s="4"/>
      <c r="L186" s="4"/>
      <c r="M186" s="4"/>
      <c r="N186" s="4"/>
      <c r="O186" s="226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45"/>
      <c r="E187" s="445"/>
      <c r="F187" s="445"/>
      <c r="G187" s="445"/>
      <c r="H187" s="445"/>
      <c r="I187" s="134"/>
      <c r="J187" s="4"/>
      <c r="K187" s="4"/>
      <c r="L187" s="4"/>
      <c r="M187" s="4"/>
      <c r="N187" s="4"/>
      <c r="O187" s="226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45"/>
      <c r="E188" s="445"/>
      <c r="F188" s="445"/>
      <c r="G188" s="445"/>
      <c r="H188" s="445"/>
      <c r="I188" s="134"/>
      <c r="J188" s="4"/>
      <c r="K188" s="4"/>
      <c r="L188" s="4"/>
      <c r="M188" s="4"/>
      <c r="N188" s="4"/>
      <c r="O188" s="226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45"/>
      <c r="E189" s="445"/>
      <c r="F189" s="445"/>
      <c r="G189" s="445"/>
      <c r="H189" s="445"/>
      <c r="I189" s="134"/>
      <c r="J189" s="4"/>
      <c r="K189" s="4"/>
      <c r="L189" s="4"/>
      <c r="M189" s="4"/>
      <c r="N189" s="4"/>
      <c r="O189" s="226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45"/>
      <c r="E190" s="445"/>
      <c r="F190" s="445"/>
      <c r="G190" s="445"/>
      <c r="H190" s="445"/>
      <c r="I190" s="134"/>
      <c r="J190" s="4"/>
      <c r="K190" s="4"/>
      <c r="L190" s="4"/>
      <c r="M190" s="4"/>
      <c r="N190" s="4"/>
      <c r="O190" s="226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45"/>
      <c r="E191" s="445"/>
      <c r="F191" s="445"/>
      <c r="G191" s="445"/>
      <c r="H191" s="445"/>
      <c r="I191" s="134"/>
      <c r="J191" s="4"/>
      <c r="K191" s="4"/>
      <c r="L191" s="4"/>
      <c r="M191" s="4"/>
      <c r="N191" s="4"/>
      <c r="O191" s="226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45"/>
      <c r="E192" s="445"/>
      <c r="F192" s="445"/>
      <c r="G192" s="445"/>
      <c r="H192" s="445"/>
      <c r="I192" s="134"/>
      <c r="J192" s="4"/>
      <c r="K192" s="4"/>
      <c r="L192" s="4"/>
      <c r="M192" s="4"/>
      <c r="N192" s="4"/>
      <c r="O192" s="226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45"/>
      <c r="E193" s="445"/>
      <c r="F193" s="445"/>
      <c r="G193" s="445"/>
      <c r="H193" s="445"/>
      <c r="I193" s="134"/>
      <c r="J193" s="4"/>
      <c r="K193" s="4"/>
      <c r="L193" s="4"/>
      <c r="M193" s="4"/>
      <c r="N193" s="4"/>
      <c r="O193" s="226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45"/>
      <c r="E194" s="445"/>
      <c r="F194" s="445"/>
      <c r="G194" s="445"/>
      <c r="H194" s="445"/>
      <c r="I194" s="134"/>
      <c r="J194" s="4"/>
      <c r="K194" s="4"/>
      <c r="L194" s="4"/>
      <c r="M194" s="4"/>
      <c r="N194" s="4"/>
      <c r="O194" s="226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45"/>
      <c r="E195" s="445"/>
      <c r="F195" s="445"/>
      <c r="G195" s="445"/>
      <c r="H195" s="445"/>
      <c r="I195" s="134"/>
      <c r="J195" s="4"/>
      <c r="K195" s="4"/>
      <c r="L195" s="4"/>
      <c r="M195" s="4"/>
      <c r="N195" s="4"/>
      <c r="O195" s="226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45"/>
      <c r="E196" s="445"/>
      <c r="F196" s="445"/>
      <c r="G196" s="445"/>
      <c r="H196" s="445"/>
      <c r="I196" s="134"/>
      <c r="J196" s="4"/>
      <c r="K196" s="4"/>
      <c r="L196" s="4"/>
      <c r="M196" s="4"/>
      <c r="N196" s="4"/>
      <c r="O196" s="226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45"/>
      <c r="E197" s="445"/>
      <c r="F197" s="445"/>
      <c r="G197" s="445"/>
      <c r="H197" s="445"/>
      <c r="I197" s="134"/>
      <c r="J197" s="4"/>
      <c r="K197" s="4"/>
      <c r="L197" s="4"/>
      <c r="M197" s="4"/>
      <c r="N197" s="4"/>
      <c r="O197" s="226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45"/>
      <c r="E198" s="445"/>
      <c r="F198" s="445"/>
      <c r="G198" s="445"/>
      <c r="H198" s="445"/>
      <c r="I198" s="134"/>
      <c r="J198" s="4"/>
      <c r="K198" s="4"/>
      <c r="L198" s="4"/>
      <c r="M198" s="4"/>
      <c r="N198" s="4"/>
      <c r="O198" s="226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45"/>
      <c r="E199" s="445"/>
      <c r="F199" s="445"/>
      <c r="G199" s="445"/>
      <c r="H199" s="445"/>
      <c r="I199" s="134"/>
      <c r="J199" s="4"/>
      <c r="K199" s="4"/>
      <c r="L199" s="4"/>
      <c r="M199" s="4"/>
      <c r="N199" s="4"/>
      <c r="O199" s="226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45"/>
      <c r="E200" s="445"/>
      <c r="F200" s="445"/>
      <c r="G200" s="445"/>
      <c r="H200" s="445"/>
      <c r="I200" s="134"/>
      <c r="J200" s="4"/>
      <c r="K200" s="4"/>
      <c r="L200" s="4"/>
      <c r="M200" s="4"/>
      <c r="N200" s="4"/>
      <c r="O200" s="226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45"/>
      <c r="E201" s="445"/>
      <c r="F201" s="445"/>
      <c r="G201" s="445"/>
      <c r="H201" s="445"/>
      <c r="I201" s="134"/>
      <c r="J201" s="4"/>
      <c r="K201" s="4"/>
      <c r="L201" s="4"/>
      <c r="M201" s="4"/>
      <c r="N201" s="4"/>
      <c r="O201" s="226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45"/>
      <c r="E202" s="445"/>
      <c r="F202" s="445"/>
      <c r="G202" s="445"/>
      <c r="H202" s="445"/>
      <c r="I202" s="134"/>
      <c r="J202" s="4"/>
      <c r="K202" s="4"/>
      <c r="L202" s="4"/>
      <c r="M202" s="4"/>
      <c r="N202" s="4"/>
      <c r="O202" s="226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45"/>
      <c r="E203" s="445"/>
      <c r="F203" s="445"/>
      <c r="G203" s="445"/>
      <c r="H203" s="445"/>
      <c r="I203" s="134"/>
      <c r="J203" s="4"/>
      <c r="K203" s="4"/>
      <c r="L203" s="4"/>
      <c r="M203" s="4"/>
      <c r="N203" s="4"/>
      <c r="O203" s="226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45"/>
      <c r="E204" s="445"/>
      <c r="F204" s="445"/>
      <c r="G204" s="445"/>
      <c r="H204" s="445"/>
      <c r="I204" s="134"/>
      <c r="J204" s="4"/>
      <c r="K204" s="4"/>
      <c r="L204" s="4"/>
      <c r="M204" s="4"/>
      <c r="N204" s="4"/>
      <c r="O204" s="226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45"/>
      <c r="E205" s="445"/>
      <c r="F205" s="445"/>
      <c r="G205" s="445"/>
      <c r="H205" s="445"/>
      <c r="I205" s="134"/>
      <c r="J205" s="4"/>
      <c r="K205" s="4"/>
      <c r="L205" s="4"/>
      <c r="M205" s="4"/>
      <c r="N205" s="4"/>
      <c r="O205" s="226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45"/>
      <c r="E206" s="445"/>
      <c r="F206" s="445"/>
      <c r="G206" s="445"/>
      <c r="H206" s="445"/>
      <c r="I206" s="134"/>
      <c r="J206" s="4"/>
      <c r="K206" s="4"/>
      <c r="L206" s="4"/>
      <c r="M206" s="4"/>
      <c r="N206" s="4"/>
      <c r="O206" s="226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45"/>
      <c r="E207" s="445"/>
      <c r="F207" s="445"/>
      <c r="G207" s="445"/>
      <c r="H207" s="445"/>
      <c r="I207" s="134"/>
      <c r="J207" s="4"/>
      <c r="K207" s="4"/>
      <c r="L207" s="4"/>
      <c r="M207" s="4"/>
      <c r="N207" s="4"/>
      <c r="O207" s="226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45"/>
      <c r="E208" s="445"/>
      <c r="F208" s="445"/>
      <c r="G208" s="445"/>
      <c r="H208" s="445"/>
      <c r="I208" s="134"/>
      <c r="J208" s="4"/>
      <c r="K208" s="4"/>
      <c r="L208" s="4"/>
      <c r="M208" s="4"/>
      <c r="N208" s="4"/>
      <c r="O208" s="226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45"/>
      <c r="E209" s="445"/>
      <c r="F209" s="445"/>
      <c r="G209" s="445"/>
      <c r="H209" s="445"/>
      <c r="I209" s="134"/>
      <c r="J209" s="4"/>
      <c r="K209" s="4"/>
      <c r="L209" s="4"/>
      <c r="M209" s="4"/>
      <c r="N209" s="4"/>
      <c r="O209" s="226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45"/>
      <c r="E210" s="445"/>
      <c r="F210" s="445"/>
      <c r="G210" s="445"/>
      <c r="H210" s="445"/>
      <c r="I210" s="134"/>
      <c r="J210" s="4"/>
      <c r="K210" s="4"/>
      <c r="L210" s="4"/>
      <c r="M210" s="4"/>
      <c r="N210" s="4"/>
      <c r="O210" s="226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45"/>
      <c r="E211" s="445"/>
      <c r="F211" s="445"/>
      <c r="G211" s="445"/>
      <c r="H211" s="445"/>
      <c r="I211" s="134"/>
      <c r="J211" s="4"/>
      <c r="K211" s="4"/>
      <c r="L211" s="4"/>
      <c r="M211" s="4"/>
      <c r="N211" s="4"/>
      <c r="O211" s="226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45"/>
      <c r="E212" s="445"/>
      <c r="F212" s="445"/>
      <c r="G212" s="445"/>
      <c r="H212" s="445"/>
      <c r="I212" s="134"/>
      <c r="J212" s="4"/>
      <c r="K212" s="4"/>
      <c r="L212" s="4"/>
      <c r="M212" s="4"/>
      <c r="N212" s="4"/>
      <c r="O212" s="226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45"/>
      <c r="E213" s="445"/>
      <c r="F213" s="445"/>
      <c r="G213" s="445"/>
      <c r="H213" s="445"/>
      <c r="I213" s="134"/>
      <c r="J213" s="4"/>
      <c r="K213" s="4"/>
      <c r="L213" s="4"/>
      <c r="M213" s="4"/>
      <c r="N213" s="4"/>
      <c r="O213" s="226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45"/>
      <c r="E214" s="445"/>
      <c r="F214" s="445"/>
      <c r="G214" s="445"/>
      <c r="H214" s="445"/>
      <c r="I214" s="134"/>
      <c r="J214" s="4"/>
      <c r="K214" s="4"/>
      <c r="L214" s="4"/>
      <c r="M214" s="4"/>
      <c r="N214" s="4"/>
      <c r="O214" s="226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45"/>
      <c r="E215" s="445"/>
      <c r="F215" s="445"/>
      <c r="G215" s="445"/>
      <c r="H215" s="445"/>
      <c r="I215" s="134"/>
      <c r="J215" s="4"/>
      <c r="K215" s="4"/>
      <c r="L215" s="4"/>
      <c r="M215" s="4"/>
      <c r="N215" s="4"/>
      <c r="O215" s="226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45"/>
      <c r="E216" s="445"/>
      <c r="F216" s="445"/>
      <c r="G216" s="445"/>
      <c r="H216" s="445"/>
      <c r="I216" s="134"/>
      <c r="J216" s="4"/>
      <c r="K216" s="4"/>
      <c r="L216" s="4"/>
      <c r="M216" s="4"/>
      <c r="N216" s="4"/>
      <c r="O216" s="226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45"/>
      <c r="E217" s="445"/>
      <c r="F217" s="445"/>
      <c r="G217" s="445"/>
      <c r="H217" s="445"/>
      <c r="I217" s="134"/>
      <c r="J217" s="4"/>
      <c r="K217" s="4"/>
      <c r="L217" s="4"/>
      <c r="M217" s="4"/>
      <c r="N217" s="4"/>
      <c r="O217" s="226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45"/>
      <c r="E218" s="445"/>
      <c r="F218" s="445"/>
      <c r="G218" s="445"/>
      <c r="H218" s="445"/>
      <c r="I218" s="134"/>
      <c r="J218" s="4"/>
      <c r="K218" s="4"/>
      <c r="L218" s="4"/>
      <c r="M218" s="4"/>
      <c r="N218" s="4"/>
      <c r="O218" s="226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45"/>
      <c r="E219" s="445"/>
      <c r="F219" s="445"/>
      <c r="G219" s="445"/>
      <c r="H219" s="445"/>
      <c r="I219" s="134"/>
      <c r="J219" s="4"/>
      <c r="K219" s="4"/>
      <c r="L219" s="4"/>
      <c r="M219" s="4"/>
      <c r="N219" s="4"/>
      <c r="O219" s="226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45"/>
      <c r="E220" s="445"/>
      <c r="F220" s="445"/>
      <c r="G220" s="445"/>
      <c r="H220" s="445"/>
      <c r="I220" s="134"/>
      <c r="J220" s="4"/>
      <c r="K220" s="4"/>
      <c r="L220" s="4"/>
      <c r="M220" s="4"/>
      <c r="N220" s="4"/>
      <c r="O220" s="226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45"/>
      <c r="E221" s="445"/>
      <c r="F221" s="445"/>
      <c r="G221" s="445"/>
      <c r="H221" s="445"/>
      <c r="I221" s="134"/>
      <c r="J221" s="4"/>
      <c r="K221" s="4"/>
      <c r="L221" s="4"/>
      <c r="M221" s="4"/>
      <c r="N221" s="4"/>
      <c r="O221" s="226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45"/>
      <c r="E222" s="445"/>
      <c r="F222" s="445"/>
      <c r="G222" s="445"/>
      <c r="H222" s="445"/>
      <c r="I222" s="134"/>
      <c r="J222" s="4"/>
      <c r="K222" s="4"/>
      <c r="L222" s="4"/>
      <c r="M222" s="4"/>
      <c r="N222" s="4"/>
      <c r="O222" s="226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45"/>
      <c r="E223" s="445"/>
      <c r="F223" s="445"/>
      <c r="G223" s="445"/>
      <c r="H223" s="445"/>
      <c r="I223" s="134"/>
      <c r="J223" s="4"/>
      <c r="K223" s="4"/>
      <c r="L223" s="4"/>
      <c r="M223" s="4"/>
      <c r="N223" s="4"/>
      <c r="O223" s="226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45"/>
      <c r="E224" s="445"/>
      <c r="F224" s="445"/>
      <c r="G224" s="445"/>
      <c r="H224" s="445"/>
      <c r="I224" s="134"/>
      <c r="J224" s="4"/>
      <c r="K224" s="4"/>
      <c r="L224" s="4"/>
      <c r="M224" s="4"/>
      <c r="N224" s="4"/>
      <c r="O224" s="226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45"/>
      <c r="E225" s="445"/>
      <c r="F225" s="445"/>
      <c r="G225" s="445"/>
      <c r="H225" s="445"/>
      <c r="I225" s="134"/>
      <c r="J225" s="4"/>
      <c r="K225" s="4"/>
      <c r="L225" s="4"/>
      <c r="M225" s="4"/>
      <c r="N225" s="4"/>
      <c r="O225" s="226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45"/>
      <c r="E226" s="445"/>
      <c r="F226" s="445"/>
      <c r="G226" s="445"/>
      <c r="H226" s="445"/>
      <c r="I226" s="134"/>
      <c r="J226" s="4"/>
      <c r="K226" s="4"/>
      <c r="L226" s="4"/>
      <c r="M226" s="4"/>
      <c r="N226" s="4"/>
      <c r="O226" s="226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45"/>
      <c r="E227" s="445"/>
      <c r="F227" s="445"/>
      <c r="G227" s="445"/>
      <c r="H227" s="445"/>
      <c r="I227" s="134"/>
      <c r="J227" s="4"/>
      <c r="K227" s="4"/>
      <c r="L227" s="4"/>
      <c r="M227" s="4"/>
      <c r="N227" s="4"/>
      <c r="O227" s="226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45"/>
      <c r="E228" s="445"/>
      <c r="F228" s="445"/>
      <c r="G228" s="445"/>
      <c r="H228" s="445"/>
      <c r="I228" s="134"/>
      <c r="J228" s="4"/>
      <c r="K228" s="4"/>
      <c r="L228" s="4"/>
      <c r="M228" s="4"/>
      <c r="N228" s="4"/>
      <c r="O228" s="226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45"/>
      <c r="E229" s="445"/>
      <c r="F229" s="445"/>
      <c r="G229" s="445"/>
      <c r="H229" s="445"/>
      <c r="I229" s="134"/>
      <c r="J229" s="4"/>
      <c r="K229" s="4"/>
      <c r="L229" s="4"/>
      <c r="M229" s="4"/>
      <c r="N229" s="4"/>
      <c r="O229" s="226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45"/>
      <c r="E230" s="445"/>
      <c r="F230" s="445"/>
      <c r="G230" s="445"/>
      <c r="H230" s="445"/>
      <c r="I230" s="134"/>
      <c r="J230" s="4"/>
      <c r="K230" s="4"/>
      <c r="L230" s="4"/>
      <c r="M230" s="4"/>
      <c r="N230" s="4"/>
      <c r="O230" s="226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45"/>
      <c r="E231" s="445"/>
      <c r="F231" s="445"/>
      <c r="G231" s="445"/>
      <c r="H231" s="445"/>
      <c r="I231" s="134"/>
      <c r="J231" s="4"/>
      <c r="K231" s="4"/>
      <c r="L231" s="4"/>
      <c r="M231" s="4"/>
      <c r="N231" s="4"/>
      <c r="O231" s="226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45"/>
      <c r="E232" s="445"/>
      <c r="F232" s="445"/>
      <c r="G232" s="445"/>
      <c r="H232" s="445"/>
      <c r="I232" s="134"/>
      <c r="J232" s="4"/>
      <c r="K232" s="4"/>
      <c r="L232" s="4"/>
      <c r="M232" s="4"/>
      <c r="N232" s="4"/>
      <c r="O232" s="226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45"/>
      <c r="E233" s="445"/>
      <c r="F233" s="445"/>
      <c r="G233" s="445"/>
      <c r="H233" s="445"/>
      <c r="I233" s="134"/>
      <c r="J233" s="4"/>
      <c r="K233" s="4"/>
      <c r="L233" s="4"/>
      <c r="M233" s="4"/>
      <c r="N233" s="4"/>
      <c r="O233" s="226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45"/>
      <c r="E234" s="445"/>
      <c r="F234" s="445"/>
      <c r="G234" s="445"/>
      <c r="H234" s="445"/>
      <c r="I234" s="134"/>
      <c r="J234" s="4"/>
      <c r="K234" s="4"/>
      <c r="L234" s="4"/>
      <c r="M234" s="4"/>
      <c r="N234" s="4"/>
      <c r="O234" s="226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45"/>
      <c r="E235" s="445"/>
      <c r="F235" s="445"/>
      <c r="G235" s="445"/>
      <c r="H235" s="445"/>
      <c r="I235" s="134"/>
      <c r="J235" s="4"/>
      <c r="K235" s="4"/>
      <c r="L235" s="4"/>
      <c r="M235" s="4"/>
      <c r="N235" s="4"/>
      <c r="O235" s="226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45"/>
      <c r="E236" s="445"/>
      <c r="F236" s="445"/>
      <c r="G236" s="445"/>
      <c r="H236" s="445"/>
      <c r="I236" s="134"/>
      <c r="J236" s="4"/>
      <c r="K236" s="4"/>
      <c r="L236" s="4"/>
      <c r="M236" s="4"/>
      <c r="N236" s="4"/>
      <c r="O236" s="226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45"/>
      <c r="E237" s="445"/>
      <c r="F237" s="445"/>
      <c r="G237" s="445"/>
      <c r="H237" s="445"/>
      <c r="I237" s="134"/>
      <c r="J237" s="4"/>
      <c r="K237" s="4"/>
      <c r="L237" s="4"/>
      <c r="M237" s="4"/>
      <c r="N237" s="4"/>
      <c r="O237" s="226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45"/>
      <c r="E238" s="445"/>
      <c r="F238" s="445"/>
      <c r="G238" s="445"/>
      <c r="H238" s="445"/>
      <c r="I238" s="134"/>
      <c r="J238" s="4"/>
      <c r="K238" s="4"/>
      <c r="L238" s="4"/>
      <c r="M238" s="4"/>
      <c r="N238" s="4"/>
      <c r="O238" s="226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45"/>
      <c r="E239" s="445"/>
      <c r="F239" s="445"/>
      <c r="G239" s="445"/>
      <c r="H239" s="445"/>
      <c r="I239" s="134"/>
      <c r="J239" s="4"/>
      <c r="K239" s="4"/>
      <c r="L239" s="4"/>
      <c r="M239" s="4"/>
      <c r="N239" s="4"/>
      <c r="O239" s="226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45"/>
      <c r="E240" s="445"/>
      <c r="F240" s="445"/>
      <c r="G240" s="445"/>
      <c r="H240" s="445"/>
      <c r="I240" s="134"/>
      <c r="J240" s="4"/>
      <c r="K240" s="4"/>
      <c r="L240" s="4"/>
      <c r="M240" s="4"/>
      <c r="N240" s="4"/>
      <c r="O240" s="226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45"/>
      <c r="E241" s="445"/>
      <c r="F241" s="445"/>
      <c r="G241" s="445"/>
      <c r="H241" s="445"/>
      <c r="I241" s="134"/>
      <c r="J241" s="4"/>
      <c r="K241" s="4"/>
      <c r="L241" s="4"/>
      <c r="M241" s="4"/>
      <c r="N241" s="4"/>
      <c r="O241" s="226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45"/>
      <c r="E242" s="445"/>
      <c r="F242" s="445"/>
      <c r="G242" s="445"/>
      <c r="H242" s="445"/>
      <c r="I242" s="134"/>
      <c r="J242" s="4"/>
      <c r="K242" s="4"/>
      <c r="L242" s="4"/>
      <c r="M242" s="4"/>
      <c r="N242" s="4"/>
      <c r="O242" s="226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45"/>
      <c r="E243" s="445"/>
      <c r="F243" s="445"/>
      <c r="G243" s="445"/>
      <c r="H243" s="445"/>
      <c r="I243" s="134"/>
      <c r="J243" s="4"/>
      <c r="K243" s="4"/>
      <c r="L243" s="4"/>
      <c r="M243" s="4"/>
      <c r="N243" s="4"/>
      <c r="O243" s="226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45"/>
      <c r="E244" s="445"/>
      <c r="F244" s="445"/>
      <c r="G244" s="445"/>
      <c r="H244" s="445"/>
      <c r="I244" s="134"/>
      <c r="J244" s="4"/>
      <c r="K244" s="4"/>
      <c r="L244" s="4"/>
      <c r="M244" s="4"/>
      <c r="N244" s="4"/>
      <c r="O244" s="226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45"/>
      <c r="E245" s="445"/>
      <c r="F245" s="445"/>
      <c r="G245" s="445"/>
      <c r="H245" s="445"/>
      <c r="I245" s="134"/>
      <c r="J245" s="4"/>
      <c r="K245" s="4"/>
      <c r="L245" s="4"/>
      <c r="M245" s="4"/>
      <c r="N245" s="4"/>
      <c r="O245" s="226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45"/>
      <c r="E246" s="445"/>
      <c r="F246" s="445"/>
      <c r="G246" s="445"/>
      <c r="H246" s="445"/>
      <c r="I246" s="134"/>
      <c r="J246" s="4"/>
      <c r="K246" s="4"/>
      <c r="L246" s="4"/>
      <c r="M246" s="4"/>
      <c r="N246" s="4"/>
      <c r="O246" s="226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45"/>
      <c r="E247" s="445"/>
      <c r="F247" s="445"/>
      <c r="G247" s="445"/>
      <c r="H247" s="445"/>
      <c r="I247" s="134"/>
      <c r="J247" s="4"/>
      <c r="K247" s="4"/>
      <c r="L247" s="4"/>
      <c r="M247" s="4"/>
      <c r="N247" s="4"/>
      <c r="O247" s="226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45"/>
      <c r="E248" s="445"/>
      <c r="F248" s="445"/>
      <c r="G248" s="445"/>
      <c r="H248" s="445"/>
      <c r="I248" s="134"/>
      <c r="J248" s="4"/>
      <c r="K248" s="4"/>
      <c r="L248" s="4"/>
      <c r="M248" s="4"/>
      <c r="N248" s="4"/>
      <c r="O248" s="226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45"/>
      <c r="E249" s="445"/>
      <c r="F249" s="445"/>
      <c r="G249" s="445"/>
      <c r="H249" s="445"/>
      <c r="I249" s="134"/>
      <c r="J249" s="4"/>
      <c r="K249" s="4"/>
      <c r="L249" s="4"/>
      <c r="M249" s="4"/>
      <c r="N249" s="4"/>
      <c r="O249" s="226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45"/>
      <c r="E250" s="445"/>
      <c r="F250" s="445"/>
      <c r="G250" s="445"/>
      <c r="H250" s="445"/>
      <c r="I250" s="134"/>
      <c r="J250" s="4"/>
      <c r="K250" s="4"/>
      <c r="L250" s="4"/>
      <c r="M250" s="4"/>
      <c r="N250" s="4"/>
      <c r="O250" s="226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45"/>
      <c r="E251" s="445"/>
      <c r="F251" s="445"/>
      <c r="G251" s="445"/>
      <c r="H251" s="445"/>
      <c r="I251" s="134"/>
      <c r="J251" s="4"/>
      <c r="K251" s="4"/>
      <c r="L251" s="4"/>
      <c r="M251" s="4"/>
      <c r="N251" s="4"/>
      <c r="O251" s="226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45"/>
      <c r="E252" s="445"/>
      <c r="F252" s="445"/>
      <c r="G252" s="445"/>
      <c r="H252" s="445"/>
      <c r="I252" s="134"/>
      <c r="J252" s="4"/>
      <c r="K252" s="4"/>
      <c r="L252" s="4"/>
      <c r="M252" s="4"/>
      <c r="N252" s="4"/>
      <c r="O252" s="226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45"/>
      <c r="E253" s="445"/>
      <c r="F253" s="445"/>
      <c r="G253" s="445"/>
      <c r="H253" s="445"/>
      <c r="I253" s="134"/>
      <c r="J253" s="4"/>
      <c r="K253" s="4"/>
      <c r="L253" s="4"/>
      <c r="M253" s="4"/>
      <c r="N253" s="4"/>
      <c r="O253" s="226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45"/>
      <c r="E254" s="445"/>
      <c r="F254" s="445"/>
      <c r="G254" s="445"/>
      <c r="H254" s="445"/>
      <c r="I254" s="134"/>
      <c r="J254" s="4"/>
      <c r="K254" s="4"/>
      <c r="L254" s="4"/>
      <c r="M254" s="4"/>
      <c r="N254" s="4"/>
      <c r="O254" s="226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45"/>
      <c r="E255" s="445"/>
      <c r="F255" s="445"/>
      <c r="G255" s="445"/>
      <c r="H255" s="445"/>
      <c r="I255" s="134"/>
      <c r="J255" s="4"/>
      <c r="K255" s="4"/>
      <c r="L255" s="4"/>
      <c r="M255" s="4"/>
      <c r="N255" s="4"/>
      <c r="O255" s="226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45"/>
      <c r="E256" s="445"/>
      <c r="F256" s="445"/>
      <c r="G256" s="445"/>
      <c r="H256" s="445"/>
      <c r="I256" s="134"/>
      <c r="J256" s="4"/>
      <c r="K256" s="4"/>
      <c r="L256" s="4"/>
      <c r="M256" s="4"/>
      <c r="N256" s="4"/>
      <c r="O256" s="226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45"/>
      <c r="E257" s="445"/>
      <c r="F257" s="445"/>
      <c r="G257" s="445"/>
      <c r="H257" s="445"/>
      <c r="I257" s="134"/>
      <c r="J257" s="4"/>
      <c r="K257" s="4"/>
      <c r="L257" s="4"/>
      <c r="M257" s="4"/>
      <c r="N257" s="4"/>
      <c r="O257" s="226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45"/>
      <c r="E258" s="445"/>
      <c r="F258" s="445"/>
      <c r="G258" s="445"/>
      <c r="H258" s="445"/>
      <c r="I258" s="134"/>
      <c r="J258" s="4"/>
      <c r="K258" s="4"/>
      <c r="L258" s="4"/>
      <c r="M258" s="4"/>
      <c r="N258" s="4"/>
      <c r="O258" s="226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45"/>
      <c r="E259" s="445"/>
      <c r="F259" s="445"/>
      <c r="G259" s="445"/>
      <c r="H259" s="445"/>
      <c r="I259" s="134"/>
      <c r="J259" s="4"/>
      <c r="K259" s="4"/>
      <c r="L259" s="4"/>
      <c r="M259" s="4"/>
      <c r="N259" s="4"/>
      <c r="O259" s="226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45"/>
      <c r="E260" s="445"/>
      <c r="F260" s="445"/>
      <c r="G260" s="445"/>
      <c r="H260" s="445"/>
      <c r="I260" s="134"/>
      <c r="J260" s="4"/>
      <c r="K260" s="4"/>
      <c r="L260" s="4"/>
      <c r="M260" s="4"/>
      <c r="N260" s="4"/>
      <c r="O260" s="226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45"/>
      <c r="E261" s="445"/>
      <c r="F261" s="445"/>
      <c r="G261" s="445"/>
      <c r="H261" s="445"/>
      <c r="I261" s="13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45"/>
      <c r="E262" s="445"/>
      <c r="F262" s="445"/>
      <c r="G262" s="445"/>
      <c r="H262" s="445"/>
      <c r="I262" s="13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45"/>
      <c r="E263" s="445"/>
      <c r="F263" s="445"/>
      <c r="G263" s="445"/>
      <c r="H263" s="445"/>
      <c r="I263" s="13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45"/>
      <c r="E264" s="445"/>
      <c r="F264" s="445"/>
      <c r="G264" s="445"/>
      <c r="H264" s="445"/>
      <c r="I264" s="13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45"/>
      <c r="E265" s="445"/>
      <c r="F265" s="445"/>
      <c r="G265" s="445"/>
      <c r="H265" s="445"/>
      <c r="I265" s="13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45"/>
      <c r="E266" s="445"/>
      <c r="F266" s="445"/>
      <c r="G266" s="445"/>
      <c r="H266" s="445"/>
      <c r="I266" s="13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45"/>
      <c r="E267" s="445"/>
      <c r="F267" s="445"/>
      <c r="G267" s="445"/>
      <c r="H267" s="445"/>
      <c r="I267" s="13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45"/>
      <c r="E268" s="445"/>
      <c r="F268" s="445"/>
      <c r="G268" s="445"/>
      <c r="H268" s="445"/>
      <c r="I268" s="13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45"/>
      <c r="E269" s="445"/>
      <c r="F269" s="445"/>
      <c r="G269" s="445"/>
      <c r="H269" s="445"/>
      <c r="I269" s="13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45"/>
      <c r="E270" s="445"/>
      <c r="F270" s="445"/>
      <c r="G270" s="445"/>
      <c r="H270" s="445"/>
      <c r="I270" s="13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45"/>
      <c r="E271" s="445"/>
      <c r="F271" s="445"/>
      <c r="G271" s="445"/>
      <c r="H271" s="445"/>
      <c r="I271" s="13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45"/>
      <c r="E272" s="445"/>
      <c r="F272" s="445"/>
      <c r="G272" s="445"/>
      <c r="H272" s="445"/>
      <c r="I272" s="13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45"/>
      <c r="E273" s="445"/>
      <c r="F273" s="445"/>
      <c r="G273" s="445"/>
      <c r="H273" s="445"/>
      <c r="I273" s="13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45"/>
      <c r="E274" s="445"/>
      <c r="F274" s="445"/>
      <c r="G274" s="445"/>
      <c r="H274" s="445"/>
      <c r="I274" s="13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45"/>
      <c r="E275" s="445"/>
      <c r="F275" s="445"/>
      <c r="G275" s="445"/>
      <c r="H275" s="445"/>
      <c r="I275" s="13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45"/>
      <c r="E276" s="445"/>
      <c r="F276" s="445"/>
      <c r="G276" s="445"/>
      <c r="H276" s="445"/>
      <c r="I276" s="13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45"/>
      <c r="E277" s="445"/>
      <c r="F277" s="445"/>
      <c r="G277" s="445"/>
      <c r="H277" s="445"/>
      <c r="I277" s="13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45"/>
      <c r="E278" s="445"/>
      <c r="F278" s="445"/>
      <c r="G278" s="445"/>
      <c r="H278" s="445"/>
      <c r="I278" s="13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45"/>
      <c r="E279" s="445"/>
      <c r="F279" s="445"/>
      <c r="G279" s="445"/>
      <c r="H279" s="445"/>
      <c r="I279" s="13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45"/>
      <c r="E280" s="445"/>
      <c r="F280" s="445"/>
      <c r="G280" s="445"/>
      <c r="H280" s="445"/>
      <c r="I280" s="13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45"/>
      <c r="E281" s="445"/>
      <c r="F281" s="445"/>
      <c r="G281" s="445"/>
      <c r="H281" s="445"/>
      <c r="I281" s="13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45"/>
      <c r="E282" s="445"/>
      <c r="F282" s="445"/>
      <c r="G282" s="445"/>
      <c r="H282" s="445"/>
      <c r="I282" s="13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45"/>
      <c r="E283" s="445"/>
      <c r="F283" s="445"/>
      <c r="G283" s="445"/>
      <c r="H283" s="445"/>
      <c r="I283" s="13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45"/>
      <c r="E284" s="445"/>
      <c r="F284" s="445"/>
      <c r="G284" s="445"/>
      <c r="H284" s="445"/>
      <c r="I284" s="13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45"/>
      <c r="E285" s="445"/>
      <c r="F285" s="445"/>
      <c r="G285" s="445"/>
      <c r="H285" s="445"/>
      <c r="I285" s="13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45"/>
      <c r="E286" s="445"/>
      <c r="F286" s="445"/>
      <c r="G286" s="445"/>
      <c r="H286" s="445"/>
      <c r="I286" s="13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45"/>
      <c r="E287" s="445"/>
      <c r="F287" s="445"/>
      <c r="G287" s="445"/>
      <c r="H287" s="445"/>
      <c r="I287" s="13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45"/>
      <c r="E288" s="445"/>
      <c r="F288" s="445"/>
      <c r="G288" s="445"/>
      <c r="H288" s="445"/>
      <c r="I288" s="13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45"/>
      <c r="E289" s="445"/>
      <c r="F289" s="445"/>
      <c r="G289" s="445"/>
      <c r="H289" s="445"/>
      <c r="I289" s="13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45"/>
      <c r="E290" s="445"/>
      <c r="F290" s="445"/>
      <c r="G290" s="445"/>
      <c r="H290" s="445"/>
      <c r="I290" s="13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45"/>
      <c r="E291" s="445"/>
      <c r="F291" s="445"/>
      <c r="G291" s="445"/>
      <c r="H291" s="445"/>
      <c r="I291" s="13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45"/>
      <c r="E292" s="445"/>
      <c r="F292" s="445"/>
      <c r="G292" s="445"/>
      <c r="H292" s="445"/>
      <c r="I292" s="13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45"/>
      <c r="E293" s="445"/>
      <c r="F293" s="445"/>
      <c r="G293" s="445"/>
      <c r="H293" s="445"/>
      <c r="I293" s="13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45"/>
      <c r="E294" s="445"/>
      <c r="F294" s="445"/>
      <c r="G294" s="445"/>
      <c r="H294" s="445"/>
      <c r="I294" s="13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45"/>
      <c r="E295" s="445"/>
      <c r="F295" s="445"/>
      <c r="G295" s="445"/>
      <c r="H295" s="445"/>
      <c r="I295" s="13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45"/>
      <c r="E296" s="445"/>
      <c r="F296" s="445"/>
      <c r="G296" s="445"/>
      <c r="H296" s="445"/>
      <c r="I296" s="13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45"/>
      <c r="E297" s="445"/>
      <c r="F297" s="445"/>
      <c r="G297" s="445"/>
      <c r="H297" s="445"/>
      <c r="I297" s="13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45"/>
      <c r="E298" s="445"/>
      <c r="F298" s="445"/>
      <c r="G298" s="445"/>
      <c r="H298" s="445"/>
      <c r="I298" s="13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45"/>
      <c r="E299" s="445"/>
      <c r="F299" s="445"/>
      <c r="G299" s="445"/>
      <c r="H299" s="445"/>
      <c r="I299" s="13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45"/>
      <c r="E300" s="445"/>
      <c r="F300" s="445"/>
      <c r="G300" s="445"/>
      <c r="H300" s="445"/>
      <c r="I300" s="13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45"/>
      <c r="E301" s="445"/>
      <c r="F301" s="445"/>
      <c r="G301" s="445"/>
      <c r="H301" s="445"/>
      <c r="I301" s="13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45"/>
      <c r="E302" s="445"/>
      <c r="F302" s="445"/>
      <c r="G302" s="445"/>
      <c r="H302" s="445"/>
      <c r="I302" s="13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45"/>
      <c r="E303" s="445"/>
      <c r="F303" s="445"/>
      <c r="G303" s="445"/>
      <c r="H303" s="445"/>
      <c r="I303" s="13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45"/>
      <c r="E304" s="445"/>
      <c r="F304" s="445"/>
      <c r="G304" s="445"/>
      <c r="H304" s="445"/>
      <c r="I304" s="13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45"/>
      <c r="E305" s="445"/>
      <c r="F305" s="445"/>
      <c r="G305" s="445"/>
      <c r="H305" s="445"/>
      <c r="I305" s="13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45"/>
      <c r="E306" s="445"/>
      <c r="F306" s="445"/>
      <c r="G306" s="445"/>
      <c r="H306" s="445"/>
      <c r="I306" s="13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45"/>
      <c r="E307" s="445"/>
      <c r="F307" s="445"/>
      <c r="G307" s="445"/>
      <c r="H307" s="445"/>
      <c r="I307" s="13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45"/>
      <c r="E308" s="445"/>
      <c r="F308" s="445"/>
      <c r="G308" s="445"/>
      <c r="H308" s="445"/>
      <c r="I308" s="13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45"/>
      <c r="E309" s="445"/>
      <c r="F309" s="445"/>
      <c r="G309" s="445"/>
      <c r="H309" s="445"/>
      <c r="I309" s="13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45"/>
      <c r="E310" s="445"/>
      <c r="F310" s="445"/>
      <c r="G310" s="445"/>
      <c r="H310" s="445"/>
      <c r="I310" s="13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45"/>
      <c r="E311" s="445"/>
      <c r="F311" s="445"/>
      <c r="G311" s="445"/>
      <c r="H311" s="445"/>
      <c r="I311" s="13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45"/>
      <c r="E312" s="445"/>
      <c r="F312" s="445"/>
      <c r="G312" s="445"/>
      <c r="H312" s="445"/>
      <c r="I312" s="13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45"/>
      <c r="E313" s="445"/>
      <c r="F313" s="445"/>
      <c r="G313" s="445"/>
      <c r="H313" s="445"/>
      <c r="I313" s="13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45"/>
      <c r="E314" s="445"/>
      <c r="F314" s="445"/>
      <c r="G314" s="445"/>
      <c r="H314" s="445"/>
      <c r="I314" s="13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45"/>
      <c r="E315" s="445"/>
      <c r="F315" s="445"/>
      <c r="G315" s="445"/>
      <c r="H315" s="445"/>
      <c r="I315" s="13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45"/>
      <c r="E316" s="445"/>
      <c r="F316" s="445"/>
      <c r="G316" s="445"/>
      <c r="H316" s="445"/>
      <c r="I316" s="13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45"/>
      <c r="E317" s="445"/>
      <c r="F317" s="445"/>
      <c r="G317" s="445"/>
      <c r="H317" s="445"/>
      <c r="I317" s="13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45"/>
      <c r="E318" s="445"/>
      <c r="F318" s="445"/>
      <c r="G318" s="445"/>
      <c r="H318" s="445"/>
      <c r="I318" s="13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45"/>
      <c r="E319" s="445"/>
      <c r="F319" s="445"/>
      <c r="G319" s="445"/>
      <c r="H319" s="445"/>
      <c r="I319" s="13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45"/>
      <c r="E320" s="445"/>
      <c r="F320" s="445"/>
      <c r="G320" s="445"/>
      <c r="H320" s="445"/>
      <c r="I320" s="13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45"/>
      <c r="E321" s="445"/>
      <c r="F321" s="445"/>
      <c r="G321" s="445"/>
      <c r="H321" s="445"/>
      <c r="I321" s="13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45"/>
      <c r="E322" s="445"/>
      <c r="F322" s="445"/>
      <c r="G322" s="445"/>
      <c r="H322" s="445"/>
      <c r="I322" s="13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45"/>
      <c r="E323" s="445"/>
      <c r="F323" s="445"/>
      <c r="G323" s="445"/>
      <c r="H323" s="445"/>
      <c r="I323" s="13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45"/>
      <c r="E324" s="445"/>
      <c r="F324" s="445"/>
      <c r="G324" s="445"/>
      <c r="H324" s="445"/>
      <c r="I324" s="13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45"/>
      <c r="E325" s="445"/>
      <c r="F325" s="445"/>
      <c r="G325" s="445"/>
      <c r="H325" s="445"/>
      <c r="I325" s="13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45"/>
      <c r="E326" s="445"/>
      <c r="F326" s="445"/>
      <c r="G326" s="445"/>
      <c r="H326" s="445"/>
      <c r="I326" s="13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45"/>
      <c r="E327" s="445"/>
      <c r="F327" s="445"/>
      <c r="G327" s="445"/>
      <c r="H327" s="445"/>
      <c r="I327" s="13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45"/>
      <c r="E328" s="445"/>
      <c r="F328" s="445"/>
      <c r="G328" s="445"/>
      <c r="H328" s="445"/>
      <c r="I328" s="13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45"/>
      <c r="E329" s="445"/>
      <c r="F329" s="445"/>
      <c r="G329" s="445"/>
      <c r="H329" s="445"/>
      <c r="I329" s="13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45"/>
      <c r="E330" s="445"/>
      <c r="F330" s="445"/>
      <c r="G330" s="445"/>
      <c r="H330" s="445"/>
      <c r="I330" s="13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45"/>
      <c r="E331" s="445"/>
      <c r="F331" s="445"/>
      <c r="G331" s="445"/>
      <c r="H331" s="445"/>
      <c r="I331" s="13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45"/>
      <c r="E332" s="445"/>
      <c r="F332" s="445"/>
      <c r="G332" s="445"/>
      <c r="H332" s="445"/>
      <c r="I332" s="13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45"/>
      <c r="E333" s="445"/>
      <c r="F333" s="445"/>
      <c r="G333" s="445"/>
      <c r="H333" s="445"/>
      <c r="I333" s="13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45"/>
      <c r="E334" s="445"/>
      <c r="F334" s="445"/>
      <c r="G334" s="445"/>
      <c r="H334" s="445"/>
      <c r="I334" s="13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45"/>
      <c r="E335" s="445"/>
      <c r="F335" s="445"/>
      <c r="G335" s="445"/>
      <c r="H335" s="445"/>
      <c r="I335" s="13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45"/>
      <c r="E336" s="445"/>
      <c r="F336" s="445"/>
      <c r="G336" s="445"/>
      <c r="H336" s="445"/>
      <c r="I336" s="13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45"/>
      <c r="E337" s="445"/>
      <c r="F337" s="445"/>
      <c r="G337" s="445"/>
      <c r="H337" s="445"/>
      <c r="I337" s="13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45"/>
      <c r="E338" s="445"/>
      <c r="F338" s="445"/>
      <c r="G338" s="445"/>
      <c r="H338" s="445"/>
      <c r="I338" s="13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45"/>
      <c r="E339" s="445"/>
      <c r="F339" s="445"/>
      <c r="G339" s="445"/>
      <c r="H339" s="445"/>
      <c r="I339" s="13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45"/>
      <c r="E340" s="445"/>
      <c r="F340" s="445"/>
      <c r="G340" s="445"/>
      <c r="H340" s="445"/>
      <c r="I340" s="13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45"/>
      <c r="E341" s="445"/>
      <c r="F341" s="445"/>
      <c r="G341" s="445"/>
      <c r="H341" s="445"/>
      <c r="I341" s="13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45"/>
      <c r="E342" s="445"/>
      <c r="F342" s="445"/>
      <c r="G342" s="445"/>
      <c r="H342" s="445"/>
      <c r="I342" s="13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45"/>
      <c r="E343" s="445"/>
      <c r="F343" s="445"/>
      <c r="G343" s="445"/>
      <c r="H343" s="445"/>
      <c r="I343" s="13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45"/>
      <c r="E344" s="445"/>
      <c r="F344" s="445"/>
      <c r="G344" s="445"/>
      <c r="H344" s="445"/>
      <c r="I344" s="13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45"/>
      <c r="E345" s="445"/>
      <c r="F345" s="445"/>
      <c r="G345" s="445"/>
      <c r="H345" s="445"/>
      <c r="I345" s="13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45"/>
      <c r="E346" s="445"/>
      <c r="F346" s="445"/>
      <c r="G346" s="445"/>
      <c r="H346" s="445"/>
      <c r="I346" s="13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45"/>
      <c r="E347" s="445"/>
      <c r="F347" s="445"/>
      <c r="G347" s="445"/>
      <c r="H347" s="445"/>
      <c r="I347" s="13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45"/>
      <c r="E348" s="445"/>
      <c r="F348" s="445"/>
      <c r="G348" s="445"/>
      <c r="H348" s="445"/>
      <c r="I348" s="13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45"/>
      <c r="E349" s="445"/>
      <c r="F349" s="445"/>
      <c r="G349" s="445"/>
      <c r="H349" s="445"/>
      <c r="I349" s="13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45"/>
      <c r="E350" s="445"/>
      <c r="F350" s="445"/>
      <c r="G350" s="445"/>
      <c r="H350" s="445"/>
      <c r="I350" s="13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45"/>
      <c r="E351" s="445"/>
      <c r="F351" s="445"/>
      <c r="G351" s="445"/>
      <c r="H351" s="445"/>
      <c r="I351" s="13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45"/>
      <c r="E352" s="445"/>
      <c r="F352" s="445"/>
      <c r="G352" s="445"/>
      <c r="H352" s="445"/>
      <c r="I352" s="13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45"/>
      <c r="E353" s="445"/>
      <c r="F353" s="445"/>
      <c r="G353" s="445"/>
      <c r="H353" s="445"/>
      <c r="I353" s="13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110"/>
      <c r="B354" s="110"/>
      <c r="C354" s="110"/>
      <c r="D354" s="435"/>
      <c r="E354" s="435"/>
      <c r="F354" s="435"/>
      <c r="G354" s="435"/>
      <c r="H354" s="435"/>
      <c r="I354" s="4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</row>
    <row r="355" spans="1:25" ht="15.75" customHeight="1">
      <c r="A355" s="110"/>
      <c r="B355" s="110"/>
      <c r="C355" s="110"/>
      <c r="D355" s="435"/>
      <c r="E355" s="435"/>
      <c r="F355" s="435"/>
      <c r="G355" s="435"/>
      <c r="H355" s="435"/>
      <c r="I355" s="4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</row>
    <row r="356" spans="1:25" ht="15.75" customHeight="1">
      <c r="A356" s="110"/>
      <c r="B356" s="110"/>
      <c r="C356" s="110"/>
      <c r="D356" s="435"/>
      <c r="E356" s="435"/>
      <c r="F356" s="435"/>
      <c r="G356" s="435"/>
      <c r="H356" s="435"/>
      <c r="I356" s="4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</row>
    <row r="357" spans="1:25" ht="15.75" customHeight="1">
      <c r="A357" s="110"/>
      <c r="B357" s="110"/>
      <c r="C357" s="110"/>
      <c r="D357" s="435"/>
      <c r="E357" s="435"/>
      <c r="F357" s="435"/>
      <c r="G357" s="435"/>
      <c r="H357" s="435"/>
      <c r="I357" s="4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</row>
    <row r="358" spans="1:25" ht="15.75" customHeight="1">
      <c r="A358" s="110"/>
      <c r="B358" s="110"/>
      <c r="C358" s="110"/>
      <c r="D358" s="435"/>
      <c r="E358" s="435"/>
      <c r="F358" s="435"/>
      <c r="G358" s="435"/>
      <c r="H358" s="435"/>
      <c r="I358" s="4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</row>
    <row r="359" spans="1:25" ht="15.75" customHeight="1">
      <c r="A359" s="110"/>
      <c r="B359" s="110"/>
      <c r="C359" s="110"/>
      <c r="D359" s="435"/>
      <c r="E359" s="435"/>
      <c r="F359" s="435"/>
      <c r="G359" s="435"/>
      <c r="H359" s="435"/>
      <c r="I359" s="4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</row>
    <row r="360" spans="1:25" ht="15.75" customHeight="1">
      <c r="A360" s="110"/>
      <c r="B360" s="110"/>
      <c r="C360" s="110"/>
      <c r="D360" s="435"/>
      <c r="E360" s="435"/>
      <c r="F360" s="435"/>
      <c r="G360" s="435"/>
      <c r="H360" s="435"/>
      <c r="I360" s="4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</row>
    <row r="361" spans="1:25" ht="15.75" customHeight="1">
      <c r="A361" s="110"/>
      <c r="B361" s="110"/>
      <c r="C361" s="110"/>
      <c r="D361" s="435"/>
      <c r="E361" s="435"/>
      <c r="F361" s="435"/>
      <c r="G361" s="435"/>
      <c r="H361" s="435"/>
      <c r="I361" s="4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</row>
    <row r="362" spans="1:25" ht="15.75" customHeight="1">
      <c r="A362" s="110"/>
      <c r="B362" s="110"/>
      <c r="C362" s="110"/>
      <c r="D362" s="435"/>
      <c r="E362" s="435"/>
      <c r="F362" s="435"/>
      <c r="G362" s="435"/>
      <c r="H362" s="435"/>
      <c r="I362" s="4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</row>
    <row r="363" spans="1:25" ht="15.75" customHeight="1">
      <c r="A363" s="110"/>
      <c r="B363" s="110"/>
      <c r="C363" s="110"/>
      <c r="D363" s="435"/>
      <c r="E363" s="435"/>
      <c r="F363" s="435"/>
      <c r="G363" s="435"/>
      <c r="H363" s="435"/>
      <c r="I363" s="4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</row>
    <row r="364" spans="1:25" ht="15.75" customHeight="1">
      <c r="A364" s="110"/>
      <c r="B364" s="110"/>
      <c r="C364" s="110"/>
      <c r="D364" s="435"/>
      <c r="E364" s="435"/>
      <c r="F364" s="435"/>
      <c r="G364" s="435"/>
      <c r="H364" s="435"/>
      <c r="I364" s="4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</row>
    <row r="365" spans="1:25" ht="15.75" customHeight="1">
      <c r="A365" s="110"/>
      <c r="B365" s="110"/>
      <c r="C365" s="110"/>
      <c r="D365" s="435"/>
      <c r="E365" s="435"/>
      <c r="F365" s="435"/>
      <c r="G365" s="435"/>
      <c r="H365" s="435"/>
      <c r="I365" s="4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</row>
    <row r="366" spans="1:25" ht="15.75" customHeight="1">
      <c r="A366" s="110"/>
      <c r="B366" s="110"/>
      <c r="C366" s="110"/>
      <c r="D366" s="435"/>
      <c r="E366" s="435"/>
      <c r="F366" s="435"/>
      <c r="G366" s="435"/>
      <c r="H366" s="435"/>
      <c r="I366" s="4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</row>
    <row r="367" spans="1:25" ht="15.75" customHeight="1">
      <c r="A367" s="110"/>
      <c r="B367" s="110"/>
      <c r="C367" s="110"/>
      <c r="D367" s="435"/>
      <c r="E367" s="435"/>
      <c r="F367" s="435"/>
      <c r="G367" s="435"/>
      <c r="H367" s="435"/>
      <c r="I367" s="4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</row>
    <row r="368" spans="1:25" ht="15.75" customHeight="1">
      <c r="A368" s="110"/>
      <c r="B368" s="110"/>
      <c r="C368" s="110"/>
      <c r="D368" s="435"/>
      <c r="E368" s="435"/>
      <c r="F368" s="435"/>
      <c r="G368" s="435"/>
      <c r="H368" s="435"/>
      <c r="I368" s="4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</row>
    <row r="369" spans="1:25" ht="15.75" customHeight="1">
      <c r="A369" s="110"/>
      <c r="B369" s="110"/>
      <c r="C369" s="110"/>
      <c r="D369" s="435"/>
      <c r="E369" s="435"/>
      <c r="F369" s="435"/>
      <c r="G369" s="435"/>
      <c r="H369" s="435"/>
      <c r="I369" s="4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</row>
    <row r="370" spans="1:25" ht="15.75" customHeight="1">
      <c r="A370" s="110"/>
      <c r="B370" s="110"/>
      <c r="C370" s="110"/>
      <c r="D370" s="435"/>
      <c r="E370" s="435"/>
      <c r="F370" s="435"/>
      <c r="G370" s="435"/>
      <c r="H370" s="435"/>
      <c r="I370" s="4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</row>
    <row r="371" spans="1:25" ht="15.75" customHeight="1">
      <c r="A371" s="110"/>
      <c r="B371" s="110"/>
      <c r="C371" s="110"/>
      <c r="D371" s="435"/>
      <c r="E371" s="435"/>
      <c r="F371" s="435"/>
      <c r="G371" s="435"/>
      <c r="H371" s="435"/>
      <c r="I371" s="4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</row>
    <row r="372" spans="1:25" ht="15.75" customHeight="1">
      <c r="A372" s="110"/>
      <c r="B372" s="110"/>
      <c r="C372" s="110"/>
      <c r="D372" s="435"/>
      <c r="E372" s="435"/>
      <c r="F372" s="435"/>
      <c r="G372" s="435"/>
      <c r="H372" s="435"/>
      <c r="I372" s="4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</row>
    <row r="373" spans="1:25" ht="15.75" customHeight="1">
      <c r="A373" s="110"/>
      <c r="B373" s="110"/>
      <c r="C373" s="110"/>
      <c r="D373" s="435"/>
      <c r="E373" s="435"/>
      <c r="F373" s="435"/>
      <c r="G373" s="435"/>
      <c r="H373" s="435"/>
      <c r="I373" s="4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</row>
    <row r="374" spans="1:25" ht="15.75" customHeight="1">
      <c r="A374" s="110"/>
      <c r="B374" s="110"/>
      <c r="C374" s="110"/>
      <c r="D374" s="435"/>
      <c r="E374" s="435"/>
      <c r="F374" s="435"/>
      <c r="G374" s="435"/>
      <c r="H374" s="435"/>
      <c r="I374" s="4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</row>
    <row r="375" spans="1:25" ht="15.75" customHeight="1">
      <c r="A375" s="110"/>
      <c r="B375" s="110"/>
      <c r="C375" s="110"/>
      <c r="D375" s="435"/>
      <c r="E375" s="435"/>
      <c r="F375" s="435"/>
      <c r="G375" s="435"/>
      <c r="H375" s="435"/>
      <c r="I375" s="4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</row>
    <row r="376" spans="1:25" ht="15.75" customHeight="1">
      <c r="A376" s="110"/>
      <c r="B376" s="110"/>
      <c r="C376" s="110"/>
      <c r="D376" s="435"/>
      <c r="E376" s="435"/>
      <c r="F376" s="435"/>
      <c r="G376" s="435"/>
      <c r="H376" s="435"/>
      <c r="I376" s="4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</row>
    <row r="377" spans="1:25" ht="15.75" customHeight="1">
      <c r="A377" s="110"/>
      <c r="B377" s="110"/>
      <c r="C377" s="110"/>
      <c r="D377" s="435"/>
      <c r="E377" s="435"/>
      <c r="F377" s="435"/>
      <c r="G377" s="435"/>
      <c r="H377" s="435"/>
      <c r="I377" s="4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</row>
    <row r="378" spans="1:25" ht="15.75" customHeight="1">
      <c r="A378" s="110"/>
      <c r="B378" s="110"/>
      <c r="C378" s="110"/>
      <c r="D378" s="435"/>
      <c r="E378" s="435"/>
      <c r="F378" s="435"/>
      <c r="G378" s="435"/>
      <c r="H378" s="435"/>
      <c r="I378" s="4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</row>
    <row r="379" spans="1:25" ht="15.75" customHeight="1">
      <c r="A379" s="110"/>
      <c r="B379" s="110"/>
      <c r="C379" s="110"/>
      <c r="D379" s="435"/>
      <c r="E379" s="435"/>
      <c r="F379" s="435"/>
      <c r="G379" s="435"/>
      <c r="H379" s="435"/>
      <c r="I379" s="4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</row>
    <row r="380" spans="1:25" ht="15.75" customHeight="1">
      <c r="A380" s="110"/>
      <c r="B380" s="110"/>
      <c r="C380" s="110"/>
      <c r="D380" s="435"/>
      <c r="E380" s="435"/>
      <c r="F380" s="435"/>
      <c r="G380" s="435"/>
      <c r="H380" s="435"/>
      <c r="I380" s="4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</row>
    <row r="381" spans="1:25" ht="15.75" customHeight="1">
      <c r="A381" s="110"/>
      <c r="B381" s="110"/>
      <c r="C381" s="110"/>
      <c r="D381" s="435"/>
      <c r="E381" s="435"/>
      <c r="F381" s="435"/>
      <c r="G381" s="435"/>
      <c r="H381" s="435"/>
      <c r="I381" s="4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</row>
    <row r="382" spans="1:25" ht="15.75" customHeight="1">
      <c r="A382" s="110"/>
      <c r="B382" s="110"/>
      <c r="C382" s="110"/>
      <c r="D382" s="435"/>
      <c r="E382" s="435"/>
      <c r="F382" s="435"/>
      <c r="G382" s="435"/>
      <c r="H382" s="435"/>
      <c r="I382" s="4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</row>
    <row r="383" spans="1:25" ht="15.75" customHeight="1">
      <c r="A383" s="110"/>
      <c r="B383" s="110"/>
      <c r="C383" s="110"/>
      <c r="D383" s="435"/>
      <c r="E383" s="435"/>
      <c r="F383" s="435"/>
      <c r="G383" s="435"/>
      <c r="H383" s="435"/>
      <c r="I383" s="4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</row>
    <row r="384" spans="1:25" ht="15.75" customHeight="1">
      <c r="A384" s="110"/>
      <c r="B384" s="110"/>
      <c r="C384" s="110"/>
      <c r="D384" s="435"/>
      <c r="E384" s="435"/>
      <c r="F384" s="435"/>
      <c r="G384" s="435"/>
      <c r="H384" s="435"/>
      <c r="I384" s="4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</row>
    <row r="385" spans="1:25" ht="15.75" customHeight="1">
      <c r="A385" s="110"/>
      <c r="B385" s="110"/>
      <c r="C385" s="110"/>
      <c r="D385" s="435"/>
      <c r="E385" s="435"/>
      <c r="F385" s="435"/>
      <c r="G385" s="435"/>
      <c r="H385" s="435"/>
      <c r="I385" s="4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</row>
    <row r="386" spans="1:25" ht="15.75" customHeight="1">
      <c r="A386" s="110"/>
      <c r="B386" s="110"/>
      <c r="C386" s="110"/>
      <c r="D386" s="435"/>
      <c r="E386" s="435"/>
      <c r="F386" s="435"/>
      <c r="G386" s="435"/>
      <c r="H386" s="435"/>
      <c r="I386" s="4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</row>
    <row r="387" spans="1:25" ht="15.75" customHeight="1">
      <c r="A387" s="110"/>
      <c r="B387" s="110"/>
      <c r="C387" s="110"/>
      <c r="D387" s="435"/>
      <c r="E387" s="435"/>
      <c r="F387" s="435"/>
      <c r="G387" s="435"/>
      <c r="H387" s="435"/>
      <c r="I387" s="4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</row>
    <row r="388" spans="1:25" ht="15.75" customHeight="1">
      <c r="A388" s="110"/>
      <c r="B388" s="110"/>
      <c r="C388" s="110"/>
      <c r="D388" s="435"/>
      <c r="E388" s="435"/>
      <c r="F388" s="435"/>
      <c r="G388" s="435"/>
      <c r="H388" s="435"/>
      <c r="I388" s="4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</row>
    <row r="389" spans="1:25" ht="15.75" customHeight="1">
      <c r="A389" s="110"/>
      <c r="B389" s="110"/>
      <c r="C389" s="110"/>
      <c r="D389" s="435"/>
      <c r="E389" s="435"/>
      <c r="F389" s="435"/>
      <c r="G389" s="435"/>
      <c r="H389" s="435"/>
      <c r="I389" s="4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</row>
    <row r="390" spans="1:25" ht="15.75" customHeight="1">
      <c r="A390" s="110"/>
      <c r="B390" s="110"/>
      <c r="C390" s="110"/>
      <c r="D390" s="435"/>
      <c r="E390" s="435"/>
      <c r="F390" s="435"/>
      <c r="G390" s="435"/>
      <c r="H390" s="435"/>
      <c r="I390" s="4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</row>
    <row r="391" spans="1:25" ht="15.75" customHeight="1">
      <c r="A391" s="110"/>
      <c r="B391" s="110"/>
      <c r="C391" s="110"/>
      <c r="D391" s="435"/>
      <c r="E391" s="435"/>
      <c r="F391" s="435"/>
      <c r="G391" s="435"/>
      <c r="H391" s="435"/>
      <c r="I391" s="4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</row>
    <row r="392" spans="1:25" ht="15.75" customHeight="1">
      <c r="A392" s="110"/>
      <c r="B392" s="110"/>
      <c r="C392" s="110"/>
      <c r="D392" s="435"/>
      <c r="E392" s="435"/>
      <c r="F392" s="435"/>
      <c r="G392" s="435"/>
      <c r="H392" s="435"/>
      <c r="I392" s="4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</row>
    <row r="393" spans="1:25" ht="15.75" customHeight="1">
      <c r="A393" s="110"/>
      <c r="B393" s="110"/>
      <c r="C393" s="110"/>
      <c r="D393" s="435"/>
      <c r="E393" s="435"/>
      <c r="F393" s="435"/>
      <c r="G393" s="435"/>
      <c r="H393" s="435"/>
      <c r="I393" s="4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</row>
    <row r="394" spans="1:25" ht="15.75" customHeight="1">
      <c r="A394" s="110"/>
      <c r="B394" s="110"/>
      <c r="C394" s="110"/>
      <c r="D394" s="435"/>
      <c r="E394" s="435"/>
      <c r="F394" s="435"/>
      <c r="G394" s="435"/>
      <c r="H394" s="435"/>
      <c r="I394" s="4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</row>
    <row r="395" spans="1:25" ht="15.75" customHeight="1">
      <c r="A395" s="110"/>
      <c r="B395" s="110"/>
      <c r="C395" s="110"/>
      <c r="D395" s="435"/>
      <c r="E395" s="435"/>
      <c r="F395" s="435"/>
      <c r="G395" s="435"/>
      <c r="H395" s="435"/>
      <c r="I395" s="4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</row>
    <row r="396" spans="1:25" ht="15.75" customHeight="1">
      <c r="A396" s="110"/>
      <c r="B396" s="110"/>
      <c r="C396" s="110"/>
      <c r="D396" s="435"/>
      <c r="E396" s="435"/>
      <c r="F396" s="435"/>
      <c r="G396" s="435"/>
      <c r="H396" s="435"/>
      <c r="I396" s="4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</row>
    <row r="397" spans="1:25" ht="15.75" customHeight="1">
      <c r="A397" s="110"/>
      <c r="B397" s="110"/>
      <c r="C397" s="110"/>
      <c r="D397" s="435"/>
      <c r="E397" s="435"/>
      <c r="F397" s="435"/>
      <c r="G397" s="435"/>
      <c r="H397" s="435"/>
      <c r="I397" s="4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</row>
    <row r="398" spans="1:25" ht="15.75" customHeight="1">
      <c r="A398" s="110"/>
      <c r="B398" s="110"/>
      <c r="C398" s="110"/>
      <c r="D398" s="435"/>
      <c r="E398" s="435"/>
      <c r="F398" s="435"/>
      <c r="G398" s="435"/>
      <c r="H398" s="435"/>
      <c r="I398" s="4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</row>
    <row r="399" spans="1:25" ht="15.75" customHeight="1">
      <c r="A399" s="110"/>
      <c r="B399" s="110"/>
      <c r="C399" s="110"/>
      <c r="D399" s="435"/>
      <c r="E399" s="435"/>
      <c r="F399" s="435"/>
      <c r="G399" s="435"/>
      <c r="H399" s="435"/>
      <c r="I399" s="4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</row>
    <row r="400" spans="1:25" ht="15.75" customHeight="1">
      <c r="A400" s="110"/>
      <c r="B400" s="110"/>
      <c r="C400" s="110"/>
      <c r="D400" s="435"/>
      <c r="E400" s="435"/>
      <c r="F400" s="435"/>
      <c r="G400" s="435"/>
      <c r="H400" s="435"/>
      <c r="I400" s="4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</row>
    <row r="401" spans="1:25" ht="15.75" customHeight="1">
      <c r="A401" s="110"/>
      <c r="B401" s="110"/>
      <c r="C401" s="110"/>
      <c r="D401" s="435"/>
      <c r="E401" s="435"/>
      <c r="F401" s="435"/>
      <c r="G401" s="435"/>
      <c r="H401" s="435"/>
      <c r="I401" s="4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</row>
    <row r="402" spans="1:25" ht="15.75" customHeight="1">
      <c r="A402" s="110"/>
      <c r="B402" s="110"/>
      <c r="C402" s="110"/>
      <c r="D402" s="435"/>
      <c r="E402" s="435"/>
      <c r="F402" s="435"/>
      <c r="G402" s="435"/>
      <c r="H402" s="435"/>
      <c r="I402" s="4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</row>
    <row r="403" spans="1:25" ht="15.75" customHeight="1">
      <c r="A403" s="110"/>
      <c r="B403" s="110"/>
      <c r="C403" s="110"/>
      <c r="D403" s="435"/>
      <c r="E403" s="435"/>
      <c r="F403" s="435"/>
      <c r="G403" s="435"/>
      <c r="H403" s="435"/>
      <c r="I403" s="4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</row>
    <row r="404" spans="1:25" ht="15.75" customHeight="1">
      <c r="A404" s="110"/>
      <c r="B404" s="110"/>
      <c r="C404" s="110"/>
      <c r="D404" s="435"/>
      <c r="E404" s="435"/>
      <c r="F404" s="435"/>
      <c r="G404" s="435"/>
      <c r="H404" s="435"/>
      <c r="I404" s="4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</row>
    <row r="405" spans="1:25" ht="15.75" customHeight="1">
      <c r="A405" s="110"/>
      <c r="B405" s="110"/>
      <c r="C405" s="110"/>
      <c r="D405" s="435"/>
      <c r="E405" s="435"/>
      <c r="F405" s="435"/>
      <c r="G405" s="435"/>
      <c r="H405" s="435"/>
      <c r="I405" s="4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</row>
    <row r="406" spans="1:25" ht="15.75" customHeight="1">
      <c r="A406" s="110"/>
      <c r="B406" s="110"/>
      <c r="C406" s="110"/>
      <c r="D406" s="435"/>
      <c r="E406" s="435"/>
      <c r="F406" s="435"/>
      <c r="G406" s="435"/>
      <c r="H406" s="435"/>
      <c r="I406" s="4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</row>
    <row r="407" spans="1:25" ht="15.75" customHeight="1">
      <c r="A407" s="110"/>
      <c r="B407" s="110"/>
      <c r="C407" s="110"/>
      <c r="D407" s="435"/>
      <c r="E407" s="435"/>
      <c r="F407" s="435"/>
      <c r="G407" s="435"/>
      <c r="H407" s="435"/>
      <c r="I407" s="4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</row>
    <row r="408" spans="1:25" ht="15.75" customHeight="1">
      <c r="A408" s="110"/>
      <c r="B408" s="110"/>
      <c r="C408" s="110"/>
      <c r="D408" s="435"/>
      <c r="E408" s="435"/>
      <c r="F408" s="435"/>
      <c r="G408" s="435"/>
      <c r="H408" s="435"/>
      <c r="I408" s="4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</row>
    <row r="409" spans="1:25" ht="15.75" customHeight="1">
      <c r="A409" s="110"/>
      <c r="B409" s="110"/>
      <c r="C409" s="110"/>
      <c r="D409" s="435"/>
      <c r="E409" s="435"/>
      <c r="F409" s="435"/>
      <c r="G409" s="435"/>
      <c r="H409" s="435"/>
      <c r="I409" s="4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</row>
    <row r="410" spans="1:25" ht="15.75" customHeight="1">
      <c r="A410" s="110"/>
      <c r="B410" s="110"/>
      <c r="C410" s="110"/>
      <c r="D410" s="435"/>
      <c r="E410" s="435"/>
      <c r="F410" s="435"/>
      <c r="G410" s="435"/>
      <c r="H410" s="435"/>
      <c r="I410" s="4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</row>
    <row r="411" spans="1:25" ht="15.75" customHeight="1">
      <c r="A411" s="110"/>
      <c r="B411" s="110"/>
      <c r="C411" s="110"/>
      <c r="D411" s="435"/>
      <c r="E411" s="435"/>
      <c r="F411" s="435"/>
      <c r="G411" s="435"/>
      <c r="H411" s="435"/>
      <c r="I411" s="4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</row>
    <row r="412" spans="1:25" ht="15.75" customHeight="1">
      <c r="A412" s="110"/>
      <c r="B412" s="110"/>
      <c r="C412" s="110"/>
      <c r="D412" s="435"/>
      <c r="E412" s="435"/>
      <c r="F412" s="435"/>
      <c r="G412" s="435"/>
      <c r="H412" s="435"/>
      <c r="I412" s="4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</row>
    <row r="413" spans="1:25" ht="15.75" customHeight="1">
      <c r="A413" s="110"/>
      <c r="B413" s="110"/>
      <c r="C413" s="110"/>
      <c r="D413" s="435"/>
      <c r="E413" s="435"/>
      <c r="F413" s="435"/>
      <c r="G413" s="435"/>
      <c r="H413" s="435"/>
      <c r="I413" s="4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</row>
    <row r="414" spans="1:25" ht="15.75" customHeight="1">
      <c r="A414" s="110"/>
      <c r="B414" s="110"/>
      <c r="C414" s="110"/>
      <c r="D414" s="435"/>
      <c r="E414" s="435"/>
      <c r="F414" s="435"/>
      <c r="G414" s="435"/>
      <c r="H414" s="435"/>
      <c r="I414" s="4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</row>
    <row r="415" spans="1:25" ht="15.75" customHeight="1">
      <c r="A415" s="110"/>
      <c r="B415" s="110"/>
      <c r="C415" s="110"/>
      <c r="D415" s="435"/>
      <c r="E415" s="435"/>
      <c r="F415" s="435"/>
      <c r="G415" s="435"/>
      <c r="H415" s="435"/>
      <c r="I415" s="4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</row>
    <row r="416" spans="1:25" ht="15.75" customHeight="1">
      <c r="A416" s="110"/>
      <c r="B416" s="110"/>
      <c r="C416" s="110"/>
      <c r="D416" s="435"/>
      <c r="E416" s="435"/>
      <c r="F416" s="435"/>
      <c r="G416" s="435"/>
      <c r="H416" s="435"/>
      <c r="I416" s="4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</row>
    <row r="417" spans="1:25" ht="15.75" customHeight="1">
      <c r="A417" s="110"/>
      <c r="B417" s="110"/>
      <c r="C417" s="110"/>
      <c r="D417" s="435"/>
      <c r="E417" s="435"/>
      <c r="F417" s="435"/>
      <c r="G417" s="435"/>
      <c r="H417" s="435"/>
      <c r="I417" s="4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</row>
    <row r="418" spans="1:25" ht="15.75" customHeight="1">
      <c r="A418" s="110"/>
      <c r="B418" s="110"/>
      <c r="C418" s="110"/>
      <c r="D418" s="435"/>
      <c r="E418" s="435"/>
      <c r="F418" s="435"/>
      <c r="G418" s="435"/>
      <c r="H418" s="435"/>
      <c r="I418" s="4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</row>
    <row r="419" spans="1:25" ht="15.75" customHeight="1">
      <c r="A419" s="110"/>
      <c r="B419" s="110"/>
      <c r="C419" s="110"/>
      <c r="D419" s="435"/>
      <c r="E419" s="435"/>
      <c r="F419" s="435"/>
      <c r="G419" s="435"/>
      <c r="H419" s="435"/>
      <c r="I419" s="4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</row>
    <row r="420" spans="1:25" ht="15.75" customHeight="1">
      <c r="A420" s="110"/>
      <c r="B420" s="110"/>
      <c r="C420" s="110"/>
      <c r="D420" s="435"/>
      <c r="E420" s="435"/>
      <c r="F420" s="435"/>
      <c r="G420" s="435"/>
      <c r="H420" s="435"/>
      <c r="I420" s="4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</row>
    <row r="421" spans="1:25" ht="15.75" customHeight="1">
      <c r="A421" s="110"/>
      <c r="B421" s="110"/>
      <c r="C421" s="110"/>
      <c r="D421" s="435"/>
      <c r="E421" s="435"/>
      <c r="F421" s="435"/>
      <c r="G421" s="435"/>
      <c r="H421" s="435"/>
      <c r="I421" s="4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</row>
    <row r="422" spans="1:25" ht="15.75" customHeight="1">
      <c r="A422" s="110"/>
      <c r="B422" s="110"/>
      <c r="C422" s="110"/>
      <c r="D422" s="435"/>
      <c r="E422" s="435"/>
      <c r="F422" s="435"/>
      <c r="G422" s="435"/>
      <c r="H422" s="435"/>
      <c r="I422" s="4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</row>
    <row r="423" spans="1:25" ht="15.75" customHeight="1">
      <c r="A423" s="110"/>
      <c r="B423" s="110"/>
      <c r="C423" s="110"/>
      <c r="D423" s="435"/>
      <c r="E423" s="435"/>
      <c r="F423" s="435"/>
      <c r="G423" s="435"/>
      <c r="H423" s="435"/>
      <c r="I423" s="4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</row>
    <row r="424" spans="1:25" ht="15.75" customHeight="1">
      <c r="A424" s="110"/>
      <c r="B424" s="110"/>
      <c r="C424" s="110"/>
      <c r="D424" s="435"/>
      <c r="E424" s="435"/>
      <c r="F424" s="435"/>
      <c r="G424" s="435"/>
      <c r="H424" s="435"/>
      <c r="I424" s="4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</row>
    <row r="425" spans="1:25" ht="15.75" customHeight="1">
      <c r="A425" s="110"/>
      <c r="B425" s="110"/>
      <c r="C425" s="110"/>
      <c r="D425" s="435"/>
      <c r="E425" s="435"/>
      <c r="F425" s="435"/>
      <c r="G425" s="435"/>
      <c r="H425" s="435"/>
      <c r="I425" s="4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</row>
    <row r="426" spans="1:25" ht="15.75" customHeight="1">
      <c r="A426" s="110"/>
      <c r="B426" s="110"/>
      <c r="C426" s="110"/>
      <c r="D426" s="435"/>
      <c r="E426" s="435"/>
      <c r="F426" s="435"/>
      <c r="G426" s="435"/>
      <c r="H426" s="435"/>
      <c r="I426" s="4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</row>
    <row r="427" spans="1:25" ht="15.75" customHeight="1">
      <c r="A427" s="110"/>
      <c r="B427" s="110"/>
      <c r="C427" s="110"/>
      <c r="D427" s="435"/>
      <c r="E427" s="435"/>
      <c r="F427" s="435"/>
      <c r="G427" s="435"/>
      <c r="H427" s="435"/>
      <c r="I427" s="4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</row>
    <row r="428" spans="1:25" ht="15.75" customHeight="1">
      <c r="A428" s="110"/>
      <c r="B428" s="110"/>
      <c r="C428" s="110"/>
      <c r="D428" s="435"/>
      <c r="E428" s="435"/>
      <c r="F428" s="435"/>
      <c r="G428" s="435"/>
      <c r="H428" s="435"/>
      <c r="I428" s="4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</row>
    <row r="429" spans="1:25" ht="15.75" customHeight="1">
      <c r="A429" s="110"/>
      <c r="B429" s="110"/>
      <c r="C429" s="110"/>
      <c r="D429" s="435"/>
      <c r="E429" s="435"/>
      <c r="F429" s="435"/>
      <c r="G429" s="435"/>
      <c r="H429" s="435"/>
      <c r="I429" s="4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</row>
    <row r="430" spans="1:25" ht="15.75" customHeight="1">
      <c r="A430" s="110"/>
      <c r="B430" s="110"/>
      <c r="C430" s="110"/>
      <c r="D430" s="435"/>
      <c r="E430" s="435"/>
      <c r="F430" s="435"/>
      <c r="G430" s="435"/>
      <c r="H430" s="435"/>
      <c r="I430" s="4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</row>
    <row r="431" spans="1:25" ht="15.75" customHeight="1">
      <c r="A431" s="110"/>
      <c r="B431" s="110"/>
      <c r="C431" s="110"/>
      <c r="D431" s="435"/>
      <c r="E431" s="435"/>
      <c r="F431" s="435"/>
      <c r="G431" s="435"/>
      <c r="H431" s="435"/>
      <c r="I431" s="4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</row>
    <row r="432" spans="1:25" ht="15.75" customHeight="1">
      <c r="A432" s="110"/>
      <c r="B432" s="110"/>
      <c r="C432" s="110"/>
      <c r="D432" s="435"/>
      <c r="E432" s="435"/>
      <c r="F432" s="435"/>
      <c r="G432" s="435"/>
      <c r="H432" s="435"/>
      <c r="I432" s="4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</row>
    <row r="433" spans="1:25" ht="15.75" customHeight="1">
      <c r="A433" s="110"/>
      <c r="B433" s="110"/>
      <c r="C433" s="110"/>
      <c r="D433" s="435"/>
      <c r="E433" s="435"/>
      <c r="F433" s="435"/>
      <c r="G433" s="435"/>
      <c r="H433" s="435"/>
      <c r="I433" s="4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</row>
    <row r="434" spans="1:25" ht="15.75" customHeight="1">
      <c r="A434" s="110"/>
      <c r="B434" s="110"/>
      <c r="C434" s="110"/>
      <c r="D434" s="435"/>
      <c r="E434" s="435"/>
      <c r="F434" s="435"/>
      <c r="G434" s="435"/>
      <c r="H434" s="435"/>
      <c r="I434" s="4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</row>
    <row r="435" spans="1:25" ht="15.75" customHeight="1">
      <c r="A435" s="110"/>
      <c r="B435" s="110"/>
      <c r="C435" s="110"/>
      <c r="D435" s="435"/>
      <c r="E435" s="435"/>
      <c r="F435" s="435"/>
      <c r="G435" s="435"/>
      <c r="H435" s="435"/>
      <c r="I435" s="4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</row>
    <row r="436" spans="1:25" ht="15.75" customHeight="1">
      <c r="A436" s="110"/>
      <c r="B436" s="110"/>
      <c r="C436" s="110"/>
      <c r="D436" s="435"/>
      <c r="E436" s="435"/>
      <c r="F436" s="435"/>
      <c r="G436" s="435"/>
      <c r="H436" s="435"/>
      <c r="I436" s="4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</row>
    <row r="437" spans="1:25" ht="15.75" customHeight="1">
      <c r="A437" s="110"/>
      <c r="B437" s="110"/>
      <c r="C437" s="110"/>
      <c r="D437" s="435"/>
      <c r="E437" s="435"/>
      <c r="F437" s="435"/>
      <c r="G437" s="435"/>
      <c r="H437" s="435"/>
      <c r="I437" s="4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</row>
    <row r="438" spans="1:25" ht="15.75" customHeight="1">
      <c r="A438" s="110"/>
      <c r="B438" s="110"/>
      <c r="C438" s="110"/>
      <c r="D438" s="435"/>
      <c r="E438" s="435"/>
      <c r="F438" s="435"/>
      <c r="G438" s="435"/>
      <c r="H438" s="435"/>
      <c r="I438" s="4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</row>
    <row r="439" spans="1:25" ht="15.75" customHeight="1">
      <c r="A439" s="110"/>
      <c r="B439" s="110"/>
      <c r="C439" s="110"/>
      <c r="D439" s="435"/>
      <c r="E439" s="435"/>
      <c r="F439" s="435"/>
      <c r="G439" s="435"/>
      <c r="H439" s="435"/>
      <c r="I439" s="4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</row>
    <row r="440" spans="1:25" ht="15.75" customHeight="1">
      <c r="A440" s="110"/>
      <c r="B440" s="110"/>
      <c r="C440" s="110"/>
      <c r="D440" s="435"/>
      <c r="E440" s="435"/>
      <c r="F440" s="435"/>
      <c r="G440" s="435"/>
      <c r="H440" s="435"/>
      <c r="I440" s="4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</row>
    <row r="441" spans="1:25" ht="15.75" customHeight="1">
      <c r="A441" s="110"/>
      <c r="B441" s="110"/>
      <c r="C441" s="110"/>
      <c r="D441" s="435"/>
      <c r="E441" s="435"/>
      <c r="F441" s="435"/>
      <c r="G441" s="435"/>
      <c r="H441" s="435"/>
      <c r="I441" s="4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</row>
    <row r="442" spans="1:25" ht="15.75" customHeight="1">
      <c r="A442" s="110"/>
      <c r="B442" s="110"/>
      <c r="C442" s="110"/>
      <c r="D442" s="435"/>
      <c r="E442" s="435"/>
      <c r="F442" s="435"/>
      <c r="G442" s="435"/>
      <c r="H442" s="435"/>
      <c r="I442" s="4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</row>
    <row r="443" spans="1:25" ht="15.75" customHeight="1">
      <c r="A443" s="110"/>
      <c r="B443" s="110"/>
      <c r="C443" s="110"/>
      <c r="D443" s="435"/>
      <c r="E443" s="435"/>
      <c r="F443" s="435"/>
      <c r="G443" s="435"/>
      <c r="H443" s="435"/>
      <c r="I443" s="4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</row>
    <row r="444" spans="1:25" ht="15.75" customHeight="1">
      <c r="A444" s="110"/>
      <c r="B444" s="110"/>
      <c r="C444" s="110"/>
      <c r="D444" s="435"/>
      <c r="E444" s="435"/>
      <c r="F444" s="435"/>
      <c r="G444" s="435"/>
      <c r="H444" s="435"/>
      <c r="I444" s="4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</row>
    <row r="445" spans="1:25" ht="15.75" customHeight="1">
      <c r="A445" s="110"/>
      <c r="B445" s="110"/>
      <c r="C445" s="110"/>
      <c r="D445" s="435"/>
      <c r="E445" s="435"/>
      <c r="F445" s="435"/>
      <c r="G445" s="435"/>
      <c r="H445" s="435"/>
      <c r="I445" s="4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</row>
    <row r="446" spans="1:25" ht="15.75" customHeight="1">
      <c r="A446" s="110"/>
      <c r="B446" s="110"/>
      <c r="C446" s="110"/>
      <c r="D446" s="435"/>
      <c r="E446" s="435"/>
      <c r="F446" s="435"/>
      <c r="G446" s="435"/>
      <c r="H446" s="435"/>
      <c r="I446" s="4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</row>
    <row r="447" spans="1:25" ht="15.75" customHeight="1">
      <c r="A447" s="110"/>
      <c r="B447" s="110"/>
      <c r="C447" s="110"/>
      <c r="D447" s="435"/>
      <c r="E447" s="435"/>
      <c r="F447" s="435"/>
      <c r="G447" s="435"/>
      <c r="H447" s="435"/>
      <c r="I447" s="4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</row>
    <row r="448" spans="1:25" ht="15.75" customHeight="1">
      <c r="A448" s="110"/>
      <c r="B448" s="110"/>
      <c r="C448" s="110"/>
      <c r="D448" s="435"/>
      <c r="E448" s="435"/>
      <c r="F448" s="435"/>
      <c r="G448" s="435"/>
      <c r="H448" s="435"/>
      <c r="I448" s="4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</row>
    <row r="449" spans="1:25" ht="15.75" customHeight="1">
      <c r="A449" s="110"/>
      <c r="B449" s="110"/>
      <c r="C449" s="110"/>
      <c r="D449" s="435"/>
      <c r="E449" s="435"/>
      <c r="F449" s="435"/>
      <c r="G449" s="435"/>
      <c r="H449" s="435"/>
      <c r="I449" s="4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</row>
    <row r="450" spans="1:25" ht="15.75" customHeight="1">
      <c r="A450" s="110"/>
      <c r="B450" s="110"/>
      <c r="C450" s="110"/>
      <c r="D450" s="435"/>
      <c r="E450" s="435"/>
      <c r="F450" s="435"/>
      <c r="G450" s="435"/>
      <c r="H450" s="435"/>
      <c r="I450" s="4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</row>
    <row r="451" spans="1:25" ht="15.75" customHeight="1">
      <c r="A451" s="110"/>
      <c r="B451" s="110"/>
      <c r="C451" s="110"/>
      <c r="D451" s="435"/>
      <c r="E451" s="435"/>
      <c r="F451" s="435"/>
      <c r="G451" s="435"/>
      <c r="H451" s="435"/>
      <c r="I451" s="4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</row>
    <row r="452" spans="1:25" ht="15.75" customHeight="1">
      <c r="A452" s="110"/>
      <c r="B452" s="110"/>
      <c r="C452" s="110"/>
      <c r="D452" s="435"/>
      <c r="E452" s="435"/>
      <c r="F452" s="435"/>
      <c r="G452" s="435"/>
      <c r="H452" s="435"/>
      <c r="I452" s="4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</row>
    <row r="453" spans="1:25" ht="15.75" customHeight="1">
      <c r="A453" s="110"/>
      <c r="B453" s="110"/>
      <c r="C453" s="110"/>
      <c r="D453" s="435"/>
      <c r="E453" s="435"/>
      <c r="F453" s="435"/>
      <c r="G453" s="435"/>
      <c r="H453" s="435"/>
      <c r="I453" s="4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</row>
    <row r="454" spans="1:25" ht="15.75" customHeight="1">
      <c r="A454" s="110"/>
      <c r="B454" s="110"/>
      <c r="C454" s="110"/>
      <c r="D454" s="435"/>
      <c r="E454" s="435"/>
      <c r="F454" s="435"/>
      <c r="G454" s="435"/>
      <c r="H454" s="435"/>
      <c r="I454" s="4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</row>
    <row r="455" spans="1:25" ht="15.75" customHeight="1">
      <c r="A455" s="110"/>
      <c r="B455" s="110"/>
      <c r="C455" s="110"/>
      <c r="D455" s="435"/>
      <c r="E455" s="435"/>
      <c r="F455" s="435"/>
      <c r="G455" s="435"/>
      <c r="H455" s="435"/>
      <c r="I455" s="4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</row>
    <row r="456" spans="1:25" ht="15.75" customHeight="1">
      <c r="A456" s="110"/>
      <c r="B456" s="110"/>
      <c r="C456" s="110"/>
      <c r="D456" s="435"/>
      <c r="E456" s="435"/>
      <c r="F456" s="435"/>
      <c r="G456" s="435"/>
      <c r="H456" s="435"/>
      <c r="I456" s="4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</row>
    <row r="457" spans="1:25" ht="15.75" customHeight="1">
      <c r="A457" s="110"/>
      <c r="B457" s="110"/>
      <c r="C457" s="110"/>
      <c r="D457" s="435"/>
      <c r="E457" s="435"/>
      <c r="F457" s="435"/>
      <c r="G457" s="435"/>
      <c r="H457" s="435"/>
      <c r="I457" s="4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</row>
    <row r="458" spans="1:25" ht="15.75" customHeight="1">
      <c r="A458" s="110"/>
      <c r="B458" s="110"/>
      <c r="C458" s="110"/>
      <c r="D458" s="435"/>
      <c r="E458" s="435"/>
      <c r="F458" s="435"/>
      <c r="G458" s="435"/>
      <c r="H458" s="435"/>
      <c r="I458" s="4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</row>
    <row r="459" spans="1:25" ht="15.75" customHeight="1">
      <c r="A459" s="110"/>
      <c r="B459" s="110"/>
      <c r="C459" s="110"/>
      <c r="D459" s="435"/>
      <c r="E459" s="435"/>
      <c r="F459" s="435"/>
      <c r="G459" s="435"/>
      <c r="H459" s="435"/>
      <c r="I459" s="4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</row>
    <row r="460" spans="1:25" ht="15.75" customHeight="1">
      <c r="A460" s="110"/>
      <c r="B460" s="110"/>
      <c r="C460" s="110"/>
      <c r="D460" s="435"/>
      <c r="E460" s="435"/>
      <c r="F460" s="435"/>
      <c r="G460" s="435"/>
      <c r="H460" s="435"/>
      <c r="I460" s="4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</row>
    <row r="461" spans="1:25" ht="15.75" customHeight="1">
      <c r="A461" s="110"/>
      <c r="B461" s="110"/>
      <c r="C461" s="110"/>
      <c r="D461" s="435"/>
      <c r="E461" s="435"/>
      <c r="F461" s="435"/>
      <c r="G461" s="435"/>
      <c r="H461" s="435"/>
      <c r="I461" s="4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</row>
    <row r="462" spans="1:25" ht="15.75" customHeight="1">
      <c r="A462" s="110"/>
      <c r="B462" s="110"/>
      <c r="C462" s="110"/>
      <c r="D462" s="435"/>
      <c r="E462" s="435"/>
      <c r="F462" s="435"/>
      <c r="G462" s="435"/>
      <c r="H462" s="435"/>
      <c r="I462" s="4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</row>
    <row r="463" spans="1:25" ht="15.75" customHeight="1">
      <c r="A463" s="110"/>
      <c r="B463" s="110"/>
      <c r="C463" s="110"/>
      <c r="D463" s="435"/>
      <c r="E463" s="435"/>
      <c r="F463" s="435"/>
      <c r="G463" s="435"/>
      <c r="H463" s="435"/>
      <c r="I463" s="4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</row>
    <row r="464" spans="1:25" ht="15.75" customHeight="1">
      <c r="A464" s="110"/>
      <c r="B464" s="110"/>
      <c r="C464" s="110"/>
      <c r="D464" s="435"/>
      <c r="E464" s="435"/>
      <c r="F464" s="435"/>
      <c r="G464" s="435"/>
      <c r="H464" s="435"/>
      <c r="I464" s="4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</row>
    <row r="465" spans="1:25" ht="15.75" customHeight="1">
      <c r="A465" s="110"/>
      <c r="B465" s="110"/>
      <c r="C465" s="110"/>
      <c r="D465" s="435"/>
      <c r="E465" s="435"/>
      <c r="F465" s="435"/>
      <c r="G465" s="435"/>
      <c r="H465" s="435"/>
      <c r="I465" s="4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</row>
    <row r="466" spans="1:25" ht="15.75" customHeight="1">
      <c r="A466" s="110"/>
      <c r="B466" s="110"/>
      <c r="C466" s="110"/>
      <c r="D466" s="435"/>
      <c r="E466" s="435"/>
      <c r="F466" s="435"/>
      <c r="G466" s="435"/>
      <c r="H466" s="435"/>
      <c r="I466" s="4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</row>
    <row r="467" spans="1:25" ht="15.75" customHeight="1">
      <c r="A467" s="110"/>
      <c r="B467" s="110"/>
      <c r="C467" s="110"/>
      <c r="D467" s="435"/>
      <c r="E467" s="435"/>
      <c r="F467" s="435"/>
      <c r="G467" s="435"/>
      <c r="H467" s="435"/>
      <c r="I467" s="4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</row>
    <row r="468" spans="1:25" ht="15.75" customHeight="1">
      <c r="A468" s="110"/>
      <c r="B468" s="110"/>
      <c r="C468" s="110"/>
      <c r="D468" s="435"/>
      <c r="E468" s="435"/>
      <c r="F468" s="435"/>
      <c r="G468" s="435"/>
      <c r="H468" s="435"/>
      <c r="I468" s="4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</row>
    <row r="469" spans="1:25" ht="15.75" customHeight="1">
      <c r="A469" s="110"/>
      <c r="B469" s="110"/>
      <c r="C469" s="110"/>
      <c r="D469" s="435"/>
      <c r="E469" s="435"/>
      <c r="F469" s="435"/>
      <c r="G469" s="435"/>
      <c r="H469" s="435"/>
      <c r="I469" s="4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</row>
    <row r="470" spans="1:25" ht="15.75" customHeight="1">
      <c r="A470" s="110"/>
      <c r="B470" s="110"/>
      <c r="C470" s="110"/>
      <c r="D470" s="435"/>
      <c r="E470" s="435"/>
      <c r="F470" s="435"/>
      <c r="G470" s="435"/>
      <c r="H470" s="435"/>
      <c r="I470" s="4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</row>
    <row r="471" spans="1:25" ht="15.75" customHeight="1">
      <c r="A471" s="110"/>
      <c r="B471" s="110"/>
      <c r="C471" s="110"/>
      <c r="D471" s="435"/>
      <c r="E471" s="435"/>
      <c r="F471" s="435"/>
      <c r="G471" s="435"/>
      <c r="H471" s="435"/>
      <c r="I471" s="4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</row>
    <row r="472" spans="1:25" ht="15.75" customHeight="1">
      <c r="A472" s="110"/>
      <c r="B472" s="110"/>
      <c r="C472" s="110"/>
      <c r="D472" s="435"/>
      <c r="E472" s="435"/>
      <c r="F472" s="435"/>
      <c r="G472" s="435"/>
      <c r="H472" s="435"/>
      <c r="I472" s="4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</row>
    <row r="473" spans="1:25" ht="15.75" customHeight="1">
      <c r="A473" s="110"/>
      <c r="B473" s="110"/>
      <c r="C473" s="110"/>
      <c r="D473" s="435"/>
      <c r="E473" s="435"/>
      <c r="F473" s="435"/>
      <c r="G473" s="435"/>
      <c r="H473" s="435"/>
      <c r="I473" s="4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</row>
    <row r="474" spans="1:25" ht="15.75" customHeight="1">
      <c r="A474" s="110"/>
      <c r="B474" s="110"/>
      <c r="C474" s="110"/>
      <c r="D474" s="435"/>
      <c r="E474" s="435"/>
      <c r="F474" s="435"/>
      <c r="G474" s="435"/>
      <c r="H474" s="435"/>
      <c r="I474" s="4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</row>
    <row r="475" spans="1:25" ht="15.75" customHeight="1">
      <c r="A475" s="110"/>
      <c r="B475" s="110"/>
      <c r="C475" s="110"/>
      <c r="D475" s="435"/>
      <c r="E475" s="435"/>
      <c r="F475" s="435"/>
      <c r="G475" s="435"/>
      <c r="H475" s="435"/>
      <c r="I475" s="4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</row>
    <row r="476" spans="1:25" ht="15.75" customHeight="1">
      <c r="A476" s="110"/>
      <c r="B476" s="110"/>
      <c r="C476" s="110"/>
      <c r="D476" s="435"/>
      <c r="E476" s="435"/>
      <c r="F476" s="435"/>
      <c r="G476" s="435"/>
      <c r="H476" s="435"/>
      <c r="I476" s="4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</row>
    <row r="477" spans="1:25" ht="15.75" customHeight="1">
      <c r="A477" s="110"/>
      <c r="B477" s="110"/>
      <c r="C477" s="110"/>
      <c r="D477" s="435"/>
      <c r="E477" s="435"/>
      <c r="F477" s="435"/>
      <c r="G477" s="435"/>
      <c r="H477" s="435"/>
      <c r="I477" s="4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</row>
    <row r="478" spans="1:25" ht="15.75" customHeight="1">
      <c r="A478" s="110"/>
      <c r="B478" s="110"/>
      <c r="C478" s="110"/>
      <c r="D478" s="435"/>
      <c r="E478" s="435"/>
      <c r="F478" s="435"/>
      <c r="G478" s="435"/>
      <c r="H478" s="435"/>
      <c r="I478" s="4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</row>
    <row r="479" spans="1:25" ht="15.75" customHeight="1">
      <c r="A479" s="110"/>
      <c r="B479" s="110"/>
      <c r="C479" s="110"/>
      <c r="D479" s="435"/>
      <c r="E479" s="435"/>
      <c r="F479" s="435"/>
      <c r="G479" s="435"/>
      <c r="H479" s="435"/>
      <c r="I479" s="4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</row>
    <row r="480" spans="1:25" ht="15.75" customHeight="1">
      <c r="A480" s="110"/>
      <c r="B480" s="110"/>
      <c r="C480" s="110"/>
      <c r="D480" s="435"/>
      <c r="E480" s="435"/>
      <c r="F480" s="435"/>
      <c r="G480" s="435"/>
      <c r="H480" s="435"/>
      <c r="I480" s="4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</row>
    <row r="481" spans="1:25" ht="15.75" customHeight="1">
      <c r="A481" s="110"/>
      <c r="B481" s="110"/>
      <c r="C481" s="110"/>
      <c r="D481" s="435"/>
      <c r="E481" s="435"/>
      <c r="F481" s="435"/>
      <c r="G481" s="435"/>
      <c r="H481" s="435"/>
      <c r="I481" s="4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</row>
    <row r="482" spans="1:25" ht="15.75" customHeight="1">
      <c r="A482" s="110"/>
      <c r="B482" s="110"/>
      <c r="C482" s="110"/>
      <c r="D482" s="435"/>
      <c r="E482" s="435"/>
      <c r="F482" s="435"/>
      <c r="G482" s="435"/>
      <c r="H482" s="435"/>
      <c r="I482" s="4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</row>
    <row r="483" spans="1:25" ht="15.75" customHeight="1">
      <c r="A483" s="110"/>
      <c r="B483" s="110"/>
      <c r="C483" s="110"/>
      <c r="D483" s="435"/>
      <c r="E483" s="435"/>
      <c r="F483" s="435"/>
      <c r="G483" s="435"/>
      <c r="H483" s="435"/>
      <c r="I483" s="4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</row>
    <row r="484" spans="1:25" ht="15.75" customHeight="1">
      <c r="A484" s="110"/>
      <c r="B484" s="110"/>
      <c r="C484" s="110"/>
      <c r="D484" s="435"/>
      <c r="E484" s="435"/>
      <c r="F484" s="435"/>
      <c r="G484" s="435"/>
      <c r="H484" s="435"/>
      <c r="I484" s="4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</row>
    <row r="485" spans="1:25" ht="15.75" customHeight="1">
      <c r="A485" s="110"/>
      <c r="B485" s="110"/>
      <c r="C485" s="110"/>
      <c r="D485" s="435"/>
      <c r="E485" s="435"/>
      <c r="F485" s="435"/>
      <c r="G485" s="435"/>
      <c r="H485" s="435"/>
      <c r="I485" s="4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</row>
    <row r="486" spans="1:25" ht="15.75" customHeight="1">
      <c r="A486" s="110"/>
      <c r="B486" s="110"/>
      <c r="C486" s="110"/>
      <c r="D486" s="435"/>
      <c r="E486" s="435"/>
      <c r="F486" s="435"/>
      <c r="G486" s="435"/>
      <c r="H486" s="435"/>
      <c r="I486" s="4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</row>
    <row r="487" spans="1:25" ht="15.75" customHeight="1">
      <c r="A487" s="110"/>
      <c r="B487" s="110"/>
      <c r="C487" s="110"/>
      <c r="D487" s="435"/>
      <c r="E487" s="435"/>
      <c r="F487" s="435"/>
      <c r="G487" s="435"/>
      <c r="H487" s="435"/>
      <c r="I487" s="4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</row>
    <row r="488" spans="1:25" ht="15.75" customHeight="1">
      <c r="A488" s="110"/>
      <c r="B488" s="110"/>
      <c r="C488" s="110"/>
      <c r="D488" s="435"/>
      <c r="E488" s="435"/>
      <c r="F488" s="435"/>
      <c r="G488" s="435"/>
      <c r="H488" s="435"/>
      <c r="I488" s="4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</row>
    <row r="489" spans="1:25" ht="15.75" customHeight="1">
      <c r="A489" s="110"/>
      <c r="B489" s="110"/>
      <c r="C489" s="110"/>
      <c r="D489" s="435"/>
      <c r="E489" s="435"/>
      <c r="F489" s="435"/>
      <c r="G489" s="435"/>
      <c r="H489" s="435"/>
      <c r="I489" s="4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</row>
    <row r="490" spans="1:25" ht="15.75" customHeight="1">
      <c r="A490" s="110"/>
      <c r="B490" s="110"/>
      <c r="C490" s="110"/>
      <c r="D490" s="435"/>
      <c r="E490" s="435"/>
      <c r="F490" s="435"/>
      <c r="G490" s="435"/>
      <c r="H490" s="435"/>
      <c r="I490" s="4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</row>
    <row r="491" spans="1:25" ht="15.75" customHeight="1">
      <c r="A491" s="110"/>
      <c r="B491" s="110"/>
      <c r="C491" s="110"/>
      <c r="D491" s="435"/>
      <c r="E491" s="435"/>
      <c r="F491" s="435"/>
      <c r="G491" s="435"/>
      <c r="H491" s="435"/>
      <c r="I491" s="4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</row>
    <row r="492" spans="1:25" ht="15.75" customHeight="1">
      <c r="A492" s="110"/>
      <c r="B492" s="110"/>
      <c r="C492" s="110"/>
      <c r="D492" s="435"/>
      <c r="E492" s="435"/>
      <c r="F492" s="435"/>
      <c r="G492" s="435"/>
      <c r="H492" s="435"/>
      <c r="I492" s="4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</row>
    <row r="493" spans="1:25" ht="15.75" customHeight="1">
      <c r="A493" s="110"/>
      <c r="B493" s="110"/>
      <c r="C493" s="110"/>
      <c r="D493" s="435"/>
      <c r="E493" s="435"/>
      <c r="F493" s="435"/>
      <c r="G493" s="435"/>
      <c r="H493" s="435"/>
      <c r="I493" s="4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</row>
    <row r="494" spans="1:25" ht="15.75" customHeight="1">
      <c r="A494" s="110"/>
      <c r="B494" s="110"/>
      <c r="C494" s="110"/>
      <c r="D494" s="435"/>
      <c r="E494" s="435"/>
      <c r="F494" s="435"/>
      <c r="G494" s="435"/>
      <c r="H494" s="435"/>
      <c r="I494" s="4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</row>
    <row r="495" spans="1:25" ht="15.75" customHeight="1">
      <c r="A495" s="110"/>
      <c r="B495" s="110"/>
      <c r="C495" s="110"/>
      <c r="D495" s="435"/>
      <c r="E495" s="435"/>
      <c r="F495" s="435"/>
      <c r="G495" s="435"/>
      <c r="H495" s="435"/>
      <c r="I495" s="4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</row>
    <row r="496" spans="1:25" ht="15.75" customHeight="1">
      <c r="A496" s="110"/>
      <c r="B496" s="110"/>
      <c r="C496" s="110"/>
      <c r="D496" s="435"/>
      <c r="E496" s="435"/>
      <c r="F496" s="435"/>
      <c r="G496" s="435"/>
      <c r="H496" s="435"/>
      <c r="I496" s="4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</row>
    <row r="497" spans="1:25" ht="15.75" customHeight="1">
      <c r="A497" s="110"/>
      <c r="B497" s="110"/>
      <c r="C497" s="110"/>
      <c r="D497" s="435"/>
      <c r="E497" s="435"/>
      <c r="F497" s="435"/>
      <c r="G497" s="435"/>
      <c r="H497" s="435"/>
      <c r="I497" s="4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</row>
    <row r="498" spans="1:25" ht="15.75" customHeight="1">
      <c r="A498" s="110"/>
      <c r="B498" s="110"/>
      <c r="C498" s="110"/>
      <c r="D498" s="435"/>
      <c r="E498" s="435"/>
      <c r="F498" s="435"/>
      <c r="G498" s="435"/>
      <c r="H498" s="435"/>
      <c r="I498" s="4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</row>
    <row r="499" spans="1:25" ht="15.75" customHeight="1">
      <c r="A499" s="110"/>
      <c r="B499" s="110"/>
      <c r="C499" s="110"/>
      <c r="D499" s="435"/>
      <c r="E499" s="435"/>
      <c r="F499" s="435"/>
      <c r="G499" s="435"/>
      <c r="H499" s="435"/>
      <c r="I499" s="4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</row>
    <row r="500" spans="1:25" ht="15.75" customHeight="1">
      <c r="A500" s="110"/>
      <c r="B500" s="110"/>
      <c r="C500" s="110"/>
      <c r="D500" s="435"/>
      <c r="E500" s="435"/>
      <c r="F500" s="435"/>
      <c r="G500" s="435"/>
      <c r="H500" s="435"/>
      <c r="I500" s="4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</row>
    <row r="501" spans="1:25" ht="15.75" customHeight="1">
      <c r="A501" s="110"/>
      <c r="B501" s="110"/>
      <c r="C501" s="110"/>
      <c r="D501" s="435"/>
      <c r="E501" s="435"/>
      <c r="F501" s="435"/>
      <c r="G501" s="435"/>
      <c r="H501" s="435"/>
      <c r="I501" s="4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</row>
    <row r="502" spans="1:25" ht="15.75" customHeight="1">
      <c r="A502" s="110"/>
      <c r="B502" s="110"/>
      <c r="C502" s="110"/>
      <c r="D502" s="435"/>
      <c r="E502" s="435"/>
      <c r="F502" s="435"/>
      <c r="G502" s="435"/>
      <c r="H502" s="435"/>
      <c r="I502" s="4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</row>
    <row r="503" spans="1:25" ht="15.75" customHeight="1">
      <c r="A503" s="110"/>
      <c r="B503" s="110"/>
      <c r="C503" s="110"/>
      <c r="D503" s="435"/>
      <c r="E503" s="435"/>
      <c r="F503" s="435"/>
      <c r="G503" s="435"/>
      <c r="H503" s="435"/>
      <c r="I503" s="4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</row>
    <row r="504" spans="1:25" ht="15.75" customHeight="1">
      <c r="A504" s="110"/>
      <c r="B504" s="110"/>
      <c r="C504" s="110"/>
      <c r="D504" s="435"/>
      <c r="E504" s="435"/>
      <c r="F504" s="435"/>
      <c r="G504" s="435"/>
      <c r="H504" s="435"/>
      <c r="I504" s="4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</row>
    <row r="505" spans="1:25" ht="15.75" customHeight="1">
      <c r="A505" s="110"/>
      <c r="B505" s="110"/>
      <c r="C505" s="110"/>
      <c r="D505" s="435"/>
      <c r="E505" s="435"/>
      <c r="F505" s="435"/>
      <c r="G505" s="435"/>
      <c r="H505" s="435"/>
      <c r="I505" s="4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</row>
    <row r="506" spans="1:25" ht="15.75" customHeight="1">
      <c r="A506" s="110"/>
      <c r="B506" s="110"/>
      <c r="C506" s="110"/>
      <c r="D506" s="435"/>
      <c r="E506" s="435"/>
      <c r="F506" s="435"/>
      <c r="G506" s="435"/>
      <c r="H506" s="435"/>
      <c r="I506" s="4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</row>
    <row r="507" spans="1:25" ht="15.75" customHeight="1">
      <c r="A507" s="110"/>
      <c r="B507" s="110"/>
      <c r="C507" s="110"/>
      <c r="D507" s="435"/>
      <c r="E507" s="435"/>
      <c r="F507" s="435"/>
      <c r="G507" s="435"/>
      <c r="H507" s="435"/>
      <c r="I507" s="4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</row>
    <row r="508" spans="1:25" ht="15.75" customHeight="1">
      <c r="A508" s="110"/>
      <c r="B508" s="110"/>
      <c r="C508" s="110"/>
      <c r="D508" s="435"/>
      <c r="E508" s="435"/>
      <c r="F508" s="435"/>
      <c r="G508" s="435"/>
      <c r="H508" s="435"/>
      <c r="I508" s="4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</row>
    <row r="509" spans="1:25" ht="15.75" customHeight="1">
      <c r="A509" s="110"/>
      <c r="B509" s="110"/>
      <c r="C509" s="110"/>
      <c r="D509" s="435"/>
      <c r="E509" s="435"/>
      <c r="F509" s="435"/>
      <c r="G509" s="435"/>
      <c r="H509" s="435"/>
      <c r="I509" s="4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</row>
    <row r="510" spans="1:25" ht="15.75" customHeight="1">
      <c r="A510" s="110"/>
      <c r="B510" s="110"/>
      <c r="C510" s="110"/>
      <c r="D510" s="435"/>
      <c r="E510" s="435"/>
      <c r="F510" s="435"/>
      <c r="G510" s="435"/>
      <c r="H510" s="435"/>
      <c r="I510" s="4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</row>
    <row r="511" spans="1:25" ht="15.75" customHeight="1">
      <c r="A511" s="110"/>
      <c r="B511" s="110"/>
      <c r="C511" s="110"/>
      <c r="D511" s="435"/>
      <c r="E511" s="435"/>
      <c r="F511" s="435"/>
      <c r="G511" s="435"/>
      <c r="H511" s="435"/>
      <c r="I511" s="4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</row>
    <row r="512" spans="1:25" ht="15.75" customHeight="1">
      <c r="A512" s="110"/>
      <c r="B512" s="110"/>
      <c r="C512" s="110"/>
      <c r="D512" s="435"/>
      <c r="E512" s="435"/>
      <c r="F512" s="435"/>
      <c r="G512" s="435"/>
      <c r="H512" s="435"/>
      <c r="I512" s="4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</row>
    <row r="513" spans="1:25" ht="15.75" customHeight="1">
      <c r="A513" s="110"/>
      <c r="B513" s="110"/>
      <c r="C513" s="110"/>
      <c r="D513" s="435"/>
      <c r="E513" s="435"/>
      <c r="F513" s="435"/>
      <c r="G513" s="435"/>
      <c r="H513" s="435"/>
      <c r="I513" s="4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</row>
    <row r="514" spans="1:25" ht="15.75" customHeight="1">
      <c r="A514" s="110"/>
      <c r="B514" s="110"/>
      <c r="C514" s="110"/>
      <c r="D514" s="435"/>
      <c r="E514" s="435"/>
      <c r="F514" s="435"/>
      <c r="G514" s="435"/>
      <c r="H514" s="435"/>
      <c r="I514" s="4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</row>
    <row r="515" spans="1:25" ht="15.75" customHeight="1">
      <c r="A515" s="110"/>
      <c r="B515" s="110"/>
      <c r="C515" s="110"/>
      <c r="D515" s="435"/>
      <c r="E515" s="435"/>
      <c r="F515" s="435"/>
      <c r="G515" s="435"/>
      <c r="H515" s="435"/>
      <c r="I515" s="4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</row>
    <row r="516" spans="1:25" ht="15.75" customHeight="1">
      <c r="A516" s="110"/>
      <c r="B516" s="110"/>
      <c r="C516" s="110"/>
      <c r="D516" s="435"/>
      <c r="E516" s="435"/>
      <c r="F516" s="435"/>
      <c r="G516" s="435"/>
      <c r="H516" s="435"/>
      <c r="I516" s="4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</row>
    <row r="517" spans="1:25" ht="15.75" customHeight="1">
      <c r="A517" s="110"/>
      <c r="B517" s="110"/>
      <c r="C517" s="110"/>
      <c r="D517" s="435"/>
      <c r="E517" s="435"/>
      <c r="F517" s="435"/>
      <c r="G517" s="435"/>
      <c r="H517" s="435"/>
      <c r="I517" s="4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</row>
    <row r="518" spans="1:25" ht="15.75" customHeight="1">
      <c r="A518" s="110"/>
      <c r="B518" s="110"/>
      <c r="C518" s="110"/>
      <c r="D518" s="435"/>
      <c r="E518" s="435"/>
      <c r="F518" s="435"/>
      <c r="G518" s="435"/>
      <c r="H518" s="435"/>
      <c r="I518" s="4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</row>
    <row r="519" spans="1:25" ht="15.75" customHeight="1">
      <c r="A519" s="110"/>
      <c r="B519" s="110"/>
      <c r="C519" s="110"/>
      <c r="D519" s="435"/>
      <c r="E519" s="435"/>
      <c r="F519" s="435"/>
      <c r="G519" s="435"/>
      <c r="H519" s="435"/>
      <c r="I519" s="4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</row>
    <row r="520" spans="1:25" ht="15.75" customHeight="1">
      <c r="A520" s="110"/>
      <c r="B520" s="110"/>
      <c r="C520" s="110"/>
      <c r="D520" s="435"/>
      <c r="E520" s="435"/>
      <c r="F520" s="435"/>
      <c r="G520" s="435"/>
      <c r="H520" s="435"/>
      <c r="I520" s="4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</row>
    <row r="521" spans="1:25" ht="15.75" customHeight="1">
      <c r="A521" s="110"/>
      <c r="B521" s="110"/>
      <c r="C521" s="110"/>
      <c r="D521" s="435"/>
      <c r="E521" s="435"/>
      <c r="F521" s="435"/>
      <c r="G521" s="435"/>
      <c r="H521" s="435"/>
      <c r="I521" s="4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</row>
    <row r="522" spans="1:25" ht="15.75" customHeight="1">
      <c r="A522" s="110"/>
      <c r="B522" s="110"/>
      <c r="C522" s="110"/>
      <c r="D522" s="435"/>
      <c r="E522" s="435"/>
      <c r="F522" s="435"/>
      <c r="G522" s="435"/>
      <c r="H522" s="435"/>
      <c r="I522" s="4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</row>
    <row r="523" spans="1:25" ht="15.75" customHeight="1">
      <c r="A523" s="110"/>
      <c r="B523" s="110"/>
      <c r="C523" s="110"/>
      <c r="D523" s="435"/>
      <c r="E523" s="435"/>
      <c r="F523" s="435"/>
      <c r="G523" s="435"/>
      <c r="H523" s="435"/>
      <c r="I523" s="4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</row>
    <row r="524" spans="1:25" ht="15.75" customHeight="1">
      <c r="A524" s="110"/>
      <c r="B524" s="110"/>
      <c r="C524" s="110"/>
      <c r="D524" s="435"/>
      <c r="E524" s="435"/>
      <c r="F524" s="435"/>
      <c r="G524" s="435"/>
      <c r="H524" s="435"/>
      <c r="I524" s="4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</row>
    <row r="525" spans="1:25" ht="15.75" customHeight="1">
      <c r="A525" s="110"/>
      <c r="B525" s="110"/>
      <c r="C525" s="110"/>
      <c r="D525" s="435"/>
      <c r="E525" s="435"/>
      <c r="F525" s="435"/>
      <c r="G525" s="435"/>
      <c r="H525" s="435"/>
      <c r="I525" s="4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</row>
    <row r="526" spans="1:25" ht="15.75" customHeight="1">
      <c r="A526" s="110"/>
      <c r="B526" s="110"/>
      <c r="C526" s="110"/>
      <c r="D526" s="435"/>
      <c r="E526" s="435"/>
      <c r="F526" s="435"/>
      <c r="G526" s="435"/>
      <c r="H526" s="435"/>
      <c r="I526" s="4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</row>
    <row r="527" spans="1:25" ht="15.75" customHeight="1">
      <c r="A527" s="110"/>
      <c r="B527" s="110"/>
      <c r="C527" s="110"/>
      <c r="D527" s="435"/>
      <c r="E527" s="435"/>
      <c r="F527" s="435"/>
      <c r="G527" s="435"/>
      <c r="H527" s="435"/>
      <c r="I527" s="4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</row>
    <row r="528" spans="1:25" ht="15.75" customHeight="1">
      <c r="A528" s="110"/>
      <c r="B528" s="110"/>
      <c r="C528" s="110"/>
      <c r="D528" s="435"/>
      <c r="E528" s="435"/>
      <c r="F528" s="435"/>
      <c r="G528" s="435"/>
      <c r="H528" s="435"/>
      <c r="I528" s="4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</row>
    <row r="529" spans="1:25" ht="15.75" customHeight="1">
      <c r="A529" s="110"/>
      <c r="B529" s="110"/>
      <c r="C529" s="110"/>
      <c r="D529" s="435"/>
      <c r="E529" s="435"/>
      <c r="F529" s="435"/>
      <c r="G529" s="435"/>
      <c r="H529" s="435"/>
      <c r="I529" s="4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</row>
    <row r="530" spans="1:25" ht="15.75" customHeight="1">
      <c r="A530" s="110"/>
      <c r="B530" s="110"/>
      <c r="C530" s="110"/>
      <c r="D530" s="435"/>
      <c r="E530" s="435"/>
      <c r="F530" s="435"/>
      <c r="G530" s="435"/>
      <c r="H530" s="435"/>
      <c r="I530" s="4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</row>
    <row r="531" spans="1:25" ht="15.75" customHeight="1">
      <c r="A531" s="110"/>
      <c r="B531" s="110"/>
      <c r="C531" s="110"/>
      <c r="D531" s="435"/>
      <c r="E531" s="435"/>
      <c r="F531" s="435"/>
      <c r="G531" s="435"/>
      <c r="H531" s="435"/>
      <c r="I531" s="4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</row>
    <row r="532" spans="1:25" ht="15.75" customHeight="1">
      <c r="A532" s="110"/>
      <c r="B532" s="110"/>
      <c r="C532" s="110"/>
      <c r="D532" s="435"/>
      <c r="E532" s="435"/>
      <c r="F532" s="435"/>
      <c r="G532" s="435"/>
      <c r="H532" s="435"/>
      <c r="I532" s="4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</row>
    <row r="533" spans="1:25" ht="15.75" customHeight="1">
      <c r="A533" s="110"/>
      <c r="B533" s="110"/>
      <c r="C533" s="110"/>
      <c r="D533" s="435"/>
      <c r="E533" s="435"/>
      <c r="F533" s="435"/>
      <c r="G533" s="435"/>
      <c r="H533" s="435"/>
      <c r="I533" s="4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</row>
    <row r="534" spans="1:25" ht="15.75" customHeight="1">
      <c r="A534" s="110"/>
      <c r="B534" s="110"/>
      <c r="C534" s="110"/>
      <c r="D534" s="435"/>
      <c r="E534" s="435"/>
      <c r="F534" s="435"/>
      <c r="G534" s="435"/>
      <c r="H534" s="435"/>
      <c r="I534" s="4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</row>
    <row r="535" spans="1:25" ht="15.75" customHeight="1">
      <c r="A535" s="110"/>
      <c r="B535" s="110"/>
      <c r="C535" s="110"/>
      <c r="D535" s="435"/>
      <c r="E535" s="435"/>
      <c r="F535" s="435"/>
      <c r="G535" s="435"/>
      <c r="H535" s="435"/>
      <c r="I535" s="4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</row>
    <row r="536" spans="1:25" ht="15.75" customHeight="1">
      <c r="A536" s="110"/>
      <c r="B536" s="110"/>
      <c r="C536" s="110"/>
      <c r="D536" s="435"/>
      <c r="E536" s="435"/>
      <c r="F536" s="435"/>
      <c r="G536" s="435"/>
      <c r="H536" s="435"/>
      <c r="I536" s="4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</row>
    <row r="537" spans="1:25" ht="15.75" customHeight="1">
      <c r="A537" s="110"/>
      <c r="B537" s="110"/>
      <c r="C537" s="110"/>
      <c r="D537" s="435"/>
      <c r="E537" s="435"/>
      <c r="F537" s="435"/>
      <c r="G537" s="435"/>
      <c r="H537" s="435"/>
      <c r="I537" s="4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</row>
    <row r="538" spans="1:25" ht="15.75" customHeight="1">
      <c r="A538" s="110"/>
      <c r="B538" s="110"/>
      <c r="C538" s="110"/>
      <c r="D538" s="435"/>
      <c r="E538" s="435"/>
      <c r="F538" s="435"/>
      <c r="G538" s="435"/>
      <c r="H538" s="435"/>
      <c r="I538" s="4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</row>
    <row r="539" spans="1:25" ht="15.75" customHeight="1">
      <c r="A539" s="110"/>
      <c r="B539" s="110"/>
      <c r="C539" s="110"/>
      <c r="D539" s="435"/>
      <c r="E539" s="435"/>
      <c r="F539" s="435"/>
      <c r="G539" s="435"/>
      <c r="H539" s="435"/>
      <c r="I539" s="4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</row>
    <row r="540" spans="1:25" ht="15.75" customHeight="1">
      <c r="A540" s="110"/>
      <c r="B540" s="110"/>
      <c r="C540" s="110"/>
      <c r="D540" s="435"/>
      <c r="E540" s="435"/>
      <c r="F540" s="435"/>
      <c r="G540" s="435"/>
      <c r="H540" s="435"/>
      <c r="I540" s="4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</row>
    <row r="541" spans="1:25" ht="15.75" customHeight="1">
      <c r="A541" s="110"/>
      <c r="B541" s="110"/>
      <c r="C541" s="110"/>
      <c r="D541" s="435"/>
      <c r="E541" s="435"/>
      <c r="F541" s="435"/>
      <c r="G541" s="435"/>
      <c r="H541" s="435"/>
      <c r="I541" s="4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</row>
    <row r="542" spans="1:25" ht="15.75" customHeight="1">
      <c r="A542" s="110"/>
      <c r="B542" s="110"/>
      <c r="C542" s="110"/>
      <c r="D542" s="435"/>
      <c r="E542" s="435"/>
      <c r="F542" s="435"/>
      <c r="G542" s="435"/>
      <c r="H542" s="435"/>
      <c r="I542" s="4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</row>
    <row r="543" spans="1:25" ht="15.75" customHeight="1">
      <c r="A543" s="110"/>
      <c r="B543" s="110"/>
      <c r="C543" s="110"/>
      <c r="D543" s="435"/>
      <c r="E543" s="435"/>
      <c r="F543" s="435"/>
      <c r="G543" s="435"/>
      <c r="H543" s="435"/>
      <c r="I543" s="4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</row>
    <row r="544" spans="1:25" ht="15.75" customHeight="1">
      <c r="A544" s="110"/>
      <c r="B544" s="110"/>
      <c r="C544" s="110"/>
      <c r="D544" s="435"/>
      <c r="E544" s="435"/>
      <c r="F544" s="435"/>
      <c r="G544" s="435"/>
      <c r="H544" s="435"/>
      <c r="I544" s="4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</row>
    <row r="545" spans="1:25" ht="15.75" customHeight="1">
      <c r="A545" s="110"/>
      <c r="B545" s="110"/>
      <c r="C545" s="110"/>
      <c r="D545" s="435"/>
      <c r="E545" s="435"/>
      <c r="F545" s="435"/>
      <c r="G545" s="435"/>
      <c r="H545" s="435"/>
      <c r="I545" s="4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</row>
    <row r="546" spans="1:25" ht="15.75" customHeight="1">
      <c r="A546" s="110"/>
      <c r="B546" s="110"/>
      <c r="C546" s="110"/>
      <c r="D546" s="435"/>
      <c r="E546" s="435"/>
      <c r="F546" s="435"/>
      <c r="G546" s="435"/>
      <c r="H546" s="435"/>
      <c r="I546" s="4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</row>
    <row r="547" spans="1:25" ht="15.75" customHeight="1">
      <c r="A547" s="110"/>
      <c r="B547" s="110"/>
      <c r="C547" s="110"/>
      <c r="D547" s="435"/>
      <c r="E547" s="435"/>
      <c r="F547" s="435"/>
      <c r="G547" s="435"/>
      <c r="H547" s="435"/>
      <c r="I547" s="4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</row>
    <row r="548" spans="1:25" ht="15.75" customHeight="1">
      <c r="A548" s="110"/>
      <c r="B548" s="110"/>
      <c r="C548" s="110"/>
      <c r="D548" s="435"/>
      <c r="E548" s="435"/>
      <c r="F548" s="435"/>
      <c r="G548" s="435"/>
      <c r="H548" s="435"/>
      <c r="I548" s="4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</row>
    <row r="549" spans="1:25" ht="15.75" customHeight="1">
      <c r="A549" s="110"/>
      <c r="B549" s="110"/>
      <c r="C549" s="110"/>
      <c r="D549" s="435"/>
      <c r="E549" s="435"/>
      <c r="F549" s="435"/>
      <c r="G549" s="435"/>
      <c r="H549" s="435"/>
      <c r="I549" s="4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</row>
    <row r="550" spans="1:25" ht="15.75" customHeight="1">
      <c r="A550" s="110"/>
      <c r="B550" s="110"/>
      <c r="C550" s="110"/>
      <c r="D550" s="435"/>
      <c r="E550" s="435"/>
      <c r="F550" s="435"/>
      <c r="G550" s="435"/>
      <c r="H550" s="435"/>
      <c r="I550" s="4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</row>
    <row r="551" spans="1:25" ht="15.75" customHeight="1">
      <c r="A551" s="110"/>
      <c r="B551" s="110"/>
      <c r="C551" s="110"/>
      <c r="D551" s="435"/>
      <c r="E551" s="435"/>
      <c r="F551" s="435"/>
      <c r="G551" s="435"/>
      <c r="H551" s="435"/>
      <c r="I551" s="4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</row>
    <row r="552" spans="1:25" ht="15.75" customHeight="1">
      <c r="A552" s="110"/>
      <c r="B552" s="110"/>
      <c r="C552" s="110"/>
      <c r="D552" s="435"/>
      <c r="E552" s="435"/>
      <c r="F552" s="435"/>
      <c r="G552" s="435"/>
      <c r="H552" s="435"/>
      <c r="I552" s="4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</row>
    <row r="553" spans="1:25" ht="15.75" customHeight="1">
      <c r="A553" s="110"/>
      <c r="B553" s="110"/>
      <c r="C553" s="110"/>
      <c r="D553" s="435"/>
      <c r="E553" s="435"/>
      <c r="F553" s="435"/>
      <c r="G553" s="435"/>
      <c r="H553" s="435"/>
      <c r="I553" s="4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</row>
    <row r="554" spans="1:25" ht="15.75" customHeight="1">
      <c r="A554" s="110"/>
      <c r="B554" s="110"/>
      <c r="C554" s="110"/>
      <c r="D554" s="435"/>
      <c r="E554" s="435"/>
      <c r="F554" s="435"/>
      <c r="G554" s="435"/>
      <c r="H554" s="435"/>
      <c r="I554" s="4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</row>
    <row r="555" spans="1:25" ht="15.75" customHeight="1">
      <c r="A555" s="110"/>
      <c r="B555" s="110"/>
      <c r="C555" s="110"/>
      <c r="D555" s="435"/>
      <c r="E555" s="435"/>
      <c r="F555" s="435"/>
      <c r="G555" s="435"/>
      <c r="H555" s="435"/>
      <c r="I555" s="4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</row>
    <row r="556" spans="1:25" ht="15.75" customHeight="1">
      <c r="A556" s="110"/>
      <c r="B556" s="110"/>
      <c r="C556" s="110"/>
      <c r="D556" s="435"/>
      <c r="E556" s="435"/>
      <c r="F556" s="435"/>
      <c r="G556" s="435"/>
      <c r="H556" s="435"/>
      <c r="I556" s="4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</row>
    <row r="557" spans="1:25" ht="15.75" customHeight="1">
      <c r="A557" s="110"/>
      <c r="B557" s="110"/>
      <c r="C557" s="110"/>
      <c r="D557" s="435"/>
      <c r="E557" s="435"/>
      <c r="F557" s="435"/>
      <c r="G557" s="435"/>
      <c r="H557" s="435"/>
      <c r="I557" s="4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</row>
    <row r="558" spans="1:25" ht="15.75" customHeight="1">
      <c r="A558" s="110"/>
      <c r="B558" s="110"/>
      <c r="C558" s="110"/>
      <c r="D558" s="435"/>
      <c r="E558" s="435"/>
      <c r="F558" s="435"/>
      <c r="G558" s="435"/>
      <c r="H558" s="435"/>
      <c r="I558" s="4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</row>
    <row r="559" spans="1:25" ht="15.75" customHeight="1">
      <c r="A559" s="110"/>
      <c r="B559" s="110"/>
      <c r="C559" s="110"/>
      <c r="D559" s="435"/>
      <c r="E559" s="435"/>
      <c r="F559" s="435"/>
      <c r="G559" s="435"/>
      <c r="H559" s="435"/>
      <c r="I559" s="4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</row>
    <row r="560" spans="1:25" ht="15.75" customHeight="1">
      <c r="A560" s="110"/>
      <c r="B560" s="110"/>
      <c r="C560" s="110"/>
      <c r="D560" s="435"/>
      <c r="E560" s="435"/>
      <c r="F560" s="435"/>
      <c r="G560" s="435"/>
      <c r="H560" s="435"/>
      <c r="I560" s="4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</row>
    <row r="561" spans="1:25" ht="15.75" customHeight="1">
      <c r="A561" s="110"/>
      <c r="B561" s="110"/>
      <c r="C561" s="110"/>
      <c r="D561" s="435"/>
      <c r="E561" s="435"/>
      <c r="F561" s="435"/>
      <c r="G561" s="435"/>
      <c r="H561" s="435"/>
      <c r="I561" s="4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</row>
    <row r="562" spans="1:25" ht="15.75" customHeight="1">
      <c r="A562" s="110"/>
      <c r="B562" s="110"/>
      <c r="C562" s="110"/>
      <c r="D562" s="435"/>
      <c r="E562" s="435"/>
      <c r="F562" s="435"/>
      <c r="G562" s="435"/>
      <c r="H562" s="435"/>
      <c r="I562" s="4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</row>
    <row r="563" spans="1:25" ht="15.75" customHeight="1">
      <c r="A563" s="110"/>
      <c r="B563" s="110"/>
      <c r="C563" s="110"/>
      <c r="D563" s="435"/>
      <c r="E563" s="435"/>
      <c r="F563" s="435"/>
      <c r="G563" s="435"/>
      <c r="H563" s="435"/>
      <c r="I563" s="4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</row>
    <row r="564" spans="1:25" ht="15.75" customHeight="1">
      <c r="A564" s="110"/>
      <c r="B564" s="110"/>
      <c r="C564" s="110"/>
      <c r="D564" s="435"/>
      <c r="E564" s="435"/>
      <c r="F564" s="435"/>
      <c r="G564" s="435"/>
      <c r="H564" s="435"/>
      <c r="I564" s="4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</row>
    <row r="565" spans="1:25" ht="15.75" customHeight="1">
      <c r="A565" s="110"/>
      <c r="B565" s="110"/>
      <c r="C565" s="110"/>
      <c r="D565" s="435"/>
      <c r="E565" s="435"/>
      <c r="F565" s="435"/>
      <c r="G565" s="435"/>
      <c r="H565" s="435"/>
      <c r="I565" s="4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</row>
    <row r="566" spans="1:25" ht="15.75" customHeight="1">
      <c r="A566" s="110"/>
      <c r="B566" s="110"/>
      <c r="C566" s="110"/>
      <c r="D566" s="435"/>
      <c r="E566" s="435"/>
      <c r="F566" s="435"/>
      <c r="G566" s="435"/>
      <c r="H566" s="435"/>
      <c r="I566" s="4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</row>
    <row r="567" spans="1:25" ht="15.75" customHeight="1">
      <c r="A567" s="110"/>
      <c r="B567" s="110"/>
      <c r="C567" s="110"/>
      <c r="D567" s="435"/>
      <c r="E567" s="435"/>
      <c r="F567" s="435"/>
      <c r="G567" s="435"/>
      <c r="H567" s="435"/>
      <c r="I567" s="4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</row>
    <row r="568" spans="1:25" ht="15.75" customHeight="1">
      <c r="A568" s="110"/>
      <c r="B568" s="110"/>
      <c r="C568" s="110"/>
      <c r="D568" s="435"/>
      <c r="E568" s="435"/>
      <c r="F568" s="435"/>
      <c r="G568" s="435"/>
      <c r="H568" s="435"/>
      <c r="I568" s="4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</row>
    <row r="569" spans="1:25" ht="15.75" customHeight="1">
      <c r="A569" s="110"/>
      <c r="B569" s="110"/>
      <c r="C569" s="110"/>
      <c r="D569" s="435"/>
      <c r="E569" s="435"/>
      <c r="F569" s="435"/>
      <c r="G569" s="435"/>
      <c r="H569" s="435"/>
      <c r="I569" s="4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</row>
    <row r="570" spans="1:25" ht="15.75" customHeight="1">
      <c r="A570" s="110"/>
      <c r="B570" s="110"/>
      <c r="C570" s="110"/>
      <c r="D570" s="435"/>
      <c r="E570" s="435"/>
      <c r="F570" s="435"/>
      <c r="G570" s="435"/>
      <c r="H570" s="435"/>
      <c r="I570" s="4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</row>
    <row r="571" spans="1:25" ht="15.75" customHeight="1">
      <c r="A571" s="110"/>
      <c r="B571" s="110"/>
      <c r="C571" s="110"/>
      <c r="D571" s="435"/>
      <c r="E571" s="435"/>
      <c r="F571" s="435"/>
      <c r="G571" s="435"/>
      <c r="H571" s="435"/>
      <c r="I571" s="4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</row>
    <row r="572" spans="1:25" ht="15.75" customHeight="1">
      <c r="A572" s="110"/>
      <c r="B572" s="110"/>
      <c r="C572" s="110"/>
      <c r="D572" s="435"/>
      <c r="E572" s="435"/>
      <c r="F572" s="435"/>
      <c r="G572" s="435"/>
      <c r="H572" s="435"/>
      <c r="I572" s="4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</row>
    <row r="573" spans="1:25" ht="15.75" customHeight="1">
      <c r="A573" s="110"/>
      <c r="B573" s="110"/>
      <c r="C573" s="110"/>
      <c r="D573" s="435"/>
      <c r="E573" s="435"/>
      <c r="F573" s="435"/>
      <c r="G573" s="435"/>
      <c r="H573" s="435"/>
      <c r="I573" s="4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</row>
    <row r="574" spans="1:25" ht="15.75" customHeight="1">
      <c r="A574" s="110"/>
      <c r="B574" s="110"/>
      <c r="C574" s="110"/>
      <c r="D574" s="435"/>
      <c r="E574" s="435"/>
      <c r="F574" s="435"/>
      <c r="G574" s="435"/>
      <c r="H574" s="435"/>
      <c r="I574" s="4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</row>
    <row r="575" spans="1:25" ht="15.75" customHeight="1">
      <c r="A575" s="110"/>
      <c r="B575" s="110"/>
      <c r="C575" s="110"/>
      <c r="D575" s="435"/>
      <c r="E575" s="435"/>
      <c r="F575" s="435"/>
      <c r="G575" s="435"/>
      <c r="H575" s="435"/>
      <c r="I575" s="4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</row>
    <row r="576" spans="1:25" ht="15.75" customHeight="1">
      <c r="A576" s="110"/>
      <c r="B576" s="110"/>
      <c r="C576" s="110"/>
      <c r="D576" s="435"/>
      <c r="E576" s="435"/>
      <c r="F576" s="435"/>
      <c r="G576" s="435"/>
      <c r="H576" s="435"/>
      <c r="I576" s="4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</row>
    <row r="577" spans="1:25" ht="15.75" customHeight="1">
      <c r="A577" s="110"/>
      <c r="B577" s="110"/>
      <c r="C577" s="110"/>
      <c r="D577" s="435"/>
      <c r="E577" s="435"/>
      <c r="F577" s="435"/>
      <c r="G577" s="435"/>
      <c r="H577" s="435"/>
      <c r="I577" s="4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</row>
    <row r="578" spans="1:25" ht="15.75" customHeight="1">
      <c r="A578" s="110"/>
      <c r="B578" s="110"/>
      <c r="C578" s="110"/>
      <c r="D578" s="435"/>
      <c r="E578" s="435"/>
      <c r="F578" s="435"/>
      <c r="G578" s="435"/>
      <c r="H578" s="435"/>
      <c r="I578" s="4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</row>
    <row r="579" spans="1:25" ht="15.75" customHeight="1">
      <c r="A579" s="110"/>
      <c r="B579" s="110"/>
      <c r="C579" s="110"/>
      <c r="D579" s="435"/>
      <c r="E579" s="435"/>
      <c r="F579" s="435"/>
      <c r="G579" s="435"/>
      <c r="H579" s="435"/>
      <c r="I579" s="4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</row>
    <row r="580" spans="1:25" ht="15.75" customHeight="1">
      <c r="A580" s="110"/>
      <c r="B580" s="110"/>
      <c r="C580" s="110"/>
      <c r="D580" s="435"/>
      <c r="E580" s="435"/>
      <c r="F580" s="435"/>
      <c r="G580" s="435"/>
      <c r="H580" s="435"/>
      <c r="I580" s="4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</row>
    <row r="581" spans="1:25" ht="15.75" customHeight="1">
      <c r="A581" s="110"/>
      <c r="B581" s="110"/>
      <c r="C581" s="110"/>
      <c r="D581" s="435"/>
      <c r="E581" s="435"/>
      <c r="F581" s="435"/>
      <c r="G581" s="435"/>
      <c r="H581" s="435"/>
      <c r="I581" s="4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</row>
    <row r="582" spans="1:25" ht="15.75" customHeight="1">
      <c r="A582" s="110"/>
      <c r="B582" s="110"/>
      <c r="C582" s="110"/>
      <c r="D582" s="435"/>
      <c r="E582" s="435"/>
      <c r="F582" s="435"/>
      <c r="G582" s="435"/>
      <c r="H582" s="435"/>
      <c r="I582" s="4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</row>
    <row r="583" spans="1:25" ht="15.75" customHeight="1">
      <c r="A583" s="110"/>
      <c r="B583" s="110"/>
      <c r="C583" s="110"/>
      <c r="D583" s="435"/>
      <c r="E583" s="435"/>
      <c r="F583" s="435"/>
      <c r="G583" s="435"/>
      <c r="H583" s="435"/>
      <c r="I583" s="4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</row>
    <row r="584" spans="1:25" ht="15.75" customHeight="1">
      <c r="A584" s="110"/>
      <c r="B584" s="110"/>
      <c r="C584" s="110"/>
      <c r="D584" s="435"/>
      <c r="E584" s="435"/>
      <c r="F584" s="435"/>
      <c r="G584" s="435"/>
      <c r="H584" s="435"/>
      <c r="I584" s="4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</row>
    <row r="585" spans="1:25" ht="15.75" customHeight="1">
      <c r="A585" s="110"/>
      <c r="B585" s="110"/>
      <c r="C585" s="110"/>
      <c r="D585" s="435"/>
      <c r="E585" s="435"/>
      <c r="F585" s="435"/>
      <c r="G585" s="435"/>
      <c r="H585" s="435"/>
      <c r="I585" s="4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</row>
    <row r="586" spans="1:25" ht="15.75" customHeight="1">
      <c r="A586" s="110"/>
      <c r="B586" s="110"/>
      <c r="C586" s="110"/>
      <c r="D586" s="435"/>
      <c r="E586" s="435"/>
      <c r="F586" s="435"/>
      <c r="G586" s="435"/>
      <c r="H586" s="435"/>
      <c r="I586" s="4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</row>
    <row r="587" spans="1:25" ht="15.75" customHeight="1">
      <c r="A587" s="110"/>
      <c r="B587" s="110"/>
      <c r="C587" s="110"/>
      <c r="D587" s="435"/>
      <c r="E587" s="435"/>
      <c r="F587" s="435"/>
      <c r="G587" s="435"/>
      <c r="H587" s="435"/>
      <c r="I587" s="4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</row>
    <row r="588" spans="1:25" ht="15.75" customHeight="1">
      <c r="A588" s="110"/>
      <c r="B588" s="110"/>
      <c r="C588" s="110"/>
      <c r="D588" s="435"/>
      <c r="E588" s="435"/>
      <c r="F588" s="435"/>
      <c r="G588" s="435"/>
      <c r="H588" s="435"/>
      <c r="I588" s="4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</row>
    <row r="589" spans="1:25" ht="15.75" customHeight="1">
      <c r="A589" s="110"/>
      <c r="B589" s="110"/>
      <c r="C589" s="110"/>
      <c r="D589" s="435"/>
      <c r="E589" s="435"/>
      <c r="F589" s="435"/>
      <c r="G589" s="435"/>
      <c r="H589" s="435"/>
      <c r="I589" s="4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</row>
    <row r="590" spans="1:25" ht="15.75" customHeight="1">
      <c r="A590" s="110"/>
      <c r="B590" s="110"/>
      <c r="C590" s="110"/>
      <c r="D590" s="435"/>
      <c r="E590" s="435"/>
      <c r="F590" s="435"/>
      <c r="G590" s="435"/>
      <c r="H590" s="435"/>
      <c r="I590" s="4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</row>
    <row r="591" spans="1:25" ht="15.75" customHeight="1">
      <c r="A591" s="110"/>
      <c r="B591" s="110"/>
      <c r="C591" s="110"/>
      <c r="D591" s="435"/>
      <c r="E591" s="435"/>
      <c r="F591" s="435"/>
      <c r="G591" s="435"/>
      <c r="H591" s="435"/>
      <c r="I591" s="4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</row>
    <row r="592" spans="1:25" ht="15.75" customHeight="1">
      <c r="A592" s="110"/>
      <c r="B592" s="110"/>
      <c r="C592" s="110"/>
      <c r="D592" s="435"/>
      <c r="E592" s="435"/>
      <c r="F592" s="435"/>
      <c r="G592" s="435"/>
      <c r="H592" s="435"/>
      <c r="I592" s="4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</row>
    <row r="593" spans="1:25" ht="15.75" customHeight="1">
      <c r="A593" s="110"/>
      <c r="B593" s="110"/>
      <c r="C593" s="110"/>
      <c r="D593" s="435"/>
      <c r="E593" s="435"/>
      <c r="F593" s="435"/>
      <c r="G593" s="435"/>
      <c r="H593" s="435"/>
      <c r="I593" s="4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</row>
    <row r="594" spans="1:25" ht="15.75" customHeight="1">
      <c r="A594" s="110"/>
      <c r="B594" s="110"/>
      <c r="C594" s="110"/>
      <c r="D594" s="435"/>
      <c r="E594" s="435"/>
      <c r="F594" s="435"/>
      <c r="G594" s="435"/>
      <c r="H594" s="435"/>
      <c r="I594" s="4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</row>
    <row r="595" spans="1:25" ht="15.75" customHeight="1">
      <c r="A595" s="110"/>
      <c r="B595" s="110"/>
      <c r="C595" s="110"/>
      <c r="D595" s="435"/>
      <c r="E595" s="435"/>
      <c r="F595" s="435"/>
      <c r="G595" s="435"/>
      <c r="H595" s="435"/>
      <c r="I595" s="4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</row>
    <row r="596" spans="1:25" ht="15.75" customHeight="1">
      <c r="A596" s="110"/>
      <c r="B596" s="110"/>
      <c r="C596" s="110"/>
      <c r="D596" s="435"/>
      <c r="E596" s="435"/>
      <c r="F596" s="435"/>
      <c r="G596" s="435"/>
      <c r="H596" s="435"/>
      <c r="I596" s="4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</row>
    <row r="597" spans="1:25" ht="15.75" customHeight="1">
      <c r="A597" s="110"/>
      <c r="B597" s="110"/>
      <c r="C597" s="110"/>
      <c r="D597" s="435"/>
      <c r="E597" s="435"/>
      <c r="F597" s="435"/>
      <c r="G597" s="435"/>
      <c r="H597" s="435"/>
      <c r="I597" s="4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</row>
    <row r="598" spans="1:25" ht="15.75" customHeight="1">
      <c r="A598" s="110"/>
      <c r="B598" s="110"/>
      <c r="C598" s="110"/>
      <c r="D598" s="435"/>
      <c r="E598" s="435"/>
      <c r="F598" s="435"/>
      <c r="G598" s="435"/>
      <c r="H598" s="435"/>
      <c r="I598" s="4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</row>
    <row r="599" spans="1:25" ht="15.75" customHeight="1">
      <c r="A599" s="110"/>
      <c r="B599" s="110"/>
      <c r="C599" s="110"/>
      <c r="D599" s="435"/>
      <c r="E599" s="435"/>
      <c r="F599" s="435"/>
      <c r="G599" s="435"/>
      <c r="H599" s="435"/>
      <c r="I599" s="4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</row>
    <row r="600" spans="1:25" ht="15.75" customHeight="1">
      <c r="A600" s="110"/>
      <c r="B600" s="110"/>
      <c r="C600" s="110"/>
      <c r="D600" s="435"/>
      <c r="E600" s="435"/>
      <c r="F600" s="435"/>
      <c r="G600" s="435"/>
      <c r="H600" s="435"/>
      <c r="I600" s="4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</row>
    <row r="601" spans="1:25" ht="15.75" customHeight="1">
      <c r="A601" s="110"/>
      <c r="B601" s="110"/>
      <c r="C601" s="110"/>
      <c r="D601" s="435"/>
      <c r="E601" s="435"/>
      <c r="F601" s="435"/>
      <c r="G601" s="435"/>
      <c r="H601" s="435"/>
      <c r="I601" s="4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</row>
    <row r="602" spans="1:25" ht="15.75" customHeight="1">
      <c r="A602" s="110"/>
      <c r="B602" s="110"/>
      <c r="C602" s="110"/>
      <c r="D602" s="435"/>
      <c r="E602" s="435"/>
      <c r="F602" s="435"/>
      <c r="G602" s="435"/>
      <c r="H602" s="435"/>
      <c r="I602" s="4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</row>
    <row r="603" spans="1:25" ht="15.75" customHeight="1">
      <c r="A603" s="110"/>
      <c r="B603" s="110"/>
      <c r="C603" s="110"/>
      <c r="D603" s="435"/>
      <c r="E603" s="435"/>
      <c r="F603" s="435"/>
      <c r="G603" s="435"/>
      <c r="H603" s="435"/>
      <c r="I603" s="4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</row>
    <row r="604" spans="1:25" ht="15.75" customHeight="1">
      <c r="A604" s="110"/>
      <c r="B604" s="110"/>
      <c r="C604" s="110"/>
      <c r="D604" s="435"/>
      <c r="E604" s="435"/>
      <c r="F604" s="435"/>
      <c r="G604" s="435"/>
      <c r="H604" s="435"/>
      <c r="I604" s="4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</row>
    <row r="605" spans="1:25" ht="15.75" customHeight="1">
      <c r="A605" s="110"/>
      <c r="B605" s="110"/>
      <c r="C605" s="110"/>
      <c r="D605" s="435"/>
      <c r="E605" s="435"/>
      <c r="F605" s="435"/>
      <c r="G605" s="435"/>
      <c r="H605" s="435"/>
      <c r="I605" s="4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</row>
    <row r="606" spans="1:25" ht="15.75" customHeight="1">
      <c r="A606" s="110"/>
      <c r="B606" s="110"/>
      <c r="C606" s="110"/>
      <c r="D606" s="435"/>
      <c r="E606" s="435"/>
      <c r="F606" s="435"/>
      <c r="G606" s="435"/>
      <c r="H606" s="435"/>
      <c r="I606" s="4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</row>
    <row r="607" spans="1:25" ht="15.75" customHeight="1">
      <c r="A607" s="110"/>
      <c r="B607" s="110"/>
      <c r="C607" s="110"/>
      <c r="D607" s="435"/>
      <c r="E607" s="435"/>
      <c r="F607" s="435"/>
      <c r="G607" s="435"/>
      <c r="H607" s="435"/>
      <c r="I607" s="4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</row>
    <row r="608" spans="1:25" ht="15.75" customHeight="1">
      <c r="A608" s="110"/>
      <c r="B608" s="110"/>
      <c r="C608" s="110"/>
      <c r="D608" s="435"/>
      <c r="E608" s="435"/>
      <c r="F608" s="435"/>
      <c r="G608" s="435"/>
      <c r="H608" s="435"/>
      <c r="I608" s="4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</row>
    <row r="609" spans="1:25" ht="15.75" customHeight="1">
      <c r="A609" s="110"/>
      <c r="B609" s="110"/>
      <c r="C609" s="110"/>
      <c r="D609" s="435"/>
      <c r="E609" s="435"/>
      <c r="F609" s="435"/>
      <c r="G609" s="435"/>
      <c r="H609" s="435"/>
      <c r="I609" s="4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</row>
    <row r="610" spans="1:25" ht="15.75" customHeight="1">
      <c r="A610" s="110"/>
      <c r="B610" s="110"/>
      <c r="C610" s="110"/>
      <c r="D610" s="435"/>
      <c r="E610" s="435"/>
      <c r="F610" s="435"/>
      <c r="G610" s="435"/>
      <c r="H610" s="435"/>
      <c r="I610" s="4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</row>
    <row r="611" spans="1:25" ht="15.75" customHeight="1">
      <c r="A611" s="110"/>
      <c r="B611" s="110"/>
      <c r="C611" s="110"/>
      <c r="D611" s="435"/>
      <c r="E611" s="435"/>
      <c r="F611" s="435"/>
      <c r="G611" s="435"/>
      <c r="H611" s="435"/>
      <c r="I611" s="4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</row>
    <row r="612" spans="1:25" ht="15.75" customHeight="1">
      <c r="A612" s="110"/>
      <c r="B612" s="110"/>
      <c r="C612" s="110"/>
      <c r="D612" s="435"/>
      <c r="E612" s="435"/>
      <c r="F612" s="435"/>
      <c r="G612" s="435"/>
      <c r="H612" s="435"/>
      <c r="I612" s="4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</row>
    <row r="613" spans="1:25" ht="15.75" customHeight="1">
      <c r="A613" s="110"/>
      <c r="B613" s="110"/>
      <c r="C613" s="110"/>
      <c r="D613" s="435"/>
      <c r="E613" s="435"/>
      <c r="F613" s="435"/>
      <c r="G613" s="435"/>
      <c r="H613" s="435"/>
      <c r="I613" s="4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</row>
    <row r="614" spans="1:25" ht="15.75" customHeight="1">
      <c r="A614" s="110"/>
      <c r="B614" s="110"/>
      <c r="C614" s="110"/>
      <c r="D614" s="435"/>
      <c r="E614" s="435"/>
      <c r="F614" s="435"/>
      <c r="G614" s="435"/>
      <c r="H614" s="435"/>
      <c r="I614" s="4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</row>
    <row r="615" spans="1:25" ht="15.75" customHeight="1">
      <c r="A615" s="110"/>
      <c r="B615" s="110"/>
      <c r="C615" s="110"/>
      <c r="D615" s="435"/>
      <c r="E615" s="435"/>
      <c r="F615" s="435"/>
      <c r="G615" s="435"/>
      <c r="H615" s="435"/>
      <c r="I615" s="4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</row>
    <row r="616" spans="1:25" ht="15.75" customHeight="1">
      <c r="A616" s="110"/>
      <c r="B616" s="110"/>
      <c r="C616" s="110"/>
      <c r="D616" s="435"/>
      <c r="E616" s="435"/>
      <c r="F616" s="435"/>
      <c r="G616" s="435"/>
      <c r="H616" s="435"/>
      <c r="I616" s="4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</row>
    <row r="617" spans="1:25" ht="15.75" customHeight="1">
      <c r="A617" s="110"/>
      <c r="B617" s="110"/>
      <c r="C617" s="110"/>
      <c r="D617" s="435"/>
      <c r="E617" s="435"/>
      <c r="F617" s="435"/>
      <c r="G617" s="435"/>
      <c r="H617" s="435"/>
      <c r="I617" s="4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</row>
    <row r="618" spans="1:25" ht="15.75" customHeight="1">
      <c r="A618" s="110"/>
      <c r="B618" s="110"/>
      <c r="C618" s="110"/>
      <c r="D618" s="435"/>
      <c r="E618" s="435"/>
      <c r="F618" s="435"/>
      <c r="G618" s="435"/>
      <c r="H618" s="435"/>
      <c r="I618" s="4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</row>
    <row r="619" spans="1:25" ht="15.75" customHeight="1">
      <c r="A619" s="110"/>
      <c r="B619" s="110"/>
      <c r="C619" s="110"/>
      <c r="D619" s="435"/>
      <c r="E619" s="435"/>
      <c r="F619" s="435"/>
      <c r="G619" s="435"/>
      <c r="H619" s="435"/>
      <c r="I619" s="4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</row>
    <row r="620" spans="1:25" ht="15.75" customHeight="1">
      <c r="A620" s="110"/>
      <c r="B620" s="110"/>
      <c r="C620" s="110"/>
      <c r="D620" s="435"/>
      <c r="E620" s="435"/>
      <c r="F620" s="435"/>
      <c r="G620" s="435"/>
      <c r="H620" s="435"/>
      <c r="I620" s="4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</row>
    <row r="621" spans="1:25" ht="15.75" customHeight="1">
      <c r="A621" s="110"/>
      <c r="B621" s="110"/>
      <c r="C621" s="110"/>
      <c r="D621" s="435"/>
      <c r="E621" s="435"/>
      <c r="F621" s="435"/>
      <c r="G621" s="435"/>
      <c r="H621" s="435"/>
      <c r="I621" s="4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</row>
    <row r="622" spans="1:25" ht="15.75" customHeight="1">
      <c r="A622" s="110"/>
      <c r="B622" s="110"/>
      <c r="C622" s="110"/>
      <c r="D622" s="435"/>
      <c r="E622" s="435"/>
      <c r="F622" s="435"/>
      <c r="G622" s="435"/>
      <c r="H622" s="435"/>
      <c r="I622" s="4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</row>
    <row r="623" spans="1:25" ht="15.75" customHeight="1">
      <c r="A623" s="110"/>
      <c r="B623" s="110"/>
      <c r="C623" s="110"/>
      <c r="D623" s="435"/>
      <c r="E623" s="435"/>
      <c r="F623" s="435"/>
      <c r="G623" s="435"/>
      <c r="H623" s="435"/>
      <c r="I623" s="4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</row>
    <row r="624" spans="1:25" ht="15.75" customHeight="1">
      <c r="A624" s="110"/>
      <c r="B624" s="110"/>
      <c r="C624" s="110"/>
      <c r="D624" s="435"/>
      <c r="E624" s="435"/>
      <c r="F624" s="435"/>
      <c r="G624" s="435"/>
      <c r="H624" s="435"/>
      <c r="I624" s="4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</row>
    <row r="625" spans="1:25" ht="15.75" customHeight="1">
      <c r="A625" s="110"/>
      <c r="B625" s="110"/>
      <c r="C625" s="110"/>
      <c r="D625" s="435"/>
      <c r="E625" s="435"/>
      <c r="F625" s="435"/>
      <c r="G625" s="435"/>
      <c r="H625" s="435"/>
      <c r="I625" s="4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</row>
    <row r="626" spans="1:25" ht="15.75" customHeight="1">
      <c r="A626" s="110"/>
      <c r="B626" s="110"/>
      <c r="C626" s="110"/>
      <c r="D626" s="435"/>
      <c r="E626" s="435"/>
      <c r="F626" s="435"/>
      <c r="G626" s="435"/>
      <c r="H626" s="435"/>
      <c r="I626" s="4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</row>
    <row r="627" spans="1:25" ht="15.75" customHeight="1">
      <c r="A627" s="110"/>
      <c r="B627" s="110"/>
      <c r="C627" s="110"/>
      <c r="D627" s="435"/>
      <c r="E627" s="435"/>
      <c r="F627" s="435"/>
      <c r="G627" s="435"/>
      <c r="H627" s="435"/>
      <c r="I627" s="4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</row>
    <row r="628" spans="1:25" ht="15.75" customHeight="1">
      <c r="A628" s="110"/>
      <c r="B628" s="110"/>
      <c r="C628" s="110"/>
      <c r="D628" s="435"/>
      <c r="E628" s="435"/>
      <c r="F628" s="435"/>
      <c r="G628" s="435"/>
      <c r="H628" s="435"/>
      <c r="I628" s="4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</row>
    <row r="629" spans="1:25" ht="15.75" customHeight="1">
      <c r="A629" s="110"/>
      <c r="B629" s="110"/>
      <c r="C629" s="110"/>
      <c r="D629" s="435"/>
      <c r="E629" s="435"/>
      <c r="F629" s="435"/>
      <c r="G629" s="435"/>
      <c r="H629" s="435"/>
      <c r="I629" s="4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</row>
    <row r="630" spans="1:25" ht="15.75" customHeight="1">
      <c r="A630" s="110"/>
      <c r="B630" s="110"/>
      <c r="C630" s="110"/>
      <c r="D630" s="435"/>
      <c r="E630" s="435"/>
      <c r="F630" s="435"/>
      <c r="G630" s="435"/>
      <c r="H630" s="435"/>
      <c r="I630" s="4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</row>
    <row r="631" spans="1:25" ht="15.75" customHeight="1">
      <c r="A631" s="110"/>
      <c r="B631" s="110"/>
      <c r="C631" s="110"/>
      <c r="D631" s="435"/>
      <c r="E631" s="435"/>
      <c r="F631" s="435"/>
      <c r="G631" s="435"/>
      <c r="H631" s="435"/>
      <c r="I631" s="4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</row>
    <row r="632" spans="1:25" ht="15.75" customHeight="1">
      <c r="A632" s="110"/>
      <c r="B632" s="110"/>
      <c r="C632" s="110"/>
      <c r="D632" s="435"/>
      <c r="E632" s="435"/>
      <c r="F632" s="435"/>
      <c r="G632" s="435"/>
      <c r="H632" s="435"/>
      <c r="I632" s="4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</row>
    <row r="633" spans="1:25" ht="15.75" customHeight="1">
      <c r="A633" s="110"/>
      <c r="B633" s="110"/>
      <c r="C633" s="110"/>
      <c r="D633" s="435"/>
      <c r="E633" s="435"/>
      <c r="F633" s="435"/>
      <c r="G633" s="435"/>
      <c r="H633" s="435"/>
      <c r="I633" s="4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</row>
    <row r="634" spans="1:25" ht="15.75" customHeight="1">
      <c r="A634" s="110"/>
      <c r="B634" s="110"/>
      <c r="C634" s="110"/>
      <c r="D634" s="435"/>
      <c r="E634" s="435"/>
      <c r="F634" s="435"/>
      <c r="G634" s="435"/>
      <c r="H634" s="435"/>
      <c r="I634" s="4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</row>
    <row r="635" spans="1:25" ht="15.75" customHeight="1">
      <c r="A635" s="110"/>
      <c r="B635" s="110"/>
      <c r="C635" s="110"/>
      <c r="D635" s="435"/>
      <c r="E635" s="435"/>
      <c r="F635" s="435"/>
      <c r="G635" s="435"/>
      <c r="H635" s="435"/>
      <c r="I635" s="4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</row>
    <row r="636" spans="1:25" ht="15.75" customHeight="1">
      <c r="A636" s="110"/>
      <c r="B636" s="110"/>
      <c r="C636" s="110"/>
      <c r="D636" s="435"/>
      <c r="E636" s="435"/>
      <c r="F636" s="435"/>
      <c r="G636" s="435"/>
      <c r="H636" s="435"/>
      <c r="I636" s="4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</row>
    <row r="637" spans="1:25" ht="15.75" customHeight="1">
      <c r="A637" s="110"/>
      <c r="B637" s="110"/>
      <c r="C637" s="110"/>
      <c r="D637" s="435"/>
      <c r="E637" s="435"/>
      <c r="F637" s="435"/>
      <c r="G637" s="435"/>
      <c r="H637" s="435"/>
      <c r="I637" s="4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</row>
    <row r="638" spans="1:25" ht="15.75" customHeight="1">
      <c r="A638" s="110"/>
      <c r="B638" s="110"/>
      <c r="C638" s="110"/>
      <c r="D638" s="435"/>
      <c r="E638" s="435"/>
      <c r="F638" s="435"/>
      <c r="G638" s="435"/>
      <c r="H638" s="435"/>
      <c r="I638" s="4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</row>
    <row r="639" spans="1:25" ht="15.75" customHeight="1">
      <c r="A639" s="110"/>
      <c r="B639" s="110"/>
      <c r="C639" s="110"/>
      <c r="D639" s="435"/>
      <c r="E639" s="435"/>
      <c r="F639" s="435"/>
      <c r="G639" s="435"/>
      <c r="H639" s="435"/>
      <c r="I639" s="4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</row>
    <row r="640" spans="1:25" ht="15.75" customHeight="1">
      <c r="A640" s="110"/>
      <c r="B640" s="110"/>
      <c r="C640" s="110"/>
      <c r="D640" s="435"/>
      <c r="E640" s="435"/>
      <c r="F640" s="435"/>
      <c r="G640" s="435"/>
      <c r="H640" s="435"/>
      <c r="I640" s="4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</row>
    <row r="641" spans="1:25" ht="15.75" customHeight="1">
      <c r="A641" s="110"/>
      <c r="B641" s="110"/>
      <c r="C641" s="110"/>
      <c r="D641" s="435"/>
      <c r="E641" s="435"/>
      <c r="F641" s="435"/>
      <c r="G641" s="435"/>
      <c r="H641" s="435"/>
      <c r="I641" s="4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</row>
    <row r="642" spans="1:25" ht="15.75" customHeight="1">
      <c r="A642" s="110"/>
      <c r="B642" s="110"/>
      <c r="C642" s="110"/>
      <c r="D642" s="435"/>
      <c r="E642" s="435"/>
      <c r="F642" s="435"/>
      <c r="G642" s="435"/>
      <c r="H642" s="435"/>
      <c r="I642" s="4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</row>
    <row r="643" spans="1:25" ht="15.75" customHeight="1">
      <c r="A643" s="110"/>
      <c r="B643" s="110"/>
      <c r="C643" s="110"/>
      <c r="D643" s="435"/>
      <c r="E643" s="435"/>
      <c r="F643" s="435"/>
      <c r="G643" s="435"/>
      <c r="H643" s="435"/>
      <c r="I643" s="4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</row>
    <row r="644" spans="1:25" ht="15.75" customHeight="1">
      <c r="A644" s="110"/>
      <c r="B644" s="110"/>
      <c r="C644" s="110"/>
      <c r="D644" s="435"/>
      <c r="E644" s="435"/>
      <c r="F644" s="435"/>
      <c r="G644" s="435"/>
      <c r="H644" s="435"/>
      <c r="I644" s="4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</row>
    <row r="645" spans="1:25" ht="15.75" customHeight="1">
      <c r="A645" s="110"/>
      <c r="B645" s="110"/>
      <c r="C645" s="110"/>
      <c r="D645" s="435"/>
      <c r="E645" s="435"/>
      <c r="F645" s="435"/>
      <c r="G645" s="435"/>
      <c r="H645" s="435"/>
      <c r="I645" s="4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</row>
    <row r="646" spans="1:25" ht="15.75" customHeight="1">
      <c r="A646" s="110"/>
      <c r="B646" s="110"/>
      <c r="C646" s="110"/>
      <c r="D646" s="435"/>
      <c r="E646" s="435"/>
      <c r="F646" s="435"/>
      <c r="G646" s="435"/>
      <c r="H646" s="435"/>
      <c r="I646" s="4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</row>
    <row r="647" spans="1:25" ht="15.75" customHeight="1">
      <c r="A647" s="110"/>
      <c r="B647" s="110"/>
      <c r="C647" s="110"/>
      <c r="D647" s="435"/>
      <c r="E647" s="435"/>
      <c r="F647" s="435"/>
      <c r="G647" s="435"/>
      <c r="H647" s="435"/>
      <c r="I647" s="4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</row>
    <row r="648" spans="1:25" ht="15.75" customHeight="1">
      <c r="A648" s="110"/>
      <c r="B648" s="110"/>
      <c r="C648" s="110"/>
      <c r="D648" s="435"/>
      <c r="E648" s="435"/>
      <c r="F648" s="435"/>
      <c r="G648" s="435"/>
      <c r="H648" s="435"/>
      <c r="I648" s="4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</row>
    <row r="649" spans="1:25" ht="15.75" customHeight="1">
      <c r="A649" s="110"/>
      <c r="B649" s="110"/>
      <c r="C649" s="110"/>
      <c r="D649" s="435"/>
      <c r="E649" s="435"/>
      <c r="F649" s="435"/>
      <c r="G649" s="435"/>
      <c r="H649" s="435"/>
      <c r="I649" s="4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</row>
    <row r="650" spans="1:25" ht="15.75" customHeight="1">
      <c r="A650" s="110"/>
      <c r="B650" s="110"/>
      <c r="C650" s="110"/>
      <c r="D650" s="435"/>
      <c r="E650" s="435"/>
      <c r="F650" s="435"/>
      <c r="G650" s="435"/>
      <c r="H650" s="435"/>
      <c r="I650" s="4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</row>
    <row r="651" spans="1:25" ht="15.75" customHeight="1">
      <c r="A651" s="110"/>
      <c r="B651" s="110"/>
      <c r="C651" s="110"/>
      <c r="D651" s="435"/>
      <c r="E651" s="435"/>
      <c r="F651" s="435"/>
      <c r="G651" s="435"/>
      <c r="H651" s="435"/>
      <c r="I651" s="4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</row>
    <row r="652" spans="1:25" ht="15.75" customHeight="1">
      <c r="A652" s="110"/>
      <c r="B652" s="110"/>
      <c r="C652" s="110"/>
      <c r="D652" s="435"/>
      <c r="E652" s="435"/>
      <c r="F652" s="435"/>
      <c r="G652" s="435"/>
      <c r="H652" s="435"/>
      <c r="I652" s="4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</row>
    <row r="653" spans="1:25" ht="15.75" customHeight="1">
      <c r="A653" s="110"/>
      <c r="B653" s="110"/>
      <c r="C653" s="110"/>
      <c r="D653" s="435"/>
      <c r="E653" s="435"/>
      <c r="F653" s="435"/>
      <c r="G653" s="435"/>
      <c r="H653" s="435"/>
      <c r="I653" s="4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</row>
    <row r="654" spans="1:25" ht="15.75" customHeight="1">
      <c r="A654" s="110"/>
      <c r="B654" s="110"/>
      <c r="C654" s="110"/>
      <c r="D654" s="435"/>
      <c r="E654" s="435"/>
      <c r="F654" s="435"/>
      <c r="G654" s="435"/>
      <c r="H654" s="435"/>
      <c r="I654" s="4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</row>
    <row r="655" spans="1:25" ht="15.75" customHeight="1">
      <c r="A655" s="110"/>
      <c r="B655" s="110"/>
      <c r="C655" s="110"/>
      <c r="D655" s="435"/>
      <c r="E655" s="435"/>
      <c r="F655" s="435"/>
      <c r="G655" s="435"/>
      <c r="H655" s="435"/>
      <c r="I655" s="4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</row>
    <row r="656" spans="1:25" ht="15.75" customHeight="1">
      <c r="A656" s="110"/>
      <c r="B656" s="110"/>
      <c r="C656" s="110"/>
      <c r="D656" s="435"/>
      <c r="E656" s="435"/>
      <c r="F656" s="435"/>
      <c r="G656" s="435"/>
      <c r="H656" s="435"/>
      <c r="I656" s="4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</row>
    <row r="657" spans="1:25" ht="15.75" customHeight="1">
      <c r="A657" s="110"/>
      <c r="B657" s="110"/>
      <c r="C657" s="110"/>
      <c r="D657" s="435"/>
      <c r="E657" s="435"/>
      <c r="F657" s="435"/>
      <c r="G657" s="435"/>
      <c r="H657" s="435"/>
      <c r="I657" s="4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</row>
    <row r="658" spans="1:25" ht="15.75" customHeight="1">
      <c r="A658" s="110"/>
      <c r="B658" s="110"/>
      <c r="C658" s="110"/>
      <c r="D658" s="435"/>
      <c r="E658" s="435"/>
      <c r="F658" s="435"/>
      <c r="G658" s="435"/>
      <c r="H658" s="435"/>
      <c r="I658" s="4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</row>
    <row r="659" spans="1:25" ht="15.75" customHeight="1">
      <c r="A659" s="110"/>
      <c r="B659" s="110"/>
      <c r="C659" s="110"/>
      <c r="D659" s="435"/>
      <c r="E659" s="435"/>
      <c r="F659" s="435"/>
      <c r="G659" s="435"/>
      <c r="H659" s="435"/>
      <c r="I659" s="4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</row>
    <row r="660" spans="1:25" ht="15.75" customHeight="1">
      <c r="A660" s="110"/>
      <c r="B660" s="110"/>
      <c r="C660" s="110"/>
      <c r="D660" s="435"/>
      <c r="E660" s="435"/>
      <c r="F660" s="435"/>
      <c r="G660" s="435"/>
      <c r="H660" s="435"/>
      <c r="I660" s="4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</row>
    <row r="661" spans="1:25" ht="15.75" customHeight="1">
      <c r="A661" s="110"/>
      <c r="B661" s="110"/>
      <c r="C661" s="110"/>
      <c r="D661" s="435"/>
      <c r="E661" s="435"/>
      <c r="F661" s="435"/>
      <c r="G661" s="435"/>
      <c r="H661" s="435"/>
      <c r="I661" s="4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</row>
    <row r="662" spans="1:25" ht="15.75" customHeight="1">
      <c r="A662" s="110"/>
      <c r="B662" s="110"/>
      <c r="C662" s="110"/>
      <c r="D662" s="435"/>
      <c r="E662" s="435"/>
      <c r="F662" s="435"/>
      <c r="G662" s="435"/>
      <c r="H662" s="435"/>
      <c r="I662" s="4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</row>
    <row r="663" spans="1:25" ht="15.75" customHeight="1">
      <c r="A663" s="110"/>
      <c r="B663" s="110"/>
      <c r="C663" s="110"/>
      <c r="D663" s="435"/>
      <c r="E663" s="435"/>
      <c r="F663" s="435"/>
      <c r="G663" s="435"/>
      <c r="H663" s="435"/>
      <c r="I663" s="4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</row>
    <row r="664" spans="1:25" ht="15.75" customHeight="1">
      <c r="A664" s="110"/>
      <c r="B664" s="110"/>
      <c r="C664" s="110"/>
      <c r="D664" s="435"/>
      <c r="E664" s="435"/>
      <c r="F664" s="435"/>
      <c r="G664" s="435"/>
      <c r="H664" s="435"/>
      <c r="I664" s="4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</row>
    <row r="665" spans="1:25" ht="15.75" customHeight="1">
      <c r="A665" s="110"/>
      <c r="B665" s="110"/>
      <c r="C665" s="110"/>
      <c r="D665" s="435"/>
      <c r="E665" s="435"/>
      <c r="F665" s="435"/>
      <c r="G665" s="435"/>
      <c r="H665" s="435"/>
      <c r="I665" s="4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</row>
    <row r="666" spans="1:25" ht="15.75" customHeight="1">
      <c r="A666" s="110"/>
      <c r="B666" s="110"/>
      <c r="C666" s="110"/>
      <c r="D666" s="435"/>
      <c r="E666" s="435"/>
      <c r="F666" s="435"/>
      <c r="G666" s="435"/>
      <c r="H666" s="435"/>
      <c r="I666" s="4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</row>
    <row r="667" spans="1:25" ht="15.75" customHeight="1">
      <c r="A667" s="110"/>
      <c r="B667" s="110"/>
      <c r="C667" s="110"/>
      <c r="D667" s="435"/>
      <c r="E667" s="435"/>
      <c r="F667" s="435"/>
      <c r="G667" s="435"/>
      <c r="H667" s="435"/>
      <c r="I667" s="4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</row>
    <row r="668" spans="1:25" ht="15.75" customHeight="1">
      <c r="A668" s="110"/>
      <c r="B668" s="110"/>
      <c r="C668" s="110"/>
      <c r="D668" s="435"/>
      <c r="E668" s="435"/>
      <c r="F668" s="435"/>
      <c r="G668" s="435"/>
      <c r="H668" s="435"/>
      <c r="I668" s="4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</row>
    <row r="669" spans="1:25" ht="15.75" customHeight="1">
      <c r="A669" s="110"/>
      <c r="B669" s="110"/>
      <c r="C669" s="110"/>
      <c r="D669" s="435"/>
      <c r="E669" s="435"/>
      <c r="F669" s="435"/>
      <c r="G669" s="435"/>
      <c r="H669" s="435"/>
      <c r="I669" s="4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</row>
    <row r="670" spans="1:25" ht="15.75" customHeight="1">
      <c r="A670" s="110"/>
      <c r="B670" s="110"/>
      <c r="C670" s="110"/>
      <c r="D670" s="435"/>
      <c r="E670" s="435"/>
      <c r="F670" s="435"/>
      <c r="G670" s="435"/>
      <c r="H670" s="435"/>
      <c r="I670" s="4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</row>
    <row r="671" spans="1:25" ht="15.75" customHeight="1">
      <c r="A671" s="110"/>
      <c r="B671" s="110"/>
      <c r="C671" s="110"/>
      <c r="D671" s="435"/>
      <c r="E671" s="435"/>
      <c r="F671" s="435"/>
      <c r="G671" s="435"/>
      <c r="H671" s="435"/>
      <c r="I671" s="4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</row>
    <row r="672" spans="1:25" ht="15.75" customHeight="1">
      <c r="A672" s="110"/>
      <c r="B672" s="110"/>
      <c r="C672" s="110"/>
      <c r="D672" s="435"/>
      <c r="E672" s="435"/>
      <c r="F672" s="435"/>
      <c r="G672" s="435"/>
      <c r="H672" s="435"/>
      <c r="I672" s="4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</row>
    <row r="673" spans="1:25" ht="15.75" customHeight="1">
      <c r="A673" s="110"/>
      <c r="B673" s="110"/>
      <c r="C673" s="110"/>
      <c r="D673" s="435"/>
      <c r="E673" s="435"/>
      <c r="F673" s="435"/>
      <c r="G673" s="435"/>
      <c r="H673" s="435"/>
      <c r="I673" s="4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</row>
    <row r="674" spans="1:25" ht="15.75" customHeight="1">
      <c r="A674" s="110"/>
      <c r="B674" s="110"/>
      <c r="C674" s="110"/>
      <c r="D674" s="435"/>
      <c r="E674" s="435"/>
      <c r="F674" s="435"/>
      <c r="G674" s="435"/>
      <c r="H674" s="435"/>
      <c r="I674" s="4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</row>
    <row r="675" spans="1:25" ht="15.75" customHeight="1">
      <c r="A675" s="110"/>
      <c r="B675" s="110"/>
      <c r="C675" s="110"/>
      <c r="D675" s="435"/>
      <c r="E675" s="435"/>
      <c r="F675" s="435"/>
      <c r="G675" s="435"/>
      <c r="H675" s="435"/>
      <c r="I675" s="4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</row>
    <row r="676" spans="1:25" ht="15.75" customHeight="1">
      <c r="A676" s="110"/>
      <c r="B676" s="110"/>
      <c r="C676" s="110"/>
      <c r="D676" s="435"/>
      <c r="E676" s="435"/>
      <c r="F676" s="435"/>
      <c r="G676" s="435"/>
      <c r="H676" s="435"/>
      <c r="I676" s="4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</row>
    <row r="677" spans="1:25" ht="15.75" customHeight="1">
      <c r="A677" s="110"/>
      <c r="B677" s="110"/>
      <c r="C677" s="110"/>
      <c r="D677" s="435"/>
      <c r="E677" s="435"/>
      <c r="F677" s="435"/>
      <c r="G677" s="435"/>
      <c r="H677" s="435"/>
      <c r="I677" s="4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</row>
    <row r="678" spans="1:25" ht="15.75" customHeight="1">
      <c r="A678" s="110"/>
      <c r="B678" s="110"/>
      <c r="C678" s="110"/>
      <c r="D678" s="435"/>
      <c r="E678" s="435"/>
      <c r="F678" s="435"/>
      <c r="G678" s="435"/>
      <c r="H678" s="435"/>
      <c r="I678" s="4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</row>
    <row r="679" spans="1:25" ht="15.75" customHeight="1">
      <c r="A679" s="110"/>
      <c r="B679" s="110"/>
      <c r="C679" s="110"/>
      <c r="D679" s="435"/>
      <c r="E679" s="435"/>
      <c r="F679" s="435"/>
      <c r="G679" s="435"/>
      <c r="H679" s="435"/>
      <c r="I679" s="4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</row>
    <row r="680" spans="1:25" ht="15.75" customHeight="1">
      <c r="A680" s="110"/>
      <c r="B680" s="110"/>
      <c r="C680" s="110"/>
      <c r="D680" s="435"/>
      <c r="E680" s="435"/>
      <c r="F680" s="435"/>
      <c r="G680" s="435"/>
      <c r="H680" s="435"/>
      <c r="I680" s="4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</row>
    <row r="681" spans="1:25" ht="15.75" customHeight="1">
      <c r="A681" s="110"/>
      <c r="B681" s="110"/>
      <c r="C681" s="110"/>
      <c r="D681" s="435"/>
      <c r="E681" s="435"/>
      <c r="F681" s="435"/>
      <c r="G681" s="435"/>
      <c r="H681" s="435"/>
      <c r="I681" s="4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</row>
    <row r="682" spans="1:25" ht="15.75" customHeight="1">
      <c r="A682" s="110"/>
      <c r="B682" s="110"/>
      <c r="C682" s="110"/>
      <c r="D682" s="435"/>
      <c r="E682" s="435"/>
      <c r="F682" s="435"/>
      <c r="G682" s="435"/>
      <c r="H682" s="435"/>
      <c r="I682" s="4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</row>
    <row r="683" spans="1:25" ht="15.75" customHeight="1">
      <c r="A683" s="110"/>
      <c r="B683" s="110"/>
      <c r="C683" s="110"/>
      <c r="D683" s="435"/>
      <c r="E683" s="435"/>
      <c r="F683" s="435"/>
      <c r="G683" s="435"/>
      <c r="H683" s="435"/>
      <c r="I683" s="4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</row>
    <row r="684" spans="1:25" ht="15.75" customHeight="1">
      <c r="A684" s="110"/>
      <c r="B684" s="110"/>
      <c r="C684" s="110"/>
      <c r="D684" s="435"/>
      <c r="E684" s="435"/>
      <c r="F684" s="435"/>
      <c r="G684" s="435"/>
      <c r="H684" s="435"/>
      <c r="I684" s="4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</row>
    <row r="685" spans="1:25" ht="15.75" customHeight="1">
      <c r="A685" s="110"/>
      <c r="B685" s="110"/>
      <c r="C685" s="110"/>
      <c r="D685" s="435"/>
      <c r="E685" s="435"/>
      <c r="F685" s="435"/>
      <c r="G685" s="435"/>
      <c r="H685" s="435"/>
      <c r="I685" s="4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</row>
    <row r="686" spans="1:25" ht="15.75" customHeight="1">
      <c r="A686" s="110"/>
      <c r="B686" s="110"/>
      <c r="C686" s="110"/>
      <c r="D686" s="435"/>
      <c r="E686" s="435"/>
      <c r="F686" s="435"/>
      <c r="G686" s="435"/>
      <c r="H686" s="435"/>
      <c r="I686" s="4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</row>
    <row r="687" spans="1:25" ht="15.75" customHeight="1">
      <c r="A687" s="110"/>
      <c r="B687" s="110"/>
      <c r="C687" s="110"/>
      <c r="D687" s="435"/>
      <c r="E687" s="435"/>
      <c r="F687" s="435"/>
      <c r="G687" s="435"/>
      <c r="H687" s="435"/>
      <c r="I687" s="4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</row>
    <row r="688" spans="1:25" ht="15.75" customHeight="1">
      <c r="A688" s="110"/>
      <c r="B688" s="110"/>
      <c r="C688" s="110"/>
      <c r="D688" s="435"/>
      <c r="E688" s="435"/>
      <c r="F688" s="435"/>
      <c r="G688" s="435"/>
      <c r="H688" s="435"/>
      <c r="I688" s="4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</row>
    <row r="689" spans="1:25" ht="15.75" customHeight="1">
      <c r="A689" s="110"/>
      <c r="B689" s="110"/>
      <c r="C689" s="110"/>
      <c r="D689" s="435"/>
      <c r="E689" s="435"/>
      <c r="F689" s="435"/>
      <c r="G689" s="435"/>
      <c r="H689" s="435"/>
      <c r="I689" s="4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</row>
    <row r="690" spans="1:25" ht="15.75" customHeight="1">
      <c r="A690" s="110"/>
      <c r="B690" s="110"/>
      <c r="C690" s="110"/>
      <c r="D690" s="435"/>
      <c r="E690" s="435"/>
      <c r="F690" s="435"/>
      <c r="G690" s="435"/>
      <c r="H690" s="435"/>
      <c r="I690" s="4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</row>
    <row r="691" spans="1:25" ht="15.75" customHeight="1">
      <c r="A691" s="110"/>
      <c r="B691" s="110"/>
      <c r="C691" s="110"/>
      <c r="D691" s="435"/>
      <c r="E691" s="435"/>
      <c r="F691" s="435"/>
      <c r="G691" s="435"/>
      <c r="H691" s="435"/>
      <c r="I691" s="4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</row>
    <row r="692" spans="1:25" ht="15.75" customHeight="1">
      <c r="A692" s="110"/>
      <c r="B692" s="110"/>
      <c r="C692" s="110"/>
      <c r="D692" s="435"/>
      <c r="E692" s="435"/>
      <c r="F692" s="435"/>
      <c r="G692" s="435"/>
      <c r="H692" s="435"/>
      <c r="I692" s="4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</row>
    <row r="693" spans="1:25" ht="15.75" customHeight="1">
      <c r="A693" s="110"/>
      <c r="B693" s="110"/>
      <c r="C693" s="110"/>
      <c r="D693" s="435"/>
      <c r="E693" s="435"/>
      <c r="F693" s="435"/>
      <c r="G693" s="435"/>
      <c r="H693" s="435"/>
      <c r="I693" s="4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</row>
    <row r="694" spans="1:25" ht="15.75" customHeight="1">
      <c r="A694" s="110"/>
      <c r="B694" s="110"/>
      <c r="C694" s="110"/>
      <c r="D694" s="435"/>
      <c r="E694" s="435"/>
      <c r="F694" s="435"/>
      <c r="G694" s="435"/>
      <c r="H694" s="435"/>
      <c r="I694" s="4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</row>
    <row r="695" spans="1:25" ht="15.75" customHeight="1">
      <c r="A695" s="110"/>
      <c r="B695" s="110"/>
      <c r="C695" s="110"/>
      <c r="D695" s="435"/>
      <c r="E695" s="435"/>
      <c r="F695" s="435"/>
      <c r="G695" s="435"/>
      <c r="H695" s="435"/>
      <c r="I695" s="4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</row>
    <row r="696" spans="1:25" ht="15.75" customHeight="1">
      <c r="A696" s="110"/>
      <c r="B696" s="110"/>
      <c r="C696" s="110"/>
      <c r="D696" s="435"/>
      <c r="E696" s="435"/>
      <c r="F696" s="435"/>
      <c r="G696" s="435"/>
      <c r="H696" s="435"/>
      <c r="I696" s="4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</row>
    <row r="697" spans="1:25" ht="15.75" customHeight="1">
      <c r="A697" s="110"/>
      <c r="B697" s="110"/>
      <c r="C697" s="110"/>
      <c r="D697" s="435"/>
      <c r="E697" s="435"/>
      <c r="F697" s="435"/>
      <c r="G697" s="435"/>
      <c r="H697" s="435"/>
      <c r="I697" s="4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</row>
    <row r="698" spans="1:25" ht="15.75" customHeight="1">
      <c r="A698" s="110"/>
      <c r="B698" s="110"/>
      <c r="C698" s="110"/>
      <c r="D698" s="435"/>
      <c r="E698" s="435"/>
      <c r="F698" s="435"/>
      <c r="G698" s="435"/>
      <c r="H698" s="435"/>
      <c r="I698" s="4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</row>
    <row r="699" spans="1:25" ht="15.75" customHeight="1">
      <c r="A699" s="110"/>
      <c r="B699" s="110"/>
      <c r="C699" s="110"/>
      <c r="D699" s="435"/>
      <c r="E699" s="435"/>
      <c r="F699" s="435"/>
      <c r="G699" s="435"/>
      <c r="H699" s="435"/>
      <c r="I699" s="4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</row>
    <row r="700" spans="1:25" ht="15.75" customHeight="1">
      <c r="A700" s="110"/>
      <c r="B700" s="110"/>
      <c r="C700" s="110"/>
      <c r="D700" s="435"/>
      <c r="E700" s="435"/>
      <c r="F700" s="435"/>
      <c r="G700" s="435"/>
      <c r="H700" s="435"/>
      <c r="I700" s="4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</row>
    <row r="701" spans="1:25" ht="15.75" customHeight="1">
      <c r="A701" s="110"/>
      <c r="B701" s="110"/>
      <c r="C701" s="110"/>
      <c r="D701" s="435"/>
      <c r="E701" s="435"/>
      <c r="F701" s="435"/>
      <c r="G701" s="435"/>
      <c r="H701" s="435"/>
      <c r="I701" s="4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</row>
    <row r="702" spans="1:25" ht="15.75" customHeight="1">
      <c r="A702" s="110"/>
      <c r="B702" s="110"/>
      <c r="C702" s="110"/>
      <c r="D702" s="435"/>
      <c r="E702" s="435"/>
      <c r="F702" s="435"/>
      <c r="G702" s="435"/>
      <c r="H702" s="435"/>
      <c r="I702" s="4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</row>
    <row r="703" spans="1:25" ht="15.75" customHeight="1">
      <c r="A703" s="110"/>
      <c r="B703" s="110"/>
      <c r="C703" s="110"/>
      <c r="D703" s="435"/>
      <c r="E703" s="435"/>
      <c r="F703" s="435"/>
      <c r="G703" s="435"/>
      <c r="H703" s="435"/>
      <c r="I703" s="4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</row>
    <row r="704" spans="1:25" ht="15.75" customHeight="1">
      <c r="A704" s="110"/>
      <c r="B704" s="110"/>
      <c r="C704" s="110"/>
      <c r="D704" s="435"/>
      <c r="E704" s="435"/>
      <c r="F704" s="435"/>
      <c r="G704" s="435"/>
      <c r="H704" s="435"/>
      <c r="I704" s="4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</row>
    <row r="705" spans="1:25" ht="15.75" customHeight="1">
      <c r="A705" s="110"/>
      <c r="B705" s="110"/>
      <c r="C705" s="110"/>
      <c r="D705" s="435"/>
      <c r="E705" s="435"/>
      <c r="F705" s="435"/>
      <c r="G705" s="435"/>
      <c r="H705" s="435"/>
      <c r="I705" s="4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</row>
    <row r="706" spans="1:25" ht="15.75" customHeight="1">
      <c r="A706" s="110"/>
      <c r="B706" s="110"/>
      <c r="C706" s="110"/>
      <c r="D706" s="435"/>
      <c r="E706" s="435"/>
      <c r="F706" s="435"/>
      <c r="G706" s="435"/>
      <c r="H706" s="435"/>
      <c r="I706" s="4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</row>
    <row r="707" spans="1:25" ht="15.75" customHeight="1">
      <c r="A707" s="110"/>
      <c r="B707" s="110"/>
      <c r="C707" s="110"/>
      <c r="D707" s="435"/>
      <c r="E707" s="435"/>
      <c r="F707" s="435"/>
      <c r="G707" s="435"/>
      <c r="H707" s="435"/>
      <c r="I707" s="4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</row>
    <row r="708" spans="1:25" ht="15.75" customHeight="1">
      <c r="A708" s="110"/>
      <c r="B708" s="110"/>
      <c r="C708" s="110"/>
      <c r="D708" s="435"/>
      <c r="E708" s="435"/>
      <c r="F708" s="435"/>
      <c r="G708" s="435"/>
      <c r="H708" s="435"/>
      <c r="I708" s="4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</row>
    <row r="709" spans="1:25" ht="15.75" customHeight="1">
      <c r="A709" s="110"/>
      <c r="B709" s="110"/>
      <c r="C709" s="110"/>
      <c r="D709" s="435"/>
      <c r="E709" s="435"/>
      <c r="F709" s="435"/>
      <c r="G709" s="435"/>
      <c r="H709" s="435"/>
      <c r="I709" s="4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</row>
    <row r="710" spans="1:25" ht="15.75" customHeight="1">
      <c r="A710" s="110"/>
      <c r="B710" s="110"/>
      <c r="C710" s="110"/>
      <c r="D710" s="435"/>
      <c r="E710" s="435"/>
      <c r="F710" s="435"/>
      <c r="G710" s="435"/>
      <c r="H710" s="435"/>
      <c r="I710" s="4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</row>
    <row r="711" spans="1:25" ht="15.75" customHeight="1">
      <c r="A711" s="110"/>
      <c r="B711" s="110"/>
      <c r="C711" s="110"/>
      <c r="D711" s="435"/>
      <c r="E711" s="435"/>
      <c r="F711" s="435"/>
      <c r="G711" s="435"/>
      <c r="H711" s="435"/>
      <c r="I711" s="4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</row>
    <row r="712" spans="1:25" ht="15.75" customHeight="1">
      <c r="A712" s="110"/>
      <c r="B712" s="110"/>
      <c r="C712" s="110"/>
      <c r="D712" s="435"/>
      <c r="E712" s="435"/>
      <c r="F712" s="435"/>
      <c r="G712" s="435"/>
      <c r="H712" s="435"/>
      <c r="I712" s="4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</row>
    <row r="713" spans="1:25" ht="15.75" customHeight="1">
      <c r="A713" s="110"/>
      <c r="B713" s="110"/>
      <c r="C713" s="110"/>
      <c r="D713" s="435"/>
      <c r="E713" s="435"/>
      <c r="F713" s="435"/>
      <c r="G713" s="435"/>
      <c r="H713" s="435"/>
      <c r="I713" s="4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</row>
    <row r="714" spans="1:25" ht="15.75" customHeight="1">
      <c r="A714" s="110"/>
      <c r="B714" s="110"/>
      <c r="C714" s="110"/>
      <c r="D714" s="435"/>
      <c r="E714" s="435"/>
      <c r="F714" s="435"/>
      <c r="G714" s="435"/>
      <c r="H714" s="435"/>
      <c r="I714" s="4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</row>
    <row r="715" spans="1:25" ht="15.75" customHeight="1">
      <c r="A715" s="110"/>
      <c r="B715" s="110"/>
      <c r="C715" s="110"/>
      <c r="D715" s="435"/>
      <c r="E715" s="435"/>
      <c r="F715" s="435"/>
      <c r="G715" s="435"/>
      <c r="H715" s="435"/>
      <c r="I715" s="4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</row>
    <row r="716" spans="1:25" ht="15.75" customHeight="1">
      <c r="A716" s="110"/>
      <c r="B716" s="110"/>
      <c r="C716" s="110"/>
      <c r="D716" s="435"/>
      <c r="E716" s="435"/>
      <c r="F716" s="435"/>
      <c r="G716" s="435"/>
      <c r="H716" s="435"/>
      <c r="I716" s="4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</row>
    <row r="717" spans="1:25" ht="15.75" customHeight="1">
      <c r="A717" s="110"/>
      <c r="B717" s="110"/>
      <c r="C717" s="110"/>
      <c r="D717" s="435"/>
      <c r="E717" s="435"/>
      <c r="F717" s="435"/>
      <c r="G717" s="435"/>
      <c r="H717" s="435"/>
      <c r="I717" s="4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</row>
    <row r="718" spans="1:25" ht="15.75" customHeight="1">
      <c r="A718" s="110"/>
      <c r="B718" s="110"/>
      <c r="C718" s="110"/>
      <c r="D718" s="435"/>
      <c r="E718" s="435"/>
      <c r="F718" s="435"/>
      <c r="G718" s="435"/>
      <c r="H718" s="435"/>
      <c r="I718" s="4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</row>
    <row r="719" spans="1:25" ht="15.75" customHeight="1">
      <c r="A719" s="110"/>
      <c r="B719" s="110"/>
      <c r="C719" s="110"/>
      <c r="D719" s="435"/>
      <c r="E719" s="435"/>
      <c r="F719" s="435"/>
      <c r="G719" s="435"/>
      <c r="H719" s="435"/>
      <c r="I719" s="4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</row>
    <row r="720" spans="1:25" ht="15.75" customHeight="1">
      <c r="A720" s="110"/>
      <c r="B720" s="110"/>
      <c r="C720" s="110"/>
      <c r="D720" s="435"/>
      <c r="E720" s="435"/>
      <c r="F720" s="435"/>
      <c r="G720" s="435"/>
      <c r="H720" s="435"/>
      <c r="I720" s="4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</row>
    <row r="721" spans="1:25" ht="15.75" customHeight="1">
      <c r="A721" s="110"/>
      <c r="B721" s="110"/>
      <c r="C721" s="110"/>
      <c r="D721" s="435"/>
      <c r="E721" s="435"/>
      <c r="F721" s="435"/>
      <c r="G721" s="435"/>
      <c r="H721" s="435"/>
      <c r="I721" s="4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</row>
    <row r="722" spans="1:25" ht="15.75" customHeight="1">
      <c r="A722" s="110"/>
      <c r="B722" s="110"/>
      <c r="C722" s="110"/>
      <c r="D722" s="435"/>
      <c r="E722" s="435"/>
      <c r="F722" s="435"/>
      <c r="G722" s="435"/>
      <c r="H722" s="435"/>
      <c r="I722" s="4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</row>
    <row r="723" spans="1:25" ht="15.75" customHeight="1">
      <c r="A723" s="110"/>
      <c r="B723" s="110"/>
      <c r="C723" s="110"/>
      <c r="D723" s="435"/>
      <c r="E723" s="435"/>
      <c r="F723" s="435"/>
      <c r="G723" s="435"/>
      <c r="H723" s="435"/>
      <c r="I723" s="4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</row>
    <row r="724" spans="1:25" ht="15.75" customHeight="1">
      <c r="A724" s="110"/>
      <c r="B724" s="110"/>
      <c r="C724" s="110"/>
      <c r="D724" s="435"/>
      <c r="E724" s="435"/>
      <c r="F724" s="435"/>
      <c r="G724" s="435"/>
      <c r="H724" s="435"/>
      <c r="I724" s="4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</row>
    <row r="725" spans="1:25" ht="15.75" customHeight="1">
      <c r="A725" s="110"/>
      <c r="B725" s="110"/>
      <c r="C725" s="110"/>
      <c r="D725" s="435"/>
      <c r="E725" s="435"/>
      <c r="F725" s="435"/>
      <c r="G725" s="435"/>
      <c r="H725" s="435"/>
      <c r="I725" s="4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</row>
    <row r="726" spans="1:25" ht="15.75" customHeight="1">
      <c r="A726" s="110"/>
      <c r="B726" s="110"/>
      <c r="C726" s="110"/>
      <c r="D726" s="435"/>
      <c r="E726" s="435"/>
      <c r="F726" s="435"/>
      <c r="G726" s="435"/>
      <c r="H726" s="435"/>
      <c r="I726" s="4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</row>
    <row r="727" spans="1:25" ht="15.75" customHeight="1">
      <c r="A727" s="110"/>
      <c r="B727" s="110"/>
      <c r="C727" s="110"/>
      <c r="D727" s="435"/>
      <c r="E727" s="435"/>
      <c r="F727" s="435"/>
      <c r="G727" s="435"/>
      <c r="H727" s="435"/>
      <c r="I727" s="4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</row>
    <row r="728" spans="1:25" ht="15.75" customHeight="1">
      <c r="A728" s="110"/>
      <c r="B728" s="110"/>
      <c r="C728" s="110"/>
      <c r="D728" s="435"/>
      <c r="E728" s="435"/>
      <c r="F728" s="435"/>
      <c r="G728" s="435"/>
      <c r="H728" s="435"/>
      <c r="I728" s="4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</row>
    <row r="729" spans="1:25" ht="15.75" customHeight="1">
      <c r="A729" s="110"/>
      <c r="B729" s="110"/>
      <c r="C729" s="110"/>
      <c r="D729" s="435"/>
      <c r="E729" s="435"/>
      <c r="F729" s="435"/>
      <c r="G729" s="435"/>
      <c r="H729" s="435"/>
      <c r="I729" s="4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</row>
    <row r="730" spans="1:25" ht="15.75" customHeight="1">
      <c r="A730" s="110"/>
      <c r="B730" s="110"/>
      <c r="C730" s="110"/>
      <c r="D730" s="435"/>
      <c r="E730" s="435"/>
      <c r="F730" s="435"/>
      <c r="G730" s="435"/>
      <c r="H730" s="435"/>
      <c r="I730" s="4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</row>
    <row r="731" spans="1:25" ht="15.75" customHeight="1">
      <c r="A731" s="110"/>
      <c r="B731" s="110"/>
      <c r="C731" s="110"/>
      <c r="D731" s="435"/>
      <c r="E731" s="435"/>
      <c r="F731" s="435"/>
      <c r="G731" s="435"/>
      <c r="H731" s="435"/>
      <c r="I731" s="4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</row>
    <row r="732" spans="1:25" ht="15.75" customHeight="1">
      <c r="A732" s="110"/>
      <c r="B732" s="110"/>
      <c r="C732" s="110"/>
      <c r="D732" s="435"/>
      <c r="E732" s="435"/>
      <c r="F732" s="435"/>
      <c r="G732" s="435"/>
      <c r="H732" s="435"/>
      <c r="I732" s="4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</row>
    <row r="733" spans="1:25" ht="15.75" customHeight="1">
      <c r="A733" s="110"/>
      <c r="B733" s="110"/>
      <c r="C733" s="110"/>
      <c r="D733" s="435"/>
      <c r="E733" s="435"/>
      <c r="F733" s="435"/>
      <c r="G733" s="435"/>
      <c r="H733" s="435"/>
      <c r="I733" s="4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</row>
    <row r="734" spans="1:25" ht="15.75" customHeight="1">
      <c r="A734" s="110"/>
      <c r="B734" s="110"/>
      <c r="C734" s="110"/>
      <c r="D734" s="435"/>
      <c r="E734" s="435"/>
      <c r="F734" s="435"/>
      <c r="G734" s="435"/>
      <c r="H734" s="435"/>
      <c r="I734" s="4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</row>
    <row r="735" spans="1:25" ht="15.75" customHeight="1">
      <c r="A735" s="110"/>
      <c r="B735" s="110"/>
      <c r="C735" s="110"/>
      <c r="D735" s="435"/>
      <c r="E735" s="435"/>
      <c r="F735" s="435"/>
      <c r="G735" s="435"/>
      <c r="H735" s="435"/>
      <c r="I735" s="4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</row>
    <row r="736" spans="1:25" ht="15.75" customHeight="1">
      <c r="A736" s="110"/>
      <c r="B736" s="110"/>
      <c r="C736" s="110"/>
      <c r="D736" s="435"/>
      <c r="E736" s="435"/>
      <c r="F736" s="435"/>
      <c r="G736" s="435"/>
      <c r="H736" s="435"/>
      <c r="I736" s="4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</row>
    <row r="737" spans="1:25" ht="15.75" customHeight="1">
      <c r="A737" s="110"/>
      <c r="B737" s="110"/>
      <c r="C737" s="110"/>
      <c r="D737" s="435"/>
      <c r="E737" s="435"/>
      <c r="F737" s="435"/>
      <c r="G737" s="435"/>
      <c r="H737" s="435"/>
      <c r="I737" s="4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</row>
    <row r="738" spans="1:25" ht="15.75" customHeight="1">
      <c r="A738" s="110"/>
      <c r="B738" s="110"/>
      <c r="C738" s="110"/>
      <c r="D738" s="435"/>
      <c r="E738" s="435"/>
      <c r="F738" s="435"/>
      <c r="G738" s="435"/>
      <c r="H738" s="435"/>
      <c r="I738" s="4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</row>
    <row r="739" spans="1:25" ht="15.75" customHeight="1">
      <c r="A739" s="110"/>
      <c r="B739" s="110"/>
      <c r="C739" s="110"/>
      <c r="D739" s="435"/>
      <c r="E739" s="435"/>
      <c r="F739" s="435"/>
      <c r="G739" s="435"/>
      <c r="H739" s="435"/>
      <c r="I739" s="4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</row>
    <row r="740" spans="1:25" ht="15.75" customHeight="1">
      <c r="A740" s="110"/>
      <c r="B740" s="110"/>
      <c r="C740" s="110"/>
      <c r="D740" s="435"/>
      <c r="E740" s="435"/>
      <c r="F740" s="435"/>
      <c r="G740" s="435"/>
      <c r="H740" s="435"/>
      <c r="I740" s="4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</row>
    <row r="741" spans="1:25" ht="15.75" customHeight="1">
      <c r="A741" s="110"/>
      <c r="B741" s="110"/>
      <c r="C741" s="110"/>
      <c r="D741" s="435"/>
      <c r="E741" s="435"/>
      <c r="F741" s="435"/>
      <c r="G741" s="435"/>
      <c r="H741" s="435"/>
      <c r="I741" s="4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</row>
    <row r="742" spans="1:25" ht="15.75" customHeight="1">
      <c r="A742" s="110"/>
      <c r="B742" s="110"/>
      <c r="C742" s="110"/>
      <c r="D742" s="435"/>
      <c r="E742" s="435"/>
      <c r="F742" s="435"/>
      <c r="G742" s="435"/>
      <c r="H742" s="435"/>
      <c r="I742" s="4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</row>
    <row r="743" spans="1:25" ht="15.75" customHeight="1">
      <c r="A743" s="110"/>
      <c r="B743" s="110"/>
      <c r="C743" s="110"/>
      <c r="D743" s="435"/>
      <c r="E743" s="435"/>
      <c r="F743" s="435"/>
      <c r="G743" s="435"/>
      <c r="H743" s="435"/>
      <c r="I743" s="4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</row>
    <row r="744" spans="1:25" ht="15.75" customHeight="1">
      <c r="A744" s="110"/>
      <c r="B744" s="110"/>
      <c r="C744" s="110"/>
      <c r="D744" s="435"/>
      <c r="E744" s="435"/>
      <c r="F744" s="435"/>
      <c r="G744" s="435"/>
      <c r="H744" s="435"/>
      <c r="I744" s="4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</row>
    <row r="745" spans="1:25" ht="15.75" customHeight="1">
      <c r="A745" s="110"/>
      <c r="B745" s="110"/>
      <c r="C745" s="110"/>
      <c r="D745" s="435"/>
      <c r="E745" s="435"/>
      <c r="F745" s="435"/>
      <c r="G745" s="435"/>
      <c r="H745" s="435"/>
      <c r="I745" s="4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</row>
    <row r="746" spans="1:25" ht="15.75" customHeight="1">
      <c r="A746" s="110"/>
      <c r="B746" s="110"/>
      <c r="C746" s="110"/>
      <c r="D746" s="435"/>
      <c r="E746" s="435"/>
      <c r="F746" s="435"/>
      <c r="G746" s="435"/>
      <c r="H746" s="435"/>
      <c r="I746" s="4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</row>
    <row r="747" spans="1:25" ht="15.75" customHeight="1">
      <c r="A747" s="110"/>
      <c r="B747" s="110"/>
      <c r="C747" s="110"/>
      <c r="D747" s="435"/>
      <c r="E747" s="435"/>
      <c r="F747" s="435"/>
      <c r="G747" s="435"/>
      <c r="H747" s="435"/>
      <c r="I747" s="4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</row>
    <row r="748" spans="1:25" ht="15.75" customHeight="1">
      <c r="A748" s="110"/>
      <c r="B748" s="110"/>
      <c r="C748" s="110"/>
      <c r="D748" s="435"/>
      <c r="E748" s="435"/>
      <c r="F748" s="435"/>
      <c r="G748" s="435"/>
      <c r="H748" s="435"/>
      <c r="I748" s="4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</row>
    <row r="749" spans="1:25" ht="15.75" customHeight="1">
      <c r="A749" s="110"/>
      <c r="B749" s="110"/>
      <c r="C749" s="110"/>
      <c r="D749" s="435"/>
      <c r="E749" s="435"/>
      <c r="F749" s="435"/>
      <c r="G749" s="435"/>
      <c r="H749" s="435"/>
      <c r="I749" s="4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</row>
    <row r="750" spans="1:25" ht="15.75" customHeight="1">
      <c r="A750" s="110"/>
      <c r="B750" s="110"/>
      <c r="C750" s="110"/>
      <c r="D750" s="435"/>
      <c r="E750" s="435"/>
      <c r="F750" s="435"/>
      <c r="G750" s="435"/>
      <c r="H750" s="435"/>
      <c r="I750" s="4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</row>
    <row r="751" spans="1:25" ht="15.75" customHeight="1">
      <c r="A751" s="110"/>
      <c r="B751" s="110"/>
      <c r="C751" s="110"/>
      <c r="D751" s="435"/>
      <c r="E751" s="435"/>
      <c r="F751" s="435"/>
      <c r="G751" s="435"/>
      <c r="H751" s="435"/>
      <c r="I751" s="4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</row>
    <row r="752" spans="1:25" ht="15.75" customHeight="1">
      <c r="A752" s="110"/>
      <c r="B752" s="110"/>
      <c r="C752" s="110"/>
      <c r="D752" s="435"/>
      <c r="E752" s="435"/>
      <c r="F752" s="435"/>
      <c r="G752" s="435"/>
      <c r="H752" s="435"/>
      <c r="I752" s="4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</row>
    <row r="753" spans="1:25" ht="15.75" customHeight="1">
      <c r="A753" s="110"/>
      <c r="B753" s="110"/>
      <c r="C753" s="110"/>
      <c r="D753" s="435"/>
      <c r="E753" s="435"/>
      <c r="F753" s="435"/>
      <c r="G753" s="435"/>
      <c r="H753" s="435"/>
      <c r="I753" s="4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</row>
    <row r="754" spans="1:25" ht="15.75" customHeight="1">
      <c r="A754" s="110"/>
      <c r="B754" s="110"/>
      <c r="C754" s="110"/>
      <c r="D754" s="435"/>
      <c r="E754" s="435"/>
      <c r="F754" s="435"/>
      <c r="G754" s="435"/>
      <c r="H754" s="435"/>
      <c r="I754" s="4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</row>
    <row r="755" spans="1:25" ht="15.75" customHeight="1">
      <c r="A755" s="110"/>
      <c r="B755" s="110"/>
      <c r="C755" s="110"/>
      <c r="D755" s="435"/>
      <c r="E755" s="435"/>
      <c r="F755" s="435"/>
      <c r="G755" s="435"/>
      <c r="H755" s="435"/>
      <c r="I755" s="4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</row>
    <row r="756" spans="1:25" ht="15.75" customHeight="1">
      <c r="A756" s="110"/>
      <c r="B756" s="110"/>
      <c r="C756" s="110"/>
      <c r="D756" s="435"/>
      <c r="E756" s="435"/>
      <c r="F756" s="435"/>
      <c r="G756" s="435"/>
      <c r="H756" s="435"/>
      <c r="I756" s="4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</row>
    <row r="757" spans="1:25" ht="15.75" customHeight="1">
      <c r="A757" s="110"/>
      <c r="B757" s="110"/>
      <c r="C757" s="110"/>
      <c r="D757" s="435"/>
      <c r="E757" s="435"/>
      <c r="F757" s="435"/>
      <c r="G757" s="435"/>
      <c r="H757" s="435"/>
      <c r="I757" s="4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</row>
    <row r="758" spans="1:25" ht="15.75" customHeight="1">
      <c r="A758" s="110"/>
      <c r="B758" s="110"/>
      <c r="C758" s="110"/>
      <c r="D758" s="435"/>
      <c r="E758" s="435"/>
      <c r="F758" s="435"/>
      <c r="G758" s="435"/>
      <c r="H758" s="435"/>
      <c r="I758" s="4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</row>
    <row r="759" spans="1:25" ht="15.75" customHeight="1">
      <c r="A759" s="110"/>
      <c r="B759" s="110"/>
      <c r="C759" s="110"/>
      <c r="D759" s="435"/>
      <c r="E759" s="435"/>
      <c r="F759" s="435"/>
      <c r="G759" s="435"/>
      <c r="H759" s="435"/>
      <c r="I759" s="4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</row>
    <row r="760" spans="1:25" ht="15.75" customHeight="1">
      <c r="A760" s="110"/>
      <c r="B760" s="110"/>
      <c r="C760" s="110"/>
      <c r="D760" s="435"/>
      <c r="E760" s="435"/>
      <c r="F760" s="435"/>
      <c r="G760" s="435"/>
      <c r="H760" s="435"/>
      <c r="I760" s="4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</row>
    <row r="761" spans="1:25" ht="15.75" customHeight="1">
      <c r="A761" s="110"/>
      <c r="B761" s="110"/>
      <c r="C761" s="110"/>
      <c r="D761" s="435"/>
      <c r="E761" s="435"/>
      <c r="F761" s="435"/>
      <c r="G761" s="435"/>
      <c r="H761" s="435"/>
      <c r="I761" s="4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</row>
    <row r="762" spans="1:25" ht="15.75" customHeight="1">
      <c r="A762" s="110"/>
      <c r="B762" s="110"/>
      <c r="C762" s="110"/>
      <c r="D762" s="435"/>
      <c r="E762" s="435"/>
      <c r="F762" s="435"/>
      <c r="G762" s="435"/>
      <c r="H762" s="435"/>
      <c r="I762" s="4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</row>
    <row r="763" spans="1:25" ht="15.75" customHeight="1">
      <c r="A763" s="110"/>
      <c r="B763" s="110"/>
      <c r="C763" s="110"/>
      <c r="D763" s="435"/>
      <c r="E763" s="435"/>
      <c r="F763" s="435"/>
      <c r="G763" s="435"/>
      <c r="H763" s="435"/>
      <c r="I763" s="4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</row>
    <row r="764" spans="1:25" ht="15.75" customHeight="1">
      <c r="A764" s="110"/>
      <c r="B764" s="110"/>
      <c r="C764" s="110"/>
      <c r="D764" s="435"/>
      <c r="E764" s="435"/>
      <c r="F764" s="435"/>
      <c r="G764" s="435"/>
      <c r="H764" s="435"/>
      <c r="I764" s="4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</row>
    <row r="765" spans="1:25" ht="15.75" customHeight="1">
      <c r="A765" s="110"/>
      <c r="B765" s="110"/>
      <c r="C765" s="110"/>
      <c r="D765" s="435"/>
      <c r="E765" s="435"/>
      <c r="F765" s="435"/>
      <c r="G765" s="435"/>
      <c r="H765" s="435"/>
      <c r="I765" s="4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</row>
    <row r="766" spans="1:25" ht="15.75" customHeight="1">
      <c r="A766" s="110"/>
      <c r="B766" s="110"/>
      <c r="C766" s="110"/>
      <c r="D766" s="435"/>
      <c r="E766" s="435"/>
      <c r="F766" s="435"/>
      <c r="G766" s="435"/>
      <c r="H766" s="435"/>
      <c r="I766" s="4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</row>
    <row r="767" spans="1:25" ht="15.75" customHeight="1">
      <c r="A767" s="110"/>
      <c r="B767" s="110"/>
      <c r="C767" s="110"/>
      <c r="D767" s="435"/>
      <c r="E767" s="435"/>
      <c r="F767" s="435"/>
      <c r="G767" s="435"/>
      <c r="H767" s="435"/>
      <c r="I767" s="4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</row>
    <row r="768" spans="1:25" ht="15.75" customHeight="1">
      <c r="A768" s="110"/>
      <c r="B768" s="110"/>
      <c r="C768" s="110"/>
      <c r="D768" s="435"/>
      <c r="E768" s="435"/>
      <c r="F768" s="435"/>
      <c r="G768" s="435"/>
      <c r="H768" s="435"/>
      <c r="I768" s="4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</row>
    <row r="769" spans="1:25" ht="15.75" customHeight="1">
      <c r="A769" s="110"/>
      <c r="B769" s="110"/>
      <c r="C769" s="110"/>
      <c r="D769" s="435"/>
      <c r="E769" s="435"/>
      <c r="F769" s="435"/>
      <c r="G769" s="435"/>
      <c r="H769" s="435"/>
      <c r="I769" s="4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</row>
    <row r="770" spans="1:25" ht="15.75" customHeight="1">
      <c r="A770" s="110"/>
      <c r="B770" s="110"/>
      <c r="C770" s="110"/>
      <c r="D770" s="435"/>
      <c r="E770" s="435"/>
      <c r="F770" s="435"/>
      <c r="G770" s="435"/>
      <c r="H770" s="435"/>
      <c r="I770" s="4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</row>
    <row r="771" spans="1:25" ht="15.75" customHeight="1">
      <c r="A771" s="110"/>
      <c r="B771" s="110"/>
      <c r="C771" s="110"/>
      <c r="D771" s="435"/>
      <c r="E771" s="435"/>
      <c r="F771" s="435"/>
      <c r="G771" s="435"/>
      <c r="H771" s="435"/>
      <c r="I771" s="4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</row>
    <row r="772" spans="1:25" ht="15.75" customHeight="1">
      <c r="A772" s="110"/>
      <c r="B772" s="110"/>
      <c r="C772" s="110"/>
      <c r="D772" s="435"/>
      <c r="E772" s="435"/>
      <c r="F772" s="435"/>
      <c r="G772" s="435"/>
      <c r="H772" s="435"/>
      <c r="I772" s="4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</row>
    <row r="773" spans="1:25" ht="15.75" customHeight="1">
      <c r="A773" s="110"/>
      <c r="B773" s="110"/>
      <c r="C773" s="110"/>
      <c r="D773" s="435"/>
      <c r="E773" s="435"/>
      <c r="F773" s="435"/>
      <c r="G773" s="435"/>
      <c r="H773" s="435"/>
      <c r="I773" s="4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</row>
    <row r="774" spans="1:25" ht="15.75" customHeight="1">
      <c r="A774" s="110"/>
      <c r="B774" s="110"/>
      <c r="C774" s="110"/>
      <c r="D774" s="435"/>
      <c r="E774" s="435"/>
      <c r="F774" s="435"/>
      <c r="G774" s="435"/>
      <c r="H774" s="435"/>
      <c r="I774" s="4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</row>
    <row r="775" spans="1:25" ht="15.75" customHeight="1">
      <c r="A775" s="110"/>
      <c r="B775" s="110"/>
      <c r="C775" s="110"/>
      <c r="D775" s="435"/>
      <c r="E775" s="435"/>
      <c r="F775" s="435"/>
      <c r="G775" s="435"/>
      <c r="H775" s="435"/>
      <c r="I775" s="4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</row>
    <row r="776" spans="1:25" ht="15.75" customHeight="1">
      <c r="A776" s="110"/>
      <c r="B776" s="110"/>
      <c r="C776" s="110"/>
      <c r="D776" s="435"/>
      <c r="E776" s="435"/>
      <c r="F776" s="435"/>
      <c r="G776" s="435"/>
      <c r="H776" s="435"/>
      <c r="I776" s="4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</row>
    <row r="777" spans="1:25" ht="15.75" customHeight="1">
      <c r="A777" s="110"/>
      <c r="B777" s="110"/>
      <c r="C777" s="110"/>
      <c r="D777" s="435"/>
      <c r="E777" s="435"/>
      <c r="F777" s="435"/>
      <c r="G777" s="435"/>
      <c r="H777" s="435"/>
      <c r="I777" s="4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</row>
    <row r="778" spans="1:25" ht="15.75" customHeight="1">
      <c r="A778" s="110"/>
      <c r="B778" s="110"/>
      <c r="C778" s="110"/>
      <c r="D778" s="435"/>
      <c r="E778" s="435"/>
      <c r="F778" s="435"/>
      <c r="G778" s="435"/>
      <c r="H778" s="435"/>
      <c r="I778" s="4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</row>
    <row r="779" spans="1:25" ht="15.75" customHeight="1">
      <c r="A779" s="110"/>
      <c r="B779" s="110"/>
      <c r="C779" s="110"/>
      <c r="D779" s="435"/>
      <c r="E779" s="435"/>
      <c r="F779" s="435"/>
      <c r="G779" s="435"/>
      <c r="H779" s="435"/>
      <c r="I779" s="4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</row>
    <row r="780" spans="1:25" ht="15.75" customHeight="1">
      <c r="A780" s="110"/>
      <c r="B780" s="110"/>
      <c r="C780" s="110"/>
      <c r="D780" s="435"/>
      <c r="E780" s="435"/>
      <c r="F780" s="435"/>
      <c r="G780" s="435"/>
      <c r="H780" s="435"/>
      <c r="I780" s="4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</row>
    <row r="781" spans="1:25" ht="15.75" customHeight="1">
      <c r="A781" s="110"/>
      <c r="B781" s="110"/>
      <c r="C781" s="110"/>
      <c r="D781" s="435"/>
      <c r="E781" s="435"/>
      <c r="F781" s="435"/>
      <c r="G781" s="435"/>
      <c r="H781" s="435"/>
      <c r="I781" s="4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</row>
    <row r="782" spans="1:25" ht="15.75" customHeight="1">
      <c r="A782" s="110"/>
      <c r="B782" s="110"/>
      <c r="C782" s="110"/>
      <c r="D782" s="435"/>
      <c r="E782" s="435"/>
      <c r="F782" s="435"/>
      <c r="G782" s="435"/>
      <c r="H782" s="435"/>
      <c r="I782" s="4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</row>
    <row r="783" spans="1:25" ht="15.75" customHeight="1">
      <c r="A783" s="110"/>
      <c r="B783" s="110"/>
      <c r="C783" s="110"/>
      <c r="D783" s="435"/>
      <c r="E783" s="435"/>
      <c r="F783" s="435"/>
      <c r="G783" s="435"/>
      <c r="H783" s="435"/>
      <c r="I783" s="4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</row>
    <row r="784" spans="1:25" ht="15.75" customHeight="1">
      <c r="A784" s="110"/>
      <c r="B784" s="110"/>
      <c r="C784" s="110"/>
      <c r="D784" s="435"/>
      <c r="E784" s="435"/>
      <c r="F784" s="435"/>
      <c r="G784" s="435"/>
      <c r="H784" s="435"/>
      <c r="I784" s="4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</row>
    <row r="785" spans="1:25" ht="15.75" customHeight="1">
      <c r="A785" s="110"/>
      <c r="B785" s="110"/>
      <c r="C785" s="110"/>
      <c r="D785" s="435"/>
      <c r="E785" s="435"/>
      <c r="F785" s="435"/>
      <c r="G785" s="435"/>
      <c r="H785" s="435"/>
      <c r="I785" s="4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</row>
    <row r="786" spans="1:25" ht="15.75" customHeight="1">
      <c r="A786" s="110"/>
      <c r="B786" s="110"/>
      <c r="C786" s="110"/>
      <c r="D786" s="435"/>
      <c r="E786" s="435"/>
      <c r="F786" s="435"/>
      <c r="G786" s="435"/>
      <c r="H786" s="435"/>
      <c r="I786" s="4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</row>
    <row r="787" spans="1:25" ht="15.75" customHeight="1">
      <c r="A787" s="110"/>
      <c r="B787" s="110"/>
      <c r="C787" s="110"/>
      <c r="D787" s="435"/>
      <c r="E787" s="435"/>
      <c r="F787" s="435"/>
      <c r="G787" s="435"/>
      <c r="H787" s="435"/>
      <c r="I787" s="4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</row>
    <row r="788" spans="1:25" ht="15.75" customHeight="1">
      <c r="A788" s="110"/>
      <c r="B788" s="110"/>
      <c r="C788" s="110"/>
      <c r="D788" s="435"/>
      <c r="E788" s="435"/>
      <c r="F788" s="435"/>
      <c r="G788" s="435"/>
      <c r="H788" s="435"/>
      <c r="I788" s="4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</row>
    <row r="789" spans="1:25" ht="15.75" customHeight="1">
      <c r="A789" s="110"/>
      <c r="B789" s="110"/>
      <c r="C789" s="110"/>
      <c r="D789" s="435"/>
      <c r="E789" s="435"/>
      <c r="F789" s="435"/>
      <c r="G789" s="435"/>
      <c r="H789" s="435"/>
      <c r="I789" s="4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</row>
    <row r="790" spans="1:25" ht="15.75" customHeight="1">
      <c r="A790" s="110"/>
      <c r="B790" s="110"/>
      <c r="C790" s="110"/>
      <c r="D790" s="435"/>
      <c r="E790" s="435"/>
      <c r="F790" s="435"/>
      <c r="G790" s="435"/>
      <c r="H790" s="435"/>
      <c r="I790" s="4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</row>
    <row r="791" spans="1:25" ht="15.75" customHeight="1">
      <c r="A791" s="110"/>
      <c r="B791" s="110"/>
      <c r="C791" s="110"/>
      <c r="D791" s="435"/>
      <c r="E791" s="435"/>
      <c r="F791" s="435"/>
      <c r="G791" s="435"/>
      <c r="H791" s="435"/>
      <c r="I791" s="4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</row>
    <row r="792" spans="1:25" ht="15.75" customHeight="1">
      <c r="A792" s="110"/>
      <c r="B792" s="110"/>
      <c r="C792" s="110"/>
      <c r="D792" s="435"/>
      <c r="E792" s="435"/>
      <c r="F792" s="435"/>
      <c r="G792" s="435"/>
      <c r="H792" s="435"/>
      <c r="I792" s="4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</row>
    <row r="793" spans="1:25" ht="15.75" customHeight="1">
      <c r="A793" s="110"/>
      <c r="B793" s="110"/>
      <c r="C793" s="110"/>
      <c r="D793" s="435"/>
      <c r="E793" s="435"/>
      <c r="F793" s="435"/>
      <c r="G793" s="435"/>
      <c r="H793" s="435"/>
      <c r="I793" s="4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</row>
    <row r="794" spans="1:25" ht="15.75" customHeight="1">
      <c r="A794" s="110"/>
      <c r="B794" s="110"/>
      <c r="C794" s="110"/>
      <c r="D794" s="435"/>
      <c r="E794" s="435"/>
      <c r="F794" s="435"/>
      <c r="G794" s="435"/>
      <c r="H794" s="435"/>
      <c r="I794" s="4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</row>
    <row r="795" spans="1:25" ht="15.75" customHeight="1">
      <c r="A795" s="110"/>
      <c r="B795" s="110"/>
      <c r="C795" s="110"/>
      <c r="D795" s="435"/>
      <c r="E795" s="435"/>
      <c r="F795" s="435"/>
      <c r="G795" s="435"/>
      <c r="H795" s="435"/>
      <c r="I795" s="4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</row>
    <row r="796" spans="1:25" ht="15.75" customHeight="1">
      <c r="A796" s="110"/>
      <c r="B796" s="110"/>
      <c r="C796" s="110"/>
      <c r="D796" s="435"/>
      <c r="E796" s="435"/>
      <c r="F796" s="435"/>
      <c r="G796" s="435"/>
      <c r="H796" s="435"/>
      <c r="I796" s="4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</row>
    <row r="797" spans="1:25" ht="15.75" customHeight="1">
      <c r="A797" s="110"/>
      <c r="B797" s="110"/>
      <c r="C797" s="110"/>
      <c r="D797" s="435"/>
      <c r="E797" s="435"/>
      <c r="F797" s="435"/>
      <c r="G797" s="435"/>
      <c r="H797" s="435"/>
      <c r="I797" s="4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</row>
    <row r="798" spans="1:25" ht="15.75" customHeight="1">
      <c r="A798" s="110"/>
      <c r="B798" s="110"/>
      <c r="C798" s="110"/>
      <c r="D798" s="435"/>
      <c r="E798" s="435"/>
      <c r="F798" s="435"/>
      <c r="G798" s="435"/>
      <c r="H798" s="435"/>
      <c r="I798" s="4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</row>
    <row r="799" spans="1:25" ht="15.75" customHeight="1">
      <c r="A799" s="110"/>
      <c r="B799" s="110"/>
      <c r="C799" s="110"/>
      <c r="D799" s="435"/>
      <c r="E799" s="435"/>
      <c r="F799" s="435"/>
      <c r="G799" s="435"/>
      <c r="H799" s="435"/>
      <c r="I799" s="4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</row>
    <row r="800" spans="1:25" ht="15.75" customHeight="1">
      <c r="A800" s="110"/>
      <c r="B800" s="110"/>
      <c r="C800" s="110"/>
      <c r="D800" s="435"/>
      <c r="E800" s="435"/>
      <c r="F800" s="435"/>
      <c r="G800" s="435"/>
      <c r="H800" s="435"/>
      <c r="I800" s="4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</row>
    <row r="801" spans="1:25" ht="15.75" customHeight="1">
      <c r="A801" s="110"/>
      <c r="B801" s="110"/>
      <c r="C801" s="110"/>
      <c r="D801" s="435"/>
      <c r="E801" s="435"/>
      <c r="F801" s="435"/>
      <c r="G801" s="435"/>
      <c r="H801" s="435"/>
      <c r="I801" s="4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</row>
    <row r="802" spans="1:25" ht="15.75" customHeight="1">
      <c r="A802" s="110"/>
      <c r="B802" s="110"/>
      <c r="C802" s="110"/>
      <c r="D802" s="435"/>
      <c r="E802" s="435"/>
      <c r="F802" s="435"/>
      <c r="G802" s="435"/>
      <c r="H802" s="435"/>
      <c r="I802" s="4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</row>
    <row r="803" spans="1:25" ht="15.75" customHeight="1">
      <c r="A803" s="110"/>
      <c r="B803" s="110"/>
      <c r="C803" s="110"/>
      <c r="D803" s="435"/>
      <c r="E803" s="435"/>
      <c r="F803" s="435"/>
      <c r="G803" s="435"/>
      <c r="H803" s="435"/>
      <c r="I803" s="4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</row>
    <row r="804" spans="1:25" ht="15.75" customHeight="1">
      <c r="A804" s="110"/>
      <c r="B804" s="110"/>
      <c r="C804" s="110"/>
      <c r="D804" s="435"/>
      <c r="E804" s="435"/>
      <c r="F804" s="435"/>
      <c r="G804" s="435"/>
      <c r="H804" s="435"/>
      <c r="I804" s="4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</row>
    <row r="805" spans="1:25" ht="15.75" customHeight="1">
      <c r="A805" s="110"/>
      <c r="B805" s="110"/>
      <c r="C805" s="110"/>
      <c r="D805" s="435"/>
      <c r="E805" s="435"/>
      <c r="F805" s="435"/>
      <c r="G805" s="435"/>
      <c r="H805" s="435"/>
      <c r="I805" s="4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</row>
    <row r="806" spans="1:25" ht="15.75" customHeight="1">
      <c r="A806" s="110"/>
      <c r="B806" s="110"/>
      <c r="C806" s="110"/>
      <c r="D806" s="435"/>
      <c r="E806" s="435"/>
      <c r="F806" s="435"/>
      <c r="G806" s="435"/>
      <c r="H806" s="435"/>
      <c r="I806" s="4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</row>
    <row r="807" spans="1:25" ht="15.75" customHeight="1">
      <c r="A807" s="110"/>
      <c r="B807" s="110"/>
      <c r="C807" s="110"/>
      <c r="D807" s="435"/>
      <c r="E807" s="435"/>
      <c r="F807" s="435"/>
      <c r="G807" s="435"/>
      <c r="H807" s="435"/>
      <c r="I807" s="4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</row>
    <row r="808" spans="1:25" ht="15.75" customHeight="1">
      <c r="A808" s="110"/>
      <c r="B808" s="110"/>
      <c r="C808" s="110"/>
      <c r="D808" s="435"/>
      <c r="E808" s="435"/>
      <c r="F808" s="435"/>
      <c r="G808" s="435"/>
      <c r="H808" s="435"/>
      <c r="I808" s="4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</row>
    <row r="809" spans="1:25" ht="15.75" customHeight="1">
      <c r="A809" s="110"/>
      <c r="B809" s="110"/>
      <c r="C809" s="110"/>
      <c r="D809" s="435"/>
      <c r="E809" s="435"/>
      <c r="F809" s="435"/>
      <c r="G809" s="435"/>
      <c r="H809" s="435"/>
      <c r="I809" s="4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</row>
    <row r="810" spans="1:25" ht="15.75" customHeight="1">
      <c r="A810" s="110"/>
      <c r="B810" s="110"/>
      <c r="C810" s="110"/>
      <c r="D810" s="435"/>
      <c r="E810" s="435"/>
      <c r="F810" s="435"/>
      <c r="G810" s="435"/>
      <c r="H810" s="435"/>
      <c r="I810" s="4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</row>
    <row r="811" spans="1:25" ht="15.75" customHeight="1">
      <c r="A811" s="110"/>
      <c r="B811" s="110"/>
      <c r="C811" s="110"/>
      <c r="D811" s="435"/>
      <c r="E811" s="435"/>
      <c r="F811" s="435"/>
      <c r="G811" s="435"/>
      <c r="H811" s="435"/>
      <c r="I811" s="4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</row>
    <row r="812" spans="1:25" ht="15.75" customHeight="1">
      <c r="A812" s="110"/>
      <c r="B812" s="110"/>
      <c r="C812" s="110"/>
      <c r="D812" s="435"/>
      <c r="E812" s="435"/>
      <c r="F812" s="435"/>
      <c r="G812" s="435"/>
      <c r="H812" s="435"/>
      <c r="I812" s="4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</row>
    <row r="813" spans="1:25" ht="15.75" customHeight="1">
      <c r="A813" s="110"/>
      <c r="B813" s="110"/>
      <c r="C813" s="110"/>
      <c r="D813" s="435"/>
      <c r="E813" s="435"/>
      <c r="F813" s="435"/>
      <c r="G813" s="435"/>
      <c r="H813" s="435"/>
      <c r="I813" s="4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</row>
    <row r="814" spans="1:25" ht="15.75" customHeight="1">
      <c r="A814" s="110"/>
      <c r="B814" s="110"/>
      <c r="C814" s="110"/>
      <c r="D814" s="435"/>
      <c r="E814" s="435"/>
      <c r="F814" s="435"/>
      <c r="G814" s="435"/>
      <c r="H814" s="435"/>
      <c r="I814" s="4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</row>
    <row r="815" spans="1:25" ht="15.75" customHeight="1">
      <c r="A815" s="110"/>
      <c r="B815" s="110"/>
      <c r="C815" s="110"/>
      <c r="D815" s="435"/>
      <c r="E815" s="435"/>
      <c r="F815" s="435"/>
      <c r="G815" s="435"/>
      <c r="H815" s="435"/>
      <c r="I815" s="4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</row>
    <row r="816" spans="1:25" ht="15.75" customHeight="1">
      <c r="A816" s="110"/>
      <c r="B816" s="110"/>
      <c r="C816" s="110"/>
      <c r="D816" s="435"/>
      <c r="E816" s="435"/>
      <c r="F816" s="435"/>
      <c r="G816" s="435"/>
      <c r="H816" s="435"/>
      <c r="I816" s="4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</row>
    <row r="817" spans="1:25" ht="15.75" customHeight="1">
      <c r="A817" s="110"/>
      <c r="B817" s="110"/>
      <c r="C817" s="110"/>
      <c r="D817" s="435"/>
      <c r="E817" s="435"/>
      <c r="F817" s="435"/>
      <c r="G817" s="435"/>
      <c r="H817" s="435"/>
      <c r="I817" s="4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</row>
    <row r="818" spans="1:25" ht="15.75" customHeight="1">
      <c r="A818" s="110"/>
      <c r="B818" s="110"/>
      <c r="C818" s="110"/>
      <c r="D818" s="435"/>
      <c r="E818" s="435"/>
      <c r="F818" s="435"/>
      <c r="G818" s="435"/>
      <c r="H818" s="435"/>
      <c r="I818" s="4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</row>
    <row r="819" spans="1:25" ht="15.75" customHeight="1">
      <c r="A819" s="110"/>
      <c r="B819" s="110"/>
      <c r="C819" s="110"/>
      <c r="D819" s="435"/>
      <c r="E819" s="435"/>
      <c r="F819" s="435"/>
      <c r="G819" s="435"/>
      <c r="H819" s="435"/>
      <c r="I819" s="4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</row>
    <row r="820" spans="1:25" ht="15.75" customHeight="1">
      <c r="A820" s="110"/>
      <c r="B820" s="110"/>
      <c r="C820" s="110"/>
      <c r="D820" s="435"/>
      <c r="E820" s="435"/>
      <c r="F820" s="435"/>
      <c r="G820" s="435"/>
      <c r="H820" s="435"/>
      <c r="I820" s="4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</row>
    <row r="821" spans="1:25" ht="15.75" customHeight="1">
      <c r="A821" s="110"/>
      <c r="B821" s="110"/>
      <c r="C821" s="110"/>
      <c r="D821" s="435"/>
      <c r="E821" s="435"/>
      <c r="F821" s="435"/>
      <c r="G821" s="435"/>
      <c r="H821" s="435"/>
      <c r="I821" s="4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</row>
    <row r="822" spans="1:25" ht="15.75" customHeight="1">
      <c r="A822" s="110"/>
      <c r="B822" s="110"/>
      <c r="C822" s="110"/>
      <c r="D822" s="435"/>
      <c r="E822" s="435"/>
      <c r="F822" s="435"/>
      <c r="G822" s="435"/>
      <c r="H822" s="435"/>
      <c r="I822" s="4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</row>
    <row r="823" spans="1:25" ht="15.75" customHeight="1">
      <c r="A823" s="110"/>
      <c r="B823" s="110"/>
      <c r="C823" s="110"/>
      <c r="D823" s="435"/>
      <c r="E823" s="435"/>
      <c r="F823" s="435"/>
      <c r="G823" s="435"/>
      <c r="H823" s="435"/>
      <c r="I823" s="4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</row>
    <row r="824" spans="1:25" ht="15.75" customHeight="1">
      <c r="A824" s="110"/>
      <c r="B824" s="110"/>
      <c r="C824" s="110"/>
      <c r="D824" s="435"/>
      <c r="E824" s="435"/>
      <c r="F824" s="435"/>
      <c r="G824" s="435"/>
      <c r="H824" s="435"/>
      <c r="I824" s="4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</row>
    <row r="825" spans="1:25" ht="15.75" customHeight="1">
      <c r="A825" s="110"/>
      <c r="B825" s="110"/>
      <c r="C825" s="110"/>
      <c r="D825" s="435"/>
      <c r="E825" s="435"/>
      <c r="F825" s="435"/>
      <c r="G825" s="435"/>
      <c r="H825" s="435"/>
      <c r="I825" s="4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</row>
    <row r="826" spans="1:25" ht="15.75" customHeight="1">
      <c r="A826" s="110"/>
      <c r="B826" s="110"/>
      <c r="C826" s="110"/>
      <c r="D826" s="435"/>
      <c r="E826" s="435"/>
      <c r="F826" s="435"/>
      <c r="G826" s="435"/>
      <c r="H826" s="435"/>
      <c r="I826" s="4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</row>
    <row r="827" spans="1:25" ht="15.75" customHeight="1">
      <c r="A827" s="110"/>
      <c r="B827" s="110"/>
      <c r="C827" s="110"/>
      <c r="D827" s="435"/>
      <c r="E827" s="435"/>
      <c r="F827" s="435"/>
      <c r="G827" s="435"/>
      <c r="H827" s="435"/>
      <c r="I827" s="4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</row>
    <row r="828" spans="1:25" ht="15.75" customHeight="1">
      <c r="A828" s="110"/>
      <c r="B828" s="110"/>
      <c r="C828" s="110"/>
      <c r="D828" s="435"/>
      <c r="E828" s="435"/>
      <c r="F828" s="435"/>
      <c r="G828" s="435"/>
      <c r="H828" s="435"/>
      <c r="I828" s="4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</row>
    <row r="829" spans="1:25" ht="15.75" customHeight="1">
      <c r="A829" s="110"/>
      <c r="B829" s="110"/>
      <c r="C829" s="110"/>
      <c r="D829" s="435"/>
      <c r="E829" s="435"/>
      <c r="F829" s="435"/>
      <c r="G829" s="435"/>
      <c r="H829" s="435"/>
      <c r="I829" s="4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</row>
    <row r="830" spans="1:25" ht="15.75" customHeight="1">
      <c r="A830" s="110"/>
      <c r="B830" s="110"/>
      <c r="C830" s="110"/>
      <c r="D830" s="435"/>
      <c r="E830" s="435"/>
      <c r="F830" s="435"/>
      <c r="G830" s="435"/>
      <c r="H830" s="435"/>
      <c r="I830" s="4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</row>
    <row r="831" spans="1:25" ht="15.75" customHeight="1">
      <c r="A831" s="110"/>
      <c r="B831" s="110"/>
      <c r="C831" s="110"/>
      <c r="D831" s="435"/>
      <c r="E831" s="435"/>
      <c r="F831" s="435"/>
      <c r="G831" s="435"/>
      <c r="H831" s="435"/>
      <c r="I831" s="4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</row>
    <row r="832" spans="1:25" ht="15.75" customHeight="1">
      <c r="A832" s="110"/>
      <c r="B832" s="110"/>
      <c r="C832" s="110"/>
      <c r="D832" s="435"/>
      <c r="E832" s="435"/>
      <c r="F832" s="435"/>
      <c r="G832" s="435"/>
      <c r="H832" s="435"/>
      <c r="I832" s="4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</row>
    <row r="833" spans="1:25" ht="15.75" customHeight="1">
      <c r="A833" s="110"/>
      <c r="B833" s="110"/>
      <c r="C833" s="110"/>
      <c r="D833" s="435"/>
      <c r="E833" s="435"/>
      <c r="F833" s="435"/>
      <c r="G833" s="435"/>
      <c r="H833" s="435"/>
      <c r="I833" s="4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</row>
    <row r="834" spans="1:25" ht="15.75" customHeight="1">
      <c r="A834" s="110"/>
      <c r="B834" s="110"/>
      <c r="C834" s="110"/>
      <c r="D834" s="435"/>
      <c r="E834" s="435"/>
      <c r="F834" s="435"/>
      <c r="G834" s="435"/>
      <c r="H834" s="435"/>
      <c r="I834" s="4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</row>
    <row r="835" spans="1:25" ht="15.75" customHeight="1">
      <c r="A835" s="110"/>
      <c r="B835" s="110"/>
      <c r="C835" s="110"/>
      <c r="D835" s="435"/>
      <c r="E835" s="435"/>
      <c r="F835" s="435"/>
      <c r="G835" s="435"/>
      <c r="H835" s="435"/>
      <c r="I835" s="4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</row>
    <row r="836" spans="1:25" ht="15.75" customHeight="1">
      <c r="A836" s="110"/>
      <c r="B836" s="110"/>
      <c r="C836" s="110"/>
      <c r="D836" s="435"/>
      <c r="E836" s="435"/>
      <c r="F836" s="435"/>
      <c r="G836" s="435"/>
      <c r="H836" s="435"/>
      <c r="I836" s="4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</row>
    <row r="837" spans="1:25" ht="15.75" customHeight="1">
      <c r="A837" s="110"/>
      <c r="B837" s="110"/>
      <c r="C837" s="110"/>
      <c r="D837" s="435"/>
      <c r="E837" s="435"/>
      <c r="F837" s="435"/>
      <c r="G837" s="435"/>
      <c r="H837" s="435"/>
      <c r="I837" s="4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</row>
    <row r="838" spans="1:25" ht="15.75" customHeight="1">
      <c r="A838" s="110"/>
      <c r="B838" s="110"/>
      <c r="C838" s="110"/>
      <c r="D838" s="435"/>
      <c r="E838" s="435"/>
      <c r="F838" s="435"/>
      <c r="G838" s="435"/>
      <c r="H838" s="435"/>
      <c r="I838" s="4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</row>
    <row r="839" spans="1:25" ht="15.75" customHeight="1">
      <c r="A839" s="110"/>
      <c r="B839" s="110"/>
      <c r="C839" s="110"/>
      <c r="D839" s="435"/>
      <c r="E839" s="435"/>
      <c r="F839" s="435"/>
      <c r="G839" s="435"/>
      <c r="H839" s="435"/>
      <c r="I839" s="4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</row>
    <row r="840" spans="1:25" ht="15.75" customHeight="1">
      <c r="A840" s="110"/>
      <c r="B840" s="110"/>
      <c r="C840" s="110"/>
      <c r="D840" s="435"/>
      <c r="E840" s="435"/>
      <c r="F840" s="435"/>
      <c r="G840" s="435"/>
      <c r="H840" s="435"/>
      <c r="I840" s="4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</row>
    <row r="841" spans="1:25" ht="15.75" customHeight="1">
      <c r="A841" s="110"/>
      <c r="B841" s="110"/>
      <c r="C841" s="110"/>
      <c r="D841" s="435"/>
      <c r="E841" s="435"/>
      <c r="F841" s="435"/>
      <c r="G841" s="435"/>
      <c r="H841" s="435"/>
      <c r="I841" s="4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</row>
    <row r="842" spans="1:25" ht="15.75" customHeight="1">
      <c r="A842" s="110"/>
      <c r="B842" s="110"/>
      <c r="C842" s="110"/>
      <c r="D842" s="435"/>
      <c r="E842" s="435"/>
      <c r="F842" s="435"/>
      <c r="G842" s="435"/>
      <c r="H842" s="435"/>
      <c r="I842" s="4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</row>
    <row r="843" spans="1:25" ht="15.75" customHeight="1">
      <c r="A843" s="110"/>
      <c r="B843" s="110"/>
      <c r="C843" s="110"/>
      <c r="D843" s="435"/>
      <c r="E843" s="435"/>
      <c r="F843" s="435"/>
      <c r="G843" s="435"/>
      <c r="H843" s="435"/>
      <c r="I843" s="4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</row>
    <row r="844" spans="1:25" ht="15.75" customHeight="1">
      <c r="A844" s="110"/>
      <c r="B844" s="110"/>
      <c r="C844" s="110"/>
      <c r="D844" s="435"/>
      <c r="E844" s="435"/>
      <c r="F844" s="435"/>
      <c r="G844" s="435"/>
      <c r="H844" s="435"/>
      <c r="I844" s="4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</row>
    <row r="845" spans="1:25" ht="15.75" customHeight="1">
      <c r="A845" s="110"/>
      <c r="B845" s="110"/>
      <c r="C845" s="110"/>
      <c r="D845" s="435"/>
      <c r="E845" s="435"/>
      <c r="F845" s="435"/>
      <c r="G845" s="435"/>
      <c r="H845" s="435"/>
      <c r="I845" s="4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</row>
    <row r="846" spans="1:25" ht="15.75" customHeight="1">
      <c r="A846" s="110"/>
      <c r="B846" s="110"/>
      <c r="C846" s="110"/>
      <c r="D846" s="435"/>
      <c r="E846" s="435"/>
      <c r="F846" s="435"/>
      <c r="G846" s="435"/>
      <c r="H846" s="435"/>
      <c r="I846" s="4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</row>
    <row r="847" spans="1:25" ht="15.75" customHeight="1">
      <c r="A847" s="110"/>
      <c r="B847" s="110"/>
      <c r="C847" s="110"/>
      <c r="D847" s="435"/>
      <c r="E847" s="435"/>
      <c r="F847" s="435"/>
      <c r="G847" s="435"/>
      <c r="H847" s="435"/>
      <c r="I847" s="4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</row>
    <row r="848" spans="1:25" ht="15.75" customHeight="1">
      <c r="A848" s="110"/>
      <c r="B848" s="110"/>
      <c r="C848" s="110"/>
      <c r="D848" s="435"/>
      <c r="E848" s="435"/>
      <c r="F848" s="435"/>
      <c r="G848" s="435"/>
      <c r="H848" s="435"/>
      <c r="I848" s="4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</row>
    <row r="849" spans="1:25" ht="15.75" customHeight="1">
      <c r="A849" s="110"/>
      <c r="B849" s="110"/>
      <c r="C849" s="110"/>
      <c r="D849" s="435"/>
      <c r="E849" s="435"/>
      <c r="F849" s="435"/>
      <c r="G849" s="435"/>
      <c r="H849" s="435"/>
      <c r="I849" s="4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</row>
    <row r="850" spans="1:25" ht="15.75" customHeight="1">
      <c r="A850" s="110"/>
      <c r="B850" s="110"/>
      <c r="C850" s="110"/>
      <c r="D850" s="435"/>
      <c r="E850" s="435"/>
      <c r="F850" s="435"/>
      <c r="G850" s="435"/>
      <c r="H850" s="435"/>
      <c r="I850" s="4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</row>
    <row r="851" spans="1:25" ht="15.75" customHeight="1">
      <c r="A851" s="110"/>
      <c r="B851" s="110"/>
      <c r="C851" s="110"/>
      <c r="D851" s="435"/>
      <c r="E851" s="435"/>
      <c r="F851" s="435"/>
      <c r="G851" s="435"/>
      <c r="H851" s="435"/>
      <c r="I851" s="4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</row>
    <row r="852" spans="1:25" ht="15.75" customHeight="1">
      <c r="A852" s="110"/>
      <c r="B852" s="110"/>
      <c r="C852" s="110"/>
      <c r="D852" s="435"/>
      <c r="E852" s="435"/>
      <c r="F852" s="435"/>
      <c r="G852" s="435"/>
      <c r="H852" s="435"/>
      <c r="I852" s="4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</row>
    <row r="853" spans="1:25" ht="15.75" customHeight="1">
      <c r="A853" s="110"/>
      <c r="B853" s="110"/>
      <c r="C853" s="110"/>
      <c r="D853" s="435"/>
      <c r="E853" s="435"/>
      <c r="F853" s="435"/>
      <c r="G853" s="435"/>
      <c r="H853" s="435"/>
      <c r="I853" s="4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</row>
    <row r="854" spans="1:25" ht="15.75" customHeight="1">
      <c r="A854" s="110"/>
      <c r="B854" s="110"/>
      <c r="C854" s="110"/>
      <c r="D854" s="435"/>
      <c r="E854" s="435"/>
      <c r="F854" s="435"/>
      <c r="G854" s="435"/>
      <c r="H854" s="435"/>
      <c r="I854" s="4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</row>
    <row r="855" spans="1:25" ht="15.75" customHeight="1">
      <c r="A855" s="110"/>
      <c r="B855" s="110"/>
      <c r="C855" s="110"/>
      <c r="D855" s="435"/>
      <c r="E855" s="435"/>
      <c r="F855" s="435"/>
      <c r="G855" s="435"/>
      <c r="H855" s="435"/>
      <c r="I855" s="4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</row>
    <row r="856" spans="1:25" ht="15.75" customHeight="1">
      <c r="A856" s="110"/>
      <c r="B856" s="110"/>
      <c r="C856" s="110"/>
      <c r="D856" s="435"/>
      <c r="E856" s="435"/>
      <c r="F856" s="435"/>
      <c r="G856" s="435"/>
      <c r="H856" s="435"/>
      <c r="I856" s="4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</row>
    <row r="857" spans="1:25" ht="15.75" customHeight="1">
      <c r="A857" s="110"/>
      <c r="B857" s="110"/>
      <c r="C857" s="110"/>
      <c r="D857" s="435"/>
      <c r="E857" s="435"/>
      <c r="F857" s="435"/>
      <c r="G857" s="435"/>
      <c r="H857" s="435"/>
      <c r="I857" s="4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</row>
    <row r="858" spans="1:25" ht="15.75" customHeight="1">
      <c r="A858" s="110"/>
      <c r="B858" s="110"/>
      <c r="C858" s="110"/>
      <c r="D858" s="435"/>
      <c r="E858" s="435"/>
      <c r="F858" s="435"/>
      <c r="G858" s="435"/>
      <c r="H858" s="435"/>
      <c r="I858" s="4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</row>
    <row r="859" spans="1:25" ht="15.75" customHeight="1">
      <c r="A859" s="110"/>
      <c r="B859" s="110"/>
      <c r="C859" s="110"/>
      <c r="D859" s="435"/>
      <c r="E859" s="435"/>
      <c r="F859" s="435"/>
      <c r="G859" s="435"/>
      <c r="H859" s="435"/>
      <c r="I859" s="4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</row>
    <row r="860" spans="1:25" ht="15.75" customHeight="1">
      <c r="A860" s="110"/>
      <c r="B860" s="110"/>
      <c r="C860" s="110"/>
      <c r="D860" s="435"/>
      <c r="E860" s="435"/>
      <c r="F860" s="435"/>
      <c r="G860" s="435"/>
      <c r="H860" s="435"/>
      <c r="I860" s="4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</row>
    <row r="861" spans="1:25" ht="15.75" customHeight="1">
      <c r="A861" s="110"/>
      <c r="B861" s="110"/>
      <c r="C861" s="110"/>
      <c r="D861" s="435"/>
      <c r="E861" s="435"/>
      <c r="F861" s="435"/>
      <c r="G861" s="435"/>
      <c r="H861" s="435"/>
      <c r="I861" s="4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</row>
    <row r="862" spans="1:25" ht="15.75" customHeight="1">
      <c r="A862" s="110"/>
      <c r="B862" s="110"/>
      <c r="C862" s="110"/>
      <c r="D862" s="435"/>
      <c r="E862" s="435"/>
      <c r="F862" s="435"/>
      <c r="G862" s="435"/>
      <c r="H862" s="435"/>
      <c r="I862" s="4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</row>
    <row r="863" spans="1:25" ht="15.75" customHeight="1">
      <c r="A863" s="110"/>
      <c r="B863" s="110"/>
      <c r="C863" s="110"/>
      <c r="D863" s="435"/>
      <c r="E863" s="435"/>
      <c r="F863" s="435"/>
      <c r="G863" s="435"/>
      <c r="H863" s="435"/>
      <c r="I863" s="4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</row>
    <row r="864" spans="1:25" ht="15.75" customHeight="1">
      <c r="A864" s="110"/>
      <c r="B864" s="110"/>
      <c r="C864" s="110"/>
      <c r="D864" s="435"/>
      <c r="E864" s="435"/>
      <c r="F864" s="435"/>
      <c r="G864" s="435"/>
      <c r="H864" s="435"/>
      <c r="I864" s="4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</row>
    <row r="865" spans="1:25" ht="15.75" customHeight="1">
      <c r="A865" s="110"/>
      <c r="B865" s="110"/>
      <c r="C865" s="110"/>
      <c r="D865" s="435"/>
      <c r="E865" s="435"/>
      <c r="F865" s="435"/>
      <c r="G865" s="435"/>
      <c r="H865" s="435"/>
      <c r="I865" s="4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</row>
    <row r="866" spans="1:25" ht="15.75" customHeight="1">
      <c r="A866" s="110"/>
      <c r="B866" s="110"/>
      <c r="C866" s="110"/>
      <c r="D866" s="435"/>
      <c r="E866" s="435"/>
      <c r="F866" s="435"/>
      <c r="G866" s="435"/>
      <c r="H866" s="435"/>
      <c r="I866" s="4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</row>
    <row r="867" spans="1:25" ht="15.75" customHeight="1">
      <c r="A867" s="110"/>
      <c r="B867" s="110"/>
      <c r="C867" s="110"/>
      <c r="D867" s="435"/>
      <c r="E867" s="435"/>
      <c r="F867" s="435"/>
      <c r="G867" s="435"/>
      <c r="H867" s="435"/>
      <c r="I867" s="4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</row>
    <row r="868" spans="1:25" ht="15.75" customHeight="1">
      <c r="A868" s="110"/>
      <c r="B868" s="110"/>
      <c r="C868" s="110"/>
      <c r="D868" s="435"/>
      <c r="E868" s="435"/>
      <c r="F868" s="435"/>
      <c r="G868" s="435"/>
      <c r="H868" s="435"/>
      <c r="I868" s="4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</row>
    <row r="869" spans="1:25" ht="15.75" customHeight="1">
      <c r="A869" s="110"/>
      <c r="B869" s="110"/>
      <c r="C869" s="110"/>
      <c r="D869" s="435"/>
      <c r="E869" s="435"/>
      <c r="F869" s="435"/>
      <c r="G869" s="435"/>
      <c r="H869" s="435"/>
      <c r="I869" s="4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</row>
    <row r="870" spans="1:25" ht="15.75" customHeight="1">
      <c r="A870" s="110"/>
      <c r="B870" s="110"/>
      <c r="C870" s="110"/>
      <c r="D870" s="435"/>
      <c r="E870" s="435"/>
      <c r="F870" s="435"/>
      <c r="G870" s="435"/>
      <c r="H870" s="435"/>
      <c r="I870" s="4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</row>
    <row r="871" spans="1:25" ht="15.75" customHeight="1">
      <c r="A871" s="110"/>
      <c r="B871" s="110"/>
      <c r="C871" s="110"/>
      <c r="D871" s="435"/>
      <c r="E871" s="435"/>
      <c r="F871" s="435"/>
      <c r="G871" s="435"/>
      <c r="H871" s="435"/>
      <c r="I871" s="4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</row>
    <row r="872" spans="1:25" ht="15.75" customHeight="1">
      <c r="A872" s="110"/>
      <c r="B872" s="110"/>
      <c r="C872" s="110"/>
      <c r="D872" s="435"/>
      <c r="E872" s="435"/>
      <c r="F872" s="435"/>
      <c r="G872" s="435"/>
      <c r="H872" s="435"/>
      <c r="I872" s="4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</row>
    <row r="873" spans="1:25" ht="15.75" customHeight="1">
      <c r="A873" s="110"/>
      <c r="B873" s="110"/>
      <c r="C873" s="110"/>
      <c r="D873" s="435"/>
      <c r="E873" s="435"/>
      <c r="F873" s="435"/>
      <c r="G873" s="435"/>
      <c r="H873" s="435"/>
      <c r="I873" s="4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</row>
    <row r="874" spans="1:25" ht="15.75" customHeight="1">
      <c r="A874" s="110"/>
      <c r="B874" s="110"/>
      <c r="C874" s="110"/>
      <c r="D874" s="435"/>
      <c r="E874" s="435"/>
      <c r="F874" s="435"/>
      <c r="G874" s="435"/>
      <c r="H874" s="435"/>
      <c r="I874" s="4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</row>
    <row r="875" spans="1:25" ht="15.75" customHeight="1">
      <c r="A875" s="110"/>
      <c r="B875" s="110"/>
      <c r="C875" s="110"/>
      <c r="D875" s="435"/>
      <c r="E875" s="435"/>
      <c r="F875" s="435"/>
      <c r="G875" s="435"/>
      <c r="H875" s="435"/>
      <c r="I875" s="4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</row>
    <row r="876" spans="1:25" ht="15.75" customHeight="1">
      <c r="A876" s="110"/>
      <c r="B876" s="110"/>
      <c r="C876" s="110"/>
      <c r="D876" s="435"/>
      <c r="E876" s="435"/>
      <c r="F876" s="435"/>
      <c r="G876" s="435"/>
      <c r="H876" s="435"/>
      <c r="I876" s="4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</row>
    <row r="877" spans="1:25" ht="15.75" customHeight="1">
      <c r="A877" s="110"/>
      <c r="B877" s="110"/>
      <c r="C877" s="110"/>
      <c r="D877" s="435"/>
      <c r="E877" s="435"/>
      <c r="F877" s="435"/>
      <c r="G877" s="435"/>
      <c r="H877" s="435"/>
      <c r="I877" s="4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</row>
    <row r="878" spans="1:25" ht="15.75" customHeight="1">
      <c r="A878" s="110"/>
      <c r="B878" s="110"/>
      <c r="C878" s="110"/>
      <c r="D878" s="435"/>
      <c r="E878" s="435"/>
      <c r="F878" s="435"/>
      <c r="G878" s="435"/>
      <c r="H878" s="435"/>
      <c r="I878" s="4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</row>
    <row r="879" spans="1:25" ht="15.75" customHeight="1">
      <c r="A879" s="110"/>
      <c r="B879" s="110"/>
      <c r="C879" s="110"/>
      <c r="D879" s="435"/>
      <c r="E879" s="435"/>
      <c r="F879" s="435"/>
      <c r="G879" s="435"/>
      <c r="H879" s="435"/>
      <c r="I879" s="4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</row>
    <row r="880" spans="1:25" ht="15.75" customHeight="1">
      <c r="A880" s="110"/>
      <c r="B880" s="110"/>
      <c r="C880" s="110"/>
      <c r="D880" s="435"/>
      <c r="E880" s="435"/>
      <c r="F880" s="435"/>
      <c r="G880" s="435"/>
      <c r="H880" s="435"/>
      <c r="I880" s="4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</row>
    <row r="881" spans="1:25" ht="15.75" customHeight="1">
      <c r="A881" s="110"/>
      <c r="B881" s="110"/>
      <c r="C881" s="110"/>
      <c r="D881" s="435"/>
      <c r="E881" s="435"/>
      <c r="F881" s="435"/>
      <c r="G881" s="435"/>
      <c r="H881" s="435"/>
      <c r="I881" s="4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</row>
    <row r="882" spans="1:25" ht="15.75" customHeight="1">
      <c r="A882" s="110"/>
      <c r="B882" s="110"/>
      <c r="C882" s="110"/>
      <c r="D882" s="435"/>
      <c r="E882" s="435"/>
      <c r="F882" s="435"/>
      <c r="G882" s="435"/>
      <c r="H882" s="435"/>
      <c r="I882" s="4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</row>
    <row r="883" spans="1:25" ht="15.75" customHeight="1">
      <c r="A883" s="110"/>
      <c r="B883" s="110"/>
      <c r="C883" s="110"/>
      <c r="D883" s="435"/>
      <c r="E883" s="435"/>
      <c r="F883" s="435"/>
      <c r="G883" s="435"/>
      <c r="H883" s="435"/>
      <c r="I883" s="4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</row>
    <row r="884" spans="1:25" ht="15.75" customHeight="1">
      <c r="A884" s="110"/>
      <c r="B884" s="110"/>
      <c r="C884" s="110"/>
      <c r="D884" s="435"/>
      <c r="E884" s="435"/>
      <c r="F884" s="435"/>
      <c r="G884" s="435"/>
      <c r="H884" s="435"/>
      <c r="I884" s="4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</row>
    <row r="885" spans="1:25" ht="15.75" customHeight="1">
      <c r="A885" s="110"/>
      <c r="B885" s="110"/>
      <c r="C885" s="110"/>
      <c r="D885" s="435"/>
      <c r="E885" s="435"/>
      <c r="F885" s="435"/>
      <c r="G885" s="435"/>
      <c r="H885" s="435"/>
      <c r="I885" s="4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</row>
    <row r="886" spans="1:25" ht="15.75" customHeight="1">
      <c r="A886" s="110"/>
      <c r="B886" s="110"/>
      <c r="C886" s="110"/>
      <c r="D886" s="435"/>
      <c r="E886" s="435"/>
      <c r="F886" s="435"/>
      <c r="G886" s="435"/>
      <c r="H886" s="435"/>
      <c r="I886" s="4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</row>
    <row r="887" spans="1:25" ht="15.75" customHeight="1">
      <c r="A887" s="110"/>
      <c r="B887" s="110"/>
      <c r="C887" s="110"/>
      <c r="D887" s="435"/>
      <c r="E887" s="435"/>
      <c r="F887" s="435"/>
      <c r="G887" s="435"/>
      <c r="H887" s="435"/>
      <c r="I887" s="4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</row>
    <row r="888" spans="1:25" ht="15.75" customHeight="1">
      <c r="A888" s="110"/>
      <c r="B888" s="110"/>
      <c r="C888" s="110"/>
      <c r="D888" s="435"/>
      <c r="E888" s="435"/>
      <c r="F888" s="435"/>
      <c r="G888" s="435"/>
      <c r="H888" s="435"/>
      <c r="I888" s="4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</row>
    <row r="889" spans="1:25" ht="15.75" customHeight="1">
      <c r="A889" s="110"/>
      <c r="B889" s="110"/>
      <c r="C889" s="110"/>
      <c r="D889" s="435"/>
      <c r="E889" s="435"/>
      <c r="F889" s="435"/>
      <c r="G889" s="435"/>
      <c r="H889" s="435"/>
      <c r="I889" s="4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</row>
    <row r="890" spans="1:25" ht="15.75" customHeight="1">
      <c r="A890" s="110"/>
      <c r="B890" s="110"/>
      <c r="C890" s="110"/>
      <c r="D890" s="435"/>
      <c r="E890" s="435"/>
      <c r="F890" s="435"/>
      <c r="G890" s="435"/>
      <c r="H890" s="435"/>
      <c r="I890" s="4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</row>
    <row r="891" spans="1:25" ht="15.75" customHeight="1">
      <c r="A891" s="110"/>
      <c r="B891" s="110"/>
      <c r="C891" s="110"/>
      <c r="D891" s="435"/>
      <c r="E891" s="435"/>
      <c r="F891" s="435"/>
      <c r="G891" s="435"/>
      <c r="H891" s="435"/>
      <c r="I891" s="4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</row>
    <row r="892" spans="1:25" ht="15.75" customHeight="1">
      <c r="A892" s="110"/>
      <c r="B892" s="110"/>
      <c r="C892" s="110"/>
      <c r="D892" s="435"/>
      <c r="E892" s="435"/>
      <c r="F892" s="435"/>
      <c r="G892" s="435"/>
      <c r="H892" s="435"/>
      <c r="I892" s="4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</row>
    <row r="893" spans="1:25" ht="15.75" customHeight="1">
      <c r="A893" s="110"/>
      <c r="B893" s="110"/>
      <c r="C893" s="110"/>
      <c r="D893" s="435"/>
      <c r="E893" s="435"/>
      <c r="F893" s="435"/>
      <c r="G893" s="435"/>
      <c r="H893" s="435"/>
      <c r="I893" s="4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</row>
    <row r="894" spans="1:25" ht="15.75" customHeight="1">
      <c r="A894" s="110"/>
      <c r="B894" s="110"/>
      <c r="C894" s="110"/>
      <c r="D894" s="435"/>
      <c r="E894" s="435"/>
      <c r="F894" s="435"/>
      <c r="G894" s="435"/>
      <c r="H894" s="435"/>
      <c r="I894" s="4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</row>
    <row r="895" spans="1:25" ht="15.75" customHeight="1">
      <c r="A895" s="110"/>
      <c r="B895" s="110"/>
      <c r="C895" s="110"/>
      <c r="D895" s="435"/>
      <c r="E895" s="435"/>
      <c r="F895" s="435"/>
      <c r="G895" s="435"/>
      <c r="H895" s="435"/>
      <c r="I895" s="4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</row>
    <row r="896" spans="1:25" ht="15.75" customHeight="1">
      <c r="A896" s="110"/>
      <c r="B896" s="110"/>
      <c r="C896" s="110"/>
      <c r="D896" s="435"/>
      <c r="E896" s="435"/>
      <c r="F896" s="435"/>
      <c r="G896" s="435"/>
      <c r="H896" s="435"/>
      <c r="I896" s="4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</row>
    <row r="897" spans="1:25" ht="15.75" customHeight="1">
      <c r="A897" s="110"/>
      <c r="B897" s="110"/>
      <c r="C897" s="110"/>
      <c r="D897" s="435"/>
      <c r="E897" s="435"/>
      <c r="F897" s="435"/>
      <c r="G897" s="435"/>
      <c r="H897" s="435"/>
      <c r="I897" s="4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</row>
    <row r="898" spans="1:25" ht="15.75" customHeight="1">
      <c r="A898" s="110"/>
      <c r="B898" s="110"/>
      <c r="C898" s="110"/>
      <c r="D898" s="435"/>
      <c r="E898" s="435"/>
      <c r="F898" s="435"/>
      <c r="G898" s="435"/>
      <c r="H898" s="435"/>
      <c r="I898" s="4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</row>
    <row r="899" spans="1:25" ht="15.75" customHeight="1">
      <c r="A899" s="110"/>
      <c r="B899" s="110"/>
      <c r="C899" s="110"/>
      <c r="D899" s="435"/>
      <c r="E899" s="435"/>
      <c r="F899" s="435"/>
      <c r="G899" s="435"/>
      <c r="H899" s="435"/>
      <c r="I899" s="4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</row>
    <row r="900" spans="1:25" ht="15.75" customHeight="1">
      <c r="A900" s="110"/>
      <c r="B900" s="110"/>
      <c r="C900" s="110"/>
      <c r="D900" s="435"/>
      <c r="E900" s="435"/>
      <c r="F900" s="435"/>
      <c r="G900" s="435"/>
      <c r="H900" s="435"/>
      <c r="I900" s="4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</row>
    <row r="901" spans="1:25" ht="15.75" customHeight="1">
      <c r="A901" s="110"/>
      <c r="B901" s="110"/>
      <c r="C901" s="110"/>
      <c r="D901" s="435"/>
      <c r="E901" s="435"/>
      <c r="F901" s="435"/>
      <c r="G901" s="435"/>
      <c r="H901" s="435"/>
      <c r="I901" s="4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</row>
    <row r="902" spans="1:25" ht="15.75" customHeight="1">
      <c r="A902" s="110"/>
      <c r="B902" s="110"/>
      <c r="C902" s="110"/>
      <c r="D902" s="435"/>
      <c r="E902" s="435"/>
      <c r="F902" s="435"/>
      <c r="G902" s="435"/>
      <c r="H902" s="435"/>
      <c r="I902" s="4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</row>
    <row r="903" spans="1:25" ht="15.75" customHeight="1">
      <c r="A903" s="110"/>
      <c r="B903" s="110"/>
      <c r="C903" s="110"/>
      <c r="D903" s="435"/>
      <c r="E903" s="435"/>
      <c r="F903" s="435"/>
      <c r="G903" s="435"/>
      <c r="H903" s="435"/>
      <c r="I903" s="4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</row>
    <row r="904" spans="1:25" ht="15.75" customHeight="1">
      <c r="A904" s="110"/>
      <c r="B904" s="110"/>
      <c r="C904" s="110"/>
      <c r="D904" s="435"/>
      <c r="E904" s="435"/>
      <c r="F904" s="435"/>
      <c r="G904" s="435"/>
      <c r="H904" s="435"/>
      <c r="I904" s="4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</row>
    <row r="905" spans="1:25" ht="15.75" customHeight="1">
      <c r="A905" s="110"/>
      <c r="B905" s="110"/>
      <c r="C905" s="110"/>
      <c r="D905" s="435"/>
      <c r="E905" s="435"/>
      <c r="F905" s="435"/>
      <c r="G905" s="435"/>
      <c r="H905" s="435"/>
      <c r="I905" s="4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</row>
    <row r="906" spans="1:25" ht="15.75" customHeight="1">
      <c r="A906" s="110"/>
      <c r="B906" s="110"/>
      <c r="C906" s="110"/>
      <c r="D906" s="435"/>
      <c r="E906" s="435"/>
      <c r="F906" s="435"/>
      <c r="G906" s="435"/>
      <c r="H906" s="435"/>
      <c r="I906" s="4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</row>
    <row r="907" spans="1:25" ht="15.75" customHeight="1">
      <c r="A907" s="110"/>
      <c r="B907" s="110"/>
      <c r="C907" s="110"/>
      <c r="D907" s="435"/>
      <c r="E907" s="435"/>
      <c r="F907" s="435"/>
      <c r="G907" s="435"/>
      <c r="H907" s="435"/>
      <c r="I907" s="4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</row>
    <row r="908" spans="1:25" ht="15.75" customHeight="1">
      <c r="A908" s="110"/>
      <c r="B908" s="110"/>
      <c r="C908" s="110"/>
      <c r="D908" s="435"/>
      <c r="E908" s="435"/>
      <c r="F908" s="435"/>
      <c r="G908" s="435"/>
      <c r="H908" s="435"/>
      <c r="I908" s="4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</row>
    <row r="909" spans="1:25" ht="15.75" customHeight="1">
      <c r="A909" s="110"/>
      <c r="B909" s="110"/>
      <c r="C909" s="110"/>
      <c r="D909" s="435"/>
      <c r="E909" s="435"/>
      <c r="F909" s="435"/>
      <c r="G909" s="435"/>
      <c r="H909" s="435"/>
      <c r="I909" s="4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</row>
    <row r="910" spans="1:25" ht="15.75" customHeight="1">
      <c r="A910" s="110"/>
      <c r="B910" s="110"/>
      <c r="C910" s="110"/>
      <c r="D910" s="435"/>
      <c r="E910" s="435"/>
      <c r="F910" s="435"/>
      <c r="G910" s="435"/>
      <c r="H910" s="435"/>
      <c r="I910" s="4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</row>
    <row r="911" spans="1:25" ht="15.75" customHeight="1">
      <c r="A911" s="110"/>
      <c r="B911" s="110"/>
      <c r="C911" s="110"/>
      <c r="D911" s="435"/>
      <c r="E911" s="435"/>
      <c r="F911" s="435"/>
      <c r="G911" s="435"/>
      <c r="H911" s="435"/>
      <c r="I911" s="4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</row>
    <row r="912" spans="1:25" ht="15.75" customHeight="1">
      <c r="A912" s="110"/>
      <c r="B912" s="110"/>
      <c r="C912" s="110"/>
      <c r="D912" s="435"/>
      <c r="E912" s="435"/>
      <c r="F912" s="435"/>
      <c r="G912" s="435"/>
      <c r="H912" s="435"/>
      <c r="I912" s="4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</row>
    <row r="913" spans="1:25" ht="15.75" customHeight="1">
      <c r="A913" s="110"/>
      <c r="B913" s="110"/>
      <c r="C913" s="110"/>
      <c r="D913" s="435"/>
      <c r="E913" s="435"/>
      <c r="F913" s="435"/>
      <c r="G913" s="435"/>
      <c r="H913" s="435"/>
      <c r="I913" s="4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</row>
    <row r="914" spans="1:25" ht="15.75" customHeight="1">
      <c r="A914" s="110"/>
      <c r="B914" s="110"/>
      <c r="C914" s="110"/>
      <c r="D914" s="435"/>
      <c r="E914" s="435"/>
      <c r="F914" s="435"/>
      <c r="G914" s="435"/>
      <c r="H914" s="435"/>
      <c r="I914" s="4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</row>
    <row r="915" spans="1:25" ht="15.75" customHeight="1">
      <c r="A915" s="110"/>
      <c r="B915" s="110"/>
      <c r="C915" s="110"/>
      <c r="D915" s="435"/>
      <c r="E915" s="435"/>
      <c r="F915" s="435"/>
      <c r="G915" s="435"/>
      <c r="H915" s="435"/>
      <c r="I915" s="4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</row>
    <row r="916" spans="1:25" ht="15.75" customHeight="1">
      <c r="A916" s="110"/>
      <c r="B916" s="110"/>
      <c r="C916" s="110"/>
      <c r="D916" s="435"/>
      <c r="E916" s="435"/>
      <c r="F916" s="435"/>
      <c r="G916" s="435"/>
      <c r="H916" s="435"/>
      <c r="I916" s="4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</row>
    <row r="917" spans="1:25" ht="15.75" customHeight="1">
      <c r="A917" s="110"/>
      <c r="B917" s="110"/>
      <c r="C917" s="110"/>
      <c r="D917" s="435"/>
      <c r="E917" s="435"/>
      <c r="F917" s="435"/>
      <c r="G917" s="435"/>
      <c r="H917" s="435"/>
      <c r="I917" s="4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</row>
    <row r="918" spans="1:25" ht="15.75" customHeight="1">
      <c r="A918" s="110"/>
      <c r="B918" s="110"/>
      <c r="C918" s="110"/>
      <c r="D918" s="435"/>
      <c r="E918" s="435"/>
      <c r="F918" s="435"/>
      <c r="G918" s="435"/>
      <c r="H918" s="435"/>
      <c r="I918" s="4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</row>
    <row r="919" spans="1:25" ht="15.75" customHeight="1">
      <c r="A919" s="110"/>
      <c r="B919" s="110"/>
      <c r="C919" s="110"/>
      <c r="D919" s="435"/>
      <c r="E919" s="435"/>
      <c r="F919" s="435"/>
      <c r="G919" s="435"/>
      <c r="H919" s="435"/>
      <c r="I919" s="4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</row>
    <row r="920" spans="1:25" ht="15.75" customHeight="1">
      <c r="A920" s="110"/>
      <c r="B920" s="110"/>
      <c r="C920" s="110"/>
      <c r="D920" s="435"/>
      <c r="E920" s="435"/>
      <c r="F920" s="435"/>
      <c r="G920" s="435"/>
      <c r="H920" s="435"/>
      <c r="I920" s="4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</row>
    <row r="921" spans="1:25" ht="15.75" customHeight="1">
      <c r="A921" s="110"/>
      <c r="B921" s="110"/>
      <c r="C921" s="110"/>
      <c r="D921" s="435"/>
      <c r="E921" s="435"/>
      <c r="F921" s="435"/>
      <c r="G921" s="435"/>
      <c r="H921" s="435"/>
      <c r="I921" s="4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</row>
    <row r="922" spans="1:25" ht="15.75" customHeight="1">
      <c r="A922" s="110"/>
      <c r="B922" s="110"/>
      <c r="C922" s="110"/>
      <c r="D922" s="435"/>
      <c r="E922" s="435"/>
      <c r="F922" s="435"/>
      <c r="G922" s="435"/>
      <c r="H922" s="435"/>
      <c r="I922" s="4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</row>
    <row r="923" spans="1:25" ht="15.75" customHeight="1">
      <c r="A923" s="110"/>
      <c r="B923" s="110"/>
      <c r="C923" s="110"/>
      <c r="D923" s="435"/>
      <c r="E923" s="435"/>
      <c r="F923" s="435"/>
      <c r="G923" s="435"/>
      <c r="H923" s="435"/>
      <c r="I923" s="4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</row>
    <row r="924" spans="1:25" ht="15.75" customHeight="1">
      <c r="A924" s="110"/>
      <c r="B924" s="110"/>
      <c r="C924" s="110"/>
      <c r="D924" s="435"/>
      <c r="E924" s="435"/>
      <c r="F924" s="435"/>
      <c r="G924" s="435"/>
      <c r="H924" s="435"/>
      <c r="I924" s="4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</row>
    <row r="925" spans="1:25" ht="15.75" customHeight="1">
      <c r="A925" s="110"/>
      <c r="B925" s="110"/>
      <c r="C925" s="110"/>
      <c r="D925" s="435"/>
      <c r="E925" s="435"/>
      <c r="F925" s="435"/>
      <c r="G925" s="435"/>
      <c r="H925" s="435"/>
      <c r="I925" s="4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</row>
    <row r="926" spans="1:25" ht="15.75" customHeight="1">
      <c r="A926" s="110"/>
      <c r="B926" s="110"/>
      <c r="C926" s="110"/>
      <c r="D926" s="435"/>
      <c r="E926" s="435"/>
      <c r="F926" s="435"/>
      <c r="G926" s="435"/>
      <c r="H926" s="435"/>
      <c r="I926" s="4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</row>
    <row r="927" spans="1:25" ht="15.75" customHeight="1">
      <c r="A927" s="110"/>
      <c r="B927" s="110"/>
      <c r="C927" s="110"/>
      <c r="D927" s="435"/>
      <c r="E927" s="435"/>
      <c r="F927" s="435"/>
      <c r="G927" s="435"/>
      <c r="H927" s="435"/>
      <c r="I927" s="4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</row>
    <row r="928" spans="1:25" ht="15.75" customHeight="1">
      <c r="A928" s="110"/>
      <c r="B928" s="110"/>
      <c r="C928" s="110"/>
      <c r="D928" s="435"/>
      <c r="E928" s="435"/>
      <c r="F928" s="435"/>
      <c r="G928" s="435"/>
      <c r="H928" s="435"/>
      <c r="I928" s="4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</row>
    <row r="929" spans="1:25" ht="15.75" customHeight="1">
      <c r="A929" s="110"/>
      <c r="B929" s="110"/>
      <c r="C929" s="110"/>
      <c r="D929" s="435"/>
      <c r="E929" s="435"/>
      <c r="F929" s="435"/>
      <c r="G929" s="435"/>
      <c r="H929" s="435"/>
      <c r="I929" s="4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</row>
    <row r="930" spans="1:25" ht="15.75" customHeight="1">
      <c r="A930" s="110"/>
      <c r="B930" s="110"/>
      <c r="C930" s="110"/>
      <c r="D930" s="435"/>
      <c r="E930" s="435"/>
      <c r="F930" s="435"/>
      <c r="G930" s="435"/>
      <c r="H930" s="435"/>
      <c r="I930" s="4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</row>
    <row r="931" spans="1:25" ht="15.75" customHeight="1">
      <c r="A931" s="110"/>
      <c r="B931" s="110"/>
      <c r="C931" s="110"/>
      <c r="D931" s="435"/>
      <c r="E931" s="435"/>
      <c r="F931" s="435"/>
      <c r="G931" s="435"/>
      <c r="H931" s="435"/>
      <c r="I931" s="4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</row>
    <row r="932" spans="1:25" ht="15.75" customHeight="1">
      <c r="A932" s="110"/>
      <c r="B932" s="110"/>
      <c r="C932" s="110"/>
      <c r="D932" s="435"/>
      <c r="E932" s="435"/>
      <c r="F932" s="435"/>
      <c r="G932" s="435"/>
      <c r="H932" s="435"/>
      <c r="I932" s="4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</row>
    <row r="933" spans="1:25" ht="15.75" customHeight="1">
      <c r="A933" s="110"/>
      <c r="B933" s="110"/>
      <c r="C933" s="110"/>
      <c r="D933" s="435"/>
      <c r="E933" s="435"/>
      <c r="F933" s="435"/>
      <c r="G933" s="435"/>
      <c r="H933" s="435"/>
      <c r="I933" s="4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</row>
    <row r="934" spans="1:25" ht="15.75" customHeight="1">
      <c r="A934" s="110"/>
      <c r="B934" s="110"/>
      <c r="C934" s="110"/>
      <c r="D934" s="435"/>
      <c r="E934" s="435"/>
      <c r="F934" s="435"/>
      <c r="G934" s="435"/>
      <c r="H934" s="435"/>
      <c r="I934" s="4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</row>
    <row r="935" spans="1:25" ht="15.75" customHeight="1">
      <c r="A935" s="110"/>
      <c r="B935" s="110"/>
      <c r="C935" s="110"/>
      <c r="D935" s="435"/>
      <c r="E935" s="435"/>
      <c r="F935" s="435"/>
      <c r="G935" s="435"/>
      <c r="H935" s="435"/>
      <c r="I935" s="4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</row>
    <row r="936" spans="1:25" ht="15.75" customHeight="1">
      <c r="A936" s="110"/>
      <c r="B936" s="110"/>
      <c r="C936" s="110"/>
      <c r="D936" s="435"/>
      <c r="E936" s="435"/>
      <c r="F936" s="435"/>
      <c r="G936" s="435"/>
      <c r="H936" s="435"/>
      <c r="I936" s="4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</row>
    <row r="937" spans="1:25" ht="15.75" customHeight="1">
      <c r="A937" s="110"/>
      <c r="B937" s="110"/>
      <c r="C937" s="110"/>
      <c r="D937" s="435"/>
      <c r="E937" s="435"/>
      <c r="F937" s="435"/>
      <c r="G937" s="435"/>
      <c r="H937" s="435"/>
      <c r="I937" s="4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</row>
    <row r="938" spans="1:25" ht="15.75" customHeight="1">
      <c r="A938" s="110"/>
      <c r="B938" s="110"/>
      <c r="C938" s="110"/>
      <c r="D938" s="435"/>
      <c r="E938" s="435"/>
      <c r="F938" s="435"/>
      <c r="G938" s="435"/>
      <c r="H938" s="435"/>
      <c r="I938" s="4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</row>
    <row r="939" spans="1:25" ht="15.75" customHeight="1">
      <c r="A939" s="110"/>
      <c r="B939" s="110"/>
      <c r="C939" s="110"/>
      <c r="D939" s="435"/>
      <c r="E939" s="435"/>
      <c r="F939" s="435"/>
      <c r="G939" s="435"/>
      <c r="H939" s="435"/>
      <c r="I939" s="4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</row>
    <row r="940" spans="1:25" ht="15.75" customHeight="1">
      <c r="A940" s="110"/>
      <c r="B940" s="110"/>
      <c r="C940" s="110"/>
      <c r="D940" s="435"/>
      <c r="E940" s="435"/>
      <c r="F940" s="435"/>
      <c r="G940" s="435"/>
      <c r="H940" s="435"/>
      <c r="I940" s="4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</row>
    <row r="941" spans="1:25" ht="15.75" customHeight="1">
      <c r="A941" s="110"/>
      <c r="B941" s="110"/>
      <c r="C941" s="110"/>
      <c r="D941" s="435"/>
      <c r="E941" s="435"/>
      <c r="F941" s="435"/>
      <c r="G941" s="435"/>
      <c r="H941" s="435"/>
      <c r="I941" s="4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</row>
    <row r="942" spans="1:25" ht="15.75" customHeight="1">
      <c r="A942" s="110"/>
      <c r="B942" s="110"/>
      <c r="C942" s="110"/>
      <c r="D942" s="435"/>
      <c r="E942" s="435"/>
      <c r="F942" s="435"/>
      <c r="G942" s="435"/>
      <c r="H942" s="435"/>
      <c r="I942" s="4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</row>
    <row r="943" spans="1:25" ht="15.75" customHeight="1">
      <c r="A943" s="110"/>
      <c r="B943" s="110"/>
      <c r="C943" s="110"/>
      <c r="D943" s="435"/>
      <c r="E943" s="435"/>
      <c r="F943" s="435"/>
      <c r="G943" s="435"/>
      <c r="H943" s="435"/>
      <c r="I943" s="4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</row>
    <row r="944" spans="1:25" ht="15.75" customHeight="1">
      <c r="A944" s="110"/>
      <c r="B944" s="110"/>
      <c r="C944" s="110"/>
      <c r="D944" s="435"/>
      <c r="E944" s="435"/>
      <c r="F944" s="435"/>
      <c r="G944" s="435"/>
      <c r="H944" s="435"/>
      <c r="I944" s="4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</row>
    <row r="945" spans="1:25" ht="15.75" customHeight="1">
      <c r="A945" s="110"/>
      <c r="B945" s="110"/>
      <c r="C945" s="110"/>
      <c r="D945" s="435"/>
      <c r="E945" s="435"/>
      <c r="F945" s="435"/>
      <c r="G945" s="435"/>
      <c r="H945" s="435"/>
      <c r="I945" s="4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</row>
    <row r="946" spans="1:25" ht="15.75" customHeight="1">
      <c r="A946" s="110"/>
      <c r="B946" s="110"/>
      <c r="C946" s="110"/>
      <c r="D946" s="435"/>
      <c r="E946" s="435"/>
      <c r="F946" s="435"/>
      <c r="G946" s="435"/>
      <c r="H946" s="435"/>
      <c r="I946" s="4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</row>
    <row r="947" spans="1:25" ht="15.75" customHeight="1">
      <c r="A947" s="110"/>
      <c r="B947" s="110"/>
      <c r="C947" s="110"/>
      <c r="D947" s="435"/>
      <c r="E947" s="435"/>
      <c r="F947" s="435"/>
      <c r="G947" s="435"/>
      <c r="H947" s="435"/>
      <c r="I947" s="4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</row>
    <row r="948" spans="1:25" ht="15.75" customHeight="1">
      <c r="A948" s="110"/>
      <c r="B948" s="110"/>
      <c r="C948" s="110"/>
      <c r="D948" s="435"/>
      <c r="E948" s="435"/>
      <c r="F948" s="435"/>
      <c r="G948" s="435"/>
      <c r="H948" s="435"/>
      <c r="I948" s="4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</row>
    <row r="949" spans="1:25" ht="15.75" customHeight="1">
      <c r="A949" s="110"/>
      <c r="B949" s="110"/>
      <c r="C949" s="110"/>
      <c r="D949" s="435"/>
      <c r="E949" s="435"/>
      <c r="F949" s="435"/>
      <c r="G949" s="435"/>
      <c r="H949" s="435"/>
      <c r="I949" s="4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</row>
    <row r="950" spans="1:25" ht="15.75" customHeight="1">
      <c r="A950" s="110"/>
      <c r="B950" s="110"/>
      <c r="C950" s="110"/>
      <c r="D950" s="435"/>
      <c r="E950" s="435"/>
      <c r="F950" s="435"/>
      <c r="G950" s="435"/>
      <c r="H950" s="435"/>
      <c r="I950" s="4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</row>
    <row r="951" spans="1:25" ht="15.75" customHeight="1">
      <c r="A951" s="110"/>
      <c r="B951" s="110"/>
      <c r="C951" s="110"/>
      <c r="D951" s="435"/>
      <c r="E951" s="435"/>
      <c r="F951" s="435"/>
      <c r="G951" s="435"/>
      <c r="H951" s="435"/>
      <c r="I951" s="4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</row>
    <row r="952" spans="1:25" ht="15.75" customHeight="1">
      <c r="A952" s="110"/>
      <c r="B952" s="110"/>
      <c r="C952" s="110"/>
      <c r="D952" s="435"/>
      <c r="E952" s="435"/>
      <c r="F952" s="435"/>
      <c r="G952" s="435"/>
      <c r="H952" s="435"/>
      <c r="I952" s="4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</row>
    <row r="953" spans="1:25" ht="15.75" customHeight="1">
      <c r="A953" s="110"/>
      <c r="B953" s="110"/>
      <c r="C953" s="110"/>
      <c r="D953" s="435"/>
      <c r="E953" s="435"/>
      <c r="F953" s="435"/>
      <c r="G953" s="435"/>
      <c r="H953" s="435"/>
      <c r="I953" s="4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</row>
    <row r="954" spans="1:25" ht="15.75" customHeight="1">
      <c r="A954" s="110"/>
      <c r="B954" s="110"/>
      <c r="C954" s="110"/>
      <c r="D954" s="435"/>
      <c r="E954" s="435"/>
      <c r="F954" s="435"/>
      <c r="G954" s="435"/>
      <c r="H954" s="435"/>
      <c r="I954" s="4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</row>
    <row r="955" spans="1:25" ht="15.75" customHeight="1">
      <c r="A955" s="110"/>
      <c r="B955" s="110"/>
      <c r="C955" s="110"/>
      <c r="D955" s="435"/>
      <c r="E955" s="435"/>
      <c r="F955" s="435"/>
      <c r="G955" s="435"/>
      <c r="H955" s="435"/>
      <c r="I955" s="4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</row>
    <row r="956" spans="1:25" ht="15.75" customHeight="1">
      <c r="A956" s="110"/>
      <c r="B956" s="110"/>
      <c r="C956" s="110"/>
      <c r="D956" s="435"/>
      <c r="E956" s="435"/>
      <c r="F956" s="435"/>
      <c r="G956" s="435"/>
      <c r="H956" s="435"/>
      <c r="I956" s="4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</row>
    <row r="957" spans="1:25" ht="15.75" customHeight="1">
      <c r="A957" s="110"/>
      <c r="B957" s="110"/>
      <c r="C957" s="110"/>
      <c r="D957" s="435"/>
      <c r="E957" s="435"/>
      <c r="F957" s="435"/>
      <c r="G957" s="435"/>
      <c r="H957" s="435"/>
      <c r="I957" s="4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</row>
    <row r="958" spans="1:25" ht="15.75" customHeight="1">
      <c r="A958" s="110"/>
      <c r="B958" s="110"/>
      <c r="C958" s="110"/>
      <c r="D958" s="435"/>
      <c r="E958" s="435"/>
      <c r="F958" s="435"/>
      <c r="G958" s="435"/>
      <c r="H958" s="435"/>
      <c r="I958" s="4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</row>
    <row r="959" spans="1:25" ht="15.75" customHeight="1">
      <c r="A959" s="110"/>
      <c r="B959" s="110"/>
      <c r="C959" s="110"/>
      <c r="D959" s="435"/>
      <c r="E959" s="435"/>
      <c r="F959" s="435"/>
      <c r="G959" s="435"/>
      <c r="H959" s="435"/>
      <c r="I959" s="4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</row>
    <row r="960" spans="1:25" ht="15.75" customHeight="1">
      <c r="A960" s="110"/>
      <c r="B960" s="110"/>
      <c r="C960" s="110"/>
      <c r="D960" s="435"/>
      <c r="E960" s="435"/>
      <c r="F960" s="435"/>
      <c r="G960" s="435"/>
      <c r="H960" s="435"/>
      <c r="I960" s="4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</row>
    <row r="961" spans="1:25" ht="15.75" customHeight="1">
      <c r="A961" s="110"/>
      <c r="B961" s="110"/>
      <c r="C961" s="110"/>
      <c r="D961" s="435"/>
      <c r="E961" s="435"/>
      <c r="F961" s="435"/>
      <c r="G961" s="435"/>
      <c r="H961" s="435"/>
      <c r="I961" s="4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</row>
    <row r="962" spans="1:25" ht="15.75" customHeight="1">
      <c r="A962" s="110"/>
      <c r="B962" s="110"/>
      <c r="C962" s="110"/>
      <c r="D962" s="435"/>
      <c r="E962" s="435"/>
      <c r="F962" s="435"/>
      <c r="G962" s="435"/>
      <c r="H962" s="435"/>
      <c r="I962" s="4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</row>
    <row r="963" spans="1:25" ht="15.75" customHeight="1">
      <c r="A963" s="110"/>
      <c r="B963" s="110"/>
      <c r="C963" s="110"/>
      <c r="D963" s="435"/>
      <c r="E963" s="435"/>
      <c r="F963" s="435"/>
      <c r="G963" s="435"/>
      <c r="H963" s="435"/>
      <c r="I963" s="4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</row>
    <row r="964" spans="1:25" ht="15.75" customHeight="1">
      <c r="A964" s="110"/>
      <c r="B964" s="110"/>
      <c r="C964" s="110"/>
      <c r="D964" s="435"/>
      <c r="E964" s="435"/>
      <c r="F964" s="435"/>
      <c r="G964" s="435"/>
      <c r="H964" s="435"/>
      <c r="I964" s="4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</row>
    <row r="965" spans="1:25" ht="15.75" customHeight="1">
      <c r="A965" s="110"/>
      <c r="B965" s="110"/>
      <c r="C965" s="110"/>
      <c r="D965" s="435"/>
      <c r="E965" s="435"/>
      <c r="F965" s="435"/>
      <c r="G965" s="435"/>
      <c r="H965" s="435"/>
      <c r="I965" s="4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</row>
    <row r="966" spans="1:25" ht="15.75" customHeight="1">
      <c r="A966" s="110"/>
      <c r="B966" s="110"/>
      <c r="C966" s="110"/>
      <c r="D966" s="435"/>
      <c r="E966" s="435"/>
      <c r="F966" s="435"/>
      <c r="G966" s="435"/>
      <c r="H966" s="435"/>
      <c r="I966" s="4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</row>
    <row r="967" spans="1:25" ht="15.75" customHeight="1">
      <c r="A967" s="110"/>
      <c r="B967" s="110"/>
      <c r="C967" s="110"/>
      <c r="D967" s="435"/>
      <c r="E967" s="435"/>
      <c r="F967" s="435"/>
      <c r="G967" s="435"/>
      <c r="H967" s="435"/>
      <c r="I967" s="4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</row>
    <row r="968" spans="1:25" ht="15.75" customHeight="1">
      <c r="A968" s="110"/>
      <c r="B968" s="110"/>
      <c r="C968" s="110"/>
      <c r="D968" s="435"/>
      <c r="E968" s="435"/>
      <c r="F968" s="435"/>
      <c r="G968" s="435"/>
      <c r="H968" s="435"/>
      <c r="I968" s="4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</row>
    <row r="969" spans="1:25" ht="15.75" customHeight="1">
      <c r="A969" s="110"/>
      <c r="B969" s="110"/>
      <c r="C969" s="110"/>
      <c r="D969" s="435"/>
      <c r="E969" s="435"/>
      <c r="F969" s="435"/>
      <c r="G969" s="435"/>
      <c r="H969" s="435"/>
      <c r="I969" s="4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</row>
    <row r="970" spans="1:25" ht="15.75" customHeight="1">
      <c r="A970" s="110"/>
      <c r="B970" s="110"/>
      <c r="C970" s="110"/>
      <c r="D970" s="435"/>
      <c r="E970" s="435"/>
      <c r="F970" s="435"/>
      <c r="G970" s="435"/>
      <c r="H970" s="435"/>
      <c r="I970" s="4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</row>
    <row r="971" spans="1:25" ht="15.75" customHeight="1">
      <c r="A971" s="110"/>
      <c r="B971" s="110"/>
      <c r="C971" s="110"/>
      <c r="D971" s="435"/>
      <c r="E971" s="435"/>
      <c r="F971" s="435"/>
      <c r="G971" s="435"/>
      <c r="H971" s="435"/>
      <c r="I971" s="4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</row>
    <row r="972" spans="1:25" ht="15.75" customHeight="1">
      <c r="A972" s="110"/>
      <c r="B972" s="110"/>
      <c r="C972" s="110"/>
      <c r="D972" s="435"/>
      <c r="E972" s="435"/>
      <c r="F972" s="435"/>
      <c r="G972" s="435"/>
      <c r="H972" s="435"/>
      <c r="I972" s="4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</row>
    <row r="973" spans="1:25" ht="15.75" customHeight="1">
      <c r="A973" s="110"/>
      <c r="B973" s="110"/>
      <c r="C973" s="110"/>
      <c r="D973" s="435"/>
      <c r="E973" s="435"/>
      <c r="F973" s="435"/>
      <c r="G973" s="435"/>
      <c r="H973" s="435"/>
      <c r="I973" s="4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</row>
    <row r="974" spans="1:25" ht="15.75" customHeight="1">
      <c r="A974" s="110"/>
      <c r="B974" s="110"/>
      <c r="C974" s="110"/>
      <c r="D974" s="435"/>
      <c r="E974" s="435"/>
      <c r="F974" s="435"/>
      <c r="G974" s="435"/>
      <c r="H974" s="435"/>
      <c r="I974" s="4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</row>
    <row r="975" spans="1:25" ht="15.75" customHeight="1">
      <c r="A975" s="110"/>
      <c r="B975" s="110"/>
      <c r="C975" s="110"/>
      <c r="D975" s="435"/>
      <c r="E975" s="435"/>
      <c r="F975" s="435"/>
      <c r="G975" s="435"/>
      <c r="H975" s="435"/>
      <c r="I975" s="4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</row>
    <row r="976" spans="1:25" ht="15.75" customHeight="1">
      <c r="A976" s="110"/>
      <c r="B976" s="110"/>
      <c r="C976" s="110"/>
      <c r="D976" s="435"/>
      <c r="E976" s="435"/>
      <c r="F976" s="435"/>
      <c r="G976" s="435"/>
      <c r="H976" s="435"/>
      <c r="I976" s="4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</row>
    <row r="977" spans="1:25" ht="15.75" customHeight="1">
      <c r="A977" s="110"/>
      <c r="B977" s="110"/>
      <c r="C977" s="110"/>
      <c r="D977" s="435"/>
      <c r="E977" s="435"/>
      <c r="F977" s="435"/>
      <c r="G977" s="435"/>
      <c r="H977" s="435"/>
      <c r="I977" s="4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</row>
    <row r="978" spans="1:25" ht="15.75" customHeight="1">
      <c r="A978" s="110"/>
      <c r="B978" s="110"/>
      <c r="C978" s="110"/>
      <c r="D978" s="435"/>
      <c r="E978" s="435"/>
      <c r="F978" s="435"/>
      <c r="G978" s="435"/>
      <c r="H978" s="435"/>
      <c r="I978" s="4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</row>
    <row r="979" spans="1:25" ht="15.75" customHeight="1">
      <c r="A979" s="110"/>
      <c r="B979" s="110"/>
      <c r="C979" s="110"/>
      <c r="D979" s="435"/>
      <c r="E979" s="435"/>
      <c r="F979" s="435"/>
      <c r="G979" s="435"/>
      <c r="H979" s="435"/>
      <c r="I979" s="4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</row>
    <row r="980" spans="1:25" ht="15.75" customHeight="1">
      <c r="A980" s="110"/>
      <c r="B980" s="110"/>
      <c r="C980" s="110"/>
      <c r="D980" s="435"/>
      <c r="E980" s="435"/>
      <c r="F980" s="435"/>
      <c r="G980" s="435"/>
      <c r="H980" s="435"/>
      <c r="I980" s="4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</row>
    <row r="981" spans="1:25" ht="15.75" customHeight="1">
      <c r="A981" s="110"/>
      <c r="B981" s="110"/>
      <c r="C981" s="110"/>
      <c r="D981" s="435"/>
      <c r="E981" s="435"/>
      <c r="F981" s="435"/>
      <c r="G981" s="435"/>
      <c r="H981" s="435"/>
      <c r="I981" s="4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</row>
    <row r="982" spans="1:25" ht="15.75" customHeight="1">
      <c r="A982" s="110"/>
      <c r="B982" s="110"/>
      <c r="C982" s="110"/>
      <c r="D982" s="435"/>
      <c r="E982" s="435"/>
      <c r="F982" s="435"/>
      <c r="G982" s="435"/>
      <c r="H982" s="435"/>
      <c r="I982" s="4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</row>
    <row r="983" spans="1:25" ht="15.75" customHeight="1">
      <c r="A983" s="110"/>
      <c r="B983" s="110"/>
      <c r="C983" s="110"/>
      <c r="D983" s="435"/>
      <c r="E983" s="435"/>
      <c r="F983" s="435"/>
      <c r="G983" s="435"/>
      <c r="H983" s="435"/>
      <c r="I983" s="4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</row>
    <row r="984" spans="1:25" ht="15.75" customHeight="1">
      <c r="A984" s="110"/>
      <c r="B984" s="110"/>
      <c r="C984" s="110"/>
      <c r="D984" s="435"/>
      <c r="E984" s="435"/>
      <c r="F984" s="435"/>
      <c r="G984" s="435"/>
      <c r="H984" s="435"/>
      <c r="I984" s="4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</row>
    <row r="985" spans="1:25" ht="15.75" customHeight="1">
      <c r="A985" s="110"/>
      <c r="B985" s="110"/>
      <c r="C985" s="110"/>
      <c r="D985" s="435"/>
      <c r="E985" s="435"/>
      <c r="F985" s="435"/>
      <c r="G985" s="435"/>
      <c r="H985" s="435"/>
      <c r="I985" s="4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</row>
    <row r="986" spans="1:25" ht="15.75" customHeight="1">
      <c r="A986" s="110"/>
      <c r="B986" s="110"/>
      <c r="C986" s="110"/>
      <c r="D986" s="435"/>
      <c r="E986" s="435"/>
      <c r="F986" s="435"/>
      <c r="G986" s="435"/>
      <c r="H986" s="435"/>
      <c r="I986" s="4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</row>
    <row r="987" spans="1:25" ht="15.75" customHeight="1">
      <c r="A987" s="110"/>
      <c r="B987" s="110"/>
      <c r="C987" s="110"/>
      <c r="D987" s="435"/>
      <c r="E987" s="435"/>
      <c r="F987" s="435"/>
      <c r="G987" s="435"/>
      <c r="H987" s="435"/>
      <c r="I987" s="4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</row>
    <row r="988" spans="1:25" ht="15.75" customHeight="1">
      <c r="A988" s="110"/>
      <c r="B988" s="110"/>
      <c r="C988" s="110"/>
      <c r="D988" s="435"/>
      <c r="E988" s="435"/>
      <c r="F988" s="435"/>
      <c r="G988" s="435"/>
      <c r="H988" s="435"/>
      <c r="I988" s="4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</row>
    <row r="989" spans="1:25" ht="15.75" customHeight="1">
      <c r="A989" s="110"/>
      <c r="B989" s="110"/>
      <c r="C989" s="110"/>
      <c r="D989" s="435"/>
      <c r="E989" s="435"/>
      <c r="F989" s="435"/>
      <c r="G989" s="435"/>
      <c r="H989" s="435"/>
      <c r="I989" s="4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</row>
    <row r="990" spans="1:25" ht="15.75" customHeight="1">
      <c r="A990" s="110"/>
      <c r="B990" s="110"/>
      <c r="C990" s="110"/>
      <c r="D990" s="435"/>
      <c r="E990" s="435"/>
      <c r="F990" s="435"/>
      <c r="G990" s="435"/>
      <c r="H990" s="435"/>
      <c r="I990" s="4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</row>
    <row r="991" spans="1:25" ht="15.75" customHeight="1">
      <c r="A991" s="110"/>
      <c r="B991" s="110"/>
      <c r="C991" s="110"/>
      <c r="D991" s="435"/>
      <c r="E991" s="435"/>
      <c r="F991" s="435"/>
      <c r="G991" s="435"/>
      <c r="H991" s="435"/>
      <c r="I991" s="4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</row>
    <row r="992" spans="1:25" ht="15.75" customHeight="1">
      <c r="A992" s="110"/>
      <c r="B992" s="110"/>
      <c r="C992" s="110"/>
      <c r="D992" s="435"/>
      <c r="E992" s="435"/>
      <c r="F992" s="435"/>
      <c r="G992" s="435"/>
      <c r="H992" s="435"/>
      <c r="I992" s="4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</row>
    <row r="993" spans="1:25" ht="15.75" customHeight="1">
      <c r="A993" s="110"/>
      <c r="B993" s="110"/>
      <c r="C993" s="110"/>
      <c r="D993" s="435"/>
      <c r="E993" s="435"/>
      <c r="F993" s="435"/>
      <c r="G993" s="435"/>
      <c r="H993" s="435"/>
      <c r="I993" s="4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</row>
    <row r="994" spans="1:25" ht="15.75" customHeight="1">
      <c r="A994" s="110"/>
      <c r="B994" s="110"/>
      <c r="C994" s="110"/>
      <c r="D994" s="435"/>
      <c r="E994" s="435"/>
      <c r="F994" s="435"/>
      <c r="G994" s="435"/>
      <c r="H994" s="435"/>
      <c r="I994" s="4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</row>
    <row r="995" spans="1:25" ht="15.75" customHeight="1">
      <c r="A995" s="110"/>
      <c r="B995" s="110"/>
      <c r="C995" s="110"/>
      <c r="D995" s="435"/>
      <c r="E995" s="435"/>
      <c r="F995" s="435"/>
      <c r="G995" s="435"/>
      <c r="H995" s="435"/>
      <c r="I995" s="4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</row>
    <row r="996" spans="1:25" ht="15.75" customHeight="1">
      <c r="A996" s="110"/>
      <c r="B996" s="110"/>
      <c r="C996" s="110"/>
      <c r="D996" s="435"/>
      <c r="E996" s="435"/>
      <c r="F996" s="435"/>
      <c r="G996" s="435"/>
      <c r="H996" s="435"/>
      <c r="I996" s="4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</row>
    <row r="997" spans="1:25" ht="15.75" customHeight="1">
      <c r="A997" s="110"/>
      <c r="B997" s="110"/>
      <c r="C997" s="110"/>
      <c r="D997" s="435"/>
      <c r="E997" s="435"/>
      <c r="F997" s="435"/>
      <c r="G997" s="435"/>
      <c r="H997" s="435"/>
      <c r="I997" s="4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</row>
    <row r="998" spans="1:25" ht="15.75" customHeight="1">
      <c r="A998" s="110"/>
      <c r="B998" s="110"/>
      <c r="C998" s="110"/>
      <c r="D998" s="435"/>
      <c r="E998" s="435"/>
      <c r="F998" s="435"/>
      <c r="G998" s="435"/>
      <c r="H998" s="435"/>
      <c r="I998" s="4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</row>
    <row r="999" spans="1:25" ht="15.75" customHeight="1">
      <c r="A999" s="110"/>
      <c r="B999" s="110"/>
      <c r="C999" s="110"/>
      <c r="D999" s="435"/>
      <c r="E999" s="435"/>
      <c r="F999" s="435"/>
      <c r="G999" s="435"/>
      <c r="H999" s="435"/>
      <c r="I999" s="4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</row>
    <row r="1000" spans="1:25" ht="15.75" customHeight="1">
      <c r="A1000" s="110"/>
      <c r="B1000" s="110"/>
      <c r="C1000" s="110"/>
      <c r="D1000" s="435"/>
      <c r="E1000" s="435"/>
      <c r="F1000" s="435"/>
      <c r="G1000" s="435"/>
      <c r="H1000" s="435"/>
      <c r="I1000" s="4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</row>
  </sheetData>
  <mergeCells count="6">
    <mergeCell ref="H3:H4"/>
    <mergeCell ref="B3:C4"/>
    <mergeCell ref="D3:D4"/>
    <mergeCell ref="E3:E4"/>
    <mergeCell ref="F3:F4"/>
    <mergeCell ref="G3:G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O10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26.5703125" customWidth="1"/>
  </cols>
  <sheetData>
    <row r="1" spans="1:41">
      <c r="A1" s="2" t="s">
        <v>5426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>
      <c r="A3" s="446" t="s">
        <v>5427</v>
      </c>
      <c r="B3" s="447">
        <v>45658</v>
      </c>
      <c r="C3" s="447">
        <v>45689</v>
      </c>
      <c r="D3" s="448" t="s">
        <v>5428</v>
      </c>
      <c r="E3" s="448" t="s">
        <v>5429</v>
      </c>
      <c r="F3" s="448" t="s">
        <v>5430</v>
      </c>
      <c r="G3" s="447">
        <v>45809</v>
      </c>
      <c r="H3" s="447">
        <v>45839</v>
      </c>
      <c r="I3" s="448" t="s">
        <v>5431</v>
      </c>
      <c r="J3" s="448" t="s">
        <v>5432</v>
      </c>
      <c r="K3" s="448" t="s">
        <v>5433</v>
      </c>
      <c r="L3" s="447">
        <v>45962</v>
      </c>
      <c r="M3" s="447">
        <v>45992</v>
      </c>
      <c r="N3" s="447">
        <v>46023</v>
      </c>
      <c r="O3" s="447">
        <v>46054</v>
      </c>
      <c r="P3" s="448" t="s">
        <v>5434</v>
      </c>
      <c r="Q3" s="447">
        <v>46113</v>
      </c>
      <c r="R3" s="447">
        <v>46143</v>
      </c>
      <c r="S3" s="447">
        <f>SUMPL!Z3</f>
        <v>46174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>
      <c r="A4" s="449" t="s">
        <v>5435</v>
      </c>
      <c r="B4" s="450">
        <v>2674811722</v>
      </c>
      <c r="C4" s="450">
        <v>2237314460</v>
      </c>
      <c r="D4" s="450">
        <v>2247865214</v>
      </c>
      <c r="E4" s="450">
        <v>2718424448</v>
      </c>
      <c r="F4" s="450">
        <v>2744832756</v>
      </c>
      <c r="G4" s="450">
        <v>2198853328</v>
      </c>
      <c r="H4" s="450">
        <v>2204153312</v>
      </c>
      <c r="I4" s="450">
        <v>3167244891</v>
      </c>
      <c r="J4" s="450">
        <v>3167244891</v>
      </c>
      <c r="K4" s="450">
        <v>2660816512</v>
      </c>
      <c r="L4" s="450">
        <v>2434053890</v>
      </c>
      <c r="M4" s="450">
        <v>2704923566</v>
      </c>
      <c r="N4" s="450">
        <v>2275608308.6153846</v>
      </c>
      <c r="O4" s="450">
        <v>1638312957</v>
      </c>
      <c r="P4" s="450">
        <v>1767558894</v>
      </c>
      <c r="Q4" s="450">
        <f>SUMPL!V16</f>
        <v>1861361139</v>
      </c>
      <c r="R4" s="450">
        <v>2235602109</v>
      </c>
      <c r="S4" s="450">
        <f>SUMPL!Z16</f>
        <v>1975304568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>
      <c r="A5" s="449" t="s">
        <v>5436</v>
      </c>
      <c r="B5" s="450">
        <v>1086259845</v>
      </c>
      <c r="C5" s="450">
        <v>971362490</v>
      </c>
      <c r="D5" s="450">
        <v>892223022</v>
      </c>
      <c r="E5" s="450">
        <v>1042743924</v>
      </c>
      <c r="F5" s="450">
        <v>1066448428</v>
      </c>
      <c r="G5" s="450">
        <v>852797364</v>
      </c>
      <c r="H5" s="450">
        <v>845235687</v>
      </c>
      <c r="I5" s="450">
        <v>1167578851</v>
      </c>
      <c r="J5" s="450">
        <v>1167578851</v>
      </c>
      <c r="K5" s="450">
        <v>994859467</v>
      </c>
      <c r="L5" s="450">
        <v>959832341</v>
      </c>
      <c r="M5" s="450">
        <v>1055521638</v>
      </c>
      <c r="N5" s="450">
        <v>933177388.38376975</v>
      </c>
      <c r="O5" s="450">
        <v>796019907.83555174</v>
      </c>
      <c r="P5" s="450">
        <v>811839642.18676925</v>
      </c>
      <c r="Q5" s="450">
        <f>SUMPL!V28</f>
        <v>709659960</v>
      </c>
      <c r="R5" s="450">
        <v>868619170</v>
      </c>
      <c r="S5" s="450">
        <f>SUMPL!Z28</f>
        <v>757493028.3411504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>
      <c r="A6" s="449" t="s">
        <v>5437</v>
      </c>
      <c r="B6" s="450">
        <v>546183562</v>
      </c>
      <c r="C6" s="450">
        <v>574530968</v>
      </c>
      <c r="D6" s="450">
        <v>562042137</v>
      </c>
      <c r="E6" s="450">
        <v>575423866</v>
      </c>
      <c r="F6" s="450">
        <v>574999828</v>
      </c>
      <c r="G6" s="450">
        <v>563585280</v>
      </c>
      <c r="H6" s="450">
        <v>587822825</v>
      </c>
      <c r="I6" s="450">
        <v>564042130</v>
      </c>
      <c r="J6" s="450">
        <v>564042130</v>
      </c>
      <c r="K6" s="450">
        <v>549288755</v>
      </c>
      <c r="L6" s="450">
        <v>548838727</v>
      </c>
      <c r="M6" s="450">
        <v>535087533</v>
      </c>
      <c r="N6" s="450">
        <v>552090375.41666675</v>
      </c>
      <c r="O6" s="450">
        <v>546118416</v>
      </c>
      <c r="P6" s="450">
        <v>544334077.29999995</v>
      </c>
      <c r="Q6" s="450">
        <f>SUMPL!V43</f>
        <v>596480706</v>
      </c>
      <c r="R6" s="450">
        <v>616978740</v>
      </c>
      <c r="S6" s="450">
        <f>SUMPL!Z43</f>
        <v>620122268.44000006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>
      <c r="A7" s="449" t="s">
        <v>5438</v>
      </c>
      <c r="B7" s="450">
        <v>428916859</v>
      </c>
      <c r="C7" s="450">
        <v>376290260</v>
      </c>
      <c r="D7" s="450">
        <v>387731467</v>
      </c>
      <c r="E7" s="450">
        <v>392955826</v>
      </c>
      <c r="F7" s="450">
        <v>401651177</v>
      </c>
      <c r="G7" s="450">
        <v>433546607</v>
      </c>
      <c r="H7" s="450">
        <v>477532779</v>
      </c>
      <c r="I7" s="450">
        <v>461550820</v>
      </c>
      <c r="J7" s="450">
        <v>461550820</v>
      </c>
      <c r="K7" s="450">
        <v>533741361</v>
      </c>
      <c r="L7" s="450">
        <v>455739154</v>
      </c>
      <c r="M7" s="450">
        <v>501461445</v>
      </c>
      <c r="N7" s="450">
        <v>444628299</v>
      </c>
      <c r="O7" s="450">
        <v>446659136</v>
      </c>
      <c r="P7" s="450">
        <v>439426907</v>
      </c>
      <c r="Q7" s="450">
        <f>SUMPL!V51+SUMPL!V73+SUMPL!V88+SUMPL!V96+SUMPL!V106</f>
        <v>458415328</v>
      </c>
      <c r="R7" s="450">
        <v>487469676</v>
      </c>
      <c r="S7" s="450">
        <f>SUMPL!Z51+SUMPL!Z73+SUMPL!Z88+SUMPL!Z96+SUMPL!Z106</f>
        <v>480390553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>
      <c r="A8" s="449"/>
      <c r="B8" s="449"/>
      <c r="C8" s="449"/>
      <c r="D8" s="449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>
      <c r="A9" s="446" t="s">
        <v>5439</v>
      </c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>
      <c r="A10" s="449" t="s">
        <v>5440</v>
      </c>
      <c r="B10" s="452">
        <f t="shared" ref="B10:S10" si="0">1-(B5/B4)</f>
        <v>0.59389296971235572</v>
      </c>
      <c r="C10" s="452">
        <f t="shared" si="0"/>
        <v>0.56583551066844673</v>
      </c>
      <c r="D10" s="452">
        <f t="shared" si="0"/>
        <v>0.60307983928790843</v>
      </c>
      <c r="E10" s="452">
        <f t="shared" si="0"/>
        <v>0.61641607337398407</v>
      </c>
      <c r="F10" s="452">
        <f t="shared" si="0"/>
        <v>0.61147052560166992</v>
      </c>
      <c r="G10" s="452">
        <f t="shared" si="0"/>
        <v>0.61216268809722085</v>
      </c>
      <c r="H10" s="452">
        <f t="shared" si="0"/>
        <v>0.61652590933747176</v>
      </c>
      <c r="I10" s="452">
        <f t="shared" si="0"/>
        <v>0.63135820210247195</v>
      </c>
      <c r="J10" s="452">
        <f t="shared" si="0"/>
        <v>0.63135820210247195</v>
      </c>
      <c r="K10" s="452">
        <f t="shared" si="0"/>
        <v>0.62610745141076452</v>
      </c>
      <c r="L10" s="452">
        <f t="shared" si="0"/>
        <v>0.60566512313332554</v>
      </c>
      <c r="M10" s="452">
        <f t="shared" si="0"/>
        <v>0.60977764722539296</v>
      </c>
      <c r="N10" s="452">
        <f t="shared" si="0"/>
        <v>0.58992178713235122</v>
      </c>
      <c r="O10" s="452">
        <f t="shared" si="0"/>
        <v>0.51412219232326328</v>
      </c>
      <c r="P10" s="452">
        <f t="shared" si="0"/>
        <v>0.5407000892911864</v>
      </c>
      <c r="Q10" s="452">
        <f t="shared" si="0"/>
        <v>0.61874139030255104</v>
      </c>
      <c r="R10" s="452">
        <f t="shared" si="0"/>
        <v>0.61146074853698396</v>
      </c>
      <c r="S10" s="452">
        <f t="shared" si="0"/>
        <v>0.61651836349059141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>
      <c r="A11" s="449" t="s">
        <v>5441</v>
      </c>
      <c r="B11" s="450">
        <f t="shared" ref="B11:S11" si="1">B6+B7</f>
        <v>975100421</v>
      </c>
      <c r="C11" s="450">
        <f t="shared" si="1"/>
        <v>950821228</v>
      </c>
      <c r="D11" s="450">
        <f t="shared" si="1"/>
        <v>949773604</v>
      </c>
      <c r="E11" s="450">
        <f t="shared" si="1"/>
        <v>968379692</v>
      </c>
      <c r="F11" s="450">
        <f t="shared" si="1"/>
        <v>976651005</v>
      </c>
      <c r="G11" s="450">
        <f t="shared" si="1"/>
        <v>997131887</v>
      </c>
      <c r="H11" s="450">
        <f t="shared" si="1"/>
        <v>1065355604</v>
      </c>
      <c r="I11" s="450">
        <f t="shared" si="1"/>
        <v>1025592950</v>
      </c>
      <c r="J11" s="450">
        <f t="shared" si="1"/>
        <v>1025592950</v>
      </c>
      <c r="K11" s="450">
        <f t="shared" si="1"/>
        <v>1083030116</v>
      </c>
      <c r="L11" s="450">
        <f t="shared" si="1"/>
        <v>1004577881</v>
      </c>
      <c r="M11" s="450">
        <f t="shared" si="1"/>
        <v>1036548978</v>
      </c>
      <c r="N11" s="450">
        <f t="shared" si="1"/>
        <v>996718674.41666675</v>
      </c>
      <c r="O11" s="450">
        <f t="shared" si="1"/>
        <v>992777552</v>
      </c>
      <c r="P11" s="450">
        <f t="shared" si="1"/>
        <v>983760984.29999995</v>
      </c>
      <c r="Q11" s="450">
        <f t="shared" si="1"/>
        <v>1054896034</v>
      </c>
      <c r="R11" s="450">
        <f t="shared" si="1"/>
        <v>1104448416</v>
      </c>
      <c r="S11" s="450">
        <f t="shared" si="1"/>
        <v>1100512821.4400001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>
      <c r="A12" s="449" t="s">
        <v>5442</v>
      </c>
      <c r="B12" s="453">
        <f t="shared" ref="B12:S12" si="2">B11/B10</f>
        <v>1641879043.4112685</v>
      </c>
      <c r="C12" s="453">
        <f t="shared" si="2"/>
        <v>1680384511.1749039</v>
      </c>
      <c r="D12" s="453">
        <f t="shared" si="2"/>
        <v>1574872085.131304</v>
      </c>
      <c r="E12" s="453">
        <f t="shared" si="2"/>
        <v>1570983843.2660029</v>
      </c>
      <c r="F12" s="453">
        <f t="shared" si="2"/>
        <v>1597216814.3983762</v>
      </c>
      <c r="G12" s="453">
        <f t="shared" si="2"/>
        <v>1628867466.7503421</v>
      </c>
      <c r="H12" s="453">
        <f t="shared" si="2"/>
        <v>1727998106.5918989</v>
      </c>
      <c r="I12" s="453">
        <f t="shared" si="2"/>
        <v>1624423261.7628086</v>
      </c>
      <c r="J12" s="453">
        <f t="shared" si="2"/>
        <v>1624423261.7628086</v>
      </c>
      <c r="K12" s="453">
        <f t="shared" si="2"/>
        <v>1729783144.3463631</v>
      </c>
      <c r="L12" s="453">
        <f t="shared" si="2"/>
        <v>1658635841.2103274</v>
      </c>
      <c r="M12" s="453">
        <f t="shared" si="2"/>
        <v>1699880247.6878247</v>
      </c>
      <c r="N12" s="453">
        <f t="shared" si="2"/>
        <v>1689577662.9335594</v>
      </c>
      <c r="O12" s="453">
        <f t="shared" si="2"/>
        <v>1931014779.801168</v>
      </c>
      <c r="P12" s="453">
        <f t="shared" si="2"/>
        <v>1819420791.2738283</v>
      </c>
      <c r="Q12" s="453">
        <f t="shared" si="2"/>
        <v>1704906202.3863943</v>
      </c>
      <c r="R12" s="453">
        <f t="shared" si="2"/>
        <v>1806245811.5955384</v>
      </c>
      <c r="S12" s="453">
        <f t="shared" si="2"/>
        <v>1785044674.4345756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>
      <c r="A13" s="449" t="s">
        <v>5443</v>
      </c>
      <c r="B13" s="333">
        <f t="shared" ref="B13:S13" si="3">B4-B12</f>
        <v>1032932678.5887315</v>
      </c>
      <c r="C13" s="333">
        <f t="shared" si="3"/>
        <v>556929948.82509613</v>
      </c>
      <c r="D13" s="333">
        <f t="shared" si="3"/>
        <v>672993128.86869597</v>
      </c>
      <c r="E13" s="333">
        <f t="shared" si="3"/>
        <v>1147440604.7339971</v>
      </c>
      <c r="F13" s="333">
        <f t="shared" si="3"/>
        <v>1147615941.6016238</v>
      </c>
      <c r="G13" s="333">
        <f t="shared" si="3"/>
        <v>569985861.24965787</v>
      </c>
      <c r="H13" s="333">
        <f t="shared" si="3"/>
        <v>476155205.40810108</v>
      </c>
      <c r="I13" s="333">
        <f t="shared" si="3"/>
        <v>1542821629.2371914</v>
      </c>
      <c r="J13" s="333">
        <f t="shared" si="3"/>
        <v>1542821629.2371914</v>
      </c>
      <c r="K13" s="333">
        <f t="shared" si="3"/>
        <v>931033367.65363693</v>
      </c>
      <c r="L13" s="333">
        <f t="shared" si="3"/>
        <v>775418048.78967261</v>
      </c>
      <c r="M13" s="333">
        <f t="shared" si="3"/>
        <v>1005043318.3121753</v>
      </c>
      <c r="N13" s="333">
        <f t="shared" si="3"/>
        <v>586030645.68182516</v>
      </c>
      <c r="O13" s="333">
        <f t="shared" si="3"/>
        <v>-292701822.80116796</v>
      </c>
      <c r="P13" s="333">
        <f t="shared" si="3"/>
        <v>-51861897.273828268</v>
      </c>
      <c r="Q13" s="333">
        <f t="shared" si="3"/>
        <v>156454936.61360574</v>
      </c>
      <c r="R13" s="333">
        <f t="shared" si="3"/>
        <v>429356297.40446162</v>
      </c>
      <c r="S13" s="333">
        <f t="shared" si="3"/>
        <v>190259893.56542444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>
      <c r="A14" s="449" t="s">
        <v>5444</v>
      </c>
      <c r="B14" s="454">
        <f t="shared" ref="B14:S14" si="4">B4/B12</f>
        <v>1.6291161841268449</v>
      </c>
      <c r="C14" s="454">
        <f t="shared" si="4"/>
        <v>1.3314300656316438</v>
      </c>
      <c r="D14" s="454">
        <f t="shared" si="4"/>
        <v>1.4273319307787373</v>
      </c>
      <c r="E14" s="454">
        <f t="shared" si="4"/>
        <v>1.7303961843099043</v>
      </c>
      <c r="F14" s="454">
        <f t="shared" si="4"/>
        <v>1.7185098048406762</v>
      </c>
      <c r="G14" s="454">
        <f t="shared" si="4"/>
        <v>1.3499277092118509</v>
      </c>
      <c r="H14" s="454">
        <f t="shared" si="4"/>
        <v>1.2755530828371182</v>
      </c>
      <c r="I14" s="454">
        <f t="shared" si="4"/>
        <v>1.9497657818338161</v>
      </c>
      <c r="J14" s="454">
        <f t="shared" si="4"/>
        <v>1.9497657818338161</v>
      </c>
      <c r="K14" s="454">
        <f t="shared" si="4"/>
        <v>1.5382370447397604</v>
      </c>
      <c r="L14" s="454">
        <f t="shared" si="4"/>
        <v>1.4675034926435935</v>
      </c>
      <c r="M14" s="454">
        <f t="shared" si="4"/>
        <v>1.591243600647301</v>
      </c>
      <c r="N14" s="454">
        <f t="shared" si="4"/>
        <v>1.3468503748234448</v>
      </c>
      <c r="O14" s="454">
        <f t="shared" si="4"/>
        <v>0.84842072372366473</v>
      </c>
      <c r="P14" s="454">
        <f t="shared" si="4"/>
        <v>0.97149538055046725</v>
      </c>
      <c r="Q14" s="454">
        <f t="shared" si="4"/>
        <v>1.0917674745945627</v>
      </c>
      <c r="R14" s="454">
        <f t="shared" si="4"/>
        <v>1.2377064598008352</v>
      </c>
      <c r="S14" s="454">
        <f t="shared" si="4"/>
        <v>1.1065855080773765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:4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1:4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1:4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1:4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1:4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1:4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1:4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1:4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1:4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1:4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1:4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1:4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1:4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1:4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1:4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1:4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1:4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1:4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1:4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spans="1:4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spans="1:4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spans="1:4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spans="1:4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spans="1:4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spans="1:4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spans="1:4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spans="1:4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spans="1:4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spans="1:4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spans="1:4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spans="1:4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spans="1:4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spans="1:4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spans="1:4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spans="1:4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spans="1:4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spans="1:4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spans="1:4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spans="1:4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spans="1:4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spans="1:4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spans="1:4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spans="1:4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spans="1:4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spans="1:4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spans="1:4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spans="1:4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spans="1:4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spans="1:4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spans="1:4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spans="1:4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spans="1:4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spans="1:4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spans="1:4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spans="1:4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spans="1:4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spans="1: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spans="1:4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spans="1:4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spans="1:4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spans="1:4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spans="1:4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spans="1:4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spans="1:4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spans="1:4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spans="1:4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spans="1:4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spans="1:4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spans="1:4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spans="1:4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spans="1:4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spans="1:4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spans="1:4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spans="1:4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spans="1:4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spans="1:4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spans="1:4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spans="1:4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spans="1:4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spans="1:4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spans="1:4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spans="1:4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spans="1:4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spans="1:4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spans="1:4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spans="1:4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spans="1:4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spans="1:4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spans="1:4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spans="1:4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spans="1:4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spans="1:4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spans="1:4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spans="1:4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spans="1:4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spans="1:4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spans="1:4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spans="1:4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spans="1:4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spans="1:4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spans="1:4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spans="1:4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spans="1:4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spans="1:4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spans="1:4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spans="1:4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spans="1:4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spans="1:4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spans="1:4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spans="1:4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spans="1:4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spans="1:4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spans="1:4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spans="1:4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spans="1:4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spans="1:4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spans="1:4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spans="1:4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spans="1:4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spans="1:4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spans="1:4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spans="1:4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spans="1:4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spans="1:4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spans="1:4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spans="1:4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spans="1:4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spans="1:4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spans="1:4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spans="1:4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spans="1:4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spans="1:4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spans="1:4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spans="1:4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spans="1:4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spans="1:4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spans="1:4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spans="1:4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spans="1:4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spans="1:4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spans="1:4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spans="1:4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spans="1:4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spans="1:4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spans="1:4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spans="1:4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spans="1:4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spans="1:4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spans="1: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spans="1:4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spans="1:4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spans="1:4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spans="1:4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spans="1:4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spans="1:4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spans="1:4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spans="1:4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spans="1:4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spans="1:4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spans="1:4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spans="1:4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spans="1:4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spans="1:4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spans="1:4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spans="1:4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spans="1:4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spans="1:4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spans="1:4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spans="1:4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spans="1:4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spans="1:4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spans="1:4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spans="1:4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spans="1:4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spans="1:4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spans="1:4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spans="1:4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spans="1:4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spans="1:4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spans="1:4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spans="1:4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spans="1:4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spans="1:4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spans="1:4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spans="1:4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spans="1:4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spans="1:4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spans="1:4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spans="1:4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spans="1:4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spans="1:4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spans="1:4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spans="1:4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spans="1:4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spans="1:4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spans="1:4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spans="1:4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spans="1:4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spans="1:4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spans="1:4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spans="1:4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spans="1:4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spans="1:4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spans="1:4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spans="1:4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spans="1:4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spans="1:4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spans="1:4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spans="1:4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spans="1:4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spans="1:4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spans="1:4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spans="1:4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spans="1:4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spans="1:4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spans="1:4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spans="1:4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spans="1:4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spans="1:4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spans="1:4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spans="1:4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spans="1:4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spans="1:4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spans="1:4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spans="1:4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spans="1:4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spans="1:4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spans="1:4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spans="1:4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spans="1:4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spans="1:4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spans="1:4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spans="1:4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spans="1:4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spans="1:4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spans="1:4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spans="1:4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spans="1:4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spans="1:4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spans="1:4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spans="1:4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spans="1: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spans="1:4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  <row r="1000" spans="1:4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9"/>
  <sheetViews>
    <sheetView workbookViewId="0"/>
  </sheetViews>
  <sheetFormatPr defaultColWidth="14.42578125" defaultRowHeight="15" customHeight="1"/>
  <cols>
    <col min="1" max="1" width="18.7109375" customWidth="1"/>
    <col min="2" max="4" width="15.5703125" customWidth="1"/>
    <col min="5" max="5" width="13.140625" customWidth="1"/>
  </cols>
  <sheetData>
    <row r="1" spans="1:26">
      <c r="A1" s="455" t="s">
        <v>5445</v>
      </c>
      <c r="B1" s="232" t="s">
        <v>5446</v>
      </c>
      <c r="C1" s="456">
        <f>'BEP Monthly'!S3</f>
        <v>46174</v>
      </c>
      <c r="D1" s="232" t="s">
        <v>5447</v>
      </c>
      <c r="E1" s="457" t="s">
        <v>5448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49" t="s">
        <v>5449</v>
      </c>
      <c r="B2" s="333">
        <f>'BEP Monthly'!R4</f>
        <v>2235602109</v>
      </c>
      <c r="C2" s="333">
        <f>'BEP Monthly'!S4</f>
        <v>1975304568</v>
      </c>
      <c r="D2" s="333">
        <f t="shared" ref="D2:D9" si="0">C2-B2</f>
        <v>-260297541</v>
      </c>
      <c r="E2" s="458">
        <f t="shared" ref="E2:E3" si="1">IF(B2=0,"",D2/B2)</f>
        <v>-0.11643285714935779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49" t="s">
        <v>5450</v>
      </c>
      <c r="B3" s="333">
        <f>'BEP Monthly'!R5</f>
        <v>868619170</v>
      </c>
      <c r="C3" s="333">
        <f>'BEP Monthly'!S5</f>
        <v>757493028.3411504</v>
      </c>
      <c r="D3" s="333">
        <f t="shared" si="0"/>
        <v>-111126141.6588496</v>
      </c>
      <c r="E3" s="458">
        <f t="shared" si="1"/>
        <v>-0.12793424955017929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49" t="s">
        <v>5451</v>
      </c>
      <c r="B4" s="459">
        <f t="shared" ref="B4:C4" si="2">1-(B3/B2)</f>
        <v>0.61146074853698396</v>
      </c>
      <c r="C4" s="459">
        <f t="shared" si="2"/>
        <v>0.61651836349059141</v>
      </c>
      <c r="D4" s="460">
        <f t="shared" si="0"/>
        <v>5.0576149536074588E-3</v>
      </c>
      <c r="E4" s="46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49" t="s">
        <v>5452</v>
      </c>
      <c r="B5" s="333">
        <f>'BEP Monthly'!R6</f>
        <v>616978740</v>
      </c>
      <c r="C5" s="333">
        <f>'BEP Monthly'!S6</f>
        <v>620122268.44000006</v>
      </c>
      <c r="D5" s="333">
        <f t="shared" si="0"/>
        <v>3143528.4400000572</v>
      </c>
      <c r="E5" s="458">
        <f t="shared" ref="E5:E8" si="3">IF(B5=0,"",D5/B5)</f>
        <v>5.0950352681521198E-3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49" t="s">
        <v>5438</v>
      </c>
      <c r="B6" s="333">
        <f>'BEP Monthly'!R7</f>
        <v>487469676</v>
      </c>
      <c r="C6" s="333">
        <f>'BEP Monthly'!S7</f>
        <v>480390553</v>
      </c>
      <c r="D6" s="333">
        <f t="shared" si="0"/>
        <v>-7079123</v>
      </c>
      <c r="E6" s="458">
        <f t="shared" si="3"/>
        <v>-1.4522181273076768E-2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49" t="s">
        <v>5441</v>
      </c>
      <c r="B7" s="333">
        <f t="shared" ref="B7:C7" si="4">B5+B6</f>
        <v>1104448416</v>
      </c>
      <c r="C7" s="333">
        <f t="shared" si="4"/>
        <v>1100512821.4400001</v>
      </c>
      <c r="D7" s="333">
        <f t="shared" si="0"/>
        <v>-3935594.5599999428</v>
      </c>
      <c r="E7" s="458">
        <f t="shared" si="3"/>
        <v>-3.563402783675089E-3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49" t="s">
        <v>5442</v>
      </c>
      <c r="B8" s="453">
        <f t="shared" ref="B8:C8" si="5">B7/B4</f>
        <v>1806245811.5955384</v>
      </c>
      <c r="C8" s="453">
        <f t="shared" si="5"/>
        <v>1785044674.4345756</v>
      </c>
      <c r="D8" s="453">
        <f t="shared" si="0"/>
        <v>-21201137.16096282</v>
      </c>
      <c r="E8" s="458">
        <f t="shared" si="3"/>
        <v>-1.1737681009338866E-2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55" t="s">
        <v>5453</v>
      </c>
      <c r="B9" s="454">
        <f t="shared" ref="B9:C9" si="6">B2/B8</f>
        <v>1.2377064598008352</v>
      </c>
      <c r="C9" s="454">
        <f t="shared" si="6"/>
        <v>1.1065855080773765</v>
      </c>
      <c r="D9" s="454">
        <f t="shared" si="0"/>
        <v>-0.13112095172345861</v>
      </c>
      <c r="E9" s="454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102"/>
      <c r="C10" s="102"/>
      <c r="D10" s="102"/>
      <c r="E10" s="46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85"/>
      <c r="C11" s="102"/>
      <c r="D11" s="102"/>
      <c r="E11" s="46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85"/>
      <c r="C12" s="102"/>
      <c r="D12" s="102"/>
      <c r="E12" s="46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62"/>
      <c r="C13" s="102"/>
      <c r="D13" s="102"/>
      <c r="E13" s="46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85"/>
      <c r="C14" s="102"/>
      <c r="D14" s="102"/>
      <c r="E14" s="46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85"/>
      <c r="C15" s="102"/>
      <c r="D15" s="102"/>
      <c r="E15" s="46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85"/>
      <c r="C16" s="102"/>
      <c r="D16" s="102"/>
      <c r="E16" s="46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85"/>
      <c r="C17" s="102"/>
      <c r="D17" s="102"/>
      <c r="E17" s="46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102"/>
      <c r="C18" s="102"/>
      <c r="D18" s="102"/>
      <c r="E18" s="46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102"/>
      <c r="C19" s="102"/>
      <c r="D19" s="102"/>
      <c r="E19" s="46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102"/>
      <c r="C20" s="102"/>
      <c r="D20" s="102"/>
      <c r="E20" s="46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102"/>
      <c r="C21" s="102"/>
      <c r="D21" s="102"/>
      <c r="E21" s="46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102"/>
      <c r="C22" s="102"/>
      <c r="D22" s="102"/>
      <c r="E22" s="46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102"/>
      <c r="C23" s="102"/>
      <c r="D23" s="102"/>
      <c r="E23" s="46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102"/>
      <c r="C24" s="102"/>
      <c r="D24" s="102"/>
      <c r="E24" s="46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102"/>
      <c r="C25" s="102"/>
      <c r="D25" s="102"/>
      <c r="E25" s="46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102"/>
      <c r="C26" s="102"/>
      <c r="D26" s="102"/>
      <c r="E26" s="46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102"/>
      <c r="C27" s="102"/>
      <c r="D27" s="102"/>
      <c r="E27" s="46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102"/>
      <c r="C28" s="102"/>
      <c r="D28" s="102"/>
      <c r="E28" s="46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102"/>
      <c r="C29" s="102"/>
      <c r="D29" s="102"/>
      <c r="E29" s="46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102"/>
      <c r="C30" s="102"/>
      <c r="D30" s="102"/>
      <c r="E30" s="46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102"/>
      <c r="C31" s="102"/>
      <c r="D31" s="102"/>
      <c r="E31" s="46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102"/>
      <c r="C32" s="102"/>
      <c r="D32" s="102"/>
      <c r="E32" s="46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102"/>
      <c r="C33" s="102"/>
      <c r="D33" s="102"/>
      <c r="E33" s="46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102"/>
      <c r="C34" s="102"/>
      <c r="D34" s="102"/>
      <c r="E34" s="46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102"/>
      <c r="C35" s="102"/>
      <c r="D35" s="102"/>
      <c r="E35" s="46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102"/>
      <c r="C36" s="102"/>
      <c r="D36" s="102"/>
      <c r="E36" s="46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102"/>
      <c r="C37" s="102"/>
      <c r="D37" s="102"/>
      <c r="E37" s="46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102"/>
      <c r="C38" s="102"/>
      <c r="D38" s="102"/>
      <c r="E38" s="46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102"/>
      <c r="C39" s="102"/>
      <c r="D39" s="102"/>
      <c r="E39" s="46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102"/>
      <c r="C40" s="102"/>
      <c r="D40" s="102"/>
      <c r="E40" s="46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102"/>
      <c r="C41" s="102"/>
      <c r="D41" s="102"/>
      <c r="E41" s="46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102"/>
      <c r="C42" s="102"/>
      <c r="D42" s="102"/>
      <c r="E42" s="46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102"/>
      <c r="C43" s="102"/>
      <c r="D43" s="102"/>
      <c r="E43" s="46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102"/>
      <c r="C44" s="102"/>
      <c r="D44" s="102"/>
      <c r="E44" s="46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102"/>
      <c r="C45" s="102"/>
      <c r="D45" s="102"/>
      <c r="E45" s="46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102"/>
      <c r="C46" s="102"/>
      <c r="D46" s="102"/>
      <c r="E46" s="46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102"/>
      <c r="C47" s="102"/>
      <c r="D47" s="102"/>
      <c r="E47" s="46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102"/>
      <c r="C48" s="102"/>
      <c r="D48" s="102"/>
      <c r="E48" s="46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102"/>
      <c r="C49" s="102"/>
      <c r="D49" s="102"/>
      <c r="E49" s="46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102"/>
      <c r="C50" s="102"/>
      <c r="D50" s="102"/>
      <c r="E50" s="46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102"/>
      <c r="C51" s="102"/>
      <c r="D51" s="102"/>
      <c r="E51" s="46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102"/>
      <c r="C52" s="102"/>
      <c r="D52" s="102"/>
      <c r="E52" s="46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102"/>
      <c r="C53" s="102"/>
      <c r="D53" s="102"/>
      <c r="E53" s="46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102"/>
      <c r="C54" s="102"/>
      <c r="D54" s="102"/>
      <c r="E54" s="46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102"/>
      <c r="C55" s="102"/>
      <c r="D55" s="102"/>
      <c r="E55" s="46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102"/>
      <c r="C56" s="102"/>
      <c r="D56" s="102"/>
      <c r="E56" s="46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102"/>
      <c r="C57" s="102"/>
      <c r="D57" s="102"/>
      <c r="E57" s="46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102"/>
      <c r="C58" s="102"/>
      <c r="D58" s="102"/>
      <c r="E58" s="46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102"/>
      <c r="C59" s="102"/>
      <c r="D59" s="102"/>
      <c r="E59" s="46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102"/>
      <c r="C60" s="102"/>
      <c r="D60" s="102"/>
      <c r="E60" s="46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102"/>
      <c r="C61" s="102"/>
      <c r="D61" s="102"/>
      <c r="E61" s="46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102"/>
      <c r="C62" s="102"/>
      <c r="D62" s="102"/>
      <c r="E62" s="46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102"/>
      <c r="C63" s="102"/>
      <c r="D63" s="102"/>
      <c r="E63" s="46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102"/>
      <c r="C64" s="102"/>
      <c r="D64" s="102"/>
      <c r="E64" s="46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102"/>
      <c r="C65" s="102"/>
      <c r="D65" s="102"/>
      <c r="E65" s="46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102"/>
      <c r="C66" s="102"/>
      <c r="D66" s="102"/>
      <c r="E66" s="46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102"/>
      <c r="C67" s="102"/>
      <c r="D67" s="102"/>
      <c r="E67" s="46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102"/>
      <c r="C68" s="102"/>
      <c r="D68" s="102"/>
      <c r="E68" s="46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102"/>
      <c r="C69" s="102"/>
      <c r="D69" s="102"/>
      <c r="E69" s="46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102"/>
      <c r="C70" s="102"/>
      <c r="D70" s="102"/>
      <c r="E70" s="46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102"/>
      <c r="C71" s="102"/>
      <c r="D71" s="102"/>
      <c r="E71" s="46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102"/>
      <c r="C72" s="102"/>
      <c r="D72" s="102"/>
      <c r="E72" s="46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102"/>
      <c r="C73" s="102"/>
      <c r="D73" s="102"/>
      <c r="E73" s="46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102"/>
      <c r="C74" s="102"/>
      <c r="D74" s="102"/>
      <c r="E74" s="46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102"/>
      <c r="C75" s="102"/>
      <c r="D75" s="102"/>
      <c r="E75" s="46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102"/>
      <c r="C76" s="102"/>
      <c r="D76" s="102"/>
      <c r="E76" s="46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102"/>
      <c r="C77" s="102"/>
      <c r="D77" s="102"/>
      <c r="E77" s="46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102"/>
      <c r="C78" s="102"/>
      <c r="D78" s="102"/>
      <c r="E78" s="46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102"/>
      <c r="C79" s="102"/>
      <c r="D79" s="102"/>
      <c r="E79" s="46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102"/>
      <c r="C80" s="102"/>
      <c r="D80" s="102"/>
      <c r="E80" s="46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102"/>
      <c r="C81" s="102"/>
      <c r="D81" s="102"/>
      <c r="E81" s="46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102"/>
      <c r="C82" s="102"/>
      <c r="D82" s="102"/>
      <c r="E82" s="46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102"/>
      <c r="C83" s="102"/>
      <c r="D83" s="102"/>
      <c r="E83" s="46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102"/>
      <c r="C84" s="102"/>
      <c r="D84" s="102"/>
      <c r="E84" s="46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102"/>
      <c r="C85" s="102"/>
      <c r="D85" s="102"/>
      <c r="E85" s="46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102"/>
      <c r="C86" s="102"/>
      <c r="D86" s="102"/>
      <c r="E86" s="46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102"/>
      <c r="C87" s="102"/>
      <c r="D87" s="102"/>
      <c r="E87" s="46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102"/>
      <c r="C88" s="102"/>
      <c r="D88" s="102"/>
      <c r="E88" s="46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102"/>
      <c r="C89" s="102"/>
      <c r="D89" s="102"/>
      <c r="E89" s="46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102"/>
      <c r="C90" s="102"/>
      <c r="D90" s="102"/>
      <c r="E90" s="46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102"/>
      <c r="C91" s="102"/>
      <c r="D91" s="102"/>
      <c r="E91" s="46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102"/>
      <c r="C92" s="102"/>
      <c r="D92" s="102"/>
      <c r="E92" s="46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102"/>
      <c r="C93" s="102"/>
      <c r="D93" s="102"/>
      <c r="E93" s="46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102"/>
      <c r="C94" s="102"/>
      <c r="D94" s="102"/>
      <c r="E94" s="46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102"/>
      <c r="C95" s="102"/>
      <c r="D95" s="102"/>
      <c r="E95" s="46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102"/>
      <c r="C96" s="102"/>
      <c r="D96" s="102"/>
      <c r="E96" s="46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102"/>
      <c r="C97" s="102"/>
      <c r="D97" s="102"/>
      <c r="E97" s="46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102"/>
      <c r="C98" s="102"/>
      <c r="D98" s="102"/>
      <c r="E98" s="46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102"/>
      <c r="C99" s="102"/>
      <c r="D99" s="102"/>
      <c r="E99" s="46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102"/>
      <c r="C100" s="102"/>
      <c r="D100" s="102"/>
      <c r="E100" s="462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102"/>
      <c r="C101" s="102"/>
      <c r="D101" s="102"/>
      <c r="E101" s="46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102"/>
      <c r="C102" s="102"/>
      <c r="D102" s="102"/>
      <c r="E102" s="46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102"/>
      <c r="C103" s="102"/>
      <c r="D103" s="102"/>
      <c r="E103" s="46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102"/>
      <c r="C104" s="102"/>
      <c r="D104" s="102"/>
      <c r="E104" s="46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102"/>
      <c r="C105" s="102"/>
      <c r="D105" s="102"/>
      <c r="E105" s="46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102"/>
      <c r="C106" s="102"/>
      <c r="D106" s="102"/>
      <c r="E106" s="462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102"/>
      <c r="C107" s="102"/>
      <c r="D107" s="102"/>
      <c r="E107" s="46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102"/>
      <c r="C108" s="102"/>
      <c r="D108" s="102"/>
      <c r="E108" s="462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102"/>
      <c r="C109" s="102"/>
      <c r="D109" s="102"/>
      <c r="E109" s="46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102"/>
      <c r="C110" s="102"/>
      <c r="D110" s="102"/>
      <c r="E110" s="46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102"/>
      <c r="C111" s="102"/>
      <c r="D111" s="102"/>
      <c r="E111" s="46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102"/>
      <c r="C112" s="102"/>
      <c r="D112" s="102"/>
      <c r="E112" s="462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102"/>
      <c r="C113" s="102"/>
      <c r="D113" s="102"/>
      <c r="E113" s="46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102"/>
      <c r="C114" s="102"/>
      <c r="D114" s="102"/>
      <c r="E114" s="46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102"/>
      <c r="C115" s="102"/>
      <c r="D115" s="102"/>
      <c r="E115" s="46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102"/>
      <c r="C116" s="102"/>
      <c r="D116" s="102"/>
      <c r="E116" s="462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102"/>
      <c r="C117" s="102"/>
      <c r="D117" s="102"/>
      <c r="E117" s="46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102"/>
      <c r="C118" s="102"/>
      <c r="D118" s="102"/>
      <c r="E118" s="462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102"/>
      <c r="C119" s="102"/>
      <c r="D119" s="102"/>
      <c r="E119" s="46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102"/>
      <c r="C120" s="102"/>
      <c r="D120" s="102"/>
      <c r="E120" s="462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102"/>
      <c r="C121" s="102"/>
      <c r="D121" s="102"/>
      <c r="E121" s="46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102"/>
      <c r="C122" s="102"/>
      <c r="D122" s="102"/>
      <c r="E122" s="462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102"/>
      <c r="C123" s="102"/>
      <c r="D123" s="102"/>
      <c r="E123" s="46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102"/>
      <c r="C124" s="102"/>
      <c r="D124" s="102"/>
      <c r="E124" s="462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102"/>
      <c r="C125" s="102"/>
      <c r="D125" s="102"/>
      <c r="E125" s="46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102"/>
      <c r="C126" s="102"/>
      <c r="D126" s="102"/>
      <c r="E126" s="462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102"/>
      <c r="C127" s="102"/>
      <c r="D127" s="102"/>
      <c r="E127" s="46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102"/>
      <c r="C128" s="102"/>
      <c r="D128" s="102"/>
      <c r="E128" s="46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102"/>
      <c r="C129" s="102"/>
      <c r="D129" s="102"/>
      <c r="E129" s="46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102"/>
      <c r="C130" s="102"/>
      <c r="D130" s="102"/>
      <c r="E130" s="462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102"/>
      <c r="C131" s="102"/>
      <c r="D131" s="102"/>
      <c r="E131" s="46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102"/>
      <c r="C132" s="102"/>
      <c r="D132" s="102"/>
      <c r="E132" s="462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102"/>
      <c r="C133" s="102"/>
      <c r="D133" s="102"/>
      <c r="E133" s="46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102"/>
      <c r="C134" s="102"/>
      <c r="D134" s="102"/>
      <c r="E134" s="462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102"/>
      <c r="C135" s="102"/>
      <c r="D135" s="102"/>
      <c r="E135" s="46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102"/>
      <c r="C136" s="102"/>
      <c r="D136" s="102"/>
      <c r="E136" s="462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102"/>
      <c r="C137" s="102"/>
      <c r="D137" s="102"/>
      <c r="E137" s="46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102"/>
      <c r="C138" s="102"/>
      <c r="D138" s="102"/>
      <c r="E138" s="462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102"/>
      <c r="C139" s="102"/>
      <c r="D139" s="102"/>
      <c r="E139" s="46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102"/>
      <c r="C140" s="102"/>
      <c r="D140" s="102"/>
      <c r="E140" s="462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102"/>
      <c r="C141" s="102"/>
      <c r="D141" s="102"/>
      <c r="E141" s="46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102"/>
      <c r="C142" s="102"/>
      <c r="D142" s="102"/>
      <c r="E142" s="462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102"/>
      <c r="C143" s="102"/>
      <c r="D143" s="102"/>
      <c r="E143" s="46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102"/>
      <c r="C144" s="102"/>
      <c r="D144" s="102"/>
      <c r="E144" s="46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102"/>
      <c r="C145" s="102"/>
      <c r="D145" s="102"/>
      <c r="E145" s="46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102"/>
      <c r="C146" s="102"/>
      <c r="D146" s="102"/>
      <c r="E146" s="462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102"/>
      <c r="C147" s="102"/>
      <c r="D147" s="102"/>
      <c r="E147" s="46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102"/>
      <c r="C148" s="102"/>
      <c r="D148" s="102"/>
      <c r="E148" s="46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102"/>
      <c r="C149" s="102"/>
      <c r="D149" s="102"/>
      <c r="E149" s="46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102"/>
      <c r="C150" s="102"/>
      <c r="D150" s="102"/>
      <c r="E150" s="462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102"/>
      <c r="C151" s="102"/>
      <c r="D151" s="102"/>
      <c r="E151" s="46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102"/>
      <c r="C152" s="102"/>
      <c r="D152" s="102"/>
      <c r="E152" s="462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102"/>
      <c r="C153" s="102"/>
      <c r="D153" s="102"/>
      <c r="E153" s="46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102"/>
      <c r="C154" s="102"/>
      <c r="D154" s="102"/>
      <c r="E154" s="46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102"/>
      <c r="C155" s="102"/>
      <c r="D155" s="102"/>
      <c r="E155" s="46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102"/>
      <c r="C156" s="102"/>
      <c r="D156" s="102"/>
      <c r="E156" s="46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102"/>
      <c r="C157" s="102"/>
      <c r="D157" s="102"/>
      <c r="E157" s="46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102"/>
      <c r="C158" s="102"/>
      <c r="D158" s="102"/>
      <c r="E158" s="46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102"/>
      <c r="C159" s="102"/>
      <c r="D159" s="102"/>
      <c r="E159" s="46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102"/>
      <c r="C160" s="102"/>
      <c r="D160" s="102"/>
      <c r="E160" s="46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102"/>
      <c r="C161" s="102"/>
      <c r="D161" s="102"/>
      <c r="E161" s="46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102"/>
      <c r="C162" s="102"/>
      <c r="D162" s="102"/>
      <c r="E162" s="46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102"/>
      <c r="C163" s="102"/>
      <c r="D163" s="102"/>
      <c r="E163" s="46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102"/>
      <c r="C164" s="102"/>
      <c r="D164" s="102"/>
      <c r="E164" s="46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102"/>
      <c r="C165" s="102"/>
      <c r="D165" s="102"/>
      <c r="E165" s="46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102"/>
      <c r="C166" s="102"/>
      <c r="D166" s="102"/>
      <c r="E166" s="46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102"/>
      <c r="C167" s="102"/>
      <c r="D167" s="102"/>
      <c r="E167" s="46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102"/>
      <c r="C168" s="102"/>
      <c r="D168" s="102"/>
      <c r="E168" s="46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102"/>
      <c r="C169" s="102"/>
      <c r="D169" s="102"/>
      <c r="E169" s="46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102"/>
      <c r="C170" s="102"/>
      <c r="D170" s="102"/>
      <c r="E170" s="46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102"/>
      <c r="C171" s="102"/>
      <c r="D171" s="102"/>
      <c r="E171" s="46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102"/>
      <c r="C172" s="102"/>
      <c r="D172" s="102"/>
      <c r="E172" s="46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102"/>
      <c r="C173" s="102"/>
      <c r="D173" s="102"/>
      <c r="E173" s="46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102"/>
      <c r="C174" s="102"/>
      <c r="D174" s="102"/>
      <c r="E174" s="46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102"/>
      <c r="C175" s="102"/>
      <c r="D175" s="102"/>
      <c r="E175" s="46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102"/>
      <c r="C176" s="102"/>
      <c r="D176" s="102"/>
      <c r="E176" s="46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102"/>
      <c r="C177" s="102"/>
      <c r="D177" s="102"/>
      <c r="E177" s="46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102"/>
      <c r="C178" s="102"/>
      <c r="D178" s="102"/>
      <c r="E178" s="46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102"/>
      <c r="C179" s="102"/>
      <c r="D179" s="102"/>
      <c r="E179" s="46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102"/>
      <c r="C180" s="102"/>
      <c r="D180" s="102"/>
      <c r="E180" s="46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102"/>
      <c r="C181" s="102"/>
      <c r="D181" s="102"/>
      <c r="E181" s="46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102"/>
      <c r="C182" s="102"/>
      <c r="D182" s="102"/>
      <c r="E182" s="46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102"/>
      <c r="C183" s="102"/>
      <c r="D183" s="102"/>
      <c r="E183" s="46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102"/>
      <c r="C184" s="102"/>
      <c r="D184" s="102"/>
      <c r="E184" s="46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102"/>
      <c r="C185" s="102"/>
      <c r="D185" s="102"/>
      <c r="E185" s="46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102"/>
      <c r="C186" s="102"/>
      <c r="D186" s="102"/>
      <c r="E186" s="46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102"/>
      <c r="C187" s="102"/>
      <c r="D187" s="102"/>
      <c r="E187" s="46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102"/>
      <c r="C188" s="102"/>
      <c r="D188" s="102"/>
      <c r="E188" s="46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102"/>
      <c r="C189" s="102"/>
      <c r="D189" s="102"/>
      <c r="E189" s="46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102"/>
      <c r="C190" s="102"/>
      <c r="D190" s="102"/>
      <c r="E190" s="46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102"/>
      <c r="C191" s="102"/>
      <c r="D191" s="102"/>
      <c r="E191" s="46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102"/>
      <c r="C192" s="102"/>
      <c r="D192" s="102"/>
      <c r="E192" s="46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102"/>
      <c r="C193" s="102"/>
      <c r="D193" s="102"/>
      <c r="E193" s="46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102"/>
      <c r="C194" s="102"/>
      <c r="D194" s="102"/>
      <c r="E194" s="462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102"/>
      <c r="C195" s="102"/>
      <c r="D195" s="102"/>
      <c r="E195" s="462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102"/>
      <c r="C196" s="102"/>
      <c r="D196" s="102"/>
      <c r="E196" s="462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102"/>
      <c r="C197" s="102"/>
      <c r="D197" s="102"/>
      <c r="E197" s="462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102"/>
      <c r="C198" s="102"/>
      <c r="D198" s="102"/>
      <c r="E198" s="462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102"/>
      <c r="C199" s="102"/>
      <c r="D199" s="102"/>
      <c r="E199" s="462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102"/>
      <c r="C200" s="102"/>
      <c r="D200" s="102"/>
      <c r="E200" s="462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102"/>
      <c r="C201" s="102"/>
      <c r="D201" s="102"/>
      <c r="E201" s="462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102"/>
      <c r="C202" s="102"/>
      <c r="D202" s="102"/>
      <c r="E202" s="462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102"/>
      <c r="C203" s="102"/>
      <c r="D203" s="102"/>
      <c r="E203" s="462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102"/>
      <c r="C204" s="102"/>
      <c r="D204" s="102"/>
      <c r="E204" s="462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102"/>
      <c r="C205" s="102"/>
      <c r="D205" s="102"/>
      <c r="E205" s="462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102"/>
      <c r="C206" s="102"/>
      <c r="D206" s="102"/>
      <c r="E206" s="462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102"/>
      <c r="C207" s="102"/>
      <c r="D207" s="102"/>
      <c r="E207" s="462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102"/>
      <c r="C208" s="102"/>
      <c r="D208" s="102"/>
      <c r="E208" s="462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102"/>
      <c r="C209" s="102"/>
      <c r="D209" s="102"/>
      <c r="E209" s="462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102"/>
      <c r="C210" s="102"/>
      <c r="D210" s="102"/>
      <c r="E210" s="462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102"/>
      <c r="C211" s="102"/>
      <c r="D211" s="102"/>
      <c r="E211" s="462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102"/>
      <c r="C212" s="102"/>
      <c r="D212" s="102"/>
      <c r="E212" s="462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102"/>
      <c r="C213" s="102"/>
      <c r="D213" s="102"/>
      <c r="E213" s="462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102"/>
      <c r="C214" s="102"/>
      <c r="D214" s="102"/>
      <c r="E214" s="462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102"/>
      <c r="C215" s="102"/>
      <c r="D215" s="102"/>
      <c r="E215" s="462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102"/>
      <c r="C216" s="102"/>
      <c r="D216" s="102"/>
      <c r="E216" s="462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102"/>
      <c r="C217" s="102"/>
      <c r="D217" s="102"/>
      <c r="E217" s="462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102"/>
      <c r="C218" s="102"/>
      <c r="D218" s="102"/>
      <c r="E218" s="462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102"/>
      <c r="C219" s="102"/>
      <c r="D219" s="102"/>
      <c r="E219" s="462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102"/>
      <c r="C220" s="102"/>
      <c r="D220" s="102"/>
      <c r="E220" s="462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102"/>
      <c r="C221" s="102"/>
      <c r="D221" s="102"/>
      <c r="E221" s="462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102"/>
      <c r="C222" s="102"/>
      <c r="D222" s="102"/>
      <c r="E222" s="462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102"/>
      <c r="C223" s="102"/>
      <c r="D223" s="102"/>
      <c r="E223" s="462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102"/>
      <c r="C224" s="102"/>
      <c r="D224" s="102"/>
      <c r="E224" s="462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102"/>
      <c r="C225" s="102"/>
      <c r="D225" s="102"/>
      <c r="E225" s="462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102"/>
      <c r="C226" s="102"/>
      <c r="D226" s="102"/>
      <c r="E226" s="462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102"/>
      <c r="C227" s="102"/>
      <c r="D227" s="102"/>
      <c r="E227" s="462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102"/>
      <c r="C228" s="102"/>
      <c r="D228" s="102"/>
      <c r="E228" s="462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102"/>
      <c r="C229" s="102"/>
      <c r="D229" s="102"/>
      <c r="E229" s="462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102"/>
      <c r="C230" s="102"/>
      <c r="D230" s="102"/>
      <c r="E230" s="462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102"/>
      <c r="C231" s="102"/>
      <c r="D231" s="102"/>
      <c r="E231" s="462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102"/>
      <c r="C232" s="102"/>
      <c r="D232" s="102"/>
      <c r="E232" s="462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102"/>
      <c r="C233" s="102"/>
      <c r="D233" s="102"/>
      <c r="E233" s="462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102"/>
      <c r="C234" s="102"/>
      <c r="D234" s="102"/>
      <c r="E234" s="462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102"/>
      <c r="C235" s="102"/>
      <c r="D235" s="102"/>
      <c r="E235" s="462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102"/>
      <c r="C236" s="102"/>
      <c r="D236" s="102"/>
      <c r="E236" s="462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102"/>
      <c r="C237" s="102"/>
      <c r="D237" s="102"/>
      <c r="E237" s="462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102"/>
      <c r="C238" s="102"/>
      <c r="D238" s="102"/>
      <c r="E238" s="462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102"/>
      <c r="C239" s="102"/>
      <c r="D239" s="102"/>
      <c r="E239" s="462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102"/>
      <c r="C240" s="102"/>
      <c r="D240" s="102"/>
      <c r="E240" s="462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102"/>
      <c r="C241" s="102"/>
      <c r="D241" s="102"/>
      <c r="E241" s="462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102"/>
      <c r="C242" s="102"/>
      <c r="D242" s="102"/>
      <c r="E242" s="462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102"/>
      <c r="C243" s="102"/>
      <c r="D243" s="102"/>
      <c r="E243" s="462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102"/>
      <c r="C244" s="102"/>
      <c r="D244" s="102"/>
      <c r="E244" s="462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102"/>
      <c r="C245" s="102"/>
      <c r="D245" s="102"/>
      <c r="E245" s="462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102"/>
      <c r="C246" s="102"/>
      <c r="D246" s="102"/>
      <c r="E246" s="462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102"/>
      <c r="C247" s="102"/>
      <c r="D247" s="102"/>
      <c r="E247" s="462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102"/>
      <c r="C248" s="102"/>
      <c r="D248" s="102"/>
      <c r="E248" s="462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102"/>
      <c r="C249" s="102"/>
      <c r="D249" s="102"/>
      <c r="E249" s="462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102"/>
      <c r="C250" s="102"/>
      <c r="D250" s="102"/>
      <c r="E250" s="462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102"/>
      <c r="C251" s="102"/>
      <c r="D251" s="102"/>
      <c r="E251" s="462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102"/>
      <c r="C252" s="102"/>
      <c r="D252" s="102"/>
      <c r="E252" s="462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102"/>
      <c r="C253" s="102"/>
      <c r="D253" s="102"/>
      <c r="E253" s="462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102"/>
      <c r="C254" s="102"/>
      <c r="D254" s="102"/>
      <c r="E254" s="462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102"/>
      <c r="C255" s="102"/>
      <c r="D255" s="102"/>
      <c r="E255" s="462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102"/>
      <c r="C256" s="102"/>
      <c r="D256" s="102"/>
      <c r="E256" s="462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102"/>
      <c r="C257" s="102"/>
      <c r="D257" s="102"/>
      <c r="E257" s="462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102"/>
      <c r="C258" s="102"/>
      <c r="D258" s="102"/>
      <c r="E258" s="462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102"/>
      <c r="C259" s="102"/>
      <c r="D259" s="102"/>
      <c r="E259" s="462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102"/>
      <c r="C260" s="102"/>
      <c r="D260" s="102"/>
      <c r="E260" s="462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102"/>
      <c r="C261" s="102"/>
      <c r="D261" s="102"/>
      <c r="E261" s="462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102"/>
      <c r="C262" s="102"/>
      <c r="D262" s="102"/>
      <c r="E262" s="462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102"/>
      <c r="C263" s="102"/>
      <c r="D263" s="102"/>
      <c r="E263" s="462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102"/>
      <c r="C264" s="102"/>
      <c r="D264" s="102"/>
      <c r="E264" s="462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102"/>
      <c r="C265" s="102"/>
      <c r="D265" s="102"/>
      <c r="E265" s="462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102"/>
      <c r="C266" s="102"/>
      <c r="D266" s="102"/>
      <c r="E266" s="462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102"/>
      <c r="C267" s="102"/>
      <c r="D267" s="102"/>
      <c r="E267" s="462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102"/>
      <c r="C268" s="102"/>
      <c r="D268" s="102"/>
      <c r="E268" s="462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102"/>
      <c r="C269" s="102"/>
      <c r="D269" s="102"/>
      <c r="E269" s="462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102"/>
      <c r="C270" s="102"/>
      <c r="D270" s="102"/>
      <c r="E270" s="462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102"/>
      <c r="C271" s="102"/>
      <c r="D271" s="102"/>
      <c r="E271" s="462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102"/>
      <c r="C272" s="102"/>
      <c r="D272" s="102"/>
      <c r="E272" s="462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102"/>
      <c r="C273" s="102"/>
      <c r="D273" s="102"/>
      <c r="E273" s="462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102"/>
      <c r="C274" s="102"/>
      <c r="D274" s="102"/>
      <c r="E274" s="462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102"/>
      <c r="C275" s="102"/>
      <c r="D275" s="102"/>
      <c r="E275" s="462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102"/>
      <c r="C276" s="102"/>
      <c r="D276" s="102"/>
      <c r="E276" s="462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102"/>
      <c r="C277" s="102"/>
      <c r="D277" s="102"/>
      <c r="E277" s="462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102"/>
      <c r="C278" s="102"/>
      <c r="D278" s="102"/>
      <c r="E278" s="462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102"/>
      <c r="C279" s="102"/>
      <c r="D279" s="102"/>
      <c r="E279" s="462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102"/>
      <c r="C280" s="102"/>
      <c r="D280" s="102"/>
      <c r="E280" s="462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102"/>
      <c r="C281" s="102"/>
      <c r="D281" s="102"/>
      <c r="E281" s="462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102"/>
      <c r="C282" s="102"/>
      <c r="D282" s="102"/>
      <c r="E282" s="462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102"/>
      <c r="C283" s="102"/>
      <c r="D283" s="102"/>
      <c r="E283" s="462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102"/>
      <c r="C284" s="102"/>
      <c r="D284" s="102"/>
      <c r="E284" s="462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102"/>
      <c r="C285" s="102"/>
      <c r="D285" s="102"/>
      <c r="E285" s="462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102"/>
      <c r="C286" s="102"/>
      <c r="D286" s="102"/>
      <c r="E286" s="462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102"/>
      <c r="C287" s="102"/>
      <c r="D287" s="102"/>
      <c r="E287" s="462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102"/>
      <c r="C288" s="102"/>
      <c r="D288" s="102"/>
      <c r="E288" s="462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102"/>
      <c r="C289" s="102"/>
      <c r="D289" s="102"/>
      <c r="E289" s="462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102"/>
      <c r="C290" s="102"/>
      <c r="D290" s="102"/>
      <c r="E290" s="462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102"/>
      <c r="C291" s="102"/>
      <c r="D291" s="102"/>
      <c r="E291" s="462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102"/>
      <c r="C292" s="102"/>
      <c r="D292" s="102"/>
      <c r="E292" s="462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102"/>
      <c r="C293" s="102"/>
      <c r="D293" s="102"/>
      <c r="E293" s="462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102"/>
      <c r="C294" s="102"/>
      <c r="D294" s="102"/>
      <c r="E294" s="462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102"/>
      <c r="C295" s="102"/>
      <c r="D295" s="102"/>
      <c r="E295" s="462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102"/>
      <c r="C296" s="102"/>
      <c r="D296" s="102"/>
      <c r="E296" s="462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102"/>
      <c r="C297" s="102"/>
      <c r="D297" s="102"/>
      <c r="E297" s="462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102"/>
      <c r="C298" s="102"/>
      <c r="D298" s="102"/>
      <c r="E298" s="462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102"/>
      <c r="C299" s="102"/>
      <c r="D299" s="102"/>
      <c r="E299" s="462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102"/>
      <c r="C300" s="102"/>
      <c r="D300" s="102"/>
      <c r="E300" s="462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102"/>
      <c r="C301" s="102"/>
      <c r="D301" s="102"/>
      <c r="E301" s="462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102"/>
      <c r="C302" s="102"/>
      <c r="D302" s="102"/>
      <c r="E302" s="462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102"/>
      <c r="C303" s="102"/>
      <c r="D303" s="102"/>
      <c r="E303" s="462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102"/>
      <c r="C304" s="102"/>
      <c r="D304" s="102"/>
      <c r="E304" s="462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102"/>
      <c r="C305" s="102"/>
      <c r="D305" s="102"/>
      <c r="E305" s="462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102"/>
      <c r="C306" s="102"/>
      <c r="D306" s="102"/>
      <c r="E306" s="462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102"/>
      <c r="C307" s="102"/>
      <c r="D307" s="102"/>
      <c r="E307" s="462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102"/>
      <c r="C308" s="102"/>
      <c r="D308" s="102"/>
      <c r="E308" s="462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102"/>
      <c r="C309" s="102"/>
      <c r="D309" s="102"/>
      <c r="E309" s="462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102"/>
      <c r="C310" s="102"/>
      <c r="D310" s="102"/>
      <c r="E310" s="462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102"/>
      <c r="C311" s="102"/>
      <c r="D311" s="102"/>
      <c r="E311" s="462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102"/>
      <c r="C312" s="102"/>
      <c r="D312" s="102"/>
      <c r="E312" s="462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102"/>
      <c r="C313" s="102"/>
      <c r="D313" s="102"/>
      <c r="E313" s="462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102"/>
      <c r="C314" s="102"/>
      <c r="D314" s="102"/>
      <c r="E314" s="462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102"/>
      <c r="C315" s="102"/>
      <c r="D315" s="102"/>
      <c r="E315" s="462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102"/>
      <c r="C316" s="102"/>
      <c r="D316" s="102"/>
      <c r="E316" s="462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102"/>
      <c r="C317" s="102"/>
      <c r="D317" s="102"/>
      <c r="E317" s="462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102"/>
      <c r="C318" s="102"/>
      <c r="D318" s="102"/>
      <c r="E318" s="462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102"/>
      <c r="C319" s="102"/>
      <c r="D319" s="102"/>
      <c r="E319" s="462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102"/>
      <c r="C320" s="102"/>
      <c r="D320" s="102"/>
      <c r="E320" s="462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102"/>
      <c r="C321" s="102"/>
      <c r="D321" s="102"/>
      <c r="E321" s="462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102"/>
      <c r="C322" s="102"/>
      <c r="D322" s="102"/>
      <c r="E322" s="462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102"/>
      <c r="C323" s="102"/>
      <c r="D323" s="102"/>
      <c r="E323" s="462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102"/>
      <c r="C324" s="102"/>
      <c r="D324" s="102"/>
      <c r="E324" s="462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102"/>
      <c r="C325" s="102"/>
      <c r="D325" s="102"/>
      <c r="E325" s="46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102"/>
      <c r="C326" s="102"/>
      <c r="D326" s="102"/>
      <c r="E326" s="46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102"/>
      <c r="C327" s="102"/>
      <c r="D327" s="102"/>
      <c r="E327" s="462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102"/>
      <c r="C328" s="102"/>
      <c r="D328" s="102"/>
      <c r="E328" s="462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102"/>
      <c r="C329" s="102"/>
      <c r="D329" s="102"/>
      <c r="E329" s="462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102"/>
      <c r="C330" s="102"/>
      <c r="D330" s="102"/>
      <c r="E330" s="462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102"/>
      <c r="C331" s="102"/>
      <c r="D331" s="102"/>
      <c r="E331" s="462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102"/>
      <c r="C332" s="102"/>
      <c r="D332" s="102"/>
      <c r="E332" s="462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102"/>
      <c r="C333" s="102"/>
      <c r="D333" s="102"/>
      <c r="E333" s="462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102"/>
      <c r="C334" s="102"/>
      <c r="D334" s="102"/>
      <c r="E334" s="462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102"/>
      <c r="C335" s="102"/>
      <c r="D335" s="102"/>
      <c r="E335" s="462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102"/>
      <c r="C336" s="102"/>
      <c r="D336" s="102"/>
      <c r="E336" s="462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102"/>
      <c r="C337" s="102"/>
      <c r="D337" s="102"/>
      <c r="E337" s="462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102"/>
      <c r="C338" s="102"/>
      <c r="D338" s="102"/>
      <c r="E338" s="462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102"/>
      <c r="C339" s="102"/>
      <c r="D339" s="102"/>
      <c r="E339" s="462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102"/>
      <c r="C340" s="102"/>
      <c r="D340" s="102"/>
      <c r="E340" s="462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102"/>
      <c r="C341" s="102"/>
      <c r="D341" s="102"/>
      <c r="E341" s="462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102"/>
      <c r="C342" s="102"/>
      <c r="D342" s="102"/>
      <c r="E342" s="462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102"/>
      <c r="C343" s="102"/>
      <c r="D343" s="102"/>
      <c r="E343" s="462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102"/>
      <c r="C344" s="102"/>
      <c r="D344" s="102"/>
      <c r="E344" s="462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102"/>
      <c r="C345" s="102"/>
      <c r="D345" s="102"/>
      <c r="E345" s="462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102"/>
      <c r="C346" s="102"/>
      <c r="D346" s="102"/>
      <c r="E346" s="462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102"/>
      <c r="C347" s="102"/>
      <c r="D347" s="102"/>
      <c r="E347" s="462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102"/>
      <c r="C348" s="102"/>
      <c r="D348" s="102"/>
      <c r="E348" s="462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102"/>
      <c r="C349" s="102"/>
      <c r="D349" s="102"/>
      <c r="E349" s="462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102"/>
      <c r="C350" s="102"/>
      <c r="D350" s="102"/>
      <c r="E350" s="462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102"/>
      <c r="C351" s="102"/>
      <c r="D351" s="102"/>
      <c r="E351" s="462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102"/>
      <c r="C352" s="102"/>
      <c r="D352" s="102"/>
      <c r="E352" s="462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102"/>
      <c r="C353" s="102"/>
      <c r="D353" s="102"/>
      <c r="E353" s="462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102"/>
      <c r="C354" s="102"/>
      <c r="D354" s="102"/>
      <c r="E354" s="462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102"/>
      <c r="C355" s="102"/>
      <c r="D355" s="102"/>
      <c r="E355" s="462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102"/>
      <c r="C356" s="102"/>
      <c r="D356" s="102"/>
      <c r="E356" s="462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102"/>
      <c r="C357" s="102"/>
      <c r="D357" s="102"/>
      <c r="E357" s="462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102"/>
      <c r="C358" s="102"/>
      <c r="D358" s="102"/>
      <c r="E358" s="462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102"/>
      <c r="C359" s="102"/>
      <c r="D359" s="102"/>
      <c r="E359" s="462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102"/>
      <c r="C360" s="102"/>
      <c r="D360" s="102"/>
      <c r="E360" s="462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102"/>
      <c r="C361" s="102"/>
      <c r="D361" s="102"/>
      <c r="E361" s="462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102"/>
      <c r="C362" s="102"/>
      <c r="D362" s="102"/>
      <c r="E362" s="462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102"/>
      <c r="C363" s="102"/>
      <c r="D363" s="102"/>
      <c r="E363" s="462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102"/>
      <c r="C364" s="102"/>
      <c r="D364" s="102"/>
      <c r="E364" s="462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102"/>
      <c r="C365" s="102"/>
      <c r="D365" s="102"/>
      <c r="E365" s="462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102"/>
      <c r="C366" s="102"/>
      <c r="D366" s="102"/>
      <c r="E366" s="462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102"/>
      <c r="C367" s="102"/>
      <c r="D367" s="102"/>
      <c r="E367" s="462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102"/>
      <c r="C368" s="102"/>
      <c r="D368" s="102"/>
      <c r="E368" s="462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102"/>
      <c r="C369" s="102"/>
      <c r="D369" s="102"/>
      <c r="E369" s="462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102"/>
      <c r="C370" s="102"/>
      <c r="D370" s="102"/>
      <c r="E370" s="462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102"/>
      <c r="C371" s="102"/>
      <c r="D371" s="102"/>
      <c r="E371" s="462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102"/>
      <c r="C372" s="102"/>
      <c r="D372" s="102"/>
      <c r="E372" s="462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102"/>
      <c r="C373" s="102"/>
      <c r="D373" s="102"/>
      <c r="E373" s="462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102"/>
      <c r="C374" s="102"/>
      <c r="D374" s="102"/>
      <c r="E374" s="462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102"/>
      <c r="C375" s="102"/>
      <c r="D375" s="102"/>
      <c r="E375" s="462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102"/>
      <c r="C376" s="102"/>
      <c r="D376" s="102"/>
      <c r="E376" s="462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102"/>
      <c r="C377" s="102"/>
      <c r="D377" s="102"/>
      <c r="E377" s="462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102"/>
      <c r="C378" s="102"/>
      <c r="D378" s="102"/>
      <c r="E378" s="462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102"/>
      <c r="C379" s="102"/>
      <c r="D379" s="102"/>
      <c r="E379" s="462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102"/>
      <c r="C380" s="102"/>
      <c r="D380" s="102"/>
      <c r="E380" s="462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102"/>
      <c r="C381" s="102"/>
      <c r="D381" s="102"/>
      <c r="E381" s="462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102"/>
      <c r="C382" s="102"/>
      <c r="D382" s="102"/>
      <c r="E382" s="462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102"/>
      <c r="C383" s="102"/>
      <c r="D383" s="102"/>
      <c r="E383" s="462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102"/>
      <c r="C384" s="102"/>
      <c r="D384" s="102"/>
      <c r="E384" s="462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102"/>
      <c r="C385" s="102"/>
      <c r="D385" s="102"/>
      <c r="E385" s="462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102"/>
      <c r="C386" s="102"/>
      <c r="D386" s="102"/>
      <c r="E386" s="462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102"/>
      <c r="C387" s="102"/>
      <c r="D387" s="102"/>
      <c r="E387" s="462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102"/>
      <c r="C388" s="102"/>
      <c r="D388" s="102"/>
      <c r="E388" s="462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102"/>
      <c r="C389" s="102"/>
      <c r="D389" s="102"/>
      <c r="E389" s="462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102"/>
      <c r="C390" s="102"/>
      <c r="D390" s="102"/>
      <c r="E390" s="462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102"/>
      <c r="C391" s="102"/>
      <c r="D391" s="102"/>
      <c r="E391" s="462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102"/>
      <c r="C392" s="102"/>
      <c r="D392" s="102"/>
      <c r="E392" s="462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102"/>
      <c r="C393" s="102"/>
      <c r="D393" s="102"/>
      <c r="E393" s="462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102"/>
      <c r="C394" s="102"/>
      <c r="D394" s="102"/>
      <c r="E394" s="462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102"/>
      <c r="C395" s="102"/>
      <c r="D395" s="102"/>
      <c r="E395" s="462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102"/>
      <c r="C396" s="102"/>
      <c r="D396" s="102"/>
      <c r="E396" s="462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102"/>
      <c r="C397" s="102"/>
      <c r="D397" s="102"/>
      <c r="E397" s="462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102"/>
      <c r="C398" s="102"/>
      <c r="D398" s="102"/>
      <c r="E398" s="462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102"/>
      <c r="C399" s="102"/>
      <c r="D399" s="102"/>
      <c r="E399" s="462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102"/>
      <c r="C400" s="102"/>
      <c r="D400" s="102"/>
      <c r="E400" s="462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102"/>
      <c r="C401" s="102"/>
      <c r="D401" s="102"/>
      <c r="E401" s="462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102"/>
      <c r="C402" s="102"/>
      <c r="D402" s="102"/>
      <c r="E402" s="462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102"/>
      <c r="C403" s="102"/>
      <c r="D403" s="102"/>
      <c r="E403" s="462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102"/>
      <c r="C404" s="102"/>
      <c r="D404" s="102"/>
      <c r="E404" s="462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102"/>
      <c r="C405" s="102"/>
      <c r="D405" s="102"/>
      <c r="E405" s="462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102"/>
      <c r="C406" s="102"/>
      <c r="D406" s="102"/>
      <c r="E406" s="462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102"/>
      <c r="C407" s="102"/>
      <c r="D407" s="102"/>
      <c r="E407" s="462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102"/>
      <c r="C408" s="102"/>
      <c r="D408" s="102"/>
      <c r="E408" s="462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102"/>
      <c r="C409" s="102"/>
      <c r="D409" s="102"/>
      <c r="E409" s="462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102"/>
      <c r="C410" s="102"/>
      <c r="D410" s="102"/>
      <c r="E410" s="462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102"/>
      <c r="C411" s="102"/>
      <c r="D411" s="102"/>
      <c r="E411" s="462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102"/>
      <c r="C412" s="102"/>
      <c r="D412" s="102"/>
      <c r="E412" s="462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102"/>
      <c r="C413" s="102"/>
      <c r="D413" s="102"/>
      <c r="E413" s="462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102"/>
      <c r="C414" s="102"/>
      <c r="D414" s="102"/>
      <c r="E414" s="462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102"/>
      <c r="C415" s="102"/>
      <c r="D415" s="102"/>
      <c r="E415" s="462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102"/>
      <c r="C416" s="102"/>
      <c r="D416" s="102"/>
      <c r="E416" s="462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102"/>
      <c r="C417" s="102"/>
      <c r="D417" s="102"/>
      <c r="E417" s="462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102"/>
      <c r="C418" s="102"/>
      <c r="D418" s="102"/>
      <c r="E418" s="462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102"/>
      <c r="C419" s="102"/>
      <c r="D419" s="102"/>
      <c r="E419" s="462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102"/>
      <c r="C420" s="102"/>
      <c r="D420" s="102"/>
      <c r="E420" s="462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102"/>
      <c r="C421" s="102"/>
      <c r="D421" s="102"/>
      <c r="E421" s="462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102"/>
      <c r="C422" s="102"/>
      <c r="D422" s="102"/>
      <c r="E422" s="462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102"/>
      <c r="C423" s="102"/>
      <c r="D423" s="102"/>
      <c r="E423" s="462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102"/>
      <c r="C424" s="102"/>
      <c r="D424" s="102"/>
      <c r="E424" s="462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102"/>
      <c r="C425" s="102"/>
      <c r="D425" s="102"/>
      <c r="E425" s="462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102"/>
      <c r="C426" s="102"/>
      <c r="D426" s="102"/>
      <c r="E426" s="462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102"/>
      <c r="C427" s="102"/>
      <c r="D427" s="102"/>
      <c r="E427" s="462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102"/>
      <c r="C428" s="102"/>
      <c r="D428" s="102"/>
      <c r="E428" s="462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102"/>
      <c r="C429" s="102"/>
      <c r="D429" s="102"/>
      <c r="E429" s="462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102"/>
      <c r="C430" s="102"/>
      <c r="D430" s="102"/>
      <c r="E430" s="462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102"/>
      <c r="C431" s="102"/>
      <c r="D431" s="102"/>
      <c r="E431" s="462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102"/>
      <c r="C432" s="102"/>
      <c r="D432" s="102"/>
      <c r="E432" s="462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102"/>
      <c r="C433" s="102"/>
      <c r="D433" s="102"/>
      <c r="E433" s="462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102"/>
      <c r="C434" s="102"/>
      <c r="D434" s="102"/>
      <c r="E434" s="462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102"/>
      <c r="C435" s="102"/>
      <c r="D435" s="102"/>
      <c r="E435" s="462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102"/>
      <c r="C436" s="102"/>
      <c r="D436" s="102"/>
      <c r="E436" s="462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102"/>
      <c r="C437" s="102"/>
      <c r="D437" s="102"/>
      <c r="E437" s="462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102"/>
      <c r="C438" s="102"/>
      <c r="D438" s="102"/>
      <c r="E438" s="462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102"/>
      <c r="C439" s="102"/>
      <c r="D439" s="102"/>
      <c r="E439" s="462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102"/>
      <c r="C440" s="102"/>
      <c r="D440" s="102"/>
      <c r="E440" s="462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102"/>
      <c r="C441" s="102"/>
      <c r="D441" s="102"/>
      <c r="E441" s="462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102"/>
      <c r="C442" s="102"/>
      <c r="D442" s="102"/>
      <c r="E442" s="462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102"/>
      <c r="C443" s="102"/>
      <c r="D443" s="102"/>
      <c r="E443" s="462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102"/>
      <c r="C444" s="102"/>
      <c r="D444" s="102"/>
      <c r="E444" s="462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102"/>
      <c r="C445" s="102"/>
      <c r="D445" s="102"/>
      <c r="E445" s="462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102"/>
      <c r="C446" s="102"/>
      <c r="D446" s="102"/>
      <c r="E446" s="462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102"/>
      <c r="C447" s="102"/>
      <c r="D447" s="102"/>
      <c r="E447" s="462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102"/>
      <c r="C448" s="102"/>
      <c r="D448" s="102"/>
      <c r="E448" s="462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102"/>
      <c r="C449" s="102"/>
      <c r="D449" s="102"/>
      <c r="E449" s="462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102"/>
      <c r="C450" s="102"/>
      <c r="D450" s="102"/>
      <c r="E450" s="462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102"/>
      <c r="C451" s="102"/>
      <c r="D451" s="102"/>
      <c r="E451" s="462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102"/>
      <c r="C452" s="102"/>
      <c r="D452" s="102"/>
      <c r="E452" s="462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102"/>
      <c r="C453" s="102"/>
      <c r="D453" s="102"/>
      <c r="E453" s="462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102"/>
      <c r="C454" s="102"/>
      <c r="D454" s="102"/>
      <c r="E454" s="462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102"/>
      <c r="C455" s="102"/>
      <c r="D455" s="102"/>
      <c r="E455" s="462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102"/>
      <c r="C456" s="102"/>
      <c r="D456" s="102"/>
      <c r="E456" s="462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102"/>
      <c r="C457" s="102"/>
      <c r="D457" s="102"/>
      <c r="E457" s="462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102"/>
      <c r="C458" s="102"/>
      <c r="D458" s="102"/>
      <c r="E458" s="462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102"/>
      <c r="C459" s="102"/>
      <c r="D459" s="102"/>
      <c r="E459" s="462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102"/>
      <c r="C460" s="102"/>
      <c r="D460" s="102"/>
      <c r="E460" s="462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102"/>
      <c r="C461" s="102"/>
      <c r="D461" s="102"/>
      <c r="E461" s="462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102"/>
      <c r="C462" s="102"/>
      <c r="D462" s="102"/>
      <c r="E462" s="462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102"/>
      <c r="C463" s="102"/>
      <c r="D463" s="102"/>
      <c r="E463" s="462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102"/>
      <c r="C464" s="102"/>
      <c r="D464" s="102"/>
      <c r="E464" s="462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102"/>
      <c r="C465" s="102"/>
      <c r="D465" s="102"/>
      <c r="E465" s="462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102"/>
      <c r="C466" s="102"/>
      <c r="D466" s="102"/>
      <c r="E466" s="462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102"/>
      <c r="C467" s="102"/>
      <c r="D467" s="102"/>
      <c r="E467" s="462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102"/>
      <c r="C468" s="102"/>
      <c r="D468" s="102"/>
      <c r="E468" s="462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102"/>
      <c r="C469" s="102"/>
      <c r="D469" s="102"/>
      <c r="E469" s="462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102"/>
      <c r="C470" s="102"/>
      <c r="D470" s="102"/>
      <c r="E470" s="462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102"/>
      <c r="C471" s="102"/>
      <c r="D471" s="102"/>
      <c r="E471" s="462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102"/>
      <c r="C472" s="102"/>
      <c r="D472" s="102"/>
      <c r="E472" s="462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102"/>
      <c r="C473" s="102"/>
      <c r="D473" s="102"/>
      <c r="E473" s="462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102"/>
      <c r="C474" s="102"/>
      <c r="D474" s="102"/>
      <c r="E474" s="462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102"/>
      <c r="C475" s="102"/>
      <c r="D475" s="102"/>
      <c r="E475" s="462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102"/>
      <c r="C476" s="102"/>
      <c r="D476" s="102"/>
      <c r="E476" s="462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102"/>
      <c r="C477" s="102"/>
      <c r="D477" s="102"/>
      <c r="E477" s="462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102"/>
      <c r="C478" s="102"/>
      <c r="D478" s="102"/>
      <c r="E478" s="462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102"/>
      <c r="C479" s="102"/>
      <c r="D479" s="102"/>
      <c r="E479" s="462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102"/>
      <c r="C480" s="102"/>
      <c r="D480" s="102"/>
      <c r="E480" s="462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102"/>
      <c r="C481" s="102"/>
      <c r="D481" s="102"/>
      <c r="E481" s="462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102"/>
      <c r="C482" s="102"/>
      <c r="D482" s="102"/>
      <c r="E482" s="462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102"/>
      <c r="C483" s="102"/>
      <c r="D483" s="102"/>
      <c r="E483" s="462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102"/>
      <c r="C484" s="102"/>
      <c r="D484" s="102"/>
      <c r="E484" s="462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102"/>
      <c r="C485" s="102"/>
      <c r="D485" s="102"/>
      <c r="E485" s="462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102"/>
      <c r="C486" s="102"/>
      <c r="D486" s="102"/>
      <c r="E486" s="462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102"/>
      <c r="C487" s="102"/>
      <c r="D487" s="102"/>
      <c r="E487" s="462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102"/>
      <c r="C488" s="102"/>
      <c r="D488" s="102"/>
      <c r="E488" s="462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102"/>
      <c r="C489" s="102"/>
      <c r="D489" s="102"/>
      <c r="E489" s="462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102"/>
      <c r="C490" s="102"/>
      <c r="D490" s="102"/>
      <c r="E490" s="462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102"/>
      <c r="C491" s="102"/>
      <c r="D491" s="102"/>
      <c r="E491" s="462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102"/>
      <c r="C492" s="102"/>
      <c r="D492" s="102"/>
      <c r="E492" s="462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102"/>
      <c r="C493" s="102"/>
      <c r="D493" s="102"/>
      <c r="E493" s="462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102"/>
      <c r="C494" s="102"/>
      <c r="D494" s="102"/>
      <c r="E494" s="462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102"/>
      <c r="C495" s="102"/>
      <c r="D495" s="102"/>
      <c r="E495" s="462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102"/>
      <c r="C496" s="102"/>
      <c r="D496" s="102"/>
      <c r="E496" s="462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102"/>
      <c r="C497" s="102"/>
      <c r="D497" s="102"/>
      <c r="E497" s="462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102"/>
      <c r="C498" s="102"/>
      <c r="D498" s="102"/>
      <c r="E498" s="462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102"/>
      <c r="C499" s="102"/>
      <c r="D499" s="102"/>
      <c r="E499" s="462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102"/>
      <c r="C500" s="102"/>
      <c r="D500" s="102"/>
      <c r="E500" s="462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102"/>
      <c r="C501" s="102"/>
      <c r="D501" s="102"/>
      <c r="E501" s="462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102"/>
      <c r="C502" s="102"/>
      <c r="D502" s="102"/>
      <c r="E502" s="462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102"/>
      <c r="C503" s="102"/>
      <c r="D503" s="102"/>
      <c r="E503" s="462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102"/>
      <c r="C504" s="102"/>
      <c r="D504" s="102"/>
      <c r="E504" s="462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102"/>
      <c r="C505" s="102"/>
      <c r="D505" s="102"/>
      <c r="E505" s="462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102"/>
      <c r="C506" s="102"/>
      <c r="D506" s="102"/>
      <c r="E506" s="462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102"/>
      <c r="C507" s="102"/>
      <c r="D507" s="102"/>
      <c r="E507" s="462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102"/>
      <c r="C508" s="102"/>
      <c r="D508" s="102"/>
      <c r="E508" s="462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102"/>
      <c r="C509" s="102"/>
      <c r="D509" s="102"/>
      <c r="E509" s="462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102"/>
      <c r="C510" s="102"/>
      <c r="D510" s="102"/>
      <c r="E510" s="462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102"/>
      <c r="C511" s="102"/>
      <c r="D511" s="102"/>
      <c r="E511" s="462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102"/>
      <c r="C512" s="102"/>
      <c r="D512" s="102"/>
      <c r="E512" s="462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102"/>
      <c r="C513" s="102"/>
      <c r="D513" s="102"/>
      <c r="E513" s="462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102"/>
      <c r="C514" s="102"/>
      <c r="D514" s="102"/>
      <c r="E514" s="462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102"/>
      <c r="C515" s="102"/>
      <c r="D515" s="102"/>
      <c r="E515" s="462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102"/>
      <c r="C516" s="102"/>
      <c r="D516" s="102"/>
      <c r="E516" s="462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102"/>
      <c r="C517" s="102"/>
      <c r="D517" s="102"/>
      <c r="E517" s="462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102"/>
      <c r="C518" s="102"/>
      <c r="D518" s="102"/>
      <c r="E518" s="462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102"/>
      <c r="C519" s="102"/>
      <c r="D519" s="102"/>
      <c r="E519" s="462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102"/>
      <c r="C520" s="102"/>
      <c r="D520" s="102"/>
      <c r="E520" s="462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102"/>
      <c r="C521" s="102"/>
      <c r="D521" s="102"/>
      <c r="E521" s="462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102"/>
      <c r="C522" s="102"/>
      <c r="D522" s="102"/>
      <c r="E522" s="462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102"/>
      <c r="C523" s="102"/>
      <c r="D523" s="102"/>
      <c r="E523" s="462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102"/>
      <c r="C524" s="102"/>
      <c r="D524" s="102"/>
      <c r="E524" s="462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102"/>
      <c r="C525" s="102"/>
      <c r="D525" s="102"/>
      <c r="E525" s="462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102"/>
      <c r="C526" s="102"/>
      <c r="D526" s="102"/>
      <c r="E526" s="462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102"/>
      <c r="C527" s="102"/>
      <c r="D527" s="102"/>
      <c r="E527" s="462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102"/>
      <c r="C528" s="102"/>
      <c r="D528" s="102"/>
      <c r="E528" s="462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102"/>
      <c r="C529" s="102"/>
      <c r="D529" s="102"/>
      <c r="E529" s="462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102"/>
      <c r="C530" s="102"/>
      <c r="D530" s="102"/>
      <c r="E530" s="462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102"/>
      <c r="C531" s="102"/>
      <c r="D531" s="102"/>
      <c r="E531" s="462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102"/>
      <c r="C532" s="102"/>
      <c r="D532" s="102"/>
      <c r="E532" s="462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102"/>
      <c r="C533" s="102"/>
      <c r="D533" s="102"/>
      <c r="E533" s="462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102"/>
      <c r="C534" s="102"/>
      <c r="D534" s="102"/>
      <c r="E534" s="462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102"/>
      <c r="C535" s="102"/>
      <c r="D535" s="102"/>
      <c r="E535" s="462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102"/>
      <c r="C536" s="102"/>
      <c r="D536" s="102"/>
      <c r="E536" s="462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102"/>
      <c r="C537" s="102"/>
      <c r="D537" s="102"/>
      <c r="E537" s="462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102"/>
      <c r="C538" s="102"/>
      <c r="D538" s="102"/>
      <c r="E538" s="462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102"/>
      <c r="C539" s="102"/>
      <c r="D539" s="102"/>
      <c r="E539" s="462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102"/>
      <c r="C540" s="102"/>
      <c r="D540" s="102"/>
      <c r="E540" s="462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102"/>
      <c r="C541" s="102"/>
      <c r="D541" s="102"/>
      <c r="E541" s="462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102"/>
      <c r="C542" s="102"/>
      <c r="D542" s="102"/>
      <c r="E542" s="462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102"/>
      <c r="C543" s="102"/>
      <c r="D543" s="102"/>
      <c r="E543" s="462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102"/>
      <c r="C544" s="102"/>
      <c r="D544" s="102"/>
      <c r="E544" s="462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102"/>
      <c r="C545" s="102"/>
      <c r="D545" s="102"/>
      <c r="E545" s="462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102"/>
      <c r="C546" s="102"/>
      <c r="D546" s="102"/>
      <c r="E546" s="462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102"/>
      <c r="C547" s="102"/>
      <c r="D547" s="102"/>
      <c r="E547" s="462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102"/>
      <c r="C548" s="102"/>
      <c r="D548" s="102"/>
      <c r="E548" s="462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102"/>
      <c r="C549" s="102"/>
      <c r="D549" s="102"/>
      <c r="E549" s="462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102"/>
      <c r="C550" s="102"/>
      <c r="D550" s="102"/>
      <c r="E550" s="462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102"/>
      <c r="C551" s="102"/>
      <c r="D551" s="102"/>
      <c r="E551" s="462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102"/>
      <c r="C552" s="102"/>
      <c r="D552" s="102"/>
      <c r="E552" s="462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102"/>
      <c r="C553" s="102"/>
      <c r="D553" s="102"/>
      <c r="E553" s="462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102"/>
      <c r="C554" s="102"/>
      <c r="D554" s="102"/>
      <c r="E554" s="462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102"/>
      <c r="C555" s="102"/>
      <c r="D555" s="102"/>
      <c r="E555" s="462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102"/>
      <c r="C556" s="102"/>
      <c r="D556" s="102"/>
      <c r="E556" s="462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102"/>
      <c r="C557" s="102"/>
      <c r="D557" s="102"/>
      <c r="E557" s="462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102"/>
      <c r="C558" s="102"/>
      <c r="D558" s="102"/>
      <c r="E558" s="462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102"/>
      <c r="C559" s="102"/>
      <c r="D559" s="102"/>
      <c r="E559" s="462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102"/>
      <c r="C560" s="102"/>
      <c r="D560" s="102"/>
      <c r="E560" s="462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102"/>
      <c r="C561" s="102"/>
      <c r="D561" s="102"/>
      <c r="E561" s="462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102"/>
      <c r="C562" s="102"/>
      <c r="D562" s="102"/>
      <c r="E562" s="462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102"/>
      <c r="C563" s="102"/>
      <c r="D563" s="102"/>
      <c r="E563" s="462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102"/>
      <c r="C564" s="102"/>
      <c r="D564" s="102"/>
      <c r="E564" s="462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102"/>
      <c r="C565" s="102"/>
      <c r="D565" s="102"/>
      <c r="E565" s="462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102"/>
      <c r="C566" s="102"/>
      <c r="D566" s="102"/>
      <c r="E566" s="462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102"/>
      <c r="C567" s="102"/>
      <c r="D567" s="102"/>
      <c r="E567" s="462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102"/>
      <c r="C568" s="102"/>
      <c r="D568" s="102"/>
      <c r="E568" s="462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102"/>
      <c r="C569" s="102"/>
      <c r="D569" s="102"/>
      <c r="E569" s="462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102"/>
      <c r="C570" s="102"/>
      <c r="D570" s="102"/>
      <c r="E570" s="462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102"/>
      <c r="C571" s="102"/>
      <c r="D571" s="102"/>
      <c r="E571" s="462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102"/>
      <c r="C572" s="102"/>
      <c r="D572" s="102"/>
      <c r="E572" s="462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102"/>
      <c r="C573" s="102"/>
      <c r="D573" s="102"/>
      <c r="E573" s="462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102"/>
      <c r="C574" s="102"/>
      <c r="D574" s="102"/>
      <c r="E574" s="462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102"/>
      <c r="C575" s="102"/>
      <c r="D575" s="102"/>
      <c r="E575" s="462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102"/>
      <c r="C576" s="102"/>
      <c r="D576" s="102"/>
      <c r="E576" s="462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102"/>
      <c r="C577" s="102"/>
      <c r="D577" s="102"/>
      <c r="E577" s="462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102"/>
      <c r="C578" s="102"/>
      <c r="D578" s="102"/>
      <c r="E578" s="462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102"/>
      <c r="C579" s="102"/>
      <c r="D579" s="102"/>
      <c r="E579" s="462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102"/>
      <c r="C580" s="102"/>
      <c r="D580" s="102"/>
      <c r="E580" s="462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102"/>
      <c r="C581" s="102"/>
      <c r="D581" s="102"/>
      <c r="E581" s="462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102"/>
      <c r="C582" s="102"/>
      <c r="D582" s="102"/>
      <c r="E582" s="462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102"/>
      <c r="C583" s="102"/>
      <c r="D583" s="102"/>
      <c r="E583" s="462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102"/>
      <c r="C584" s="102"/>
      <c r="D584" s="102"/>
      <c r="E584" s="462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102"/>
      <c r="C585" s="102"/>
      <c r="D585" s="102"/>
      <c r="E585" s="462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102"/>
      <c r="C586" s="102"/>
      <c r="D586" s="102"/>
      <c r="E586" s="462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102"/>
      <c r="C587" s="102"/>
      <c r="D587" s="102"/>
      <c r="E587" s="462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102"/>
      <c r="C588" s="102"/>
      <c r="D588" s="102"/>
      <c r="E588" s="462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102"/>
      <c r="C589" s="102"/>
      <c r="D589" s="102"/>
      <c r="E589" s="462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102"/>
      <c r="C590" s="102"/>
      <c r="D590" s="102"/>
      <c r="E590" s="462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102"/>
      <c r="C591" s="102"/>
      <c r="D591" s="102"/>
      <c r="E591" s="462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102"/>
      <c r="C592" s="102"/>
      <c r="D592" s="102"/>
      <c r="E592" s="462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102"/>
      <c r="C593" s="102"/>
      <c r="D593" s="102"/>
      <c r="E593" s="462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102"/>
      <c r="C594" s="102"/>
      <c r="D594" s="102"/>
      <c r="E594" s="462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102"/>
      <c r="C595" s="102"/>
      <c r="D595" s="102"/>
      <c r="E595" s="462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102"/>
      <c r="C596" s="102"/>
      <c r="D596" s="102"/>
      <c r="E596" s="462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102"/>
      <c r="C597" s="102"/>
      <c r="D597" s="102"/>
      <c r="E597" s="462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102"/>
      <c r="C598" s="102"/>
      <c r="D598" s="102"/>
      <c r="E598" s="462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102"/>
      <c r="C599" s="102"/>
      <c r="D599" s="102"/>
      <c r="E599" s="462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102"/>
      <c r="C600" s="102"/>
      <c r="D600" s="102"/>
      <c r="E600" s="462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102"/>
      <c r="C601" s="102"/>
      <c r="D601" s="102"/>
      <c r="E601" s="462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102"/>
      <c r="C602" s="102"/>
      <c r="D602" s="102"/>
      <c r="E602" s="46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102"/>
      <c r="C603" s="102"/>
      <c r="D603" s="102"/>
      <c r="E603" s="462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102"/>
      <c r="C604" s="102"/>
      <c r="D604" s="102"/>
      <c r="E604" s="462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102"/>
      <c r="C605" s="102"/>
      <c r="D605" s="102"/>
      <c r="E605" s="462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102"/>
      <c r="C606" s="102"/>
      <c r="D606" s="102"/>
      <c r="E606" s="462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102"/>
      <c r="C607" s="102"/>
      <c r="D607" s="102"/>
      <c r="E607" s="462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102"/>
      <c r="C608" s="102"/>
      <c r="D608" s="102"/>
      <c r="E608" s="462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102"/>
      <c r="C609" s="102"/>
      <c r="D609" s="102"/>
      <c r="E609" s="462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102"/>
      <c r="C610" s="102"/>
      <c r="D610" s="102"/>
      <c r="E610" s="462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102"/>
      <c r="C611" s="102"/>
      <c r="D611" s="102"/>
      <c r="E611" s="462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102"/>
      <c r="C612" s="102"/>
      <c r="D612" s="102"/>
      <c r="E612" s="462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102"/>
      <c r="C613" s="102"/>
      <c r="D613" s="102"/>
      <c r="E613" s="462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102"/>
      <c r="C614" s="102"/>
      <c r="D614" s="102"/>
      <c r="E614" s="462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102"/>
      <c r="C615" s="102"/>
      <c r="D615" s="102"/>
      <c r="E615" s="462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102"/>
      <c r="C616" s="102"/>
      <c r="D616" s="102"/>
      <c r="E616" s="462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102"/>
      <c r="C617" s="102"/>
      <c r="D617" s="102"/>
      <c r="E617" s="462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102"/>
      <c r="C618" s="102"/>
      <c r="D618" s="102"/>
      <c r="E618" s="462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102"/>
      <c r="C619" s="102"/>
      <c r="D619" s="102"/>
      <c r="E619" s="462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102"/>
      <c r="C620" s="102"/>
      <c r="D620" s="102"/>
      <c r="E620" s="462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102"/>
      <c r="C621" s="102"/>
      <c r="D621" s="102"/>
      <c r="E621" s="462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102"/>
      <c r="C622" s="102"/>
      <c r="D622" s="102"/>
      <c r="E622" s="462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102"/>
      <c r="C623" s="102"/>
      <c r="D623" s="102"/>
      <c r="E623" s="462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102"/>
      <c r="C624" s="102"/>
      <c r="D624" s="102"/>
      <c r="E624" s="462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102"/>
      <c r="C625" s="102"/>
      <c r="D625" s="102"/>
      <c r="E625" s="462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102"/>
      <c r="C626" s="102"/>
      <c r="D626" s="102"/>
      <c r="E626" s="462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102"/>
      <c r="C627" s="102"/>
      <c r="D627" s="102"/>
      <c r="E627" s="462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102"/>
      <c r="C628" s="102"/>
      <c r="D628" s="102"/>
      <c r="E628" s="462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102"/>
      <c r="C629" s="102"/>
      <c r="D629" s="102"/>
      <c r="E629" s="462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102"/>
      <c r="C630" s="102"/>
      <c r="D630" s="102"/>
      <c r="E630" s="462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102"/>
      <c r="C631" s="102"/>
      <c r="D631" s="102"/>
      <c r="E631" s="462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102"/>
      <c r="C632" s="102"/>
      <c r="D632" s="102"/>
      <c r="E632" s="462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102"/>
      <c r="C633" s="102"/>
      <c r="D633" s="102"/>
      <c r="E633" s="462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102"/>
      <c r="C634" s="102"/>
      <c r="D634" s="102"/>
      <c r="E634" s="462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102"/>
      <c r="C635" s="102"/>
      <c r="D635" s="102"/>
      <c r="E635" s="462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102"/>
      <c r="C636" s="102"/>
      <c r="D636" s="102"/>
      <c r="E636" s="462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102"/>
      <c r="C637" s="102"/>
      <c r="D637" s="102"/>
      <c r="E637" s="462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102"/>
      <c r="C638" s="102"/>
      <c r="D638" s="102"/>
      <c r="E638" s="462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102"/>
      <c r="C639" s="102"/>
      <c r="D639" s="102"/>
      <c r="E639" s="462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102"/>
      <c r="C640" s="102"/>
      <c r="D640" s="102"/>
      <c r="E640" s="462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102"/>
      <c r="C641" s="102"/>
      <c r="D641" s="102"/>
      <c r="E641" s="462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102"/>
      <c r="C642" s="102"/>
      <c r="D642" s="102"/>
      <c r="E642" s="462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102"/>
      <c r="C643" s="102"/>
      <c r="D643" s="102"/>
      <c r="E643" s="462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102"/>
      <c r="C644" s="102"/>
      <c r="D644" s="102"/>
      <c r="E644" s="462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102"/>
      <c r="C645" s="102"/>
      <c r="D645" s="102"/>
      <c r="E645" s="462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102"/>
      <c r="C646" s="102"/>
      <c r="D646" s="102"/>
      <c r="E646" s="462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102"/>
      <c r="C647" s="102"/>
      <c r="D647" s="102"/>
      <c r="E647" s="462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102"/>
      <c r="C648" s="102"/>
      <c r="D648" s="102"/>
      <c r="E648" s="462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102"/>
      <c r="C649" s="102"/>
      <c r="D649" s="102"/>
      <c r="E649" s="462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102"/>
      <c r="C650" s="102"/>
      <c r="D650" s="102"/>
      <c r="E650" s="462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102"/>
      <c r="C651" s="102"/>
      <c r="D651" s="102"/>
      <c r="E651" s="462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102"/>
      <c r="C652" s="102"/>
      <c r="D652" s="102"/>
      <c r="E652" s="462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102"/>
      <c r="C653" s="102"/>
      <c r="D653" s="102"/>
      <c r="E653" s="462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102"/>
      <c r="C654" s="102"/>
      <c r="D654" s="102"/>
      <c r="E654" s="462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102"/>
      <c r="C655" s="102"/>
      <c r="D655" s="102"/>
      <c r="E655" s="462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102"/>
      <c r="C656" s="102"/>
      <c r="D656" s="102"/>
      <c r="E656" s="462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102"/>
      <c r="C657" s="102"/>
      <c r="D657" s="102"/>
      <c r="E657" s="462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102"/>
      <c r="C658" s="102"/>
      <c r="D658" s="102"/>
      <c r="E658" s="462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102"/>
      <c r="C659" s="102"/>
      <c r="D659" s="102"/>
      <c r="E659" s="462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102"/>
      <c r="C660" s="102"/>
      <c r="D660" s="102"/>
      <c r="E660" s="462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102"/>
      <c r="C661" s="102"/>
      <c r="D661" s="102"/>
      <c r="E661" s="462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102"/>
      <c r="C662" s="102"/>
      <c r="D662" s="102"/>
      <c r="E662" s="462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102"/>
      <c r="C663" s="102"/>
      <c r="D663" s="102"/>
      <c r="E663" s="462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102"/>
      <c r="C664" s="102"/>
      <c r="D664" s="102"/>
      <c r="E664" s="462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102"/>
      <c r="C665" s="102"/>
      <c r="D665" s="102"/>
      <c r="E665" s="462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102"/>
      <c r="C666" s="102"/>
      <c r="D666" s="102"/>
      <c r="E666" s="462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102"/>
      <c r="C667" s="102"/>
      <c r="D667" s="102"/>
      <c r="E667" s="462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102"/>
      <c r="C668" s="102"/>
      <c r="D668" s="102"/>
      <c r="E668" s="462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102"/>
      <c r="C669" s="102"/>
      <c r="D669" s="102"/>
      <c r="E669" s="462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102"/>
      <c r="C670" s="102"/>
      <c r="D670" s="102"/>
      <c r="E670" s="462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102"/>
      <c r="C671" s="102"/>
      <c r="D671" s="102"/>
      <c r="E671" s="462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102"/>
      <c r="C672" s="102"/>
      <c r="D672" s="102"/>
      <c r="E672" s="462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102"/>
      <c r="C673" s="102"/>
      <c r="D673" s="102"/>
      <c r="E673" s="462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102"/>
      <c r="C674" s="102"/>
      <c r="D674" s="102"/>
      <c r="E674" s="462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102"/>
      <c r="C675" s="102"/>
      <c r="D675" s="102"/>
      <c r="E675" s="462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102"/>
      <c r="C676" s="102"/>
      <c r="D676" s="102"/>
      <c r="E676" s="462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102"/>
      <c r="C677" s="102"/>
      <c r="D677" s="102"/>
      <c r="E677" s="462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102"/>
      <c r="C678" s="102"/>
      <c r="D678" s="102"/>
      <c r="E678" s="462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102"/>
      <c r="C679" s="102"/>
      <c r="D679" s="102"/>
      <c r="E679" s="462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102"/>
      <c r="C680" s="102"/>
      <c r="D680" s="102"/>
      <c r="E680" s="462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102"/>
      <c r="C681" s="102"/>
      <c r="D681" s="102"/>
      <c r="E681" s="462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102"/>
      <c r="C682" s="102"/>
      <c r="D682" s="102"/>
      <c r="E682" s="462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102"/>
      <c r="C683" s="102"/>
      <c r="D683" s="102"/>
      <c r="E683" s="462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102"/>
      <c r="C684" s="102"/>
      <c r="D684" s="102"/>
      <c r="E684" s="462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102"/>
      <c r="C685" s="102"/>
      <c r="D685" s="102"/>
      <c r="E685" s="462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102"/>
      <c r="C686" s="102"/>
      <c r="D686" s="102"/>
      <c r="E686" s="462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102"/>
      <c r="C687" s="102"/>
      <c r="D687" s="102"/>
      <c r="E687" s="462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102"/>
      <c r="C688" s="102"/>
      <c r="D688" s="102"/>
      <c r="E688" s="462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102"/>
      <c r="C689" s="102"/>
      <c r="D689" s="102"/>
      <c r="E689" s="462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102"/>
      <c r="C690" s="102"/>
      <c r="D690" s="102"/>
      <c r="E690" s="462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102"/>
      <c r="C691" s="102"/>
      <c r="D691" s="102"/>
      <c r="E691" s="462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102"/>
      <c r="C692" s="102"/>
      <c r="D692" s="102"/>
      <c r="E692" s="462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102"/>
      <c r="C693" s="102"/>
      <c r="D693" s="102"/>
      <c r="E693" s="462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102"/>
      <c r="C694" s="102"/>
      <c r="D694" s="102"/>
      <c r="E694" s="462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102"/>
      <c r="C695" s="102"/>
      <c r="D695" s="102"/>
      <c r="E695" s="462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102"/>
      <c r="C696" s="102"/>
      <c r="D696" s="102"/>
      <c r="E696" s="462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102"/>
      <c r="C697" s="102"/>
      <c r="D697" s="102"/>
      <c r="E697" s="462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102"/>
      <c r="C698" s="102"/>
      <c r="D698" s="102"/>
      <c r="E698" s="462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102"/>
      <c r="C699" s="102"/>
      <c r="D699" s="102"/>
      <c r="E699" s="462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102"/>
      <c r="C700" s="102"/>
      <c r="D700" s="102"/>
      <c r="E700" s="462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102"/>
      <c r="C701" s="102"/>
      <c r="D701" s="102"/>
      <c r="E701" s="462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102"/>
      <c r="C702" s="102"/>
      <c r="D702" s="102"/>
      <c r="E702" s="462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102"/>
      <c r="C703" s="102"/>
      <c r="D703" s="102"/>
      <c r="E703" s="462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102"/>
      <c r="C704" s="102"/>
      <c r="D704" s="102"/>
      <c r="E704" s="462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102"/>
      <c r="C705" s="102"/>
      <c r="D705" s="102"/>
      <c r="E705" s="462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102"/>
      <c r="C706" s="102"/>
      <c r="D706" s="102"/>
      <c r="E706" s="462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102"/>
      <c r="C707" s="102"/>
      <c r="D707" s="102"/>
      <c r="E707" s="462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102"/>
      <c r="C708" s="102"/>
      <c r="D708" s="102"/>
      <c r="E708" s="462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102"/>
      <c r="C709" s="102"/>
      <c r="D709" s="102"/>
      <c r="E709" s="462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102"/>
      <c r="C710" s="102"/>
      <c r="D710" s="102"/>
      <c r="E710" s="462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102"/>
      <c r="C711" s="102"/>
      <c r="D711" s="102"/>
      <c r="E711" s="462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102"/>
      <c r="C712" s="102"/>
      <c r="D712" s="102"/>
      <c r="E712" s="462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102"/>
      <c r="C713" s="102"/>
      <c r="D713" s="102"/>
      <c r="E713" s="462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102"/>
      <c r="C714" s="102"/>
      <c r="D714" s="102"/>
      <c r="E714" s="462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102"/>
      <c r="C715" s="102"/>
      <c r="D715" s="102"/>
      <c r="E715" s="462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102"/>
      <c r="C716" s="102"/>
      <c r="D716" s="102"/>
      <c r="E716" s="462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102"/>
      <c r="C717" s="102"/>
      <c r="D717" s="102"/>
      <c r="E717" s="462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102"/>
      <c r="C718" s="102"/>
      <c r="D718" s="102"/>
      <c r="E718" s="462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102"/>
      <c r="C719" s="102"/>
      <c r="D719" s="102"/>
      <c r="E719" s="462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102"/>
      <c r="C720" s="102"/>
      <c r="D720" s="102"/>
      <c r="E720" s="462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102"/>
      <c r="C721" s="102"/>
      <c r="D721" s="102"/>
      <c r="E721" s="462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102"/>
      <c r="C722" s="102"/>
      <c r="D722" s="102"/>
      <c r="E722" s="462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102"/>
      <c r="C723" s="102"/>
      <c r="D723" s="102"/>
      <c r="E723" s="462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102"/>
      <c r="C724" s="102"/>
      <c r="D724" s="102"/>
      <c r="E724" s="462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102"/>
      <c r="C725" s="102"/>
      <c r="D725" s="102"/>
      <c r="E725" s="462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102"/>
      <c r="C726" s="102"/>
      <c r="D726" s="102"/>
      <c r="E726" s="462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102"/>
      <c r="C727" s="102"/>
      <c r="D727" s="102"/>
      <c r="E727" s="46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102"/>
      <c r="C728" s="102"/>
      <c r="D728" s="102"/>
      <c r="E728" s="46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102"/>
      <c r="C729" s="102"/>
      <c r="D729" s="102"/>
      <c r="E729" s="46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102"/>
      <c r="C730" s="102"/>
      <c r="D730" s="102"/>
      <c r="E730" s="46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102"/>
      <c r="C731" s="102"/>
      <c r="D731" s="102"/>
      <c r="E731" s="46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102"/>
      <c r="C732" s="102"/>
      <c r="D732" s="102"/>
      <c r="E732" s="46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102"/>
      <c r="C733" s="102"/>
      <c r="D733" s="102"/>
      <c r="E733" s="46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102"/>
      <c r="C734" s="102"/>
      <c r="D734" s="102"/>
      <c r="E734" s="46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102"/>
      <c r="C735" s="102"/>
      <c r="D735" s="102"/>
      <c r="E735" s="46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102"/>
      <c r="C736" s="102"/>
      <c r="D736" s="102"/>
      <c r="E736" s="46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102"/>
      <c r="C737" s="102"/>
      <c r="D737" s="102"/>
      <c r="E737" s="46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102"/>
      <c r="C738" s="102"/>
      <c r="D738" s="102"/>
      <c r="E738" s="46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102"/>
      <c r="C739" s="102"/>
      <c r="D739" s="102"/>
      <c r="E739" s="46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102"/>
      <c r="C740" s="102"/>
      <c r="D740" s="102"/>
      <c r="E740" s="46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102"/>
      <c r="C741" s="102"/>
      <c r="D741" s="102"/>
      <c r="E741" s="46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102"/>
      <c r="C742" s="102"/>
      <c r="D742" s="102"/>
      <c r="E742" s="46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102"/>
      <c r="C743" s="102"/>
      <c r="D743" s="102"/>
      <c r="E743" s="46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102"/>
      <c r="C744" s="102"/>
      <c r="D744" s="102"/>
      <c r="E744" s="46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102"/>
      <c r="C745" s="102"/>
      <c r="D745" s="102"/>
      <c r="E745" s="46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102"/>
      <c r="C746" s="102"/>
      <c r="D746" s="102"/>
      <c r="E746" s="46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102"/>
      <c r="C747" s="102"/>
      <c r="D747" s="102"/>
      <c r="E747" s="46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102"/>
      <c r="C748" s="102"/>
      <c r="D748" s="102"/>
      <c r="E748" s="46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102"/>
      <c r="C749" s="102"/>
      <c r="D749" s="102"/>
      <c r="E749" s="46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102"/>
      <c r="C750" s="102"/>
      <c r="D750" s="102"/>
      <c r="E750" s="46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102"/>
      <c r="C751" s="102"/>
      <c r="D751" s="102"/>
      <c r="E751" s="46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102"/>
      <c r="C752" s="102"/>
      <c r="D752" s="102"/>
      <c r="E752" s="46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102"/>
      <c r="C753" s="102"/>
      <c r="D753" s="102"/>
      <c r="E753" s="46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102"/>
      <c r="C754" s="102"/>
      <c r="D754" s="102"/>
      <c r="E754" s="46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102"/>
      <c r="C755" s="102"/>
      <c r="D755" s="102"/>
      <c r="E755" s="46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102"/>
      <c r="C756" s="102"/>
      <c r="D756" s="102"/>
      <c r="E756" s="46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102"/>
      <c r="C757" s="102"/>
      <c r="D757" s="102"/>
      <c r="E757" s="46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102"/>
      <c r="C758" s="102"/>
      <c r="D758" s="102"/>
      <c r="E758" s="46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102"/>
      <c r="C759" s="102"/>
      <c r="D759" s="102"/>
      <c r="E759" s="46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102"/>
      <c r="C760" s="102"/>
      <c r="D760" s="102"/>
      <c r="E760" s="46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102"/>
      <c r="C761" s="102"/>
      <c r="D761" s="102"/>
      <c r="E761" s="46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102"/>
      <c r="C762" s="102"/>
      <c r="D762" s="102"/>
      <c r="E762" s="46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102"/>
      <c r="C763" s="102"/>
      <c r="D763" s="102"/>
      <c r="E763" s="46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102"/>
      <c r="C764" s="102"/>
      <c r="D764" s="102"/>
      <c r="E764" s="46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102"/>
      <c r="C765" s="102"/>
      <c r="D765" s="102"/>
      <c r="E765" s="46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102"/>
      <c r="C766" s="102"/>
      <c r="D766" s="102"/>
      <c r="E766" s="46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102"/>
      <c r="C767" s="102"/>
      <c r="D767" s="102"/>
      <c r="E767" s="46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102"/>
      <c r="C768" s="102"/>
      <c r="D768" s="102"/>
      <c r="E768" s="46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102"/>
      <c r="C769" s="102"/>
      <c r="D769" s="102"/>
      <c r="E769" s="46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102"/>
      <c r="C770" s="102"/>
      <c r="D770" s="102"/>
      <c r="E770" s="46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102"/>
      <c r="C771" s="102"/>
      <c r="D771" s="102"/>
      <c r="E771" s="46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102"/>
      <c r="C772" s="102"/>
      <c r="D772" s="102"/>
      <c r="E772" s="46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102"/>
      <c r="C773" s="102"/>
      <c r="D773" s="102"/>
      <c r="E773" s="46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102"/>
      <c r="C774" s="102"/>
      <c r="D774" s="102"/>
      <c r="E774" s="46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102"/>
      <c r="C775" s="102"/>
      <c r="D775" s="102"/>
      <c r="E775" s="46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102"/>
      <c r="C776" s="102"/>
      <c r="D776" s="102"/>
      <c r="E776" s="46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102"/>
      <c r="C777" s="102"/>
      <c r="D777" s="102"/>
      <c r="E777" s="46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102"/>
      <c r="C778" s="102"/>
      <c r="D778" s="102"/>
      <c r="E778" s="46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102"/>
      <c r="C779" s="102"/>
      <c r="D779" s="102"/>
      <c r="E779" s="46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102"/>
      <c r="C780" s="102"/>
      <c r="D780" s="102"/>
      <c r="E780" s="46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102"/>
      <c r="C781" s="102"/>
      <c r="D781" s="102"/>
      <c r="E781" s="46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102"/>
      <c r="C782" s="102"/>
      <c r="D782" s="102"/>
      <c r="E782" s="46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102"/>
      <c r="C783" s="102"/>
      <c r="D783" s="102"/>
      <c r="E783" s="46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102"/>
      <c r="C784" s="102"/>
      <c r="D784" s="102"/>
      <c r="E784" s="46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102"/>
      <c r="C785" s="102"/>
      <c r="D785" s="102"/>
      <c r="E785" s="46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102"/>
      <c r="C786" s="102"/>
      <c r="D786" s="102"/>
      <c r="E786" s="46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102"/>
      <c r="C787" s="102"/>
      <c r="D787" s="102"/>
      <c r="E787" s="46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102"/>
      <c r="C788" s="102"/>
      <c r="D788" s="102"/>
      <c r="E788" s="46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102"/>
      <c r="C789" s="102"/>
      <c r="D789" s="102"/>
      <c r="E789" s="46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102"/>
      <c r="C790" s="102"/>
      <c r="D790" s="102"/>
      <c r="E790" s="46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102"/>
      <c r="C791" s="102"/>
      <c r="D791" s="102"/>
      <c r="E791" s="46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102"/>
      <c r="C792" s="102"/>
      <c r="D792" s="102"/>
      <c r="E792" s="46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102"/>
      <c r="C793" s="102"/>
      <c r="D793" s="102"/>
      <c r="E793" s="46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102"/>
      <c r="C794" s="102"/>
      <c r="D794" s="102"/>
      <c r="E794" s="46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102"/>
      <c r="C795" s="102"/>
      <c r="D795" s="102"/>
      <c r="E795" s="46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102"/>
      <c r="C796" s="102"/>
      <c r="D796" s="102"/>
      <c r="E796" s="46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102"/>
      <c r="C797" s="102"/>
      <c r="D797" s="102"/>
      <c r="E797" s="46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102"/>
      <c r="C798" s="102"/>
      <c r="D798" s="102"/>
      <c r="E798" s="46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102"/>
      <c r="C799" s="102"/>
      <c r="D799" s="102"/>
      <c r="E799" s="46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102"/>
      <c r="C800" s="102"/>
      <c r="D800" s="102"/>
      <c r="E800" s="46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102"/>
      <c r="C801" s="102"/>
      <c r="D801" s="102"/>
      <c r="E801" s="46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102"/>
      <c r="C802" s="102"/>
      <c r="D802" s="102"/>
      <c r="E802" s="46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102"/>
      <c r="C803" s="102"/>
      <c r="D803" s="102"/>
      <c r="E803" s="46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102"/>
      <c r="C804" s="102"/>
      <c r="D804" s="102"/>
      <c r="E804" s="46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102"/>
      <c r="C805" s="102"/>
      <c r="D805" s="102"/>
      <c r="E805" s="46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102"/>
      <c r="C806" s="102"/>
      <c r="D806" s="102"/>
      <c r="E806" s="46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102"/>
      <c r="C807" s="102"/>
      <c r="D807" s="102"/>
      <c r="E807" s="46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102"/>
      <c r="C808" s="102"/>
      <c r="D808" s="102"/>
      <c r="E808" s="46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102"/>
      <c r="C809" s="102"/>
      <c r="D809" s="102"/>
      <c r="E809" s="46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102"/>
      <c r="C810" s="102"/>
      <c r="D810" s="102"/>
      <c r="E810" s="46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102"/>
      <c r="C811" s="102"/>
      <c r="D811" s="102"/>
      <c r="E811" s="46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102"/>
      <c r="C812" s="102"/>
      <c r="D812" s="102"/>
      <c r="E812" s="46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102"/>
      <c r="C813" s="102"/>
      <c r="D813" s="102"/>
      <c r="E813" s="46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102"/>
      <c r="C814" s="102"/>
      <c r="D814" s="102"/>
      <c r="E814" s="46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102"/>
      <c r="C815" s="102"/>
      <c r="D815" s="102"/>
      <c r="E815" s="46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102"/>
      <c r="C816" s="102"/>
      <c r="D816" s="102"/>
      <c r="E816" s="46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102"/>
      <c r="C817" s="102"/>
      <c r="D817" s="102"/>
      <c r="E817" s="46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102"/>
      <c r="C818" s="102"/>
      <c r="D818" s="102"/>
      <c r="E818" s="46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102"/>
      <c r="C819" s="102"/>
      <c r="D819" s="102"/>
      <c r="E819" s="46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102"/>
      <c r="C820" s="102"/>
      <c r="D820" s="102"/>
      <c r="E820" s="46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102"/>
      <c r="C821" s="102"/>
      <c r="D821" s="102"/>
      <c r="E821" s="46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102"/>
      <c r="C822" s="102"/>
      <c r="D822" s="102"/>
      <c r="E822" s="46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102"/>
      <c r="C823" s="102"/>
      <c r="D823" s="102"/>
      <c r="E823" s="46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102"/>
      <c r="C824" s="102"/>
      <c r="D824" s="102"/>
      <c r="E824" s="46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102"/>
      <c r="C825" s="102"/>
      <c r="D825" s="102"/>
      <c r="E825" s="46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102"/>
      <c r="C826" s="102"/>
      <c r="D826" s="102"/>
      <c r="E826" s="46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102"/>
      <c r="C827" s="102"/>
      <c r="D827" s="102"/>
      <c r="E827" s="46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102"/>
      <c r="C828" s="102"/>
      <c r="D828" s="102"/>
      <c r="E828" s="46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102"/>
      <c r="C829" s="102"/>
      <c r="D829" s="102"/>
      <c r="E829" s="46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102"/>
      <c r="C830" s="102"/>
      <c r="D830" s="102"/>
      <c r="E830" s="46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102"/>
      <c r="C831" s="102"/>
      <c r="D831" s="102"/>
      <c r="E831" s="46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102"/>
      <c r="C832" s="102"/>
      <c r="D832" s="102"/>
      <c r="E832" s="46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102"/>
      <c r="C833" s="102"/>
      <c r="D833" s="102"/>
      <c r="E833" s="46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102"/>
      <c r="C834" s="102"/>
      <c r="D834" s="102"/>
      <c r="E834" s="46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102"/>
      <c r="C835" s="102"/>
      <c r="D835" s="102"/>
      <c r="E835" s="46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102"/>
      <c r="C836" s="102"/>
      <c r="D836" s="102"/>
      <c r="E836" s="46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102"/>
      <c r="C837" s="102"/>
      <c r="D837" s="102"/>
      <c r="E837" s="46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102"/>
      <c r="C838" s="102"/>
      <c r="D838" s="102"/>
      <c r="E838" s="46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102"/>
      <c r="C839" s="102"/>
      <c r="D839" s="102"/>
      <c r="E839" s="46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102"/>
      <c r="C840" s="102"/>
      <c r="D840" s="102"/>
      <c r="E840" s="46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102"/>
      <c r="C841" s="102"/>
      <c r="D841" s="102"/>
      <c r="E841" s="46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102"/>
      <c r="C842" s="102"/>
      <c r="D842" s="102"/>
      <c r="E842" s="46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102"/>
      <c r="C843" s="102"/>
      <c r="D843" s="102"/>
      <c r="E843" s="46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102"/>
      <c r="C844" s="102"/>
      <c r="D844" s="102"/>
      <c r="E844" s="46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102"/>
      <c r="C845" s="102"/>
      <c r="D845" s="102"/>
      <c r="E845" s="46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102"/>
      <c r="C846" s="102"/>
      <c r="D846" s="102"/>
      <c r="E846" s="46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102"/>
      <c r="C847" s="102"/>
      <c r="D847" s="102"/>
      <c r="E847" s="46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102"/>
      <c r="C848" s="102"/>
      <c r="D848" s="102"/>
      <c r="E848" s="46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102"/>
      <c r="C849" s="102"/>
      <c r="D849" s="102"/>
      <c r="E849" s="46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102"/>
      <c r="C850" s="102"/>
      <c r="D850" s="102"/>
      <c r="E850" s="46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102"/>
      <c r="C851" s="102"/>
      <c r="D851" s="102"/>
      <c r="E851" s="46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102"/>
      <c r="C852" s="102"/>
      <c r="D852" s="102"/>
      <c r="E852" s="46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102"/>
      <c r="C853" s="102"/>
      <c r="D853" s="102"/>
      <c r="E853" s="46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102"/>
      <c r="C854" s="102"/>
      <c r="D854" s="102"/>
      <c r="E854" s="46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102"/>
      <c r="C855" s="102"/>
      <c r="D855" s="102"/>
      <c r="E855" s="46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102"/>
      <c r="C856" s="102"/>
      <c r="D856" s="102"/>
      <c r="E856" s="46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102"/>
      <c r="C857" s="102"/>
      <c r="D857" s="102"/>
      <c r="E857" s="46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102"/>
      <c r="C858" s="102"/>
      <c r="D858" s="102"/>
      <c r="E858" s="46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102"/>
      <c r="C859" s="102"/>
      <c r="D859" s="102"/>
      <c r="E859" s="46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102"/>
      <c r="C860" s="102"/>
      <c r="D860" s="102"/>
      <c r="E860" s="46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102"/>
      <c r="C861" s="102"/>
      <c r="D861" s="102"/>
      <c r="E861" s="46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102"/>
      <c r="C862" s="102"/>
      <c r="D862" s="102"/>
      <c r="E862" s="46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102"/>
      <c r="C863" s="102"/>
      <c r="D863" s="102"/>
      <c r="E863" s="46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102"/>
      <c r="C864" s="102"/>
      <c r="D864" s="102"/>
      <c r="E864" s="46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102"/>
      <c r="C865" s="102"/>
      <c r="D865" s="102"/>
      <c r="E865" s="46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102"/>
      <c r="C866" s="102"/>
      <c r="D866" s="102"/>
      <c r="E866" s="46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102"/>
      <c r="C867" s="102"/>
      <c r="D867" s="102"/>
      <c r="E867" s="46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102"/>
      <c r="C868" s="102"/>
      <c r="D868" s="102"/>
      <c r="E868" s="46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102"/>
      <c r="C869" s="102"/>
      <c r="D869" s="102"/>
      <c r="E869" s="46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102"/>
      <c r="C870" s="102"/>
      <c r="D870" s="102"/>
      <c r="E870" s="46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102"/>
      <c r="C871" s="102"/>
      <c r="D871" s="102"/>
      <c r="E871" s="46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102"/>
      <c r="C872" s="102"/>
      <c r="D872" s="102"/>
      <c r="E872" s="46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102"/>
      <c r="C873" s="102"/>
      <c r="D873" s="102"/>
      <c r="E873" s="46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102"/>
      <c r="C874" s="102"/>
      <c r="D874" s="102"/>
      <c r="E874" s="46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102"/>
      <c r="C875" s="102"/>
      <c r="D875" s="102"/>
      <c r="E875" s="46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102"/>
      <c r="C876" s="102"/>
      <c r="D876" s="102"/>
      <c r="E876" s="46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102"/>
      <c r="C877" s="102"/>
      <c r="D877" s="102"/>
      <c r="E877" s="46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102"/>
      <c r="C878" s="102"/>
      <c r="D878" s="102"/>
      <c r="E878" s="46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102"/>
      <c r="C879" s="102"/>
      <c r="D879" s="102"/>
      <c r="E879" s="46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102"/>
      <c r="C880" s="102"/>
      <c r="D880" s="102"/>
      <c r="E880" s="46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102"/>
      <c r="C881" s="102"/>
      <c r="D881" s="102"/>
      <c r="E881" s="46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102"/>
      <c r="C882" s="102"/>
      <c r="D882" s="102"/>
      <c r="E882" s="46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102"/>
      <c r="C883" s="102"/>
      <c r="D883" s="102"/>
      <c r="E883" s="46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102"/>
      <c r="C884" s="102"/>
      <c r="D884" s="102"/>
      <c r="E884" s="46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102"/>
      <c r="C885" s="102"/>
      <c r="D885" s="102"/>
      <c r="E885" s="46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102"/>
      <c r="C886" s="102"/>
      <c r="D886" s="102"/>
      <c r="E886" s="46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102"/>
      <c r="C887" s="102"/>
      <c r="D887" s="102"/>
      <c r="E887" s="46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102"/>
      <c r="C888" s="102"/>
      <c r="D888" s="102"/>
      <c r="E888" s="46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102"/>
      <c r="C889" s="102"/>
      <c r="D889" s="102"/>
      <c r="E889" s="46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102"/>
      <c r="C890" s="102"/>
      <c r="D890" s="102"/>
      <c r="E890" s="46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102"/>
      <c r="C891" s="102"/>
      <c r="D891" s="102"/>
      <c r="E891" s="46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102"/>
      <c r="C892" s="102"/>
      <c r="D892" s="102"/>
      <c r="E892" s="46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102"/>
      <c r="C893" s="102"/>
      <c r="D893" s="102"/>
      <c r="E893" s="46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102"/>
      <c r="C894" s="102"/>
      <c r="D894" s="102"/>
      <c r="E894" s="46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102"/>
      <c r="C895" s="102"/>
      <c r="D895" s="102"/>
      <c r="E895" s="46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102"/>
      <c r="C896" s="102"/>
      <c r="D896" s="102"/>
      <c r="E896" s="46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102"/>
      <c r="C897" s="102"/>
      <c r="D897" s="102"/>
      <c r="E897" s="46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102"/>
      <c r="C898" s="102"/>
      <c r="D898" s="102"/>
      <c r="E898" s="46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102"/>
      <c r="C899" s="102"/>
      <c r="D899" s="102"/>
      <c r="E899" s="46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102"/>
      <c r="C900" s="102"/>
      <c r="D900" s="102"/>
      <c r="E900" s="46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102"/>
      <c r="C901" s="102"/>
      <c r="D901" s="102"/>
      <c r="E901" s="46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102"/>
      <c r="C902" s="102"/>
      <c r="D902" s="102"/>
      <c r="E902" s="46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102"/>
      <c r="C903" s="102"/>
      <c r="D903" s="102"/>
      <c r="E903" s="46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102"/>
      <c r="C904" s="102"/>
      <c r="D904" s="102"/>
      <c r="E904" s="46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102"/>
      <c r="C905" s="102"/>
      <c r="D905" s="102"/>
      <c r="E905" s="46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102"/>
      <c r="C906" s="102"/>
      <c r="D906" s="102"/>
      <c r="E906" s="46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102"/>
      <c r="C907" s="102"/>
      <c r="D907" s="102"/>
      <c r="E907" s="46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102"/>
      <c r="C908" s="102"/>
      <c r="D908" s="102"/>
      <c r="E908" s="46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102"/>
      <c r="C909" s="102"/>
      <c r="D909" s="102"/>
      <c r="E909" s="46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102"/>
      <c r="C910" s="102"/>
      <c r="D910" s="102"/>
      <c r="E910" s="46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102"/>
      <c r="C911" s="102"/>
      <c r="D911" s="102"/>
      <c r="E911" s="46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102"/>
      <c r="C912" s="102"/>
      <c r="D912" s="102"/>
      <c r="E912" s="46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102"/>
      <c r="C913" s="102"/>
      <c r="D913" s="102"/>
      <c r="E913" s="46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102"/>
      <c r="C914" s="102"/>
      <c r="D914" s="102"/>
      <c r="E914" s="46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102"/>
      <c r="C915" s="102"/>
      <c r="D915" s="102"/>
      <c r="E915" s="46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102"/>
      <c r="C916" s="102"/>
      <c r="D916" s="102"/>
      <c r="E916" s="46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102"/>
      <c r="C917" s="102"/>
      <c r="D917" s="102"/>
      <c r="E917" s="46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102"/>
      <c r="C918" s="102"/>
      <c r="D918" s="102"/>
      <c r="E918" s="46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102"/>
      <c r="C919" s="102"/>
      <c r="D919" s="102"/>
      <c r="E919" s="46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102"/>
      <c r="C920" s="102"/>
      <c r="D920" s="102"/>
      <c r="E920" s="46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102"/>
      <c r="C921" s="102"/>
      <c r="D921" s="102"/>
      <c r="E921" s="46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102"/>
      <c r="C922" s="102"/>
      <c r="D922" s="102"/>
      <c r="E922" s="46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102"/>
      <c r="C923" s="102"/>
      <c r="D923" s="102"/>
      <c r="E923" s="46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102"/>
      <c r="C924" s="102"/>
      <c r="D924" s="102"/>
      <c r="E924" s="46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102"/>
      <c r="C925" s="102"/>
      <c r="D925" s="102"/>
      <c r="E925" s="46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102"/>
      <c r="C926" s="102"/>
      <c r="D926" s="102"/>
      <c r="E926" s="46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102"/>
      <c r="C927" s="102"/>
      <c r="D927" s="102"/>
      <c r="E927" s="46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102"/>
      <c r="C928" s="102"/>
      <c r="D928" s="102"/>
      <c r="E928" s="46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102"/>
      <c r="C929" s="102"/>
      <c r="D929" s="102"/>
      <c r="E929" s="46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102"/>
      <c r="C930" s="102"/>
      <c r="D930" s="102"/>
      <c r="E930" s="46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102"/>
      <c r="C931" s="102"/>
      <c r="D931" s="102"/>
      <c r="E931" s="46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102"/>
      <c r="C932" s="102"/>
      <c r="D932" s="102"/>
      <c r="E932" s="46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102"/>
      <c r="C933" s="102"/>
      <c r="D933" s="102"/>
      <c r="E933" s="46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102"/>
      <c r="C934" s="102"/>
      <c r="D934" s="102"/>
      <c r="E934" s="46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102"/>
      <c r="C935" s="102"/>
      <c r="D935" s="102"/>
      <c r="E935" s="46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102"/>
      <c r="C936" s="102"/>
      <c r="D936" s="102"/>
      <c r="E936" s="46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102"/>
      <c r="C937" s="102"/>
      <c r="D937" s="102"/>
      <c r="E937" s="46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102"/>
      <c r="C938" s="102"/>
      <c r="D938" s="102"/>
      <c r="E938" s="46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102"/>
      <c r="C939" s="102"/>
      <c r="D939" s="102"/>
      <c r="E939" s="46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102"/>
      <c r="C940" s="102"/>
      <c r="D940" s="102"/>
      <c r="E940" s="46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102"/>
      <c r="C941" s="102"/>
      <c r="D941" s="102"/>
      <c r="E941" s="46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102"/>
      <c r="C942" s="102"/>
      <c r="D942" s="102"/>
      <c r="E942" s="46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102"/>
      <c r="C943" s="102"/>
      <c r="D943" s="102"/>
      <c r="E943" s="46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102"/>
      <c r="C944" s="102"/>
      <c r="D944" s="102"/>
      <c r="E944" s="46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102"/>
      <c r="C945" s="102"/>
      <c r="D945" s="102"/>
      <c r="E945" s="46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102"/>
      <c r="C946" s="102"/>
      <c r="D946" s="102"/>
      <c r="E946" s="46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102"/>
      <c r="C947" s="102"/>
      <c r="D947" s="102"/>
      <c r="E947" s="46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102"/>
      <c r="C948" s="102"/>
      <c r="D948" s="102"/>
      <c r="E948" s="46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102"/>
      <c r="C949" s="102"/>
      <c r="D949" s="102"/>
      <c r="E949" s="46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102"/>
      <c r="C950" s="102"/>
      <c r="D950" s="102"/>
      <c r="E950" s="46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102"/>
      <c r="C951" s="102"/>
      <c r="D951" s="102"/>
      <c r="E951" s="46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102"/>
      <c r="C952" s="102"/>
      <c r="D952" s="102"/>
      <c r="E952" s="46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102"/>
      <c r="C953" s="102"/>
      <c r="D953" s="102"/>
      <c r="E953" s="46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102"/>
      <c r="C954" s="102"/>
      <c r="D954" s="102"/>
      <c r="E954" s="46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102"/>
      <c r="C955" s="102"/>
      <c r="D955" s="102"/>
      <c r="E955" s="46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102"/>
      <c r="C956" s="102"/>
      <c r="D956" s="102"/>
      <c r="E956" s="46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102"/>
      <c r="C957" s="102"/>
      <c r="D957" s="102"/>
      <c r="E957" s="46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102"/>
      <c r="C958" s="102"/>
      <c r="D958" s="102"/>
      <c r="E958" s="46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102"/>
      <c r="C959" s="102"/>
      <c r="D959" s="102"/>
      <c r="E959" s="46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102"/>
      <c r="C960" s="102"/>
      <c r="D960" s="102"/>
      <c r="E960" s="46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102"/>
      <c r="C961" s="102"/>
      <c r="D961" s="102"/>
      <c r="E961" s="46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102"/>
      <c r="C962" s="102"/>
      <c r="D962" s="102"/>
      <c r="E962" s="46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102"/>
      <c r="C963" s="102"/>
      <c r="D963" s="102"/>
      <c r="E963" s="46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102"/>
      <c r="C964" s="102"/>
      <c r="D964" s="102"/>
      <c r="E964" s="46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102"/>
      <c r="C965" s="102"/>
      <c r="D965" s="102"/>
      <c r="E965" s="46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102"/>
      <c r="C966" s="102"/>
      <c r="D966" s="102"/>
      <c r="E966" s="46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102"/>
      <c r="C967" s="102"/>
      <c r="D967" s="102"/>
      <c r="E967" s="46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102"/>
      <c r="C968" s="102"/>
      <c r="D968" s="102"/>
      <c r="E968" s="46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102"/>
      <c r="C969" s="102"/>
      <c r="D969" s="102"/>
      <c r="E969" s="46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102"/>
      <c r="C970" s="102"/>
      <c r="D970" s="102"/>
      <c r="E970" s="46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102"/>
      <c r="C971" s="102"/>
      <c r="D971" s="102"/>
      <c r="E971" s="46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102"/>
      <c r="C972" s="102"/>
      <c r="D972" s="102"/>
      <c r="E972" s="46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102"/>
      <c r="C973" s="102"/>
      <c r="D973" s="102"/>
      <c r="E973" s="46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102"/>
      <c r="C974" s="102"/>
      <c r="D974" s="102"/>
      <c r="E974" s="46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102"/>
      <c r="C975" s="102"/>
      <c r="D975" s="102"/>
      <c r="E975" s="46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102"/>
      <c r="C976" s="102"/>
      <c r="D976" s="102"/>
      <c r="E976" s="46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102"/>
      <c r="C977" s="102"/>
      <c r="D977" s="102"/>
      <c r="E977" s="46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102"/>
      <c r="C978" s="102"/>
      <c r="D978" s="102"/>
      <c r="E978" s="46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102"/>
      <c r="C979" s="102"/>
      <c r="D979" s="102"/>
      <c r="E979" s="46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102"/>
      <c r="C980" s="102"/>
      <c r="D980" s="102"/>
      <c r="E980" s="46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102"/>
      <c r="C981" s="102"/>
      <c r="D981" s="102"/>
      <c r="E981" s="46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102"/>
      <c r="C982" s="102"/>
      <c r="D982" s="102"/>
      <c r="E982" s="46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102"/>
      <c r="C983" s="102"/>
      <c r="D983" s="102"/>
      <c r="E983" s="46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102"/>
      <c r="C984" s="102"/>
      <c r="D984" s="102"/>
      <c r="E984" s="46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102"/>
      <c r="C985" s="102"/>
      <c r="D985" s="102"/>
      <c r="E985" s="46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102"/>
      <c r="C986" s="102"/>
      <c r="D986" s="102"/>
      <c r="E986" s="46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102"/>
      <c r="C987" s="102"/>
      <c r="D987" s="102"/>
      <c r="E987" s="46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102"/>
      <c r="C988" s="102"/>
      <c r="D988" s="102"/>
      <c r="E988" s="46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102"/>
      <c r="C989" s="102"/>
      <c r="D989" s="102"/>
      <c r="E989" s="46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102"/>
      <c r="C990" s="102"/>
      <c r="D990" s="102"/>
      <c r="E990" s="46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102"/>
      <c r="C991" s="102"/>
      <c r="D991" s="102"/>
      <c r="E991" s="46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102"/>
      <c r="C992" s="102"/>
      <c r="D992" s="102"/>
      <c r="E992" s="46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102"/>
      <c r="C993" s="102"/>
      <c r="D993" s="102"/>
      <c r="E993" s="46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102"/>
      <c r="C994" s="102"/>
      <c r="D994" s="102"/>
      <c r="E994" s="46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102"/>
      <c r="C995" s="102"/>
      <c r="D995" s="102"/>
      <c r="E995" s="46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102"/>
      <c r="C996" s="102"/>
      <c r="D996" s="102"/>
      <c r="E996" s="46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102"/>
      <c r="C997" s="102"/>
      <c r="D997" s="102"/>
      <c r="E997" s="46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102"/>
      <c r="C998" s="102"/>
      <c r="D998" s="102"/>
      <c r="E998" s="46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102"/>
      <c r="C999" s="102"/>
      <c r="D999" s="102"/>
      <c r="E999" s="46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T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/>
  <cols>
    <col min="1" max="1" width="1.5703125" customWidth="1"/>
    <col min="2" max="2" width="7.28515625" customWidth="1"/>
    <col min="3" max="3" width="26.5703125" customWidth="1"/>
    <col min="4" max="4" width="14.140625" customWidth="1"/>
    <col min="5" max="5" width="4.85546875" customWidth="1"/>
    <col min="6" max="6" width="14.140625" customWidth="1"/>
    <col min="7" max="7" width="4.5703125" customWidth="1"/>
    <col min="8" max="8" width="14" customWidth="1"/>
    <col min="9" max="9" width="4.7109375" customWidth="1"/>
    <col min="10" max="10" width="14.28515625" customWidth="1"/>
    <col min="11" max="11" width="5.140625" customWidth="1"/>
    <col min="12" max="12" width="14.28515625" customWidth="1"/>
    <col min="13" max="13" width="5" customWidth="1"/>
    <col min="14" max="14" width="13.85546875" customWidth="1"/>
    <col min="15" max="15" width="5" customWidth="1"/>
    <col min="16" max="16" width="13.85546875" customWidth="1"/>
    <col min="17" max="17" width="4.5703125" customWidth="1"/>
    <col min="18" max="18" width="13.85546875" customWidth="1"/>
    <col min="19" max="19" width="5.140625" customWidth="1"/>
    <col min="20" max="20" width="13.85546875" customWidth="1"/>
    <col min="21" max="21" width="6.28515625" customWidth="1"/>
    <col min="22" max="22" width="13.85546875" customWidth="1"/>
    <col min="23" max="23" width="6" customWidth="1"/>
    <col min="24" max="24" width="13.85546875" customWidth="1"/>
    <col min="25" max="25" width="6.85546875" customWidth="1"/>
    <col min="26" max="26" width="13.85546875" customWidth="1"/>
    <col min="27" max="27" width="5" customWidth="1"/>
    <col min="28" max="28" width="15.42578125" customWidth="1"/>
    <col min="29" max="29" width="6.42578125" customWidth="1"/>
    <col min="30" max="30" width="12.140625" customWidth="1"/>
    <col min="31" max="35" width="5.140625" customWidth="1"/>
    <col min="36" max="36" width="16" customWidth="1"/>
    <col min="37" max="46" width="14.42578125" customWidth="1"/>
  </cols>
  <sheetData>
    <row r="1" spans="1:46" ht="13.5" customHeight="1">
      <c r="A1" s="110"/>
      <c r="B1" s="351" t="str">
        <f>PL!C1</f>
        <v xml:space="preserve"> PROFIT &amp; LOSS</v>
      </c>
      <c r="C1" s="110"/>
      <c r="D1" s="118"/>
      <c r="E1" s="118"/>
      <c r="F1" s="118"/>
      <c r="G1" s="408"/>
      <c r="H1" s="408"/>
      <c r="I1" s="408"/>
      <c r="J1" s="408"/>
      <c r="K1" s="408"/>
      <c r="L1" s="408"/>
      <c r="M1" s="118"/>
      <c r="N1" s="435"/>
      <c r="O1" s="435"/>
      <c r="P1" s="435"/>
      <c r="Q1" s="435"/>
      <c r="R1" s="435"/>
      <c r="S1" s="435"/>
      <c r="T1" s="435"/>
      <c r="U1" s="435"/>
      <c r="V1" s="435"/>
      <c r="W1" s="463"/>
      <c r="X1" s="435"/>
      <c r="Y1" s="435"/>
      <c r="Z1" s="435"/>
      <c r="AA1" s="435"/>
      <c r="AB1" s="435"/>
      <c r="AC1" s="408"/>
      <c r="AD1" s="410"/>
      <c r="AE1" s="110"/>
      <c r="AF1" s="110"/>
      <c r="AG1" s="110"/>
      <c r="AH1" s="110"/>
      <c r="AI1" s="110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ht="13.5" customHeight="1">
      <c r="A2" s="110"/>
      <c r="B2" s="352" t="str">
        <f>BS!C2</f>
        <v>Per June 2026</v>
      </c>
      <c r="C2" s="110"/>
      <c r="D2" s="118"/>
      <c r="E2" s="118"/>
      <c r="F2" s="118"/>
      <c r="G2" s="408"/>
      <c r="H2" s="408"/>
      <c r="I2" s="408"/>
      <c r="J2" s="408"/>
      <c r="K2" s="408"/>
      <c r="L2" s="408"/>
      <c r="M2" s="118"/>
      <c r="N2" s="435"/>
      <c r="O2" s="435"/>
      <c r="P2" s="435"/>
      <c r="Q2" s="435"/>
      <c r="R2" s="435"/>
      <c r="S2" s="435"/>
      <c r="T2" s="435"/>
      <c r="U2" s="435"/>
      <c r="V2" s="435"/>
      <c r="W2" s="463"/>
      <c r="X2" s="435"/>
      <c r="Y2" s="435"/>
      <c r="Z2" s="435"/>
      <c r="AA2" s="435"/>
      <c r="AB2" s="435"/>
      <c r="AC2" s="408"/>
      <c r="AD2" s="410"/>
      <c r="AE2" s="110"/>
      <c r="AF2" s="110"/>
      <c r="AG2" s="110"/>
      <c r="AH2" s="110"/>
      <c r="AI2" s="110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3.5" customHeight="1">
      <c r="A3" s="4"/>
      <c r="B3" s="489" t="s">
        <v>1</v>
      </c>
      <c r="C3" s="505"/>
      <c r="D3" s="489">
        <v>2020</v>
      </c>
      <c r="E3" s="490"/>
      <c r="F3" s="489">
        <v>2021</v>
      </c>
      <c r="G3" s="490"/>
      <c r="H3" s="489">
        <v>2022</v>
      </c>
      <c r="I3" s="490"/>
      <c r="J3" s="489">
        <v>2023</v>
      </c>
      <c r="K3" s="490"/>
      <c r="L3" s="489">
        <v>2024</v>
      </c>
      <c r="M3" s="490"/>
      <c r="N3" s="489">
        <v>2025</v>
      </c>
      <c r="O3" s="490"/>
      <c r="P3" s="510" t="s">
        <v>5454</v>
      </c>
      <c r="Q3" s="490"/>
      <c r="R3" s="511">
        <v>46054</v>
      </c>
      <c r="S3" s="490"/>
      <c r="T3" s="511">
        <v>46082</v>
      </c>
      <c r="U3" s="490"/>
      <c r="V3" s="511">
        <v>46113</v>
      </c>
      <c r="W3" s="490"/>
      <c r="X3" s="511">
        <v>46143</v>
      </c>
      <c r="Y3" s="490"/>
      <c r="Z3" s="511">
        <v>46174</v>
      </c>
      <c r="AA3" s="490"/>
      <c r="AB3" s="489" t="s">
        <v>2</v>
      </c>
      <c r="AC3" s="490"/>
      <c r="AD3" s="410"/>
      <c r="AE3" s="110"/>
      <c r="AF3" s="110"/>
      <c r="AG3" s="110"/>
      <c r="AH3" s="110"/>
      <c r="AI3" s="110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ht="13.5" customHeight="1">
      <c r="A4" s="4"/>
      <c r="B4" s="491"/>
      <c r="C4" s="506"/>
      <c r="D4" s="491"/>
      <c r="E4" s="480"/>
      <c r="F4" s="491"/>
      <c r="G4" s="480"/>
      <c r="H4" s="491"/>
      <c r="I4" s="480"/>
      <c r="J4" s="491"/>
      <c r="K4" s="480"/>
      <c r="L4" s="491"/>
      <c r="M4" s="480"/>
      <c r="N4" s="491"/>
      <c r="O4" s="480"/>
      <c r="P4" s="491"/>
      <c r="Q4" s="480"/>
      <c r="R4" s="491"/>
      <c r="S4" s="480"/>
      <c r="T4" s="491"/>
      <c r="U4" s="480"/>
      <c r="V4" s="491"/>
      <c r="W4" s="480"/>
      <c r="X4" s="491"/>
      <c r="Y4" s="480"/>
      <c r="Z4" s="491"/>
      <c r="AA4" s="480"/>
      <c r="AB4" s="491"/>
      <c r="AC4" s="480"/>
      <c r="AD4" s="410"/>
      <c r="AE4" s="110"/>
      <c r="AF4" s="110"/>
      <c r="AG4" s="110"/>
      <c r="AH4" s="110"/>
      <c r="AI4" s="110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46" ht="13.5" customHeight="1">
      <c r="A5" s="351"/>
      <c r="B5" s="415" t="s">
        <v>5252</v>
      </c>
      <c r="C5" s="416" t="s">
        <v>5253</v>
      </c>
      <c r="D5" s="51"/>
      <c r="E5" s="51"/>
      <c r="F5" s="464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465"/>
      <c r="X5" s="51"/>
      <c r="Y5" s="51"/>
      <c r="Z5" s="51"/>
      <c r="AA5" s="51"/>
      <c r="AB5" s="51"/>
      <c r="AC5" s="51"/>
      <c r="AD5" s="410"/>
      <c r="AE5" s="110"/>
      <c r="AF5" s="110"/>
      <c r="AG5" s="110"/>
      <c r="AH5" s="110"/>
      <c r="AI5" s="110"/>
      <c r="AJ5" s="226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6" ht="13.5" customHeight="1">
      <c r="A6" s="110"/>
      <c r="B6" s="15" t="s">
        <v>4</v>
      </c>
      <c r="C6" s="390" t="s">
        <v>5254</v>
      </c>
      <c r="D6" s="255">
        <v>411109661</v>
      </c>
      <c r="E6" s="255"/>
      <c r="F6" s="255">
        <v>188042074</v>
      </c>
      <c r="G6" s="255"/>
      <c r="H6" s="255">
        <v>811403104</v>
      </c>
      <c r="I6" s="255"/>
      <c r="J6" s="255">
        <v>1586030167</v>
      </c>
      <c r="K6" s="255"/>
      <c r="L6" s="255">
        <v>2294075800</v>
      </c>
      <c r="M6" s="255"/>
      <c r="N6" s="258">
        <v>2273746585</v>
      </c>
      <c r="O6" s="51"/>
      <c r="P6" s="258">
        <v>181630000</v>
      </c>
      <c r="Q6" s="258"/>
      <c r="R6" s="258">
        <v>150019250</v>
      </c>
      <c r="S6" s="258"/>
      <c r="T6" s="258">
        <v>146649050</v>
      </c>
      <c r="U6" s="258"/>
      <c r="V6" s="258">
        <v>153780900</v>
      </c>
      <c r="W6" s="465"/>
      <c r="X6" s="258">
        <v>187067250</v>
      </c>
      <c r="Y6" s="258"/>
      <c r="Z6" s="258">
        <f>PL!D7</f>
        <v>177970625</v>
      </c>
      <c r="AA6" s="51"/>
      <c r="AB6" s="51">
        <f t="shared" ref="AB6:AB15" si="0">D6+F6+H6+J6+L6+N6+Z6+P6+R6+T6+V6+X6</f>
        <v>8561524466</v>
      </c>
      <c r="AC6" s="317"/>
      <c r="AD6" s="410"/>
      <c r="AE6" s="110"/>
      <c r="AF6" s="110"/>
      <c r="AG6" s="110"/>
      <c r="AH6" s="110"/>
      <c r="AI6" s="110"/>
      <c r="AJ6" s="226"/>
      <c r="AK6" s="226"/>
      <c r="AL6" s="4"/>
      <c r="AM6" s="4"/>
      <c r="AN6" s="4"/>
      <c r="AO6" s="4"/>
      <c r="AP6" s="4"/>
      <c r="AQ6" s="4"/>
      <c r="AR6" s="4"/>
      <c r="AS6" s="4"/>
      <c r="AT6" s="4"/>
    </row>
    <row r="7" spans="1:46" ht="13.5" customHeight="1">
      <c r="A7" s="110"/>
      <c r="B7" s="15" t="s">
        <v>6</v>
      </c>
      <c r="C7" s="390" t="s">
        <v>5255</v>
      </c>
      <c r="D7" s="255">
        <v>6724579330.6999998</v>
      </c>
      <c r="E7" s="255"/>
      <c r="F7" s="255">
        <v>3774844513</v>
      </c>
      <c r="G7" s="255"/>
      <c r="H7" s="255">
        <v>15941359738</v>
      </c>
      <c r="I7" s="255"/>
      <c r="J7" s="255">
        <v>20613018754</v>
      </c>
      <c r="K7" s="255"/>
      <c r="L7" s="255">
        <v>24601686516</v>
      </c>
      <c r="M7" s="255"/>
      <c r="N7" s="258">
        <v>20761283968.594742</v>
      </c>
      <c r="O7" s="51"/>
      <c r="P7" s="258">
        <v>1467608765.6153846</v>
      </c>
      <c r="Q7" s="258"/>
      <c r="R7" s="258">
        <v>1041224000</v>
      </c>
      <c r="S7" s="258"/>
      <c r="T7" s="258">
        <v>1110060121</v>
      </c>
      <c r="U7" s="258"/>
      <c r="V7" s="258">
        <v>1148720476</v>
      </c>
      <c r="W7" s="465"/>
      <c r="X7" s="258">
        <v>1456188526</v>
      </c>
      <c r="Y7" s="258"/>
      <c r="Z7" s="258">
        <f>PL!D8</f>
        <v>1273200752</v>
      </c>
      <c r="AA7" s="51"/>
      <c r="AB7" s="51">
        <f t="shared" si="0"/>
        <v>99913775460.910126</v>
      </c>
      <c r="AC7" s="317"/>
      <c r="AD7" s="410"/>
      <c r="AE7" s="110"/>
      <c r="AF7" s="110"/>
      <c r="AG7" s="110"/>
      <c r="AH7" s="110"/>
      <c r="AI7" s="110"/>
      <c r="AJ7" s="226"/>
      <c r="AK7" s="226"/>
      <c r="AL7" s="4"/>
      <c r="AM7" s="4"/>
      <c r="AN7" s="4"/>
      <c r="AO7" s="4"/>
      <c r="AP7" s="4"/>
      <c r="AQ7" s="4"/>
      <c r="AR7" s="4"/>
      <c r="AS7" s="4"/>
      <c r="AT7" s="4"/>
    </row>
    <row r="8" spans="1:46" ht="13.5" customHeight="1">
      <c r="A8" s="110"/>
      <c r="B8" s="15" t="s">
        <v>10</v>
      </c>
      <c r="C8" s="390" t="s">
        <v>5256</v>
      </c>
      <c r="D8" s="255">
        <v>89400000</v>
      </c>
      <c r="E8" s="255"/>
      <c r="F8" s="255">
        <v>26550000</v>
      </c>
      <c r="G8" s="255"/>
      <c r="H8" s="255">
        <v>280686960</v>
      </c>
      <c r="I8" s="255"/>
      <c r="J8" s="255">
        <v>296790000</v>
      </c>
      <c r="K8" s="255"/>
      <c r="L8" s="255">
        <v>185123000</v>
      </c>
      <c r="M8" s="255"/>
      <c r="N8" s="258">
        <v>160461000</v>
      </c>
      <c r="O8" s="51"/>
      <c r="P8" s="258">
        <v>13279000</v>
      </c>
      <c r="Q8" s="258"/>
      <c r="R8" s="258">
        <v>12700000</v>
      </c>
      <c r="S8" s="258"/>
      <c r="T8" s="258">
        <v>12270000</v>
      </c>
      <c r="U8" s="258"/>
      <c r="V8" s="258">
        <v>13140000</v>
      </c>
      <c r="W8" s="465"/>
      <c r="X8" s="258">
        <v>11500000</v>
      </c>
      <c r="Y8" s="258"/>
      <c r="Z8" s="258">
        <f>PL!D9</f>
        <v>15070000</v>
      </c>
      <c r="AA8" s="51"/>
      <c r="AB8" s="51">
        <f t="shared" si="0"/>
        <v>1116969960</v>
      </c>
      <c r="AC8" s="317"/>
      <c r="AD8" s="410"/>
      <c r="AE8" s="110"/>
      <c r="AF8" s="110"/>
      <c r="AG8" s="110"/>
      <c r="AH8" s="110"/>
      <c r="AI8" s="110"/>
      <c r="AJ8" s="226"/>
      <c r="AK8" s="226"/>
      <c r="AL8" s="4"/>
      <c r="AM8" s="4"/>
      <c r="AN8" s="4"/>
      <c r="AO8" s="4"/>
      <c r="AP8" s="4"/>
      <c r="AQ8" s="4"/>
      <c r="AR8" s="4"/>
      <c r="AS8" s="4"/>
      <c r="AT8" s="4"/>
    </row>
    <row r="9" spans="1:46" ht="13.5" customHeight="1">
      <c r="A9" s="110"/>
      <c r="B9" s="15" t="s">
        <v>8</v>
      </c>
      <c r="C9" s="390" t="s">
        <v>5257</v>
      </c>
      <c r="D9" s="255">
        <v>53441020</v>
      </c>
      <c r="E9" s="255"/>
      <c r="F9" s="255">
        <v>31694651</v>
      </c>
      <c r="G9" s="255"/>
      <c r="H9" s="255">
        <v>137029385</v>
      </c>
      <c r="I9" s="255"/>
      <c r="J9" s="255">
        <v>214673702</v>
      </c>
      <c r="K9" s="255"/>
      <c r="L9" s="255">
        <v>415195090</v>
      </c>
      <c r="M9" s="255"/>
      <c r="N9" s="258">
        <v>444546300</v>
      </c>
      <c r="O9" s="51"/>
      <c r="P9" s="258">
        <v>31347000</v>
      </c>
      <c r="Q9" s="258"/>
      <c r="R9" s="258">
        <v>25167000</v>
      </c>
      <c r="S9" s="258"/>
      <c r="T9" s="258">
        <v>23448000</v>
      </c>
      <c r="U9" s="258"/>
      <c r="V9" s="258">
        <v>29683000</v>
      </c>
      <c r="W9" s="465"/>
      <c r="X9" s="258">
        <v>35874000</v>
      </c>
      <c r="Y9" s="258"/>
      <c r="Z9" s="258">
        <f>PL!D10</f>
        <v>25295000</v>
      </c>
      <c r="AA9" s="51"/>
      <c r="AB9" s="51">
        <f t="shared" si="0"/>
        <v>1467394148</v>
      </c>
      <c r="AC9" s="317"/>
      <c r="AD9" s="410"/>
      <c r="AE9" s="110"/>
      <c r="AF9" s="110"/>
      <c r="AG9" s="110"/>
      <c r="AH9" s="110"/>
      <c r="AI9" s="110"/>
      <c r="AJ9" s="226"/>
      <c r="AK9" s="226"/>
      <c r="AL9" s="4"/>
      <c r="AM9" s="4"/>
      <c r="AN9" s="4"/>
      <c r="AO9" s="4"/>
      <c r="AP9" s="4"/>
      <c r="AQ9" s="4"/>
      <c r="AR9" s="4"/>
      <c r="AS9" s="4"/>
      <c r="AT9" s="4"/>
    </row>
    <row r="10" spans="1:46" ht="13.5" customHeight="1">
      <c r="A10" s="110"/>
      <c r="B10" s="15" t="s">
        <v>25</v>
      </c>
      <c r="C10" s="340" t="s">
        <v>26</v>
      </c>
      <c r="D10" s="255">
        <v>869784400.63</v>
      </c>
      <c r="E10" s="255"/>
      <c r="F10" s="255">
        <v>302079507</v>
      </c>
      <c r="G10" s="255"/>
      <c r="H10" s="255">
        <v>2691333640</v>
      </c>
      <c r="I10" s="255"/>
      <c r="J10" s="255">
        <v>6169661890</v>
      </c>
      <c r="K10" s="255"/>
      <c r="L10" s="255">
        <v>7866636839</v>
      </c>
      <c r="M10" s="255"/>
      <c r="N10" s="258">
        <v>7517114605.0713682</v>
      </c>
      <c r="O10" s="51"/>
      <c r="P10" s="258">
        <v>556628543</v>
      </c>
      <c r="Q10" s="258"/>
      <c r="R10" s="258">
        <v>388493707</v>
      </c>
      <c r="S10" s="258"/>
      <c r="T10" s="258">
        <v>422789723</v>
      </c>
      <c r="U10" s="258"/>
      <c r="V10" s="258">
        <v>496442763</v>
      </c>
      <c r="W10" s="465"/>
      <c r="X10" s="258">
        <v>518920833</v>
      </c>
      <c r="Y10" s="258"/>
      <c r="Z10" s="258">
        <f>PL!D11</f>
        <v>466710191</v>
      </c>
      <c r="AA10" s="51"/>
      <c r="AB10" s="51">
        <f t="shared" si="0"/>
        <v>28266596641.70137</v>
      </c>
      <c r="AC10" s="317"/>
      <c r="AD10" s="410"/>
      <c r="AE10" s="110"/>
      <c r="AF10" s="110"/>
      <c r="AG10" s="110"/>
      <c r="AH10" s="110"/>
      <c r="AI10" s="110"/>
      <c r="AJ10" s="226"/>
      <c r="AK10" s="226"/>
      <c r="AL10" s="4"/>
      <c r="AM10" s="4"/>
      <c r="AN10" s="4"/>
      <c r="AO10" s="4"/>
      <c r="AP10" s="4"/>
      <c r="AQ10" s="4"/>
      <c r="AR10" s="4"/>
      <c r="AS10" s="4"/>
      <c r="AT10" s="4"/>
    </row>
    <row r="11" spans="1:46" ht="13.5" customHeight="1">
      <c r="A11" s="110"/>
      <c r="B11" s="15" t="s">
        <v>5258</v>
      </c>
      <c r="C11" s="340" t="s">
        <v>5259</v>
      </c>
      <c r="D11" s="255">
        <v>24690808.395072222</v>
      </c>
      <c r="E11" s="255"/>
      <c r="F11" s="255">
        <v>8793372</v>
      </c>
      <c r="G11" s="255"/>
      <c r="H11" s="255">
        <v>22254992</v>
      </c>
      <c r="I11" s="255"/>
      <c r="J11" s="255">
        <v>0</v>
      </c>
      <c r="K11" s="255"/>
      <c r="L11" s="255">
        <v>0</v>
      </c>
      <c r="M11" s="255"/>
      <c r="N11" s="258">
        <v>0</v>
      </c>
      <c r="O11" s="51"/>
      <c r="P11" s="258">
        <v>0</v>
      </c>
      <c r="Q11" s="258"/>
      <c r="R11" s="258">
        <v>0</v>
      </c>
      <c r="S11" s="258"/>
      <c r="T11" s="258">
        <v>0</v>
      </c>
      <c r="U11" s="258"/>
      <c r="V11" s="258"/>
      <c r="W11" s="465"/>
      <c r="X11" s="258"/>
      <c r="Y11" s="258"/>
      <c r="Z11" s="258">
        <f>PL!D12</f>
        <v>0</v>
      </c>
      <c r="AA11" s="51"/>
      <c r="AB11" s="51">
        <f t="shared" si="0"/>
        <v>55739172.395072222</v>
      </c>
      <c r="AC11" s="317"/>
      <c r="AD11" s="410"/>
      <c r="AE11" s="110"/>
      <c r="AF11" s="110"/>
      <c r="AG11" s="110"/>
      <c r="AH11" s="110"/>
      <c r="AI11" s="110"/>
      <c r="AJ11" s="226"/>
      <c r="AK11" s="226"/>
      <c r="AL11" s="4"/>
      <c r="AM11" s="4"/>
      <c r="AN11" s="4"/>
      <c r="AO11" s="4"/>
      <c r="AP11" s="4"/>
      <c r="AQ11" s="4"/>
      <c r="AR11" s="4"/>
      <c r="AS11" s="4"/>
      <c r="AT11" s="4"/>
    </row>
    <row r="12" spans="1:46" ht="13.5" customHeight="1">
      <c r="A12" s="110"/>
      <c r="B12" s="15" t="s">
        <v>21</v>
      </c>
      <c r="C12" s="340" t="s">
        <v>5260</v>
      </c>
      <c r="D12" s="255">
        <v>65200018</v>
      </c>
      <c r="E12" s="255"/>
      <c r="F12" s="255">
        <v>44140002</v>
      </c>
      <c r="G12" s="255"/>
      <c r="H12" s="255">
        <v>124927653</v>
      </c>
      <c r="I12" s="255"/>
      <c r="J12" s="255">
        <v>385894493</v>
      </c>
      <c r="K12" s="255"/>
      <c r="L12" s="255">
        <v>301170000</v>
      </c>
      <c r="M12" s="255"/>
      <c r="N12" s="258">
        <v>1211324140</v>
      </c>
      <c r="O12" s="51"/>
      <c r="P12" s="258">
        <v>57400000</v>
      </c>
      <c r="Q12" s="258"/>
      <c r="R12" s="258">
        <v>45680000</v>
      </c>
      <c r="S12" s="258"/>
      <c r="T12" s="258">
        <v>74400000</v>
      </c>
      <c r="U12" s="258"/>
      <c r="V12" s="258">
        <v>46800000</v>
      </c>
      <c r="W12" s="465"/>
      <c r="X12" s="258">
        <v>52500000</v>
      </c>
      <c r="Y12" s="258"/>
      <c r="Z12" s="258">
        <f>PL!D13</f>
        <v>47820000</v>
      </c>
      <c r="AA12" s="51"/>
      <c r="AB12" s="51">
        <f t="shared" si="0"/>
        <v>2457256306</v>
      </c>
      <c r="AC12" s="317"/>
      <c r="AD12" s="410"/>
      <c r="AE12" s="110"/>
      <c r="AF12" s="110"/>
      <c r="AG12" s="110"/>
      <c r="AH12" s="110"/>
      <c r="AI12" s="110"/>
      <c r="AJ12" s="226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 ht="13.5" customHeight="1">
      <c r="A13" s="110"/>
      <c r="B13" s="24" t="s">
        <v>12</v>
      </c>
      <c r="C13" s="340" t="s">
        <v>5261</v>
      </c>
      <c r="D13" s="255">
        <v>5375638</v>
      </c>
      <c r="E13" s="255"/>
      <c r="F13" s="255">
        <v>17767500</v>
      </c>
      <c r="G13" s="255"/>
      <c r="H13" s="255">
        <v>10847000</v>
      </c>
      <c r="I13" s="255"/>
      <c r="J13" s="255">
        <v>1275000</v>
      </c>
      <c r="K13" s="255"/>
      <c r="L13" s="255">
        <v>18725000</v>
      </c>
      <c r="M13" s="255"/>
      <c r="N13" s="258">
        <v>1125000</v>
      </c>
      <c r="O13" s="51"/>
      <c r="P13" s="258">
        <v>0</v>
      </c>
      <c r="Q13" s="258"/>
      <c r="R13" s="258">
        <v>0</v>
      </c>
      <c r="S13" s="258"/>
      <c r="T13" s="258">
        <v>0</v>
      </c>
      <c r="U13" s="258"/>
      <c r="V13" s="258"/>
      <c r="W13" s="465"/>
      <c r="X13" s="258"/>
      <c r="Y13" s="258"/>
      <c r="Z13" s="258">
        <f>PL!D14</f>
        <v>0</v>
      </c>
      <c r="AA13" s="51"/>
      <c r="AB13" s="51">
        <f t="shared" si="0"/>
        <v>55115138</v>
      </c>
      <c r="AC13" s="317"/>
      <c r="AD13" s="410"/>
      <c r="AE13" s="110"/>
      <c r="AF13" s="110"/>
      <c r="AG13" s="110"/>
      <c r="AH13" s="110"/>
      <c r="AI13" s="110"/>
      <c r="AJ13" s="226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ht="13.5" customHeight="1">
      <c r="A14" s="110"/>
      <c r="B14" s="15" t="s">
        <v>5262</v>
      </c>
      <c r="C14" s="340" t="s">
        <v>5263</v>
      </c>
      <c r="D14" s="255">
        <v>-286712548.50959873</v>
      </c>
      <c r="E14" s="255"/>
      <c r="F14" s="255">
        <v>-386947380</v>
      </c>
      <c r="G14" s="255"/>
      <c r="H14" s="255">
        <v>-828524108</v>
      </c>
      <c r="I14" s="255"/>
      <c r="J14" s="255">
        <v>-1704937723</v>
      </c>
      <c r="K14" s="255"/>
      <c r="L14" s="255">
        <v>-2692474448</v>
      </c>
      <c r="M14" s="255"/>
      <c r="N14" s="258">
        <v>-1176160240</v>
      </c>
      <c r="O14" s="51"/>
      <c r="P14" s="258">
        <v>0</v>
      </c>
      <c r="Q14" s="258"/>
      <c r="R14" s="258">
        <v>0</v>
      </c>
      <c r="S14" s="258"/>
      <c r="T14" s="258">
        <v>0</v>
      </c>
      <c r="U14" s="258"/>
      <c r="V14" s="258"/>
      <c r="W14" s="465"/>
      <c r="X14" s="258"/>
      <c r="Y14" s="258"/>
      <c r="Z14" s="258">
        <f>PL!D15</f>
        <v>0</v>
      </c>
      <c r="AA14" s="51"/>
      <c r="AB14" s="51">
        <f t="shared" si="0"/>
        <v>-7075756447.5095987</v>
      </c>
      <c r="AC14" s="317"/>
      <c r="AD14" s="410"/>
      <c r="AE14" s="110"/>
      <c r="AF14" s="110"/>
      <c r="AG14" s="110"/>
      <c r="AH14" s="110"/>
      <c r="AI14" s="110"/>
      <c r="AJ14" s="226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 ht="13.5" customHeight="1">
      <c r="A15" s="110"/>
      <c r="B15" s="15" t="s">
        <v>29</v>
      </c>
      <c r="C15" s="340" t="s">
        <v>5264</v>
      </c>
      <c r="D15" s="255">
        <v>-287009938</v>
      </c>
      <c r="E15" s="255"/>
      <c r="F15" s="255">
        <v>-247496316</v>
      </c>
      <c r="G15" s="255"/>
      <c r="H15" s="255">
        <v>-394440753.202209</v>
      </c>
      <c r="I15" s="255"/>
      <c r="J15" s="255">
        <v>-385344880</v>
      </c>
      <c r="K15" s="255"/>
      <c r="L15" s="255">
        <v>-575827650</v>
      </c>
      <c r="M15" s="255"/>
      <c r="N15" s="258">
        <v>-455691800</v>
      </c>
      <c r="O15" s="51"/>
      <c r="P15" s="258">
        <v>-32285000</v>
      </c>
      <c r="Q15" s="258"/>
      <c r="R15" s="258">
        <v>-24971000</v>
      </c>
      <c r="S15" s="258"/>
      <c r="T15" s="258">
        <v>-22058000</v>
      </c>
      <c r="U15" s="258"/>
      <c r="V15" s="258">
        <v>-27206000</v>
      </c>
      <c r="W15" s="465"/>
      <c r="X15" s="258">
        <v>-26448500</v>
      </c>
      <c r="Y15" s="258"/>
      <c r="Z15" s="258">
        <f>PL!D16</f>
        <v>-30762000</v>
      </c>
      <c r="AA15" s="51"/>
      <c r="AB15" s="51">
        <f t="shared" si="0"/>
        <v>-2509541837.202209</v>
      </c>
      <c r="AC15" s="317"/>
      <c r="AD15" s="410"/>
      <c r="AE15" s="110"/>
      <c r="AF15" s="110"/>
      <c r="AG15" s="110"/>
      <c r="AH15" s="110"/>
      <c r="AI15" s="110"/>
      <c r="AJ15" s="226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6" ht="13.5" customHeight="1">
      <c r="A16" s="351"/>
      <c r="B16" s="127" t="s">
        <v>5265</v>
      </c>
      <c r="C16" s="418" t="s">
        <v>5266</v>
      </c>
      <c r="D16" s="317">
        <f>SUM(D6:D15)</f>
        <v>7669858390.2154732</v>
      </c>
      <c r="E16" s="317"/>
      <c r="F16" s="317">
        <f>SUM(F6:F15)</f>
        <v>3759467923</v>
      </c>
      <c r="G16" s="317"/>
      <c r="H16" s="317">
        <f>SUM(H6:H15)</f>
        <v>18796877610.797791</v>
      </c>
      <c r="I16" s="317"/>
      <c r="J16" s="317">
        <f>SUM(J6:J15)</f>
        <v>27177061403</v>
      </c>
      <c r="K16" s="317"/>
      <c r="L16" s="317">
        <f t="shared" ref="L16:P16" si="1">SUM(L6:L15)</f>
        <v>32414310147</v>
      </c>
      <c r="M16" s="317">
        <f t="shared" si="1"/>
        <v>0</v>
      </c>
      <c r="N16" s="317">
        <f t="shared" si="1"/>
        <v>30737749558.666111</v>
      </c>
      <c r="O16" s="317">
        <f t="shared" si="1"/>
        <v>0</v>
      </c>
      <c r="P16" s="317">
        <f t="shared" si="1"/>
        <v>2275608308.6153846</v>
      </c>
      <c r="Q16" s="317">
        <v>0</v>
      </c>
      <c r="R16" s="317">
        <v>1638312957</v>
      </c>
      <c r="S16" s="317">
        <v>0</v>
      </c>
      <c r="T16" s="317">
        <f>SUM(T6:T15)</f>
        <v>1767558894</v>
      </c>
      <c r="U16" s="317">
        <v>0</v>
      </c>
      <c r="V16" s="317">
        <f>SUM(V6:V15)</f>
        <v>1861361139</v>
      </c>
      <c r="W16" s="415" t="s">
        <v>3828</v>
      </c>
      <c r="X16" s="317">
        <f>SUM(X6:X15)</f>
        <v>2235602109</v>
      </c>
      <c r="Y16" s="51" t="s">
        <v>3828</v>
      </c>
      <c r="Z16" s="317">
        <f t="shared" ref="Z16:AB16" si="2">SUM(Z6:Z15)</f>
        <v>1975304568</v>
      </c>
      <c r="AA16" s="317">
        <f t="shared" si="2"/>
        <v>0</v>
      </c>
      <c r="AB16" s="317">
        <f t="shared" si="2"/>
        <v>132309073008.29478</v>
      </c>
      <c r="AC16" s="317"/>
      <c r="AD16" s="120"/>
      <c r="AE16" s="110"/>
      <c r="AF16" s="110"/>
      <c r="AG16" s="110"/>
      <c r="AH16" s="110"/>
      <c r="AI16" s="110"/>
      <c r="AJ16" s="226"/>
      <c r="AK16" s="4"/>
      <c r="AL16" s="110"/>
      <c r="AM16" s="4"/>
      <c r="AN16" s="4"/>
      <c r="AO16" s="4"/>
      <c r="AP16" s="4"/>
      <c r="AQ16" s="4"/>
      <c r="AR16" s="4"/>
      <c r="AS16" s="4"/>
      <c r="AT16" s="4"/>
    </row>
    <row r="17" spans="1:46" ht="13.5" customHeight="1">
      <c r="A17" s="110"/>
      <c r="B17" s="15"/>
      <c r="C17" s="390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8"/>
      <c r="O17" s="51"/>
      <c r="P17" s="51"/>
      <c r="Q17" s="51"/>
      <c r="R17" s="51"/>
      <c r="S17" s="51"/>
      <c r="T17" s="51"/>
      <c r="U17" s="51"/>
      <c r="V17" s="258"/>
      <c r="W17" s="465"/>
      <c r="X17" s="51"/>
      <c r="Y17" s="51"/>
      <c r="Z17" s="51">
        <f>PL!D18</f>
        <v>0</v>
      </c>
      <c r="AA17" s="51"/>
      <c r="AB17" s="51"/>
      <c r="AC17" s="317"/>
      <c r="AD17" s="410"/>
      <c r="AE17" s="110"/>
      <c r="AF17" s="110"/>
      <c r="AG17" s="110"/>
      <c r="AH17" s="110"/>
      <c r="AI17" s="110"/>
      <c r="AJ17" s="81"/>
      <c r="AK17" s="81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13.5" customHeight="1">
      <c r="A18" s="351"/>
      <c r="B18" s="127" t="s">
        <v>5267</v>
      </c>
      <c r="C18" s="22" t="s">
        <v>5268</v>
      </c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8"/>
      <c r="O18" s="51"/>
      <c r="P18" s="51"/>
      <c r="Q18" s="51"/>
      <c r="R18" s="51"/>
      <c r="S18" s="51"/>
      <c r="T18" s="51"/>
      <c r="U18" s="51"/>
      <c r="V18" s="258"/>
      <c r="W18" s="465"/>
      <c r="X18" s="51"/>
      <c r="Y18" s="51"/>
      <c r="Z18" s="51">
        <f>PL!D19</f>
        <v>0</v>
      </c>
      <c r="AA18" s="51"/>
      <c r="AB18" s="51"/>
      <c r="AC18" s="317"/>
      <c r="AD18" s="410"/>
      <c r="AE18" s="110"/>
      <c r="AF18" s="110"/>
      <c r="AG18" s="110"/>
      <c r="AH18" s="110"/>
      <c r="AI18" s="110"/>
      <c r="AJ18" s="226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13.5" customHeight="1">
      <c r="A19" s="110"/>
      <c r="B19" s="15" t="s">
        <v>3611</v>
      </c>
      <c r="C19" s="340" t="s">
        <v>5269</v>
      </c>
      <c r="D19" s="255">
        <v>132466862.45277791</v>
      </c>
      <c r="E19" s="437">
        <f t="shared" ref="E19:E22" si="3">D19/D6</f>
        <v>0.32221782901078044</v>
      </c>
      <c r="F19" s="255">
        <v>82240766.051606163</v>
      </c>
      <c r="G19" s="437">
        <f t="shared" ref="G19:G22" si="4">F19/F6</f>
        <v>0.4373530045813373</v>
      </c>
      <c r="H19" s="255">
        <v>244202951.05299866</v>
      </c>
      <c r="I19" s="437">
        <f t="shared" ref="I19:I22" si="5">H19/H6</f>
        <v>0.3009637871104307</v>
      </c>
      <c r="J19" s="255">
        <v>521594641.59860003</v>
      </c>
      <c r="K19" s="437">
        <f t="shared" ref="K19:K22" si="6">J19/J6</f>
        <v>0.32886804579840001</v>
      </c>
      <c r="L19" s="255">
        <v>731518463.4865942</v>
      </c>
      <c r="M19" s="437">
        <f t="shared" ref="M19:M22" si="7">L19/L6</f>
        <v>0.31887283911307296</v>
      </c>
      <c r="N19" s="258">
        <v>742866060.61382651</v>
      </c>
      <c r="O19" s="437">
        <f t="shared" ref="O19:O22" si="8">N19/N6</f>
        <v>0.32671453605012296</v>
      </c>
      <c r="P19" s="258">
        <v>61331885.023223132</v>
      </c>
      <c r="Q19" s="466">
        <v>0.33767486110897499</v>
      </c>
      <c r="R19" s="258">
        <v>52129688.176041663</v>
      </c>
      <c r="S19" s="466">
        <v>0.34748666038552828</v>
      </c>
      <c r="T19" s="258">
        <v>52013345.951685011</v>
      </c>
      <c r="U19" s="466">
        <v>0.35467905146119261</v>
      </c>
      <c r="V19" s="258">
        <v>54150389</v>
      </c>
      <c r="W19" s="466">
        <v>0.35</v>
      </c>
      <c r="X19" s="258">
        <v>64140771</v>
      </c>
      <c r="Y19" s="466">
        <v>0.34</v>
      </c>
      <c r="Z19" s="258">
        <f>PL!D20</f>
        <v>65753306.001255453</v>
      </c>
      <c r="AA19" s="437">
        <f t="shared" ref="AA19:AA22" si="9">Z19/Z6</f>
        <v>0.36946156704936811</v>
      </c>
      <c r="AB19" s="51">
        <f t="shared" ref="AB19:AB27" si="10">D19+F19+H19+J19+L19+N19+Z19+P19+R19+T19+V19+X19</f>
        <v>2804409130.4086084</v>
      </c>
      <c r="AC19" s="439">
        <f t="shared" ref="AC19:AC22" si="11">AB19/AB6</f>
        <v>0.32755955338860893</v>
      </c>
      <c r="AD19" s="419"/>
      <c r="AE19" s="110"/>
      <c r="AF19" s="110"/>
      <c r="AG19" s="110"/>
      <c r="AH19" s="110"/>
      <c r="AI19" s="110"/>
      <c r="AJ19" s="226"/>
      <c r="AK19" s="81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13.5" customHeight="1">
      <c r="A20" s="110"/>
      <c r="B20" s="15" t="s">
        <v>3613</v>
      </c>
      <c r="C20" s="340" t="s">
        <v>5270</v>
      </c>
      <c r="D20" s="255">
        <v>1854941892.3763175</v>
      </c>
      <c r="E20" s="437">
        <f t="shared" si="3"/>
        <v>0.2758450456384498</v>
      </c>
      <c r="F20" s="255">
        <v>1071156704.7414576</v>
      </c>
      <c r="G20" s="437">
        <f t="shared" si="4"/>
        <v>0.28376180821555802</v>
      </c>
      <c r="H20" s="255">
        <v>4292781120.956501</v>
      </c>
      <c r="I20" s="437">
        <f t="shared" si="5"/>
        <v>0.26928575676788991</v>
      </c>
      <c r="J20" s="255">
        <v>5897405696.6298962</v>
      </c>
      <c r="K20" s="437">
        <f t="shared" si="6"/>
        <v>0.2861010202828973</v>
      </c>
      <c r="L20" s="255">
        <v>6659609810.5284605</v>
      </c>
      <c r="M20" s="437">
        <f t="shared" si="7"/>
        <v>0.27069728761064016</v>
      </c>
      <c r="N20" s="258">
        <v>5537236114.691741</v>
      </c>
      <c r="O20" s="437">
        <f t="shared" si="8"/>
        <v>0.26670971424830126</v>
      </c>
      <c r="P20" s="258">
        <v>397383814.21194285</v>
      </c>
      <c r="Q20" s="466">
        <v>0.27076958350362224</v>
      </c>
      <c r="R20" s="258">
        <v>284208706.57833034</v>
      </c>
      <c r="S20" s="466">
        <v>0.27295635384732808</v>
      </c>
      <c r="T20" s="258">
        <v>304818910.00825149</v>
      </c>
      <c r="U20" s="466">
        <v>0.2745967576365636</v>
      </c>
      <c r="V20" s="258">
        <v>308247068</v>
      </c>
      <c r="W20" s="466">
        <v>0.27</v>
      </c>
      <c r="X20" s="258">
        <v>400060612</v>
      </c>
      <c r="Y20" s="466">
        <v>0.27</v>
      </c>
      <c r="Z20" s="258">
        <f>PL!D21</f>
        <v>349068994.72156817</v>
      </c>
      <c r="AA20" s="437">
        <f t="shared" si="9"/>
        <v>0.27416650058777858</v>
      </c>
      <c r="AB20" s="51">
        <f t="shared" si="10"/>
        <v>27356919445.444469</v>
      </c>
      <c r="AC20" s="439">
        <f t="shared" si="11"/>
        <v>0.27380528179667762</v>
      </c>
      <c r="AD20" s="419"/>
      <c r="AE20" s="110"/>
      <c r="AF20" s="110"/>
      <c r="AG20" s="110"/>
      <c r="AH20" s="110"/>
      <c r="AI20" s="110"/>
      <c r="AJ20" s="226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ht="13.5" customHeight="1">
      <c r="A21" s="110"/>
      <c r="B21" s="15" t="s">
        <v>3615</v>
      </c>
      <c r="C21" s="340" t="s">
        <v>5271</v>
      </c>
      <c r="D21" s="255">
        <v>9770735.7074419241</v>
      </c>
      <c r="E21" s="437">
        <f t="shared" si="3"/>
        <v>0.1092923457208269</v>
      </c>
      <c r="F21" s="255">
        <v>3769495.9840927403</v>
      </c>
      <c r="G21" s="437">
        <f t="shared" si="4"/>
        <v>0.14197724987166629</v>
      </c>
      <c r="H21" s="255">
        <v>19805416.305538002</v>
      </c>
      <c r="I21" s="437">
        <f t="shared" si="5"/>
        <v>7.0560514480394826E-2</v>
      </c>
      <c r="J21" s="255">
        <v>15341852.466166705</v>
      </c>
      <c r="K21" s="437">
        <f t="shared" si="6"/>
        <v>5.1692619246493161E-2</v>
      </c>
      <c r="L21" s="255">
        <v>11168719.199657593</v>
      </c>
      <c r="M21" s="437">
        <f t="shared" si="7"/>
        <v>6.03313429431113E-2</v>
      </c>
      <c r="N21" s="258">
        <v>13643519.327540783</v>
      </c>
      <c r="O21" s="437">
        <f t="shared" si="8"/>
        <v>8.5027011719612758E-2</v>
      </c>
      <c r="P21" s="258">
        <v>42529.960317460318</v>
      </c>
      <c r="Q21" s="466">
        <v>3.2027984274011836E-3</v>
      </c>
      <c r="R21" s="258">
        <v>654246.40367965365</v>
      </c>
      <c r="S21" s="466">
        <v>5.1515464856665645E-2</v>
      </c>
      <c r="T21" s="258">
        <v>137445.24444444448</v>
      </c>
      <c r="U21" s="466">
        <v>1.1201731413565157E-2</v>
      </c>
      <c r="V21" s="258">
        <v>309130</v>
      </c>
      <c r="W21" s="466">
        <v>0.02</v>
      </c>
      <c r="X21" s="258">
        <v>1302172</v>
      </c>
      <c r="Y21" s="466">
        <v>0.11</v>
      </c>
      <c r="Z21" s="258">
        <f>PL!D22</f>
        <v>735701.88181818172</v>
      </c>
      <c r="AA21" s="437">
        <f t="shared" si="9"/>
        <v>4.881897025999879E-2</v>
      </c>
      <c r="AB21" s="51">
        <f t="shared" si="10"/>
        <v>76680964.480697483</v>
      </c>
      <c r="AC21" s="439">
        <f t="shared" si="11"/>
        <v>6.8650874443120638E-2</v>
      </c>
      <c r="AD21" s="419"/>
      <c r="AE21" s="110"/>
      <c r="AF21" s="110"/>
      <c r="AG21" s="110"/>
      <c r="AH21" s="110"/>
      <c r="AI21" s="110"/>
      <c r="AJ21" s="226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ht="13.5" customHeight="1">
      <c r="A22" s="110"/>
      <c r="B22" s="15" t="s">
        <v>3617</v>
      </c>
      <c r="C22" s="340" t="s">
        <v>5272</v>
      </c>
      <c r="D22" s="255">
        <v>29841910.055570811</v>
      </c>
      <c r="E22" s="437">
        <f t="shared" si="3"/>
        <v>0.55840831734818708</v>
      </c>
      <c r="F22" s="255">
        <v>12724217.137715437</v>
      </c>
      <c r="G22" s="437">
        <f t="shared" si="4"/>
        <v>0.40146260445383786</v>
      </c>
      <c r="H22" s="255">
        <v>86396051.306177124</v>
      </c>
      <c r="I22" s="437">
        <f t="shared" si="5"/>
        <v>0.63049287790481667</v>
      </c>
      <c r="J22" s="255">
        <v>130577883.75561439</v>
      </c>
      <c r="K22" s="437">
        <f t="shared" si="6"/>
        <v>0.6082621324321057</v>
      </c>
      <c r="L22" s="255">
        <v>274123804.68257886</v>
      </c>
      <c r="M22" s="437">
        <f t="shared" si="7"/>
        <v>0.66022891716416698</v>
      </c>
      <c r="N22" s="258">
        <v>294616055.00834817</v>
      </c>
      <c r="O22" s="437">
        <f t="shared" si="8"/>
        <v>0.66273424164895345</v>
      </c>
      <c r="P22" s="258">
        <v>20858896.034137905</v>
      </c>
      <c r="Q22" s="466">
        <v>0.66541921185880326</v>
      </c>
      <c r="R22" s="258">
        <v>16721264.437500002</v>
      </c>
      <c r="S22" s="466">
        <v>0.66441230331386347</v>
      </c>
      <c r="T22" s="258">
        <v>16125871.592388321</v>
      </c>
      <c r="U22" s="466">
        <v>0.68772908531168209</v>
      </c>
      <c r="V22" s="258">
        <v>21843920</v>
      </c>
      <c r="W22" s="466">
        <v>0.74</v>
      </c>
      <c r="X22" s="258">
        <v>22953420</v>
      </c>
      <c r="Y22" s="466">
        <v>0.64</v>
      </c>
      <c r="Z22" s="258">
        <f>PL!D23</f>
        <v>17082366.576508671</v>
      </c>
      <c r="AA22" s="437">
        <f t="shared" si="9"/>
        <v>0.67532581840318917</v>
      </c>
      <c r="AB22" s="51">
        <f t="shared" si="10"/>
        <v>943865660.58653963</v>
      </c>
      <c r="AC22" s="439">
        <f t="shared" si="11"/>
        <v>0.6432257221912675</v>
      </c>
      <c r="AD22" s="410"/>
      <c r="AE22" s="110"/>
      <c r="AF22" s="110"/>
      <c r="AG22" s="110"/>
      <c r="AH22" s="110"/>
      <c r="AI22" s="110"/>
      <c r="AJ22" s="226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ht="13.5" customHeight="1">
      <c r="A23" s="110"/>
      <c r="B23" s="15" t="s">
        <v>659</v>
      </c>
      <c r="C23" s="340" t="s">
        <v>5273</v>
      </c>
      <c r="D23" s="255">
        <v>820042766</v>
      </c>
      <c r="E23" s="437">
        <f>D23/D16</f>
        <v>0.10691758886267548</v>
      </c>
      <c r="F23" s="255">
        <v>444696694</v>
      </c>
      <c r="G23" s="437">
        <f>F23/F16</f>
        <v>0.11828713613418428</v>
      </c>
      <c r="H23" s="255">
        <v>2094270721</v>
      </c>
      <c r="I23" s="437">
        <f>H23/H16</f>
        <v>0.11141588323142322</v>
      </c>
      <c r="J23" s="255">
        <v>3740291391</v>
      </c>
      <c r="K23" s="437">
        <f>J23/J16</f>
        <v>0.13762677780119081</v>
      </c>
      <c r="L23" s="255">
        <v>4277653353.7600002</v>
      </c>
      <c r="M23" s="437">
        <f>L23/L16</f>
        <v>0.13196805159081582</v>
      </c>
      <c r="N23" s="258">
        <v>4422083387.04</v>
      </c>
      <c r="O23" s="437">
        <f>N23/N16</f>
        <v>0.14386490392213019</v>
      </c>
      <c r="P23" s="258">
        <v>404015122.94999999</v>
      </c>
      <c r="Q23" s="466">
        <v>0.17754159247020276</v>
      </c>
      <c r="R23" s="258">
        <v>403483100</v>
      </c>
      <c r="S23" s="466">
        <v>0.2462796245833512</v>
      </c>
      <c r="T23" s="258">
        <v>407476132</v>
      </c>
      <c r="U23" s="466">
        <v>0.23053044138058576</v>
      </c>
      <c r="V23" s="258">
        <v>288600000</v>
      </c>
      <c r="W23" s="466">
        <v>0.16</v>
      </c>
      <c r="X23" s="258">
        <v>324570194</v>
      </c>
      <c r="Y23" s="466">
        <v>0.15</v>
      </c>
      <c r="Z23" s="258">
        <f>PL!D24</f>
        <v>293036607</v>
      </c>
      <c r="AA23" s="437">
        <f>Z23/Z16</f>
        <v>0.14835008825838952</v>
      </c>
      <c r="AB23" s="51">
        <f t="shared" si="10"/>
        <v>17920219468.75</v>
      </c>
      <c r="AC23" s="439">
        <f>AB23/AB16</f>
        <v>0.13544210583069036</v>
      </c>
      <c r="AD23" s="410"/>
      <c r="AE23" s="110"/>
      <c r="AF23" s="110"/>
      <c r="AG23" s="110"/>
      <c r="AH23" s="110"/>
      <c r="AI23" s="110"/>
      <c r="AJ23" s="226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ht="13.5" customHeight="1">
      <c r="A24" s="110"/>
      <c r="B24" s="15" t="s">
        <v>3619</v>
      </c>
      <c r="C24" s="340" t="s">
        <v>5274</v>
      </c>
      <c r="D24" s="255">
        <v>2378350</v>
      </c>
      <c r="E24" s="437"/>
      <c r="F24" s="255">
        <v>9340550</v>
      </c>
      <c r="G24" s="437"/>
      <c r="H24" s="255">
        <v>7621250</v>
      </c>
      <c r="I24" s="437"/>
      <c r="J24" s="255">
        <v>0</v>
      </c>
      <c r="K24" s="437"/>
      <c r="L24" s="255">
        <v>5766000</v>
      </c>
      <c r="M24" s="437"/>
      <c r="N24" s="258">
        <v>0</v>
      </c>
      <c r="O24" s="437"/>
      <c r="P24" s="258">
        <v>0</v>
      </c>
      <c r="Q24" s="466"/>
      <c r="R24" s="258">
        <v>0</v>
      </c>
      <c r="S24" s="466"/>
      <c r="T24" s="258">
        <v>0</v>
      </c>
      <c r="U24" s="466"/>
      <c r="V24" s="258"/>
      <c r="W24" s="466"/>
      <c r="X24" s="258"/>
      <c r="Y24" s="258"/>
      <c r="Z24" s="258">
        <f>PL!D25</f>
        <v>0</v>
      </c>
      <c r="AA24" s="437"/>
      <c r="AB24" s="51">
        <f t="shared" si="10"/>
        <v>25106150</v>
      </c>
      <c r="AC24" s="439"/>
      <c r="AD24" s="410"/>
      <c r="AE24" s="110"/>
      <c r="AF24" s="110"/>
      <c r="AG24" s="110"/>
      <c r="AH24" s="110"/>
      <c r="AI24" s="110"/>
      <c r="AJ24" s="226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ht="13.5" customHeight="1">
      <c r="A25" s="110"/>
      <c r="B25" s="15" t="s">
        <v>3149</v>
      </c>
      <c r="C25" s="340" t="s">
        <v>5275</v>
      </c>
      <c r="D25" s="255">
        <v>217236950.97963724</v>
      </c>
      <c r="E25" s="437">
        <f>D25/D16</f>
        <v>2.8323463084633859E-2</v>
      </c>
      <c r="F25" s="255">
        <v>67416648.700000003</v>
      </c>
      <c r="G25" s="437">
        <f>F25/F16</f>
        <v>1.7932497385481749E-2</v>
      </c>
      <c r="H25" s="255">
        <v>467734081</v>
      </c>
      <c r="I25" s="437">
        <f>H25/H16</f>
        <v>2.4883605175537879E-2</v>
      </c>
      <c r="J25" s="255">
        <v>663133065</v>
      </c>
      <c r="K25" s="437">
        <f>J25/J16</f>
        <v>2.440046976259172E-2</v>
      </c>
      <c r="L25" s="255">
        <v>855079433</v>
      </c>
      <c r="M25" s="437">
        <f>L25/L16</f>
        <v>2.6379689375531538E-2</v>
      </c>
      <c r="N25" s="258">
        <v>608336496</v>
      </c>
      <c r="O25" s="437">
        <f>N25/N16</f>
        <v>1.9791185260291361E-2</v>
      </c>
      <c r="P25" s="258">
        <v>32774623.870000001</v>
      </c>
      <c r="Q25" s="466">
        <v>1.4402576992673239E-2</v>
      </c>
      <c r="R25" s="258">
        <v>22937607.789999999</v>
      </c>
      <c r="S25" s="466">
        <v>1.4000748570042592E-2</v>
      </c>
      <c r="T25" s="258">
        <v>21585329.390000001</v>
      </c>
      <c r="U25" s="466">
        <v>1.2211943524638225E-2</v>
      </c>
      <c r="V25" s="258">
        <v>21297603</v>
      </c>
      <c r="W25" s="466">
        <v>0.01</v>
      </c>
      <c r="X25" s="258">
        <v>38314879</v>
      </c>
      <c r="Y25" s="466">
        <v>0.02</v>
      </c>
      <c r="Z25" s="258">
        <f>PL!D26</f>
        <v>20356316.66</v>
      </c>
      <c r="AA25" s="437">
        <f>Z25/Z16</f>
        <v>1.0305406563510767E-2</v>
      </c>
      <c r="AB25" s="51">
        <f t="shared" si="10"/>
        <v>3036203034.3896365</v>
      </c>
      <c r="AC25" s="439">
        <f>AB25/AB16</f>
        <v>2.2947806717679063E-2</v>
      </c>
      <c r="AD25" s="410"/>
      <c r="AE25" s="110"/>
      <c r="AF25" s="110"/>
      <c r="AG25" s="110"/>
      <c r="AH25" s="110"/>
      <c r="AI25" s="110"/>
      <c r="AJ25" s="226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ht="13.5" customHeight="1">
      <c r="A26" s="110"/>
      <c r="B26" s="15" t="s">
        <v>221</v>
      </c>
      <c r="C26" s="340" t="s">
        <v>5276</v>
      </c>
      <c r="D26" s="255">
        <v>34340997.890000001</v>
      </c>
      <c r="E26" s="437">
        <f>D26/D16</f>
        <v>4.4773966014560592E-3</v>
      </c>
      <c r="F26" s="255">
        <v>203123377.03310001</v>
      </c>
      <c r="G26" s="437">
        <f>F26/F16</f>
        <v>5.402982049412209E-2</v>
      </c>
      <c r="H26" s="255">
        <v>357312260.89999998</v>
      </c>
      <c r="I26" s="437">
        <f>H26/H16</f>
        <v>1.9009128446670492E-2</v>
      </c>
      <c r="J26" s="255">
        <v>281979058</v>
      </c>
      <c r="K26" s="437">
        <f>J26/J16</f>
        <v>1.0375627218065347E-2</v>
      </c>
      <c r="L26" s="255">
        <v>319511269.80000001</v>
      </c>
      <c r="M26" s="437">
        <f>L26/L16</f>
        <v>9.8571053448617448E-3</v>
      </c>
      <c r="N26" s="258">
        <v>355227719.69999999</v>
      </c>
      <c r="O26" s="437">
        <f>N26/N16</f>
        <v>1.1556725030308803E-2</v>
      </c>
      <c r="P26" s="258">
        <v>16659566.334148563</v>
      </c>
      <c r="Q26" s="466">
        <v>7.3209287692771845E-3</v>
      </c>
      <c r="R26" s="258">
        <v>15680894.449999999</v>
      </c>
      <c r="S26" s="466">
        <v>9.5713669253486826E-3</v>
      </c>
      <c r="T26" s="258">
        <v>9682608</v>
      </c>
      <c r="U26" s="466">
        <v>5.4779549540712501E-3</v>
      </c>
      <c r="V26" s="258">
        <v>15082000</v>
      </c>
      <c r="W26" s="466">
        <v>0.01</v>
      </c>
      <c r="X26" s="258">
        <v>16942523</v>
      </c>
      <c r="Y26" s="466">
        <v>0.01</v>
      </c>
      <c r="Z26" s="258">
        <f>PL!D27</f>
        <v>11354385.5</v>
      </c>
      <c r="AA26" s="437">
        <f>Z26/Z16</f>
        <v>5.7481695146872156E-3</v>
      </c>
      <c r="AB26" s="51">
        <f t="shared" si="10"/>
        <v>1636896660.6072488</v>
      </c>
      <c r="AC26" s="439">
        <f>AB26/AB16</f>
        <v>1.237176425916481E-2</v>
      </c>
      <c r="AD26" s="410"/>
      <c r="AE26" s="110"/>
      <c r="AF26" s="110"/>
      <c r="AG26" s="110"/>
      <c r="AH26" s="110"/>
      <c r="AI26" s="110"/>
      <c r="AJ26" s="226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ht="13.5" customHeight="1">
      <c r="A27" s="351"/>
      <c r="B27" s="178">
        <v>2593344</v>
      </c>
      <c r="C27" s="340" t="s">
        <v>5277</v>
      </c>
      <c r="D27" s="317"/>
      <c r="E27" s="439"/>
      <c r="F27" s="317"/>
      <c r="G27" s="439"/>
      <c r="H27" s="317"/>
      <c r="I27" s="439"/>
      <c r="J27" s="255">
        <v>13955700</v>
      </c>
      <c r="K27" s="437">
        <f>J27/J16</f>
        <v>5.135102648905032E-4</v>
      </c>
      <c r="L27" s="255">
        <v>6538895</v>
      </c>
      <c r="M27" s="438">
        <f>L27/L16</f>
        <v>2.0172864917827616E-4</v>
      </c>
      <c r="N27" s="258">
        <v>3438295</v>
      </c>
      <c r="O27" s="438">
        <f>N27/N16</f>
        <v>1.1185903487949453E-4</v>
      </c>
      <c r="P27" s="258">
        <v>110950.00000000001</v>
      </c>
      <c r="Q27" s="467">
        <v>4.8756193928430767E-5</v>
      </c>
      <c r="R27" s="258">
        <v>204400</v>
      </c>
      <c r="S27" s="467">
        <v>1.2476248761060125E-4</v>
      </c>
      <c r="T27" s="258">
        <v>0</v>
      </c>
      <c r="U27" s="467">
        <v>0</v>
      </c>
      <c r="V27" s="258">
        <v>129850</v>
      </c>
      <c r="W27" s="466">
        <v>0</v>
      </c>
      <c r="X27" s="258">
        <v>334600</v>
      </c>
      <c r="Y27" s="468">
        <v>0</v>
      </c>
      <c r="Z27" s="258">
        <f>PL!D28</f>
        <v>105350.00000000001</v>
      </c>
      <c r="AA27" s="438">
        <f>Z27/Z16</f>
        <v>5.3333547497775041E-5</v>
      </c>
      <c r="AB27" s="51">
        <f t="shared" si="10"/>
        <v>24818040</v>
      </c>
      <c r="AC27" s="469">
        <f>AB27/AB16</f>
        <v>1.8757625184513305E-4</v>
      </c>
      <c r="AD27" s="410"/>
      <c r="AE27" s="110"/>
      <c r="AF27" s="110"/>
      <c r="AG27" s="110"/>
      <c r="AH27" s="110"/>
      <c r="AI27" s="110"/>
      <c r="AJ27" s="226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ht="13.5" customHeight="1">
      <c r="A28" s="351"/>
      <c r="B28" s="127" t="s">
        <v>5278</v>
      </c>
      <c r="C28" s="418" t="s">
        <v>5279</v>
      </c>
      <c r="D28" s="317">
        <f>SUM(D19:D26)</f>
        <v>3101020465.4617448</v>
      </c>
      <c r="E28" s="439">
        <f>D28/D16</f>
        <v>0.40431261018035902</v>
      </c>
      <c r="F28" s="317">
        <f>SUM(F19:F26)</f>
        <v>1894468453.6479716</v>
      </c>
      <c r="G28" s="439">
        <f>F28/F16</f>
        <v>0.50391930253157036</v>
      </c>
      <c r="H28" s="317">
        <f>SUM(H19:H27)</f>
        <v>7570123852.5212145</v>
      </c>
      <c r="I28" s="439">
        <f>H28/H16</f>
        <v>0.40273305009830929</v>
      </c>
      <c r="J28" s="317">
        <f>SUM(J19:J27)</f>
        <v>11264279288.450277</v>
      </c>
      <c r="K28" s="439">
        <f>J28/J16</f>
        <v>0.41447745661003821</v>
      </c>
      <c r="L28" s="317">
        <f>SUM(L19:L27)</f>
        <v>13140969749.457291</v>
      </c>
      <c r="M28" s="439">
        <f>L28/L16</f>
        <v>0.40540642974854457</v>
      </c>
      <c r="N28" s="317">
        <f>SUM(N19:N27)</f>
        <v>11977447647.381458</v>
      </c>
      <c r="O28" s="439">
        <f>N28/N16</f>
        <v>0.38966573087991641</v>
      </c>
      <c r="P28" s="317">
        <f>SUM(P19:P27)</f>
        <v>933177388.38376975</v>
      </c>
      <c r="Q28" s="439">
        <v>0.41007821286764873</v>
      </c>
      <c r="R28" s="317">
        <v>796019907.83555174</v>
      </c>
      <c r="S28" s="439">
        <v>0.48587780767673666</v>
      </c>
      <c r="T28" s="317">
        <f>SUM(T19:T27)</f>
        <v>811839642.18676925</v>
      </c>
      <c r="U28" s="439">
        <v>0.45929991070881354</v>
      </c>
      <c r="V28" s="317">
        <f>SUM(V19:V27)</f>
        <v>709659960</v>
      </c>
      <c r="W28" s="465">
        <v>0.38</v>
      </c>
      <c r="X28" s="317">
        <f>SUM(X19:X27)</f>
        <v>868619171</v>
      </c>
      <c r="Y28" s="465">
        <v>0.39</v>
      </c>
      <c r="Z28" s="317">
        <f>SUM(Z19:Z27)</f>
        <v>757493028.3411504</v>
      </c>
      <c r="AA28" s="439">
        <f>Z28/Z16</f>
        <v>0.38348163650940859</v>
      </c>
      <c r="AB28" s="317">
        <f>SUM(AB19:AB27)</f>
        <v>53825118554.667198</v>
      </c>
      <c r="AC28" s="439">
        <v>0.41628016793528055</v>
      </c>
      <c r="AD28" s="410"/>
      <c r="AE28" s="110"/>
      <c r="AF28" s="110"/>
      <c r="AG28" s="110"/>
      <c r="AH28" s="110"/>
      <c r="AI28" s="110"/>
      <c r="AJ28" s="226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ht="13.5" customHeight="1">
      <c r="A29" s="110"/>
      <c r="B29" s="15"/>
      <c r="C29" s="390"/>
      <c r="D29" s="255"/>
      <c r="E29" s="437"/>
      <c r="F29" s="255"/>
      <c r="G29" s="437"/>
      <c r="H29" s="255"/>
      <c r="I29" s="437"/>
      <c r="J29" s="255"/>
      <c r="K29" s="437"/>
      <c r="L29" s="255"/>
      <c r="M29" s="255"/>
      <c r="N29" s="258"/>
      <c r="O29" s="51"/>
      <c r="P29" s="51"/>
      <c r="Q29" s="51"/>
      <c r="R29" s="51"/>
      <c r="S29" s="51"/>
      <c r="T29" s="51"/>
      <c r="U29" s="51"/>
      <c r="V29" s="258"/>
      <c r="W29" s="465"/>
      <c r="X29" s="51"/>
      <c r="Y29" s="51"/>
      <c r="Z29" s="51">
        <f>PL!D30</f>
        <v>0</v>
      </c>
      <c r="AA29" s="51"/>
      <c r="AB29" s="51"/>
      <c r="AC29" s="317"/>
      <c r="AD29" s="410"/>
      <c r="AE29" s="110"/>
      <c r="AF29" s="110"/>
      <c r="AG29" s="110"/>
      <c r="AH29" s="110"/>
      <c r="AI29" s="110"/>
      <c r="AJ29" s="226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ht="13.5" customHeight="1">
      <c r="A30" s="351"/>
      <c r="B30" s="127" t="s">
        <v>5280</v>
      </c>
      <c r="C30" s="22" t="s">
        <v>5281</v>
      </c>
      <c r="D30" s="255"/>
      <c r="E30" s="437"/>
      <c r="F30" s="255"/>
      <c r="G30" s="437"/>
      <c r="H30" s="255"/>
      <c r="I30" s="437"/>
      <c r="J30" s="255"/>
      <c r="K30" s="437"/>
      <c r="L30" s="255"/>
      <c r="M30" s="255"/>
      <c r="N30" s="258"/>
      <c r="O30" s="51"/>
      <c r="P30" s="51"/>
      <c r="Q30" s="51"/>
      <c r="R30" s="51"/>
      <c r="S30" s="51"/>
      <c r="T30" s="51"/>
      <c r="U30" s="51"/>
      <c r="V30" s="258"/>
      <c r="W30" s="465"/>
      <c r="X30" s="51"/>
      <c r="Y30" s="51"/>
      <c r="Z30" s="51">
        <f>PL!D31</f>
        <v>0</v>
      </c>
      <c r="AA30" s="51"/>
      <c r="AB30" s="51"/>
      <c r="AC30" s="317"/>
      <c r="AD30" s="410"/>
      <c r="AE30" s="110"/>
      <c r="AF30" s="110"/>
      <c r="AG30" s="110"/>
      <c r="AH30" s="110"/>
      <c r="AI30" s="110"/>
      <c r="AJ30" s="226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ht="13.5" customHeight="1">
      <c r="A31" s="110"/>
      <c r="B31" s="15"/>
      <c r="C31" s="340"/>
      <c r="D31" s="255"/>
      <c r="E31" s="437"/>
      <c r="F31" s="255"/>
      <c r="G31" s="437"/>
      <c r="H31" s="255"/>
      <c r="I31" s="437"/>
      <c r="J31" s="255"/>
      <c r="K31" s="437"/>
      <c r="L31" s="255"/>
      <c r="M31" s="255"/>
      <c r="N31" s="258"/>
      <c r="O31" s="51"/>
      <c r="P31" s="51"/>
      <c r="Q31" s="51"/>
      <c r="R31" s="51"/>
      <c r="S31" s="51"/>
      <c r="T31" s="51"/>
      <c r="U31" s="51"/>
      <c r="V31" s="258"/>
      <c r="W31" s="465"/>
      <c r="X31" s="51"/>
      <c r="Y31" s="51"/>
      <c r="Z31" s="51">
        <f>PL!D32</f>
        <v>0</v>
      </c>
      <c r="AA31" s="51"/>
      <c r="AB31" s="51"/>
      <c r="AC31" s="317"/>
      <c r="AD31" s="410"/>
      <c r="AE31" s="110"/>
      <c r="AF31" s="110"/>
      <c r="AG31" s="110"/>
      <c r="AH31" s="110"/>
      <c r="AI31" s="110"/>
      <c r="AJ31" s="226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spans="1:46" ht="13.5" customHeight="1">
      <c r="A32" s="351"/>
      <c r="B32" s="127" t="s">
        <v>5282</v>
      </c>
      <c r="C32" s="418" t="s">
        <v>5283</v>
      </c>
      <c r="D32" s="255"/>
      <c r="E32" s="437"/>
      <c r="F32" s="255"/>
      <c r="G32" s="437"/>
      <c r="H32" s="255"/>
      <c r="I32" s="437"/>
      <c r="J32" s="255"/>
      <c r="K32" s="437"/>
      <c r="L32" s="255"/>
      <c r="M32" s="255"/>
      <c r="N32" s="258"/>
      <c r="O32" s="51"/>
      <c r="P32" s="51"/>
      <c r="Q32" s="51"/>
      <c r="R32" s="51"/>
      <c r="S32" s="51"/>
      <c r="T32" s="51"/>
      <c r="U32" s="51"/>
      <c r="V32" s="258"/>
      <c r="W32" s="465"/>
      <c r="X32" s="51"/>
      <c r="Y32" s="51"/>
      <c r="Z32" s="51">
        <f>PL!D33</f>
        <v>0</v>
      </c>
      <c r="AA32" s="51"/>
      <c r="AB32" s="51"/>
      <c r="AC32" s="317"/>
      <c r="AD32" s="410"/>
      <c r="AE32" s="110"/>
      <c r="AF32" s="110"/>
      <c r="AG32" s="110"/>
      <c r="AH32" s="110"/>
      <c r="AI32" s="110"/>
      <c r="AJ32" s="226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spans="1:46" ht="13.5" customHeight="1">
      <c r="A33" s="110"/>
      <c r="B33" s="15" t="s">
        <v>1538</v>
      </c>
      <c r="C33" s="390" t="s">
        <v>5284</v>
      </c>
      <c r="D33" s="255">
        <v>1971937871.6707952</v>
      </c>
      <c r="E33" s="437"/>
      <c r="F33" s="255">
        <v>1197711035</v>
      </c>
      <c r="G33" s="437"/>
      <c r="H33" s="255">
        <v>2664571537</v>
      </c>
      <c r="I33" s="437"/>
      <c r="J33" s="255">
        <v>3833924082</v>
      </c>
      <c r="K33" s="437"/>
      <c r="L33" s="255">
        <v>4418515222</v>
      </c>
      <c r="M33" s="255"/>
      <c r="N33" s="258">
        <v>5371240816</v>
      </c>
      <c r="O33" s="51"/>
      <c r="P33" s="258">
        <v>450295183</v>
      </c>
      <c r="Q33" s="258"/>
      <c r="R33" s="258">
        <v>443119378</v>
      </c>
      <c r="S33" s="258"/>
      <c r="T33" s="258">
        <v>446243518</v>
      </c>
      <c r="U33" s="258"/>
      <c r="V33" s="258">
        <v>491031378</v>
      </c>
      <c r="W33" s="465"/>
      <c r="X33" s="258">
        <v>500980214</v>
      </c>
      <c r="Y33" s="258"/>
      <c r="Z33" s="258">
        <f>PL!D34</f>
        <v>506375748</v>
      </c>
      <c r="AA33" s="51"/>
      <c r="AB33" s="51">
        <f t="shared" ref="AB33:AB42" si="12">D33+F33+H33+J33+L33+N33+Z33+P33+R33+T33+V33+X33</f>
        <v>22295945982.670795</v>
      </c>
      <c r="AC33" s="317"/>
      <c r="AD33" s="410"/>
      <c r="AE33" s="110"/>
      <c r="AF33" s="110"/>
      <c r="AG33" s="110"/>
      <c r="AH33" s="110"/>
      <c r="AI33" s="110"/>
      <c r="AJ33" s="226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spans="1:46" ht="13.5" customHeight="1">
      <c r="A34" s="110"/>
      <c r="B34" s="15" t="s">
        <v>1540</v>
      </c>
      <c r="C34" s="390" t="s">
        <v>5285</v>
      </c>
      <c r="D34" s="255">
        <v>174940000</v>
      </c>
      <c r="E34" s="437"/>
      <c r="F34" s="255">
        <v>144237000</v>
      </c>
      <c r="G34" s="437"/>
      <c r="H34" s="255">
        <v>200427977</v>
      </c>
      <c r="I34" s="437"/>
      <c r="J34" s="255">
        <v>356598445</v>
      </c>
      <c r="K34" s="437"/>
      <c r="L34" s="255">
        <v>355360905</v>
      </c>
      <c r="M34" s="255"/>
      <c r="N34" s="258">
        <v>396643992</v>
      </c>
      <c r="O34" s="51"/>
      <c r="P34" s="258">
        <v>32249000</v>
      </c>
      <c r="Q34" s="258"/>
      <c r="R34" s="258">
        <v>33729000</v>
      </c>
      <c r="S34" s="258"/>
      <c r="T34" s="258">
        <v>27766000</v>
      </c>
      <c r="U34" s="258"/>
      <c r="V34" s="258">
        <v>35931000</v>
      </c>
      <c r="W34" s="465"/>
      <c r="X34" s="258">
        <v>34339000</v>
      </c>
      <c r="Y34" s="258"/>
      <c r="Z34" s="258">
        <f>PL!D35</f>
        <v>36045000</v>
      </c>
      <c r="AA34" s="51"/>
      <c r="AB34" s="51">
        <f t="shared" si="12"/>
        <v>1828267319</v>
      </c>
      <c r="AC34" s="317"/>
      <c r="AD34" s="410"/>
      <c r="AE34" s="110"/>
      <c r="AF34" s="110"/>
      <c r="AG34" s="110"/>
      <c r="AH34" s="110"/>
      <c r="AI34" s="110"/>
      <c r="AJ34" s="226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spans="1:46" ht="13.5" customHeight="1">
      <c r="A35" s="110"/>
      <c r="B35" s="15" t="s">
        <v>5286</v>
      </c>
      <c r="C35" s="390" t="s">
        <v>5287</v>
      </c>
      <c r="D35" s="255">
        <v>0</v>
      </c>
      <c r="E35" s="437"/>
      <c r="F35" s="255">
        <v>0</v>
      </c>
      <c r="G35" s="437"/>
      <c r="H35" s="255">
        <v>0</v>
      </c>
      <c r="I35" s="437"/>
      <c r="J35" s="255">
        <v>219136</v>
      </c>
      <c r="K35" s="437"/>
      <c r="L35" s="255">
        <v>0</v>
      </c>
      <c r="M35" s="255"/>
      <c r="N35" s="258">
        <v>0</v>
      </c>
      <c r="O35" s="51"/>
      <c r="P35" s="258">
        <v>0</v>
      </c>
      <c r="Q35" s="258"/>
      <c r="R35" s="258">
        <v>0</v>
      </c>
      <c r="S35" s="258"/>
      <c r="T35" s="258">
        <v>0</v>
      </c>
      <c r="U35" s="258"/>
      <c r="V35" s="258"/>
      <c r="W35" s="465"/>
      <c r="X35" s="258"/>
      <c r="Y35" s="258"/>
      <c r="Z35" s="258">
        <f>PL!D36</f>
        <v>0</v>
      </c>
      <c r="AA35" s="51"/>
      <c r="AB35" s="51">
        <f t="shared" si="12"/>
        <v>219136</v>
      </c>
      <c r="AC35" s="317"/>
      <c r="AD35" s="410"/>
      <c r="AE35" s="110"/>
      <c r="AF35" s="110"/>
      <c r="AG35" s="110"/>
      <c r="AH35" s="110"/>
      <c r="AI35" s="110"/>
      <c r="AJ35" s="226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spans="1:46" ht="13.5" customHeight="1">
      <c r="A36" s="110"/>
      <c r="B36" s="15" t="s">
        <v>3647</v>
      </c>
      <c r="C36" s="390" t="s">
        <v>3648</v>
      </c>
      <c r="D36" s="255">
        <v>89118904</v>
      </c>
      <c r="E36" s="437"/>
      <c r="F36" s="255">
        <v>53721939</v>
      </c>
      <c r="G36" s="437"/>
      <c r="H36" s="255">
        <v>81204178</v>
      </c>
      <c r="I36" s="437"/>
      <c r="J36" s="255">
        <v>171611288</v>
      </c>
      <c r="K36" s="437"/>
      <c r="L36" s="255">
        <v>241852748</v>
      </c>
      <c r="M36" s="255"/>
      <c r="N36" s="258">
        <v>285503073</v>
      </c>
      <c r="O36" s="51"/>
      <c r="P36" s="258">
        <v>24278201</v>
      </c>
      <c r="Q36" s="258"/>
      <c r="R36" s="258">
        <v>24642287</v>
      </c>
      <c r="S36" s="258"/>
      <c r="T36" s="258">
        <v>24276396</v>
      </c>
      <c r="U36" s="258"/>
      <c r="V36" s="258">
        <v>25252896</v>
      </c>
      <c r="W36" s="465"/>
      <c r="X36" s="258">
        <v>25481796</v>
      </c>
      <c r="Y36" s="258"/>
      <c r="Z36" s="258">
        <f>PL!D37</f>
        <v>25670334</v>
      </c>
      <c r="AA36" s="51"/>
      <c r="AB36" s="51">
        <f t="shared" si="12"/>
        <v>1072614040</v>
      </c>
      <c r="AC36" s="317"/>
      <c r="AD36" s="410"/>
      <c r="AE36" s="110"/>
      <c r="AF36" s="110"/>
      <c r="AG36" s="110"/>
      <c r="AH36" s="110"/>
      <c r="AI36" s="110"/>
      <c r="AJ36" s="226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spans="1:46" ht="13.5" customHeight="1">
      <c r="A37" s="110"/>
      <c r="B37" s="15" t="s">
        <v>5288</v>
      </c>
      <c r="C37" s="390" t="s">
        <v>5289</v>
      </c>
      <c r="D37" s="255">
        <v>0</v>
      </c>
      <c r="E37" s="437"/>
      <c r="F37" s="255">
        <v>0</v>
      </c>
      <c r="G37" s="437"/>
      <c r="H37" s="255">
        <v>0</v>
      </c>
      <c r="I37" s="437"/>
      <c r="J37" s="255">
        <v>0</v>
      </c>
      <c r="K37" s="437"/>
      <c r="L37" s="255">
        <v>0</v>
      </c>
      <c r="M37" s="255"/>
      <c r="N37" s="258">
        <v>0</v>
      </c>
      <c r="O37" s="51"/>
      <c r="P37" s="258">
        <v>0</v>
      </c>
      <c r="Q37" s="258"/>
      <c r="R37" s="258">
        <v>0</v>
      </c>
      <c r="S37" s="258"/>
      <c r="T37" s="258">
        <v>0</v>
      </c>
      <c r="U37" s="258"/>
      <c r="V37" s="258"/>
      <c r="W37" s="465"/>
      <c r="X37" s="258"/>
      <c r="Y37" s="258"/>
      <c r="Z37" s="258"/>
      <c r="AA37" s="51"/>
      <c r="AB37" s="51">
        <f t="shared" si="12"/>
        <v>0</v>
      </c>
      <c r="AC37" s="317"/>
      <c r="AD37" s="410"/>
      <c r="AE37" s="110"/>
      <c r="AF37" s="110"/>
      <c r="AG37" s="110"/>
      <c r="AH37" s="110"/>
      <c r="AI37" s="110"/>
      <c r="AJ37" s="226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spans="1:46" ht="13.5" customHeight="1">
      <c r="A38" s="110"/>
      <c r="B38" s="15" t="s">
        <v>3637</v>
      </c>
      <c r="C38" s="390" t="s">
        <v>3685</v>
      </c>
      <c r="D38" s="255">
        <v>161341667.33333331</v>
      </c>
      <c r="E38" s="437"/>
      <c r="F38" s="255">
        <v>116612500</v>
      </c>
      <c r="G38" s="437"/>
      <c r="H38" s="255">
        <v>142255828</v>
      </c>
      <c r="I38" s="437"/>
      <c r="J38" s="255">
        <v>548297489.25999999</v>
      </c>
      <c r="K38" s="437"/>
      <c r="L38" s="255">
        <v>327525831.31999999</v>
      </c>
      <c r="M38" s="470"/>
      <c r="N38" s="258">
        <v>336661806.35000002</v>
      </c>
      <c r="O38" s="51"/>
      <c r="P38" s="258">
        <v>26605455.416666668</v>
      </c>
      <c r="Q38" s="258"/>
      <c r="R38" s="258">
        <v>26593685</v>
      </c>
      <c r="S38" s="258"/>
      <c r="T38" s="258">
        <v>27346670.75</v>
      </c>
      <c r="U38" s="258"/>
      <c r="V38" s="258">
        <v>26345338</v>
      </c>
      <c r="W38" s="465"/>
      <c r="X38" s="258">
        <v>29555842</v>
      </c>
      <c r="Y38" s="258"/>
      <c r="Z38" s="258">
        <f>PL!D39</f>
        <v>25503742</v>
      </c>
      <c r="AA38" s="51"/>
      <c r="AB38" s="51">
        <f t="shared" si="12"/>
        <v>1794645855.4300001</v>
      </c>
      <c r="AC38" s="317"/>
      <c r="AD38" s="410"/>
      <c r="AE38" s="110"/>
      <c r="AF38" s="110"/>
      <c r="AG38" s="110"/>
      <c r="AH38" s="110"/>
      <c r="AI38" s="110"/>
      <c r="AJ38" s="226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spans="1:46" ht="13.5" customHeight="1">
      <c r="A39" s="110"/>
      <c r="B39" s="15" t="s">
        <v>1335</v>
      </c>
      <c r="C39" s="390" t="s">
        <v>5290</v>
      </c>
      <c r="D39" s="255">
        <v>0</v>
      </c>
      <c r="E39" s="437"/>
      <c r="F39" s="255">
        <v>0</v>
      </c>
      <c r="G39" s="437"/>
      <c r="H39" s="255">
        <v>7473060</v>
      </c>
      <c r="I39" s="437"/>
      <c r="J39" s="255">
        <v>59389458</v>
      </c>
      <c r="K39" s="437"/>
      <c r="L39" s="255">
        <v>42071403</v>
      </c>
      <c r="M39" s="255"/>
      <c r="N39" s="258">
        <v>22830000</v>
      </c>
      <c r="O39" s="51"/>
      <c r="P39" s="258">
        <v>2160000</v>
      </c>
      <c r="Q39" s="258"/>
      <c r="R39" s="258">
        <v>1920000</v>
      </c>
      <c r="S39" s="258"/>
      <c r="T39" s="258">
        <v>1080000</v>
      </c>
      <c r="U39" s="258"/>
      <c r="V39" s="258">
        <v>720000</v>
      </c>
      <c r="W39" s="465"/>
      <c r="X39" s="258">
        <v>1800000</v>
      </c>
      <c r="Y39" s="258"/>
      <c r="Z39" s="258">
        <f>PL!D40</f>
        <v>1860000</v>
      </c>
      <c r="AA39" s="51"/>
      <c r="AB39" s="51">
        <f t="shared" si="12"/>
        <v>141303921</v>
      </c>
      <c r="AC39" s="317"/>
      <c r="AD39" s="410"/>
      <c r="AE39" s="110"/>
      <c r="AF39" s="110"/>
      <c r="AG39" s="110"/>
      <c r="AH39" s="110"/>
      <c r="AI39" s="110"/>
      <c r="AJ39" s="226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spans="1:46" ht="13.5" customHeight="1">
      <c r="A40" s="110"/>
      <c r="B40" s="15" t="s">
        <v>815</v>
      </c>
      <c r="C40" s="390" t="s">
        <v>5291</v>
      </c>
      <c r="D40" s="255">
        <v>51239060</v>
      </c>
      <c r="E40" s="437"/>
      <c r="F40" s="255">
        <v>34736729</v>
      </c>
      <c r="G40" s="437"/>
      <c r="H40" s="255">
        <v>99573425</v>
      </c>
      <c r="I40" s="437"/>
      <c r="J40" s="255">
        <v>189498865.51357222</v>
      </c>
      <c r="K40" s="437"/>
      <c r="L40" s="255">
        <v>235442115</v>
      </c>
      <c r="M40" s="255"/>
      <c r="N40" s="258">
        <v>149492852.52333334</v>
      </c>
      <c r="O40" s="51"/>
      <c r="P40" s="258">
        <v>1807550</v>
      </c>
      <c r="Q40" s="258"/>
      <c r="R40" s="258">
        <v>1818240</v>
      </c>
      <c r="S40" s="258"/>
      <c r="T40" s="258">
        <v>2671563.5499999998</v>
      </c>
      <c r="U40" s="258"/>
      <c r="V40" s="258">
        <v>2754265</v>
      </c>
      <c r="W40" s="465"/>
      <c r="X40" s="258">
        <v>8792409</v>
      </c>
      <c r="Y40" s="258"/>
      <c r="Z40" s="258">
        <f>PL!D41</f>
        <v>9909379.4399999995</v>
      </c>
      <c r="AA40" s="51"/>
      <c r="AB40" s="51">
        <f t="shared" si="12"/>
        <v>787736454.02690554</v>
      </c>
      <c r="AC40" s="317"/>
      <c r="AD40" s="410"/>
      <c r="AE40" s="110"/>
      <c r="AF40" s="110"/>
      <c r="AG40" s="110"/>
      <c r="AH40" s="110"/>
      <c r="AI40" s="110"/>
      <c r="AJ40" s="226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spans="1:46" ht="13.5" customHeight="1">
      <c r="A41" s="110"/>
      <c r="B41" s="15" t="s">
        <v>5292</v>
      </c>
      <c r="C41" s="340" t="s">
        <v>5293</v>
      </c>
      <c r="D41" s="255">
        <v>25888786</v>
      </c>
      <c r="E41" s="437"/>
      <c r="F41" s="255">
        <v>15081728</v>
      </c>
      <c r="G41" s="437"/>
      <c r="H41" s="255">
        <v>47210845</v>
      </c>
      <c r="I41" s="437"/>
      <c r="J41" s="255">
        <v>110028725</v>
      </c>
      <c r="K41" s="437"/>
      <c r="L41" s="255">
        <v>40792159</v>
      </c>
      <c r="M41" s="255"/>
      <c r="N41" s="258">
        <v>27829882</v>
      </c>
      <c r="O41" s="51"/>
      <c r="P41" s="258">
        <v>800000</v>
      </c>
      <c r="Q41" s="258"/>
      <c r="R41" s="258">
        <v>400000</v>
      </c>
      <c r="S41" s="258"/>
      <c r="T41" s="258">
        <v>400000</v>
      </c>
      <c r="U41" s="258"/>
      <c r="V41" s="258">
        <v>400000</v>
      </c>
      <c r="W41" s="465"/>
      <c r="X41" s="258">
        <v>1400000</v>
      </c>
      <c r="Y41" s="258"/>
      <c r="Z41" s="258">
        <f>PL!D42</f>
        <v>0</v>
      </c>
      <c r="AA41" s="51"/>
      <c r="AB41" s="51">
        <f t="shared" si="12"/>
        <v>270232125</v>
      </c>
      <c r="AC41" s="317"/>
      <c r="AD41" s="410"/>
      <c r="AE41" s="110"/>
      <c r="AF41" s="110"/>
      <c r="AG41" s="110"/>
      <c r="AH41" s="110"/>
      <c r="AI41" s="110"/>
      <c r="AJ41" s="226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spans="1:46" ht="13.5" customHeight="1">
      <c r="A42" s="110"/>
      <c r="B42" s="15" t="s">
        <v>588</v>
      </c>
      <c r="C42" s="340" t="s">
        <v>5294</v>
      </c>
      <c r="D42" s="255">
        <v>81671505</v>
      </c>
      <c r="E42" s="437"/>
      <c r="F42" s="255">
        <v>43556028</v>
      </c>
      <c r="G42" s="437"/>
      <c r="H42" s="255">
        <v>50030051</v>
      </c>
      <c r="I42" s="437"/>
      <c r="J42" s="255">
        <v>75020548</v>
      </c>
      <c r="K42" s="437"/>
      <c r="L42" s="255">
        <v>100604403</v>
      </c>
      <c r="M42" s="255"/>
      <c r="N42" s="258">
        <v>152874934</v>
      </c>
      <c r="O42" s="51"/>
      <c r="P42" s="258">
        <v>13894986</v>
      </c>
      <c r="Q42" s="258"/>
      <c r="R42" s="258">
        <v>13895826</v>
      </c>
      <c r="S42" s="258"/>
      <c r="T42" s="258">
        <v>14549929</v>
      </c>
      <c r="U42" s="258"/>
      <c r="V42" s="258">
        <v>14045829</v>
      </c>
      <c r="W42" s="465"/>
      <c r="X42" s="258">
        <v>14629479</v>
      </c>
      <c r="Y42" s="258"/>
      <c r="Z42" s="258">
        <f>PL!D43</f>
        <v>14758065</v>
      </c>
      <c r="AA42" s="51"/>
      <c r="AB42" s="51">
        <f t="shared" si="12"/>
        <v>589531583</v>
      </c>
      <c r="AC42" s="317"/>
      <c r="AD42" s="410"/>
      <c r="AE42" s="110"/>
      <c r="AF42" s="110"/>
      <c r="AG42" s="110"/>
      <c r="AH42" s="110"/>
      <c r="AI42" s="110"/>
      <c r="AJ42" s="226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spans="1:46" ht="13.5" customHeight="1">
      <c r="A43" s="351"/>
      <c r="B43" s="127" t="s">
        <v>5295</v>
      </c>
      <c r="C43" s="418" t="s">
        <v>5412</v>
      </c>
      <c r="D43" s="317">
        <f>SUM(D33:D42)</f>
        <v>2556137794.0041289</v>
      </c>
      <c r="E43" s="439">
        <f>D43/D16</f>
        <v>0.33327053303422438</v>
      </c>
      <c r="F43" s="317">
        <f>SUM(F33:F42)</f>
        <v>1605656959</v>
      </c>
      <c r="G43" s="439">
        <f>F43/F16</f>
        <v>0.42709686367498234</v>
      </c>
      <c r="H43" s="317">
        <f>SUM(H33:H42)</f>
        <v>3292746901</v>
      </c>
      <c r="I43" s="439">
        <f>H43/H16</f>
        <v>0.17517520564737277</v>
      </c>
      <c r="J43" s="317">
        <f>SUM(J33:J42)</f>
        <v>5344588036.7735729</v>
      </c>
      <c r="K43" s="439">
        <f>J43/J16</f>
        <v>0.19665805502369726</v>
      </c>
      <c r="L43" s="317">
        <f>SUM(L33:L42)</f>
        <v>5762164786.3199997</v>
      </c>
      <c r="M43" s="439">
        <f>L43/L16</f>
        <v>0.17776607801271679</v>
      </c>
      <c r="N43" s="317">
        <f>SUM(N33:N42)</f>
        <v>6743077355.8733339</v>
      </c>
      <c r="O43" s="439">
        <f>N43/N16</f>
        <v>0.2193744647116565</v>
      </c>
      <c r="P43" s="317">
        <f>SUM(P33:P42)</f>
        <v>552090375.41666675</v>
      </c>
      <c r="Q43" s="439">
        <v>0.24261221640229963</v>
      </c>
      <c r="R43" s="317">
        <v>546118416</v>
      </c>
      <c r="S43" s="439">
        <v>0.33334193791644412</v>
      </c>
      <c r="T43" s="317">
        <f>SUM(T33:T42)</f>
        <v>544334077.29999995</v>
      </c>
      <c r="U43" s="439">
        <v>0.30795809924509365</v>
      </c>
      <c r="V43" s="317">
        <f>SUM(V33:V42)</f>
        <v>596480706</v>
      </c>
      <c r="W43" s="465">
        <v>0.32</v>
      </c>
      <c r="X43" s="317">
        <f>SUM(X33:X42)</f>
        <v>616978740</v>
      </c>
      <c r="Y43" s="465">
        <v>0.28000000000000003</v>
      </c>
      <c r="Z43" s="317">
        <f>SUM(Z33:Z42)</f>
        <v>620122268.44000006</v>
      </c>
      <c r="AA43" s="439">
        <f>Z43/Z16</f>
        <v>0.31393754587824152</v>
      </c>
      <c r="AB43" s="317">
        <f>SUM(AB33:AB42)</f>
        <v>28780496416.127701</v>
      </c>
      <c r="AC43" s="439">
        <f>AB43/AB16</f>
        <v>0.21752473781086334</v>
      </c>
      <c r="AD43" s="410"/>
      <c r="AE43" s="110"/>
      <c r="AF43" s="110"/>
      <c r="AG43" s="110"/>
      <c r="AH43" s="110"/>
      <c r="AI43" s="110"/>
      <c r="AJ43" s="226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spans="1:46" ht="13.5" customHeight="1">
      <c r="A44" s="110"/>
      <c r="B44" s="15"/>
      <c r="C44" s="340"/>
      <c r="D44" s="255"/>
      <c r="E44" s="255"/>
      <c r="F44" s="255"/>
      <c r="G44" s="255"/>
      <c r="H44" s="255"/>
      <c r="I44" s="255"/>
      <c r="J44" s="255"/>
      <c r="K44" s="437"/>
      <c r="L44" s="255"/>
      <c r="M44" s="255"/>
      <c r="N44" s="258"/>
      <c r="O44" s="255"/>
      <c r="P44" s="51"/>
      <c r="Q44" s="51"/>
      <c r="R44" s="51"/>
      <c r="S44" s="51"/>
      <c r="T44" s="51"/>
      <c r="U44" s="51"/>
      <c r="V44" s="258"/>
      <c r="W44" s="465"/>
      <c r="X44" s="51"/>
      <c r="Y44" s="51"/>
      <c r="Z44" s="51">
        <f>PL!D45</f>
        <v>0</v>
      </c>
      <c r="AA44" s="255"/>
      <c r="AB44" s="51"/>
      <c r="AC44" s="317"/>
      <c r="AD44" s="410"/>
      <c r="AE44" s="110"/>
      <c r="AF44" s="110"/>
      <c r="AG44" s="110"/>
      <c r="AH44" s="110"/>
      <c r="AI44" s="110"/>
      <c r="AJ44" s="226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pans="1:46" ht="13.5" customHeight="1">
      <c r="A45" s="351"/>
      <c r="B45" s="127" t="s">
        <v>5297</v>
      </c>
      <c r="C45" s="22" t="s">
        <v>5298</v>
      </c>
      <c r="D45" s="255"/>
      <c r="E45" s="255"/>
      <c r="F45" s="255"/>
      <c r="G45" s="255"/>
      <c r="H45" s="255"/>
      <c r="I45" s="255"/>
      <c r="J45" s="255"/>
      <c r="K45" s="437"/>
      <c r="L45" s="255"/>
      <c r="M45" s="255"/>
      <c r="N45" s="258"/>
      <c r="O45" s="255"/>
      <c r="P45" s="51"/>
      <c r="Q45" s="51"/>
      <c r="R45" s="51"/>
      <c r="S45" s="51"/>
      <c r="T45" s="51"/>
      <c r="U45" s="51"/>
      <c r="V45" s="258"/>
      <c r="W45" s="465"/>
      <c r="X45" s="51"/>
      <c r="Y45" s="51"/>
      <c r="Z45" s="51">
        <f>PL!D46</f>
        <v>0</v>
      </c>
      <c r="AA45" s="255"/>
      <c r="AB45" s="51"/>
      <c r="AC45" s="317"/>
      <c r="AD45" s="410"/>
      <c r="AE45" s="110"/>
      <c r="AF45" s="110"/>
      <c r="AG45" s="110"/>
      <c r="AH45" s="110"/>
      <c r="AI45" s="110"/>
      <c r="AJ45" s="226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spans="1:46" ht="13.5" customHeight="1">
      <c r="A46" s="110"/>
      <c r="B46" s="15" t="s">
        <v>617</v>
      </c>
      <c r="C46" s="390" t="s">
        <v>5299</v>
      </c>
      <c r="D46" s="255">
        <v>61767203</v>
      </c>
      <c r="E46" s="255"/>
      <c r="F46" s="255">
        <v>40239706</v>
      </c>
      <c r="G46" s="255"/>
      <c r="H46" s="255">
        <v>90328402.6063333</v>
      </c>
      <c r="I46" s="255"/>
      <c r="J46" s="255">
        <v>114793165</v>
      </c>
      <c r="K46" s="437"/>
      <c r="L46" s="255">
        <v>233305942</v>
      </c>
      <c r="M46" s="255"/>
      <c r="N46" s="258">
        <v>263878346</v>
      </c>
      <c r="O46" s="255"/>
      <c r="P46" s="258">
        <v>18188855</v>
      </c>
      <c r="Q46" s="258"/>
      <c r="R46" s="258">
        <v>23958472</v>
      </c>
      <c r="S46" s="258"/>
      <c r="T46" s="258">
        <v>22671488</v>
      </c>
      <c r="U46" s="258"/>
      <c r="V46" s="258">
        <v>27530871</v>
      </c>
      <c r="W46" s="465"/>
      <c r="X46" s="258">
        <v>39521915</v>
      </c>
      <c r="Y46" s="258"/>
      <c r="Z46" s="258">
        <f>PL!D47</f>
        <v>24137819</v>
      </c>
      <c r="AA46" s="255"/>
      <c r="AB46" s="51">
        <f t="shared" ref="AB46:AB50" si="13">D46+F46+H46+J46+L46+N46+Z46+P46+R46+T46+V46+X46</f>
        <v>960322184.60633326</v>
      </c>
      <c r="AC46" s="317"/>
      <c r="AD46" s="410"/>
      <c r="AE46" s="110"/>
      <c r="AF46" s="110"/>
      <c r="AG46" s="110"/>
      <c r="AH46" s="110"/>
      <c r="AI46" s="110"/>
      <c r="AJ46" s="226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pans="1:46" ht="13.5" customHeight="1">
      <c r="A47" s="110"/>
      <c r="B47" s="15" t="s">
        <v>5300</v>
      </c>
      <c r="C47" s="390" t="s">
        <v>5301</v>
      </c>
      <c r="D47" s="255">
        <v>2277700</v>
      </c>
      <c r="E47" s="255"/>
      <c r="F47" s="255">
        <v>697000</v>
      </c>
      <c r="G47" s="255"/>
      <c r="H47" s="255">
        <v>6416955</v>
      </c>
      <c r="I47" s="255"/>
      <c r="J47" s="255">
        <v>1642898</v>
      </c>
      <c r="K47" s="437"/>
      <c r="L47" s="255">
        <v>2633200</v>
      </c>
      <c r="M47" s="255"/>
      <c r="N47" s="258">
        <v>1583000</v>
      </c>
      <c r="O47" s="255"/>
      <c r="P47" s="258">
        <v>0</v>
      </c>
      <c r="Q47" s="258"/>
      <c r="R47" s="258">
        <v>2295000</v>
      </c>
      <c r="S47" s="258"/>
      <c r="T47" s="258">
        <v>170000</v>
      </c>
      <c r="U47" s="258"/>
      <c r="V47" s="258"/>
      <c r="W47" s="465"/>
      <c r="X47" s="258">
        <v>120000</v>
      </c>
      <c r="Y47" s="258"/>
      <c r="Z47" s="258">
        <f>PL!D48</f>
        <v>0</v>
      </c>
      <c r="AA47" s="255"/>
      <c r="AB47" s="51">
        <f t="shared" si="13"/>
        <v>17835753</v>
      </c>
      <c r="AC47" s="317"/>
      <c r="AD47" s="410"/>
      <c r="AE47" s="110"/>
      <c r="AF47" s="110"/>
      <c r="AG47" s="110"/>
      <c r="AH47" s="110"/>
      <c r="AI47" s="110"/>
      <c r="AJ47" s="226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ht="13.5" customHeight="1">
      <c r="A48" s="110"/>
      <c r="B48" s="15" t="s">
        <v>1921</v>
      </c>
      <c r="C48" s="390" t="s">
        <v>5302</v>
      </c>
      <c r="D48" s="255">
        <v>23688580</v>
      </c>
      <c r="E48" s="255"/>
      <c r="F48" s="255">
        <v>5294400</v>
      </c>
      <c r="G48" s="255"/>
      <c r="H48" s="255">
        <v>28658536.875851002</v>
      </c>
      <c r="I48" s="255"/>
      <c r="J48" s="255">
        <v>85085508.999999523</v>
      </c>
      <c r="K48" s="437"/>
      <c r="L48" s="255">
        <v>78281899</v>
      </c>
      <c r="M48" s="255"/>
      <c r="N48" s="258">
        <v>68574678</v>
      </c>
      <c r="O48" s="255"/>
      <c r="P48" s="258">
        <v>5886800</v>
      </c>
      <c r="Q48" s="258"/>
      <c r="R48" s="258">
        <v>3946000</v>
      </c>
      <c r="S48" s="258"/>
      <c r="T48" s="258">
        <v>665000</v>
      </c>
      <c r="U48" s="258"/>
      <c r="V48" s="258">
        <v>3556000</v>
      </c>
      <c r="W48" s="465"/>
      <c r="X48" s="258">
        <v>7329200</v>
      </c>
      <c r="Y48" s="258"/>
      <c r="Z48" s="258">
        <f>PL!D49</f>
        <v>2164600</v>
      </c>
      <c r="AA48" s="255"/>
      <c r="AB48" s="51">
        <f t="shared" si="13"/>
        <v>313131202.87585056</v>
      </c>
      <c r="AC48" s="317"/>
      <c r="AD48" s="410"/>
      <c r="AE48" s="110"/>
      <c r="AF48" s="110"/>
      <c r="AG48" s="110"/>
      <c r="AH48" s="110"/>
      <c r="AI48" s="110"/>
      <c r="AJ48" s="226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ht="13.5" customHeight="1">
      <c r="A49" s="110"/>
      <c r="B49" s="15" t="s">
        <v>1155</v>
      </c>
      <c r="C49" s="340" t="s">
        <v>5303</v>
      </c>
      <c r="D49" s="255">
        <v>12109337</v>
      </c>
      <c r="E49" s="255"/>
      <c r="F49" s="255">
        <v>6936369</v>
      </c>
      <c r="G49" s="255"/>
      <c r="H49" s="255">
        <v>12882528</v>
      </c>
      <c r="I49" s="255"/>
      <c r="J49" s="255">
        <v>31811166</v>
      </c>
      <c r="K49" s="437"/>
      <c r="L49" s="255">
        <v>27955049</v>
      </c>
      <c r="M49" s="255"/>
      <c r="N49" s="258">
        <v>39042909</v>
      </c>
      <c r="O49" s="255"/>
      <c r="P49" s="258">
        <v>3879590</v>
      </c>
      <c r="Q49" s="258"/>
      <c r="R49" s="258">
        <v>4745200</v>
      </c>
      <c r="S49" s="258"/>
      <c r="T49" s="258">
        <v>2375531</v>
      </c>
      <c r="U49" s="258"/>
      <c r="V49" s="258">
        <v>1725000</v>
      </c>
      <c r="W49" s="465"/>
      <c r="X49" s="258">
        <v>4581764</v>
      </c>
      <c r="Y49" s="258"/>
      <c r="Z49" s="258">
        <f>PL!D50</f>
        <v>3451270</v>
      </c>
      <c r="AA49" s="255"/>
      <c r="AB49" s="51">
        <f t="shared" si="13"/>
        <v>151495713</v>
      </c>
      <c r="AC49" s="317"/>
      <c r="AD49" s="410"/>
      <c r="AE49" s="110"/>
      <c r="AF49" s="110"/>
      <c r="AG49" s="110"/>
      <c r="AH49" s="110"/>
      <c r="AI49" s="110"/>
      <c r="AJ49" s="226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ht="13.5" customHeight="1">
      <c r="A50" s="110"/>
      <c r="B50" s="24" t="s">
        <v>5304</v>
      </c>
      <c r="C50" s="340" t="s">
        <v>5305</v>
      </c>
      <c r="D50" s="255">
        <v>4681375</v>
      </c>
      <c r="E50" s="255"/>
      <c r="F50" s="255">
        <v>887500</v>
      </c>
      <c r="G50" s="255"/>
      <c r="H50" s="255">
        <v>4570800</v>
      </c>
      <c r="I50" s="255"/>
      <c r="J50" s="255">
        <v>0</v>
      </c>
      <c r="K50" s="437"/>
      <c r="L50" s="255">
        <v>2400000</v>
      </c>
      <c r="M50" s="255"/>
      <c r="N50" s="258">
        <v>0</v>
      </c>
      <c r="O50" s="255"/>
      <c r="P50" s="258">
        <v>0</v>
      </c>
      <c r="Q50" s="258"/>
      <c r="R50" s="258">
        <v>0</v>
      </c>
      <c r="S50" s="258"/>
      <c r="T50" s="258">
        <v>0</v>
      </c>
      <c r="U50" s="258"/>
      <c r="V50" s="258"/>
      <c r="W50" s="465"/>
      <c r="X50" s="258"/>
      <c r="Y50" s="258"/>
      <c r="Z50" s="258">
        <f>PL!D51</f>
        <v>0</v>
      </c>
      <c r="AA50" s="255"/>
      <c r="AB50" s="51">
        <f t="shared" si="13"/>
        <v>12539675</v>
      </c>
      <c r="AC50" s="317"/>
      <c r="AD50" s="410"/>
      <c r="AE50" s="110"/>
      <c r="AF50" s="110"/>
      <c r="AG50" s="110"/>
      <c r="AH50" s="110"/>
      <c r="AI50" s="110"/>
      <c r="AJ50" s="226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pans="1:46" ht="13.5" customHeight="1">
      <c r="A51" s="351"/>
      <c r="B51" s="127" t="s">
        <v>5306</v>
      </c>
      <c r="C51" s="22" t="s">
        <v>5307</v>
      </c>
      <c r="D51" s="317">
        <f>SUM(D46:D50)</f>
        <v>104524195</v>
      </c>
      <c r="E51" s="439">
        <f>D51/D16</f>
        <v>1.3627917189884851E-2</v>
      </c>
      <c r="F51" s="317">
        <f>SUM(F46:F50)</f>
        <v>54054975</v>
      </c>
      <c r="G51" s="439">
        <f>F51/F16</f>
        <v>1.4378357817418197E-2</v>
      </c>
      <c r="H51" s="317">
        <f>SUM(H46:H50)</f>
        <v>142857222.48218429</v>
      </c>
      <c r="I51" s="439">
        <f>H51/H16</f>
        <v>7.6000506807641574E-3</v>
      </c>
      <c r="J51" s="317">
        <f>SUM(J46:J50)</f>
        <v>233332737.99999952</v>
      </c>
      <c r="K51" s="439">
        <f>J51/J16</f>
        <v>8.5856500281609755E-3</v>
      </c>
      <c r="L51" s="317">
        <f>SUM(L46:L50)</f>
        <v>344576090</v>
      </c>
      <c r="M51" s="439">
        <f>L51/L16</f>
        <v>1.0630369378133784E-2</v>
      </c>
      <c r="N51" s="51">
        <v>373078933</v>
      </c>
      <c r="O51" s="439">
        <f>N51/N16</f>
        <v>1.2137483659561382E-2</v>
      </c>
      <c r="P51" s="317">
        <f>SUM(P46:P50)</f>
        <v>27955245</v>
      </c>
      <c r="Q51" s="439">
        <v>1.2284734984558759E-2</v>
      </c>
      <c r="R51" s="317">
        <v>34944672</v>
      </c>
      <c r="S51" s="439">
        <v>2.1329668333936031E-2</v>
      </c>
      <c r="T51" s="317">
        <f>SUM(T46:T50)</f>
        <v>25882019</v>
      </c>
      <c r="U51" s="439">
        <v>1.4642804314954837E-2</v>
      </c>
      <c r="V51" s="471">
        <f>SUM(V46:V50)</f>
        <v>32811871</v>
      </c>
      <c r="W51" s="465">
        <v>0.02</v>
      </c>
      <c r="X51" s="317">
        <f>SUM(X46:X50)</f>
        <v>51552879</v>
      </c>
      <c r="Y51" s="465">
        <v>0.02</v>
      </c>
      <c r="Z51" s="317">
        <f>SUM(Z46:Z50)</f>
        <v>29753689</v>
      </c>
      <c r="AA51" s="439">
        <f>Z51/Z16</f>
        <v>1.5062836122596361E-2</v>
      </c>
      <c r="AB51" s="317">
        <f>SUM(AB46:AB50)</f>
        <v>1455324528.4821839</v>
      </c>
      <c r="AC51" s="439">
        <f>AB51/AB16</f>
        <v>1.0999431069938385E-2</v>
      </c>
      <c r="AD51" s="410"/>
      <c r="AE51" s="110"/>
      <c r="AF51" s="110"/>
      <c r="AG51" s="110"/>
      <c r="AH51" s="110"/>
      <c r="AI51" s="110"/>
      <c r="AJ51" s="226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pans="1:46" ht="13.5" customHeight="1">
      <c r="A52" s="351"/>
      <c r="B52" s="127"/>
      <c r="C52" s="22"/>
      <c r="D52" s="255"/>
      <c r="E52" s="255"/>
      <c r="F52" s="255"/>
      <c r="G52" s="255"/>
      <c r="H52" s="255"/>
      <c r="I52" s="255"/>
      <c r="J52" s="255"/>
      <c r="K52" s="437"/>
      <c r="L52" s="255"/>
      <c r="M52" s="255"/>
      <c r="N52" s="258"/>
      <c r="O52" s="51"/>
      <c r="P52" s="51"/>
      <c r="Q52" s="51"/>
      <c r="R52" s="51"/>
      <c r="S52" s="51"/>
      <c r="T52" s="51"/>
      <c r="U52" s="51"/>
      <c r="V52" s="258"/>
      <c r="W52" s="465"/>
      <c r="X52" s="51"/>
      <c r="Y52" s="51"/>
      <c r="Z52" s="51">
        <f>PL!D53</f>
        <v>0</v>
      </c>
      <c r="AA52" s="51"/>
      <c r="AB52" s="51"/>
      <c r="AC52" s="317"/>
      <c r="AD52" s="410"/>
      <c r="AE52" s="110"/>
      <c r="AF52" s="110"/>
      <c r="AG52" s="110"/>
      <c r="AH52" s="110"/>
      <c r="AI52" s="110"/>
      <c r="AJ52" s="226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pans="1:46" ht="13.5" customHeight="1">
      <c r="A53" s="351"/>
      <c r="B53" s="127" t="s">
        <v>5308</v>
      </c>
      <c r="C53" s="22" t="s">
        <v>5309</v>
      </c>
      <c r="D53" s="255"/>
      <c r="E53" s="255"/>
      <c r="F53" s="255"/>
      <c r="G53" s="255"/>
      <c r="H53" s="255"/>
      <c r="I53" s="255"/>
      <c r="J53" s="255"/>
      <c r="K53" s="437"/>
      <c r="L53" s="255"/>
      <c r="M53" s="255"/>
      <c r="N53" s="258"/>
      <c r="O53" s="51"/>
      <c r="P53" s="51"/>
      <c r="Q53" s="51"/>
      <c r="R53" s="51"/>
      <c r="S53" s="51"/>
      <c r="T53" s="51"/>
      <c r="U53" s="51"/>
      <c r="V53" s="258"/>
      <c r="W53" s="465"/>
      <c r="X53" s="51"/>
      <c r="Y53" s="51"/>
      <c r="Z53" s="51">
        <f>PL!D54</f>
        <v>0</v>
      </c>
      <c r="AA53" s="51"/>
      <c r="AB53" s="51"/>
      <c r="AC53" s="317"/>
      <c r="AD53" s="410"/>
      <c r="AE53" s="110"/>
      <c r="AF53" s="110"/>
      <c r="AG53" s="110"/>
      <c r="AH53" s="110"/>
      <c r="AI53" s="110"/>
      <c r="AJ53" s="226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ht="13.5" customHeight="1">
      <c r="A54" s="110"/>
      <c r="B54" s="15"/>
      <c r="C54" s="340"/>
      <c r="D54" s="255"/>
      <c r="E54" s="255"/>
      <c r="F54" s="255"/>
      <c r="G54" s="255"/>
      <c r="H54" s="255"/>
      <c r="I54" s="255"/>
      <c r="J54" s="255"/>
      <c r="K54" s="437"/>
      <c r="L54" s="255"/>
      <c r="M54" s="255"/>
      <c r="N54" s="258"/>
      <c r="O54" s="51"/>
      <c r="P54" s="51"/>
      <c r="Q54" s="51"/>
      <c r="R54" s="51"/>
      <c r="S54" s="51"/>
      <c r="T54" s="51"/>
      <c r="U54" s="51"/>
      <c r="V54" s="258"/>
      <c r="W54" s="465"/>
      <c r="X54" s="51"/>
      <c r="Y54" s="51"/>
      <c r="Z54" s="51">
        <f>PL!D55</f>
        <v>0</v>
      </c>
      <c r="AA54" s="51"/>
      <c r="AB54" s="51"/>
      <c r="AC54" s="317"/>
      <c r="AD54" s="410"/>
      <c r="AE54" s="110"/>
      <c r="AF54" s="110"/>
      <c r="AG54" s="110"/>
      <c r="AH54" s="110"/>
      <c r="AI54" s="110"/>
      <c r="AJ54" s="226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ht="13.5" customHeight="1">
      <c r="A55" s="351"/>
      <c r="B55" s="127" t="s">
        <v>5310</v>
      </c>
      <c r="C55" s="22" t="s">
        <v>5311</v>
      </c>
      <c r="D55" s="255"/>
      <c r="E55" s="255"/>
      <c r="F55" s="255"/>
      <c r="G55" s="255"/>
      <c r="H55" s="255"/>
      <c r="I55" s="255"/>
      <c r="J55" s="255"/>
      <c r="K55" s="437"/>
      <c r="L55" s="255"/>
      <c r="M55" s="255"/>
      <c r="N55" s="258"/>
      <c r="O55" s="51"/>
      <c r="P55" s="51"/>
      <c r="Q55" s="51"/>
      <c r="R55" s="51"/>
      <c r="S55" s="51"/>
      <c r="T55" s="51"/>
      <c r="U55" s="51"/>
      <c r="V55" s="258"/>
      <c r="W55" s="465"/>
      <c r="X55" s="51"/>
      <c r="Y55" s="51"/>
      <c r="Z55" s="51">
        <f>PL!D56</f>
        <v>0</v>
      </c>
      <c r="AA55" s="51"/>
      <c r="AB55" s="51"/>
      <c r="AC55" s="317"/>
      <c r="AD55" s="410"/>
      <c r="AE55" s="110"/>
      <c r="AF55" s="110"/>
      <c r="AG55" s="110"/>
      <c r="AH55" s="110"/>
      <c r="AI55" s="110"/>
      <c r="AJ55" s="226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1:46" ht="13.5" customHeight="1">
      <c r="A56" s="110"/>
      <c r="B56" s="15" t="s">
        <v>3561</v>
      </c>
      <c r="C56" s="390" t="s">
        <v>5312</v>
      </c>
      <c r="D56" s="255">
        <v>18367767</v>
      </c>
      <c r="E56" s="255"/>
      <c r="F56" s="255">
        <v>8781250</v>
      </c>
      <c r="G56" s="255"/>
      <c r="H56" s="255">
        <v>122925000</v>
      </c>
      <c r="I56" s="255"/>
      <c r="J56" s="255">
        <v>16548039</v>
      </c>
      <c r="K56" s="437"/>
      <c r="L56" s="255">
        <v>109279277</v>
      </c>
      <c r="M56" s="255"/>
      <c r="N56" s="258">
        <v>27890946</v>
      </c>
      <c r="O56" s="51"/>
      <c r="P56" s="258">
        <v>6816185</v>
      </c>
      <c r="Q56" s="258"/>
      <c r="R56" s="258">
        <v>29700</v>
      </c>
      <c r="S56" s="258"/>
      <c r="T56" s="258">
        <v>118067</v>
      </c>
      <c r="U56" s="258"/>
      <c r="V56" s="258">
        <v>17820</v>
      </c>
      <c r="W56" s="465"/>
      <c r="X56" s="258"/>
      <c r="Y56" s="258"/>
      <c r="Z56" s="258">
        <f>PL!D57</f>
        <v>31185</v>
      </c>
      <c r="AA56" s="51"/>
      <c r="AB56" s="51">
        <f t="shared" ref="AB56:AB72" si="14">D56+F56+H56+J56+L56+N56+Z56+P56+R56+T56+V56+X56</f>
        <v>310805236</v>
      </c>
      <c r="AC56" s="317"/>
      <c r="AD56" s="410"/>
      <c r="AE56" s="110"/>
      <c r="AF56" s="110"/>
      <c r="AG56" s="110"/>
      <c r="AH56" s="110"/>
      <c r="AI56" s="110"/>
      <c r="AJ56" s="226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pans="1:46" ht="13.5" customHeight="1">
      <c r="A57" s="110"/>
      <c r="B57" s="15" t="s">
        <v>5313</v>
      </c>
      <c r="C57" s="390" t="s">
        <v>5314</v>
      </c>
      <c r="D57" s="255">
        <v>0</v>
      </c>
      <c r="E57" s="255"/>
      <c r="F57" s="255">
        <v>0</v>
      </c>
      <c r="G57" s="255"/>
      <c r="H57" s="255">
        <v>0</v>
      </c>
      <c r="I57" s="255"/>
      <c r="J57" s="255">
        <v>0</v>
      </c>
      <c r="K57" s="437"/>
      <c r="L57" s="255">
        <v>426822500</v>
      </c>
      <c r="M57" s="255"/>
      <c r="N57" s="258">
        <v>0</v>
      </c>
      <c r="O57" s="51"/>
      <c r="P57" s="258">
        <v>0</v>
      </c>
      <c r="Q57" s="258"/>
      <c r="R57" s="258">
        <v>0</v>
      </c>
      <c r="S57" s="258"/>
      <c r="T57" s="258">
        <v>0</v>
      </c>
      <c r="U57" s="258"/>
      <c r="V57" s="258"/>
      <c r="W57" s="465"/>
      <c r="X57" s="258"/>
      <c r="Y57" s="258"/>
      <c r="Z57" s="258">
        <f>PL!D58</f>
        <v>0</v>
      </c>
      <c r="AA57" s="51"/>
      <c r="AB57" s="51">
        <f t="shared" si="14"/>
        <v>426822500</v>
      </c>
      <c r="AC57" s="317"/>
      <c r="AD57" s="410"/>
      <c r="AE57" s="110"/>
      <c r="AF57" s="110"/>
      <c r="AG57" s="110"/>
      <c r="AH57" s="110"/>
      <c r="AI57" s="110"/>
      <c r="AJ57" s="226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ht="13.5" customHeight="1">
      <c r="A58" s="110"/>
      <c r="B58" s="15" t="s">
        <v>1208</v>
      </c>
      <c r="C58" s="390" t="s">
        <v>5315</v>
      </c>
      <c r="D58" s="255">
        <v>26954498</v>
      </c>
      <c r="E58" s="255"/>
      <c r="F58" s="255">
        <v>17267643</v>
      </c>
      <c r="G58" s="255"/>
      <c r="H58" s="255">
        <v>27467821</v>
      </c>
      <c r="I58" s="255"/>
      <c r="J58" s="255">
        <v>22411771</v>
      </c>
      <c r="K58" s="437"/>
      <c r="L58" s="255">
        <v>32143268</v>
      </c>
      <c r="M58" s="255"/>
      <c r="N58" s="258">
        <v>56040244</v>
      </c>
      <c r="O58" s="51"/>
      <c r="P58" s="258">
        <v>5443611</v>
      </c>
      <c r="Q58" s="258"/>
      <c r="R58" s="258">
        <v>5429000</v>
      </c>
      <c r="S58" s="258"/>
      <c r="T58" s="258">
        <v>5570156</v>
      </c>
      <c r="U58" s="258"/>
      <c r="V58" s="258">
        <v>5760114</v>
      </c>
      <c r="W58" s="465"/>
      <c r="X58" s="258">
        <v>8237620</v>
      </c>
      <c r="Y58" s="258"/>
      <c r="Z58" s="258">
        <f>PL!D59</f>
        <v>5658516</v>
      </c>
      <c r="AA58" s="51"/>
      <c r="AB58" s="51">
        <f t="shared" si="14"/>
        <v>218384262</v>
      </c>
      <c r="AC58" s="317"/>
      <c r="AD58" s="410"/>
      <c r="AE58" s="110"/>
      <c r="AF58" s="110"/>
      <c r="AG58" s="110"/>
      <c r="AH58" s="110"/>
      <c r="AI58" s="110"/>
      <c r="AJ58" s="226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1:46" ht="13.5" customHeight="1">
      <c r="A59" s="110"/>
      <c r="B59" s="15" t="s">
        <v>471</v>
      </c>
      <c r="C59" s="390" t="s">
        <v>5316</v>
      </c>
      <c r="D59" s="255">
        <v>39200000</v>
      </c>
      <c r="E59" s="255"/>
      <c r="F59" s="255">
        <v>2500000</v>
      </c>
      <c r="G59" s="255"/>
      <c r="H59" s="255">
        <v>27500000</v>
      </c>
      <c r="I59" s="255"/>
      <c r="J59" s="255">
        <v>27500000</v>
      </c>
      <c r="K59" s="437"/>
      <c r="L59" s="255">
        <v>30000000</v>
      </c>
      <c r="M59" s="255"/>
      <c r="N59" s="258">
        <v>42500000</v>
      </c>
      <c r="O59" s="51"/>
      <c r="P59" s="258">
        <v>3500000</v>
      </c>
      <c r="Q59" s="258"/>
      <c r="R59" s="258">
        <v>3500000</v>
      </c>
      <c r="S59" s="258"/>
      <c r="T59" s="258">
        <v>3500000</v>
      </c>
      <c r="U59" s="258"/>
      <c r="V59" s="258">
        <v>3500000</v>
      </c>
      <c r="W59" s="465"/>
      <c r="X59" s="258">
        <v>3500000</v>
      </c>
      <c r="Y59" s="258"/>
      <c r="Z59" s="258">
        <f>PL!D60</f>
        <v>3500000</v>
      </c>
      <c r="AA59" s="51"/>
      <c r="AB59" s="51">
        <f t="shared" si="14"/>
        <v>190200000</v>
      </c>
      <c r="AC59" s="317"/>
      <c r="AD59" s="410"/>
      <c r="AE59" s="110"/>
      <c r="AF59" s="110"/>
      <c r="AG59" s="110"/>
      <c r="AH59" s="110"/>
      <c r="AI59" s="110"/>
      <c r="AJ59" s="226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spans="1:46" ht="13.5" customHeight="1">
      <c r="A60" s="110"/>
      <c r="B60" s="15" t="s">
        <v>1404</v>
      </c>
      <c r="C60" s="390" t="s">
        <v>3672</v>
      </c>
      <c r="D60" s="255">
        <v>16413252</v>
      </c>
      <c r="E60" s="255"/>
      <c r="F60" s="255">
        <v>8441599</v>
      </c>
      <c r="G60" s="255"/>
      <c r="H60" s="255">
        <v>37794235</v>
      </c>
      <c r="I60" s="255"/>
      <c r="J60" s="255">
        <v>43465042</v>
      </c>
      <c r="K60" s="437"/>
      <c r="L60" s="255">
        <v>72154142</v>
      </c>
      <c r="M60" s="255"/>
      <c r="N60" s="258">
        <v>66773147</v>
      </c>
      <c r="O60" s="51"/>
      <c r="P60" s="258">
        <v>7308618</v>
      </c>
      <c r="Q60" s="258"/>
      <c r="R60" s="258">
        <v>5646192</v>
      </c>
      <c r="S60" s="258"/>
      <c r="T60" s="258">
        <v>6001207</v>
      </c>
      <c r="U60" s="258"/>
      <c r="V60" s="258">
        <v>6324756</v>
      </c>
      <c r="W60" s="465"/>
      <c r="X60" s="258">
        <v>8287060</v>
      </c>
      <c r="Y60" s="258"/>
      <c r="Z60" s="258">
        <f>PL!D61</f>
        <v>4550070</v>
      </c>
      <c r="AA60" s="51"/>
      <c r="AB60" s="51">
        <f t="shared" si="14"/>
        <v>283159320</v>
      </c>
      <c r="AC60" s="317"/>
      <c r="AD60" s="410"/>
      <c r="AE60" s="110"/>
      <c r="AF60" s="110"/>
      <c r="AG60" s="110"/>
      <c r="AH60" s="110"/>
      <c r="AI60" s="110"/>
      <c r="AJ60" s="226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1:46" ht="13.5" customHeight="1">
      <c r="A61" s="110"/>
      <c r="B61" s="15" t="s">
        <v>3662</v>
      </c>
      <c r="C61" s="390" t="s">
        <v>3663</v>
      </c>
      <c r="D61" s="255">
        <v>305000000</v>
      </c>
      <c r="E61" s="255"/>
      <c r="F61" s="255">
        <v>288000000</v>
      </c>
      <c r="G61" s="255"/>
      <c r="H61" s="255">
        <v>329500000</v>
      </c>
      <c r="I61" s="255"/>
      <c r="J61" s="255">
        <v>251000000</v>
      </c>
      <c r="K61" s="437"/>
      <c r="L61" s="255">
        <v>241018158.33333334</v>
      </c>
      <c r="M61" s="255"/>
      <c r="N61" s="258">
        <v>236504203</v>
      </c>
      <c r="O61" s="51"/>
      <c r="P61" s="258">
        <v>18000000</v>
      </c>
      <c r="Q61" s="258"/>
      <c r="R61" s="258">
        <v>18000000</v>
      </c>
      <c r="S61" s="258"/>
      <c r="T61" s="258">
        <v>18000000</v>
      </c>
      <c r="U61" s="258"/>
      <c r="V61" s="258">
        <v>18000000</v>
      </c>
      <c r="W61" s="465"/>
      <c r="X61" s="258">
        <v>18000000</v>
      </c>
      <c r="Y61" s="258"/>
      <c r="Z61" s="258">
        <f>PL!D62</f>
        <v>18000000</v>
      </c>
      <c r="AA61" s="51"/>
      <c r="AB61" s="51">
        <f t="shared" si="14"/>
        <v>1759022361.3333333</v>
      </c>
      <c r="AC61" s="317"/>
      <c r="AD61" s="410"/>
      <c r="AE61" s="110"/>
      <c r="AF61" s="110"/>
      <c r="AG61" s="110"/>
      <c r="AH61" s="110"/>
      <c r="AI61" s="110"/>
      <c r="AJ61" s="226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spans="1:46" ht="13.5" customHeight="1">
      <c r="A62" s="110"/>
      <c r="B62" s="15" t="s">
        <v>3105</v>
      </c>
      <c r="C62" s="390" t="s">
        <v>5317</v>
      </c>
      <c r="D62" s="255">
        <v>24000000</v>
      </c>
      <c r="E62" s="255"/>
      <c r="F62" s="255">
        <v>24000000</v>
      </c>
      <c r="G62" s="255"/>
      <c r="H62" s="255">
        <v>27000000</v>
      </c>
      <c r="I62" s="255"/>
      <c r="J62" s="255">
        <v>27000000</v>
      </c>
      <c r="K62" s="437"/>
      <c r="L62" s="255">
        <v>27000000</v>
      </c>
      <c r="M62" s="255"/>
      <c r="N62" s="258">
        <v>37000000</v>
      </c>
      <c r="O62" s="51"/>
      <c r="P62" s="258">
        <v>2250000</v>
      </c>
      <c r="Q62" s="258"/>
      <c r="R62" s="258">
        <v>2250000</v>
      </c>
      <c r="S62" s="258"/>
      <c r="T62" s="258">
        <v>2250000</v>
      </c>
      <c r="U62" s="258"/>
      <c r="V62" s="258">
        <v>2250000</v>
      </c>
      <c r="W62" s="465"/>
      <c r="X62" s="258">
        <v>2250000</v>
      </c>
      <c r="Y62" s="258"/>
      <c r="Z62" s="258">
        <f>PL!D63</f>
        <v>2250000</v>
      </c>
      <c r="AA62" s="51"/>
      <c r="AB62" s="51">
        <f t="shared" si="14"/>
        <v>179500000</v>
      </c>
      <c r="AC62" s="317"/>
      <c r="AD62" s="410"/>
      <c r="AE62" s="110"/>
      <c r="AF62" s="110"/>
      <c r="AG62" s="110"/>
      <c r="AH62" s="110"/>
      <c r="AI62" s="110"/>
      <c r="AJ62" s="226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spans="1:46" ht="13.5" customHeight="1">
      <c r="A63" s="110"/>
      <c r="B63" s="15" t="s">
        <v>5318</v>
      </c>
      <c r="C63" s="390" t="s">
        <v>5319</v>
      </c>
      <c r="D63" s="255">
        <v>0</v>
      </c>
      <c r="E63" s="255"/>
      <c r="F63" s="255">
        <v>0</v>
      </c>
      <c r="G63" s="255"/>
      <c r="H63" s="255">
        <v>0</v>
      </c>
      <c r="I63" s="255"/>
      <c r="J63" s="255">
        <v>0</v>
      </c>
      <c r="K63" s="437"/>
      <c r="L63" s="255">
        <v>0</v>
      </c>
      <c r="M63" s="255"/>
      <c r="N63" s="258">
        <v>0</v>
      </c>
      <c r="O63" s="51"/>
      <c r="P63" s="258">
        <v>0</v>
      </c>
      <c r="Q63" s="258"/>
      <c r="R63" s="258">
        <v>0</v>
      </c>
      <c r="S63" s="258"/>
      <c r="T63" s="258">
        <v>0</v>
      </c>
      <c r="U63" s="258"/>
      <c r="V63" s="258"/>
      <c r="W63" s="465"/>
      <c r="X63" s="258"/>
      <c r="Y63" s="258"/>
      <c r="Z63" s="258">
        <f>PL!D64</f>
        <v>0</v>
      </c>
      <c r="AA63" s="51"/>
      <c r="AB63" s="51">
        <f t="shared" si="14"/>
        <v>0</v>
      </c>
      <c r="AC63" s="317"/>
      <c r="AD63" s="410"/>
      <c r="AE63" s="110"/>
      <c r="AF63" s="110"/>
      <c r="AG63" s="110"/>
      <c r="AH63" s="110"/>
      <c r="AI63" s="110"/>
      <c r="AJ63" s="226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spans="1:46" ht="13.5" customHeight="1">
      <c r="A64" s="110"/>
      <c r="B64" s="15" t="s">
        <v>403</v>
      </c>
      <c r="C64" s="390" t="s">
        <v>5320</v>
      </c>
      <c r="D64" s="255">
        <v>78940000</v>
      </c>
      <c r="E64" s="255"/>
      <c r="F64" s="255">
        <v>39550000</v>
      </c>
      <c r="G64" s="255"/>
      <c r="H64" s="255">
        <v>188252800</v>
      </c>
      <c r="I64" s="255"/>
      <c r="J64" s="255">
        <v>662500000</v>
      </c>
      <c r="K64" s="437"/>
      <c r="L64" s="255">
        <v>724500000</v>
      </c>
      <c r="M64" s="255"/>
      <c r="N64" s="258">
        <v>853147500</v>
      </c>
      <c r="O64" s="51"/>
      <c r="P64" s="258">
        <v>72000000</v>
      </c>
      <c r="Q64" s="258"/>
      <c r="R64" s="258">
        <v>72000000</v>
      </c>
      <c r="S64" s="258"/>
      <c r="T64" s="258">
        <v>72000000</v>
      </c>
      <c r="U64" s="258"/>
      <c r="V64" s="258">
        <v>74000000</v>
      </c>
      <c r="W64" s="465"/>
      <c r="X64" s="258">
        <v>73000000</v>
      </c>
      <c r="Y64" s="258"/>
      <c r="Z64" s="258">
        <f>PL!D65</f>
        <v>82000000</v>
      </c>
      <c r="AA64" s="51"/>
      <c r="AB64" s="51">
        <f t="shared" si="14"/>
        <v>2991890300</v>
      </c>
      <c r="AC64" s="317"/>
      <c r="AD64" s="410"/>
      <c r="AE64" s="110"/>
      <c r="AF64" s="110"/>
      <c r="AG64" s="110"/>
      <c r="AH64" s="110"/>
      <c r="AI64" s="110"/>
      <c r="AJ64" s="226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spans="1:46" ht="13.5" customHeight="1">
      <c r="A65" s="110"/>
      <c r="B65" s="15" t="s">
        <v>3653</v>
      </c>
      <c r="C65" s="390" t="s">
        <v>5321</v>
      </c>
      <c r="D65" s="255">
        <v>15000000</v>
      </c>
      <c r="E65" s="255"/>
      <c r="F65" s="255">
        <v>12731000</v>
      </c>
      <c r="G65" s="255"/>
      <c r="H65" s="255">
        <v>14740000</v>
      </c>
      <c r="I65" s="255"/>
      <c r="J65" s="255">
        <v>26000000</v>
      </c>
      <c r="K65" s="437"/>
      <c r="L65" s="255">
        <v>24000000</v>
      </c>
      <c r="M65" s="255"/>
      <c r="N65" s="258">
        <v>24000000</v>
      </c>
      <c r="O65" s="51"/>
      <c r="P65" s="258">
        <v>2000000</v>
      </c>
      <c r="Q65" s="258"/>
      <c r="R65" s="258">
        <v>2000000</v>
      </c>
      <c r="S65" s="258"/>
      <c r="T65" s="258">
        <v>2000000</v>
      </c>
      <c r="U65" s="258"/>
      <c r="V65" s="258">
        <v>2000000</v>
      </c>
      <c r="W65" s="465"/>
      <c r="X65" s="258">
        <v>2000000</v>
      </c>
      <c r="Y65" s="258"/>
      <c r="Z65" s="258">
        <f>PL!D66</f>
        <v>2000000</v>
      </c>
      <c r="AA65" s="51"/>
      <c r="AB65" s="51">
        <f t="shared" si="14"/>
        <v>128471000</v>
      </c>
      <c r="AC65" s="317"/>
      <c r="AD65" s="410"/>
      <c r="AE65" s="110"/>
      <c r="AF65" s="110"/>
      <c r="AG65" s="110"/>
      <c r="AH65" s="110"/>
      <c r="AI65" s="110"/>
      <c r="AJ65" s="226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1:46" ht="13.5" customHeight="1">
      <c r="A66" s="110"/>
      <c r="B66" s="15" t="s">
        <v>5322</v>
      </c>
      <c r="C66" s="390" t="s">
        <v>5323</v>
      </c>
      <c r="D66" s="255">
        <v>993300</v>
      </c>
      <c r="E66" s="255"/>
      <c r="F66" s="255">
        <v>232034</v>
      </c>
      <c r="G66" s="255"/>
      <c r="H66" s="255">
        <v>3384865</v>
      </c>
      <c r="I66" s="255"/>
      <c r="J66" s="255">
        <v>281750</v>
      </c>
      <c r="K66" s="437"/>
      <c r="L66" s="255">
        <v>0</v>
      </c>
      <c r="M66" s="255"/>
      <c r="N66" s="258">
        <v>11000000</v>
      </c>
      <c r="O66" s="51"/>
      <c r="P66" s="258">
        <v>0</v>
      </c>
      <c r="Q66" s="258"/>
      <c r="R66" s="258">
        <v>0</v>
      </c>
      <c r="S66" s="258"/>
      <c r="T66" s="258">
        <v>0</v>
      </c>
      <c r="U66" s="258"/>
      <c r="V66" s="258"/>
      <c r="W66" s="465"/>
      <c r="X66" s="258"/>
      <c r="Y66" s="258"/>
      <c r="Z66" s="258">
        <f>PL!D67</f>
        <v>0</v>
      </c>
      <c r="AA66" s="51"/>
      <c r="AB66" s="51">
        <f t="shared" si="14"/>
        <v>15891949</v>
      </c>
      <c r="AC66" s="317"/>
      <c r="AD66" s="410"/>
      <c r="AE66" s="110"/>
      <c r="AF66" s="110"/>
      <c r="AG66" s="110"/>
      <c r="AH66" s="110"/>
      <c r="AI66" s="110"/>
      <c r="AJ66" s="226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spans="1:46" ht="13.5" customHeight="1">
      <c r="A67" s="110"/>
      <c r="B67" s="15" t="s">
        <v>5324</v>
      </c>
      <c r="C67" s="390" t="s">
        <v>5413</v>
      </c>
      <c r="D67" s="255">
        <v>0</v>
      </c>
      <c r="E67" s="255"/>
      <c r="F67" s="255">
        <v>0</v>
      </c>
      <c r="G67" s="255"/>
      <c r="H67" s="255">
        <v>0</v>
      </c>
      <c r="I67" s="255"/>
      <c r="J67" s="255">
        <v>0</v>
      </c>
      <c r="K67" s="437"/>
      <c r="L67" s="255">
        <v>0</v>
      </c>
      <c r="M67" s="255"/>
      <c r="N67" s="258">
        <v>0</v>
      </c>
      <c r="O67" s="51"/>
      <c r="P67" s="258">
        <v>0</v>
      </c>
      <c r="Q67" s="258"/>
      <c r="R67" s="258">
        <v>0</v>
      </c>
      <c r="S67" s="258"/>
      <c r="T67" s="258">
        <v>0</v>
      </c>
      <c r="U67" s="258"/>
      <c r="V67" s="258"/>
      <c r="W67" s="465"/>
      <c r="X67" s="258"/>
      <c r="Y67" s="258"/>
      <c r="Z67" s="258">
        <f>PL!D68</f>
        <v>0</v>
      </c>
      <c r="AA67" s="51"/>
      <c r="AB67" s="51">
        <f t="shared" si="14"/>
        <v>0</v>
      </c>
      <c r="AC67" s="317"/>
      <c r="AD67" s="410"/>
      <c r="AE67" s="110"/>
      <c r="AF67" s="110"/>
      <c r="AG67" s="110"/>
      <c r="AH67" s="110"/>
      <c r="AI67" s="110"/>
      <c r="AJ67" s="226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spans="1:46" ht="13.5" customHeight="1">
      <c r="A68" s="110"/>
      <c r="B68" s="15" t="s">
        <v>1770</v>
      </c>
      <c r="C68" s="390" t="s">
        <v>1771</v>
      </c>
      <c r="D68" s="255">
        <v>13871500</v>
      </c>
      <c r="E68" s="255"/>
      <c r="F68" s="255">
        <v>9025000</v>
      </c>
      <c r="G68" s="255"/>
      <c r="H68" s="255">
        <v>19917000</v>
      </c>
      <c r="I68" s="255"/>
      <c r="J68" s="255">
        <v>23591900</v>
      </c>
      <c r="K68" s="437"/>
      <c r="L68" s="255">
        <v>16514500</v>
      </c>
      <c r="M68" s="255"/>
      <c r="N68" s="258">
        <v>29368046</v>
      </c>
      <c r="O68" s="51"/>
      <c r="P68" s="258">
        <v>1362000</v>
      </c>
      <c r="Q68" s="258"/>
      <c r="R68" s="258">
        <v>1519000</v>
      </c>
      <c r="S68" s="258"/>
      <c r="T68" s="258">
        <v>1235000</v>
      </c>
      <c r="U68" s="258"/>
      <c r="V68" s="258">
        <v>8258000</v>
      </c>
      <c r="W68" s="465"/>
      <c r="X68" s="258">
        <v>1122000</v>
      </c>
      <c r="Y68" s="258"/>
      <c r="Z68" s="258">
        <f>PL!D69</f>
        <v>2135500</v>
      </c>
      <c r="AA68" s="51"/>
      <c r="AB68" s="51">
        <f t="shared" si="14"/>
        <v>127919446</v>
      </c>
      <c r="AC68" s="317"/>
      <c r="AD68" s="410"/>
      <c r="AE68" s="110"/>
      <c r="AF68" s="110"/>
      <c r="AG68" s="110"/>
      <c r="AH68" s="110"/>
      <c r="AI68" s="110"/>
      <c r="AJ68" s="226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spans="1:46" ht="13.5" customHeight="1">
      <c r="A69" s="110"/>
      <c r="B69" s="15" t="s">
        <v>3502</v>
      </c>
      <c r="C69" s="390" t="s">
        <v>5326</v>
      </c>
      <c r="D69" s="255">
        <v>178420988</v>
      </c>
      <c r="E69" s="255"/>
      <c r="F69" s="255">
        <v>135513697</v>
      </c>
      <c r="G69" s="255"/>
      <c r="H69" s="255">
        <v>246864126</v>
      </c>
      <c r="I69" s="255"/>
      <c r="J69" s="255">
        <v>299432119</v>
      </c>
      <c r="K69" s="437"/>
      <c r="L69" s="255">
        <v>324902065</v>
      </c>
      <c r="M69" s="255"/>
      <c r="N69" s="258">
        <v>300427720</v>
      </c>
      <c r="O69" s="51"/>
      <c r="P69" s="258">
        <v>23915641</v>
      </c>
      <c r="Q69" s="258"/>
      <c r="R69" s="258">
        <v>21095037</v>
      </c>
      <c r="S69" s="258"/>
      <c r="T69" s="258">
        <v>23089227</v>
      </c>
      <c r="U69" s="258"/>
      <c r="V69" s="258">
        <v>23772483</v>
      </c>
      <c r="W69" s="465"/>
      <c r="X69" s="258">
        <v>25590445</v>
      </c>
      <c r="Y69" s="258"/>
      <c r="Z69" s="258">
        <f>PL!D70</f>
        <v>22704316</v>
      </c>
      <c r="AA69" s="51"/>
      <c r="AB69" s="51">
        <f t="shared" si="14"/>
        <v>1625727864</v>
      </c>
      <c r="AC69" s="317"/>
      <c r="AD69" s="410"/>
      <c r="AE69" s="110"/>
      <c r="AF69" s="110"/>
      <c r="AG69" s="110"/>
      <c r="AH69" s="110"/>
      <c r="AI69" s="110"/>
      <c r="AJ69" s="226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spans="1:46" ht="13.5" customHeight="1">
      <c r="A70" s="110"/>
      <c r="B70" s="15" t="s">
        <v>5327</v>
      </c>
      <c r="C70" s="390" t="s">
        <v>5328</v>
      </c>
      <c r="D70" s="255">
        <v>0</v>
      </c>
      <c r="E70" s="255"/>
      <c r="F70" s="255">
        <v>0</v>
      </c>
      <c r="G70" s="255"/>
      <c r="H70" s="255">
        <v>0</v>
      </c>
      <c r="I70" s="255"/>
      <c r="J70" s="255">
        <v>1000000</v>
      </c>
      <c r="K70" s="437"/>
      <c r="L70" s="255">
        <v>16250000</v>
      </c>
      <c r="M70" s="255"/>
      <c r="N70" s="258">
        <v>14750000</v>
      </c>
      <c r="O70" s="51"/>
      <c r="P70" s="258">
        <v>0</v>
      </c>
      <c r="Q70" s="258"/>
      <c r="R70" s="258">
        <v>0</v>
      </c>
      <c r="S70" s="258"/>
      <c r="T70" s="258">
        <v>0</v>
      </c>
      <c r="U70" s="258"/>
      <c r="V70" s="258"/>
      <c r="W70" s="465"/>
      <c r="X70" s="258">
        <v>6500000</v>
      </c>
      <c r="Y70" s="258"/>
      <c r="Z70" s="258">
        <f>PL!D71</f>
        <v>0</v>
      </c>
      <c r="AA70" s="51"/>
      <c r="AB70" s="51">
        <f t="shared" si="14"/>
        <v>38500000</v>
      </c>
      <c r="AC70" s="317"/>
      <c r="AD70" s="410"/>
      <c r="AE70" s="110"/>
      <c r="AF70" s="110"/>
      <c r="AG70" s="110"/>
      <c r="AH70" s="110"/>
      <c r="AI70" s="110"/>
      <c r="AJ70" s="226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spans="1:46" ht="13.5" customHeight="1">
      <c r="A71" s="110"/>
      <c r="B71" s="15" t="s">
        <v>3583</v>
      </c>
      <c r="C71" s="390" t="s">
        <v>5329</v>
      </c>
      <c r="D71" s="255">
        <v>1300000000</v>
      </c>
      <c r="E71" s="255"/>
      <c r="F71" s="255">
        <v>1300000000</v>
      </c>
      <c r="G71" s="255"/>
      <c r="H71" s="255">
        <v>1128988095</v>
      </c>
      <c r="I71" s="255"/>
      <c r="J71" s="255">
        <v>903000000</v>
      </c>
      <c r="K71" s="437"/>
      <c r="L71" s="255">
        <v>903000000</v>
      </c>
      <c r="M71" s="255"/>
      <c r="N71" s="258">
        <v>902750000</v>
      </c>
      <c r="O71" s="51"/>
      <c r="P71" s="258">
        <v>75250000</v>
      </c>
      <c r="Q71" s="258"/>
      <c r="R71" s="258">
        <v>75250000</v>
      </c>
      <c r="S71" s="258"/>
      <c r="T71" s="258">
        <v>75250000</v>
      </c>
      <c r="U71" s="258"/>
      <c r="V71" s="258">
        <v>75250000</v>
      </c>
      <c r="W71" s="465"/>
      <c r="X71" s="258">
        <v>75250000</v>
      </c>
      <c r="Y71" s="258"/>
      <c r="Z71" s="258">
        <f>PL!D72</f>
        <v>75250000</v>
      </c>
      <c r="AA71" s="51"/>
      <c r="AB71" s="51">
        <f t="shared" si="14"/>
        <v>6889238095</v>
      </c>
      <c r="AC71" s="317"/>
      <c r="AD71" s="410"/>
      <c r="AE71" s="110"/>
      <c r="AF71" s="110"/>
      <c r="AG71" s="110"/>
      <c r="AH71" s="110"/>
      <c r="AI71" s="110"/>
      <c r="AJ71" s="226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spans="1:46" ht="13.5" customHeight="1">
      <c r="A72" s="110"/>
      <c r="B72" s="15" t="s">
        <v>5330</v>
      </c>
      <c r="C72" s="390" t="s">
        <v>5331</v>
      </c>
      <c r="D72" s="255">
        <v>0</v>
      </c>
      <c r="E72" s="255"/>
      <c r="F72" s="255">
        <v>5203000</v>
      </c>
      <c r="G72" s="255"/>
      <c r="H72" s="255">
        <v>0</v>
      </c>
      <c r="I72" s="255"/>
      <c r="J72" s="255">
        <v>0</v>
      </c>
      <c r="K72" s="437"/>
      <c r="L72" s="255">
        <v>0</v>
      </c>
      <c r="M72" s="255"/>
      <c r="N72" s="258">
        <v>0</v>
      </c>
      <c r="O72" s="51"/>
      <c r="P72" s="258">
        <v>0</v>
      </c>
      <c r="Q72" s="258"/>
      <c r="R72" s="258">
        <v>0</v>
      </c>
      <c r="S72" s="258"/>
      <c r="T72" s="258">
        <v>0</v>
      </c>
      <c r="U72" s="258"/>
      <c r="V72" s="258"/>
      <c r="W72" s="465"/>
      <c r="X72" s="258"/>
      <c r="Y72" s="258"/>
      <c r="Z72" s="258">
        <f>PL!D73</f>
        <v>0</v>
      </c>
      <c r="AA72" s="51"/>
      <c r="AB72" s="51">
        <f t="shared" si="14"/>
        <v>5203000</v>
      </c>
      <c r="AC72" s="317"/>
      <c r="AD72" s="410"/>
      <c r="AE72" s="110"/>
      <c r="AF72" s="110"/>
      <c r="AG72" s="110"/>
      <c r="AH72" s="110"/>
      <c r="AI72" s="110"/>
      <c r="AJ72" s="226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spans="1:46" ht="13.5" customHeight="1">
      <c r="A73" s="351"/>
      <c r="B73" s="127" t="s">
        <v>5332</v>
      </c>
      <c r="C73" s="22" t="s">
        <v>5333</v>
      </c>
      <c r="D73" s="317">
        <f>SUM(D56:D72)</f>
        <v>2017161305</v>
      </c>
      <c r="E73" s="439">
        <f>D73/D16</f>
        <v>0.26299850693114701</v>
      </c>
      <c r="F73" s="317">
        <f>SUM(F56:F72)</f>
        <v>1851245223</v>
      </c>
      <c r="G73" s="439">
        <f>F73/F16</f>
        <v>0.49242213550334901</v>
      </c>
      <c r="H73" s="317">
        <f>SUM(H56:H72)</f>
        <v>2174333942</v>
      </c>
      <c r="I73" s="439">
        <f>H73/H16</f>
        <v>0.11567527261820136</v>
      </c>
      <c r="J73" s="317">
        <f>SUM(J56:J72)</f>
        <v>2303730621</v>
      </c>
      <c r="K73" s="439">
        <f>J73/J16</f>
        <v>8.4767465725551092E-2</v>
      </c>
      <c r="L73" s="317">
        <f>SUM(L56:L72)</f>
        <v>2947583910.3333335</v>
      </c>
      <c r="M73" s="439">
        <f>L73/L16</f>
        <v>9.093464883151732E-2</v>
      </c>
      <c r="N73" s="317">
        <f>SUM(N56:N72)</f>
        <v>2602151806</v>
      </c>
      <c r="O73" s="439">
        <f>N73/N16</f>
        <v>8.4656549141098617E-2</v>
      </c>
      <c r="P73" s="317">
        <f>SUM(P56:P72)</f>
        <v>217846055</v>
      </c>
      <c r="Q73" s="439">
        <v>9.5730910357130175E-2</v>
      </c>
      <c r="R73" s="317">
        <v>206718929</v>
      </c>
      <c r="S73" s="439">
        <v>0.12617792474676742</v>
      </c>
      <c r="T73" s="317">
        <f>SUM(T56:T72)</f>
        <v>209013657</v>
      </c>
      <c r="U73" s="439">
        <v>0.11824989691121432</v>
      </c>
      <c r="V73" s="471">
        <f>SUM(V56:V72)</f>
        <v>219133173</v>
      </c>
      <c r="W73" s="465">
        <v>0.12</v>
      </c>
      <c r="X73" s="317">
        <f>SUM(X56:X72)</f>
        <v>223737125</v>
      </c>
      <c r="Y73" s="465">
        <v>0.1</v>
      </c>
      <c r="Z73" s="317">
        <f>SUM(Z56:Z72)</f>
        <v>218079587</v>
      </c>
      <c r="AA73" s="439">
        <f>Z73/Z16</f>
        <v>0.11040301861945576</v>
      </c>
      <c r="AB73" s="317">
        <f>SUM(AB56:AB72)</f>
        <v>15190735333.333332</v>
      </c>
      <c r="AC73" s="439">
        <f>AB73/AB16</f>
        <v>0.11481249915779386</v>
      </c>
      <c r="AD73" s="410"/>
      <c r="AE73" s="110"/>
      <c r="AF73" s="110"/>
      <c r="AG73" s="110"/>
      <c r="AH73" s="110"/>
      <c r="AI73" s="110"/>
      <c r="AJ73" s="226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spans="1:46" ht="13.5" customHeight="1">
      <c r="A74" s="110"/>
      <c r="B74" s="15"/>
      <c r="C74" s="390"/>
      <c r="D74" s="255"/>
      <c r="E74" s="255"/>
      <c r="F74" s="255"/>
      <c r="G74" s="255"/>
      <c r="H74" s="255"/>
      <c r="I74" s="255"/>
      <c r="J74" s="255"/>
      <c r="K74" s="437"/>
      <c r="L74" s="255"/>
      <c r="M74" s="255"/>
      <c r="N74" s="258"/>
      <c r="O74" s="51"/>
      <c r="P74" s="51"/>
      <c r="Q74" s="51"/>
      <c r="R74" s="51"/>
      <c r="S74" s="51"/>
      <c r="T74" s="51"/>
      <c r="U74" s="51"/>
      <c r="V74" s="258"/>
      <c r="W74" s="465"/>
      <c r="X74" s="51"/>
      <c r="Y74" s="51"/>
      <c r="Z74" s="51">
        <f>PL!D75</f>
        <v>0</v>
      </c>
      <c r="AA74" s="51"/>
      <c r="AB74" s="51"/>
      <c r="AC74" s="317"/>
      <c r="AD74" s="410"/>
      <c r="AE74" s="110"/>
      <c r="AF74" s="110"/>
      <c r="AG74" s="110"/>
      <c r="AH74" s="110"/>
      <c r="AI74" s="110"/>
      <c r="AJ74" s="226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spans="1:46" ht="13.5" customHeight="1">
      <c r="A75" s="351"/>
      <c r="B75" s="127" t="s">
        <v>5334</v>
      </c>
      <c r="C75" s="22" t="s">
        <v>5335</v>
      </c>
      <c r="D75" s="255"/>
      <c r="E75" s="255"/>
      <c r="F75" s="255"/>
      <c r="G75" s="255"/>
      <c r="H75" s="255"/>
      <c r="I75" s="255"/>
      <c r="J75" s="255"/>
      <c r="K75" s="437"/>
      <c r="L75" s="255"/>
      <c r="M75" s="255"/>
      <c r="N75" s="258"/>
      <c r="O75" s="51"/>
      <c r="P75" s="51"/>
      <c r="Q75" s="51"/>
      <c r="R75" s="51"/>
      <c r="S75" s="51"/>
      <c r="T75" s="51"/>
      <c r="U75" s="51"/>
      <c r="V75" s="258"/>
      <c r="W75" s="465"/>
      <c r="X75" s="51"/>
      <c r="Y75" s="51"/>
      <c r="Z75" s="51">
        <f>PL!D76</f>
        <v>0</v>
      </c>
      <c r="AA75" s="51"/>
      <c r="AB75" s="51"/>
      <c r="AC75" s="317"/>
      <c r="AD75" s="410"/>
      <c r="AE75" s="110"/>
      <c r="AF75" s="110"/>
      <c r="AG75" s="110"/>
      <c r="AH75" s="110"/>
      <c r="AI75" s="110"/>
      <c r="AJ75" s="226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spans="1:46" ht="13.5" customHeight="1">
      <c r="A76" s="110"/>
      <c r="B76" s="15" t="s">
        <v>188</v>
      </c>
      <c r="C76" s="390" t="s">
        <v>3669</v>
      </c>
      <c r="D76" s="255">
        <v>73017815</v>
      </c>
      <c r="E76" s="255"/>
      <c r="F76" s="255">
        <v>16514930</v>
      </c>
      <c r="G76" s="255"/>
      <c r="H76" s="255">
        <v>201414819</v>
      </c>
      <c r="I76" s="255"/>
      <c r="J76" s="255">
        <v>329872798</v>
      </c>
      <c r="K76" s="437"/>
      <c r="L76" s="255">
        <v>574030449.5</v>
      </c>
      <c r="M76" s="255"/>
      <c r="N76" s="258">
        <v>656022758</v>
      </c>
      <c r="O76" s="51"/>
      <c r="P76" s="258">
        <v>59537141</v>
      </c>
      <c r="Q76" s="258"/>
      <c r="R76" s="258">
        <v>53225158</v>
      </c>
      <c r="S76" s="258"/>
      <c r="T76" s="258">
        <v>54682831</v>
      </c>
      <c r="U76" s="258"/>
      <c r="V76" s="258">
        <v>57716758</v>
      </c>
      <c r="W76" s="465"/>
      <c r="X76" s="258">
        <v>53611487</v>
      </c>
      <c r="Y76" s="258"/>
      <c r="Z76" s="258">
        <f>PL!D77</f>
        <v>68640219</v>
      </c>
      <c r="AA76" s="51"/>
      <c r="AB76" s="51">
        <f t="shared" ref="AB76:AB87" si="15">D76+F76+H76+J76+L76+N76+Z76+P76+R76+T76+V76+X76</f>
        <v>2198287163.5</v>
      </c>
      <c r="AC76" s="317"/>
      <c r="AD76" s="410"/>
      <c r="AE76" s="110"/>
      <c r="AF76" s="110"/>
      <c r="AG76" s="110"/>
      <c r="AH76" s="110"/>
      <c r="AI76" s="110"/>
      <c r="AJ76" s="226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spans="1:46" ht="13.5" customHeight="1">
      <c r="A77" s="110"/>
      <c r="B77" s="15" t="s">
        <v>3108</v>
      </c>
      <c r="C77" s="390" t="s">
        <v>5336</v>
      </c>
      <c r="D77" s="255">
        <v>24788707.699999999</v>
      </c>
      <c r="E77" s="255"/>
      <c r="F77" s="255">
        <v>29584671</v>
      </c>
      <c r="G77" s="255"/>
      <c r="H77" s="255">
        <v>180957167.87560299</v>
      </c>
      <c r="I77" s="255"/>
      <c r="J77" s="255">
        <v>506231360</v>
      </c>
      <c r="K77" s="437"/>
      <c r="L77" s="255">
        <v>929691035.19942868</v>
      </c>
      <c r="M77" s="255"/>
      <c r="N77" s="258">
        <v>1093638196.7142856</v>
      </c>
      <c r="O77" s="51"/>
      <c r="P77" s="258">
        <v>116487102</v>
      </c>
      <c r="Q77" s="258"/>
      <c r="R77" s="258">
        <v>121512967</v>
      </c>
      <c r="S77" s="258"/>
      <c r="T77" s="258">
        <v>110057099</v>
      </c>
      <c r="U77" s="258"/>
      <c r="V77" s="258">
        <v>126212755</v>
      </c>
      <c r="W77" s="465"/>
      <c r="X77" s="258">
        <v>128083721</v>
      </c>
      <c r="Y77" s="258"/>
      <c r="Z77" s="258">
        <f>PL!D78</f>
        <v>113415165</v>
      </c>
      <c r="AA77" s="51"/>
      <c r="AB77" s="51">
        <f t="shared" si="15"/>
        <v>3480659947.4893169</v>
      </c>
      <c r="AC77" s="317"/>
      <c r="AD77" s="410"/>
      <c r="AE77" s="110"/>
      <c r="AF77" s="110"/>
      <c r="AG77" s="110"/>
      <c r="AH77" s="110"/>
      <c r="AI77" s="110"/>
      <c r="AJ77" s="226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spans="1:46" ht="13.5" customHeight="1">
      <c r="A78" s="110"/>
      <c r="B78" s="15" t="s">
        <v>438</v>
      </c>
      <c r="C78" s="390" t="s">
        <v>5337</v>
      </c>
      <c r="D78" s="255">
        <v>22989000</v>
      </c>
      <c r="E78" s="255"/>
      <c r="F78" s="255">
        <v>19621816</v>
      </c>
      <c r="G78" s="255"/>
      <c r="H78" s="255">
        <v>40064479</v>
      </c>
      <c r="I78" s="255"/>
      <c r="J78" s="255">
        <v>74652752</v>
      </c>
      <c r="K78" s="437"/>
      <c r="L78" s="255">
        <v>54284663</v>
      </c>
      <c r="M78" s="255"/>
      <c r="N78" s="258">
        <v>41788388</v>
      </c>
      <c r="O78" s="51"/>
      <c r="P78" s="258">
        <v>2960000</v>
      </c>
      <c r="Q78" s="258"/>
      <c r="R78" s="258">
        <v>4083500</v>
      </c>
      <c r="S78" s="258"/>
      <c r="T78" s="258">
        <v>1768000</v>
      </c>
      <c r="U78" s="258"/>
      <c r="V78" s="258">
        <v>3385500</v>
      </c>
      <c r="W78" s="465"/>
      <c r="X78" s="258">
        <v>2514100</v>
      </c>
      <c r="Y78" s="258"/>
      <c r="Z78" s="258">
        <f>PL!D79</f>
        <v>3629000</v>
      </c>
      <c r="AA78" s="51"/>
      <c r="AB78" s="51">
        <f t="shared" si="15"/>
        <v>271741198</v>
      </c>
      <c r="AC78" s="317"/>
      <c r="AD78" s="410"/>
      <c r="AE78" s="110"/>
      <c r="AF78" s="110"/>
      <c r="AG78" s="110"/>
      <c r="AH78" s="110"/>
      <c r="AI78" s="110"/>
      <c r="AJ78" s="226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spans="1:46" ht="13.5" customHeight="1">
      <c r="A79" s="110"/>
      <c r="B79" s="15" t="s">
        <v>5338</v>
      </c>
      <c r="C79" s="390" t="s">
        <v>5339</v>
      </c>
      <c r="D79" s="255">
        <v>0</v>
      </c>
      <c r="E79" s="255"/>
      <c r="F79" s="255">
        <v>0</v>
      </c>
      <c r="G79" s="255"/>
      <c r="H79" s="255">
        <v>0</v>
      </c>
      <c r="I79" s="255"/>
      <c r="J79" s="255">
        <v>0</v>
      </c>
      <c r="K79" s="437"/>
      <c r="L79" s="255">
        <v>0</v>
      </c>
      <c r="M79" s="255"/>
      <c r="N79" s="258">
        <v>0</v>
      </c>
      <c r="O79" s="51"/>
      <c r="P79" s="258">
        <v>0</v>
      </c>
      <c r="Q79" s="258"/>
      <c r="R79" s="258">
        <v>0</v>
      </c>
      <c r="S79" s="258"/>
      <c r="T79" s="258">
        <v>0</v>
      </c>
      <c r="U79" s="258"/>
      <c r="V79" s="258"/>
      <c r="W79" s="465"/>
      <c r="X79" s="258"/>
      <c r="Y79" s="258"/>
      <c r="Z79" s="258">
        <f>PL!D80</f>
        <v>0</v>
      </c>
      <c r="AA79" s="51"/>
      <c r="AB79" s="51">
        <f t="shared" si="15"/>
        <v>0</v>
      </c>
      <c r="AC79" s="317"/>
      <c r="AD79" s="410"/>
      <c r="AE79" s="110"/>
      <c r="AF79" s="110"/>
      <c r="AG79" s="110"/>
      <c r="AH79" s="110"/>
      <c r="AI79" s="110"/>
      <c r="AJ79" s="226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spans="1:46" ht="13.5" customHeight="1">
      <c r="A80" s="110"/>
      <c r="B80" s="15" t="s">
        <v>3103</v>
      </c>
      <c r="C80" s="340" t="s">
        <v>5340</v>
      </c>
      <c r="D80" s="255">
        <v>15000000</v>
      </c>
      <c r="E80" s="255"/>
      <c r="F80" s="255">
        <v>31000</v>
      </c>
      <c r="G80" s="255"/>
      <c r="H80" s="255">
        <v>1004250</v>
      </c>
      <c r="I80" s="255"/>
      <c r="J80" s="255">
        <v>24000000</v>
      </c>
      <c r="K80" s="437"/>
      <c r="L80" s="255">
        <v>24000000</v>
      </c>
      <c r="M80" s="255"/>
      <c r="N80" s="258">
        <v>24000000</v>
      </c>
      <c r="O80" s="51"/>
      <c r="P80" s="258">
        <v>2000000</v>
      </c>
      <c r="Q80" s="258"/>
      <c r="R80" s="258">
        <v>2000000</v>
      </c>
      <c r="S80" s="258"/>
      <c r="T80" s="258">
        <v>2000000</v>
      </c>
      <c r="U80" s="258"/>
      <c r="V80" s="258">
        <v>2000000</v>
      </c>
      <c r="W80" s="465"/>
      <c r="X80" s="258">
        <v>2000000</v>
      </c>
      <c r="Y80" s="258"/>
      <c r="Z80" s="258">
        <f>PL!D81</f>
        <v>2000000</v>
      </c>
      <c r="AA80" s="51"/>
      <c r="AB80" s="51">
        <f t="shared" si="15"/>
        <v>100035250</v>
      </c>
      <c r="AC80" s="317"/>
      <c r="AD80" s="410"/>
      <c r="AE80" s="110"/>
      <c r="AF80" s="110"/>
      <c r="AG80" s="110"/>
      <c r="AH80" s="110"/>
      <c r="AI80" s="110"/>
      <c r="AJ80" s="226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spans="1:46" ht="13.5" customHeight="1">
      <c r="A81" s="110"/>
      <c r="B81" s="15" t="s">
        <v>5341</v>
      </c>
      <c r="C81" s="340" t="s">
        <v>5342</v>
      </c>
      <c r="D81" s="255">
        <v>5000000</v>
      </c>
      <c r="E81" s="255"/>
      <c r="F81" s="255">
        <v>0</v>
      </c>
      <c r="G81" s="255"/>
      <c r="H81" s="255">
        <v>0</v>
      </c>
      <c r="I81" s="255"/>
      <c r="J81" s="255">
        <v>0</v>
      </c>
      <c r="K81" s="437"/>
      <c r="L81" s="255">
        <v>0</v>
      </c>
      <c r="M81" s="255"/>
      <c r="N81" s="258">
        <v>0</v>
      </c>
      <c r="O81" s="51"/>
      <c r="P81" s="258">
        <v>0</v>
      </c>
      <c r="Q81" s="258"/>
      <c r="R81" s="258">
        <v>0</v>
      </c>
      <c r="S81" s="258"/>
      <c r="T81" s="258">
        <v>0</v>
      </c>
      <c r="U81" s="258"/>
      <c r="V81" s="258"/>
      <c r="W81" s="465"/>
      <c r="X81" s="258"/>
      <c r="Y81" s="258"/>
      <c r="Z81" s="258">
        <f>PL!D82</f>
        <v>0</v>
      </c>
      <c r="AA81" s="51"/>
      <c r="AB81" s="51">
        <f t="shared" si="15"/>
        <v>5000000</v>
      </c>
      <c r="AC81" s="317"/>
      <c r="AD81" s="410"/>
      <c r="AE81" s="110"/>
      <c r="AF81" s="110"/>
      <c r="AG81" s="110"/>
      <c r="AH81" s="110"/>
      <c r="AI81" s="110"/>
      <c r="AJ81" s="226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spans="1:46" ht="13.5" customHeight="1">
      <c r="A82" s="110"/>
      <c r="B82" s="15" t="s">
        <v>3196</v>
      </c>
      <c r="C82" s="340" t="s">
        <v>5343</v>
      </c>
      <c r="D82" s="255">
        <v>18550000</v>
      </c>
      <c r="E82" s="255"/>
      <c r="F82" s="255">
        <v>8950000</v>
      </c>
      <c r="G82" s="255"/>
      <c r="H82" s="255">
        <v>22702500</v>
      </c>
      <c r="I82" s="255"/>
      <c r="J82" s="255">
        <v>60642588</v>
      </c>
      <c r="K82" s="437"/>
      <c r="L82" s="255">
        <v>62553862</v>
      </c>
      <c r="M82" s="255"/>
      <c r="N82" s="258">
        <v>54517000</v>
      </c>
      <c r="O82" s="51"/>
      <c r="P82" s="258">
        <v>500000</v>
      </c>
      <c r="Q82" s="258"/>
      <c r="R82" s="258">
        <v>0</v>
      </c>
      <c r="S82" s="258"/>
      <c r="T82" s="258">
        <v>800000</v>
      </c>
      <c r="U82" s="258"/>
      <c r="V82" s="258">
        <v>2250000</v>
      </c>
      <c r="W82" s="465"/>
      <c r="X82" s="258">
        <v>4700000</v>
      </c>
      <c r="Y82" s="258"/>
      <c r="Z82" s="258">
        <f>PL!D83</f>
        <v>4100000</v>
      </c>
      <c r="AA82" s="51"/>
      <c r="AB82" s="51">
        <f t="shared" si="15"/>
        <v>240265950</v>
      </c>
      <c r="AC82" s="317"/>
      <c r="AD82" s="410"/>
      <c r="AE82" s="110"/>
      <c r="AF82" s="110"/>
      <c r="AG82" s="110"/>
      <c r="AH82" s="110"/>
      <c r="AI82" s="110"/>
      <c r="AJ82" s="226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spans="1:46" ht="13.5" customHeight="1">
      <c r="A83" s="110"/>
      <c r="B83" s="15" t="s">
        <v>5344</v>
      </c>
      <c r="C83" s="340" t="s">
        <v>5345</v>
      </c>
      <c r="D83" s="255">
        <v>0</v>
      </c>
      <c r="E83" s="255"/>
      <c r="F83" s="255">
        <v>2000000</v>
      </c>
      <c r="G83" s="255"/>
      <c r="H83" s="255">
        <v>6750000</v>
      </c>
      <c r="I83" s="255"/>
      <c r="J83" s="255">
        <v>2800000</v>
      </c>
      <c r="K83" s="437"/>
      <c r="L83" s="255">
        <v>0</v>
      </c>
      <c r="M83" s="255"/>
      <c r="N83" s="258">
        <v>0</v>
      </c>
      <c r="O83" s="51"/>
      <c r="P83" s="258">
        <v>0</v>
      </c>
      <c r="Q83" s="258"/>
      <c r="R83" s="258">
        <v>0</v>
      </c>
      <c r="S83" s="258"/>
      <c r="T83" s="258">
        <v>0</v>
      </c>
      <c r="U83" s="258"/>
      <c r="V83" s="258"/>
      <c r="W83" s="465"/>
      <c r="X83" s="258"/>
      <c r="Y83" s="258"/>
      <c r="Z83" s="258">
        <f>PL!D84</f>
        <v>0</v>
      </c>
      <c r="AA83" s="51"/>
      <c r="AB83" s="51">
        <f t="shared" si="15"/>
        <v>11550000</v>
      </c>
      <c r="AC83" s="317"/>
      <c r="AD83" s="410"/>
      <c r="AE83" s="110"/>
      <c r="AF83" s="110"/>
      <c r="AG83" s="110"/>
      <c r="AH83" s="110"/>
      <c r="AI83" s="110"/>
      <c r="AJ83" s="226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spans="1:46" ht="13.5" customHeight="1">
      <c r="A84" s="110"/>
      <c r="B84" s="15" t="s">
        <v>5346</v>
      </c>
      <c r="C84" s="340" t="s">
        <v>5347</v>
      </c>
      <c r="D84" s="255">
        <v>1050000</v>
      </c>
      <c r="E84" s="255"/>
      <c r="F84" s="255">
        <v>24450000</v>
      </c>
      <c r="G84" s="255"/>
      <c r="H84" s="255">
        <v>2000000</v>
      </c>
      <c r="I84" s="255"/>
      <c r="J84" s="255">
        <v>0</v>
      </c>
      <c r="K84" s="437"/>
      <c r="L84" s="255">
        <v>0</v>
      </c>
      <c r="M84" s="255"/>
      <c r="N84" s="258">
        <v>3350000</v>
      </c>
      <c r="O84" s="51"/>
      <c r="P84" s="258">
        <v>0</v>
      </c>
      <c r="Q84" s="258"/>
      <c r="R84" s="258">
        <v>0</v>
      </c>
      <c r="S84" s="258"/>
      <c r="T84" s="258">
        <v>0</v>
      </c>
      <c r="U84" s="258"/>
      <c r="V84" s="258"/>
      <c r="W84" s="465"/>
      <c r="X84" s="258"/>
      <c r="Y84" s="258"/>
      <c r="Z84" s="258">
        <f>PL!D85</f>
        <v>0</v>
      </c>
      <c r="AA84" s="51"/>
      <c r="AB84" s="51">
        <f t="shared" si="15"/>
        <v>30850000</v>
      </c>
      <c r="AC84" s="317"/>
      <c r="AD84" s="410"/>
      <c r="AE84" s="110"/>
      <c r="AF84" s="110"/>
      <c r="AG84" s="110"/>
      <c r="AH84" s="110"/>
      <c r="AI84" s="110"/>
      <c r="AJ84" s="226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spans="1:46" ht="13.5" customHeight="1">
      <c r="A85" s="110"/>
      <c r="B85" s="15" t="s">
        <v>3171</v>
      </c>
      <c r="C85" s="340" t="s">
        <v>5348</v>
      </c>
      <c r="D85" s="255">
        <v>85900000</v>
      </c>
      <c r="E85" s="255"/>
      <c r="F85" s="255">
        <v>90717500</v>
      </c>
      <c r="G85" s="255"/>
      <c r="H85" s="255">
        <v>8100000</v>
      </c>
      <c r="I85" s="255"/>
      <c r="J85" s="255">
        <v>3800000</v>
      </c>
      <c r="K85" s="437"/>
      <c r="L85" s="255">
        <v>5346875</v>
      </c>
      <c r="M85" s="255"/>
      <c r="N85" s="258">
        <v>0</v>
      </c>
      <c r="O85" s="51"/>
      <c r="P85" s="258">
        <v>0</v>
      </c>
      <c r="Q85" s="258"/>
      <c r="R85" s="258">
        <v>0</v>
      </c>
      <c r="S85" s="258"/>
      <c r="T85" s="258">
        <v>0</v>
      </c>
      <c r="U85" s="258"/>
      <c r="V85" s="258"/>
      <c r="W85" s="465"/>
      <c r="X85" s="258"/>
      <c r="Y85" s="258"/>
      <c r="Z85" s="258">
        <f>PL!D86</f>
        <v>1000000</v>
      </c>
      <c r="AA85" s="51"/>
      <c r="AB85" s="51">
        <f t="shared" si="15"/>
        <v>194864375</v>
      </c>
      <c r="AC85" s="317"/>
      <c r="AD85" s="410"/>
      <c r="AE85" s="110"/>
      <c r="AF85" s="110"/>
      <c r="AG85" s="110"/>
      <c r="AH85" s="110"/>
      <c r="AI85" s="110"/>
      <c r="AJ85" s="226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pans="1:46" ht="13.5" customHeight="1">
      <c r="A86" s="110"/>
      <c r="B86" s="15" t="s">
        <v>3161</v>
      </c>
      <c r="C86" s="340" t="s">
        <v>5349</v>
      </c>
      <c r="D86" s="255">
        <v>33568000</v>
      </c>
      <c r="E86" s="255"/>
      <c r="F86" s="255">
        <v>12266700</v>
      </c>
      <c r="G86" s="255"/>
      <c r="H86" s="255">
        <v>84695381</v>
      </c>
      <c r="I86" s="255"/>
      <c r="J86" s="255">
        <v>123938518</v>
      </c>
      <c r="K86" s="437"/>
      <c r="L86" s="255">
        <v>85215630</v>
      </c>
      <c r="M86" s="255"/>
      <c r="N86" s="258">
        <v>71753716</v>
      </c>
      <c r="O86" s="51"/>
      <c r="P86" s="258">
        <v>750000</v>
      </c>
      <c r="Q86" s="258"/>
      <c r="R86" s="258">
        <v>7019276</v>
      </c>
      <c r="S86" s="258"/>
      <c r="T86" s="258">
        <v>2224171</v>
      </c>
      <c r="U86" s="258"/>
      <c r="V86" s="258">
        <v>4869851</v>
      </c>
      <c r="W86" s="465"/>
      <c r="X86" s="258">
        <v>2474664</v>
      </c>
      <c r="Y86" s="258"/>
      <c r="Z86" s="258">
        <f>PL!D87</f>
        <v>4958296</v>
      </c>
      <c r="AA86" s="51"/>
      <c r="AB86" s="51">
        <f t="shared" si="15"/>
        <v>433734203</v>
      </c>
      <c r="AC86" s="317"/>
      <c r="AD86" s="410"/>
      <c r="AE86" s="110"/>
      <c r="AF86" s="110"/>
      <c r="AG86" s="110"/>
      <c r="AH86" s="110"/>
      <c r="AI86" s="110"/>
      <c r="AJ86" s="226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pans="1:46" ht="13.5" customHeight="1">
      <c r="A87" s="110"/>
      <c r="B87" s="15" t="s">
        <v>933</v>
      </c>
      <c r="C87" s="340" t="s">
        <v>5350</v>
      </c>
      <c r="D87" s="255">
        <v>16135600</v>
      </c>
      <c r="E87" s="255"/>
      <c r="F87" s="255">
        <v>15349356</v>
      </c>
      <c r="G87" s="255"/>
      <c r="H87" s="255">
        <v>42089707</v>
      </c>
      <c r="I87" s="255"/>
      <c r="J87" s="255">
        <v>87102803</v>
      </c>
      <c r="K87" s="437"/>
      <c r="L87" s="255">
        <v>88191824.75</v>
      </c>
      <c r="M87" s="255"/>
      <c r="N87" s="258">
        <v>43010657</v>
      </c>
      <c r="O87" s="51"/>
      <c r="P87" s="258">
        <v>3045800</v>
      </c>
      <c r="Q87" s="258"/>
      <c r="R87" s="258">
        <v>1511374</v>
      </c>
      <c r="S87" s="258"/>
      <c r="T87" s="258">
        <v>1661500</v>
      </c>
      <c r="U87" s="258"/>
      <c r="V87" s="258">
        <v>942500</v>
      </c>
      <c r="W87" s="465"/>
      <c r="X87" s="258">
        <v>7630700</v>
      </c>
      <c r="Y87" s="258"/>
      <c r="Z87" s="258">
        <f>PL!D88</f>
        <v>642320</v>
      </c>
      <c r="AA87" s="51"/>
      <c r="AB87" s="51">
        <f t="shared" si="15"/>
        <v>307314141.75</v>
      </c>
      <c r="AC87" s="317"/>
      <c r="AD87" s="410"/>
      <c r="AE87" s="110"/>
      <c r="AF87" s="110"/>
      <c r="AG87" s="110"/>
      <c r="AH87" s="110"/>
      <c r="AI87" s="110"/>
      <c r="AJ87" s="226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pans="1:46" ht="13.5" customHeight="1">
      <c r="A88" s="351"/>
      <c r="B88" s="127" t="s">
        <v>5351</v>
      </c>
      <c r="C88" s="22" t="s">
        <v>5352</v>
      </c>
      <c r="D88" s="317">
        <f>SUM(D76:D87)</f>
        <v>295999122.69999999</v>
      </c>
      <c r="E88" s="439">
        <f>D88/D16</f>
        <v>3.8592514703740748E-2</v>
      </c>
      <c r="F88" s="317">
        <f>SUM(F76:F87)</f>
        <v>219485973</v>
      </c>
      <c r="G88" s="439">
        <f>F88/F16</f>
        <v>5.8382190643843403E-2</v>
      </c>
      <c r="H88" s="317">
        <f>SUM(H76:H87)</f>
        <v>589778303.87560296</v>
      </c>
      <c r="I88" s="439">
        <f>H88/H16</f>
        <v>3.1376397510659279E-2</v>
      </c>
      <c r="J88" s="317">
        <f>SUM(J76:J87)</f>
        <v>1213040819</v>
      </c>
      <c r="K88" s="439">
        <f>J88/J16</f>
        <v>4.4634730775789312E-2</v>
      </c>
      <c r="L88" s="317">
        <f>SUM(L76:L87)</f>
        <v>1823314339.4494286</v>
      </c>
      <c r="M88" s="439">
        <f>L88/L16</f>
        <v>5.6250289800419503E-2</v>
      </c>
      <c r="N88" s="317">
        <f>SUM(N76:N87)</f>
        <v>1988080715.7142856</v>
      </c>
      <c r="O88" s="439">
        <f>N88/N16</f>
        <v>6.4678798684328923E-2</v>
      </c>
      <c r="P88" s="317">
        <f>SUM(P76:P87)</f>
        <v>185280043</v>
      </c>
      <c r="Q88" s="439">
        <v>8.1420006377431187E-2</v>
      </c>
      <c r="R88" s="317">
        <v>189352275</v>
      </c>
      <c r="S88" s="439">
        <v>0.11557759718065881</v>
      </c>
      <c r="T88" s="317">
        <f>SUM(T76:T87)</f>
        <v>173193601</v>
      </c>
      <c r="U88" s="439">
        <v>9.7984628171603083E-2</v>
      </c>
      <c r="V88" s="471">
        <f>SUM(V76:V87)</f>
        <v>197377364</v>
      </c>
      <c r="W88" s="465">
        <v>0.11</v>
      </c>
      <c r="X88" s="317">
        <f>SUM(X76:X87)</f>
        <v>201014672</v>
      </c>
      <c r="Y88" s="465">
        <v>0.09</v>
      </c>
      <c r="Z88" s="317">
        <f>SUM(Z76:Z87)</f>
        <v>198385000</v>
      </c>
      <c r="AA88" s="439">
        <f>Z88/Z16</f>
        <v>0.10043261338724348</v>
      </c>
      <c r="AB88" s="317">
        <f>SUM(AB76:AB87)</f>
        <v>7274302228.7393169</v>
      </c>
      <c r="AC88" s="439">
        <f>AB88/AB16</f>
        <v>5.4979617522399792E-2</v>
      </c>
      <c r="AD88" s="410"/>
      <c r="AE88" s="110"/>
      <c r="AF88" s="110"/>
      <c r="AG88" s="110"/>
      <c r="AH88" s="110"/>
      <c r="AI88" s="110"/>
      <c r="AJ88" s="226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pans="1:46" ht="13.5" customHeight="1">
      <c r="A89" s="110"/>
      <c r="B89" s="15"/>
      <c r="C89" s="340"/>
      <c r="D89" s="255"/>
      <c r="E89" s="255"/>
      <c r="F89" s="255"/>
      <c r="G89" s="255"/>
      <c r="H89" s="255"/>
      <c r="I89" s="255"/>
      <c r="J89" s="255"/>
      <c r="K89" s="437"/>
      <c r="L89" s="255"/>
      <c r="M89" s="255"/>
      <c r="N89" s="258"/>
      <c r="O89" s="255"/>
      <c r="P89" s="51"/>
      <c r="Q89" s="51"/>
      <c r="R89" s="51"/>
      <c r="S89" s="51"/>
      <c r="T89" s="51"/>
      <c r="U89" s="51"/>
      <c r="V89" s="258"/>
      <c r="W89" s="465"/>
      <c r="X89" s="51"/>
      <c r="Y89" s="51"/>
      <c r="Z89" s="51">
        <f>PL!D90</f>
        <v>0</v>
      </c>
      <c r="AA89" s="255"/>
      <c r="AB89" s="51"/>
      <c r="AC89" s="317"/>
      <c r="AD89" s="410"/>
      <c r="AE89" s="110"/>
      <c r="AF89" s="110"/>
      <c r="AG89" s="110"/>
      <c r="AH89" s="110"/>
      <c r="AI89" s="110"/>
      <c r="AJ89" s="226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pans="1:46" ht="13.5" customHeight="1">
      <c r="A90" s="351"/>
      <c r="B90" s="127" t="s">
        <v>5353</v>
      </c>
      <c r="C90" s="22" t="s">
        <v>5354</v>
      </c>
      <c r="D90" s="255"/>
      <c r="E90" s="255"/>
      <c r="F90" s="255"/>
      <c r="G90" s="255"/>
      <c r="H90" s="255"/>
      <c r="I90" s="255"/>
      <c r="J90" s="255"/>
      <c r="K90" s="437"/>
      <c r="L90" s="255"/>
      <c r="M90" s="255"/>
      <c r="N90" s="258"/>
      <c r="O90" s="255"/>
      <c r="P90" s="51"/>
      <c r="Q90" s="51"/>
      <c r="R90" s="51"/>
      <c r="S90" s="51"/>
      <c r="T90" s="51"/>
      <c r="U90" s="51"/>
      <c r="V90" s="258"/>
      <c r="W90" s="465"/>
      <c r="X90" s="51"/>
      <c r="Y90" s="51"/>
      <c r="Z90" s="51">
        <f>PL!D91</f>
        <v>0</v>
      </c>
      <c r="AA90" s="255"/>
      <c r="AB90" s="51"/>
      <c r="AC90" s="317"/>
      <c r="AD90" s="410"/>
      <c r="AE90" s="110"/>
      <c r="AF90" s="110"/>
      <c r="AG90" s="110"/>
      <c r="AH90" s="110"/>
      <c r="AI90" s="110"/>
      <c r="AJ90" s="226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pans="1:46" ht="13.5" customHeight="1">
      <c r="A91" s="110"/>
      <c r="B91" s="15" t="s">
        <v>5355</v>
      </c>
      <c r="C91" s="390" t="s">
        <v>5356</v>
      </c>
      <c r="D91" s="255">
        <v>0</v>
      </c>
      <c r="E91" s="255"/>
      <c r="F91" s="255">
        <v>2150000</v>
      </c>
      <c r="G91" s="255"/>
      <c r="H91" s="255">
        <v>0</v>
      </c>
      <c r="I91" s="255"/>
      <c r="J91" s="255">
        <v>1400000</v>
      </c>
      <c r="K91" s="437"/>
      <c r="L91" s="255">
        <v>21327500</v>
      </c>
      <c r="M91" s="255"/>
      <c r="N91" s="258">
        <v>24765000</v>
      </c>
      <c r="O91" s="255"/>
      <c r="P91" s="258">
        <v>0</v>
      </c>
      <c r="Q91" s="258"/>
      <c r="R91" s="258">
        <v>0</v>
      </c>
      <c r="S91" s="258"/>
      <c r="T91" s="258">
        <v>0</v>
      </c>
      <c r="U91" s="258"/>
      <c r="V91" s="258">
        <v>435000</v>
      </c>
      <c r="W91" s="465"/>
      <c r="X91" s="258"/>
      <c r="Y91" s="258"/>
      <c r="Z91" s="258">
        <f>PL!D92</f>
        <v>0</v>
      </c>
      <c r="AA91" s="255"/>
      <c r="AB91" s="51">
        <f t="shared" ref="AB91:AB95" si="16">D91+F91+H91+J91+L91+N91+Z91+P91+R91+T91+V91+X91</f>
        <v>50077500</v>
      </c>
      <c r="AC91" s="317"/>
      <c r="AD91" s="410"/>
      <c r="AE91" s="110"/>
      <c r="AF91" s="110"/>
      <c r="AG91" s="110"/>
      <c r="AH91" s="110"/>
      <c r="AI91" s="110"/>
      <c r="AJ91" s="226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pans="1:46" ht="13.5" customHeight="1">
      <c r="A92" s="110"/>
      <c r="B92" s="15" t="s">
        <v>1226</v>
      </c>
      <c r="C92" s="390" t="s">
        <v>5357</v>
      </c>
      <c r="D92" s="255">
        <v>76390595</v>
      </c>
      <c r="E92" s="255"/>
      <c r="F92" s="255">
        <v>22900865</v>
      </c>
      <c r="G92" s="255"/>
      <c r="H92" s="255">
        <v>33327359</v>
      </c>
      <c r="I92" s="255"/>
      <c r="J92" s="255">
        <v>67237634</v>
      </c>
      <c r="K92" s="437"/>
      <c r="L92" s="255">
        <v>114982720</v>
      </c>
      <c r="M92" s="255"/>
      <c r="N92" s="258">
        <v>36508190</v>
      </c>
      <c r="O92" s="255"/>
      <c r="P92" s="258">
        <v>629456</v>
      </c>
      <c r="Q92" s="258"/>
      <c r="R92" s="258">
        <v>1727000</v>
      </c>
      <c r="S92" s="258"/>
      <c r="T92" s="258">
        <v>1042500</v>
      </c>
      <c r="U92" s="258"/>
      <c r="V92" s="258">
        <v>611000</v>
      </c>
      <c r="W92" s="465"/>
      <c r="X92" s="258">
        <v>646000</v>
      </c>
      <c r="Y92" s="258"/>
      <c r="Z92" s="258">
        <f>PL!D93</f>
        <v>2210267</v>
      </c>
      <c r="AA92" s="255"/>
      <c r="AB92" s="51">
        <f t="shared" si="16"/>
        <v>358213586</v>
      </c>
      <c r="AC92" s="317"/>
      <c r="AD92" s="410"/>
      <c r="AE92" s="110"/>
      <c r="AF92" s="110"/>
      <c r="AG92" s="110"/>
      <c r="AH92" s="110"/>
      <c r="AI92" s="110"/>
      <c r="AJ92" s="226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pans="1:46" ht="13.5" customHeight="1">
      <c r="A93" s="110"/>
      <c r="B93" s="15" t="s">
        <v>1608</v>
      </c>
      <c r="C93" s="390" t="s">
        <v>5358</v>
      </c>
      <c r="D93" s="255">
        <v>5214230</v>
      </c>
      <c r="E93" s="255"/>
      <c r="F93" s="255">
        <v>2937500</v>
      </c>
      <c r="G93" s="255"/>
      <c r="H93" s="255">
        <v>16119000</v>
      </c>
      <c r="I93" s="255"/>
      <c r="J93" s="255">
        <v>81245242</v>
      </c>
      <c r="K93" s="437"/>
      <c r="L93" s="255">
        <v>72043500</v>
      </c>
      <c r="M93" s="255"/>
      <c r="N93" s="258">
        <v>98138653</v>
      </c>
      <c r="O93" s="255"/>
      <c r="P93" s="258">
        <v>2000000</v>
      </c>
      <c r="Q93" s="258"/>
      <c r="R93" s="258">
        <v>683500</v>
      </c>
      <c r="S93" s="258"/>
      <c r="T93" s="258">
        <v>1373000</v>
      </c>
      <c r="U93" s="258"/>
      <c r="V93" s="258">
        <v>2301250</v>
      </c>
      <c r="W93" s="465"/>
      <c r="X93" s="258">
        <v>2448000</v>
      </c>
      <c r="Y93" s="258"/>
      <c r="Z93" s="258">
        <f>PL!D94</f>
        <v>18180000</v>
      </c>
      <c r="AA93" s="255"/>
      <c r="AB93" s="51">
        <f t="shared" si="16"/>
        <v>302683875</v>
      </c>
      <c r="AC93" s="317"/>
      <c r="AD93" s="410"/>
      <c r="AE93" s="110"/>
      <c r="AF93" s="110"/>
      <c r="AG93" s="110"/>
      <c r="AH93" s="110"/>
      <c r="AI93" s="110"/>
      <c r="AJ93" s="226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pans="1:46" ht="13.5" customHeight="1">
      <c r="A94" s="110"/>
      <c r="B94" s="15" t="s">
        <v>2612</v>
      </c>
      <c r="C94" s="340" t="s">
        <v>5359</v>
      </c>
      <c r="D94" s="255">
        <v>16365000</v>
      </c>
      <c r="E94" s="255"/>
      <c r="F94" s="255">
        <v>9895000</v>
      </c>
      <c r="G94" s="255"/>
      <c r="H94" s="255">
        <v>25500000</v>
      </c>
      <c r="I94" s="255"/>
      <c r="J94" s="255">
        <v>52453150</v>
      </c>
      <c r="K94" s="437"/>
      <c r="L94" s="255">
        <v>71584750</v>
      </c>
      <c r="M94" s="255"/>
      <c r="N94" s="258">
        <v>87668010</v>
      </c>
      <c r="O94" s="255"/>
      <c r="P94" s="258">
        <v>9717500</v>
      </c>
      <c r="Q94" s="258"/>
      <c r="R94" s="258">
        <v>12032760</v>
      </c>
      <c r="S94" s="258"/>
      <c r="T94" s="258">
        <v>12122130</v>
      </c>
      <c r="U94" s="258"/>
      <c r="V94" s="258">
        <v>4545670</v>
      </c>
      <c r="W94" s="465"/>
      <c r="X94" s="258">
        <v>6871000</v>
      </c>
      <c r="Y94" s="258"/>
      <c r="Z94" s="258">
        <f>PL!D95</f>
        <v>7774010</v>
      </c>
      <c r="AA94" s="255"/>
      <c r="AB94" s="51">
        <f t="shared" si="16"/>
        <v>316528980</v>
      </c>
      <c r="AC94" s="317"/>
      <c r="AD94" s="410"/>
      <c r="AE94" s="110"/>
      <c r="AF94" s="110"/>
      <c r="AG94" s="110"/>
      <c r="AH94" s="110"/>
      <c r="AI94" s="110"/>
      <c r="AJ94" s="226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pans="1:46" ht="13.5" customHeight="1">
      <c r="A95" s="110"/>
      <c r="B95" s="15" t="s">
        <v>3140</v>
      </c>
      <c r="C95" s="340" t="s">
        <v>5360</v>
      </c>
      <c r="D95" s="255">
        <v>10342000</v>
      </c>
      <c r="E95" s="255"/>
      <c r="F95" s="255">
        <v>1697300</v>
      </c>
      <c r="G95" s="255"/>
      <c r="H95" s="255">
        <v>5334000</v>
      </c>
      <c r="I95" s="255"/>
      <c r="J95" s="255">
        <v>15249500</v>
      </c>
      <c r="K95" s="437"/>
      <c r="L95" s="255">
        <v>14550000</v>
      </c>
      <c r="M95" s="255"/>
      <c r="N95" s="258">
        <v>14400000</v>
      </c>
      <c r="O95" s="255"/>
      <c r="P95" s="258">
        <v>1200000</v>
      </c>
      <c r="Q95" s="258"/>
      <c r="R95" s="258">
        <v>1200000</v>
      </c>
      <c r="S95" s="258"/>
      <c r="T95" s="258">
        <v>1200000</v>
      </c>
      <c r="U95" s="258"/>
      <c r="V95" s="258">
        <v>1200000</v>
      </c>
      <c r="W95" s="465"/>
      <c r="X95" s="258">
        <v>1200000</v>
      </c>
      <c r="Y95" s="258"/>
      <c r="Z95" s="258">
        <f>PL!D96</f>
        <v>1200000</v>
      </c>
      <c r="AA95" s="255"/>
      <c r="AB95" s="51">
        <f t="shared" si="16"/>
        <v>68772800</v>
      </c>
      <c r="AC95" s="317"/>
      <c r="AD95" s="410"/>
      <c r="AE95" s="110"/>
      <c r="AF95" s="110"/>
      <c r="AG95" s="110"/>
      <c r="AH95" s="110"/>
      <c r="AI95" s="110"/>
      <c r="AJ95" s="226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pans="1:46" ht="13.5" customHeight="1">
      <c r="A96" s="351"/>
      <c r="B96" s="127" t="s">
        <v>5361</v>
      </c>
      <c r="C96" s="22" t="s">
        <v>5362</v>
      </c>
      <c r="D96" s="317">
        <f>SUM(D91:D95)</f>
        <v>108311825</v>
      </c>
      <c r="E96" s="439">
        <f>D96/D16</f>
        <v>1.4121750297003481E-2</v>
      </c>
      <c r="F96" s="317">
        <f>SUM(F91:F95)</f>
        <v>39580665</v>
      </c>
      <c r="G96" s="439">
        <f>F96/F16</f>
        <v>1.0528262459123527E-2</v>
      </c>
      <c r="H96" s="317">
        <f>SUM(H91:H95)</f>
        <v>80280359</v>
      </c>
      <c r="I96" s="439">
        <f>H96/H16</f>
        <v>4.2709411989724968E-3</v>
      </c>
      <c r="J96" s="317">
        <f>SUM(J91:J95)</f>
        <v>217585526</v>
      </c>
      <c r="K96" s="439">
        <f>J96/J16</f>
        <v>8.0062197591378049E-3</v>
      </c>
      <c r="L96" s="317">
        <f>SUM(L91:L95)</f>
        <v>294488470</v>
      </c>
      <c r="M96" s="439">
        <f>L96/L16</f>
        <v>9.0851376649536807E-3</v>
      </c>
      <c r="N96" s="317">
        <f>SUM(N91:N95)</f>
        <v>261479853</v>
      </c>
      <c r="O96" s="439">
        <f>N96/N16</f>
        <v>8.5067988631028178E-3</v>
      </c>
      <c r="P96" s="317">
        <f>SUM(P91:P95)</f>
        <v>13546956</v>
      </c>
      <c r="Q96" s="439">
        <v>5.9531141403868287E-3</v>
      </c>
      <c r="R96" s="317">
        <v>15643260</v>
      </c>
      <c r="S96" s="439">
        <v>9.5483954595861741E-3</v>
      </c>
      <c r="T96" s="317">
        <f>SUM(T91:T95)</f>
        <v>15737630</v>
      </c>
      <c r="U96" s="439">
        <v>8.9035958311893173E-3</v>
      </c>
      <c r="V96" s="471">
        <f>SUM(V91:V95)</f>
        <v>9092920</v>
      </c>
      <c r="W96" s="465">
        <v>0</v>
      </c>
      <c r="X96" s="317">
        <f>SUM(X91:X95)</f>
        <v>11165000</v>
      </c>
      <c r="Y96" s="465">
        <v>0</v>
      </c>
      <c r="Z96" s="317">
        <f>SUM(Z91:Z95)</f>
        <v>29364277</v>
      </c>
      <c r="AA96" s="439">
        <f>Z96/Z16</f>
        <v>1.4865695891004491E-2</v>
      </c>
      <c r="AB96" s="317">
        <f>SUM(AB91:AB95)</f>
        <v>1096276741</v>
      </c>
      <c r="AC96" s="439">
        <f>AB96/AB16</f>
        <v>8.2857261114003249E-3</v>
      </c>
      <c r="AD96" s="410"/>
      <c r="AE96" s="110"/>
      <c r="AF96" s="110"/>
      <c r="AG96" s="110"/>
      <c r="AH96" s="110"/>
      <c r="AI96" s="110"/>
      <c r="AJ96" s="226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pans="1:46" ht="13.5" customHeight="1">
      <c r="A97" s="110"/>
      <c r="B97" s="15"/>
      <c r="C97" s="340"/>
      <c r="D97" s="255"/>
      <c r="E97" s="255"/>
      <c r="F97" s="255"/>
      <c r="G97" s="255"/>
      <c r="H97" s="255"/>
      <c r="I97" s="255"/>
      <c r="J97" s="255"/>
      <c r="K97" s="437"/>
      <c r="L97" s="255"/>
      <c r="M97" s="255"/>
      <c r="N97" s="258"/>
      <c r="O97" s="51"/>
      <c r="P97" s="51"/>
      <c r="Q97" s="51"/>
      <c r="R97" s="51"/>
      <c r="S97" s="51"/>
      <c r="T97" s="51"/>
      <c r="U97" s="51"/>
      <c r="V97" s="258"/>
      <c r="W97" s="465"/>
      <c r="X97" s="51"/>
      <c r="Y97" s="51"/>
      <c r="Z97" s="51">
        <f>PL!D98</f>
        <v>0</v>
      </c>
      <c r="AA97" s="51"/>
      <c r="AB97" s="51"/>
      <c r="AC97" s="317"/>
      <c r="AD97" s="410"/>
      <c r="AE97" s="110"/>
      <c r="AF97" s="110"/>
      <c r="AG97" s="110"/>
      <c r="AH97" s="110"/>
      <c r="AI97" s="110"/>
      <c r="AJ97" s="226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pans="1:46" ht="13.5" customHeight="1">
      <c r="A98" s="110"/>
      <c r="B98" s="422" t="s">
        <v>5363</v>
      </c>
      <c r="C98" s="22" t="s">
        <v>5364</v>
      </c>
      <c r="D98" s="255"/>
      <c r="E98" s="255"/>
      <c r="F98" s="255"/>
      <c r="G98" s="255"/>
      <c r="H98" s="255"/>
      <c r="I98" s="255"/>
      <c r="J98" s="255"/>
      <c r="K98" s="437"/>
      <c r="L98" s="255"/>
      <c r="M98" s="255"/>
      <c r="N98" s="258"/>
      <c r="O98" s="51"/>
      <c r="P98" s="51"/>
      <c r="Q98" s="51"/>
      <c r="R98" s="51"/>
      <c r="S98" s="51"/>
      <c r="T98" s="51"/>
      <c r="U98" s="51"/>
      <c r="V98" s="258"/>
      <c r="W98" s="465"/>
      <c r="X98" s="51"/>
      <c r="Y98" s="51"/>
      <c r="Z98" s="51">
        <f>PL!D99</f>
        <v>0</v>
      </c>
      <c r="AA98" s="51"/>
      <c r="AB98" s="51"/>
      <c r="AC98" s="317"/>
      <c r="AD98" s="410"/>
      <c r="AE98" s="110"/>
      <c r="AF98" s="110"/>
      <c r="AG98" s="110"/>
      <c r="AH98" s="110"/>
      <c r="AI98" s="110"/>
      <c r="AJ98" s="226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pans="1:46" ht="13.5" customHeight="1">
      <c r="A99" s="110"/>
      <c r="B99" s="15" t="s">
        <v>5365</v>
      </c>
      <c r="C99" s="340" t="s">
        <v>5366</v>
      </c>
      <c r="D99" s="255">
        <v>14270000</v>
      </c>
      <c r="E99" s="255"/>
      <c r="F99" s="255">
        <v>9650000</v>
      </c>
      <c r="G99" s="255"/>
      <c r="H99" s="255">
        <v>9400000</v>
      </c>
      <c r="I99" s="255"/>
      <c r="J99" s="255">
        <v>1400000</v>
      </c>
      <c r="K99" s="437"/>
      <c r="L99" s="255">
        <v>0</v>
      </c>
      <c r="M99" s="255"/>
      <c r="N99" s="258">
        <v>0</v>
      </c>
      <c r="O99" s="51"/>
      <c r="P99" s="258">
        <v>0</v>
      </c>
      <c r="Q99" s="258"/>
      <c r="R99" s="258">
        <v>0</v>
      </c>
      <c r="S99" s="258"/>
      <c r="T99" s="258">
        <v>0</v>
      </c>
      <c r="U99" s="258"/>
      <c r="V99" s="258"/>
      <c r="W99" s="465"/>
      <c r="X99" s="258"/>
      <c r="Y99" s="258"/>
      <c r="Z99" s="258">
        <f>PL!D100</f>
        <v>0</v>
      </c>
      <c r="AA99" s="51"/>
      <c r="AB99" s="51">
        <f t="shared" ref="AB99:AB105" si="17">D99+F99+H99+J99+L99+N99+Z99+P99+R99+T99+V99+X99</f>
        <v>34720000</v>
      </c>
      <c r="AC99" s="317"/>
      <c r="AD99" s="410"/>
      <c r="AE99" s="110"/>
      <c r="AF99" s="110"/>
      <c r="AG99" s="110"/>
      <c r="AH99" s="110"/>
      <c r="AI99" s="110"/>
      <c r="AJ99" s="226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spans="1:46" ht="13.5" customHeight="1">
      <c r="A100" s="110"/>
      <c r="B100" s="15" t="s">
        <v>3777</v>
      </c>
      <c r="C100" s="340" t="s">
        <v>5367</v>
      </c>
      <c r="D100" s="255">
        <v>5417000</v>
      </c>
      <c r="E100" s="255"/>
      <c r="F100" s="255">
        <v>5900000</v>
      </c>
      <c r="G100" s="255"/>
      <c r="H100" s="255">
        <v>34479430</v>
      </c>
      <c r="I100" s="255"/>
      <c r="J100" s="255">
        <v>13874795</v>
      </c>
      <c r="K100" s="437"/>
      <c r="L100" s="255">
        <v>44470000</v>
      </c>
      <c r="M100" s="255"/>
      <c r="N100" s="258">
        <v>23205000</v>
      </c>
      <c r="O100" s="51"/>
      <c r="P100" s="258">
        <v>0</v>
      </c>
      <c r="Q100" s="258"/>
      <c r="R100" s="258">
        <v>0</v>
      </c>
      <c r="S100" s="258"/>
      <c r="T100" s="258">
        <v>13600000</v>
      </c>
      <c r="U100" s="258"/>
      <c r="V100" s="258"/>
      <c r="W100" s="465"/>
      <c r="X100" s="258"/>
      <c r="Y100" s="258"/>
      <c r="Z100" s="258">
        <f>PL!D101</f>
        <v>1998000</v>
      </c>
      <c r="AA100" s="51"/>
      <c r="AB100" s="51">
        <f t="shared" si="17"/>
        <v>142944225</v>
      </c>
      <c r="AC100" s="317"/>
      <c r="AD100" s="410"/>
      <c r="AE100" s="110"/>
      <c r="AF100" s="110"/>
      <c r="AG100" s="110"/>
      <c r="AH100" s="110"/>
      <c r="AI100" s="110"/>
      <c r="AJ100" s="226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pans="1:46" ht="13.5" customHeight="1">
      <c r="A101" s="110"/>
      <c r="B101" s="15" t="s">
        <v>5368</v>
      </c>
      <c r="C101" s="340" t="s">
        <v>5369</v>
      </c>
      <c r="D101" s="255">
        <v>22250000</v>
      </c>
      <c r="E101" s="255"/>
      <c r="F101" s="255">
        <v>3470000</v>
      </c>
      <c r="G101" s="255"/>
      <c r="H101" s="255">
        <v>7000000</v>
      </c>
      <c r="I101" s="255"/>
      <c r="J101" s="255">
        <v>9800000</v>
      </c>
      <c r="K101" s="437"/>
      <c r="L101" s="255">
        <v>19500000</v>
      </c>
      <c r="M101" s="255"/>
      <c r="N101" s="258">
        <v>2220000</v>
      </c>
      <c r="O101" s="51"/>
      <c r="P101" s="258">
        <v>0</v>
      </c>
      <c r="Q101" s="258"/>
      <c r="R101" s="258">
        <v>0</v>
      </c>
      <c r="S101" s="258"/>
      <c r="T101" s="258">
        <v>0</v>
      </c>
      <c r="U101" s="258"/>
      <c r="V101" s="258"/>
      <c r="W101" s="465"/>
      <c r="X101" s="258"/>
      <c r="Y101" s="258"/>
      <c r="Z101" s="258">
        <f>PL!D102</f>
        <v>0</v>
      </c>
      <c r="AA101" s="51"/>
      <c r="AB101" s="51">
        <f t="shared" si="17"/>
        <v>64240000</v>
      </c>
      <c r="AC101" s="317"/>
      <c r="AD101" s="410"/>
      <c r="AE101" s="110"/>
      <c r="AF101" s="110"/>
      <c r="AG101" s="110"/>
      <c r="AH101" s="110"/>
      <c r="AI101" s="110"/>
      <c r="AJ101" s="226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pans="1:46" ht="13.5" customHeight="1">
      <c r="A102" s="110"/>
      <c r="B102" s="15" t="s">
        <v>5370</v>
      </c>
      <c r="C102" s="340" t="s">
        <v>5371</v>
      </c>
      <c r="D102" s="255">
        <v>0</v>
      </c>
      <c r="E102" s="255"/>
      <c r="F102" s="255">
        <v>0</v>
      </c>
      <c r="G102" s="255"/>
      <c r="H102" s="255">
        <v>0</v>
      </c>
      <c r="I102" s="255"/>
      <c r="J102" s="255">
        <v>0</v>
      </c>
      <c r="K102" s="437"/>
      <c r="L102" s="255">
        <v>0</v>
      </c>
      <c r="M102" s="255"/>
      <c r="N102" s="258">
        <v>0</v>
      </c>
      <c r="O102" s="51"/>
      <c r="P102" s="258">
        <v>0</v>
      </c>
      <c r="Q102" s="258"/>
      <c r="R102" s="258">
        <v>0</v>
      </c>
      <c r="S102" s="258"/>
      <c r="T102" s="258">
        <v>0</v>
      </c>
      <c r="U102" s="258"/>
      <c r="V102" s="258"/>
      <c r="W102" s="465"/>
      <c r="X102" s="258"/>
      <c r="Y102" s="258"/>
      <c r="Z102" s="258">
        <f>PL!D103</f>
        <v>0</v>
      </c>
      <c r="AA102" s="51"/>
      <c r="AB102" s="51">
        <f t="shared" si="17"/>
        <v>0</v>
      </c>
      <c r="AC102" s="317"/>
      <c r="AD102" s="410"/>
      <c r="AE102" s="110"/>
      <c r="AF102" s="110"/>
      <c r="AG102" s="110"/>
      <c r="AH102" s="110"/>
      <c r="AI102" s="110"/>
      <c r="AJ102" s="226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ht="13.5" customHeight="1">
      <c r="A103" s="110"/>
      <c r="B103" s="15" t="s">
        <v>801</v>
      </c>
      <c r="C103" s="340" t="s">
        <v>5372</v>
      </c>
      <c r="D103" s="255">
        <v>7200000</v>
      </c>
      <c r="E103" s="255"/>
      <c r="F103" s="255">
        <v>1900000</v>
      </c>
      <c r="G103" s="255"/>
      <c r="H103" s="255">
        <v>12550000</v>
      </c>
      <c r="I103" s="255"/>
      <c r="J103" s="255">
        <v>18765000</v>
      </c>
      <c r="K103" s="437"/>
      <c r="L103" s="255">
        <v>35590000</v>
      </c>
      <c r="M103" s="255"/>
      <c r="N103" s="258">
        <v>27205000</v>
      </c>
      <c r="O103" s="51"/>
      <c r="P103" s="258">
        <v>0</v>
      </c>
      <c r="Q103" s="258"/>
      <c r="R103" s="258">
        <v>0</v>
      </c>
      <c r="S103" s="258"/>
      <c r="T103" s="258">
        <v>2000000</v>
      </c>
      <c r="U103" s="258"/>
      <c r="V103" s="258"/>
      <c r="W103" s="465"/>
      <c r="X103" s="258"/>
      <c r="Y103" s="258"/>
      <c r="Z103" s="258">
        <f>PL!D104</f>
        <v>2810000</v>
      </c>
      <c r="AA103" s="51"/>
      <c r="AB103" s="51">
        <f t="shared" si="17"/>
        <v>108020000</v>
      </c>
      <c r="AC103" s="317"/>
      <c r="AD103" s="410"/>
      <c r="AE103" s="110"/>
      <c r="AF103" s="110"/>
      <c r="AG103" s="110"/>
      <c r="AH103" s="110"/>
      <c r="AI103" s="110"/>
      <c r="AJ103" s="226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1:46" ht="13.5" customHeight="1">
      <c r="A104" s="110"/>
      <c r="B104" s="15" t="s">
        <v>5373</v>
      </c>
      <c r="C104" s="340" t="s">
        <v>5374</v>
      </c>
      <c r="D104" s="255">
        <v>8000000</v>
      </c>
      <c r="E104" s="255"/>
      <c r="F104" s="255">
        <v>0</v>
      </c>
      <c r="G104" s="255"/>
      <c r="H104" s="255">
        <v>1800000</v>
      </c>
      <c r="I104" s="255"/>
      <c r="J104" s="255">
        <v>0</v>
      </c>
      <c r="K104" s="437"/>
      <c r="L104" s="255">
        <v>0</v>
      </c>
      <c r="M104" s="255"/>
      <c r="N104" s="258">
        <v>80000</v>
      </c>
      <c r="O104" s="51"/>
      <c r="P104" s="258">
        <v>0</v>
      </c>
      <c r="Q104" s="258"/>
      <c r="R104" s="258">
        <v>0</v>
      </c>
      <c r="S104" s="258"/>
      <c r="T104" s="258">
        <v>0</v>
      </c>
      <c r="U104" s="258"/>
      <c r="V104" s="258"/>
      <c r="W104" s="465"/>
      <c r="X104" s="258"/>
      <c r="Y104" s="258"/>
      <c r="Z104" s="258">
        <f>PL!D105</f>
        <v>0</v>
      </c>
      <c r="AA104" s="51"/>
      <c r="AB104" s="51">
        <f t="shared" si="17"/>
        <v>9880000</v>
      </c>
      <c r="AC104" s="317"/>
      <c r="AD104" s="410"/>
      <c r="AE104" s="110"/>
      <c r="AF104" s="110"/>
      <c r="AG104" s="110"/>
      <c r="AH104" s="110"/>
      <c r="AI104" s="110"/>
      <c r="AJ104" s="226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pans="1:46" ht="13.5" customHeight="1">
      <c r="A105" s="110"/>
      <c r="B105" s="15" t="s">
        <v>5375</v>
      </c>
      <c r="C105" s="340" t="s">
        <v>5376</v>
      </c>
      <c r="D105" s="255">
        <v>0</v>
      </c>
      <c r="E105" s="255"/>
      <c r="F105" s="255">
        <v>0</v>
      </c>
      <c r="G105" s="255"/>
      <c r="H105" s="255">
        <v>0</v>
      </c>
      <c r="I105" s="255"/>
      <c r="J105" s="255">
        <v>0</v>
      </c>
      <c r="K105" s="437"/>
      <c r="L105" s="255">
        <v>0</v>
      </c>
      <c r="M105" s="255"/>
      <c r="N105" s="258">
        <v>0</v>
      </c>
      <c r="O105" s="51"/>
      <c r="P105" s="258">
        <v>0</v>
      </c>
      <c r="Q105" s="258"/>
      <c r="R105" s="258">
        <v>0</v>
      </c>
      <c r="S105" s="258"/>
      <c r="T105" s="258">
        <v>0</v>
      </c>
      <c r="U105" s="258"/>
      <c r="V105" s="258"/>
      <c r="W105" s="465"/>
      <c r="X105" s="258"/>
      <c r="Y105" s="258"/>
      <c r="Z105" s="258">
        <f>PL!D106</f>
        <v>0</v>
      </c>
      <c r="AA105" s="51"/>
      <c r="AB105" s="51">
        <f t="shared" si="17"/>
        <v>0</v>
      </c>
      <c r="AC105" s="317"/>
      <c r="AD105" s="410"/>
      <c r="AE105" s="110"/>
      <c r="AF105" s="110"/>
      <c r="AG105" s="110"/>
      <c r="AH105" s="110"/>
      <c r="AI105" s="110"/>
      <c r="AJ105" s="226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pans="1:46" ht="13.5" customHeight="1">
      <c r="A106" s="110"/>
      <c r="B106" s="422" t="s">
        <v>5377</v>
      </c>
      <c r="C106" s="22" t="s">
        <v>5378</v>
      </c>
      <c r="D106" s="317">
        <f>SUM(D99:D105)</f>
        <v>57137000</v>
      </c>
      <c r="E106" s="439">
        <f>D106/D16</f>
        <v>7.4495508382384648E-3</v>
      </c>
      <c r="F106" s="317">
        <f>SUM(F99:F105)</f>
        <v>20920000</v>
      </c>
      <c r="G106" s="439">
        <f>F106/F16</f>
        <v>5.5646172353310437E-3</v>
      </c>
      <c r="H106" s="317">
        <f>SUM(H99:H105)</f>
        <v>65229430</v>
      </c>
      <c r="I106" s="439">
        <f>H106/H16</f>
        <v>3.4702268829227903E-3</v>
      </c>
      <c r="J106" s="317">
        <f>SUM(J99:J105)</f>
        <v>43839795</v>
      </c>
      <c r="K106" s="439">
        <f>J106/J16</f>
        <v>1.6131175607956144E-3</v>
      </c>
      <c r="L106" s="317">
        <f>SUM(L99:L105)</f>
        <v>99560000</v>
      </c>
      <c r="M106" s="439">
        <f>L106/L16</f>
        <v>3.0714829206141365E-3</v>
      </c>
      <c r="N106" s="317">
        <f>SUM(N99:N105)</f>
        <v>52710000</v>
      </c>
      <c r="O106" s="439">
        <f>N106/N16</f>
        <v>1.7148295095383488E-3</v>
      </c>
      <c r="P106" s="317">
        <f>SUM(P99:P105)</f>
        <v>0</v>
      </c>
      <c r="Q106" s="439">
        <v>0</v>
      </c>
      <c r="R106" s="317">
        <v>0</v>
      </c>
      <c r="S106" s="439">
        <v>0</v>
      </c>
      <c r="T106" s="317">
        <f>SUM(T99:T105)</f>
        <v>15600000</v>
      </c>
      <c r="U106" s="439">
        <v>8.8257313818251755E-3</v>
      </c>
      <c r="V106" s="317">
        <f>SUM(V99:V105)</f>
        <v>0</v>
      </c>
      <c r="W106" s="465">
        <v>0</v>
      </c>
      <c r="X106" s="317">
        <f>SUM(X99:X105)</f>
        <v>0</v>
      </c>
      <c r="Y106" s="465">
        <v>0</v>
      </c>
      <c r="Z106" s="317">
        <f>SUM(Z99:Z105)</f>
        <v>4808000</v>
      </c>
      <c r="AA106" s="439">
        <f>Z106/Z16</f>
        <v>2.4340550201167764E-3</v>
      </c>
      <c r="AB106" s="317">
        <f>SUM(AB99:AB105)</f>
        <v>359804225</v>
      </c>
      <c r="AC106" s="439">
        <f>AB106/AB16</f>
        <v>2.7194221591851299E-3</v>
      </c>
      <c r="AD106" s="410"/>
      <c r="AE106" s="110"/>
      <c r="AF106" s="110"/>
      <c r="AG106" s="110"/>
      <c r="AH106" s="110"/>
      <c r="AI106" s="110"/>
      <c r="AJ106" s="226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pans="1:46" ht="13.5" customHeight="1">
      <c r="A107" s="110"/>
      <c r="B107" s="15"/>
      <c r="C107" s="340"/>
      <c r="D107" s="255"/>
      <c r="E107" s="255"/>
      <c r="F107" s="255"/>
      <c r="G107" s="255"/>
      <c r="H107" s="255"/>
      <c r="I107" s="255"/>
      <c r="J107" s="255"/>
      <c r="K107" s="437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465"/>
      <c r="X107" s="258"/>
      <c r="Y107" s="258"/>
      <c r="Z107" s="255"/>
      <c r="AA107" s="255"/>
      <c r="AB107" s="255"/>
      <c r="AC107" s="317"/>
      <c r="AD107" s="410"/>
      <c r="AE107" s="110"/>
      <c r="AF107" s="110"/>
      <c r="AG107" s="110"/>
      <c r="AH107" s="110"/>
      <c r="AI107" s="330"/>
      <c r="AJ107" s="226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pans="1:46" ht="13.5" customHeight="1">
      <c r="A108" s="110"/>
      <c r="B108" s="15"/>
      <c r="C108" s="22" t="s">
        <v>5379</v>
      </c>
      <c r="D108" s="317">
        <f>D16-D28-D43-D51-D73-D88-D96-D106</f>
        <v>-570433316.95040011</v>
      </c>
      <c r="E108" s="439">
        <f>D108/D16</f>
        <v>-7.4373383174597921E-2</v>
      </c>
      <c r="F108" s="317">
        <f>F16-F28-F43-F51-F73-F88-F96-F106</f>
        <v>-1925944325.6479716</v>
      </c>
      <c r="G108" s="439">
        <f>F108/F16</f>
        <v>-0.51229172986561788</v>
      </c>
      <c r="H108" s="317">
        <f>H16-H28-H43-H51-H73-H88-H96-H106</f>
        <v>4881527599.9187899</v>
      </c>
      <c r="I108" s="439">
        <f>H108/H16</f>
        <v>0.25969885536279791</v>
      </c>
      <c r="J108" s="317">
        <f>J16-J28-J43-J51-J73-J88-J96-J106</f>
        <v>6556664578.7761497</v>
      </c>
      <c r="K108" s="439">
        <f>J108/J16</f>
        <v>0.2412573045168297</v>
      </c>
      <c r="L108" s="317">
        <f>L16-L28-L43-L51-L73-L88-L96-L106</f>
        <v>8001652801.4399471</v>
      </c>
      <c r="M108" s="439">
        <f>L108/L16</f>
        <v>0.24685556364310021</v>
      </c>
      <c r="N108" s="317">
        <f>N16-N28-N43-N51-N73-N88-N96-N106</f>
        <v>6739723247.6970339</v>
      </c>
      <c r="O108" s="439">
        <f>N108/N16</f>
        <v>0.21926534455079702</v>
      </c>
      <c r="P108" s="317">
        <f>P16-P28-P43-P51-P73-P88-P96-P106</f>
        <v>345712245.81494808</v>
      </c>
      <c r="Q108" s="439">
        <v>0.15192080487054468</v>
      </c>
      <c r="R108" s="317">
        <v>-150484502.83555174</v>
      </c>
      <c r="S108" s="439">
        <v>-9.1853331314129219E-2</v>
      </c>
      <c r="T108" s="317">
        <f>T16-T28-T43-T51-T73-T88-T96-T106</f>
        <v>-28041732.486769199</v>
      </c>
      <c r="U108" s="439">
        <v>-1.586466656469394E-2</v>
      </c>
      <c r="V108" s="317">
        <f>V16-V28-V43-V51-V73-V88-V96-V106</f>
        <v>96805145</v>
      </c>
      <c r="W108" s="465">
        <v>0.05</v>
      </c>
      <c r="X108" s="317">
        <f>X16-X28-X43-X51-X73-X88-X96-X106</f>
        <v>262534522</v>
      </c>
      <c r="Y108" s="465">
        <v>0.12</v>
      </c>
      <c r="Z108" s="317">
        <f>Z16-Z28-Z43-Z51-Z73-Z88-Z96-Z106</f>
        <v>117298718.21884966</v>
      </c>
      <c r="AA108" s="439">
        <f>Z108/Z16</f>
        <v>5.9382598571933065E-2</v>
      </c>
      <c r="AB108" s="317">
        <f>AB16-AB28-AB43-AB51-AB73-AB88-AB96-AB106</f>
        <v>24327014980.945061</v>
      </c>
      <c r="AC108" s="439">
        <f>AB108/AB16</f>
        <v>0.18386505496429514</v>
      </c>
      <c r="AD108" s="410"/>
      <c r="AE108" s="110"/>
      <c r="AF108" s="110"/>
      <c r="AG108" s="110"/>
      <c r="AH108" s="110"/>
      <c r="AI108" s="110"/>
      <c r="AJ108" s="226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pans="1:46" ht="13.5" customHeight="1">
      <c r="A109" s="110"/>
      <c r="B109" s="15"/>
      <c r="C109" s="340"/>
      <c r="D109" s="255"/>
      <c r="E109" s="255"/>
      <c r="F109" s="255"/>
      <c r="G109" s="255"/>
      <c r="H109" s="255"/>
      <c r="I109" s="255"/>
      <c r="J109" s="255"/>
      <c r="K109" s="437"/>
      <c r="L109" s="255"/>
      <c r="M109" s="255"/>
      <c r="N109" s="258"/>
      <c r="O109" s="51"/>
      <c r="P109" s="51"/>
      <c r="Q109" s="51"/>
      <c r="R109" s="51"/>
      <c r="S109" s="51"/>
      <c r="T109" s="51"/>
      <c r="U109" s="51"/>
      <c r="V109" s="258"/>
      <c r="W109" s="465"/>
      <c r="X109" s="51"/>
      <c r="Y109" s="51"/>
      <c r="Z109" s="51">
        <f>PL!D110</f>
        <v>0</v>
      </c>
      <c r="AA109" s="51"/>
      <c r="AB109" s="51"/>
      <c r="AC109" s="317"/>
      <c r="AD109" s="410"/>
      <c r="AE109" s="110"/>
      <c r="AF109" s="110"/>
      <c r="AG109" s="110"/>
      <c r="AH109" s="110"/>
      <c r="AI109" s="110"/>
      <c r="AJ109" s="226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spans="1:46" ht="13.5" customHeight="1">
      <c r="A110" s="351"/>
      <c r="B110" s="127" t="s">
        <v>5380</v>
      </c>
      <c r="C110" s="418" t="s">
        <v>5381</v>
      </c>
      <c r="D110" s="255"/>
      <c r="E110" s="255"/>
      <c r="F110" s="255"/>
      <c r="G110" s="255"/>
      <c r="H110" s="255"/>
      <c r="I110" s="255"/>
      <c r="J110" s="255"/>
      <c r="K110" s="437"/>
      <c r="L110" s="255"/>
      <c r="M110" s="255"/>
      <c r="N110" s="258"/>
      <c r="O110" s="51"/>
      <c r="P110" s="51"/>
      <c r="Q110" s="51"/>
      <c r="R110" s="51"/>
      <c r="S110" s="51"/>
      <c r="T110" s="51"/>
      <c r="U110" s="51"/>
      <c r="V110" s="258"/>
      <c r="W110" s="465"/>
      <c r="X110" s="51"/>
      <c r="Y110" s="51"/>
      <c r="Z110" s="51">
        <f>PL!D111</f>
        <v>0</v>
      </c>
      <c r="AA110" s="51"/>
      <c r="AB110" s="51"/>
      <c r="AC110" s="317"/>
      <c r="AD110" s="410"/>
      <c r="AE110" s="110"/>
      <c r="AF110" s="110"/>
      <c r="AG110" s="110"/>
      <c r="AH110" s="110"/>
      <c r="AI110" s="110"/>
      <c r="AJ110" s="226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spans="1:46" ht="13.5" customHeight="1">
      <c r="A111" s="110"/>
      <c r="B111" s="15" t="s">
        <v>3581</v>
      </c>
      <c r="C111" s="340" t="s">
        <v>3582</v>
      </c>
      <c r="D111" s="255">
        <v>0</v>
      </c>
      <c r="E111" s="255"/>
      <c r="F111" s="255">
        <v>0</v>
      </c>
      <c r="G111" s="255"/>
      <c r="H111" s="255">
        <v>0</v>
      </c>
      <c r="I111" s="255"/>
      <c r="J111" s="255">
        <v>0</v>
      </c>
      <c r="K111" s="437"/>
      <c r="L111" s="255">
        <v>390000000</v>
      </c>
      <c r="M111" s="255"/>
      <c r="N111" s="258">
        <v>780250000</v>
      </c>
      <c r="O111" s="51"/>
      <c r="P111" s="258">
        <v>65000000</v>
      </c>
      <c r="Q111" s="258"/>
      <c r="R111" s="258">
        <v>65000000</v>
      </c>
      <c r="S111" s="258"/>
      <c r="T111" s="258">
        <v>65000000</v>
      </c>
      <c r="U111" s="258"/>
      <c r="V111" s="258">
        <v>65000000</v>
      </c>
      <c r="W111" s="465"/>
      <c r="X111" s="258">
        <v>65000000</v>
      </c>
      <c r="Y111" s="258"/>
      <c r="Z111" s="258">
        <f>PL!D112</f>
        <v>65000000</v>
      </c>
      <c r="AA111" s="51"/>
      <c r="AB111" s="51">
        <f t="shared" ref="AB111:AB118" si="18">D111+F111+H111+J111+L111+N111+Z111+P111+R111+T111+V111+X111</f>
        <v>1560250000</v>
      </c>
      <c r="AC111" s="317"/>
      <c r="AD111" s="410"/>
      <c r="AE111" s="110"/>
      <c r="AF111" s="110"/>
      <c r="AG111" s="110"/>
      <c r="AH111" s="110"/>
      <c r="AI111" s="110"/>
      <c r="AJ111" s="226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spans="1:46" ht="13.5" customHeight="1">
      <c r="A112" s="110"/>
      <c r="B112" s="15" t="s">
        <v>3584</v>
      </c>
      <c r="C112" s="340" t="s">
        <v>3585</v>
      </c>
      <c r="D112" s="255">
        <v>515890088.12083346</v>
      </c>
      <c r="E112" s="255"/>
      <c r="F112" s="255">
        <v>554079206.81666672</v>
      </c>
      <c r="G112" s="255"/>
      <c r="H112" s="255">
        <v>456320912.39166701</v>
      </c>
      <c r="I112" s="255"/>
      <c r="J112" s="255">
        <v>204262372</v>
      </c>
      <c r="K112" s="437"/>
      <c r="L112" s="255">
        <v>188983816</v>
      </c>
      <c r="M112" s="255"/>
      <c r="N112" s="258">
        <v>183815449.43749997</v>
      </c>
      <c r="O112" s="51"/>
      <c r="P112" s="258">
        <v>13601811.416666666</v>
      </c>
      <c r="Q112" s="258"/>
      <c r="R112" s="258">
        <v>13601811.416666666</v>
      </c>
      <c r="S112" s="258"/>
      <c r="T112" s="258">
        <v>13601811.416666666</v>
      </c>
      <c r="U112" s="258"/>
      <c r="V112" s="258">
        <v>13601811</v>
      </c>
      <c r="W112" s="465"/>
      <c r="X112" s="258">
        <v>12104623</v>
      </c>
      <c r="Y112" s="258"/>
      <c r="Z112" s="258">
        <f>PL!D113</f>
        <v>12104623.216666667</v>
      </c>
      <c r="AA112" s="51"/>
      <c r="AB112" s="51">
        <f t="shared" si="18"/>
        <v>2181968336.2333341</v>
      </c>
      <c r="AC112" s="317"/>
      <c r="AD112" s="410"/>
      <c r="AE112" s="110"/>
      <c r="AF112" s="110"/>
      <c r="AG112" s="110"/>
      <c r="AH112" s="110"/>
      <c r="AI112" s="110"/>
      <c r="AJ112" s="226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spans="1:46" ht="13.5" customHeight="1">
      <c r="A113" s="110"/>
      <c r="B113" s="178">
        <v>804782</v>
      </c>
      <c r="C113" s="340" t="s">
        <v>3587</v>
      </c>
      <c r="D113" s="255">
        <v>961330104.0775001</v>
      </c>
      <c r="E113" s="255"/>
      <c r="F113" s="255">
        <v>722937038.625</v>
      </c>
      <c r="G113" s="255"/>
      <c r="H113" s="255">
        <v>500109532.82499999</v>
      </c>
      <c r="I113" s="255"/>
      <c r="J113" s="255">
        <v>359535607</v>
      </c>
      <c r="K113" s="437"/>
      <c r="L113" s="255">
        <v>439973635</v>
      </c>
      <c r="M113" s="255"/>
      <c r="N113" s="258">
        <v>522689062.99999982</v>
      </c>
      <c r="O113" s="51"/>
      <c r="P113" s="258">
        <v>33608780.104166672</v>
      </c>
      <c r="Q113" s="258"/>
      <c r="R113" s="258">
        <v>33612425.937500007</v>
      </c>
      <c r="S113" s="258"/>
      <c r="T113" s="258">
        <v>33291592.604166672</v>
      </c>
      <c r="U113" s="258"/>
      <c r="V113" s="258">
        <v>33022020</v>
      </c>
      <c r="W113" s="465"/>
      <c r="X113" s="258">
        <v>33077535</v>
      </c>
      <c r="Y113" s="258"/>
      <c r="Z113" s="258">
        <f>PL!D114</f>
        <v>31561415.395833321</v>
      </c>
      <c r="AA113" s="51"/>
      <c r="AB113" s="51">
        <f t="shared" si="18"/>
        <v>3704748749.5691667</v>
      </c>
      <c r="AC113" s="317"/>
      <c r="AD113" s="410"/>
      <c r="AE113" s="110"/>
      <c r="AF113" s="110"/>
      <c r="AG113" s="110"/>
      <c r="AH113" s="110"/>
      <c r="AI113" s="110"/>
      <c r="AJ113" s="226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ht="13.5" customHeight="1">
      <c r="A114" s="110"/>
      <c r="B114" s="15" t="s">
        <v>3588</v>
      </c>
      <c r="C114" s="340" t="s">
        <v>3589</v>
      </c>
      <c r="D114" s="255">
        <v>172803825.41666672</v>
      </c>
      <c r="E114" s="255"/>
      <c r="F114" s="255">
        <v>138943886.25</v>
      </c>
      <c r="G114" s="255"/>
      <c r="H114" s="255">
        <v>89889710.5</v>
      </c>
      <c r="I114" s="255"/>
      <c r="J114" s="255">
        <v>97331267</v>
      </c>
      <c r="K114" s="437"/>
      <c r="L114" s="255">
        <v>98628418</v>
      </c>
      <c r="M114" s="255"/>
      <c r="N114" s="258">
        <v>103169350.9166667</v>
      </c>
      <c r="O114" s="51"/>
      <c r="P114" s="258">
        <v>7845607.4999999991</v>
      </c>
      <c r="Q114" s="258"/>
      <c r="R114" s="258">
        <v>7845607.4999999991</v>
      </c>
      <c r="S114" s="258"/>
      <c r="T114" s="258">
        <v>7845607.4999999991</v>
      </c>
      <c r="U114" s="258"/>
      <c r="V114" s="258">
        <v>7845608</v>
      </c>
      <c r="W114" s="465"/>
      <c r="X114" s="258">
        <v>7920608</v>
      </c>
      <c r="Y114" s="258"/>
      <c r="Z114" s="258">
        <f>PL!D115</f>
        <v>7885536.666666666</v>
      </c>
      <c r="AA114" s="51"/>
      <c r="AB114" s="51">
        <f t="shared" si="18"/>
        <v>747955033.25000012</v>
      </c>
      <c r="AC114" s="317"/>
      <c r="AD114" s="410"/>
      <c r="AE114" s="110"/>
      <c r="AF114" s="110"/>
      <c r="AG114" s="110"/>
      <c r="AH114" s="110"/>
      <c r="AI114" s="110"/>
      <c r="AJ114" s="226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spans="1:46" ht="13.5" customHeight="1">
      <c r="A115" s="110"/>
      <c r="B115" s="15" t="s">
        <v>5382</v>
      </c>
      <c r="C115" s="340" t="s">
        <v>5383</v>
      </c>
      <c r="D115" s="255">
        <v>14749999.999999994</v>
      </c>
      <c r="E115" s="255"/>
      <c r="F115" s="255">
        <v>12562499.999999996</v>
      </c>
      <c r="G115" s="255"/>
      <c r="H115" s="255">
        <v>7500001</v>
      </c>
      <c r="I115" s="255"/>
      <c r="J115" s="255">
        <v>0</v>
      </c>
      <c r="K115" s="437"/>
      <c r="L115" s="255">
        <v>0</v>
      </c>
      <c r="M115" s="255"/>
      <c r="N115" s="258">
        <v>0</v>
      </c>
      <c r="O115" s="51"/>
      <c r="P115" s="258">
        <v>0</v>
      </c>
      <c r="Q115" s="258"/>
      <c r="R115" s="258">
        <v>0</v>
      </c>
      <c r="S115" s="258"/>
      <c r="T115" s="258">
        <v>0</v>
      </c>
      <c r="U115" s="258"/>
      <c r="V115" s="258"/>
      <c r="W115" s="465"/>
      <c r="X115" s="258"/>
      <c r="Y115" s="258"/>
      <c r="Z115" s="258">
        <f>PL!D116</f>
        <v>0</v>
      </c>
      <c r="AA115" s="51"/>
      <c r="AB115" s="51">
        <f t="shared" si="18"/>
        <v>34812500.999999993</v>
      </c>
      <c r="AC115" s="317"/>
      <c r="AD115" s="410"/>
      <c r="AE115" s="110"/>
      <c r="AF115" s="110"/>
      <c r="AG115" s="110"/>
      <c r="AH115" s="110"/>
      <c r="AI115" s="110"/>
      <c r="AJ115" s="226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spans="1:46" ht="13.5" customHeight="1">
      <c r="A116" s="110"/>
      <c r="B116" s="15" t="s">
        <v>3590</v>
      </c>
      <c r="C116" s="340" t="s">
        <v>3591</v>
      </c>
      <c r="D116" s="255">
        <v>22800000</v>
      </c>
      <c r="E116" s="255"/>
      <c r="F116" s="255">
        <v>22800000</v>
      </c>
      <c r="G116" s="255"/>
      <c r="H116" s="255">
        <v>22800000</v>
      </c>
      <c r="I116" s="255"/>
      <c r="J116" s="255">
        <v>22800000</v>
      </c>
      <c r="K116" s="437"/>
      <c r="L116" s="255">
        <v>22800000</v>
      </c>
      <c r="M116" s="255"/>
      <c r="N116" s="258">
        <v>22800000</v>
      </c>
      <c r="O116" s="51"/>
      <c r="P116" s="258">
        <v>1900000</v>
      </c>
      <c r="Q116" s="258"/>
      <c r="R116" s="258">
        <v>1900000</v>
      </c>
      <c r="S116" s="258"/>
      <c r="T116" s="258">
        <v>1900000</v>
      </c>
      <c r="U116" s="258"/>
      <c r="V116" s="258">
        <v>1900000</v>
      </c>
      <c r="W116" s="465"/>
      <c r="X116" s="258">
        <v>1900000</v>
      </c>
      <c r="Y116" s="258"/>
      <c r="Z116" s="258">
        <f>PL!D117</f>
        <v>1900000</v>
      </c>
      <c r="AA116" s="51"/>
      <c r="AB116" s="51">
        <f t="shared" si="18"/>
        <v>148200000</v>
      </c>
      <c r="AC116" s="317"/>
      <c r="AD116" s="410"/>
      <c r="AE116" s="110"/>
      <c r="AF116" s="110"/>
      <c r="AG116" s="110"/>
      <c r="AH116" s="110"/>
      <c r="AI116" s="110"/>
      <c r="AJ116" s="226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spans="1:46" ht="13.5" customHeight="1">
      <c r="A117" s="110"/>
      <c r="B117" s="15" t="s">
        <v>3592</v>
      </c>
      <c r="C117" s="340" t="s">
        <v>3593</v>
      </c>
      <c r="D117" s="255">
        <v>49532500.000000007</v>
      </c>
      <c r="E117" s="255"/>
      <c r="F117" s="255">
        <v>49532500.000000007</v>
      </c>
      <c r="G117" s="255"/>
      <c r="H117" s="255">
        <v>28532498</v>
      </c>
      <c r="I117" s="255"/>
      <c r="J117" s="255">
        <v>7532496</v>
      </c>
      <c r="K117" s="437"/>
      <c r="L117" s="255">
        <v>7736678</v>
      </c>
      <c r="M117" s="255"/>
      <c r="N117" s="258">
        <v>7752387.1666666642</v>
      </c>
      <c r="O117" s="51"/>
      <c r="P117" s="258">
        <v>643414.58333333326</v>
      </c>
      <c r="Q117" s="258"/>
      <c r="R117" s="258">
        <v>643414.58333333326</v>
      </c>
      <c r="S117" s="258"/>
      <c r="T117" s="258">
        <v>643414.58333333326</v>
      </c>
      <c r="U117" s="258"/>
      <c r="V117" s="258">
        <v>643415</v>
      </c>
      <c r="W117" s="465"/>
      <c r="X117" s="258">
        <v>643415</v>
      </c>
      <c r="Y117" s="258"/>
      <c r="Z117" s="258">
        <f>PL!D118</f>
        <v>643414.58333333326</v>
      </c>
      <c r="AA117" s="51"/>
      <c r="AB117" s="51">
        <f t="shared" si="18"/>
        <v>154479547.50000003</v>
      </c>
      <c r="AC117" s="317"/>
      <c r="AD117" s="410"/>
      <c r="AE117" s="110"/>
      <c r="AF117" s="110"/>
      <c r="AG117" s="110"/>
      <c r="AH117" s="110"/>
      <c r="AI117" s="110"/>
      <c r="AJ117" s="226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spans="1:46" ht="13.5" customHeight="1">
      <c r="A118" s="351"/>
      <c r="B118" s="15" t="s">
        <v>3594</v>
      </c>
      <c r="C118" s="390" t="s">
        <v>3595</v>
      </c>
      <c r="D118" s="255">
        <v>16342500</v>
      </c>
      <c r="E118" s="255"/>
      <c r="F118" s="255">
        <v>16342500</v>
      </c>
      <c r="G118" s="255"/>
      <c r="H118" s="255">
        <v>29466500</v>
      </c>
      <c r="I118" s="255"/>
      <c r="J118" s="255">
        <v>55714500</v>
      </c>
      <c r="K118" s="437"/>
      <c r="L118" s="255">
        <v>55714500</v>
      </c>
      <c r="M118" s="255"/>
      <c r="N118" s="258">
        <v>55714500</v>
      </c>
      <c r="O118" s="51"/>
      <c r="P118" s="258">
        <v>4642875</v>
      </c>
      <c r="Q118" s="258"/>
      <c r="R118" s="258">
        <v>4642875</v>
      </c>
      <c r="S118" s="258"/>
      <c r="T118" s="258">
        <v>4642875</v>
      </c>
      <c r="U118" s="258"/>
      <c r="V118" s="258">
        <v>4642875</v>
      </c>
      <c r="W118" s="465"/>
      <c r="X118" s="258">
        <v>4642875</v>
      </c>
      <c r="Y118" s="258"/>
      <c r="Z118" s="258">
        <f>PL!D119</f>
        <v>4642875</v>
      </c>
      <c r="AA118" s="51"/>
      <c r="AB118" s="51">
        <f t="shared" si="18"/>
        <v>257152250</v>
      </c>
      <c r="AC118" s="317"/>
      <c r="AD118" s="410"/>
      <c r="AE118" s="110"/>
      <c r="AF118" s="110"/>
      <c r="AG118" s="110"/>
      <c r="AH118" s="110"/>
      <c r="AI118" s="110"/>
      <c r="AJ118" s="226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spans="1:46" ht="13.5" customHeight="1">
      <c r="A119" s="351"/>
      <c r="B119" s="127" t="s">
        <v>5384</v>
      </c>
      <c r="C119" s="22" t="s">
        <v>5385</v>
      </c>
      <c r="D119" s="317">
        <f>SUM(D111:D118)</f>
        <v>1753449017.6150002</v>
      </c>
      <c r="E119" s="439">
        <f>D119/D16</f>
        <v>0.22861556607771213</v>
      </c>
      <c r="F119" s="317">
        <f>SUM(F111:F118)</f>
        <v>1517197631.6916666</v>
      </c>
      <c r="G119" s="439">
        <f>F119/F16</f>
        <v>0.40356711714698318</v>
      </c>
      <c r="H119" s="317">
        <f>SUM(H111:H118)</f>
        <v>1134619154.7166669</v>
      </c>
      <c r="I119" s="439">
        <f>H119/H16</f>
        <v>6.0362107910139795E-2</v>
      </c>
      <c r="J119" s="317">
        <f>SUM(J111:J118)</f>
        <v>747176242</v>
      </c>
      <c r="K119" s="439">
        <f>J119/J16</f>
        <v>2.7492900388322385E-2</v>
      </c>
      <c r="L119" s="317">
        <f>SUM(L111:L118)</f>
        <v>1203837047</v>
      </c>
      <c r="M119" s="439">
        <f>L119/L16</f>
        <v>3.7139061159733401E-2</v>
      </c>
      <c r="N119" s="317">
        <f>SUM(N111:N118)</f>
        <v>1676190750.5208333</v>
      </c>
      <c r="O119" s="439">
        <f>N119/N16</f>
        <v>5.4531993219661491E-2</v>
      </c>
      <c r="P119" s="317">
        <f>SUM(P111:P118)</f>
        <v>127242488.60416667</v>
      </c>
      <c r="Q119" s="439">
        <v>5.5915812981711499E-2</v>
      </c>
      <c r="R119" s="317">
        <v>127246134.43750001</v>
      </c>
      <c r="S119" s="439">
        <v>7.7669003284028842E-2</v>
      </c>
      <c r="T119" s="317">
        <f>SUM(T111:T118)</f>
        <v>126925301.10416667</v>
      </c>
      <c r="U119" s="439">
        <v>7.1808244429657275E-2</v>
      </c>
      <c r="V119" s="317">
        <f>SUM(V111:V118)</f>
        <v>126655729</v>
      </c>
      <c r="W119" s="465">
        <v>7.0000000000000007E-2</v>
      </c>
      <c r="X119" s="317">
        <f>SUM(X111:X118)</f>
        <v>125289056</v>
      </c>
      <c r="Y119" s="465">
        <v>0.06</v>
      </c>
      <c r="Z119" s="317">
        <f>SUM(Z111:Z118)</f>
        <v>123737864.86249998</v>
      </c>
      <c r="AA119" s="439">
        <f>Z119/Z16</f>
        <v>6.2642423283506513E-2</v>
      </c>
      <c r="AB119" s="317">
        <f>SUM(AB111:AB118)</f>
        <v>8789566417.5525017</v>
      </c>
      <c r="AC119" s="439">
        <f>AB119/AB16</f>
        <v>6.6432076181211414E-2</v>
      </c>
      <c r="AD119" s="410"/>
      <c r="AE119" s="110"/>
      <c r="AF119" s="110"/>
      <c r="AG119" s="110"/>
      <c r="AH119" s="110"/>
      <c r="AI119" s="110"/>
      <c r="AJ119" s="226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spans="1:46" ht="13.5" customHeight="1">
      <c r="A120" s="110"/>
      <c r="B120" s="15"/>
      <c r="C120" s="340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8"/>
      <c r="O120" s="51"/>
      <c r="P120" s="51"/>
      <c r="Q120" s="51"/>
      <c r="R120" s="51"/>
      <c r="S120" s="51"/>
      <c r="T120" s="51"/>
      <c r="U120" s="51"/>
      <c r="V120" s="258"/>
      <c r="W120" s="465"/>
      <c r="X120" s="51"/>
      <c r="Y120" s="51"/>
      <c r="Z120" s="51">
        <f>PL!D121</f>
        <v>0</v>
      </c>
      <c r="AA120" s="51"/>
      <c r="AB120" s="51"/>
      <c r="AC120" s="317"/>
      <c r="AD120" s="410"/>
      <c r="AE120" s="110"/>
      <c r="AF120" s="110"/>
      <c r="AG120" s="110"/>
      <c r="AH120" s="110"/>
      <c r="AI120" s="110"/>
      <c r="AJ120" s="226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spans="1:46" ht="13.5" customHeight="1">
      <c r="A121" s="351"/>
      <c r="B121" s="127" t="s">
        <v>5386</v>
      </c>
      <c r="C121" s="22" t="s">
        <v>5387</v>
      </c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8"/>
      <c r="O121" s="51"/>
      <c r="P121" s="51"/>
      <c r="Q121" s="51"/>
      <c r="R121" s="51"/>
      <c r="S121" s="51"/>
      <c r="T121" s="51"/>
      <c r="U121" s="51"/>
      <c r="V121" s="258"/>
      <c r="W121" s="465"/>
      <c r="X121" s="51"/>
      <c r="Y121" s="51"/>
      <c r="Z121" s="51">
        <f>PL!D122</f>
        <v>0</v>
      </c>
      <c r="AA121" s="51"/>
      <c r="AB121" s="51"/>
      <c r="AC121" s="317"/>
      <c r="AD121" s="410"/>
      <c r="AE121" s="110"/>
      <c r="AF121" s="110"/>
      <c r="AG121" s="110"/>
      <c r="AH121" s="110"/>
      <c r="AI121" s="110"/>
      <c r="AJ121" s="226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spans="1:46" ht="13.5" customHeight="1">
      <c r="A122" s="110"/>
      <c r="B122" s="15" t="s">
        <v>1721</v>
      </c>
      <c r="C122" s="390" t="s">
        <v>5388</v>
      </c>
      <c r="D122" s="255">
        <v>1321373.5571319412</v>
      </c>
      <c r="E122" s="255"/>
      <c r="F122" s="255">
        <v>21957.96</v>
      </c>
      <c r="G122" s="255"/>
      <c r="H122" s="255">
        <v>857486.8899999999</v>
      </c>
      <c r="I122" s="255"/>
      <c r="J122" s="255">
        <v>2214255.2700000005</v>
      </c>
      <c r="K122" s="255"/>
      <c r="L122" s="255">
        <v>1900760.59</v>
      </c>
      <c r="M122" s="255"/>
      <c r="N122" s="258">
        <v>1091677.1399999999</v>
      </c>
      <c r="O122" s="51"/>
      <c r="P122" s="258">
        <v>49161.84</v>
      </c>
      <c r="Q122" s="258"/>
      <c r="R122" s="258">
        <v>74230.8</v>
      </c>
      <c r="S122" s="258"/>
      <c r="T122" s="258">
        <v>32562.46</v>
      </c>
      <c r="U122" s="258"/>
      <c r="V122" s="258">
        <v>16269</v>
      </c>
      <c r="W122" s="465"/>
      <c r="X122" s="258">
        <v>6113</v>
      </c>
      <c r="Y122" s="258"/>
      <c r="Z122" s="258">
        <f>PL!D123</f>
        <v>22743.93</v>
      </c>
      <c r="AA122" s="51"/>
      <c r="AB122" s="51">
        <f t="shared" ref="AB122:AB126" si="19">D122+F122+H122+J122+L122+N122+Z122+P122+R122+T122+V122+X122</f>
        <v>7608592.4371319404</v>
      </c>
      <c r="AC122" s="317"/>
      <c r="AD122" s="410"/>
      <c r="AE122" s="110"/>
      <c r="AF122" s="110"/>
      <c r="AG122" s="110"/>
      <c r="AH122" s="110"/>
      <c r="AI122" s="110"/>
      <c r="AJ122" s="226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spans="1:46" ht="13.5" customHeight="1">
      <c r="A123" s="110"/>
      <c r="B123" s="15" t="s">
        <v>5389</v>
      </c>
      <c r="C123" s="390" t="s">
        <v>5390</v>
      </c>
      <c r="D123" s="255">
        <v>0</v>
      </c>
      <c r="E123" s="255"/>
      <c r="F123" s="255">
        <v>0</v>
      </c>
      <c r="G123" s="255"/>
      <c r="H123" s="255">
        <v>0</v>
      </c>
      <c r="I123" s="255"/>
      <c r="J123" s="255">
        <v>0</v>
      </c>
      <c r="K123" s="255"/>
      <c r="L123" s="255">
        <v>0</v>
      </c>
      <c r="M123" s="255"/>
      <c r="N123" s="258">
        <v>0</v>
      </c>
      <c r="O123" s="51"/>
      <c r="P123" s="258">
        <v>0</v>
      </c>
      <c r="Q123" s="258"/>
      <c r="R123" s="258">
        <v>0</v>
      </c>
      <c r="S123" s="258"/>
      <c r="T123" s="258">
        <v>0</v>
      </c>
      <c r="U123" s="258"/>
      <c r="V123" s="258"/>
      <c r="W123" s="465"/>
      <c r="X123" s="258"/>
      <c r="Y123" s="258"/>
      <c r="Z123" s="258">
        <f>PL!D124</f>
        <v>0</v>
      </c>
      <c r="AA123" s="51"/>
      <c r="AB123" s="51">
        <f t="shared" si="19"/>
        <v>0</v>
      </c>
      <c r="AC123" s="317"/>
      <c r="AD123" s="410"/>
      <c r="AE123" s="110"/>
      <c r="AF123" s="110"/>
      <c r="AG123" s="110"/>
      <c r="AH123" s="110"/>
      <c r="AI123" s="110"/>
      <c r="AJ123" s="226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spans="1:46" ht="13.5" customHeight="1">
      <c r="A124" s="110"/>
      <c r="B124" s="15" t="s">
        <v>869</v>
      </c>
      <c r="C124" s="390" t="s">
        <v>5391</v>
      </c>
      <c r="D124" s="255">
        <v>0</v>
      </c>
      <c r="E124" s="255"/>
      <c r="F124" s="255">
        <v>0</v>
      </c>
      <c r="G124" s="255"/>
      <c r="H124" s="255">
        <v>1250000</v>
      </c>
      <c r="I124" s="255"/>
      <c r="J124" s="255">
        <v>0</v>
      </c>
      <c r="K124" s="255"/>
      <c r="L124" s="255">
        <v>4500000</v>
      </c>
      <c r="M124" s="255"/>
      <c r="N124" s="258">
        <v>32281608</v>
      </c>
      <c r="O124" s="51"/>
      <c r="P124" s="258">
        <v>768373</v>
      </c>
      <c r="Q124" s="258"/>
      <c r="R124" s="258">
        <v>11664167</v>
      </c>
      <c r="S124" s="258"/>
      <c r="T124" s="258">
        <v>0</v>
      </c>
      <c r="U124" s="258"/>
      <c r="V124" s="258"/>
      <c r="W124" s="465"/>
      <c r="X124" s="258">
        <v>8500000</v>
      </c>
      <c r="Y124" s="258"/>
      <c r="Z124" s="258">
        <f>PL!D125</f>
        <v>170000</v>
      </c>
      <c r="AA124" s="51"/>
      <c r="AB124" s="51">
        <f t="shared" si="19"/>
        <v>59134148</v>
      </c>
      <c r="AC124" s="317"/>
      <c r="AD124" s="410"/>
      <c r="AE124" s="110"/>
      <c r="AF124" s="110"/>
      <c r="AG124" s="110"/>
      <c r="AH124" s="110"/>
      <c r="AI124" s="110"/>
      <c r="AJ124" s="226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spans="1:46" ht="13.5" customHeight="1">
      <c r="A125" s="110"/>
      <c r="B125" s="15" t="s">
        <v>5392</v>
      </c>
      <c r="C125" s="390" t="s">
        <v>5393</v>
      </c>
      <c r="D125" s="255">
        <v>0</v>
      </c>
      <c r="E125" s="255"/>
      <c r="F125" s="255">
        <v>0</v>
      </c>
      <c r="G125" s="255"/>
      <c r="H125" s="255">
        <v>6547569.1299999999</v>
      </c>
      <c r="I125" s="255"/>
      <c r="J125" s="255">
        <v>891349</v>
      </c>
      <c r="K125" s="255"/>
      <c r="L125" s="255">
        <v>1826421</v>
      </c>
      <c r="M125" s="255"/>
      <c r="N125" s="258">
        <v>0</v>
      </c>
      <c r="O125" s="51"/>
      <c r="P125" s="258">
        <v>0</v>
      </c>
      <c r="Q125" s="258"/>
      <c r="R125" s="258">
        <v>0</v>
      </c>
      <c r="S125" s="258"/>
      <c r="T125" s="258">
        <v>0</v>
      </c>
      <c r="U125" s="258"/>
      <c r="V125" s="258"/>
      <c r="W125" s="465"/>
      <c r="X125" s="258"/>
      <c r="Y125" s="258"/>
      <c r="Z125" s="258">
        <f>PL!D126</f>
        <v>0</v>
      </c>
      <c r="AA125" s="51"/>
      <c r="AB125" s="51">
        <f t="shared" si="19"/>
        <v>9265339.129999999</v>
      </c>
      <c r="AC125" s="317"/>
      <c r="AD125" s="410"/>
      <c r="AE125" s="110"/>
      <c r="AF125" s="110"/>
      <c r="AG125" s="110"/>
      <c r="AH125" s="110"/>
      <c r="AI125" s="110"/>
      <c r="AJ125" s="226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spans="1:46" ht="13.5" customHeight="1">
      <c r="A126" s="351"/>
      <c r="B126" s="15" t="s">
        <v>5394</v>
      </c>
      <c r="C126" s="390" t="s">
        <v>5395</v>
      </c>
      <c r="D126" s="255">
        <v>0</v>
      </c>
      <c r="E126" s="255"/>
      <c r="F126" s="255">
        <v>0</v>
      </c>
      <c r="G126" s="255"/>
      <c r="H126" s="255">
        <v>53416073</v>
      </c>
      <c r="I126" s="255"/>
      <c r="J126" s="255">
        <v>21164623</v>
      </c>
      <c r="K126" s="255"/>
      <c r="L126" s="255">
        <v>4931348</v>
      </c>
      <c r="M126" s="255"/>
      <c r="N126" s="258">
        <v>85107684</v>
      </c>
      <c r="O126" s="51"/>
      <c r="P126" s="258">
        <v>0</v>
      </c>
      <c r="Q126" s="258"/>
      <c r="R126" s="258">
        <v>0</v>
      </c>
      <c r="S126" s="258"/>
      <c r="T126" s="258">
        <v>117430</v>
      </c>
      <c r="U126" s="258"/>
      <c r="V126" s="258">
        <v>88000</v>
      </c>
      <c r="W126" s="465"/>
      <c r="X126" s="258"/>
      <c r="Y126" s="258"/>
      <c r="Z126" s="258">
        <f>PL!D127</f>
        <v>0</v>
      </c>
      <c r="AA126" s="51"/>
      <c r="AB126" s="51">
        <f t="shared" si="19"/>
        <v>164825158</v>
      </c>
      <c r="AC126" s="317"/>
      <c r="AD126" s="410"/>
      <c r="AE126" s="110"/>
      <c r="AF126" s="110"/>
      <c r="AG126" s="110"/>
      <c r="AH126" s="110"/>
      <c r="AI126" s="110"/>
      <c r="AJ126" s="226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spans="1:46" ht="13.5" customHeight="1">
      <c r="A127" s="110"/>
      <c r="B127" s="127" t="s">
        <v>5396</v>
      </c>
      <c r="C127" s="22" t="s">
        <v>5397</v>
      </c>
      <c r="D127" s="317">
        <f>SUM(D122:D126)</f>
        <v>1321373.5571319412</v>
      </c>
      <c r="E127" s="439">
        <f>D127/D16</f>
        <v>1.7228134991613831E-4</v>
      </c>
      <c r="F127" s="317">
        <f>SUM(F122:F126)</f>
        <v>21957.96</v>
      </c>
      <c r="G127" s="439">
        <f>F127/F16</f>
        <v>5.8407094965922391E-6</v>
      </c>
      <c r="H127" s="317">
        <f>SUM(H122:H126)</f>
        <v>62071129.019999996</v>
      </c>
      <c r="I127" s="439">
        <f>H127/H16</f>
        <v>3.3022042439827073E-3</v>
      </c>
      <c r="J127" s="317">
        <f>SUM(J122:J126)</f>
        <v>24270227.27</v>
      </c>
      <c r="K127" s="439">
        <f>J127/J16</f>
        <v>8.9304089614784018E-4</v>
      </c>
      <c r="L127" s="317">
        <f>SUM(L122:L126)</f>
        <v>13158529.59</v>
      </c>
      <c r="M127" s="439">
        <f>L127/L16</f>
        <v>4.0594816086862934E-4</v>
      </c>
      <c r="N127" s="317">
        <f>SUM(N122:N126)</f>
        <v>118480969.14</v>
      </c>
      <c r="O127" s="439">
        <f>N127/N16</f>
        <v>3.8545752646551778E-3</v>
      </c>
      <c r="P127" s="317">
        <f>SUM(P122:P126)</f>
        <v>817534.84</v>
      </c>
      <c r="Q127" s="439">
        <v>3.592599116925517E-4</v>
      </c>
      <c r="R127" s="317">
        <v>11738397.800000001</v>
      </c>
      <c r="S127" s="439">
        <v>7.1649300885068936E-3</v>
      </c>
      <c r="T127" s="317">
        <f>SUM(T122:T126)</f>
        <v>149992.46</v>
      </c>
      <c r="U127" s="439">
        <v>8.485853597815111E-5</v>
      </c>
      <c r="V127" s="317">
        <f>SUM(V122:V126)</f>
        <v>104269</v>
      </c>
      <c r="W127" s="465">
        <v>0</v>
      </c>
      <c r="X127" s="317">
        <f>SUM(X122:X126)</f>
        <v>8506113</v>
      </c>
      <c r="Y127" s="465">
        <v>0</v>
      </c>
      <c r="Z127" s="317">
        <f>SUM(Z122:Z126)</f>
        <v>192743.93</v>
      </c>
      <c r="AA127" s="439">
        <f>Z127/Z16</f>
        <v>9.757681580980376E-5</v>
      </c>
      <c r="AB127" s="317">
        <f>SUM(AB122:AB126)</f>
        <v>240833237.56713194</v>
      </c>
      <c r="AC127" s="439">
        <f>AB127/AB16</f>
        <v>1.8202322190862413E-3</v>
      </c>
      <c r="AD127" s="410"/>
      <c r="AE127" s="110"/>
      <c r="AF127" s="110"/>
      <c r="AG127" s="110"/>
      <c r="AH127" s="110"/>
      <c r="AI127" s="110"/>
      <c r="AJ127" s="226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spans="1:46" ht="13.5" customHeight="1">
      <c r="A128" s="110"/>
      <c r="B128" s="15"/>
      <c r="C128" s="340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8"/>
      <c r="O128" s="51"/>
      <c r="P128" s="51"/>
      <c r="Q128" s="51"/>
      <c r="R128" s="51"/>
      <c r="S128" s="51"/>
      <c r="T128" s="51"/>
      <c r="U128" s="51"/>
      <c r="V128" s="258"/>
      <c r="W128" s="465"/>
      <c r="X128" s="51"/>
      <c r="Y128" s="51"/>
      <c r="Z128" s="51">
        <f>PL!D129</f>
        <v>0</v>
      </c>
      <c r="AA128" s="51"/>
      <c r="AB128" s="51"/>
      <c r="AC128" s="317"/>
      <c r="AD128" s="410"/>
      <c r="AE128" s="110"/>
      <c r="AF128" s="110"/>
      <c r="AG128" s="110"/>
      <c r="AH128" s="110"/>
      <c r="AI128" s="110"/>
      <c r="AJ128" s="226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spans="1:46" ht="13.5" customHeight="1">
      <c r="A129" s="351"/>
      <c r="B129" s="127" t="s">
        <v>5398</v>
      </c>
      <c r="C129" s="22" t="s">
        <v>5399</v>
      </c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8"/>
      <c r="O129" s="51"/>
      <c r="P129" s="51"/>
      <c r="Q129" s="51"/>
      <c r="R129" s="51"/>
      <c r="S129" s="51"/>
      <c r="T129" s="51"/>
      <c r="U129" s="51"/>
      <c r="V129" s="258"/>
      <c r="W129" s="465"/>
      <c r="X129" s="51"/>
      <c r="Y129" s="51"/>
      <c r="Z129" s="51">
        <f>PL!D130</f>
        <v>0</v>
      </c>
      <c r="AA129" s="51"/>
      <c r="AB129" s="51"/>
      <c r="AC129" s="317"/>
      <c r="AD129" s="410"/>
      <c r="AE129" s="110"/>
      <c r="AF129" s="110"/>
      <c r="AG129" s="110"/>
      <c r="AH129" s="110"/>
      <c r="AI129" s="110"/>
      <c r="AJ129" s="226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spans="1:46" ht="13.5" customHeight="1">
      <c r="A130" s="110"/>
      <c r="B130" s="15" t="s">
        <v>480</v>
      </c>
      <c r="C130" s="390" t="s">
        <v>5400</v>
      </c>
      <c r="D130" s="255">
        <v>0</v>
      </c>
      <c r="E130" s="255"/>
      <c r="F130" s="255">
        <v>3838.9399999999996</v>
      </c>
      <c r="G130" s="255"/>
      <c r="H130" s="255">
        <v>174958.99</v>
      </c>
      <c r="I130" s="255"/>
      <c r="J130" s="255">
        <v>407681.87099999993</v>
      </c>
      <c r="K130" s="255"/>
      <c r="L130" s="255">
        <v>376219932.38</v>
      </c>
      <c r="M130" s="255"/>
      <c r="N130" s="258">
        <v>659957096.79378676</v>
      </c>
      <c r="O130" s="51"/>
      <c r="P130" s="258">
        <v>42640686.751401991</v>
      </c>
      <c r="Q130" s="258"/>
      <c r="R130" s="258">
        <v>63354804.140730575</v>
      </c>
      <c r="S130" s="258"/>
      <c r="T130" s="258">
        <v>55569320.493358284</v>
      </c>
      <c r="U130" s="258"/>
      <c r="V130" s="258">
        <v>113039387</v>
      </c>
      <c r="W130" s="465"/>
      <c r="X130" s="258">
        <v>55701706</v>
      </c>
      <c r="Y130" s="258"/>
      <c r="Z130" s="258">
        <f>PL!D131</f>
        <v>54484524.714285716</v>
      </c>
      <c r="AA130" s="51"/>
      <c r="AB130" s="51">
        <f t="shared" ref="AB130:AB134" si="20">D130+F130+H130+J130+L130+N130+Z130+P130+R130+T130+V130+X130</f>
        <v>1421553938.0745633</v>
      </c>
      <c r="AC130" s="317"/>
      <c r="AD130" s="410"/>
      <c r="AE130" s="110"/>
      <c r="AF130" s="110"/>
      <c r="AG130" s="110"/>
      <c r="AH130" s="110"/>
      <c r="AI130" s="110"/>
      <c r="AJ130" s="226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spans="1:46" ht="13.5" customHeight="1">
      <c r="A131" s="110"/>
      <c r="B131" s="15" t="s">
        <v>124</v>
      </c>
      <c r="C131" s="390" t="s">
        <v>1447</v>
      </c>
      <c r="D131" s="255">
        <v>83108707.761742726</v>
      </c>
      <c r="E131" s="255"/>
      <c r="F131" s="255">
        <v>34659627.751381516</v>
      </c>
      <c r="G131" s="255"/>
      <c r="H131" s="255">
        <v>221007364.35424197</v>
      </c>
      <c r="I131" s="255"/>
      <c r="J131" s="255">
        <v>355065772.54100001</v>
      </c>
      <c r="K131" s="255"/>
      <c r="L131" s="255">
        <v>448668588.70120114</v>
      </c>
      <c r="M131" s="255"/>
      <c r="N131" s="258">
        <v>472715551.25349939</v>
      </c>
      <c r="O131" s="51"/>
      <c r="P131" s="258">
        <v>38187334.401999995</v>
      </c>
      <c r="Q131" s="258"/>
      <c r="R131" s="258">
        <v>31376761.353999995</v>
      </c>
      <c r="S131" s="258"/>
      <c r="T131" s="258">
        <v>35012494.460000008</v>
      </c>
      <c r="U131" s="258"/>
      <c r="V131" s="258">
        <v>27924421</v>
      </c>
      <c r="W131" s="465"/>
      <c r="X131" s="258">
        <v>38391913</v>
      </c>
      <c r="Y131" s="258"/>
      <c r="Z131" s="258">
        <f>PL!D132</f>
        <v>35035270.107999973</v>
      </c>
      <c r="AA131" s="51"/>
      <c r="AB131" s="51">
        <f t="shared" si="20"/>
        <v>1821153806.6870668</v>
      </c>
      <c r="AC131" s="317"/>
      <c r="AD131" s="410"/>
      <c r="AE131" s="110"/>
      <c r="AF131" s="110"/>
      <c r="AG131" s="110"/>
      <c r="AH131" s="110"/>
      <c r="AI131" s="110"/>
      <c r="AJ131" s="226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spans="1:46" ht="13.5" customHeight="1">
      <c r="A132" s="110"/>
      <c r="B132" s="15" t="s">
        <v>5401</v>
      </c>
      <c r="C132" s="390" t="s">
        <v>5402</v>
      </c>
      <c r="D132" s="255">
        <v>0</v>
      </c>
      <c r="E132" s="255"/>
      <c r="F132" s="255">
        <v>0</v>
      </c>
      <c r="G132" s="255"/>
      <c r="H132" s="255">
        <v>3721761</v>
      </c>
      <c r="I132" s="255"/>
      <c r="J132" s="255">
        <v>0</v>
      </c>
      <c r="K132" s="255"/>
      <c r="L132" s="255">
        <v>0</v>
      </c>
      <c r="M132" s="255"/>
      <c r="N132" s="258">
        <v>0</v>
      </c>
      <c r="O132" s="51"/>
      <c r="P132" s="258">
        <v>0</v>
      </c>
      <c r="Q132" s="258"/>
      <c r="R132" s="258">
        <v>0</v>
      </c>
      <c r="S132" s="258"/>
      <c r="T132" s="258">
        <v>0</v>
      </c>
      <c r="U132" s="258"/>
      <c r="V132" s="258"/>
      <c r="W132" s="465"/>
      <c r="X132" s="258"/>
      <c r="Y132" s="258"/>
      <c r="Z132" s="258">
        <f>PL!D133</f>
        <v>0</v>
      </c>
      <c r="AA132" s="51"/>
      <c r="AB132" s="51">
        <f t="shared" si="20"/>
        <v>3721761</v>
      </c>
      <c r="AC132" s="317"/>
      <c r="AD132" s="410"/>
      <c r="AE132" s="110"/>
      <c r="AF132" s="110"/>
      <c r="AG132" s="110"/>
      <c r="AH132" s="110"/>
      <c r="AI132" s="110"/>
      <c r="AJ132" s="226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spans="1:46" ht="13.5" customHeight="1">
      <c r="A133" s="110"/>
      <c r="B133" s="15" t="s">
        <v>1216</v>
      </c>
      <c r="C133" s="390" t="s">
        <v>5403</v>
      </c>
      <c r="D133" s="255">
        <v>0</v>
      </c>
      <c r="E133" s="255"/>
      <c r="F133" s="255">
        <v>415282</v>
      </c>
      <c r="G133" s="255"/>
      <c r="H133" s="255">
        <v>2198341</v>
      </c>
      <c r="I133" s="255"/>
      <c r="J133" s="255">
        <v>48973633</v>
      </c>
      <c r="K133" s="255"/>
      <c r="L133" s="255">
        <v>3624714</v>
      </c>
      <c r="M133" s="255"/>
      <c r="N133" s="258">
        <v>41048234</v>
      </c>
      <c r="O133" s="51"/>
      <c r="P133" s="258">
        <v>0</v>
      </c>
      <c r="Q133" s="258"/>
      <c r="R133" s="258">
        <v>276937</v>
      </c>
      <c r="S133" s="258"/>
      <c r="T133" s="258">
        <v>51579087</v>
      </c>
      <c r="U133" s="258"/>
      <c r="V133" s="258">
        <v>43000000</v>
      </c>
      <c r="W133" s="465"/>
      <c r="X133" s="258"/>
      <c r="Y133" s="258"/>
      <c r="Z133" s="258">
        <f>PL!D134</f>
        <v>8416117</v>
      </c>
      <c r="AA133" s="51"/>
      <c r="AB133" s="51">
        <f t="shared" si="20"/>
        <v>199532345</v>
      </c>
      <c r="AC133" s="317"/>
      <c r="AD133" s="410"/>
      <c r="AE133" s="110"/>
      <c r="AF133" s="110"/>
      <c r="AG133" s="110"/>
      <c r="AH133" s="110"/>
      <c r="AI133" s="110"/>
      <c r="AJ133" s="226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spans="1:46" ht="13.5" customHeight="1">
      <c r="A134" s="110"/>
      <c r="B134" s="15" t="s">
        <v>5404</v>
      </c>
      <c r="C134" s="390" t="s">
        <v>5405</v>
      </c>
      <c r="D134" s="255">
        <v>0</v>
      </c>
      <c r="E134" s="255"/>
      <c r="F134" s="255">
        <v>0</v>
      </c>
      <c r="G134" s="255"/>
      <c r="H134" s="255">
        <v>8821208.2100000009</v>
      </c>
      <c r="I134" s="255"/>
      <c r="J134" s="255">
        <v>9017635.379999999</v>
      </c>
      <c r="K134" s="255"/>
      <c r="L134" s="255">
        <v>13203716.240999985</v>
      </c>
      <c r="M134" s="255"/>
      <c r="N134" s="258">
        <v>1147794</v>
      </c>
      <c r="O134" s="51"/>
      <c r="P134" s="258">
        <v>14972220</v>
      </c>
      <c r="Q134" s="258"/>
      <c r="R134" s="258">
        <v>2857521</v>
      </c>
      <c r="S134" s="258"/>
      <c r="T134" s="258">
        <v>0</v>
      </c>
      <c r="U134" s="258"/>
      <c r="V134" s="258"/>
      <c r="W134" s="465"/>
      <c r="X134" s="258"/>
      <c r="Y134" s="258"/>
      <c r="Z134" s="258">
        <f>PL!D135</f>
        <v>0</v>
      </c>
      <c r="AA134" s="51"/>
      <c r="AB134" s="51">
        <f t="shared" si="20"/>
        <v>50020094.830999985</v>
      </c>
      <c r="AC134" s="317"/>
      <c r="AD134" s="410"/>
      <c r="AE134" s="110"/>
      <c r="AF134" s="110"/>
      <c r="AG134" s="110"/>
      <c r="AH134" s="110"/>
      <c r="AI134" s="110"/>
      <c r="AJ134" s="226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spans="1:46" ht="13.5" customHeight="1">
      <c r="A135" s="110"/>
      <c r="B135" s="127" t="s">
        <v>5406</v>
      </c>
      <c r="C135" s="22" t="s">
        <v>5399</v>
      </c>
      <c r="D135" s="317">
        <f>SUM(D130:D134)</f>
        <v>83108707.761742726</v>
      </c>
      <c r="E135" s="439">
        <f>D135/D16</f>
        <v>1.0835755177405291E-2</v>
      </c>
      <c r="F135" s="317">
        <f>SUM(F130:F134)</f>
        <v>35078748.691381514</v>
      </c>
      <c r="G135" s="439">
        <f>F135/F16</f>
        <v>9.3307748356552516E-3</v>
      </c>
      <c r="H135" s="317">
        <f>SUM(H130:H134)</f>
        <v>235923633.55424199</v>
      </c>
      <c r="I135" s="439">
        <f>H135/H16</f>
        <v>1.2551214006879346E-2</v>
      </c>
      <c r="J135" s="317">
        <f>SUM(J130:J134)</f>
        <v>413464722.792</v>
      </c>
      <c r="K135" s="439">
        <f>J135/J16</f>
        <v>1.5213739140551774E-2</v>
      </c>
      <c r="L135" s="317">
        <f>SUM(L130:L134)</f>
        <v>841716951.32220101</v>
      </c>
      <c r="M135" s="439">
        <f>L135/L16</f>
        <v>2.5967449176150473E-2</v>
      </c>
      <c r="N135" s="317">
        <f>SUM(N130:N134)</f>
        <v>1174868676.047286</v>
      </c>
      <c r="O135" s="317"/>
      <c r="P135" s="317">
        <f>SUM(P130:P134)</f>
        <v>95800241.153401986</v>
      </c>
      <c r="Q135" s="317"/>
      <c r="R135" s="317">
        <v>97866023.494730562</v>
      </c>
      <c r="S135" s="317"/>
      <c r="T135" s="317">
        <f>SUM(T130:T134)</f>
        <v>142160901.95335829</v>
      </c>
      <c r="U135" s="317"/>
      <c r="V135" s="317">
        <f>SUM(V130:V134)</f>
        <v>183963808</v>
      </c>
      <c r="W135" s="465"/>
      <c r="X135" s="317">
        <f>SUM(X130:X134)</f>
        <v>94093619</v>
      </c>
      <c r="Y135" s="51"/>
      <c r="Z135" s="317">
        <f>SUM(Z130:Z134)</f>
        <v>97935911.822285682</v>
      </c>
      <c r="AA135" s="317"/>
      <c r="AB135" s="317">
        <f>SUM(AB130:AB134)</f>
        <v>3495981945.5926299</v>
      </c>
      <c r="AC135" s="439">
        <f>AB135/AB16</f>
        <v>2.6422843619903966E-2</v>
      </c>
      <c r="AD135" s="410"/>
      <c r="AE135" s="110"/>
      <c r="AF135" s="110"/>
      <c r="AG135" s="110"/>
      <c r="AH135" s="110"/>
      <c r="AI135" s="110"/>
      <c r="AJ135" s="226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spans="1:46" ht="13.5" customHeight="1">
      <c r="A136" s="110"/>
      <c r="B136" s="423"/>
      <c r="C136" s="25"/>
      <c r="D136" s="302"/>
      <c r="E136" s="302"/>
      <c r="F136" s="302"/>
      <c r="G136" s="302"/>
      <c r="H136" s="302"/>
      <c r="I136" s="302"/>
      <c r="J136" s="302"/>
      <c r="K136" s="302"/>
      <c r="L136" s="51"/>
      <c r="M136" s="302"/>
      <c r="N136" s="302"/>
      <c r="O136" s="239"/>
      <c r="P136" s="302"/>
      <c r="Q136" s="301"/>
      <c r="R136" s="301"/>
      <c r="S136" s="301"/>
      <c r="T136" s="302"/>
      <c r="U136" s="301"/>
      <c r="V136" s="302"/>
      <c r="W136" s="465"/>
      <c r="X136" s="302"/>
      <c r="Y136" s="301"/>
      <c r="Z136" s="302"/>
      <c r="AA136" s="239"/>
      <c r="AB136" s="302"/>
      <c r="AC136" s="472"/>
      <c r="AD136" s="410"/>
      <c r="AE136" s="110"/>
      <c r="AF136" s="110"/>
      <c r="AG136" s="110"/>
      <c r="AH136" s="110"/>
      <c r="AI136" s="110"/>
      <c r="AJ136" s="226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spans="1:46" ht="13.5" customHeight="1">
      <c r="A137" s="351"/>
      <c r="B137" s="121"/>
      <c r="C137" s="440" t="s">
        <v>5414</v>
      </c>
      <c r="D137" s="441">
        <f>D108-D119+D127-D135</f>
        <v>-2405669668.7700109</v>
      </c>
      <c r="E137" s="473">
        <f>D137/D16</f>
        <v>-0.31365242307979918</v>
      </c>
      <c r="F137" s="441">
        <f>F108-F119+F127-F135</f>
        <v>-3478198748.0710196</v>
      </c>
      <c r="G137" s="473">
        <f>F137/F16</f>
        <v>-0.92518378113875976</v>
      </c>
      <c r="H137" s="441">
        <f>H108-H119+H127-H135</f>
        <v>3573055940.6678805</v>
      </c>
      <c r="I137" s="473">
        <f>H137/H16</f>
        <v>0.19008773768976145</v>
      </c>
      <c r="J137" s="441">
        <f>J108-J119+J127-J135</f>
        <v>5420293841.2541504</v>
      </c>
      <c r="K137" s="473">
        <f>J137/J16</f>
        <v>0.1994437058841034</v>
      </c>
      <c r="L137" s="441">
        <f>L108-L119+L127-L135</f>
        <v>5969257332.7077465</v>
      </c>
      <c r="M137" s="442">
        <f>L137/L16</f>
        <v>0.18415500146808497</v>
      </c>
      <c r="N137" s="441">
        <f>N108-N119+N127-N135</f>
        <v>4007144790.2689152</v>
      </c>
      <c r="O137" s="442">
        <f>N137/N16</f>
        <v>0.13036558784568381</v>
      </c>
      <c r="P137" s="441">
        <f>P108-P119+P127-P135</f>
        <v>123487050.89737941</v>
      </c>
      <c r="Q137" s="442">
        <v>5.4265512403809196E-2</v>
      </c>
      <c r="R137" s="474">
        <v>-363858262.96778226</v>
      </c>
      <c r="S137" s="442">
        <v>-0.22209325844194142</v>
      </c>
      <c r="T137" s="441">
        <f>T108-T119+T127-T135</f>
        <v>-296977943.0842942</v>
      </c>
      <c r="U137" s="442">
        <v>-0.16801586871724014</v>
      </c>
      <c r="V137" s="441">
        <f>V108-V119+V127-V135</f>
        <v>-213710123</v>
      </c>
      <c r="W137" s="442">
        <v>-0.11</v>
      </c>
      <c r="X137" s="441">
        <f>X108-X119+X127-X135</f>
        <v>51657960</v>
      </c>
      <c r="Y137" s="442">
        <v>0.02</v>
      </c>
      <c r="Z137" s="441">
        <f>Z108-Z119+Z127-Z135</f>
        <v>-104182314.535936</v>
      </c>
      <c r="AA137" s="442">
        <f>Z137/Z16</f>
        <v>-5.274240551239185E-2</v>
      </c>
      <c r="AB137" s="441">
        <f>AB108-AB119+AB127-AB135</f>
        <v>12282299855.36706</v>
      </c>
      <c r="AC137" s="475">
        <f>AB137/AB16</f>
        <v>9.2830367382266007E-2</v>
      </c>
      <c r="AD137" s="410"/>
      <c r="AE137" s="110"/>
      <c r="AF137" s="110"/>
      <c r="AG137" s="110"/>
      <c r="AH137" s="110"/>
      <c r="AI137" s="110"/>
      <c r="AJ137" s="226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spans="1:46" ht="13.5" customHeight="1">
      <c r="A138" s="110"/>
      <c r="B138" s="4"/>
      <c r="C138" s="4"/>
      <c r="D138" s="118"/>
      <c r="E138" s="118"/>
      <c r="F138" s="118"/>
      <c r="G138" s="408"/>
      <c r="H138" s="408"/>
      <c r="I138" s="408"/>
      <c r="J138" s="408"/>
      <c r="K138" s="463"/>
      <c r="L138" s="408"/>
      <c r="M138" s="118"/>
      <c r="N138" s="444"/>
      <c r="O138" s="444"/>
      <c r="P138" s="444"/>
      <c r="Q138" s="444"/>
      <c r="R138" s="444"/>
      <c r="S138" s="444"/>
      <c r="T138" s="444"/>
      <c r="U138" s="444"/>
      <c r="V138" s="444"/>
      <c r="W138" s="463"/>
      <c r="X138" s="444"/>
      <c r="Y138" s="444"/>
      <c r="Z138" s="444"/>
      <c r="AA138" s="444"/>
      <c r="AB138" s="444"/>
      <c r="AC138" s="408"/>
      <c r="AD138" s="410"/>
      <c r="AE138" s="110"/>
      <c r="AF138" s="110"/>
      <c r="AG138" s="110"/>
      <c r="AH138" s="110"/>
      <c r="AI138" s="110"/>
      <c r="AJ138" s="226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spans="1:46" ht="15" customHeight="1">
      <c r="A139" s="110"/>
      <c r="B139" s="4"/>
      <c r="C139" s="4"/>
      <c r="D139" s="118"/>
      <c r="E139" s="118"/>
      <c r="F139" s="118"/>
      <c r="G139" s="408"/>
      <c r="H139" s="408"/>
      <c r="I139" s="408"/>
      <c r="J139" s="408"/>
      <c r="K139" s="463"/>
      <c r="L139" s="408"/>
      <c r="M139" s="118"/>
      <c r="N139" s="444"/>
      <c r="O139" s="444"/>
      <c r="P139" s="444"/>
      <c r="Q139" s="444"/>
      <c r="R139" s="444"/>
      <c r="S139" s="444"/>
      <c r="T139" s="444"/>
      <c r="U139" s="444"/>
      <c r="V139" s="444"/>
      <c r="W139" s="463"/>
      <c r="X139" s="444"/>
      <c r="Y139" s="444"/>
      <c r="Z139" s="444"/>
      <c r="AA139" s="444"/>
      <c r="AB139" s="444"/>
      <c r="AC139" s="408"/>
      <c r="AD139" s="410"/>
      <c r="AE139" s="110"/>
      <c r="AF139" s="110"/>
      <c r="AG139" s="110"/>
      <c r="AH139" s="110"/>
      <c r="AI139" s="110"/>
      <c r="AJ139" s="226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spans="1:46" ht="15" customHeight="1">
      <c r="A140" s="110"/>
      <c r="B140" s="4"/>
      <c r="C140" s="4"/>
      <c r="D140" s="118"/>
      <c r="E140" s="118"/>
      <c r="F140" s="118"/>
      <c r="G140" s="408"/>
      <c r="H140" s="408"/>
      <c r="I140" s="408"/>
      <c r="J140" s="408"/>
      <c r="K140" s="463"/>
      <c r="L140" s="408"/>
      <c r="M140" s="408"/>
      <c r="N140" s="435"/>
      <c r="O140" s="435"/>
      <c r="P140" s="435"/>
      <c r="Q140" s="435"/>
      <c r="R140" s="435"/>
      <c r="S140" s="435"/>
      <c r="T140" s="435"/>
      <c r="U140" s="435"/>
      <c r="V140" s="435"/>
      <c r="W140" s="463"/>
      <c r="X140" s="435"/>
      <c r="Y140" s="435"/>
      <c r="Z140" s="435"/>
      <c r="AA140" s="435"/>
      <c r="AB140" s="435"/>
      <c r="AC140" s="408"/>
      <c r="AD140" s="410"/>
      <c r="AE140" s="110"/>
      <c r="AF140" s="110"/>
      <c r="AG140" s="110"/>
      <c r="AH140" s="110"/>
      <c r="AI140" s="110"/>
      <c r="AJ140" s="226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spans="1:46" ht="15" customHeight="1">
      <c r="A141" s="110"/>
      <c r="B141" s="4"/>
      <c r="C141" s="4"/>
      <c r="D141" s="118"/>
      <c r="E141" s="118"/>
      <c r="F141" s="118"/>
      <c r="G141" s="408"/>
      <c r="H141" s="408"/>
      <c r="I141" s="408"/>
      <c r="J141" s="408"/>
      <c r="K141" s="463"/>
      <c r="L141" s="408"/>
      <c r="M141" s="118"/>
      <c r="N141" s="435"/>
      <c r="O141" s="435"/>
      <c r="P141" s="435"/>
      <c r="Q141" s="435"/>
      <c r="R141" s="435"/>
      <c r="S141" s="435"/>
      <c r="T141" s="435"/>
      <c r="U141" s="435"/>
      <c r="V141" s="435"/>
      <c r="W141" s="463"/>
      <c r="X141" s="435"/>
      <c r="Y141" s="435"/>
      <c r="Z141" s="435"/>
      <c r="AA141" s="435"/>
      <c r="AB141" s="435"/>
      <c r="AC141" s="408"/>
      <c r="AD141" s="410"/>
      <c r="AE141" s="110"/>
      <c r="AF141" s="110"/>
      <c r="AG141" s="110"/>
      <c r="AH141" s="110"/>
      <c r="AI141" s="110"/>
      <c r="AJ141" s="226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spans="1:46" ht="15" customHeight="1">
      <c r="A142" s="110"/>
      <c r="B142" s="4"/>
      <c r="C142" s="4"/>
      <c r="D142" s="118"/>
      <c r="E142" s="118"/>
      <c r="F142" s="118"/>
      <c r="G142" s="408"/>
      <c r="H142" s="408"/>
      <c r="I142" s="408"/>
      <c r="J142" s="408"/>
      <c r="K142" s="463"/>
      <c r="L142" s="408"/>
      <c r="M142" s="118"/>
      <c r="N142" s="435"/>
      <c r="O142" s="435"/>
      <c r="P142" s="435"/>
      <c r="Q142" s="435"/>
      <c r="R142" s="435"/>
      <c r="S142" s="435"/>
      <c r="T142" s="435"/>
      <c r="U142" s="435"/>
      <c r="V142" s="435"/>
      <c r="W142" s="463"/>
      <c r="X142" s="435"/>
      <c r="Y142" s="435"/>
      <c r="Z142" s="435"/>
      <c r="AA142" s="435"/>
      <c r="AB142" s="435"/>
      <c r="AC142" s="408"/>
      <c r="AD142" s="410"/>
      <c r="AE142" s="110"/>
      <c r="AF142" s="110"/>
      <c r="AG142" s="110"/>
      <c r="AH142" s="110"/>
      <c r="AI142" s="110"/>
      <c r="AJ142" s="226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spans="1:46" ht="15" customHeight="1">
      <c r="A143" s="110"/>
      <c r="B143" s="4"/>
      <c r="C143" s="4"/>
      <c r="D143" s="118"/>
      <c r="E143" s="118"/>
      <c r="F143" s="118"/>
      <c r="G143" s="408"/>
      <c r="H143" s="408"/>
      <c r="I143" s="408"/>
      <c r="J143" s="408"/>
      <c r="K143" s="463"/>
      <c r="L143" s="408"/>
      <c r="M143" s="118"/>
      <c r="N143" s="435"/>
      <c r="O143" s="435"/>
      <c r="P143" s="435"/>
      <c r="Q143" s="435"/>
      <c r="R143" s="435"/>
      <c r="S143" s="435"/>
      <c r="T143" s="435"/>
      <c r="U143" s="435"/>
      <c r="V143" s="435"/>
      <c r="W143" s="463"/>
      <c r="X143" s="435"/>
      <c r="Y143" s="435"/>
      <c r="Z143" s="435"/>
      <c r="AA143" s="435"/>
      <c r="AB143" s="435"/>
      <c r="AC143" s="408"/>
      <c r="AD143" s="410"/>
      <c r="AE143" s="110"/>
      <c r="AF143" s="110"/>
      <c r="AG143" s="110"/>
      <c r="AH143" s="110"/>
      <c r="AI143" s="110"/>
      <c r="AJ143" s="226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spans="1:46" ht="15" customHeight="1">
      <c r="A144" s="110"/>
      <c r="B144" s="4"/>
      <c r="C144" s="4"/>
      <c r="D144" s="118"/>
      <c r="E144" s="118"/>
      <c r="F144" s="118"/>
      <c r="G144" s="408"/>
      <c r="H144" s="408"/>
      <c r="I144" s="408"/>
      <c r="J144" s="408"/>
      <c r="K144" s="463"/>
      <c r="L144" s="408"/>
      <c r="M144" s="118"/>
      <c r="N144" s="435"/>
      <c r="O144" s="435"/>
      <c r="P144" s="435"/>
      <c r="Q144" s="435"/>
      <c r="R144" s="435"/>
      <c r="S144" s="435"/>
      <c r="T144" s="435"/>
      <c r="U144" s="435"/>
      <c r="V144" s="435"/>
      <c r="W144" s="463"/>
      <c r="X144" s="435"/>
      <c r="Y144" s="435"/>
      <c r="Z144" s="435"/>
      <c r="AA144" s="435"/>
      <c r="AB144" s="435"/>
      <c r="AC144" s="408"/>
      <c r="AD144" s="410"/>
      <c r="AE144" s="110"/>
      <c r="AF144" s="110"/>
      <c r="AG144" s="110"/>
      <c r="AH144" s="110"/>
      <c r="AI144" s="110"/>
      <c r="AJ144" s="226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spans="1:46" ht="15" customHeight="1">
      <c r="A145" s="110"/>
      <c r="B145" s="4"/>
      <c r="C145" s="4"/>
      <c r="D145" s="118"/>
      <c r="E145" s="118"/>
      <c r="F145" s="118"/>
      <c r="G145" s="408"/>
      <c r="H145" s="408"/>
      <c r="I145" s="408"/>
      <c r="J145" s="408"/>
      <c r="K145" s="463"/>
      <c r="L145" s="408"/>
      <c r="M145" s="118"/>
      <c r="N145" s="435"/>
      <c r="O145" s="435"/>
      <c r="P145" s="435"/>
      <c r="Q145" s="435"/>
      <c r="R145" s="435"/>
      <c r="S145" s="435"/>
      <c r="T145" s="435"/>
      <c r="U145" s="435"/>
      <c r="V145" s="435"/>
      <c r="W145" s="463"/>
      <c r="X145" s="435"/>
      <c r="Y145" s="435"/>
      <c r="Z145" s="435"/>
      <c r="AA145" s="435"/>
      <c r="AB145" s="435"/>
      <c r="AC145" s="408"/>
      <c r="AD145" s="410"/>
      <c r="AE145" s="110"/>
      <c r="AF145" s="110"/>
      <c r="AG145" s="110"/>
      <c r="AH145" s="110"/>
      <c r="AI145" s="110"/>
      <c r="AJ145" s="226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spans="1:46" ht="15" customHeight="1">
      <c r="A146" s="110"/>
      <c r="B146" s="4"/>
      <c r="C146" s="4"/>
      <c r="D146" s="118"/>
      <c r="E146" s="118"/>
      <c r="F146" s="118"/>
      <c r="G146" s="408"/>
      <c r="H146" s="408"/>
      <c r="I146" s="408"/>
      <c r="J146" s="408"/>
      <c r="K146" s="463"/>
      <c r="L146" s="408"/>
      <c r="M146" s="118"/>
      <c r="N146" s="435"/>
      <c r="O146" s="435"/>
      <c r="P146" s="435"/>
      <c r="Q146" s="435"/>
      <c r="R146" s="435"/>
      <c r="S146" s="435"/>
      <c r="T146" s="435"/>
      <c r="U146" s="435"/>
      <c r="V146" s="435"/>
      <c r="W146" s="463"/>
      <c r="X146" s="435"/>
      <c r="Y146" s="435"/>
      <c r="Z146" s="435"/>
      <c r="AA146" s="435"/>
      <c r="AB146" s="435"/>
      <c r="AC146" s="408"/>
      <c r="AD146" s="410"/>
      <c r="AE146" s="110"/>
      <c r="AF146" s="110"/>
      <c r="AG146" s="110"/>
      <c r="AH146" s="110"/>
      <c r="AI146" s="110"/>
      <c r="AJ146" s="226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spans="1:46" ht="15" customHeight="1">
      <c r="A147" s="110"/>
      <c r="B147" s="4"/>
      <c r="C147" s="4"/>
      <c r="D147" s="118"/>
      <c r="E147" s="118"/>
      <c r="F147" s="118"/>
      <c r="G147" s="408"/>
      <c r="H147" s="408"/>
      <c r="I147" s="408"/>
      <c r="J147" s="408"/>
      <c r="K147" s="463"/>
      <c r="L147" s="408"/>
      <c r="M147" s="118"/>
      <c r="N147" s="435"/>
      <c r="O147" s="435"/>
      <c r="P147" s="435"/>
      <c r="Q147" s="435"/>
      <c r="R147" s="435"/>
      <c r="S147" s="435"/>
      <c r="T147" s="435"/>
      <c r="U147" s="435"/>
      <c r="V147" s="435"/>
      <c r="W147" s="463"/>
      <c r="X147" s="435"/>
      <c r="Y147" s="435"/>
      <c r="Z147" s="435"/>
      <c r="AA147" s="435"/>
      <c r="AB147" s="435"/>
      <c r="AC147" s="408"/>
      <c r="AD147" s="410"/>
      <c r="AE147" s="110"/>
      <c r="AF147" s="110"/>
      <c r="AG147" s="110"/>
      <c r="AH147" s="110"/>
      <c r="AI147" s="110"/>
      <c r="AJ147" s="226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spans="1:46" ht="15" customHeight="1">
      <c r="A148" s="110"/>
      <c r="B148" s="4"/>
      <c r="C148" s="4"/>
      <c r="D148" s="118"/>
      <c r="E148" s="118"/>
      <c r="F148" s="118"/>
      <c r="G148" s="408"/>
      <c r="H148" s="408"/>
      <c r="I148" s="408"/>
      <c r="J148" s="408"/>
      <c r="K148" s="463"/>
      <c r="L148" s="408"/>
      <c r="M148" s="118"/>
      <c r="N148" s="435"/>
      <c r="O148" s="435"/>
      <c r="P148" s="435"/>
      <c r="Q148" s="435"/>
      <c r="R148" s="435"/>
      <c r="S148" s="435"/>
      <c r="T148" s="435"/>
      <c r="U148" s="435"/>
      <c r="V148" s="435"/>
      <c r="W148" s="463"/>
      <c r="X148" s="435"/>
      <c r="Y148" s="435"/>
      <c r="Z148" s="435"/>
      <c r="AA148" s="435"/>
      <c r="AB148" s="435"/>
      <c r="AC148" s="408"/>
      <c r="AD148" s="410"/>
      <c r="AE148" s="110"/>
      <c r="AF148" s="110"/>
      <c r="AG148" s="110"/>
      <c r="AH148" s="110"/>
      <c r="AI148" s="110"/>
      <c r="AJ148" s="226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spans="1:46" ht="15" customHeight="1">
      <c r="A149" s="110"/>
      <c r="B149" s="4"/>
      <c r="C149" s="4"/>
      <c r="D149" s="118"/>
      <c r="E149" s="118"/>
      <c r="F149" s="118"/>
      <c r="G149" s="408"/>
      <c r="H149" s="408"/>
      <c r="I149" s="408"/>
      <c r="J149" s="408"/>
      <c r="K149" s="463"/>
      <c r="L149" s="408"/>
      <c r="M149" s="118"/>
      <c r="N149" s="435"/>
      <c r="O149" s="435"/>
      <c r="P149" s="435"/>
      <c r="Q149" s="435"/>
      <c r="R149" s="435"/>
      <c r="S149" s="435"/>
      <c r="T149" s="435"/>
      <c r="U149" s="435"/>
      <c r="V149" s="435"/>
      <c r="W149" s="463"/>
      <c r="X149" s="435"/>
      <c r="Y149" s="435"/>
      <c r="Z149" s="435"/>
      <c r="AA149" s="435"/>
      <c r="AB149" s="435"/>
      <c r="AC149" s="408"/>
      <c r="AD149" s="410"/>
      <c r="AE149" s="110"/>
      <c r="AF149" s="110"/>
      <c r="AG149" s="110"/>
      <c r="AH149" s="110"/>
      <c r="AI149" s="110"/>
      <c r="AJ149" s="226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spans="1:46" ht="15" customHeight="1">
      <c r="A150" s="110"/>
      <c r="B150" s="4"/>
      <c r="C150" s="4"/>
      <c r="D150" s="118"/>
      <c r="E150" s="118"/>
      <c r="F150" s="118"/>
      <c r="G150" s="408"/>
      <c r="H150" s="408"/>
      <c r="I150" s="408"/>
      <c r="J150" s="408"/>
      <c r="K150" s="463"/>
      <c r="L150" s="408"/>
      <c r="M150" s="118"/>
      <c r="N150" s="435"/>
      <c r="O150" s="435"/>
      <c r="P150" s="435"/>
      <c r="Q150" s="435"/>
      <c r="R150" s="435"/>
      <c r="S150" s="435"/>
      <c r="T150" s="435"/>
      <c r="U150" s="435"/>
      <c r="V150" s="435"/>
      <c r="W150" s="463"/>
      <c r="X150" s="435"/>
      <c r="Y150" s="435"/>
      <c r="Z150" s="435"/>
      <c r="AA150" s="435"/>
      <c r="AB150" s="435"/>
      <c r="AC150" s="408"/>
      <c r="AD150" s="410"/>
      <c r="AE150" s="110"/>
      <c r="AF150" s="110"/>
      <c r="AG150" s="110"/>
      <c r="AH150" s="110"/>
      <c r="AI150" s="110"/>
      <c r="AJ150" s="226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spans="1:46" ht="15" customHeight="1">
      <c r="A151" s="110"/>
      <c r="B151" s="4"/>
      <c r="C151" s="4"/>
      <c r="D151" s="118"/>
      <c r="E151" s="118"/>
      <c r="F151" s="118"/>
      <c r="G151" s="408"/>
      <c r="H151" s="408"/>
      <c r="I151" s="408"/>
      <c r="J151" s="408"/>
      <c r="K151" s="463"/>
      <c r="L151" s="408"/>
      <c r="M151" s="118"/>
      <c r="N151" s="435"/>
      <c r="O151" s="435"/>
      <c r="P151" s="435"/>
      <c r="Q151" s="435"/>
      <c r="R151" s="435"/>
      <c r="S151" s="435"/>
      <c r="T151" s="435"/>
      <c r="U151" s="435"/>
      <c r="V151" s="435"/>
      <c r="W151" s="463"/>
      <c r="X151" s="435"/>
      <c r="Y151" s="435"/>
      <c r="Z151" s="435"/>
      <c r="AA151" s="435"/>
      <c r="AB151" s="435"/>
      <c r="AC151" s="408"/>
      <c r="AD151" s="410"/>
      <c r="AE151" s="110"/>
      <c r="AF151" s="110"/>
      <c r="AG151" s="110"/>
      <c r="AH151" s="110"/>
      <c r="AI151" s="110"/>
      <c r="AJ151" s="226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spans="1:46" ht="15" customHeight="1">
      <c r="A152" s="110"/>
      <c r="B152" s="4"/>
      <c r="C152" s="4"/>
      <c r="D152" s="118"/>
      <c r="E152" s="118"/>
      <c r="F152" s="118"/>
      <c r="G152" s="408"/>
      <c r="H152" s="408"/>
      <c r="I152" s="408"/>
      <c r="J152" s="408"/>
      <c r="K152" s="463"/>
      <c r="L152" s="408"/>
      <c r="M152" s="118"/>
      <c r="N152" s="435"/>
      <c r="O152" s="435"/>
      <c r="P152" s="435"/>
      <c r="Q152" s="435"/>
      <c r="R152" s="435"/>
      <c r="S152" s="435"/>
      <c r="T152" s="435"/>
      <c r="U152" s="435"/>
      <c r="V152" s="435"/>
      <c r="W152" s="463"/>
      <c r="X152" s="435"/>
      <c r="Y152" s="435"/>
      <c r="Z152" s="435"/>
      <c r="AA152" s="435"/>
      <c r="AB152" s="435"/>
      <c r="AC152" s="408"/>
      <c r="AD152" s="410"/>
      <c r="AE152" s="110"/>
      <c r="AF152" s="110"/>
      <c r="AG152" s="110"/>
      <c r="AH152" s="110"/>
      <c r="AI152" s="110"/>
      <c r="AJ152" s="226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spans="1:46" ht="15" customHeight="1">
      <c r="A153" s="110"/>
      <c r="B153" s="4"/>
      <c r="C153" s="4" t="s">
        <v>3842</v>
      </c>
      <c r="D153" s="118"/>
      <c r="E153" s="118"/>
      <c r="F153" s="118"/>
      <c r="G153" s="408"/>
      <c r="H153" s="408"/>
      <c r="I153" s="408"/>
      <c r="J153" s="408"/>
      <c r="K153" s="463"/>
      <c r="L153" s="408"/>
      <c r="M153" s="118"/>
      <c r="N153" s="435"/>
      <c r="O153" s="435"/>
      <c r="P153" s="435"/>
      <c r="Q153" s="435"/>
      <c r="R153" s="435"/>
      <c r="S153" s="435"/>
      <c r="T153" s="435"/>
      <c r="U153" s="435"/>
      <c r="V153" s="435"/>
      <c r="W153" s="463"/>
      <c r="X153" s="435"/>
      <c r="Y153" s="435"/>
      <c r="Z153" s="435"/>
      <c r="AA153" s="435"/>
      <c r="AB153" s="435"/>
      <c r="AC153" s="408"/>
      <c r="AD153" s="410"/>
      <c r="AE153" s="110"/>
      <c r="AF153" s="110"/>
      <c r="AG153" s="110"/>
      <c r="AH153" s="110"/>
      <c r="AI153" s="110"/>
      <c r="AJ153" s="226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spans="1:46" ht="15" customHeight="1">
      <c r="A154" s="110"/>
      <c r="B154" s="4"/>
      <c r="C154" s="4"/>
      <c r="D154" s="118"/>
      <c r="E154" s="118"/>
      <c r="F154" s="118"/>
      <c r="G154" s="408"/>
      <c r="H154" s="408"/>
      <c r="I154" s="408"/>
      <c r="J154" s="408"/>
      <c r="K154" s="463"/>
      <c r="L154" s="408"/>
      <c r="M154" s="118"/>
      <c r="N154" s="435"/>
      <c r="O154" s="435"/>
      <c r="P154" s="435"/>
      <c r="Q154" s="435"/>
      <c r="R154" s="435"/>
      <c r="S154" s="435"/>
      <c r="T154" s="435"/>
      <c r="U154" s="435"/>
      <c r="V154" s="435"/>
      <c r="W154" s="463"/>
      <c r="X154" s="435"/>
      <c r="Y154" s="435"/>
      <c r="Z154" s="435"/>
      <c r="AA154" s="435"/>
      <c r="AB154" s="435"/>
      <c r="AC154" s="408"/>
      <c r="AD154" s="410"/>
      <c r="AE154" s="110"/>
      <c r="AF154" s="110"/>
      <c r="AG154" s="110"/>
      <c r="AH154" s="110"/>
      <c r="AI154" s="110"/>
      <c r="AJ154" s="226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spans="1:46" ht="15" customHeight="1">
      <c r="A155" s="110"/>
      <c r="B155" s="110"/>
      <c r="C155" s="110"/>
      <c r="D155" s="118"/>
      <c r="E155" s="118"/>
      <c r="F155" s="118"/>
      <c r="G155" s="408"/>
      <c r="H155" s="408"/>
      <c r="I155" s="408"/>
      <c r="J155" s="408"/>
      <c r="K155" s="463"/>
      <c r="L155" s="408"/>
      <c r="M155" s="118"/>
      <c r="N155" s="435"/>
      <c r="O155" s="435"/>
      <c r="P155" s="435"/>
      <c r="Q155" s="435"/>
      <c r="R155" s="435"/>
      <c r="S155" s="435"/>
      <c r="T155" s="435"/>
      <c r="U155" s="435"/>
      <c r="V155" s="435"/>
      <c r="W155" s="463"/>
      <c r="X155" s="435"/>
      <c r="Y155" s="435"/>
      <c r="Z155" s="435"/>
      <c r="AA155" s="435"/>
      <c r="AB155" s="435"/>
      <c r="AC155" s="408"/>
      <c r="AD155" s="410"/>
      <c r="AE155" s="110"/>
      <c r="AF155" s="110"/>
      <c r="AG155" s="110"/>
      <c r="AH155" s="110"/>
      <c r="AI155" s="110"/>
      <c r="AJ155" s="226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spans="1:46" ht="15.75" customHeight="1">
      <c r="A156" s="4"/>
      <c r="B156" s="4"/>
      <c r="C156" s="4"/>
      <c r="D156" s="102"/>
      <c r="E156" s="102"/>
      <c r="F156" s="102"/>
      <c r="G156" s="3"/>
      <c r="H156" s="3"/>
      <c r="I156" s="3"/>
      <c r="J156" s="3"/>
      <c r="K156" s="476"/>
      <c r="L156" s="3"/>
      <c r="M156" s="102"/>
      <c r="N156" s="445"/>
      <c r="O156" s="445"/>
      <c r="P156" s="445"/>
      <c r="Q156" s="445"/>
      <c r="R156" s="445"/>
      <c r="S156" s="445"/>
      <c r="T156" s="445"/>
      <c r="U156" s="445"/>
      <c r="V156" s="445"/>
      <c r="W156" s="476"/>
      <c r="X156" s="445"/>
      <c r="Y156" s="445"/>
      <c r="Z156" s="445"/>
      <c r="AA156" s="445"/>
      <c r="AB156" s="445"/>
      <c r="AC156" s="3"/>
      <c r="AD156" s="134"/>
      <c r="AE156" s="4"/>
      <c r="AF156" s="4"/>
      <c r="AG156" s="4"/>
      <c r="AH156" s="4"/>
      <c r="AI156" s="4"/>
      <c r="AJ156" s="226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1:46" ht="15.75" customHeight="1">
      <c r="A157" s="4"/>
      <c r="B157" s="4"/>
      <c r="C157" s="4"/>
      <c r="D157" s="102"/>
      <c r="E157" s="102"/>
      <c r="F157" s="102"/>
      <c r="G157" s="3"/>
      <c r="H157" s="3"/>
      <c r="I157" s="3"/>
      <c r="J157" s="3"/>
      <c r="K157" s="476"/>
      <c r="L157" s="3"/>
      <c r="M157" s="102"/>
      <c r="N157" s="445"/>
      <c r="O157" s="445"/>
      <c r="P157" s="445"/>
      <c r="Q157" s="445"/>
      <c r="R157" s="445"/>
      <c r="S157" s="445"/>
      <c r="T157" s="445"/>
      <c r="U157" s="445"/>
      <c r="V157" s="445"/>
      <c r="W157" s="476"/>
      <c r="X157" s="445"/>
      <c r="Y157" s="445"/>
      <c r="Z157" s="445"/>
      <c r="AA157" s="445"/>
      <c r="AB157" s="445"/>
      <c r="AC157" s="3"/>
      <c r="AD157" s="134"/>
      <c r="AE157" s="4"/>
      <c r="AF157" s="4"/>
      <c r="AG157" s="4"/>
      <c r="AH157" s="4"/>
      <c r="AI157" s="4"/>
      <c r="AJ157" s="226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spans="1:46" ht="15.75" customHeight="1">
      <c r="A158" s="4"/>
      <c r="B158" s="4"/>
      <c r="C158" s="4"/>
      <c r="D158" s="102"/>
      <c r="E158" s="102"/>
      <c r="F158" s="102"/>
      <c r="G158" s="3"/>
      <c r="H158" s="3"/>
      <c r="I158" s="3"/>
      <c r="J158" s="3"/>
      <c r="K158" s="476"/>
      <c r="L158" s="3"/>
      <c r="M158" s="102"/>
      <c r="N158" s="445"/>
      <c r="O158" s="445"/>
      <c r="P158" s="445"/>
      <c r="Q158" s="445"/>
      <c r="R158" s="445"/>
      <c r="S158" s="445"/>
      <c r="T158" s="445"/>
      <c r="U158" s="445"/>
      <c r="V158" s="445"/>
      <c r="W158" s="476"/>
      <c r="X158" s="445"/>
      <c r="Y158" s="445"/>
      <c r="Z158" s="445"/>
      <c r="AA158" s="445"/>
      <c r="AB158" s="445"/>
      <c r="AC158" s="3"/>
      <c r="AD158" s="134"/>
      <c r="AE158" s="4"/>
      <c r="AF158" s="4"/>
      <c r="AG158" s="4"/>
      <c r="AH158" s="4"/>
      <c r="AI158" s="4"/>
      <c r="AJ158" s="226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spans="1:46" ht="15.75" customHeight="1">
      <c r="A159" s="4"/>
      <c r="B159" s="4"/>
      <c r="C159" s="4"/>
      <c r="D159" s="102"/>
      <c r="E159" s="102"/>
      <c r="F159" s="102"/>
      <c r="G159" s="3"/>
      <c r="H159" s="3"/>
      <c r="I159" s="3"/>
      <c r="J159" s="3"/>
      <c r="K159" s="476"/>
      <c r="L159" s="3"/>
      <c r="M159" s="102"/>
      <c r="N159" s="445"/>
      <c r="O159" s="445"/>
      <c r="P159" s="445"/>
      <c r="Q159" s="445"/>
      <c r="R159" s="445"/>
      <c r="S159" s="445"/>
      <c r="T159" s="445"/>
      <c r="U159" s="445"/>
      <c r="V159" s="445"/>
      <c r="W159" s="476"/>
      <c r="X159" s="445"/>
      <c r="Y159" s="445"/>
      <c r="Z159" s="445"/>
      <c r="AA159" s="445"/>
      <c r="AB159" s="445"/>
      <c r="AC159" s="3"/>
      <c r="AD159" s="134"/>
      <c r="AE159" s="4"/>
      <c r="AF159" s="4"/>
      <c r="AG159" s="4"/>
      <c r="AH159" s="4"/>
      <c r="AI159" s="4"/>
      <c r="AJ159" s="226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spans="1:46" ht="15.75" customHeight="1">
      <c r="A160" s="4"/>
      <c r="B160" s="4"/>
      <c r="C160" s="4"/>
      <c r="D160" s="102"/>
      <c r="E160" s="102"/>
      <c r="F160" s="102"/>
      <c r="G160" s="3"/>
      <c r="H160" s="3"/>
      <c r="I160" s="3"/>
      <c r="J160" s="3"/>
      <c r="K160" s="476"/>
      <c r="L160" s="3"/>
      <c r="M160" s="102"/>
      <c r="N160" s="445"/>
      <c r="O160" s="445"/>
      <c r="P160" s="445"/>
      <c r="Q160" s="445"/>
      <c r="R160" s="445"/>
      <c r="S160" s="445"/>
      <c r="T160" s="445"/>
      <c r="U160" s="445"/>
      <c r="V160" s="445"/>
      <c r="W160" s="476"/>
      <c r="X160" s="445"/>
      <c r="Y160" s="445"/>
      <c r="Z160" s="445"/>
      <c r="AA160" s="445"/>
      <c r="AB160" s="445"/>
      <c r="AC160" s="3"/>
      <c r="AD160" s="134"/>
      <c r="AE160" s="4"/>
      <c r="AF160" s="4"/>
      <c r="AG160" s="4"/>
      <c r="AH160" s="4"/>
      <c r="AI160" s="4"/>
      <c r="AJ160" s="226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spans="1:46" ht="15.75" customHeight="1">
      <c r="A161" s="4"/>
      <c r="B161" s="4"/>
      <c r="C161" s="4"/>
      <c r="D161" s="102"/>
      <c r="E161" s="102"/>
      <c r="F161" s="102"/>
      <c r="G161" s="3"/>
      <c r="H161" s="3"/>
      <c r="I161" s="3"/>
      <c r="J161" s="3"/>
      <c r="K161" s="476"/>
      <c r="L161" s="3"/>
      <c r="M161" s="102"/>
      <c r="N161" s="445"/>
      <c r="O161" s="445"/>
      <c r="P161" s="445"/>
      <c r="Q161" s="445"/>
      <c r="R161" s="445"/>
      <c r="S161" s="445"/>
      <c r="T161" s="445"/>
      <c r="U161" s="445"/>
      <c r="V161" s="445"/>
      <c r="W161" s="476"/>
      <c r="X161" s="445"/>
      <c r="Y161" s="445"/>
      <c r="Z161" s="445"/>
      <c r="AA161" s="445"/>
      <c r="AB161" s="445"/>
      <c r="AC161" s="3"/>
      <c r="AD161" s="134"/>
      <c r="AE161" s="4"/>
      <c r="AF161" s="4"/>
      <c r="AG161" s="4"/>
      <c r="AH161" s="4"/>
      <c r="AI161" s="4"/>
      <c r="AJ161" s="226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spans="1:46" ht="15.75" customHeight="1">
      <c r="A162" s="4"/>
      <c r="B162" s="4"/>
      <c r="C162" s="4"/>
      <c r="D162" s="102"/>
      <c r="E162" s="102"/>
      <c r="F162" s="102"/>
      <c r="G162" s="3"/>
      <c r="H162" s="3"/>
      <c r="I162" s="3"/>
      <c r="J162" s="3"/>
      <c r="K162" s="476"/>
      <c r="L162" s="3"/>
      <c r="M162" s="102"/>
      <c r="N162" s="445"/>
      <c r="O162" s="445"/>
      <c r="P162" s="445"/>
      <c r="Q162" s="445"/>
      <c r="R162" s="445"/>
      <c r="S162" s="445"/>
      <c r="T162" s="445"/>
      <c r="U162" s="445"/>
      <c r="V162" s="445"/>
      <c r="W162" s="476"/>
      <c r="X162" s="445"/>
      <c r="Y162" s="445"/>
      <c r="Z162" s="445"/>
      <c r="AA162" s="445"/>
      <c r="AB162" s="445"/>
      <c r="AC162" s="3"/>
      <c r="AD162" s="134"/>
      <c r="AE162" s="4"/>
      <c r="AF162" s="4"/>
      <c r="AG162" s="4"/>
      <c r="AH162" s="4"/>
      <c r="AI162" s="4"/>
      <c r="AJ162" s="226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spans="1:46" ht="15.75" customHeight="1">
      <c r="A163" s="4"/>
      <c r="B163" s="4"/>
      <c r="C163" s="4"/>
      <c r="D163" s="102"/>
      <c r="E163" s="102"/>
      <c r="F163" s="102"/>
      <c r="G163" s="3"/>
      <c r="H163" s="3"/>
      <c r="I163" s="3"/>
      <c r="J163" s="3"/>
      <c r="K163" s="476"/>
      <c r="L163" s="3"/>
      <c r="M163" s="102"/>
      <c r="N163" s="445"/>
      <c r="O163" s="445"/>
      <c r="P163" s="445"/>
      <c r="Q163" s="445"/>
      <c r="R163" s="445"/>
      <c r="S163" s="445"/>
      <c r="T163" s="445"/>
      <c r="U163" s="445"/>
      <c r="V163" s="445"/>
      <c r="W163" s="476"/>
      <c r="X163" s="445"/>
      <c r="Y163" s="445"/>
      <c r="Z163" s="445"/>
      <c r="AA163" s="445"/>
      <c r="AB163" s="445"/>
      <c r="AC163" s="3"/>
      <c r="AD163" s="134"/>
      <c r="AE163" s="4"/>
      <c r="AF163" s="4"/>
      <c r="AG163" s="4"/>
      <c r="AH163" s="4"/>
      <c r="AI163" s="4"/>
      <c r="AJ163" s="226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spans="1:46" ht="15.75" customHeight="1">
      <c r="A164" s="4"/>
      <c r="B164" s="4"/>
      <c r="C164" s="4"/>
      <c r="D164" s="102"/>
      <c r="E164" s="102"/>
      <c r="F164" s="102"/>
      <c r="G164" s="3"/>
      <c r="H164" s="3"/>
      <c r="I164" s="3"/>
      <c r="J164" s="3"/>
      <c r="K164" s="476"/>
      <c r="L164" s="3"/>
      <c r="M164" s="102"/>
      <c r="N164" s="445"/>
      <c r="O164" s="445"/>
      <c r="P164" s="445"/>
      <c r="Q164" s="445"/>
      <c r="R164" s="445"/>
      <c r="S164" s="445"/>
      <c r="T164" s="445"/>
      <c r="U164" s="445"/>
      <c r="V164" s="445"/>
      <c r="W164" s="476"/>
      <c r="X164" s="445"/>
      <c r="Y164" s="445"/>
      <c r="Z164" s="445"/>
      <c r="AA164" s="445"/>
      <c r="AB164" s="445"/>
      <c r="AC164" s="3"/>
      <c r="AD164" s="134"/>
      <c r="AE164" s="4"/>
      <c r="AF164" s="4"/>
      <c r="AG164" s="4"/>
      <c r="AH164" s="4"/>
      <c r="AI164" s="4"/>
      <c r="AJ164" s="226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spans="1:46" ht="15.75" customHeight="1">
      <c r="A165" s="4"/>
      <c r="B165" s="4"/>
      <c r="C165" s="4"/>
      <c r="D165" s="102"/>
      <c r="E165" s="102"/>
      <c r="F165" s="102"/>
      <c r="G165" s="3"/>
      <c r="H165" s="3"/>
      <c r="I165" s="3"/>
      <c r="J165" s="3"/>
      <c r="K165" s="3"/>
      <c r="L165" s="3"/>
      <c r="M165" s="102"/>
      <c r="N165" s="445"/>
      <c r="O165" s="445"/>
      <c r="P165" s="445"/>
      <c r="Q165" s="445"/>
      <c r="R165" s="445"/>
      <c r="S165" s="445"/>
      <c r="T165" s="445"/>
      <c r="U165" s="445"/>
      <c r="V165" s="445"/>
      <c r="W165" s="476"/>
      <c r="X165" s="445"/>
      <c r="Y165" s="445"/>
      <c r="Z165" s="445"/>
      <c r="AA165" s="445"/>
      <c r="AB165" s="445"/>
      <c r="AC165" s="3"/>
      <c r="AD165" s="134"/>
      <c r="AE165" s="4"/>
      <c r="AF165" s="4"/>
      <c r="AG165" s="4"/>
      <c r="AH165" s="4"/>
      <c r="AI165" s="4"/>
      <c r="AJ165" s="226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spans="1:46" ht="15.75" customHeight="1">
      <c r="A166" s="4"/>
      <c r="B166" s="4"/>
      <c r="C166" s="4"/>
      <c r="D166" s="102"/>
      <c r="E166" s="102"/>
      <c r="F166" s="102"/>
      <c r="G166" s="3"/>
      <c r="H166" s="3"/>
      <c r="I166" s="3"/>
      <c r="J166" s="3"/>
      <c r="K166" s="3"/>
      <c r="L166" s="3"/>
      <c r="M166" s="102"/>
      <c r="N166" s="445"/>
      <c r="O166" s="445"/>
      <c r="P166" s="445"/>
      <c r="Q166" s="445"/>
      <c r="R166" s="445"/>
      <c r="S166" s="445"/>
      <c r="T166" s="445"/>
      <c r="U166" s="445"/>
      <c r="V166" s="445"/>
      <c r="W166" s="476"/>
      <c r="X166" s="445"/>
      <c r="Y166" s="445"/>
      <c r="Z166" s="445"/>
      <c r="AA166" s="445"/>
      <c r="AB166" s="445"/>
      <c r="AC166" s="3"/>
      <c r="AD166" s="134"/>
      <c r="AE166" s="4"/>
      <c r="AF166" s="4"/>
      <c r="AG166" s="4"/>
      <c r="AH166" s="4"/>
      <c r="AI166" s="4"/>
      <c r="AJ166" s="226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spans="1:46" ht="15.75" customHeight="1">
      <c r="A167" s="4"/>
      <c r="B167" s="4"/>
      <c r="C167" s="4"/>
      <c r="D167" s="102"/>
      <c r="E167" s="102"/>
      <c r="F167" s="102"/>
      <c r="G167" s="3"/>
      <c r="H167" s="3"/>
      <c r="I167" s="3"/>
      <c r="J167" s="3"/>
      <c r="K167" s="3"/>
      <c r="L167" s="3"/>
      <c r="M167" s="102"/>
      <c r="N167" s="445"/>
      <c r="O167" s="445"/>
      <c r="P167" s="445"/>
      <c r="Q167" s="445"/>
      <c r="R167" s="445"/>
      <c r="S167" s="445"/>
      <c r="T167" s="445"/>
      <c r="U167" s="445"/>
      <c r="V167" s="445"/>
      <c r="W167" s="476"/>
      <c r="X167" s="445"/>
      <c r="Y167" s="445"/>
      <c r="Z167" s="445"/>
      <c r="AA167" s="445"/>
      <c r="AB167" s="445"/>
      <c r="AC167" s="3"/>
      <c r="AD167" s="134"/>
      <c r="AE167" s="4"/>
      <c r="AF167" s="4"/>
      <c r="AG167" s="4"/>
      <c r="AH167" s="4"/>
      <c r="AI167" s="4"/>
      <c r="AJ167" s="226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spans="1:46" ht="15.75" customHeight="1">
      <c r="A168" s="4"/>
      <c r="B168" s="4"/>
      <c r="C168" s="4"/>
      <c r="D168" s="102"/>
      <c r="E168" s="102"/>
      <c r="F168" s="102"/>
      <c r="G168" s="3"/>
      <c r="H168" s="3"/>
      <c r="I168" s="3"/>
      <c r="J168" s="3"/>
      <c r="K168" s="3"/>
      <c r="L168" s="3"/>
      <c r="M168" s="102"/>
      <c r="N168" s="445"/>
      <c r="O168" s="445"/>
      <c r="P168" s="445"/>
      <c r="Q168" s="445"/>
      <c r="R168" s="445"/>
      <c r="S168" s="445"/>
      <c r="T168" s="445"/>
      <c r="U168" s="445"/>
      <c r="V168" s="445"/>
      <c r="W168" s="476"/>
      <c r="X168" s="445"/>
      <c r="Y168" s="445"/>
      <c r="Z168" s="445"/>
      <c r="AA168" s="445"/>
      <c r="AB168" s="445"/>
      <c r="AC168" s="3"/>
      <c r="AD168" s="134"/>
      <c r="AE168" s="4"/>
      <c r="AF168" s="4"/>
      <c r="AG168" s="4"/>
      <c r="AH168" s="4"/>
      <c r="AI168" s="4"/>
      <c r="AJ168" s="226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spans="1:46" ht="15.75" customHeight="1">
      <c r="A169" s="4"/>
      <c r="B169" s="4"/>
      <c r="C169" s="4"/>
      <c r="D169" s="102"/>
      <c r="E169" s="102"/>
      <c r="F169" s="102"/>
      <c r="G169" s="3"/>
      <c r="H169" s="3"/>
      <c r="I169" s="3"/>
      <c r="J169" s="3"/>
      <c r="K169" s="3"/>
      <c r="L169" s="3"/>
      <c r="M169" s="102"/>
      <c r="N169" s="445"/>
      <c r="O169" s="445"/>
      <c r="P169" s="445"/>
      <c r="Q169" s="445"/>
      <c r="R169" s="445"/>
      <c r="S169" s="445"/>
      <c r="T169" s="445"/>
      <c r="U169" s="445"/>
      <c r="V169" s="445"/>
      <c r="W169" s="476"/>
      <c r="X169" s="445"/>
      <c r="Y169" s="445"/>
      <c r="Z169" s="445"/>
      <c r="AA169" s="445"/>
      <c r="AB169" s="445"/>
      <c r="AC169" s="3"/>
      <c r="AD169" s="134"/>
      <c r="AE169" s="4"/>
      <c r="AF169" s="4"/>
      <c r="AG169" s="4"/>
      <c r="AH169" s="4"/>
      <c r="AI169" s="4"/>
      <c r="AJ169" s="226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spans="1:46" ht="15.75" customHeight="1">
      <c r="A170" s="4"/>
      <c r="B170" s="4"/>
      <c r="C170" s="4"/>
      <c r="D170" s="102"/>
      <c r="E170" s="102"/>
      <c r="F170" s="102"/>
      <c r="G170" s="3"/>
      <c r="H170" s="3"/>
      <c r="I170" s="3"/>
      <c r="J170" s="3"/>
      <c r="K170" s="3"/>
      <c r="L170" s="3"/>
      <c r="M170" s="102"/>
      <c r="N170" s="445"/>
      <c r="O170" s="445"/>
      <c r="P170" s="445"/>
      <c r="Q170" s="445"/>
      <c r="R170" s="445"/>
      <c r="S170" s="445"/>
      <c r="T170" s="445"/>
      <c r="U170" s="445"/>
      <c r="V170" s="445"/>
      <c r="W170" s="476"/>
      <c r="X170" s="445"/>
      <c r="Y170" s="445"/>
      <c r="Z170" s="445"/>
      <c r="AA170" s="445"/>
      <c r="AB170" s="445"/>
      <c r="AC170" s="3"/>
      <c r="AD170" s="134"/>
      <c r="AE170" s="4"/>
      <c r="AF170" s="4"/>
      <c r="AG170" s="4"/>
      <c r="AH170" s="4"/>
      <c r="AI170" s="4"/>
      <c r="AJ170" s="226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spans="1:46" ht="15.75" customHeight="1">
      <c r="A171" s="4"/>
      <c r="B171" s="4"/>
      <c r="C171" s="4"/>
      <c r="D171" s="102"/>
      <c r="E171" s="102"/>
      <c r="F171" s="102"/>
      <c r="G171" s="3"/>
      <c r="H171" s="3"/>
      <c r="I171" s="3"/>
      <c r="J171" s="3"/>
      <c r="K171" s="3"/>
      <c r="L171" s="3"/>
      <c r="M171" s="102"/>
      <c r="N171" s="445"/>
      <c r="O171" s="445"/>
      <c r="P171" s="445"/>
      <c r="Q171" s="445"/>
      <c r="R171" s="445"/>
      <c r="S171" s="445"/>
      <c r="T171" s="445"/>
      <c r="U171" s="445"/>
      <c r="V171" s="445"/>
      <c r="W171" s="476"/>
      <c r="X171" s="445"/>
      <c r="Y171" s="445"/>
      <c r="Z171" s="445"/>
      <c r="AA171" s="445"/>
      <c r="AB171" s="445"/>
      <c r="AC171" s="3"/>
      <c r="AD171" s="134"/>
      <c r="AE171" s="4"/>
      <c r="AF171" s="4"/>
      <c r="AG171" s="4"/>
      <c r="AH171" s="4"/>
      <c r="AI171" s="4"/>
      <c r="AJ171" s="226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1:46" ht="15.75" customHeight="1">
      <c r="A172" s="4"/>
      <c r="B172" s="4"/>
      <c r="C172" s="4"/>
      <c r="D172" s="102"/>
      <c r="E172" s="102"/>
      <c r="F172" s="102"/>
      <c r="G172" s="3"/>
      <c r="H172" s="3"/>
      <c r="I172" s="3"/>
      <c r="J172" s="3"/>
      <c r="K172" s="3"/>
      <c r="L172" s="3"/>
      <c r="M172" s="102"/>
      <c r="N172" s="445"/>
      <c r="O172" s="445"/>
      <c r="P172" s="445"/>
      <c r="Q172" s="445"/>
      <c r="R172" s="445"/>
      <c r="S172" s="445"/>
      <c r="T172" s="445"/>
      <c r="U172" s="445"/>
      <c r="V172" s="445"/>
      <c r="W172" s="476"/>
      <c r="X172" s="445"/>
      <c r="Y172" s="445"/>
      <c r="Z172" s="445"/>
      <c r="AA172" s="445"/>
      <c r="AB172" s="445"/>
      <c r="AC172" s="3"/>
      <c r="AD172" s="134"/>
      <c r="AE172" s="4"/>
      <c r="AF172" s="4"/>
      <c r="AG172" s="4"/>
      <c r="AH172" s="4"/>
      <c r="AI172" s="4"/>
      <c r="AJ172" s="226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1:46" ht="15.75" customHeight="1">
      <c r="A173" s="4"/>
      <c r="B173" s="4"/>
      <c r="C173" s="4"/>
      <c r="D173" s="102"/>
      <c r="E173" s="102"/>
      <c r="F173" s="102"/>
      <c r="G173" s="3"/>
      <c r="H173" s="3"/>
      <c r="I173" s="3"/>
      <c r="J173" s="3"/>
      <c r="K173" s="3"/>
      <c r="L173" s="3"/>
      <c r="M173" s="102"/>
      <c r="N173" s="445"/>
      <c r="O173" s="445"/>
      <c r="P173" s="445"/>
      <c r="Q173" s="445"/>
      <c r="R173" s="445"/>
      <c r="S173" s="445"/>
      <c r="T173" s="445"/>
      <c r="U173" s="445"/>
      <c r="V173" s="445"/>
      <c r="W173" s="476"/>
      <c r="X173" s="445"/>
      <c r="Y173" s="445"/>
      <c r="Z173" s="445"/>
      <c r="AA173" s="445"/>
      <c r="AB173" s="445"/>
      <c r="AC173" s="3"/>
      <c r="AD173" s="134"/>
      <c r="AE173" s="4"/>
      <c r="AF173" s="4"/>
      <c r="AG173" s="4"/>
      <c r="AH173" s="4"/>
      <c r="AI173" s="4"/>
      <c r="AJ173" s="226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1:46" ht="15.75" customHeight="1">
      <c r="A174" s="4"/>
      <c r="B174" s="4"/>
      <c r="C174" s="4"/>
      <c r="D174" s="102"/>
      <c r="E174" s="102"/>
      <c r="F174" s="102"/>
      <c r="G174" s="3"/>
      <c r="H174" s="3"/>
      <c r="I174" s="3"/>
      <c r="J174" s="3"/>
      <c r="K174" s="3"/>
      <c r="L174" s="3"/>
      <c r="M174" s="102"/>
      <c r="N174" s="445"/>
      <c r="O174" s="445"/>
      <c r="P174" s="445"/>
      <c r="Q174" s="445"/>
      <c r="R174" s="445"/>
      <c r="S174" s="445"/>
      <c r="T174" s="445"/>
      <c r="U174" s="445"/>
      <c r="V174" s="445"/>
      <c r="W174" s="476"/>
      <c r="X174" s="445"/>
      <c r="Y174" s="445"/>
      <c r="Z174" s="445"/>
      <c r="AA174" s="445"/>
      <c r="AB174" s="445"/>
      <c r="AC174" s="3"/>
      <c r="AD174" s="134"/>
      <c r="AE174" s="4"/>
      <c r="AF174" s="4"/>
      <c r="AG174" s="4"/>
      <c r="AH174" s="4"/>
      <c r="AI174" s="4"/>
      <c r="AJ174" s="226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ht="15.75" customHeight="1">
      <c r="A175" s="4"/>
      <c r="B175" s="4"/>
      <c r="C175" s="4"/>
      <c r="D175" s="102"/>
      <c r="E175" s="102"/>
      <c r="F175" s="102"/>
      <c r="G175" s="3"/>
      <c r="H175" s="3"/>
      <c r="I175" s="3"/>
      <c r="J175" s="3"/>
      <c r="K175" s="3"/>
      <c r="L175" s="3"/>
      <c r="M175" s="102"/>
      <c r="N175" s="445"/>
      <c r="O175" s="445"/>
      <c r="P175" s="445"/>
      <c r="Q175" s="445"/>
      <c r="R175" s="445"/>
      <c r="S175" s="445"/>
      <c r="T175" s="445"/>
      <c r="U175" s="445"/>
      <c r="V175" s="445"/>
      <c r="W175" s="476"/>
      <c r="X175" s="445"/>
      <c r="Y175" s="445"/>
      <c r="Z175" s="445"/>
      <c r="AA175" s="445"/>
      <c r="AB175" s="445"/>
      <c r="AC175" s="3"/>
      <c r="AD175" s="134"/>
      <c r="AE175" s="4"/>
      <c r="AF175" s="4"/>
      <c r="AG175" s="4"/>
      <c r="AH175" s="4"/>
      <c r="AI175" s="4"/>
      <c r="AJ175" s="226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1:46" ht="15.75" customHeight="1">
      <c r="A176" s="4"/>
      <c r="B176" s="4"/>
      <c r="C176" s="4"/>
      <c r="D176" s="102"/>
      <c r="E176" s="102"/>
      <c r="F176" s="102"/>
      <c r="G176" s="3"/>
      <c r="H176" s="3"/>
      <c r="I176" s="3"/>
      <c r="J176" s="3"/>
      <c r="K176" s="3"/>
      <c r="L176" s="3"/>
      <c r="M176" s="102"/>
      <c r="N176" s="445"/>
      <c r="O176" s="445"/>
      <c r="P176" s="445"/>
      <c r="Q176" s="445"/>
      <c r="R176" s="445"/>
      <c r="S176" s="445"/>
      <c r="T176" s="445"/>
      <c r="U176" s="445"/>
      <c r="V176" s="445"/>
      <c r="W176" s="476"/>
      <c r="X176" s="445"/>
      <c r="Y176" s="445"/>
      <c r="Z176" s="445"/>
      <c r="AA176" s="445"/>
      <c r="AB176" s="445"/>
      <c r="AC176" s="3"/>
      <c r="AD176" s="134"/>
      <c r="AE176" s="4"/>
      <c r="AF176" s="4"/>
      <c r="AG176" s="4"/>
      <c r="AH176" s="4"/>
      <c r="AI176" s="4"/>
      <c r="AJ176" s="226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spans="1:46" ht="15.75" customHeight="1">
      <c r="A177" s="4"/>
      <c r="B177" s="4"/>
      <c r="C177" s="4"/>
      <c r="D177" s="102"/>
      <c r="E177" s="102"/>
      <c r="F177" s="102"/>
      <c r="G177" s="3"/>
      <c r="H177" s="3"/>
      <c r="I177" s="3"/>
      <c r="J177" s="3"/>
      <c r="K177" s="3"/>
      <c r="L177" s="3"/>
      <c r="M177" s="102"/>
      <c r="N177" s="445"/>
      <c r="O177" s="445"/>
      <c r="P177" s="445"/>
      <c r="Q177" s="445"/>
      <c r="R177" s="445"/>
      <c r="S177" s="445"/>
      <c r="T177" s="445"/>
      <c r="U177" s="445"/>
      <c r="V177" s="445"/>
      <c r="W177" s="476"/>
      <c r="X177" s="445"/>
      <c r="Y177" s="445"/>
      <c r="Z177" s="445"/>
      <c r="AA177" s="445"/>
      <c r="AB177" s="445"/>
      <c r="AC177" s="3"/>
      <c r="AD177" s="134"/>
      <c r="AE177" s="4"/>
      <c r="AF177" s="4"/>
      <c r="AG177" s="4"/>
      <c r="AH177" s="4"/>
      <c r="AI177" s="4"/>
      <c r="AJ177" s="226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1:46" ht="15.75" customHeight="1">
      <c r="A178" s="4"/>
      <c r="B178" s="4"/>
      <c r="C178" s="4"/>
      <c r="D178" s="102"/>
      <c r="E178" s="102"/>
      <c r="F178" s="102"/>
      <c r="G178" s="3"/>
      <c r="H178" s="3"/>
      <c r="I178" s="3"/>
      <c r="J178" s="3"/>
      <c r="K178" s="3"/>
      <c r="L178" s="3"/>
      <c r="M178" s="102"/>
      <c r="N178" s="445"/>
      <c r="O178" s="445"/>
      <c r="P178" s="445"/>
      <c r="Q178" s="445"/>
      <c r="R178" s="445"/>
      <c r="S178" s="445"/>
      <c r="T178" s="445"/>
      <c r="U178" s="445"/>
      <c r="V178" s="445"/>
      <c r="W178" s="476"/>
      <c r="X178" s="445"/>
      <c r="Y178" s="445"/>
      <c r="Z178" s="445"/>
      <c r="AA178" s="445"/>
      <c r="AB178" s="445"/>
      <c r="AC178" s="3"/>
      <c r="AD178" s="134"/>
      <c r="AE178" s="4"/>
      <c r="AF178" s="4"/>
      <c r="AG178" s="4"/>
      <c r="AH178" s="4"/>
      <c r="AI178" s="4"/>
      <c r="AJ178" s="226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1:46" ht="15.75" customHeight="1">
      <c r="A179" s="4"/>
      <c r="B179" s="4"/>
      <c r="C179" s="4"/>
      <c r="D179" s="102"/>
      <c r="E179" s="102"/>
      <c r="F179" s="102"/>
      <c r="G179" s="3"/>
      <c r="H179" s="3"/>
      <c r="I179" s="3"/>
      <c r="J179" s="3"/>
      <c r="K179" s="3"/>
      <c r="L179" s="3"/>
      <c r="M179" s="102"/>
      <c r="N179" s="445"/>
      <c r="O179" s="445"/>
      <c r="P179" s="445"/>
      <c r="Q179" s="445"/>
      <c r="R179" s="445"/>
      <c r="S179" s="445"/>
      <c r="T179" s="445"/>
      <c r="U179" s="445"/>
      <c r="V179" s="445"/>
      <c r="W179" s="476"/>
      <c r="X179" s="445"/>
      <c r="Y179" s="445"/>
      <c r="Z179" s="445"/>
      <c r="AA179" s="445"/>
      <c r="AB179" s="445"/>
      <c r="AC179" s="3"/>
      <c r="AD179" s="134"/>
      <c r="AE179" s="4"/>
      <c r="AF179" s="4"/>
      <c r="AG179" s="4"/>
      <c r="AH179" s="4"/>
      <c r="AI179" s="4"/>
      <c r="AJ179" s="226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spans="1:46" ht="15.75" customHeight="1">
      <c r="A180" s="4"/>
      <c r="B180" s="4"/>
      <c r="C180" s="4"/>
      <c r="D180" s="102"/>
      <c r="E180" s="102"/>
      <c r="F180" s="102"/>
      <c r="G180" s="3"/>
      <c r="H180" s="3"/>
      <c r="I180" s="3"/>
      <c r="J180" s="3"/>
      <c r="K180" s="3"/>
      <c r="L180" s="3"/>
      <c r="M180" s="102"/>
      <c r="N180" s="445"/>
      <c r="O180" s="445"/>
      <c r="P180" s="445"/>
      <c r="Q180" s="445"/>
      <c r="R180" s="445"/>
      <c r="S180" s="445"/>
      <c r="T180" s="445"/>
      <c r="U180" s="445"/>
      <c r="V180" s="445"/>
      <c r="W180" s="476"/>
      <c r="X180" s="445"/>
      <c r="Y180" s="445"/>
      <c r="Z180" s="445"/>
      <c r="AA180" s="445"/>
      <c r="AB180" s="445"/>
      <c r="AC180" s="3"/>
      <c r="AD180" s="134"/>
      <c r="AE180" s="4"/>
      <c r="AF180" s="4"/>
      <c r="AG180" s="4"/>
      <c r="AH180" s="4"/>
      <c r="AI180" s="4"/>
      <c r="AJ180" s="226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spans="1:46" ht="15.75" customHeight="1">
      <c r="A181" s="4"/>
      <c r="B181" s="4"/>
      <c r="C181" s="4"/>
      <c r="D181" s="102"/>
      <c r="E181" s="102"/>
      <c r="F181" s="102"/>
      <c r="G181" s="3"/>
      <c r="H181" s="3"/>
      <c r="I181" s="3"/>
      <c r="J181" s="3"/>
      <c r="K181" s="3"/>
      <c r="L181" s="3"/>
      <c r="M181" s="102"/>
      <c r="N181" s="445"/>
      <c r="O181" s="445"/>
      <c r="P181" s="445"/>
      <c r="Q181" s="445"/>
      <c r="R181" s="445"/>
      <c r="S181" s="445"/>
      <c r="T181" s="445"/>
      <c r="U181" s="445"/>
      <c r="V181" s="445"/>
      <c r="W181" s="476"/>
      <c r="X181" s="445"/>
      <c r="Y181" s="445"/>
      <c r="Z181" s="445"/>
      <c r="AA181" s="445"/>
      <c r="AB181" s="445"/>
      <c r="AC181" s="3"/>
      <c r="AD181" s="134"/>
      <c r="AE181" s="4"/>
      <c r="AF181" s="4"/>
      <c r="AG181" s="4"/>
      <c r="AH181" s="4"/>
      <c r="AI181" s="4"/>
      <c r="AJ181" s="226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spans="1:46" ht="15.75" customHeight="1">
      <c r="A182" s="4"/>
      <c r="B182" s="4"/>
      <c r="C182" s="4"/>
      <c r="D182" s="102"/>
      <c r="E182" s="102"/>
      <c r="F182" s="102"/>
      <c r="G182" s="3"/>
      <c r="H182" s="3"/>
      <c r="I182" s="3"/>
      <c r="J182" s="3"/>
      <c r="K182" s="3"/>
      <c r="L182" s="3"/>
      <c r="M182" s="102"/>
      <c r="N182" s="445"/>
      <c r="O182" s="445"/>
      <c r="P182" s="445"/>
      <c r="Q182" s="445"/>
      <c r="R182" s="445"/>
      <c r="S182" s="445"/>
      <c r="T182" s="445"/>
      <c r="U182" s="445"/>
      <c r="V182" s="445"/>
      <c r="W182" s="476"/>
      <c r="X182" s="445"/>
      <c r="Y182" s="445"/>
      <c r="Z182" s="445"/>
      <c r="AA182" s="445"/>
      <c r="AB182" s="445"/>
      <c r="AC182" s="3"/>
      <c r="AD182" s="134"/>
      <c r="AE182" s="4"/>
      <c r="AF182" s="4"/>
      <c r="AG182" s="4"/>
      <c r="AH182" s="4"/>
      <c r="AI182" s="4"/>
      <c r="AJ182" s="226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spans="1:46" ht="15.75" customHeight="1">
      <c r="A183" s="4"/>
      <c r="B183" s="4"/>
      <c r="C183" s="4"/>
      <c r="D183" s="102"/>
      <c r="E183" s="102"/>
      <c r="F183" s="102"/>
      <c r="G183" s="3"/>
      <c r="H183" s="3"/>
      <c r="I183" s="3"/>
      <c r="J183" s="3"/>
      <c r="K183" s="3"/>
      <c r="L183" s="3"/>
      <c r="M183" s="102"/>
      <c r="N183" s="445"/>
      <c r="O183" s="445"/>
      <c r="P183" s="445"/>
      <c r="Q183" s="445"/>
      <c r="R183" s="445"/>
      <c r="S183" s="445"/>
      <c r="T183" s="445"/>
      <c r="U183" s="445"/>
      <c r="V183" s="445"/>
      <c r="W183" s="476"/>
      <c r="X183" s="445"/>
      <c r="Y183" s="445"/>
      <c r="Z183" s="445"/>
      <c r="AA183" s="445"/>
      <c r="AB183" s="445"/>
      <c r="AC183" s="3"/>
      <c r="AD183" s="134"/>
      <c r="AE183" s="4"/>
      <c r="AF183" s="4"/>
      <c r="AG183" s="4"/>
      <c r="AH183" s="4"/>
      <c r="AI183" s="4"/>
      <c r="AJ183" s="226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spans="1:46" ht="15.75" customHeight="1">
      <c r="A184" s="4"/>
      <c r="B184" s="4"/>
      <c r="C184" s="4"/>
      <c r="D184" s="102"/>
      <c r="E184" s="102"/>
      <c r="F184" s="102"/>
      <c r="G184" s="3"/>
      <c r="H184" s="3"/>
      <c r="I184" s="3"/>
      <c r="J184" s="3"/>
      <c r="K184" s="3"/>
      <c r="L184" s="3"/>
      <c r="M184" s="102"/>
      <c r="N184" s="445"/>
      <c r="O184" s="445"/>
      <c r="P184" s="445"/>
      <c r="Q184" s="445"/>
      <c r="R184" s="445"/>
      <c r="S184" s="445"/>
      <c r="T184" s="445"/>
      <c r="U184" s="445"/>
      <c r="V184" s="445"/>
      <c r="W184" s="476"/>
      <c r="X184" s="445"/>
      <c r="Y184" s="445"/>
      <c r="Z184" s="445"/>
      <c r="AA184" s="445"/>
      <c r="AB184" s="445"/>
      <c r="AC184" s="3"/>
      <c r="AD184" s="134"/>
      <c r="AE184" s="4"/>
      <c r="AF184" s="4"/>
      <c r="AG184" s="4"/>
      <c r="AH184" s="4"/>
      <c r="AI184" s="4"/>
      <c r="AJ184" s="226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spans="1:46" ht="15.75" customHeight="1">
      <c r="A185" s="4"/>
      <c r="B185" s="4"/>
      <c r="C185" s="4"/>
      <c r="D185" s="102"/>
      <c r="E185" s="102"/>
      <c r="F185" s="102"/>
      <c r="G185" s="3"/>
      <c r="H185" s="3"/>
      <c r="I185" s="3"/>
      <c r="J185" s="3"/>
      <c r="K185" s="3"/>
      <c r="L185" s="3"/>
      <c r="M185" s="102"/>
      <c r="N185" s="445"/>
      <c r="O185" s="445"/>
      <c r="P185" s="445"/>
      <c r="Q185" s="445"/>
      <c r="R185" s="445"/>
      <c r="S185" s="445"/>
      <c r="T185" s="445"/>
      <c r="U185" s="445"/>
      <c r="V185" s="445"/>
      <c r="W185" s="476"/>
      <c r="X185" s="445"/>
      <c r="Y185" s="445"/>
      <c r="Z185" s="445"/>
      <c r="AA185" s="445"/>
      <c r="AB185" s="445"/>
      <c r="AC185" s="3"/>
      <c r="AD185" s="134"/>
      <c r="AE185" s="4"/>
      <c r="AF185" s="4"/>
      <c r="AG185" s="4"/>
      <c r="AH185" s="4"/>
      <c r="AI185" s="4"/>
      <c r="AJ185" s="226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spans="1:46" ht="15.75" customHeight="1">
      <c r="A186" s="4"/>
      <c r="B186" s="4"/>
      <c r="C186" s="4"/>
      <c r="D186" s="102"/>
      <c r="E186" s="102"/>
      <c r="F186" s="102"/>
      <c r="G186" s="3"/>
      <c r="H186" s="3"/>
      <c r="I186" s="3"/>
      <c r="J186" s="3"/>
      <c r="K186" s="3"/>
      <c r="L186" s="3"/>
      <c r="M186" s="102"/>
      <c r="N186" s="445"/>
      <c r="O186" s="445"/>
      <c r="P186" s="445"/>
      <c r="Q186" s="445"/>
      <c r="R186" s="445"/>
      <c r="S186" s="445"/>
      <c r="T186" s="445"/>
      <c r="U186" s="445"/>
      <c r="V186" s="445"/>
      <c r="W186" s="476"/>
      <c r="X186" s="445"/>
      <c r="Y186" s="445"/>
      <c r="Z186" s="445"/>
      <c r="AA186" s="445"/>
      <c r="AB186" s="445"/>
      <c r="AC186" s="3"/>
      <c r="AD186" s="134"/>
      <c r="AE186" s="4"/>
      <c r="AF186" s="4"/>
      <c r="AG186" s="4"/>
      <c r="AH186" s="4"/>
      <c r="AI186" s="4"/>
      <c r="AJ186" s="226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spans="1:46" ht="15.75" customHeight="1">
      <c r="A187" s="4"/>
      <c r="B187" s="4"/>
      <c r="C187" s="4"/>
      <c r="D187" s="102"/>
      <c r="E187" s="102"/>
      <c r="F187" s="102"/>
      <c r="G187" s="3"/>
      <c r="H187" s="3"/>
      <c r="I187" s="3"/>
      <c r="J187" s="3"/>
      <c r="K187" s="3"/>
      <c r="L187" s="3"/>
      <c r="M187" s="102"/>
      <c r="N187" s="445"/>
      <c r="O187" s="445"/>
      <c r="P187" s="445"/>
      <c r="Q187" s="445"/>
      <c r="R187" s="445"/>
      <c r="S187" s="445"/>
      <c r="T187" s="445"/>
      <c r="U187" s="445"/>
      <c r="V187" s="445"/>
      <c r="W187" s="476"/>
      <c r="X187" s="445"/>
      <c r="Y187" s="445"/>
      <c r="Z187" s="445"/>
      <c r="AA187" s="445"/>
      <c r="AB187" s="445"/>
      <c r="AC187" s="3"/>
      <c r="AD187" s="134"/>
      <c r="AE187" s="4"/>
      <c r="AF187" s="4"/>
      <c r="AG187" s="4"/>
      <c r="AH187" s="4"/>
      <c r="AI187" s="4"/>
      <c r="AJ187" s="226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spans="1:46" ht="15.75" customHeight="1">
      <c r="A188" s="4"/>
      <c r="B188" s="4"/>
      <c r="C188" s="4"/>
      <c r="D188" s="102"/>
      <c r="E188" s="102"/>
      <c r="F188" s="102"/>
      <c r="G188" s="3"/>
      <c r="H188" s="3"/>
      <c r="I188" s="3"/>
      <c r="J188" s="3"/>
      <c r="K188" s="3"/>
      <c r="L188" s="3"/>
      <c r="M188" s="102"/>
      <c r="N188" s="445"/>
      <c r="O188" s="445"/>
      <c r="P188" s="445"/>
      <c r="Q188" s="445"/>
      <c r="R188" s="445"/>
      <c r="S188" s="445"/>
      <c r="T188" s="445"/>
      <c r="U188" s="445"/>
      <c r="V188" s="445"/>
      <c r="W188" s="476"/>
      <c r="X188" s="445"/>
      <c r="Y188" s="445"/>
      <c r="Z188" s="445"/>
      <c r="AA188" s="445"/>
      <c r="AB188" s="445"/>
      <c r="AC188" s="3"/>
      <c r="AD188" s="134"/>
      <c r="AE188" s="4"/>
      <c r="AF188" s="4"/>
      <c r="AG188" s="4"/>
      <c r="AH188" s="4"/>
      <c r="AI188" s="4"/>
      <c r="AJ188" s="226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spans="1:46" ht="15.75" customHeight="1">
      <c r="A189" s="4"/>
      <c r="B189" s="4"/>
      <c r="C189" s="4"/>
      <c r="D189" s="102"/>
      <c r="E189" s="102"/>
      <c r="F189" s="102"/>
      <c r="G189" s="3"/>
      <c r="H189" s="3"/>
      <c r="I189" s="3"/>
      <c r="J189" s="3"/>
      <c r="K189" s="3"/>
      <c r="L189" s="3"/>
      <c r="M189" s="102"/>
      <c r="N189" s="445"/>
      <c r="O189" s="445"/>
      <c r="P189" s="445"/>
      <c r="Q189" s="445"/>
      <c r="R189" s="445"/>
      <c r="S189" s="445"/>
      <c r="T189" s="445"/>
      <c r="U189" s="445"/>
      <c r="V189" s="445"/>
      <c r="W189" s="476"/>
      <c r="X189" s="445"/>
      <c r="Y189" s="445"/>
      <c r="Z189" s="445"/>
      <c r="AA189" s="445"/>
      <c r="AB189" s="445"/>
      <c r="AC189" s="3"/>
      <c r="AD189" s="134"/>
      <c r="AE189" s="4"/>
      <c r="AF189" s="4"/>
      <c r="AG189" s="4"/>
      <c r="AH189" s="4"/>
      <c r="AI189" s="4"/>
      <c r="AJ189" s="226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spans="1:46" ht="15.75" customHeight="1">
      <c r="A190" s="4"/>
      <c r="B190" s="4"/>
      <c r="C190" s="4"/>
      <c r="D190" s="102"/>
      <c r="E190" s="102"/>
      <c r="F190" s="102"/>
      <c r="G190" s="3"/>
      <c r="H190" s="3"/>
      <c r="I190" s="3"/>
      <c r="J190" s="3"/>
      <c r="K190" s="3"/>
      <c r="L190" s="3"/>
      <c r="M190" s="102"/>
      <c r="N190" s="445"/>
      <c r="O190" s="445"/>
      <c r="P190" s="445"/>
      <c r="Q190" s="445"/>
      <c r="R190" s="445"/>
      <c r="S190" s="445"/>
      <c r="T190" s="445"/>
      <c r="U190" s="445"/>
      <c r="V190" s="445"/>
      <c r="W190" s="476"/>
      <c r="X190" s="445"/>
      <c r="Y190" s="445"/>
      <c r="Z190" s="445"/>
      <c r="AA190" s="445"/>
      <c r="AB190" s="445"/>
      <c r="AC190" s="3"/>
      <c r="AD190" s="134"/>
      <c r="AE190" s="4"/>
      <c r="AF190" s="4"/>
      <c r="AG190" s="4"/>
      <c r="AH190" s="4"/>
      <c r="AI190" s="4"/>
      <c r="AJ190" s="226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spans="1:46" ht="15.75" customHeight="1">
      <c r="A191" s="4"/>
      <c r="B191" s="4"/>
      <c r="C191" s="4"/>
      <c r="D191" s="102"/>
      <c r="E191" s="102"/>
      <c r="F191" s="102"/>
      <c r="G191" s="3"/>
      <c r="H191" s="3"/>
      <c r="I191" s="3"/>
      <c r="J191" s="3"/>
      <c r="K191" s="3"/>
      <c r="L191" s="3"/>
      <c r="M191" s="102"/>
      <c r="N191" s="445"/>
      <c r="O191" s="445"/>
      <c r="P191" s="445"/>
      <c r="Q191" s="445"/>
      <c r="R191" s="445"/>
      <c r="S191" s="445"/>
      <c r="T191" s="445"/>
      <c r="U191" s="445"/>
      <c r="V191" s="445"/>
      <c r="W191" s="476"/>
      <c r="X191" s="445"/>
      <c r="Y191" s="445"/>
      <c r="Z191" s="445"/>
      <c r="AA191" s="445"/>
      <c r="AB191" s="445"/>
      <c r="AC191" s="3"/>
      <c r="AD191" s="134"/>
      <c r="AE191" s="4"/>
      <c r="AF191" s="4"/>
      <c r="AG191" s="4"/>
      <c r="AH191" s="4"/>
      <c r="AI191" s="4"/>
      <c r="AJ191" s="226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spans="1:46" ht="15.75" customHeight="1">
      <c r="A192" s="4"/>
      <c r="B192" s="4"/>
      <c r="C192" s="4"/>
      <c r="D192" s="102"/>
      <c r="E192" s="102"/>
      <c r="F192" s="102"/>
      <c r="G192" s="3"/>
      <c r="H192" s="3"/>
      <c r="I192" s="3"/>
      <c r="J192" s="3"/>
      <c r="K192" s="3"/>
      <c r="L192" s="3"/>
      <c r="M192" s="102"/>
      <c r="N192" s="445"/>
      <c r="O192" s="445"/>
      <c r="P192" s="445"/>
      <c r="Q192" s="445"/>
      <c r="R192" s="445"/>
      <c r="S192" s="445"/>
      <c r="T192" s="445"/>
      <c r="U192" s="445"/>
      <c r="V192" s="445"/>
      <c r="W192" s="476"/>
      <c r="X192" s="445"/>
      <c r="Y192" s="445"/>
      <c r="Z192" s="445"/>
      <c r="AA192" s="445"/>
      <c r="AB192" s="445"/>
      <c r="AC192" s="3"/>
      <c r="AD192" s="134"/>
      <c r="AE192" s="4"/>
      <c r="AF192" s="4"/>
      <c r="AG192" s="4"/>
      <c r="AH192" s="4"/>
      <c r="AI192" s="4"/>
      <c r="AJ192" s="226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spans="1:46" ht="15.75" customHeight="1">
      <c r="A193" s="4"/>
      <c r="B193" s="4"/>
      <c r="C193" s="4"/>
      <c r="D193" s="102"/>
      <c r="E193" s="102"/>
      <c r="F193" s="102"/>
      <c r="G193" s="3"/>
      <c r="H193" s="3"/>
      <c r="I193" s="3"/>
      <c r="J193" s="3"/>
      <c r="K193" s="3"/>
      <c r="L193" s="3"/>
      <c r="M193" s="102"/>
      <c r="N193" s="445"/>
      <c r="O193" s="445"/>
      <c r="P193" s="445"/>
      <c r="Q193" s="445"/>
      <c r="R193" s="445"/>
      <c r="S193" s="445"/>
      <c r="T193" s="445"/>
      <c r="U193" s="445"/>
      <c r="V193" s="445"/>
      <c r="W193" s="476"/>
      <c r="X193" s="445"/>
      <c r="Y193" s="445"/>
      <c r="Z193" s="445"/>
      <c r="AA193" s="445"/>
      <c r="AB193" s="445"/>
      <c r="AC193" s="3"/>
      <c r="AD193" s="134"/>
      <c r="AE193" s="4"/>
      <c r="AF193" s="4"/>
      <c r="AG193" s="4"/>
      <c r="AH193" s="4"/>
      <c r="AI193" s="4"/>
      <c r="AJ193" s="226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spans="1:46" ht="15.75" customHeight="1">
      <c r="A194" s="4"/>
      <c r="B194" s="4"/>
      <c r="C194" s="4"/>
      <c r="D194" s="102"/>
      <c r="E194" s="102"/>
      <c r="F194" s="102"/>
      <c r="G194" s="3"/>
      <c r="H194" s="3"/>
      <c r="I194" s="3"/>
      <c r="J194" s="3"/>
      <c r="K194" s="3"/>
      <c r="L194" s="3"/>
      <c r="M194" s="102"/>
      <c r="N194" s="445"/>
      <c r="O194" s="445"/>
      <c r="P194" s="445"/>
      <c r="Q194" s="445"/>
      <c r="R194" s="445"/>
      <c r="S194" s="445"/>
      <c r="T194" s="445"/>
      <c r="U194" s="445"/>
      <c r="V194" s="445"/>
      <c r="W194" s="476"/>
      <c r="X194" s="445"/>
      <c r="Y194" s="445"/>
      <c r="Z194" s="445"/>
      <c r="AA194" s="445"/>
      <c r="AB194" s="445"/>
      <c r="AC194" s="3"/>
      <c r="AD194" s="134"/>
      <c r="AE194" s="4"/>
      <c r="AF194" s="4"/>
      <c r="AG194" s="4"/>
      <c r="AH194" s="4"/>
      <c r="AI194" s="4"/>
      <c r="AJ194" s="226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spans="1:46" ht="15.75" customHeight="1">
      <c r="A195" s="4"/>
      <c r="B195" s="4"/>
      <c r="C195" s="4"/>
      <c r="D195" s="102"/>
      <c r="E195" s="102"/>
      <c r="F195" s="102"/>
      <c r="G195" s="3"/>
      <c r="H195" s="3"/>
      <c r="I195" s="3"/>
      <c r="J195" s="3"/>
      <c r="K195" s="3"/>
      <c r="L195" s="3"/>
      <c r="M195" s="102"/>
      <c r="N195" s="445"/>
      <c r="O195" s="445"/>
      <c r="P195" s="445"/>
      <c r="Q195" s="445"/>
      <c r="R195" s="445"/>
      <c r="S195" s="445"/>
      <c r="T195" s="445"/>
      <c r="U195" s="445"/>
      <c r="V195" s="445"/>
      <c r="W195" s="476"/>
      <c r="X195" s="445"/>
      <c r="Y195" s="445"/>
      <c r="Z195" s="445"/>
      <c r="AA195" s="445"/>
      <c r="AB195" s="445"/>
      <c r="AC195" s="3"/>
      <c r="AD195" s="134"/>
      <c r="AE195" s="4"/>
      <c r="AF195" s="4"/>
      <c r="AG195" s="4"/>
      <c r="AH195" s="4"/>
      <c r="AI195" s="4"/>
      <c r="AJ195" s="226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spans="1:46" ht="15.75" customHeight="1">
      <c r="A196" s="4"/>
      <c r="B196" s="4"/>
      <c r="C196" s="4"/>
      <c r="D196" s="102"/>
      <c r="E196" s="102"/>
      <c r="F196" s="102"/>
      <c r="G196" s="3"/>
      <c r="H196" s="3"/>
      <c r="I196" s="3"/>
      <c r="J196" s="3"/>
      <c r="K196" s="3"/>
      <c r="L196" s="3"/>
      <c r="M196" s="102"/>
      <c r="N196" s="445"/>
      <c r="O196" s="445"/>
      <c r="P196" s="445"/>
      <c r="Q196" s="445"/>
      <c r="R196" s="445"/>
      <c r="S196" s="445"/>
      <c r="T196" s="445"/>
      <c r="U196" s="445"/>
      <c r="V196" s="445"/>
      <c r="W196" s="476"/>
      <c r="X196" s="445"/>
      <c r="Y196" s="445"/>
      <c r="Z196" s="445"/>
      <c r="AA196" s="445"/>
      <c r="AB196" s="445"/>
      <c r="AC196" s="3"/>
      <c r="AD196" s="134"/>
      <c r="AE196" s="4"/>
      <c r="AF196" s="4"/>
      <c r="AG196" s="4"/>
      <c r="AH196" s="4"/>
      <c r="AI196" s="4"/>
      <c r="AJ196" s="226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spans="1:46" ht="15.75" customHeight="1">
      <c r="A197" s="4"/>
      <c r="B197" s="4"/>
      <c r="C197" s="4"/>
      <c r="D197" s="102"/>
      <c r="E197" s="102"/>
      <c r="F197" s="102"/>
      <c r="G197" s="3"/>
      <c r="H197" s="3"/>
      <c r="I197" s="3"/>
      <c r="J197" s="3"/>
      <c r="K197" s="3"/>
      <c r="L197" s="3"/>
      <c r="M197" s="102"/>
      <c r="N197" s="445"/>
      <c r="O197" s="445"/>
      <c r="P197" s="445"/>
      <c r="Q197" s="445"/>
      <c r="R197" s="445"/>
      <c r="S197" s="445"/>
      <c r="T197" s="445"/>
      <c r="U197" s="445"/>
      <c r="V197" s="445"/>
      <c r="W197" s="476"/>
      <c r="X197" s="445"/>
      <c r="Y197" s="445"/>
      <c r="Z197" s="445"/>
      <c r="AA197" s="445"/>
      <c r="AB197" s="445"/>
      <c r="AC197" s="3"/>
      <c r="AD197" s="134"/>
      <c r="AE197" s="4"/>
      <c r="AF197" s="4"/>
      <c r="AG197" s="4"/>
      <c r="AH197" s="4"/>
      <c r="AI197" s="4"/>
      <c r="AJ197" s="226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spans="1:46" ht="15.75" customHeight="1">
      <c r="A198" s="4"/>
      <c r="B198" s="4"/>
      <c r="C198" s="4"/>
      <c r="D198" s="102"/>
      <c r="E198" s="102"/>
      <c r="F198" s="102"/>
      <c r="G198" s="3"/>
      <c r="H198" s="3"/>
      <c r="I198" s="3"/>
      <c r="J198" s="3"/>
      <c r="K198" s="3"/>
      <c r="L198" s="3"/>
      <c r="M198" s="102"/>
      <c r="N198" s="445"/>
      <c r="O198" s="445"/>
      <c r="P198" s="445"/>
      <c r="Q198" s="445"/>
      <c r="R198" s="445"/>
      <c r="S198" s="445"/>
      <c r="T198" s="445"/>
      <c r="U198" s="445"/>
      <c r="V198" s="445"/>
      <c r="W198" s="476"/>
      <c r="X198" s="445"/>
      <c r="Y198" s="445"/>
      <c r="Z198" s="445"/>
      <c r="AA198" s="445"/>
      <c r="AB198" s="445"/>
      <c r="AC198" s="3"/>
      <c r="AD198" s="134"/>
      <c r="AE198" s="4"/>
      <c r="AF198" s="4"/>
      <c r="AG198" s="4"/>
      <c r="AH198" s="4"/>
      <c r="AI198" s="4"/>
      <c r="AJ198" s="226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spans="1:46" ht="15.75" customHeight="1">
      <c r="A199" s="4"/>
      <c r="B199" s="4"/>
      <c r="C199" s="4"/>
      <c r="D199" s="102"/>
      <c r="E199" s="102"/>
      <c r="F199" s="102"/>
      <c r="G199" s="3"/>
      <c r="H199" s="3"/>
      <c r="I199" s="3"/>
      <c r="J199" s="3"/>
      <c r="K199" s="3"/>
      <c r="L199" s="3"/>
      <c r="M199" s="102"/>
      <c r="N199" s="445"/>
      <c r="O199" s="445"/>
      <c r="P199" s="445"/>
      <c r="Q199" s="445"/>
      <c r="R199" s="445"/>
      <c r="S199" s="445"/>
      <c r="T199" s="445"/>
      <c r="U199" s="445"/>
      <c r="V199" s="445"/>
      <c r="W199" s="476"/>
      <c r="X199" s="445"/>
      <c r="Y199" s="445"/>
      <c r="Z199" s="445"/>
      <c r="AA199" s="445"/>
      <c r="AB199" s="445"/>
      <c r="AC199" s="3"/>
      <c r="AD199" s="134"/>
      <c r="AE199" s="4"/>
      <c r="AF199" s="4"/>
      <c r="AG199" s="4"/>
      <c r="AH199" s="4"/>
      <c r="AI199" s="4"/>
      <c r="AJ199" s="226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spans="1:46" ht="15.75" customHeight="1">
      <c r="A200" s="4"/>
      <c r="B200" s="4"/>
      <c r="C200" s="4"/>
      <c r="D200" s="102"/>
      <c r="E200" s="102"/>
      <c r="F200" s="102"/>
      <c r="G200" s="3"/>
      <c r="H200" s="3"/>
      <c r="I200" s="3"/>
      <c r="J200" s="3"/>
      <c r="K200" s="3"/>
      <c r="L200" s="3"/>
      <c r="M200" s="102"/>
      <c r="N200" s="445"/>
      <c r="O200" s="445"/>
      <c r="P200" s="445"/>
      <c r="Q200" s="445"/>
      <c r="R200" s="445"/>
      <c r="S200" s="445"/>
      <c r="T200" s="445"/>
      <c r="U200" s="445"/>
      <c r="V200" s="445"/>
      <c r="W200" s="476"/>
      <c r="X200" s="445"/>
      <c r="Y200" s="445"/>
      <c r="Z200" s="445"/>
      <c r="AA200" s="445"/>
      <c r="AB200" s="445"/>
      <c r="AC200" s="3"/>
      <c r="AD200" s="134"/>
      <c r="AE200" s="4"/>
      <c r="AF200" s="4"/>
      <c r="AG200" s="4"/>
      <c r="AH200" s="4"/>
      <c r="AI200" s="4"/>
      <c r="AJ200" s="226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spans="1:46" ht="15.75" customHeight="1">
      <c r="A201" s="4"/>
      <c r="B201" s="4"/>
      <c r="C201" s="4"/>
      <c r="D201" s="102"/>
      <c r="E201" s="102"/>
      <c r="F201" s="102"/>
      <c r="G201" s="3"/>
      <c r="H201" s="3"/>
      <c r="I201" s="3"/>
      <c r="J201" s="3"/>
      <c r="K201" s="3"/>
      <c r="L201" s="3"/>
      <c r="M201" s="102"/>
      <c r="N201" s="445"/>
      <c r="O201" s="445"/>
      <c r="P201" s="445"/>
      <c r="Q201" s="445"/>
      <c r="R201" s="445"/>
      <c r="S201" s="445"/>
      <c r="T201" s="445"/>
      <c r="U201" s="445"/>
      <c r="V201" s="445"/>
      <c r="W201" s="476"/>
      <c r="X201" s="445"/>
      <c r="Y201" s="445"/>
      <c r="Z201" s="445"/>
      <c r="AA201" s="445"/>
      <c r="AB201" s="445"/>
      <c r="AC201" s="3"/>
      <c r="AD201" s="134"/>
      <c r="AE201" s="4"/>
      <c r="AF201" s="4"/>
      <c r="AG201" s="4"/>
      <c r="AH201" s="4"/>
      <c r="AI201" s="4"/>
      <c r="AJ201" s="226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spans="1:46" ht="15.75" customHeight="1">
      <c r="A202" s="4"/>
      <c r="B202" s="4"/>
      <c r="C202" s="4"/>
      <c r="D202" s="102"/>
      <c r="E202" s="102"/>
      <c r="F202" s="102"/>
      <c r="G202" s="3"/>
      <c r="H202" s="3"/>
      <c r="I202" s="3"/>
      <c r="J202" s="3"/>
      <c r="K202" s="3"/>
      <c r="L202" s="3"/>
      <c r="M202" s="102"/>
      <c r="N202" s="445"/>
      <c r="O202" s="445"/>
      <c r="P202" s="445"/>
      <c r="Q202" s="445"/>
      <c r="R202" s="445"/>
      <c r="S202" s="445"/>
      <c r="T202" s="445"/>
      <c r="U202" s="445"/>
      <c r="V202" s="445"/>
      <c r="W202" s="476"/>
      <c r="X202" s="445"/>
      <c r="Y202" s="445"/>
      <c r="Z202" s="445"/>
      <c r="AA202" s="445"/>
      <c r="AB202" s="445"/>
      <c r="AC202" s="3"/>
      <c r="AD202" s="134"/>
      <c r="AE202" s="4"/>
      <c r="AF202" s="4"/>
      <c r="AG202" s="4"/>
      <c r="AH202" s="4"/>
      <c r="AI202" s="4"/>
      <c r="AJ202" s="226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spans="1:46" ht="15.75" customHeight="1">
      <c r="A203" s="4"/>
      <c r="B203" s="4"/>
      <c r="C203" s="4"/>
      <c r="D203" s="102"/>
      <c r="E203" s="102"/>
      <c r="F203" s="102"/>
      <c r="G203" s="3"/>
      <c r="H203" s="3"/>
      <c r="I203" s="3"/>
      <c r="J203" s="3"/>
      <c r="K203" s="3"/>
      <c r="L203" s="3"/>
      <c r="M203" s="102"/>
      <c r="N203" s="445"/>
      <c r="O203" s="445"/>
      <c r="P203" s="445"/>
      <c r="Q203" s="445"/>
      <c r="R203" s="445"/>
      <c r="S203" s="445"/>
      <c r="T203" s="445"/>
      <c r="U203" s="445"/>
      <c r="V203" s="445"/>
      <c r="W203" s="476"/>
      <c r="X203" s="445"/>
      <c r="Y203" s="445"/>
      <c r="Z203" s="445"/>
      <c r="AA203" s="445"/>
      <c r="AB203" s="445"/>
      <c r="AC203" s="3"/>
      <c r="AD203" s="134"/>
      <c r="AE203" s="4"/>
      <c r="AF203" s="4"/>
      <c r="AG203" s="4"/>
      <c r="AH203" s="4"/>
      <c r="AI203" s="4"/>
      <c r="AJ203" s="226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spans="1:46" ht="15.75" customHeight="1">
      <c r="A204" s="4"/>
      <c r="B204" s="4"/>
      <c r="C204" s="4"/>
      <c r="D204" s="102"/>
      <c r="E204" s="102"/>
      <c r="F204" s="102"/>
      <c r="G204" s="3"/>
      <c r="H204" s="3"/>
      <c r="I204" s="3"/>
      <c r="J204" s="3"/>
      <c r="K204" s="3"/>
      <c r="L204" s="3"/>
      <c r="M204" s="102"/>
      <c r="N204" s="445"/>
      <c r="O204" s="445"/>
      <c r="P204" s="445"/>
      <c r="Q204" s="445"/>
      <c r="R204" s="445"/>
      <c r="S204" s="445"/>
      <c r="T204" s="445"/>
      <c r="U204" s="445"/>
      <c r="V204" s="445"/>
      <c r="W204" s="476"/>
      <c r="X204" s="445"/>
      <c r="Y204" s="445"/>
      <c r="Z204" s="445"/>
      <c r="AA204" s="445"/>
      <c r="AB204" s="445"/>
      <c r="AC204" s="3"/>
      <c r="AD204" s="134"/>
      <c r="AE204" s="4"/>
      <c r="AF204" s="4"/>
      <c r="AG204" s="4"/>
      <c r="AH204" s="4"/>
      <c r="AI204" s="4"/>
      <c r="AJ204" s="226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spans="1:46" ht="15.75" customHeight="1">
      <c r="A205" s="4"/>
      <c r="B205" s="4"/>
      <c r="C205" s="4"/>
      <c r="D205" s="102"/>
      <c r="E205" s="102"/>
      <c r="F205" s="102"/>
      <c r="G205" s="3"/>
      <c r="H205" s="3"/>
      <c r="I205" s="3"/>
      <c r="J205" s="3"/>
      <c r="K205" s="3"/>
      <c r="L205" s="3"/>
      <c r="M205" s="102"/>
      <c r="N205" s="445"/>
      <c r="O205" s="445"/>
      <c r="P205" s="445"/>
      <c r="Q205" s="445"/>
      <c r="R205" s="445"/>
      <c r="S205" s="445"/>
      <c r="T205" s="445"/>
      <c r="U205" s="445"/>
      <c r="V205" s="445"/>
      <c r="W205" s="476"/>
      <c r="X205" s="445"/>
      <c r="Y205" s="445"/>
      <c r="Z205" s="445"/>
      <c r="AA205" s="445"/>
      <c r="AB205" s="445"/>
      <c r="AC205" s="3"/>
      <c r="AD205" s="134"/>
      <c r="AE205" s="4"/>
      <c r="AF205" s="4"/>
      <c r="AG205" s="4"/>
      <c r="AH205" s="4"/>
      <c r="AI205" s="4"/>
      <c r="AJ205" s="226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spans="1:46" ht="15.75" customHeight="1">
      <c r="A206" s="4"/>
      <c r="B206" s="4"/>
      <c r="C206" s="4"/>
      <c r="D206" s="102"/>
      <c r="E206" s="102"/>
      <c r="F206" s="102"/>
      <c r="G206" s="3"/>
      <c r="H206" s="3"/>
      <c r="I206" s="3"/>
      <c r="J206" s="3"/>
      <c r="K206" s="3"/>
      <c r="L206" s="3"/>
      <c r="M206" s="102"/>
      <c r="N206" s="445"/>
      <c r="O206" s="445"/>
      <c r="P206" s="445"/>
      <c r="Q206" s="445"/>
      <c r="R206" s="445"/>
      <c r="S206" s="445"/>
      <c r="T206" s="445"/>
      <c r="U206" s="445"/>
      <c r="V206" s="445"/>
      <c r="W206" s="476"/>
      <c r="X206" s="445"/>
      <c r="Y206" s="445"/>
      <c r="Z206" s="445"/>
      <c r="AA206" s="445"/>
      <c r="AB206" s="445"/>
      <c r="AC206" s="3"/>
      <c r="AD206" s="134"/>
      <c r="AE206" s="4"/>
      <c r="AF206" s="4"/>
      <c r="AG206" s="4"/>
      <c r="AH206" s="4"/>
      <c r="AI206" s="4"/>
      <c r="AJ206" s="226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spans="1:46" ht="15.75" customHeight="1">
      <c r="A207" s="4"/>
      <c r="B207" s="4"/>
      <c r="C207" s="4"/>
      <c r="D207" s="102"/>
      <c r="E207" s="102"/>
      <c r="F207" s="102"/>
      <c r="G207" s="3"/>
      <c r="H207" s="3"/>
      <c r="I207" s="3"/>
      <c r="J207" s="3"/>
      <c r="K207" s="3"/>
      <c r="L207" s="3"/>
      <c r="M207" s="102"/>
      <c r="N207" s="445"/>
      <c r="O207" s="445"/>
      <c r="P207" s="445"/>
      <c r="Q207" s="445"/>
      <c r="R207" s="445"/>
      <c r="S207" s="445"/>
      <c r="T207" s="445"/>
      <c r="U207" s="445"/>
      <c r="V207" s="445"/>
      <c r="W207" s="476"/>
      <c r="X207" s="445"/>
      <c r="Y207" s="445"/>
      <c r="Z207" s="445"/>
      <c r="AA207" s="445"/>
      <c r="AB207" s="445"/>
      <c r="AC207" s="3"/>
      <c r="AD207" s="134"/>
      <c r="AE207" s="4"/>
      <c r="AF207" s="4"/>
      <c r="AG207" s="4"/>
      <c r="AH207" s="4"/>
      <c r="AI207" s="4"/>
      <c r="AJ207" s="226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spans="1:46" ht="15.75" customHeight="1">
      <c r="A208" s="4"/>
      <c r="B208" s="4"/>
      <c r="C208" s="4"/>
      <c r="D208" s="102"/>
      <c r="E208" s="102"/>
      <c r="F208" s="102"/>
      <c r="G208" s="3"/>
      <c r="H208" s="3"/>
      <c r="I208" s="3"/>
      <c r="J208" s="3"/>
      <c r="K208" s="3"/>
      <c r="L208" s="3"/>
      <c r="M208" s="102"/>
      <c r="N208" s="445"/>
      <c r="O208" s="445"/>
      <c r="P208" s="445"/>
      <c r="Q208" s="445"/>
      <c r="R208" s="445"/>
      <c r="S208" s="445"/>
      <c r="T208" s="445"/>
      <c r="U208" s="445"/>
      <c r="V208" s="445"/>
      <c r="W208" s="476"/>
      <c r="X208" s="445"/>
      <c r="Y208" s="445"/>
      <c r="Z208" s="445"/>
      <c r="AA208" s="445"/>
      <c r="AB208" s="445"/>
      <c r="AC208" s="3"/>
      <c r="AD208" s="134"/>
      <c r="AE208" s="4"/>
      <c r="AF208" s="4"/>
      <c r="AG208" s="4"/>
      <c r="AH208" s="4"/>
      <c r="AI208" s="4"/>
      <c r="AJ208" s="226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spans="1:46" ht="15.75" customHeight="1">
      <c r="A209" s="4"/>
      <c r="B209" s="4"/>
      <c r="C209" s="4"/>
      <c r="D209" s="102"/>
      <c r="E209" s="102"/>
      <c r="F209" s="102"/>
      <c r="G209" s="3"/>
      <c r="H209" s="3"/>
      <c r="I209" s="3"/>
      <c r="J209" s="3"/>
      <c r="K209" s="3"/>
      <c r="L209" s="3"/>
      <c r="M209" s="102"/>
      <c r="N209" s="445"/>
      <c r="O209" s="445"/>
      <c r="P209" s="445"/>
      <c r="Q209" s="445"/>
      <c r="R209" s="445"/>
      <c r="S209" s="445"/>
      <c r="T209" s="445"/>
      <c r="U209" s="445"/>
      <c r="V209" s="445"/>
      <c r="W209" s="476"/>
      <c r="X209" s="445"/>
      <c r="Y209" s="445"/>
      <c r="Z209" s="445"/>
      <c r="AA209" s="445"/>
      <c r="AB209" s="445"/>
      <c r="AC209" s="3"/>
      <c r="AD209" s="134"/>
      <c r="AE209" s="4"/>
      <c r="AF209" s="4"/>
      <c r="AG209" s="4"/>
      <c r="AH209" s="4"/>
      <c r="AI209" s="4"/>
      <c r="AJ209" s="226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spans="1:46" ht="15.75" customHeight="1">
      <c r="A210" s="4"/>
      <c r="B210" s="4"/>
      <c r="C210" s="4"/>
      <c r="D210" s="102"/>
      <c r="E210" s="102"/>
      <c r="F210" s="102"/>
      <c r="G210" s="3"/>
      <c r="H210" s="3"/>
      <c r="I210" s="3"/>
      <c r="J210" s="3"/>
      <c r="K210" s="3"/>
      <c r="L210" s="3"/>
      <c r="M210" s="102"/>
      <c r="N210" s="445"/>
      <c r="O210" s="445"/>
      <c r="P210" s="445"/>
      <c r="Q210" s="445"/>
      <c r="R210" s="445"/>
      <c r="S210" s="445"/>
      <c r="T210" s="445"/>
      <c r="U210" s="445"/>
      <c r="V210" s="445"/>
      <c r="W210" s="476"/>
      <c r="X210" s="445"/>
      <c r="Y210" s="445"/>
      <c r="Z210" s="445"/>
      <c r="AA210" s="445"/>
      <c r="AB210" s="445"/>
      <c r="AC210" s="3"/>
      <c r="AD210" s="134"/>
      <c r="AE210" s="4"/>
      <c r="AF210" s="4"/>
      <c r="AG210" s="4"/>
      <c r="AH210" s="4"/>
      <c r="AI210" s="4"/>
      <c r="AJ210" s="226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spans="1:46" ht="15.75" customHeight="1">
      <c r="A211" s="4"/>
      <c r="B211" s="4"/>
      <c r="C211" s="4"/>
      <c r="D211" s="102"/>
      <c r="E211" s="102"/>
      <c r="F211" s="102"/>
      <c r="G211" s="3"/>
      <c r="H211" s="3"/>
      <c r="I211" s="3"/>
      <c r="J211" s="3"/>
      <c r="K211" s="3"/>
      <c r="L211" s="3"/>
      <c r="M211" s="102"/>
      <c r="N211" s="445"/>
      <c r="O211" s="445"/>
      <c r="P211" s="445"/>
      <c r="Q211" s="445"/>
      <c r="R211" s="445"/>
      <c r="S211" s="445"/>
      <c r="T211" s="445"/>
      <c r="U211" s="445"/>
      <c r="V211" s="445"/>
      <c r="W211" s="476"/>
      <c r="X211" s="445"/>
      <c r="Y211" s="445"/>
      <c r="Z211" s="445"/>
      <c r="AA211" s="445"/>
      <c r="AB211" s="445"/>
      <c r="AC211" s="3"/>
      <c r="AD211" s="134"/>
      <c r="AE211" s="4"/>
      <c r="AF211" s="4"/>
      <c r="AG211" s="4"/>
      <c r="AH211" s="4"/>
      <c r="AI211" s="4"/>
      <c r="AJ211" s="226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spans="1:46" ht="15.75" customHeight="1">
      <c r="A212" s="4"/>
      <c r="B212" s="4"/>
      <c r="C212" s="4"/>
      <c r="D212" s="102"/>
      <c r="E212" s="102"/>
      <c r="F212" s="102"/>
      <c r="G212" s="3"/>
      <c r="H212" s="3"/>
      <c r="I212" s="3"/>
      <c r="J212" s="3"/>
      <c r="K212" s="3"/>
      <c r="L212" s="3"/>
      <c r="M212" s="102"/>
      <c r="N212" s="445"/>
      <c r="O212" s="445"/>
      <c r="P212" s="445"/>
      <c r="Q212" s="445"/>
      <c r="R212" s="445"/>
      <c r="S212" s="445"/>
      <c r="T212" s="445"/>
      <c r="U212" s="445"/>
      <c r="V212" s="445"/>
      <c r="W212" s="476"/>
      <c r="X212" s="445"/>
      <c r="Y212" s="445"/>
      <c r="Z212" s="445"/>
      <c r="AA212" s="445"/>
      <c r="AB212" s="445"/>
      <c r="AC212" s="3"/>
      <c r="AD212" s="134"/>
      <c r="AE212" s="4"/>
      <c r="AF212" s="4"/>
      <c r="AG212" s="4"/>
      <c r="AH212" s="4"/>
      <c r="AI212" s="4"/>
      <c r="AJ212" s="226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spans="1:46" ht="15.75" customHeight="1">
      <c r="A213" s="4"/>
      <c r="B213" s="4"/>
      <c r="C213" s="4"/>
      <c r="D213" s="102"/>
      <c r="E213" s="102"/>
      <c r="F213" s="102"/>
      <c r="G213" s="3"/>
      <c r="H213" s="3"/>
      <c r="I213" s="3"/>
      <c r="J213" s="3"/>
      <c r="K213" s="3"/>
      <c r="L213" s="3"/>
      <c r="M213" s="102"/>
      <c r="N213" s="445"/>
      <c r="O213" s="445"/>
      <c r="P213" s="445"/>
      <c r="Q213" s="445"/>
      <c r="R213" s="445"/>
      <c r="S213" s="445"/>
      <c r="T213" s="445"/>
      <c r="U213" s="445"/>
      <c r="V213" s="445"/>
      <c r="W213" s="476"/>
      <c r="X213" s="445"/>
      <c r="Y213" s="445"/>
      <c r="Z213" s="445"/>
      <c r="AA213" s="445"/>
      <c r="AB213" s="445"/>
      <c r="AC213" s="3"/>
      <c r="AD213" s="134"/>
      <c r="AE213" s="4"/>
      <c r="AF213" s="4"/>
      <c r="AG213" s="4"/>
      <c r="AH213" s="4"/>
      <c r="AI213" s="4"/>
      <c r="AJ213" s="226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spans="1:46" ht="15.75" customHeight="1">
      <c r="A214" s="4"/>
      <c r="B214" s="4"/>
      <c r="C214" s="4"/>
      <c r="D214" s="102"/>
      <c r="E214" s="102"/>
      <c r="F214" s="102"/>
      <c r="G214" s="3"/>
      <c r="H214" s="3"/>
      <c r="I214" s="3"/>
      <c r="J214" s="3"/>
      <c r="K214" s="3"/>
      <c r="L214" s="3"/>
      <c r="M214" s="102"/>
      <c r="N214" s="445"/>
      <c r="O214" s="445"/>
      <c r="P214" s="445"/>
      <c r="Q214" s="445"/>
      <c r="R214" s="445"/>
      <c r="S214" s="445"/>
      <c r="T214" s="445"/>
      <c r="U214" s="445"/>
      <c r="V214" s="445"/>
      <c r="W214" s="476"/>
      <c r="X214" s="445"/>
      <c r="Y214" s="445"/>
      <c r="Z214" s="445"/>
      <c r="AA214" s="445"/>
      <c r="AB214" s="445"/>
      <c r="AC214" s="3"/>
      <c r="AD214" s="134"/>
      <c r="AE214" s="4"/>
      <c r="AF214" s="4"/>
      <c r="AG214" s="4"/>
      <c r="AH214" s="4"/>
      <c r="AI214" s="4"/>
      <c r="AJ214" s="226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spans="1:46" ht="15.75" customHeight="1">
      <c r="A215" s="4"/>
      <c r="B215" s="4"/>
      <c r="C215" s="4"/>
      <c r="D215" s="102"/>
      <c r="E215" s="102"/>
      <c r="F215" s="102"/>
      <c r="G215" s="3"/>
      <c r="H215" s="3"/>
      <c r="I215" s="3"/>
      <c r="J215" s="3"/>
      <c r="K215" s="3"/>
      <c r="L215" s="3"/>
      <c r="M215" s="102"/>
      <c r="N215" s="445"/>
      <c r="O215" s="445"/>
      <c r="P215" s="445"/>
      <c r="Q215" s="445"/>
      <c r="R215" s="445"/>
      <c r="S215" s="445"/>
      <c r="T215" s="445"/>
      <c r="U215" s="445"/>
      <c r="V215" s="445"/>
      <c r="W215" s="476"/>
      <c r="X215" s="445"/>
      <c r="Y215" s="445"/>
      <c r="Z215" s="445"/>
      <c r="AA215" s="445"/>
      <c r="AB215" s="445"/>
      <c r="AC215" s="3"/>
      <c r="AD215" s="134"/>
      <c r="AE215" s="4"/>
      <c r="AF215" s="4"/>
      <c r="AG215" s="4"/>
      <c r="AH215" s="4"/>
      <c r="AI215" s="4"/>
      <c r="AJ215" s="226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spans="1:46" ht="15.75" customHeight="1">
      <c r="A216" s="4"/>
      <c r="B216" s="4"/>
      <c r="C216" s="4"/>
      <c r="D216" s="102"/>
      <c r="E216" s="102"/>
      <c r="F216" s="102"/>
      <c r="G216" s="3"/>
      <c r="H216" s="3"/>
      <c r="I216" s="3"/>
      <c r="J216" s="3"/>
      <c r="K216" s="3"/>
      <c r="L216" s="3"/>
      <c r="M216" s="102"/>
      <c r="N216" s="445"/>
      <c r="O216" s="445"/>
      <c r="P216" s="445"/>
      <c r="Q216" s="445"/>
      <c r="R216" s="445"/>
      <c r="S216" s="445"/>
      <c r="T216" s="445"/>
      <c r="U216" s="445"/>
      <c r="V216" s="445"/>
      <c r="W216" s="476"/>
      <c r="X216" s="445"/>
      <c r="Y216" s="445"/>
      <c r="Z216" s="445"/>
      <c r="AA216" s="445"/>
      <c r="AB216" s="445"/>
      <c r="AC216" s="3"/>
      <c r="AD216" s="134"/>
      <c r="AE216" s="4"/>
      <c r="AF216" s="4"/>
      <c r="AG216" s="4"/>
      <c r="AH216" s="4"/>
      <c r="AI216" s="4"/>
      <c r="AJ216" s="226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spans="1:46" ht="15.75" customHeight="1">
      <c r="A217" s="4"/>
      <c r="B217" s="4"/>
      <c r="C217" s="4"/>
      <c r="D217" s="102"/>
      <c r="E217" s="102"/>
      <c r="F217" s="102"/>
      <c r="G217" s="3"/>
      <c r="H217" s="3"/>
      <c r="I217" s="3"/>
      <c r="J217" s="3"/>
      <c r="K217" s="3"/>
      <c r="L217" s="3"/>
      <c r="M217" s="102"/>
      <c r="N217" s="445"/>
      <c r="O217" s="445"/>
      <c r="P217" s="445"/>
      <c r="Q217" s="445"/>
      <c r="R217" s="445"/>
      <c r="S217" s="445"/>
      <c r="T217" s="445"/>
      <c r="U217" s="445"/>
      <c r="V217" s="445"/>
      <c r="W217" s="476"/>
      <c r="X217" s="445"/>
      <c r="Y217" s="445"/>
      <c r="Z217" s="445"/>
      <c r="AA217" s="445"/>
      <c r="AB217" s="445"/>
      <c r="AC217" s="3"/>
      <c r="AD217" s="134"/>
      <c r="AE217" s="4"/>
      <c r="AF217" s="4"/>
      <c r="AG217" s="4"/>
      <c r="AH217" s="4"/>
      <c r="AI217" s="4"/>
      <c r="AJ217" s="226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spans="1:46" ht="15.75" customHeight="1">
      <c r="A218" s="4"/>
      <c r="B218" s="4"/>
      <c r="C218" s="4"/>
      <c r="D218" s="102"/>
      <c r="E218" s="102"/>
      <c r="F218" s="102"/>
      <c r="G218" s="3"/>
      <c r="H218" s="3"/>
      <c r="I218" s="3"/>
      <c r="J218" s="3"/>
      <c r="K218" s="3"/>
      <c r="L218" s="3"/>
      <c r="M218" s="102"/>
      <c r="N218" s="445"/>
      <c r="O218" s="445"/>
      <c r="P218" s="445"/>
      <c r="Q218" s="445"/>
      <c r="R218" s="445"/>
      <c r="S218" s="445"/>
      <c r="T218" s="445"/>
      <c r="U218" s="445"/>
      <c r="V218" s="445"/>
      <c r="W218" s="476"/>
      <c r="X218" s="445"/>
      <c r="Y218" s="445"/>
      <c r="Z218" s="445"/>
      <c r="AA218" s="445"/>
      <c r="AB218" s="445"/>
      <c r="AC218" s="3"/>
      <c r="AD218" s="134"/>
      <c r="AE218" s="4"/>
      <c r="AF218" s="4"/>
      <c r="AG218" s="4"/>
      <c r="AH218" s="4"/>
      <c r="AI218" s="4"/>
      <c r="AJ218" s="226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spans="1:46" ht="15.75" customHeight="1">
      <c r="A219" s="4"/>
      <c r="B219" s="4"/>
      <c r="C219" s="4"/>
      <c r="D219" s="102"/>
      <c r="E219" s="102"/>
      <c r="F219" s="102"/>
      <c r="G219" s="3"/>
      <c r="H219" s="3"/>
      <c r="I219" s="3"/>
      <c r="J219" s="3"/>
      <c r="K219" s="3"/>
      <c r="L219" s="3"/>
      <c r="M219" s="102"/>
      <c r="N219" s="445"/>
      <c r="O219" s="445"/>
      <c r="P219" s="445"/>
      <c r="Q219" s="445"/>
      <c r="R219" s="445"/>
      <c r="S219" s="445"/>
      <c r="T219" s="445"/>
      <c r="U219" s="445"/>
      <c r="V219" s="445"/>
      <c r="W219" s="476"/>
      <c r="X219" s="445"/>
      <c r="Y219" s="445"/>
      <c r="Z219" s="445"/>
      <c r="AA219" s="445"/>
      <c r="AB219" s="445"/>
      <c r="AC219" s="3"/>
      <c r="AD219" s="134"/>
      <c r="AE219" s="4"/>
      <c r="AF219" s="4"/>
      <c r="AG219" s="4"/>
      <c r="AH219" s="4"/>
      <c r="AI219" s="4"/>
      <c r="AJ219" s="226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spans="1:46" ht="15.75" customHeight="1">
      <c r="A220" s="4"/>
      <c r="B220" s="4"/>
      <c r="C220" s="4"/>
      <c r="D220" s="102"/>
      <c r="E220" s="102"/>
      <c r="F220" s="102"/>
      <c r="G220" s="3"/>
      <c r="H220" s="3"/>
      <c r="I220" s="3"/>
      <c r="J220" s="3"/>
      <c r="K220" s="3"/>
      <c r="L220" s="3"/>
      <c r="M220" s="102"/>
      <c r="N220" s="445"/>
      <c r="O220" s="445"/>
      <c r="P220" s="445"/>
      <c r="Q220" s="445"/>
      <c r="R220" s="445"/>
      <c r="S220" s="445"/>
      <c r="T220" s="445"/>
      <c r="U220" s="445"/>
      <c r="V220" s="445"/>
      <c r="W220" s="476"/>
      <c r="X220" s="445"/>
      <c r="Y220" s="445"/>
      <c r="Z220" s="445"/>
      <c r="AA220" s="445"/>
      <c r="AB220" s="445"/>
      <c r="AC220" s="3"/>
      <c r="AD220" s="134"/>
      <c r="AE220" s="4"/>
      <c r="AF220" s="4"/>
      <c r="AG220" s="4"/>
      <c r="AH220" s="4"/>
      <c r="AI220" s="4"/>
      <c r="AJ220" s="226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spans="1:46" ht="15.75" customHeight="1">
      <c r="A221" s="4"/>
      <c r="B221" s="4"/>
      <c r="C221" s="4"/>
      <c r="D221" s="102"/>
      <c r="E221" s="102"/>
      <c r="F221" s="102"/>
      <c r="G221" s="3"/>
      <c r="H221" s="3"/>
      <c r="I221" s="3"/>
      <c r="J221" s="3"/>
      <c r="K221" s="3"/>
      <c r="L221" s="3"/>
      <c r="M221" s="102"/>
      <c r="N221" s="445"/>
      <c r="O221" s="445"/>
      <c r="P221" s="445"/>
      <c r="Q221" s="445"/>
      <c r="R221" s="445"/>
      <c r="S221" s="445"/>
      <c r="T221" s="445"/>
      <c r="U221" s="445"/>
      <c r="V221" s="445"/>
      <c r="W221" s="476"/>
      <c r="X221" s="445"/>
      <c r="Y221" s="445"/>
      <c r="Z221" s="445"/>
      <c r="AA221" s="445"/>
      <c r="AB221" s="445"/>
      <c r="AC221" s="3"/>
      <c r="AD221" s="134"/>
      <c r="AE221" s="4"/>
      <c r="AF221" s="4"/>
      <c r="AG221" s="4"/>
      <c r="AH221" s="4"/>
      <c r="AI221" s="4"/>
      <c r="AJ221" s="226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spans="1:46" ht="15.75" customHeight="1">
      <c r="A222" s="4"/>
      <c r="B222" s="4"/>
      <c r="C222" s="4"/>
      <c r="D222" s="102"/>
      <c r="E222" s="102"/>
      <c r="F222" s="102"/>
      <c r="G222" s="3"/>
      <c r="H222" s="3"/>
      <c r="I222" s="3"/>
      <c r="J222" s="3"/>
      <c r="K222" s="3"/>
      <c r="L222" s="3"/>
      <c r="M222" s="102"/>
      <c r="N222" s="445"/>
      <c r="O222" s="445"/>
      <c r="P222" s="445"/>
      <c r="Q222" s="445"/>
      <c r="R222" s="445"/>
      <c r="S222" s="445"/>
      <c r="T222" s="445"/>
      <c r="U222" s="445"/>
      <c r="V222" s="445"/>
      <c r="W222" s="476"/>
      <c r="X222" s="445"/>
      <c r="Y222" s="445"/>
      <c r="Z222" s="445"/>
      <c r="AA222" s="445"/>
      <c r="AB222" s="445"/>
      <c r="AC222" s="3"/>
      <c r="AD222" s="134"/>
      <c r="AE222" s="4"/>
      <c r="AF222" s="4"/>
      <c r="AG222" s="4"/>
      <c r="AH222" s="4"/>
      <c r="AI222" s="4"/>
      <c r="AJ222" s="226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spans="1:46" ht="15.75" customHeight="1">
      <c r="A223" s="4"/>
      <c r="B223" s="4"/>
      <c r="C223" s="4"/>
      <c r="D223" s="102"/>
      <c r="E223" s="102"/>
      <c r="F223" s="102"/>
      <c r="G223" s="3"/>
      <c r="H223" s="3"/>
      <c r="I223" s="3"/>
      <c r="J223" s="3"/>
      <c r="K223" s="3"/>
      <c r="L223" s="3"/>
      <c r="M223" s="102"/>
      <c r="N223" s="445"/>
      <c r="O223" s="445"/>
      <c r="P223" s="445"/>
      <c r="Q223" s="445"/>
      <c r="R223" s="445"/>
      <c r="S223" s="445"/>
      <c r="T223" s="445"/>
      <c r="U223" s="445"/>
      <c r="V223" s="445"/>
      <c r="W223" s="476"/>
      <c r="X223" s="445"/>
      <c r="Y223" s="445"/>
      <c r="Z223" s="445"/>
      <c r="AA223" s="445"/>
      <c r="AB223" s="445"/>
      <c r="AC223" s="3"/>
      <c r="AD223" s="134"/>
      <c r="AE223" s="4"/>
      <c r="AF223" s="4"/>
      <c r="AG223" s="4"/>
      <c r="AH223" s="4"/>
      <c r="AI223" s="4"/>
      <c r="AJ223" s="226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spans="1:46" ht="15.75" customHeight="1">
      <c r="A224" s="4"/>
      <c r="B224" s="4"/>
      <c r="C224" s="4"/>
      <c r="D224" s="102"/>
      <c r="E224" s="102"/>
      <c r="F224" s="102"/>
      <c r="G224" s="3"/>
      <c r="H224" s="3"/>
      <c r="I224" s="3"/>
      <c r="J224" s="3"/>
      <c r="K224" s="3"/>
      <c r="L224" s="3"/>
      <c r="M224" s="102"/>
      <c r="N224" s="445"/>
      <c r="O224" s="445"/>
      <c r="P224" s="445"/>
      <c r="Q224" s="445"/>
      <c r="R224" s="445"/>
      <c r="S224" s="445"/>
      <c r="T224" s="445"/>
      <c r="U224" s="445"/>
      <c r="V224" s="445"/>
      <c r="W224" s="476"/>
      <c r="X224" s="445"/>
      <c r="Y224" s="445"/>
      <c r="Z224" s="445"/>
      <c r="AA224" s="445"/>
      <c r="AB224" s="445"/>
      <c r="AC224" s="3"/>
      <c r="AD224" s="134"/>
      <c r="AE224" s="4"/>
      <c r="AF224" s="4"/>
      <c r="AG224" s="4"/>
      <c r="AH224" s="4"/>
      <c r="AI224" s="4"/>
      <c r="AJ224" s="226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spans="1:46" ht="15.75" customHeight="1">
      <c r="A225" s="4"/>
      <c r="B225" s="4"/>
      <c r="C225" s="4"/>
      <c r="D225" s="102"/>
      <c r="E225" s="102"/>
      <c r="F225" s="102"/>
      <c r="G225" s="3"/>
      <c r="H225" s="3"/>
      <c r="I225" s="3"/>
      <c r="J225" s="3"/>
      <c r="K225" s="3"/>
      <c r="L225" s="3"/>
      <c r="M225" s="102"/>
      <c r="N225" s="445"/>
      <c r="O225" s="445"/>
      <c r="P225" s="445"/>
      <c r="Q225" s="445"/>
      <c r="R225" s="445"/>
      <c r="S225" s="445"/>
      <c r="T225" s="445"/>
      <c r="U225" s="445"/>
      <c r="V225" s="445"/>
      <c r="W225" s="476"/>
      <c r="X225" s="445"/>
      <c r="Y225" s="445"/>
      <c r="Z225" s="445"/>
      <c r="AA225" s="445"/>
      <c r="AB225" s="445"/>
      <c r="AC225" s="3"/>
      <c r="AD225" s="134"/>
      <c r="AE225" s="4"/>
      <c r="AF225" s="4"/>
      <c r="AG225" s="4"/>
      <c r="AH225" s="4"/>
      <c r="AI225" s="4"/>
      <c r="AJ225" s="226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spans="1:46" ht="15.75" customHeight="1">
      <c r="A226" s="4"/>
      <c r="B226" s="4"/>
      <c r="C226" s="4"/>
      <c r="D226" s="102"/>
      <c r="E226" s="102"/>
      <c r="F226" s="102"/>
      <c r="G226" s="3"/>
      <c r="H226" s="3"/>
      <c r="I226" s="3"/>
      <c r="J226" s="3"/>
      <c r="K226" s="3"/>
      <c r="L226" s="3"/>
      <c r="M226" s="102"/>
      <c r="N226" s="445"/>
      <c r="O226" s="445"/>
      <c r="P226" s="445"/>
      <c r="Q226" s="445"/>
      <c r="R226" s="445"/>
      <c r="S226" s="445"/>
      <c r="T226" s="445"/>
      <c r="U226" s="445"/>
      <c r="V226" s="445"/>
      <c r="W226" s="476"/>
      <c r="X226" s="445"/>
      <c r="Y226" s="445"/>
      <c r="Z226" s="445"/>
      <c r="AA226" s="445"/>
      <c r="AB226" s="445"/>
      <c r="AC226" s="3"/>
      <c r="AD226" s="134"/>
      <c r="AE226" s="4"/>
      <c r="AF226" s="4"/>
      <c r="AG226" s="4"/>
      <c r="AH226" s="4"/>
      <c r="AI226" s="4"/>
      <c r="AJ226" s="226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spans="1:46" ht="15.75" customHeight="1">
      <c r="A227" s="4"/>
      <c r="B227" s="4"/>
      <c r="C227" s="4"/>
      <c r="D227" s="102"/>
      <c r="E227" s="102"/>
      <c r="F227" s="102"/>
      <c r="G227" s="3"/>
      <c r="H227" s="3"/>
      <c r="I227" s="3"/>
      <c r="J227" s="3"/>
      <c r="K227" s="3"/>
      <c r="L227" s="3"/>
      <c r="M227" s="102"/>
      <c r="N227" s="445"/>
      <c r="O227" s="445"/>
      <c r="P227" s="445"/>
      <c r="Q227" s="445"/>
      <c r="R227" s="445"/>
      <c r="S227" s="445"/>
      <c r="T227" s="445"/>
      <c r="U227" s="445"/>
      <c r="V227" s="445"/>
      <c r="W227" s="476"/>
      <c r="X227" s="445"/>
      <c r="Y227" s="445"/>
      <c r="Z227" s="445"/>
      <c r="AA227" s="445"/>
      <c r="AB227" s="445"/>
      <c r="AC227" s="3"/>
      <c r="AD227" s="134"/>
      <c r="AE227" s="4"/>
      <c r="AF227" s="4"/>
      <c r="AG227" s="4"/>
      <c r="AH227" s="4"/>
      <c r="AI227" s="4"/>
      <c r="AJ227" s="226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spans="1:46" ht="15.75" customHeight="1">
      <c r="A228" s="4"/>
      <c r="B228" s="4"/>
      <c r="C228" s="4"/>
      <c r="D228" s="102"/>
      <c r="E228" s="102"/>
      <c r="F228" s="102"/>
      <c r="G228" s="3"/>
      <c r="H228" s="3"/>
      <c r="I228" s="3"/>
      <c r="J228" s="3"/>
      <c r="K228" s="3"/>
      <c r="L228" s="3"/>
      <c r="M228" s="102"/>
      <c r="N228" s="445"/>
      <c r="O228" s="445"/>
      <c r="P228" s="445"/>
      <c r="Q228" s="445"/>
      <c r="R228" s="445"/>
      <c r="S228" s="445"/>
      <c r="T228" s="445"/>
      <c r="U228" s="445"/>
      <c r="V228" s="445"/>
      <c r="W228" s="476"/>
      <c r="X228" s="445"/>
      <c r="Y228" s="445"/>
      <c r="Z228" s="445"/>
      <c r="AA228" s="445"/>
      <c r="AB228" s="445"/>
      <c r="AC228" s="3"/>
      <c r="AD228" s="134"/>
      <c r="AE228" s="4"/>
      <c r="AF228" s="4"/>
      <c r="AG228" s="4"/>
      <c r="AH228" s="4"/>
      <c r="AI228" s="4"/>
      <c r="AJ228" s="226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spans="1:46" ht="15.75" customHeight="1">
      <c r="A229" s="4"/>
      <c r="B229" s="4"/>
      <c r="C229" s="4"/>
      <c r="D229" s="102"/>
      <c r="E229" s="102"/>
      <c r="F229" s="102"/>
      <c r="G229" s="3"/>
      <c r="H229" s="3"/>
      <c r="I229" s="3"/>
      <c r="J229" s="3"/>
      <c r="K229" s="3"/>
      <c r="L229" s="3"/>
      <c r="M229" s="102"/>
      <c r="N229" s="445"/>
      <c r="O229" s="445"/>
      <c r="P229" s="445"/>
      <c r="Q229" s="445"/>
      <c r="R229" s="445"/>
      <c r="S229" s="445"/>
      <c r="T229" s="445"/>
      <c r="U229" s="445"/>
      <c r="V229" s="445"/>
      <c r="W229" s="476"/>
      <c r="X229" s="445"/>
      <c r="Y229" s="445"/>
      <c r="Z229" s="445"/>
      <c r="AA229" s="445"/>
      <c r="AB229" s="445"/>
      <c r="AC229" s="3"/>
      <c r="AD229" s="134"/>
      <c r="AE229" s="4"/>
      <c r="AF229" s="4"/>
      <c r="AG229" s="4"/>
      <c r="AH229" s="4"/>
      <c r="AI229" s="4"/>
      <c r="AJ229" s="226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spans="1:46" ht="15.75" customHeight="1">
      <c r="A230" s="4"/>
      <c r="B230" s="4"/>
      <c r="C230" s="4"/>
      <c r="D230" s="102"/>
      <c r="E230" s="102"/>
      <c r="F230" s="102"/>
      <c r="G230" s="3"/>
      <c r="H230" s="3"/>
      <c r="I230" s="3"/>
      <c r="J230" s="3"/>
      <c r="K230" s="3"/>
      <c r="L230" s="3"/>
      <c r="M230" s="102"/>
      <c r="N230" s="445"/>
      <c r="O230" s="445"/>
      <c r="P230" s="445"/>
      <c r="Q230" s="445"/>
      <c r="R230" s="445"/>
      <c r="S230" s="445"/>
      <c r="T230" s="445"/>
      <c r="U230" s="445"/>
      <c r="V230" s="445"/>
      <c r="W230" s="476"/>
      <c r="X230" s="445"/>
      <c r="Y230" s="445"/>
      <c r="Z230" s="445"/>
      <c r="AA230" s="445"/>
      <c r="AB230" s="445"/>
      <c r="AC230" s="3"/>
      <c r="AD230" s="134"/>
      <c r="AE230" s="4"/>
      <c r="AF230" s="4"/>
      <c r="AG230" s="4"/>
      <c r="AH230" s="4"/>
      <c r="AI230" s="4"/>
      <c r="AJ230" s="226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spans="1:46" ht="15.75" customHeight="1">
      <c r="A231" s="4"/>
      <c r="B231" s="4"/>
      <c r="C231" s="4"/>
      <c r="D231" s="102"/>
      <c r="E231" s="102"/>
      <c r="F231" s="102"/>
      <c r="G231" s="3"/>
      <c r="H231" s="3"/>
      <c r="I231" s="3"/>
      <c r="J231" s="3"/>
      <c r="K231" s="3"/>
      <c r="L231" s="3"/>
      <c r="M231" s="102"/>
      <c r="N231" s="445"/>
      <c r="O231" s="445"/>
      <c r="P231" s="445"/>
      <c r="Q231" s="445"/>
      <c r="R231" s="445"/>
      <c r="S231" s="445"/>
      <c r="T231" s="445"/>
      <c r="U231" s="445"/>
      <c r="V231" s="445"/>
      <c r="W231" s="476"/>
      <c r="X231" s="445"/>
      <c r="Y231" s="445"/>
      <c r="Z231" s="445"/>
      <c r="AA231" s="445"/>
      <c r="AB231" s="445"/>
      <c r="AC231" s="3"/>
      <c r="AD231" s="134"/>
      <c r="AE231" s="4"/>
      <c r="AF231" s="4"/>
      <c r="AG231" s="4"/>
      <c r="AH231" s="4"/>
      <c r="AI231" s="4"/>
      <c r="AJ231" s="226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spans="1:46" ht="15.75" customHeight="1">
      <c r="A232" s="4"/>
      <c r="B232" s="4"/>
      <c r="C232" s="4"/>
      <c r="D232" s="102"/>
      <c r="E232" s="102"/>
      <c r="F232" s="102"/>
      <c r="G232" s="3"/>
      <c r="H232" s="3"/>
      <c r="I232" s="3"/>
      <c r="J232" s="3"/>
      <c r="K232" s="3"/>
      <c r="L232" s="3"/>
      <c r="M232" s="102"/>
      <c r="N232" s="445"/>
      <c r="O232" s="445"/>
      <c r="P232" s="445"/>
      <c r="Q232" s="445"/>
      <c r="R232" s="445"/>
      <c r="S232" s="445"/>
      <c r="T232" s="445"/>
      <c r="U232" s="445"/>
      <c r="V232" s="445"/>
      <c r="W232" s="476"/>
      <c r="X232" s="445"/>
      <c r="Y232" s="445"/>
      <c r="Z232" s="445"/>
      <c r="AA232" s="445"/>
      <c r="AB232" s="445"/>
      <c r="AC232" s="3"/>
      <c r="AD232" s="134"/>
      <c r="AE232" s="4"/>
      <c r="AF232" s="4"/>
      <c r="AG232" s="4"/>
      <c r="AH232" s="4"/>
      <c r="AI232" s="4"/>
      <c r="AJ232" s="226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spans="1:46" ht="15.75" customHeight="1">
      <c r="A233" s="4"/>
      <c r="B233" s="4"/>
      <c r="C233" s="4"/>
      <c r="D233" s="102"/>
      <c r="E233" s="102"/>
      <c r="F233" s="102"/>
      <c r="G233" s="3"/>
      <c r="H233" s="3"/>
      <c r="I233" s="3"/>
      <c r="J233" s="3"/>
      <c r="K233" s="3"/>
      <c r="L233" s="3"/>
      <c r="M233" s="102"/>
      <c r="N233" s="445"/>
      <c r="O233" s="445"/>
      <c r="P233" s="445"/>
      <c r="Q233" s="445"/>
      <c r="R233" s="445"/>
      <c r="S233" s="445"/>
      <c r="T233" s="445"/>
      <c r="U233" s="445"/>
      <c r="V233" s="445"/>
      <c r="W233" s="476"/>
      <c r="X233" s="445"/>
      <c r="Y233" s="445"/>
      <c r="Z233" s="445"/>
      <c r="AA233" s="445"/>
      <c r="AB233" s="445"/>
      <c r="AC233" s="3"/>
      <c r="AD233" s="134"/>
      <c r="AE233" s="4"/>
      <c r="AF233" s="4"/>
      <c r="AG233" s="4"/>
      <c r="AH233" s="4"/>
      <c r="AI233" s="4"/>
      <c r="AJ233" s="226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spans="1:46" ht="15.75" customHeight="1">
      <c r="A234" s="4"/>
      <c r="B234" s="4"/>
      <c r="C234" s="4"/>
      <c r="D234" s="102"/>
      <c r="E234" s="102"/>
      <c r="F234" s="102"/>
      <c r="G234" s="3"/>
      <c r="H234" s="3"/>
      <c r="I234" s="3"/>
      <c r="J234" s="3"/>
      <c r="K234" s="3"/>
      <c r="L234" s="3"/>
      <c r="M234" s="102"/>
      <c r="N234" s="445"/>
      <c r="O234" s="445"/>
      <c r="P234" s="445"/>
      <c r="Q234" s="445"/>
      <c r="R234" s="445"/>
      <c r="S234" s="445"/>
      <c r="T234" s="445"/>
      <c r="U234" s="445"/>
      <c r="V234" s="445"/>
      <c r="W234" s="476"/>
      <c r="X234" s="445"/>
      <c r="Y234" s="445"/>
      <c r="Z234" s="445"/>
      <c r="AA234" s="445"/>
      <c r="AB234" s="445"/>
      <c r="AC234" s="3"/>
      <c r="AD234" s="134"/>
      <c r="AE234" s="4"/>
      <c r="AF234" s="4"/>
      <c r="AG234" s="4"/>
      <c r="AH234" s="4"/>
      <c r="AI234" s="4"/>
      <c r="AJ234" s="226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spans="1:46" ht="15.75" customHeight="1">
      <c r="A235" s="4"/>
      <c r="B235" s="4"/>
      <c r="C235" s="4"/>
      <c r="D235" s="102"/>
      <c r="E235" s="102"/>
      <c r="F235" s="102"/>
      <c r="G235" s="3"/>
      <c r="H235" s="3"/>
      <c r="I235" s="3"/>
      <c r="J235" s="3"/>
      <c r="K235" s="3"/>
      <c r="L235" s="3"/>
      <c r="M235" s="102"/>
      <c r="N235" s="445"/>
      <c r="O235" s="445"/>
      <c r="P235" s="445"/>
      <c r="Q235" s="445"/>
      <c r="R235" s="445"/>
      <c r="S235" s="445"/>
      <c r="T235" s="445"/>
      <c r="U235" s="445"/>
      <c r="V235" s="445"/>
      <c r="W235" s="476"/>
      <c r="X235" s="445"/>
      <c r="Y235" s="445"/>
      <c r="Z235" s="445"/>
      <c r="AA235" s="445"/>
      <c r="AB235" s="445"/>
      <c r="AC235" s="3"/>
      <c r="AD235" s="134"/>
      <c r="AE235" s="4"/>
      <c r="AF235" s="4"/>
      <c r="AG235" s="4"/>
      <c r="AH235" s="4"/>
      <c r="AI235" s="4"/>
      <c r="AJ235" s="226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spans="1:46" ht="15.75" customHeight="1">
      <c r="A236" s="4"/>
      <c r="B236" s="4"/>
      <c r="C236" s="4"/>
      <c r="D236" s="102"/>
      <c r="E236" s="102"/>
      <c r="F236" s="102"/>
      <c r="G236" s="3"/>
      <c r="H236" s="3"/>
      <c r="I236" s="3"/>
      <c r="J236" s="3"/>
      <c r="K236" s="3"/>
      <c r="L236" s="3"/>
      <c r="M236" s="102"/>
      <c r="N236" s="445"/>
      <c r="O236" s="445"/>
      <c r="P236" s="445"/>
      <c r="Q236" s="445"/>
      <c r="R236" s="445"/>
      <c r="S236" s="445"/>
      <c r="T236" s="445"/>
      <c r="U236" s="445"/>
      <c r="V236" s="445"/>
      <c r="W236" s="476"/>
      <c r="X236" s="445"/>
      <c r="Y236" s="445"/>
      <c r="Z236" s="445"/>
      <c r="AA236" s="445"/>
      <c r="AB236" s="445"/>
      <c r="AC236" s="3"/>
      <c r="AD236" s="134"/>
      <c r="AE236" s="4"/>
      <c r="AF236" s="4"/>
      <c r="AG236" s="4"/>
      <c r="AH236" s="4"/>
      <c r="AI236" s="4"/>
      <c r="AJ236" s="226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spans="1:46" ht="15.75" customHeight="1">
      <c r="A237" s="4"/>
      <c r="B237" s="4"/>
      <c r="C237" s="4"/>
      <c r="D237" s="102"/>
      <c r="E237" s="102"/>
      <c r="F237" s="102"/>
      <c r="G237" s="3"/>
      <c r="H237" s="3"/>
      <c r="I237" s="3"/>
      <c r="J237" s="3"/>
      <c r="K237" s="3"/>
      <c r="L237" s="3"/>
      <c r="M237" s="102"/>
      <c r="N237" s="445"/>
      <c r="O237" s="445"/>
      <c r="P237" s="445"/>
      <c r="Q237" s="445"/>
      <c r="R237" s="445"/>
      <c r="S237" s="445"/>
      <c r="T237" s="445"/>
      <c r="U237" s="445"/>
      <c r="V237" s="445"/>
      <c r="W237" s="476"/>
      <c r="X237" s="445"/>
      <c r="Y237" s="445"/>
      <c r="Z237" s="445"/>
      <c r="AA237" s="445"/>
      <c r="AB237" s="445"/>
      <c r="AC237" s="3"/>
      <c r="AD237" s="134"/>
      <c r="AE237" s="4"/>
      <c r="AF237" s="4"/>
      <c r="AG237" s="4"/>
      <c r="AH237" s="4"/>
      <c r="AI237" s="4"/>
      <c r="AJ237" s="226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spans="1:46" ht="15.75" customHeight="1">
      <c r="A238" s="4"/>
      <c r="B238" s="4"/>
      <c r="C238" s="4"/>
      <c r="D238" s="102"/>
      <c r="E238" s="102"/>
      <c r="F238" s="102"/>
      <c r="G238" s="3"/>
      <c r="H238" s="3"/>
      <c r="I238" s="3"/>
      <c r="J238" s="3"/>
      <c r="K238" s="3"/>
      <c r="L238" s="3"/>
      <c r="M238" s="102"/>
      <c r="N238" s="445"/>
      <c r="O238" s="445"/>
      <c r="P238" s="445"/>
      <c r="Q238" s="445"/>
      <c r="R238" s="445"/>
      <c r="S238" s="445"/>
      <c r="T238" s="445"/>
      <c r="U238" s="445"/>
      <c r="V238" s="445"/>
      <c r="W238" s="476"/>
      <c r="X238" s="445"/>
      <c r="Y238" s="445"/>
      <c r="Z238" s="445"/>
      <c r="AA238" s="445"/>
      <c r="AB238" s="445"/>
      <c r="AC238" s="3"/>
      <c r="AD238" s="134"/>
      <c r="AE238" s="4"/>
      <c r="AF238" s="4"/>
      <c r="AG238" s="4"/>
      <c r="AH238" s="4"/>
      <c r="AI238" s="4"/>
      <c r="AJ238" s="226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spans="1:46" ht="15.75" customHeight="1">
      <c r="A239" s="4"/>
      <c r="B239" s="4"/>
      <c r="C239" s="4"/>
      <c r="D239" s="102"/>
      <c r="E239" s="102"/>
      <c r="F239" s="102"/>
      <c r="G239" s="3"/>
      <c r="H239" s="3"/>
      <c r="I239" s="3"/>
      <c r="J239" s="3"/>
      <c r="K239" s="3"/>
      <c r="L239" s="3"/>
      <c r="M239" s="102"/>
      <c r="N239" s="445"/>
      <c r="O239" s="445"/>
      <c r="P239" s="445"/>
      <c r="Q239" s="445"/>
      <c r="R239" s="445"/>
      <c r="S239" s="445"/>
      <c r="T239" s="445"/>
      <c r="U239" s="445"/>
      <c r="V239" s="445"/>
      <c r="W239" s="476"/>
      <c r="X239" s="445"/>
      <c r="Y239" s="445"/>
      <c r="Z239" s="445"/>
      <c r="AA239" s="445"/>
      <c r="AB239" s="445"/>
      <c r="AC239" s="3"/>
      <c r="AD239" s="134"/>
      <c r="AE239" s="4"/>
      <c r="AF239" s="4"/>
      <c r="AG239" s="4"/>
      <c r="AH239" s="4"/>
      <c r="AI239" s="4"/>
      <c r="AJ239" s="226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spans="1:46" ht="15.75" customHeight="1">
      <c r="A240" s="4"/>
      <c r="B240" s="4"/>
      <c r="C240" s="4"/>
      <c r="D240" s="102"/>
      <c r="E240" s="102"/>
      <c r="F240" s="102"/>
      <c r="G240" s="3"/>
      <c r="H240" s="3"/>
      <c r="I240" s="3"/>
      <c r="J240" s="3"/>
      <c r="K240" s="3"/>
      <c r="L240" s="3"/>
      <c r="M240" s="102"/>
      <c r="N240" s="445"/>
      <c r="O240" s="445"/>
      <c r="P240" s="445"/>
      <c r="Q240" s="445"/>
      <c r="R240" s="445"/>
      <c r="S240" s="445"/>
      <c r="T240" s="445"/>
      <c r="U240" s="445"/>
      <c r="V240" s="445"/>
      <c r="W240" s="476"/>
      <c r="X240" s="445"/>
      <c r="Y240" s="445"/>
      <c r="Z240" s="445"/>
      <c r="AA240" s="445"/>
      <c r="AB240" s="445"/>
      <c r="AC240" s="3"/>
      <c r="AD240" s="134"/>
      <c r="AE240" s="4"/>
      <c r="AF240" s="4"/>
      <c r="AG240" s="4"/>
      <c r="AH240" s="4"/>
      <c r="AI240" s="4"/>
      <c r="AJ240" s="226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spans="1:46" ht="15.75" customHeight="1">
      <c r="A241" s="4"/>
      <c r="B241" s="4"/>
      <c r="C241" s="4"/>
      <c r="D241" s="102"/>
      <c r="E241" s="102"/>
      <c r="F241" s="102"/>
      <c r="G241" s="3"/>
      <c r="H241" s="3"/>
      <c r="I241" s="3"/>
      <c r="J241" s="3"/>
      <c r="K241" s="3"/>
      <c r="L241" s="3"/>
      <c r="M241" s="102"/>
      <c r="N241" s="445"/>
      <c r="O241" s="445"/>
      <c r="P241" s="445"/>
      <c r="Q241" s="445"/>
      <c r="R241" s="445"/>
      <c r="S241" s="445"/>
      <c r="T241" s="445"/>
      <c r="U241" s="445"/>
      <c r="V241" s="445"/>
      <c r="W241" s="476"/>
      <c r="X241" s="445"/>
      <c r="Y241" s="445"/>
      <c r="Z241" s="445"/>
      <c r="AA241" s="445"/>
      <c r="AB241" s="445"/>
      <c r="AC241" s="3"/>
      <c r="AD241" s="134"/>
      <c r="AE241" s="4"/>
      <c r="AF241" s="4"/>
      <c r="AG241" s="4"/>
      <c r="AH241" s="4"/>
      <c r="AI241" s="4"/>
      <c r="AJ241" s="226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spans="1:46" ht="15.75" customHeight="1">
      <c r="A242" s="4"/>
      <c r="B242" s="4"/>
      <c r="C242" s="4"/>
      <c r="D242" s="102"/>
      <c r="E242" s="102"/>
      <c r="F242" s="102"/>
      <c r="G242" s="3"/>
      <c r="H242" s="3"/>
      <c r="I242" s="3"/>
      <c r="J242" s="3"/>
      <c r="K242" s="3"/>
      <c r="L242" s="3"/>
      <c r="M242" s="102"/>
      <c r="N242" s="445"/>
      <c r="O242" s="445"/>
      <c r="P242" s="445"/>
      <c r="Q242" s="445"/>
      <c r="R242" s="445"/>
      <c r="S242" s="445"/>
      <c r="T242" s="445"/>
      <c r="U242" s="445"/>
      <c r="V242" s="445"/>
      <c r="W242" s="476"/>
      <c r="X242" s="445"/>
      <c r="Y242" s="445"/>
      <c r="Z242" s="445"/>
      <c r="AA242" s="445"/>
      <c r="AB242" s="445"/>
      <c r="AC242" s="3"/>
      <c r="AD242" s="134"/>
      <c r="AE242" s="4"/>
      <c r="AF242" s="4"/>
      <c r="AG242" s="4"/>
      <c r="AH242" s="4"/>
      <c r="AI242" s="4"/>
      <c r="AJ242" s="226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spans="1:46" ht="15.75" customHeight="1">
      <c r="A243" s="4"/>
      <c r="B243" s="4"/>
      <c r="C243" s="4"/>
      <c r="D243" s="102"/>
      <c r="E243" s="102"/>
      <c r="F243" s="102"/>
      <c r="G243" s="3"/>
      <c r="H243" s="3"/>
      <c r="I243" s="3"/>
      <c r="J243" s="3"/>
      <c r="K243" s="3"/>
      <c r="L243" s="3"/>
      <c r="M243" s="102"/>
      <c r="N243" s="445"/>
      <c r="O243" s="445"/>
      <c r="P243" s="445"/>
      <c r="Q243" s="445"/>
      <c r="R243" s="445"/>
      <c r="S243" s="445"/>
      <c r="T243" s="445"/>
      <c r="U243" s="445"/>
      <c r="V243" s="445"/>
      <c r="W243" s="476"/>
      <c r="X243" s="445"/>
      <c r="Y243" s="445"/>
      <c r="Z243" s="445"/>
      <c r="AA243" s="445"/>
      <c r="AB243" s="445"/>
      <c r="AC243" s="3"/>
      <c r="AD243" s="134"/>
      <c r="AE243" s="4"/>
      <c r="AF243" s="4"/>
      <c r="AG243" s="4"/>
      <c r="AH243" s="4"/>
      <c r="AI243" s="4"/>
      <c r="AJ243" s="226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spans="1:46" ht="15.75" customHeight="1">
      <c r="A244" s="4"/>
      <c r="B244" s="4"/>
      <c r="C244" s="4"/>
      <c r="D244" s="102"/>
      <c r="E244" s="102"/>
      <c r="F244" s="102"/>
      <c r="G244" s="3"/>
      <c r="H244" s="3"/>
      <c r="I244" s="3"/>
      <c r="J244" s="3"/>
      <c r="K244" s="3"/>
      <c r="L244" s="3"/>
      <c r="M244" s="102"/>
      <c r="N244" s="445"/>
      <c r="O244" s="445"/>
      <c r="P244" s="445"/>
      <c r="Q244" s="445"/>
      <c r="R244" s="445"/>
      <c r="S244" s="445"/>
      <c r="T244" s="445"/>
      <c r="U244" s="445"/>
      <c r="V244" s="445"/>
      <c r="W244" s="476"/>
      <c r="X244" s="445"/>
      <c r="Y244" s="445"/>
      <c r="Z244" s="445"/>
      <c r="AA244" s="445"/>
      <c r="AB244" s="445"/>
      <c r="AC244" s="3"/>
      <c r="AD244" s="134"/>
      <c r="AE244" s="4"/>
      <c r="AF244" s="4"/>
      <c r="AG244" s="4"/>
      <c r="AH244" s="4"/>
      <c r="AI244" s="4"/>
      <c r="AJ244" s="226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spans="1:46" ht="15.75" customHeight="1">
      <c r="A245" s="4"/>
      <c r="B245" s="4"/>
      <c r="C245" s="4"/>
      <c r="D245" s="102"/>
      <c r="E245" s="102"/>
      <c r="F245" s="102"/>
      <c r="G245" s="3"/>
      <c r="H245" s="3"/>
      <c r="I245" s="3"/>
      <c r="J245" s="3"/>
      <c r="K245" s="3"/>
      <c r="L245" s="3"/>
      <c r="M245" s="102"/>
      <c r="N245" s="445"/>
      <c r="O245" s="445"/>
      <c r="P245" s="445"/>
      <c r="Q245" s="445"/>
      <c r="R245" s="445"/>
      <c r="S245" s="445"/>
      <c r="T245" s="445"/>
      <c r="U245" s="445"/>
      <c r="V245" s="445"/>
      <c r="W245" s="476"/>
      <c r="X245" s="445"/>
      <c r="Y245" s="445"/>
      <c r="Z245" s="445"/>
      <c r="AA245" s="445"/>
      <c r="AB245" s="445"/>
      <c r="AC245" s="3"/>
      <c r="AD245" s="134"/>
      <c r="AE245" s="4"/>
      <c r="AF245" s="4"/>
      <c r="AG245" s="4"/>
      <c r="AH245" s="4"/>
      <c r="AI245" s="4"/>
      <c r="AJ245" s="226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spans="1:46" ht="15.75" customHeight="1">
      <c r="A246" s="4"/>
      <c r="B246" s="4"/>
      <c r="C246" s="4"/>
      <c r="D246" s="102"/>
      <c r="E246" s="102"/>
      <c r="F246" s="102"/>
      <c r="G246" s="3"/>
      <c r="H246" s="3"/>
      <c r="I246" s="3"/>
      <c r="J246" s="3"/>
      <c r="K246" s="3"/>
      <c r="L246" s="3"/>
      <c r="M246" s="102"/>
      <c r="N246" s="445"/>
      <c r="O246" s="445"/>
      <c r="P246" s="445"/>
      <c r="Q246" s="445"/>
      <c r="R246" s="445"/>
      <c r="S246" s="445"/>
      <c r="T246" s="445"/>
      <c r="U246" s="445"/>
      <c r="V246" s="445"/>
      <c r="W246" s="476"/>
      <c r="X246" s="445"/>
      <c r="Y246" s="445"/>
      <c r="Z246" s="445"/>
      <c r="AA246" s="445"/>
      <c r="AB246" s="445"/>
      <c r="AC246" s="3"/>
      <c r="AD246" s="134"/>
      <c r="AE246" s="4"/>
      <c r="AF246" s="4"/>
      <c r="AG246" s="4"/>
      <c r="AH246" s="4"/>
      <c r="AI246" s="4"/>
      <c r="AJ246" s="226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spans="1:46" ht="15.75" customHeight="1">
      <c r="A247" s="4"/>
      <c r="B247" s="4"/>
      <c r="C247" s="4"/>
      <c r="D247" s="102"/>
      <c r="E247" s="102"/>
      <c r="F247" s="102"/>
      <c r="G247" s="3"/>
      <c r="H247" s="3"/>
      <c r="I247" s="3"/>
      <c r="J247" s="3"/>
      <c r="K247" s="3"/>
      <c r="L247" s="3"/>
      <c r="M247" s="102"/>
      <c r="N247" s="445"/>
      <c r="O247" s="445"/>
      <c r="P247" s="445"/>
      <c r="Q247" s="445"/>
      <c r="R247" s="445"/>
      <c r="S247" s="445"/>
      <c r="T247" s="445"/>
      <c r="U247" s="445"/>
      <c r="V247" s="445"/>
      <c r="W247" s="476"/>
      <c r="X247" s="445"/>
      <c r="Y247" s="445"/>
      <c r="Z247" s="445"/>
      <c r="AA247" s="445"/>
      <c r="AB247" s="445"/>
      <c r="AC247" s="3"/>
      <c r="AD247" s="134"/>
      <c r="AE247" s="4"/>
      <c r="AF247" s="4"/>
      <c r="AG247" s="4"/>
      <c r="AH247" s="4"/>
      <c r="AI247" s="4"/>
      <c r="AJ247" s="226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spans="1:46" ht="15.75" customHeight="1">
      <c r="A248" s="4"/>
      <c r="B248" s="4"/>
      <c r="C248" s="4"/>
      <c r="D248" s="102"/>
      <c r="E248" s="102"/>
      <c r="F248" s="102"/>
      <c r="G248" s="3"/>
      <c r="H248" s="3"/>
      <c r="I248" s="3"/>
      <c r="J248" s="3"/>
      <c r="K248" s="3"/>
      <c r="L248" s="3"/>
      <c r="M248" s="102"/>
      <c r="N248" s="445"/>
      <c r="O248" s="445"/>
      <c r="P248" s="445"/>
      <c r="Q248" s="445"/>
      <c r="R248" s="445"/>
      <c r="S248" s="445"/>
      <c r="T248" s="445"/>
      <c r="U248" s="445"/>
      <c r="V248" s="445"/>
      <c r="W248" s="476"/>
      <c r="X248" s="445"/>
      <c r="Y248" s="445"/>
      <c r="Z248" s="445"/>
      <c r="AA248" s="445"/>
      <c r="AB248" s="445"/>
      <c r="AC248" s="3"/>
      <c r="AD248" s="134"/>
      <c r="AE248" s="4"/>
      <c r="AF248" s="4"/>
      <c r="AG248" s="4"/>
      <c r="AH248" s="4"/>
      <c r="AI248" s="4"/>
      <c r="AJ248" s="226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spans="1:46" ht="15.75" customHeight="1">
      <c r="A249" s="4"/>
      <c r="B249" s="4"/>
      <c r="C249" s="4"/>
      <c r="D249" s="102"/>
      <c r="E249" s="102"/>
      <c r="F249" s="102"/>
      <c r="G249" s="3"/>
      <c r="H249" s="3"/>
      <c r="I249" s="3"/>
      <c r="J249" s="3"/>
      <c r="K249" s="3"/>
      <c r="L249" s="3"/>
      <c r="M249" s="102"/>
      <c r="N249" s="445"/>
      <c r="O249" s="445"/>
      <c r="P249" s="445"/>
      <c r="Q249" s="445"/>
      <c r="R249" s="445"/>
      <c r="S249" s="445"/>
      <c r="T249" s="445"/>
      <c r="U249" s="445"/>
      <c r="V249" s="445"/>
      <c r="W249" s="476"/>
      <c r="X249" s="445"/>
      <c r="Y249" s="445"/>
      <c r="Z249" s="445"/>
      <c r="AA249" s="445"/>
      <c r="AB249" s="445"/>
      <c r="AC249" s="3"/>
      <c r="AD249" s="134"/>
      <c r="AE249" s="4"/>
      <c r="AF249" s="4"/>
      <c r="AG249" s="4"/>
      <c r="AH249" s="4"/>
      <c r="AI249" s="4"/>
      <c r="AJ249" s="226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spans="1:46" ht="15.75" customHeight="1">
      <c r="A250" s="4"/>
      <c r="B250" s="4"/>
      <c r="C250" s="4"/>
      <c r="D250" s="102"/>
      <c r="E250" s="102"/>
      <c r="F250" s="102"/>
      <c r="G250" s="3"/>
      <c r="H250" s="3"/>
      <c r="I250" s="3"/>
      <c r="J250" s="3"/>
      <c r="K250" s="3"/>
      <c r="L250" s="3"/>
      <c r="M250" s="102"/>
      <c r="N250" s="445"/>
      <c r="O250" s="445"/>
      <c r="P250" s="445"/>
      <c r="Q250" s="445"/>
      <c r="R250" s="445"/>
      <c r="S250" s="445"/>
      <c r="T250" s="445"/>
      <c r="U250" s="445"/>
      <c r="V250" s="445"/>
      <c r="W250" s="476"/>
      <c r="X250" s="445"/>
      <c r="Y250" s="445"/>
      <c r="Z250" s="445"/>
      <c r="AA250" s="445"/>
      <c r="AB250" s="445"/>
      <c r="AC250" s="3"/>
      <c r="AD250" s="134"/>
      <c r="AE250" s="4"/>
      <c r="AF250" s="4"/>
      <c r="AG250" s="4"/>
      <c r="AH250" s="4"/>
      <c r="AI250" s="4"/>
      <c r="AJ250" s="226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spans="1:46" ht="15.75" customHeight="1">
      <c r="A251" s="4"/>
      <c r="B251" s="4"/>
      <c r="C251" s="4"/>
      <c r="D251" s="102"/>
      <c r="E251" s="102"/>
      <c r="F251" s="102"/>
      <c r="G251" s="3"/>
      <c r="H251" s="3"/>
      <c r="I251" s="3"/>
      <c r="J251" s="3"/>
      <c r="K251" s="3"/>
      <c r="L251" s="3"/>
      <c r="M251" s="102"/>
      <c r="N251" s="445"/>
      <c r="O251" s="445"/>
      <c r="P251" s="445"/>
      <c r="Q251" s="445"/>
      <c r="R251" s="445"/>
      <c r="S251" s="445"/>
      <c r="T251" s="445"/>
      <c r="U251" s="445"/>
      <c r="V251" s="445"/>
      <c r="W251" s="476"/>
      <c r="X251" s="445"/>
      <c r="Y251" s="445"/>
      <c r="Z251" s="445"/>
      <c r="AA251" s="445"/>
      <c r="AB251" s="445"/>
      <c r="AC251" s="3"/>
      <c r="AD251" s="134"/>
      <c r="AE251" s="4"/>
      <c r="AF251" s="4"/>
      <c r="AG251" s="4"/>
      <c r="AH251" s="4"/>
      <c r="AI251" s="4"/>
      <c r="AJ251" s="226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spans="1:46" ht="15.75" customHeight="1">
      <c r="A252" s="4"/>
      <c r="B252" s="4"/>
      <c r="C252" s="4"/>
      <c r="D252" s="102"/>
      <c r="E252" s="102"/>
      <c r="F252" s="102"/>
      <c r="G252" s="3"/>
      <c r="H252" s="3"/>
      <c r="I252" s="3"/>
      <c r="J252" s="3"/>
      <c r="K252" s="3"/>
      <c r="L252" s="3"/>
      <c r="M252" s="102"/>
      <c r="N252" s="445"/>
      <c r="O252" s="445"/>
      <c r="P252" s="445"/>
      <c r="Q252" s="445"/>
      <c r="R252" s="445"/>
      <c r="S252" s="445"/>
      <c r="T252" s="445"/>
      <c r="U252" s="445"/>
      <c r="V252" s="445"/>
      <c r="W252" s="476"/>
      <c r="X252" s="445"/>
      <c r="Y252" s="445"/>
      <c r="Z252" s="445"/>
      <c r="AA252" s="445"/>
      <c r="AB252" s="445"/>
      <c r="AC252" s="3"/>
      <c r="AD252" s="134"/>
      <c r="AE252" s="4"/>
      <c r="AF252" s="4"/>
      <c r="AG252" s="4"/>
      <c r="AH252" s="4"/>
      <c r="AI252" s="4"/>
      <c r="AJ252" s="226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spans="1:46" ht="15.75" customHeight="1">
      <c r="A253" s="4"/>
      <c r="B253" s="4"/>
      <c r="C253" s="4"/>
      <c r="D253" s="102"/>
      <c r="E253" s="102"/>
      <c r="F253" s="102"/>
      <c r="G253" s="3"/>
      <c r="H253" s="3"/>
      <c r="I253" s="3"/>
      <c r="J253" s="3"/>
      <c r="K253" s="3"/>
      <c r="L253" s="3"/>
      <c r="M253" s="102"/>
      <c r="N253" s="445"/>
      <c r="O253" s="445"/>
      <c r="P253" s="445"/>
      <c r="Q253" s="445"/>
      <c r="R253" s="445"/>
      <c r="S253" s="445"/>
      <c r="T253" s="445"/>
      <c r="U253" s="445"/>
      <c r="V253" s="445"/>
      <c r="W253" s="476"/>
      <c r="X253" s="445"/>
      <c r="Y253" s="445"/>
      <c r="Z253" s="445"/>
      <c r="AA253" s="445"/>
      <c r="AB253" s="445"/>
      <c r="AC253" s="3"/>
      <c r="AD253" s="134"/>
      <c r="AE253" s="4"/>
      <c r="AF253" s="4"/>
      <c r="AG253" s="4"/>
      <c r="AH253" s="4"/>
      <c r="AI253" s="4"/>
      <c r="AJ253" s="226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spans="1:46" ht="15.75" customHeight="1">
      <c r="A254" s="4"/>
      <c r="B254" s="4"/>
      <c r="C254" s="4"/>
      <c r="D254" s="102"/>
      <c r="E254" s="102"/>
      <c r="F254" s="102"/>
      <c r="G254" s="3"/>
      <c r="H254" s="3"/>
      <c r="I254" s="3"/>
      <c r="J254" s="3"/>
      <c r="K254" s="3"/>
      <c r="L254" s="3"/>
      <c r="M254" s="102"/>
      <c r="N254" s="445"/>
      <c r="O254" s="445"/>
      <c r="P254" s="445"/>
      <c r="Q254" s="445"/>
      <c r="R254" s="445"/>
      <c r="S254" s="445"/>
      <c r="T254" s="445"/>
      <c r="U254" s="445"/>
      <c r="V254" s="445"/>
      <c r="W254" s="476"/>
      <c r="X254" s="445"/>
      <c r="Y254" s="445"/>
      <c r="Z254" s="445"/>
      <c r="AA254" s="445"/>
      <c r="AB254" s="445"/>
      <c r="AC254" s="3"/>
      <c r="AD254" s="134"/>
      <c r="AE254" s="4"/>
      <c r="AF254" s="4"/>
      <c r="AG254" s="4"/>
      <c r="AH254" s="4"/>
      <c r="AI254" s="4"/>
      <c r="AJ254" s="226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spans="1:46" ht="15.75" customHeight="1">
      <c r="A255" s="4"/>
      <c r="B255" s="4"/>
      <c r="C255" s="4"/>
      <c r="D255" s="102"/>
      <c r="E255" s="102"/>
      <c r="F255" s="102"/>
      <c r="G255" s="3"/>
      <c r="H255" s="3"/>
      <c r="I255" s="3"/>
      <c r="J255" s="3"/>
      <c r="K255" s="3"/>
      <c r="L255" s="3"/>
      <c r="M255" s="102"/>
      <c r="N255" s="445"/>
      <c r="O255" s="445"/>
      <c r="P255" s="445"/>
      <c r="Q255" s="445"/>
      <c r="R255" s="445"/>
      <c r="S255" s="445"/>
      <c r="T255" s="445"/>
      <c r="U255" s="445"/>
      <c r="V255" s="445"/>
      <c r="W255" s="476"/>
      <c r="X255" s="445"/>
      <c r="Y255" s="445"/>
      <c r="Z255" s="445"/>
      <c r="AA255" s="445"/>
      <c r="AB255" s="445"/>
      <c r="AC255" s="3"/>
      <c r="AD255" s="134"/>
      <c r="AE255" s="4"/>
      <c r="AF255" s="4"/>
      <c r="AG255" s="4"/>
      <c r="AH255" s="4"/>
      <c r="AI255" s="4"/>
      <c r="AJ255" s="226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spans="1:46" ht="15.75" customHeight="1">
      <c r="A256" s="4"/>
      <c r="B256" s="4"/>
      <c r="C256" s="4"/>
      <c r="D256" s="102"/>
      <c r="E256" s="102"/>
      <c r="F256" s="102"/>
      <c r="G256" s="3"/>
      <c r="H256" s="3"/>
      <c r="I256" s="3"/>
      <c r="J256" s="3"/>
      <c r="K256" s="3"/>
      <c r="L256" s="3"/>
      <c r="M256" s="102"/>
      <c r="N256" s="445"/>
      <c r="O256" s="445"/>
      <c r="P256" s="445"/>
      <c r="Q256" s="445"/>
      <c r="R256" s="445"/>
      <c r="S256" s="445"/>
      <c r="T256" s="445"/>
      <c r="U256" s="445"/>
      <c r="V256" s="445"/>
      <c r="W256" s="476"/>
      <c r="X256" s="445"/>
      <c r="Y256" s="445"/>
      <c r="Z256" s="445"/>
      <c r="AA256" s="445"/>
      <c r="AB256" s="445"/>
      <c r="AC256" s="3"/>
      <c r="AD256" s="134"/>
      <c r="AE256" s="4"/>
      <c r="AF256" s="4"/>
      <c r="AG256" s="4"/>
      <c r="AH256" s="4"/>
      <c r="AI256" s="4"/>
      <c r="AJ256" s="226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spans="1:46" ht="15.75" customHeight="1">
      <c r="A257" s="4"/>
      <c r="B257" s="4"/>
      <c r="C257" s="4"/>
      <c r="D257" s="102"/>
      <c r="E257" s="102"/>
      <c r="F257" s="102"/>
      <c r="G257" s="3"/>
      <c r="H257" s="3"/>
      <c r="I257" s="3"/>
      <c r="J257" s="3"/>
      <c r="K257" s="3"/>
      <c r="L257" s="3"/>
      <c r="M257" s="102"/>
      <c r="N257" s="445"/>
      <c r="O257" s="445"/>
      <c r="P257" s="445"/>
      <c r="Q257" s="445"/>
      <c r="R257" s="445"/>
      <c r="S257" s="445"/>
      <c r="T257" s="445"/>
      <c r="U257" s="445"/>
      <c r="V257" s="445"/>
      <c r="W257" s="476"/>
      <c r="X257" s="445"/>
      <c r="Y257" s="445"/>
      <c r="Z257" s="445"/>
      <c r="AA257" s="445"/>
      <c r="AB257" s="445"/>
      <c r="AC257" s="3"/>
      <c r="AD257" s="134"/>
      <c r="AE257" s="4"/>
      <c r="AF257" s="4"/>
      <c r="AG257" s="4"/>
      <c r="AH257" s="4"/>
      <c r="AI257" s="4"/>
      <c r="AJ257" s="226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spans="1:46" ht="15.75" customHeight="1">
      <c r="A258" s="4"/>
      <c r="B258" s="4"/>
      <c r="C258" s="4"/>
      <c r="D258" s="102"/>
      <c r="E258" s="102"/>
      <c r="F258" s="102"/>
      <c r="G258" s="3"/>
      <c r="H258" s="3"/>
      <c r="I258" s="3"/>
      <c r="J258" s="3"/>
      <c r="K258" s="3"/>
      <c r="L258" s="3"/>
      <c r="M258" s="102"/>
      <c r="N258" s="445"/>
      <c r="O258" s="445"/>
      <c r="P258" s="445"/>
      <c r="Q258" s="445"/>
      <c r="R258" s="445"/>
      <c r="S258" s="445"/>
      <c r="T258" s="445"/>
      <c r="U258" s="445"/>
      <c r="V258" s="445"/>
      <c r="W258" s="476"/>
      <c r="X258" s="445"/>
      <c r="Y258" s="445"/>
      <c r="Z258" s="445"/>
      <c r="AA258" s="445"/>
      <c r="AB258" s="445"/>
      <c r="AC258" s="3"/>
      <c r="AD258" s="134"/>
      <c r="AE258" s="4"/>
      <c r="AF258" s="4"/>
      <c r="AG258" s="4"/>
      <c r="AH258" s="4"/>
      <c r="AI258" s="4"/>
      <c r="AJ258" s="226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spans="1:46" ht="15.75" customHeight="1">
      <c r="A259" s="4"/>
      <c r="B259" s="4"/>
      <c r="C259" s="4"/>
      <c r="D259" s="102"/>
      <c r="E259" s="102"/>
      <c r="F259" s="102"/>
      <c r="G259" s="3"/>
      <c r="H259" s="3"/>
      <c r="I259" s="3"/>
      <c r="J259" s="3"/>
      <c r="K259" s="3"/>
      <c r="L259" s="3"/>
      <c r="M259" s="102"/>
      <c r="N259" s="445"/>
      <c r="O259" s="445"/>
      <c r="P259" s="445"/>
      <c r="Q259" s="445"/>
      <c r="R259" s="445"/>
      <c r="S259" s="445"/>
      <c r="T259" s="445"/>
      <c r="U259" s="445"/>
      <c r="V259" s="445"/>
      <c r="W259" s="476"/>
      <c r="X259" s="445"/>
      <c r="Y259" s="445"/>
      <c r="Z259" s="445"/>
      <c r="AA259" s="445"/>
      <c r="AB259" s="445"/>
      <c r="AC259" s="3"/>
      <c r="AD259" s="134"/>
      <c r="AE259" s="4"/>
      <c r="AF259" s="4"/>
      <c r="AG259" s="4"/>
      <c r="AH259" s="4"/>
      <c r="AI259" s="4"/>
      <c r="AJ259" s="226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spans="1:46" ht="15.75" customHeight="1">
      <c r="A260" s="4"/>
      <c r="B260" s="4"/>
      <c r="C260" s="4"/>
      <c r="D260" s="102"/>
      <c r="E260" s="102"/>
      <c r="F260" s="102"/>
      <c r="G260" s="3"/>
      <c r="H260" s="3"/>
      <c r="I260" s="3"/>
      <c r="J260" s="3"/>
      <c r="K260" s="3"/>
      <c r="L260" s="3"/>
      <c r="M260" s="102"/>
      <c r="N260" s="445"/>
      <c r="O260" s="445"/>
      <c r="P260" s="445"/>
      <c r="Q260" s="445"/>
      <c r="R260" s="445"/>
      <c r="S260" s="445"/>
      <c r="T260" s="445"/>
      <c r="U260" s="445"/>
      <c r="V260" s="445"/>
      <c r="W260" s="476"/>
      <c r="X260" s="445"/>
      <c r="Y260" s="445"/>
      <c r="Z260" s="445"/>
      <c r="AA260" s="445"/>
      <c r="AB260" s="445"/>
      <c r="AC260" s="3"/>
      <c r="AD260" s="134"/>
      <c r="AE260" s="4"/>
      <c r="AF260" s="4"/>
      <c r="AG260" s="4"/>
      <c r="AH260" s="4"/>
      <c r="AI260" s="4"/>
      <c r="AJ260" s="226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spans="1:46" ht="15.75" customHeight="1">
      <c r="A261" s="4"/>
      <c r="B261" s="4"/>
      <c r="C261" s="4"/>
      <c r="D261" s="102"/>
      <c r="E261" s="102"/>
      <c r="F261" s="102"/>
      <c r="G261" s="3"/>
      <c r="H261" s="3"/>
      <c r="I261" s="3"/>
      <c r="J261" s="3"/>
      <c r="K261" s="3"/>
      <c r="L261" s="3"/>
      <c r="M261" s="102"/>
      <c r="N261" s="445"/>
      <c r="O261" s="445"/>
      <c r="P261" s="445"/>
      <c r="Q261" s="445"/>
      <c r="R261" s="445"/>
      <c r="S261" s="445"/>
      <c r="T261" s="445"/>
      <c r="U261" s="445"/>
      <c r="V261" s="445"/>
      <c r="W261" s="476"/>
      <c r="X261" s="445"/>
      <c r="Y261" s="445"/>
      <c r="Z261" s="445"/>
      <c r="AA261" s="445"/>
      <c r="AB261" s="445"/>
      <c r="AC261" s="3"/>
      <c r="AD261" s="13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spans="1:46" ht="15.75" customHeight="1">
      <c r="A262" s="4"/>
      <c r="B262" s="4"/>
      <c r="C262" s="4"/>
      <c r="D262" s="102"/>
      <c r="E262" s="102"/>
      <c r="F262" s="102"/>
      <c r="G262" s="3"/>
      <c r="H262" s="3"/>
      <c r="I262" s="3"/>
      <c r="J262" s="3"/>
      <c r="K262" s="3"/>
      <c r="L262" s="3"/>
      <c r="M262" s="102"/>
      <c r="N262" s="445"/>
      <c r="O262" s="445"/>
      <c r="P262" s="445"/>
      <c r="Q262" s="445"/>
      <c r="R262" s="445"/>
      <c r="S262" s="445"/>
      <c r="T262" s="445"/>
      <c r="U262" s="445"/>
      <c r="V262" s="445"/>
      <c r="W262" s="476"/>
      <c r="X262" s="445"/>
      <c r="Y262" s="445"/>
      <c r="Z262" s="445"/>
      <c r="AA262" s="445"/>
      <c r="AB262" s="445"/>
      <c r="AC262" s="3"/>
      <c r="AD262" s="13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spans="1:46" ht="15.75" customHeight="1">
      <c r="A263" s="4"/>
      <c r="B263" s="4"/>
      <c r="C263" s="4"/>
      <c r="D263" s="102"/>
      <c r="E263" s="102"/>
      <c r="F263" s="102"/>
      <c r="G263" s="3"/>
      <c r="H263" s="3"/>
      <c r="I263" s="3"/>
      <c r="J263" s="3"/>
      <c r="K263" s="3"/>
      <c r="L263" s="3"/>
      <c r="M263" s="102"/>
      <c r="N263" s="445"/>
      <c r="O263" s="445"/>
      <c r="P263" s="445"/>
      <c r="Q263" s="445"/>
      <c r="R263" s="445"/>
      <c r="S263" s="445"/>
      <c r="T263" s="445"/>
      <c r="U263" s="445"/>
      <c r="V263" s="445"/>
      <c r="W263" s="476"/>
      <c r="X263" s="445"/>
      <c r="Y263" s="445"/>
      <c r="Z263" s="445"/>
      <c r="AA263" s="445"/>
      <c r="AB263" s="445"/>
      <c r="AC263" s="3"/>
      <c r="AD263" s="13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spans="1:46" ht="15.75" customHeight="1">
      <c r="A264" s="4"/>
      <c r="B264" s="4"/>
      <c r="C264" s="4"/>
      <c r="D264" s="102"/>
      <c r="E264" s="102"/>
      <c r="F264" s="102"/>
      <c r="G264" s="3"/>
      <c r="H264" s="3"/>
      <c r="I264" s="3"/>
      <c r="J264" s="3"/>
      <c r="K264" s="3"/>
      <c r="L264" s="3"/>
      <c r="M264" s="102"/>
      <c r="N264" s="445"/>
      <c r="O264" s="445"/>
      <c r="P264" s="445"/>
      <c r="Q264" s="445"/>
      <c r="R264" s="445"/>
      <c r="S264" s="445"/>
      <c r="T264" s="445"/>
      <c r="U264" s="445"/>
      <c r="V264" s="445"/>
      <c r="W264" s="476"/>
      <c r="X264" s="445"/>
      <c r="Y264" s="445"/>
      <c r="Z264" s="445"/>
      <c r="AA264" s="445"/>
      <c r="AB264" s="445"/>
      <c r="AC264" s="3"/>
      <c r="AD264" s="13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spans="1:46" ht="15.75" customHeight="1">
      <c r="A265" s="4"/>
      <c r="B265" s="4"/>
      <c r="C265" s="4"/>
      <c r="D265" s="102"/>
      <c r="E265" s="102"/>
      <c r="F265" s="102"/>
      <c r="G265" s="3"/>
      <c r="H265" s="3"/>
      <c r="I265" s="3"/>
      <c r="J265" s="3"/>
      <c r="K265" s="3"/>
      <c r="L265" s="3"/>
      <c r="M265" s="102"/>
      <c r="N265" s="445"/>
      <c r="O265" s="445"/>
      <c r="P265" s="445"/>
      <c r="Q265" s="445"/>
      <c r="R265" s="445"/>
      <c r="S265" s="445"/>
      <c r="T265" s="445"/>
      <c r="U265" s="445"/>
      <c r="V265" s="445"/>
      <c r="W265" s="476"/>
      <c r="X265" s="445"/>
      <c r="Y265" s="445"/>
      <c r="Z265" s="445"/>
      <c r="AA265" s="445"/>
      <c r="AB265" s="445"/>
      <c r="AC265" s="3"/>
      <c r="AD265" s="13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spans="1:46" ht="15.75" customHeight="1">
      <c r="A266" s="4"/>
      <c r="B266" s="4"/>
      <c r="C266" s="4"/>
      <c r="D266" s="102"/>
      <c r="E266" s="102"/>
      <c r="F266" s="102"/>
      <c r="G266" s="3"/>
      <c r="H266" s="3"/>
      <c r="I266" s="3"/>
      <c r="J266" s="3"/>
      <c r="K266" s="3"/>
      <c r="L266" s="3"/>
      <c r="M266" s="102"/>
      <c r="N266" s="445"/>
      <c r="O266" s="445"/>
      <c r="P266" s="445"/>
      <c r="Q266" s="445"/>
      <c r="R266" s="445"/>
      <c r="S266" s="445"/>
      <c r="T266" s="445"/>
      <c r="U266" s="445"/>
      <c r="V266" s="445"/>
      <c r="W266" s="476"/>
      <c r="X266" s="445"/>
      <c r="Y266" s="445"/>
      <c r="Z266" s="445"/>
      <c r="AA266" s="445"/>
      <c r="AB266" s="445"/>
      <c r="AC266" s="3"/>
      <c r="AD266" s="13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spans="1:46" ht="15.75" customHeight="1">
      <c r="A267" s="4"/>
      <c r="B267" s="4"/>
      <c r="C267" s="4"/>
      <c r="D267" s="102"/>
      <c r="E267" s="102"/>
      <c r="F267" s="102"/>
      <c r="G267" s="3"/>
      <c r="H267" s="3"/>
      <c r="I267" s="3"/>
      <c r="J267" s="3"/>
      <c r="K267" s="3"/>
      <c r="L267" s="3"/>
      <c r="M267" s="102"/>
      <c r="N267" s="445"/>
      <c r="O267" s="445"/>
      <c r="P267" s="445"/>
      <c r="Q267" s="445"/>
      <c r="R267" s="445"/>
      <c r="S267" s="445"/>
      <c r="T267" s="445"/>
      <c r="U267" s="445"/>
      <c r="V267" s="445"/>
      <c r="W267" s="476"/>
      <c r="X267" s="445"/>
      <c r="Y267" s="445"/>
      <c r="Z267" s="445"/>
      <c r="AA267" s="445"/>
      <c r="AB267" s="445"/>
      <c r="AC267" s="3"/>
      <c r="AD267" s="13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spans="1:46" ht="15.75" customHeight="1">
      <c r="A268" s="4"/>
      <c r="B268" s="4"/>
      <c r="C268" s="4"/>
      <c r="D268" s="102"/>
      <c r="E268" s="102"/>
      <c r="F268" s="102"/>
      <c r="G268" s="3"/>
      <c r="H268" s="3"/>
      <c r="I268" s="3"/>
      <c r="J268" s="3"/>
      <c r="K268" s="3"/>
      <c r="L268" s="3"/>
      <c r="M268" s="102"/>
      <c r="N268" s="445"/>
      <c r="O268" s="445"/>
      <c r="P268" s="445"/>
      <c r="Q268" s="445"/>
      <c r="R268" s="445"/>
      <c r="S268" s="445"/>
      <c r="T268" s="445"/>
      <c r="U268" s="445"/>
      <c r="V268" s="445"/>
      <c r="W268" s="476"/>
      <c r="X268" s="445"/>
      <c r="Y268" s="445"/>
      <c r="Z268" s="445"/>
      <c r="AA268" s="445"/>
      <c r="AB268" s="445"/>
      <c r="AC268" s="3"/>
      <c r="AD268" s="13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spans="1:46" ht="15.75" customHeight="1">
      <c r="A269" s="4"/>
      <c r="B269" s="4"/>
      <c r="C269" s="4"/>
      <c r="D269" s="102"/>
      <c r="E269" s="102"/>
      <c r="F269" s="102"/>
      <c r="G269" s="3"/>
      <c r="H269" s="3"/>
      <c r="I269" s="3"/>
      <c r="J269" s="3"/>
      <c r="K269" s="3"/>
      <c r="L269" s="3"/>
      <c r="M269" s="102"/>
      <c r="N269" s="445"/>
      <c r="O269" s="445"/>
      <c r="P269" s="445"/>
      <c r="Q269" s="445"/>
      <c r="R269" s="445"/>
      <c r="S269" s="445"/>
      <c r="T269" s="445"/>
      <c r="U269" s="445"/>
      <c r="V269" s="445"/>
      <c r="W269" s="476"/>
      <c r="X269" s="445"/>
      <c r="Y269" s="445"/>
      <c r="Z269" s="445"/>
      <c r="AA269" s="445"/>
      <c r="AB269" s="445"/>
      <c r="AC269" s="3"/>
      <c r="AD269" s="13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spans="1:46" ht="15.75" customHeight="1">
      <c r="A270" s="4"/>
      <c r="B270" s="4"/>
      <c r="C270" s="4"/>
      <c r="D270" s="102"/>
      <c r="E270" s="102"/>
      <c r="F270" s="102"/>
      <c r="G270" s="3"/>
      <c r="H270" s="3"/>
      <c r="I270" s="3"/>
      <c r="J270" s="3"/>
      <c r="K270" s="3"/>
      <c r="L270" s="3"/>
      <c r="M270" s="102"/>
      <c r="N270" s="445"/>
      <c r="O270" s="445"/>
      <c r="P270" s="445"/>
      <c r="Q270" s="445"/>
      <c r="R270" s="445"/>
      <c r="S270" s="445"/>
      <c r="T270" s="445"/>
      <c r="U270" s="445"/>
      <c r="V270" s="445"/>
      <c r="W270" s="476"/>
      <c r="X270" s="445"/>
      <c r="Y270" s="445"/>
      <c r="Z270" s="445"/>
      <c r="AA270" s="445"/>
      <c r="AB270" s="445"/>
      <c r="AC270" s="3"/>
      <c r="AD270" s="13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spans="1:46" ht="15.75" customHeight="1">
      <c r="A271" s="4"/>
      <c r="B271" s="4"/>
      <c r="C271" s="4"/>
      <c r="D271" s="102"/>
      <c r="E271" s="102"/>
      <c r="F271" s="102"/>
      <c r="G271" s="3"/>
      <c r="H271" s="3"/>
      <c r="I271" s="3"/>
      <c r="J271" s="3"/>
      <c r="K271" s="3"/>
      <c r="L271" s="3"/>
      <c r="M271" s="102"/>
      <c r="N271" s="445"/>
      <c r="O271" s="445"/>
      <c r="P271" s="445"/>
      <c r="Q271" s="445"/>
      <c r="R271" s="445"/>
      <c r="S271" s="445"/>
      <c r="T271" s="445"/>
      <c r="U271" s="445"/>
      <c r="V271" s="445"/>
      <c r="W271" s="476"/>
      <c r="X271" s="445"/>
      <c r="Y271" s="445"/>
      <c r="Z271" s="445"/>
      <c r="AA271" s="445"/>
      <c r="AB271" s="445"/>
      <c r="AC271" s="3"/>
      <c r="AD271" s="13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spans="1:46" ht="15.75" customHeight="1">
      <c r="A272" s="4"/>
      <c r="B272" s="4"/>
      <c r="C272" s="4"/>
      <c r="D272" s="102"/>
      <c r="E272" s="102"/>
      <c r="F272" s="102"/>
      <c r="G272" s="3"/>
      <c r="H272" s="3"/>
      <c r="I272" s="3"/>
      <c r="J272" s="3"/>
      <c r="K272" s="3"/>
      <c r="L272" s="3"/>
      <c r="M272" s="102"/>
      <c r="N272" s="445"/>
      <c r="O272" s="445"/>
      <c r="P272" s="445"/>
      <c r="Q272" s="445"/>
      <c r="R272" s="445"/>
      <c r="S272" s="445"/>
      <c r="T272" s="445"/>
      <c r="U272" s="445"/>
      <c r="V272" s="445"/>
      <c r="W272" s="476"/>
      <c r="X272" s="445"/>
      <c r="Y272" s="445"/>
      <c r="Z272" s="445"/>
      <c r="AA272" s="445"/>
      <c r="AB272" s="445"/>
      <c r="AC272" s="3"/>
      <c r="AD272" s="13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spans="1:46" ht="15.75" customHeight="1">
      <c r="A273" s="4"/>
      <c r="B273" s="4"/>
      <c r="C273" s="4"/>
      <c r="D273" s="102"/>
      <c r="E273" s="102"/>
      <c r="F273" s="102"/>
      <c r="G273" s="3"/>
      <c r="H273" s="3"/>
      <c r="I273" s="3"/>
      <c r="J273" s="3"/>
      <c r="K273" s="3"/>
      <c r="L273" s="3"/>
      <c r="M273" s="102"/>
      <c r="N273" s="445"/>
      <c r="O273" s="445"/>
      <c r="P273" s="445"/>
      <c r="Q273" s="445"/>
      <c r="R273" s="445"/>
      <c r="S273" s="445"/>
      <c r="T273" s="445"/>
      <c r="U273" s="445"/>
      <c r="V273" s="445"/>
      <c r="W273" s="476"/>
      <c r="X273" s="445"/>
      <c r="Y273" s="445"/>
      <c r="Z273" s="445"/>
      <c r="AA273" s="445"/>
      <c r="AB273" s="445"/>
      <c r="AC273" s="3"/>
      <c r="AD273" s="13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spans="1:46" ht="15.75" customHeight="1">
      <c r="A274" s="4"/>
      <c r="B274" s="4"/>
      <c r="C274" s="4"/>
      <c r="D274" s="102"/>
      <c r="E274" s="102"/>
      <c r="F274" s="102"/>
      <c r="G274" s="3"/>
      <c r="H274" s="3"/>
      <c r="I274" s="3"/>
      <c r="J274" s="3"/>
      <c r="K274" s="3"/>
      <c r="L274" s="3"/>
      <c r="M274" s="102"/>
      <c r="N274" s="445"/>
      <c r="O274" s="445"/>
      <c r="P274" s="445"/>
      <c r="Q274" s="445"/>
      <c r="R274" s="445"/>
      <c r="S274" s="445"/>
      <c r="T274" s="445"/>
      <c r="U274" s="445"/>
      <c r="V274" s="445"/>
      <c r="W274" s="476"/>
      <c r="X274" s="445"/>
      <c r="Y274" s="445"/>
      <c r="Z274" s="445"/>
      <c r="AA274" s="445"/>
      <c r="AB274" s="445"/>
      <c r="AC274" s="3"/>
      <c r="AD274" s="13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spans="1:46" ht="15.75" customHeight="1">
      <c r="A275" s="4"/>
      <c r="B275" s="4"/>
      <c r="C275" s="4"/>
      <c r="D275" s="102"/>
      <c r="E275" s="102"/>
      <c r="F275" s="102"/>
      <c r="G275" s="3"/>
      <c r="H275" s="3"/>
      <c r="I275" s="3"/>
      <c r="J275" s="3"/>
      <c r="K275" s="3"/>
      <c r="L275" s="3"/>
      <c r="M275" s="102"/>
      <c r="N275" s="445"/>
      <c r="O275" s="445"/>
      <c r="P275" s="445"/>
      <c r="Q275" s="445"/>
      <c r="R275" s="445"/>
      <c r="S275" s="445"/>
      <c r="T275" s="445"/>
      <c r="U275" s="445"/>
      <c r="V275" s="445"/>
      <c r="W275" s="476"/>
      <c r="X275" s="445"/>
      <c r="Y275" s="445"/>
      <c r="Z275" s="445"/>
      <c r="AA275" s="445"/>
      <c r="AB275" s="445"/>
      <c r="AC275" s="3"/>
      <c r="AD275" s="13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spans="1:46" ht="15.75" customHeight="1">
      <c r="A276" s="4"/>
      <c r="B276" s="4"/>
      <c r="C276" s="4"/>
      <c r="D276" s="102"/>
      <c r="E276" s="102"/>
      <c r="F276" s="102"/>
      <c r="G276" s="3"/>
      <c r="H276" s="3"/>
      <c r="I276" s="3"/>
      <c r="J276" s="3"/>
      <c r="K276" s="3"/>
      <c r="L276" s="3"/>
      <c r="M276" s="102"/>
      <c r="N276" s="445"/>
      <c r="O276" s="445"/>
      <c r="P276" s="445"/>
      <c r="Q276" s="445"/>
      <c r="R276" s="445"/>
      <c r="S276" s="445"/>
      <c r="T276" s="445"/>
      <c r="U276" s="445"/>
      <c r="V276" s="445"/>
      <c r="W276" s="476"/>
      <c r="X276" s="445"/>
      <c r="Y276" s="445"/>
      <c r="Z276" s="445"/>
      <c r="AA276" s="445"/>
      <c r="AB276" s="445"/>
      <c r="AC276" s="3"/>
      <c r="AD276" s="13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spans="1:46" ht="15.75" customHeight="1">
      <c r="A277" s="4"/>
      <c r="B277" s="4"/>
      <c r="C277" s="4"/>
      <c r="D277" s="102"/>
      <c r="E277" s="102"/>
      <c r="F277" s="102"/>
      <c r="G277" s="3"/>
      <c r="H277" s="3"/>
      <c r="I277" s="3"/>
      <c r="J277" s="3"/>
      <c r="K277" s="3"/>
      <c r="L277" s="3"/>
      <c r="M277" s="102"/>
      <c r="N277" s="445"/>
      <c r="O277" s="445"/>
      <c r="P277" s="445"/>
      <c r="Q277" s="445"/>
      <c r="R277" s="445"/>
      <c r="S277" s="445"/>
      <c r="T277" s="445"/>
      <c r="U277" s="445"/>
      <c r="V277" s="445"/>
      <c r="W277" s="476"/>
      <c r="X277" s="445"/>
      <c r="Y277" s="445"/>
      <c r="Z277" s="445"/>
      <c r="AA277" s="445"/>
      <c r="AB277" s="445"/>
      <c r="AC277" s="3"/>
      <c r="AD277" s="13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spans="1:46" ht="15.75" customHeight="1">
      <c r="A278" s="4"/>
      <c r="B278" s="4"/>
      <c r="C278" s="4"/>
      <c r="D278" s="102"/>
      <c r="E278" s="102"/>
      <c r="F278" s="102"/>
      <c r="G278" s="3"/>
      <c r="H278" s="3"/>
      <c r="I278" s="3"/>
      <c r="J278" s="3"/>
      <c r="K278" s="3"/>
      <c r="L278" s="3"/>
      <c r="M278" s="102"/>
      <c r="N278" s="445"/>
      <c r="O278" s="445"/>
      <c r="P278" s="445"/>
      <c r="Q278" s="445"/>
      <c r="R278" s="445"/>
      <c r="S278" s="445"/>
      <c r="T278" s="445"/>
      <c r="U278" s="445"/>
      <c r="V278" s="445"/>
      <c r="W278" s="476"/>
      <c r="X278" s="445"/>
      <c r="Y278" s="445"/>
      <c r="Z278" s="445"/>
      <c r="AA278" s="445"/>
      <c r="AB278" s="445"/>
      <c r="AC278" s="3"/>
      <c r="AD278" s="13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spans="1:46" ht="15.75" customHeight="1">
      <c r="A279" s="4"/>
      <c r="B279" s="4"/>
      <c r="C279" s="4"/>
      <c r="D279" s="102"/>
      <c r="E279" s="102"/>
      <c r="F279" s="102"/>
      <c r="G279" s="3"/>
      <c r="H279" s="3"/>
      <c r="I279" s="3"/>
      <c r="J279" s="3"/>
      <c r="K279" s="3"/>
      <c r="L279" s="3"/>
      <c r="M279" s="102"/>
      <c r="N279" s="445"/>
      <c r="O279" s="445"/>
      <c r="P279" s="445"/>
      <c r="Q279" s="445"/>
      <c r="R279" s="445"/>
      <c r="S279" s="445"/>
      <c r="T279" s="445"/>
      <c r="U279" s="445"/>
      <c r="V279" s="445"/>
      <c r="W279" s="476"/>
      <c r="X279" s="445"/>
      <c r="Y279" s="445"/>
      <c r="Z279" s="445"/>
      <c r="AA279" s="445"/>
      <c r="AB279" s="445"/>
      <c r="AC279" s="3"/>
      <c r="AD279" s="13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spans="1:46" ht="15.75" customHeight="1">
      <c r="A280" s="4"/>
      <c r="B280" s="4"/>
      <c r="C280" s="4"/>
      <c r="D280" s="102"/>
      <c r="E280" s="102"/>
      <c r="F280" s="102"/>
      <c r="G280" s="3"/>
      <c r="H280" s="3"/>
      <c r="I280" s="3"/>
      <c r="J280" s="3"/>
      <c r="K280" s="3"/>
      <c r="L280" s="3"/>
      <c r="M280" s="102"/>
      <c r="N280" s="445"/>
      <c r="O280" s="445"/>
      <c r="P280" s="445"/>
      <c r="Q280" s="445"/>
      <c r="R280" s="445"/>
      <c r="S280" s="445"/>
      <c r="T280" s="445"/>
      <c r="U280" s="445"/>
      <c r="V280" s="445"/>
      <c r="W280" s="476"/>
      <c r="X280" s="445"/>
      <c r="Y280" s="445"/>
      <c r="Z280" s="445"/>
      <c r="AA280" s="445"/>
      <c r="AB280" s="445"/>
      <c r="AC280" s="3"/>
      <c r="AD280" s="13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spans="1:46" ht="15.75" customHeight="1">
      <c r="A281" s="4"/>
      <c r="B281" s="4"/>
      <c r="C281" s="4"/>
      <c r="D281" s="102"/>
      <c r="E281" s="102"/>
      <c r="F281" s="102"/>
      <c r="G281" s="3"/>
      <c r="H281" s="3"/>
      <c r="I281" s="3"/>
      <c r="J281" s="3"/>
      <c r="K281" s="3"/>
      <c r="L281" s="3"/>
      <c r="M281" s="102"/>
      <c r="N281" s="445"/>
      <c r="O281" s="445"/>
      <c r="P281" s="445"/>
      <c r="Q281" s="445"/>
      <c r="R281" s="445"/>
      <c r="S281" s="445"/>
      <c r="T281" s="445"/>
      <c r="U281" s="445"/>
      <c r="V281" s="445"/>
      <c r="W281" s="476"/>
      <c r="X281" s="445"/>
      <c r="Y281" s="445"/>
      <c r="Z281" s="445"/>
      <c r="AA281" s="445"/>
      <c r="AB281" s="445"/>
      <c r="AC281" s="3"/>
      <c r="AD281" s="13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spans="1:46" ht="15.75" customHeight="1">
      <c r="A282" s="4"/>
      <c r="B282" s="4"/>
      <c r="C282" s="4"/>
      <c r="D282" s="102"/>
      <c r="E282" s="102"/>
      <c r="F282" s="102"/>
      <c r="G282" s="3"/>
      <c r="H282" s="3"/>
      <c r="I282" s="3"/>
      <c r="J282" s="3"/>
      <c r="K282" s="3"/>
      <c r="L282" s="3"/>
      <c r="M282" s="102"/>
      <c r="N282" s="445"/>
      <c r="O282" s="445"/>
      <c r="P282" s="445"/>
      <c r="Q282" s="445"/>
      <c r="R282" s="445"/>
      <c r="S282" s="445"/>
      <c r="T282" s="445"/>
      <c r="U282" s="445"/>
      <c r="V282" s="445"/>
      <c r="W282" s="476"/>
      <c r="X282" s="445"/>
      <c r="Y282" s="445"/>
      <c r="Z282" s="445"/>
      <c r="AA282" s="445"/>
      <c r="AB282" s="445"/>
      <c r="AC282" s="3"/>
      <c r="AD282" s="13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spans="1:46" ht="15.75" customHeight="1">
      <c r="A283" s="4"/>
      <c r="B283" s="4"/>
      <c r="C283" s="4"/>
      <c r="D283" s="102"/>
      <c r="E283" s="102"/>
      <c r="F283" s="102"/>
      <c r="G283" s="3"/>
      <c r="H283" s="3"/>
      <c r="I283" s="3"/>
      <c r="J283" s="3"/>
      <c r="K283" s="3"/>
      <c r="L283" s="3"/>
      <c r="M283" s="102"/>
      <c r="N283" s="445"/>
      <c r="O283" s="445"/>
      <c r="P283" s="445"/>
      <c r="Q283" s="445"/>
      <c r="R283" s="445"/>
      <c r="S283" s="445"/>
      <c r="T283" s="445"/>
      <c r="U283" s="445"/>
      <c r="V283" s="445"/>
      <c r="W283" s="476"/>
      <c r="X283" s="445"/>
      <c r="Y283" s="445"/>
      <c r="Z283" s="445"/>
      <c r="AA283" s="445"/>
      <c r="AB283" s="445"/>
      <c r="AC283" s="3"/>
      <c r="AD283" s="13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spans="1:46" ht="15.75" customHeight="1">
      <c r="A284" s="4"/>
      <c r="B284" s="4"/>
      <c r="C284" s="4"/>
      <c r="D284" s="102"/>
      <c r="E284" s="102"/>
      <c r="F284" s="102"/>
      <c r="G284" s="3"/>
      <c r="H284" s="3"/>
      <c r="I284" s="3"/>
      <c r="J284" s="3"/>
      <c r="K284" s="3"/>
      <c r="L284" s="3"/>
      <c r="M284" s="102"/>
      <c r="N284" s="445"/>
      <c r="O284" s="445"/>
      <c r="P284" s="445"/>
      <c r="Q284" s="445"/>
      <c r="R284" s="445"/>
      <c r="S284" s="445"/>
      <c r="T284" s="445"/>
      <c r="U284" s="445"/>
      <c r="V284" s="445"/>
      <c r="W284" s="476"/>
      <c r="X284" s="445"/>
      <c r="Y284" s="445"/>
      <c r="Z284" s="445"/>
      <c r="AA284" s="445"/>
      <c r="AB284" s="445"/>
      <c r="AC284" s="3"/>
      <c r="AD284" s="13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spans="1:46" ht="15.75" customHeight="1">
      <c r="A285" s="4"/>
      <c r="B285" s="4"/>
      <c r="C285" s="4"/>
      <c r="D285" s="102"/>
      <c r="E285" s="102"/>
      <c r="F285" s="102"/>
      <c r="G285" s="3"/>
      <c r="H285" s="3"/>
      <c r="I285" s="3"/>
      <c r="J285" s="3"/>
      <c r="K285" s="3"/>
      <c r="L285" s="3"/>
      <c r="M285" s="102"/>
      <c r="N285" s="445"/>
      <c r="O285" s="445"/>
      <c r="P285" s="445"/>
      <c r="Q285" s="445"/>
      <c r="R285" s="445"/>
      <c r="S285" s="445"/>
      <c r="T285" s="445"/>
      <c r="U285" s="445"/>
      <c r="V285" s="445"/>
      <c r="W285" s="476"/>
      <c r="X285" s="445"/>
      <c r="Y285" s="445"/>
      <c r="Z285" s="445"/>
      <c r="AA285" s="445"/>
      <c r="AB285" s="445"/>
      <c r="AC285" s="3"/>
      <c r="AD285" s="13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spans="1:46" ht="15.75" customHeight="1">
      <c r="A286" s="4"/>
      <c r="B286" s="4"/>
      <c r="C286" s="4"/>
      <c r="D286" s="102"/>
      <c r="E286" s="102"/>
      <c r="F286" s="102"/>
      <c r="G286" s="3"/>
      <c r="H286" s="3"/>
      <c r="I286" s="3"/>
      <c r="J286" s="3"/>
      <c r="K286" s="3"/>
      <c r="L286" s="3"/>
      <c r="M286" s="102"/>
      <c r="N286" s="445"/>
      <c r="O286" s="445"/>
      <c r="P286" s="445"/>
      <c r="Q286" s="445"/>
      <c r="R286" s="445"/>
      <c r="S286" s="445"/>
      <c r="T286" s="445"/>
      <c r="U286" s="445"/>
      <c r="V286" s="445"/>
      <c r="W286" s="476"/>
      <c r="X286" s="445"/>
      <c r="Y286" s="445"/>
      <c r="Z286" s="445"/>
      <c r="AA286" s="445"/>
      <c r="AB286" s="445"/>
      <c r="AC286" s="3"/>
      <c r="AD286" s="13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spans="1:46" ht="15.75" customHeight="1">
      <c r="A287" s="4"/>
      <c r="B287" s="4"/>
      <c r="C287" s="4"/>
      <c r="D287" s="102"/>
      <c r="E287" s="102"/>
      <c r="F287" s="102"/>
      <c r="G287" s="3"/>
      <c r="H287" s="3"/>
      <c r="I287" s="3"/>
      <c r="J287" s="3"/>
      <c r="K287" s="3"/>
      <c r="L287" s="3"/>
      <c r="M287" s="102"/>
      <c r="N287" s="445"/>
      <c r="O287" s="445"/>
      <c r="P287" s="445"/>
      <c r="Q287" s="445"/>
      <c r="R287" s="445"/>
      <c r="S287" s="445"/>
      <c r="T287" s="445"/>
      <c r="U287" s="445"/>
      <c r="V287" s="445"/>
      <c r="W287" s="476"/>
      <c r="X287" s="445"/>
      <c r="Y287" s="445"/>
      <c r="Z287" s="445"/>
      <c r="AA287" s="445"/>
      <c r="AB287" s="445"/>
      <c r="AC287" s="3"/>
      <c r="AD287" s="13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spans="1:46" ht="15.75" customHeight="1">
      <c r="A288" s="4"/>
      <c r="B288" s="4"/>
      <c r="C288" s="4"/>
      <c r="D288" s="102"/>
      <c r="E288" s="102"/>
      <c r="F288" s="102"/>
      <c r="G288" s="3"/>
      <c r="H288" s="3"/>
      <c r="I288" s="3"/>
      <c r="J288" s="3"/>
      <c r="K288" s="3"/>
      <c r="L288" s="3"/>
      <c r="M288" s="102"/>
      <c r="N288" s="445"/>
      <c r="O288" s="445"/>
      <c r="P288" s="445"/>
      <c r="Q288" s="445"/>
      <c r="R288" s="445"/>
      <c r="S288" s="445"/>
      <c r="T288" s="445"/>
      <c r="U288" s="445"/>
      <c r="V288" s="445"/>
      <c r="W288" s="476"/>
      <c r="X288" s="445"/>
      <c r="Y288" s="445"/>
      <c r="Z288" s="445"/>
      <c r="AA288" s="445"/>
      <c r="AB288" s="445"/>
      <c r="AC288" s="3"/>
      <c r="AD288" s="13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spans="1:46" ht="15.75" customHeight="1">
      <c r="A289" s="4"/>
      <c r="B289" s="4"/>
      <c r="C289" s="4"/>
      <c r="D289" s="102"/>
      <c r="E289" s="102"/>
      <c r="F289" s="102"/>
      <c r="G289" s="3"/>
      <c r="H289" s="3"/>
      <c r="I289" s="3"/>
      <c r="J289" s="3"/>
      <c r="K289" s="3"/>
      <c r="L289" s="3"/>
      <c r="M289" s="102"/>
      <c r="N289" s="445"/>
      <c r="O289" s="445"/>
      <c r="P289" s="445"/>
      <c r="Q289" s="445"/>
      <c r="R289" s="445"/>
      <c r="S289" s="445"/>
      <c r="T289" s="445"/>
      <c r="U289" s="445"/>
      <c r="V289" s="445"/>
      <c r="W289" s="476"/>
      <c r="X289" s="445"/>
      <c r="Y289" s="445"/>
      <c r="Z289" s="445"/>
      <c r="AA289" s="445"/>
      <c r="AB289" s="445"/>
      <c r="AC289" s="3"/>
      <c r="AD289" s="13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spans="1:46" ht="15.75" customHeight="1">
      <c r="A290" s="4"/>
      <c r="B290" s="4"/>
      <c r="C290" s="4"/>
      <c r="D290" s="102"/>
      <c r="E290" s="102"/>
      <c r="F290" s="102"/>
      <c r="G290" s="3"/>
      <c r="H290" s="3"/>
      <c r="I290" s="3"/>
      <c r="J290" s="3"/>
      <c r="K290" s="3"/>
      <c r="L290" s="3"/>
      <c r="M290" s="102"/>
      <c r="N290" s="445"/>
      <c r="O290" s="445"/>
      <c r="P290" s="445"/>
      <c r="Q290" s="445"/>
      <c r="R290" s="445"/>
      <c r="S290" s="445"/>
      <c r="T290" s="445"/>
      <c r="U290" s="445"/>
      <c r="V290" s="445"/>
      <c r="W290" s="476"/>
      <c r="X290" s="445"/>
      <c r="Y290" s="445"/>
      <c r="Z290" s="445"/>
      <c r="AA290" s="445"/>
      <c r="AB290" s="445"/>
      <c r="AC290" s="3"/>
      <c r="AD290" s="13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spans="1:46" ht="15.75" customHeight="1">
      <c r="A291" s="4"/>
      <c r="B291" s="4"/>
      <c r="C291" s="4"/>
      <c r="D291" s="102"/>
      <c r="E291" s="102"/>
      <c r="F291" s="102"/>
      <c r="G291" s="3"/>
      <c r="H291" s="3"/>
      <c r="I291" s="3"/>
      <c r="J291" s="3"/>
      <c r="K291" s="3"/>
      <c r="L291" s="3"/>
      <c r="M291" s="102"/>
      <c r="N291" s="445"/>
      <c r="O291" s="445"/>
      <c r="P291" s="445"/>
      <c r="Q291" s="445"/>
      <c r="R291" s="445"/>
      <c r="S291" s="445"/>
      <c r="T291" s="445"/>
      <c r="U291" s="445"/>
      <c r="V291" s="445"/>
      <c r="W291" s="476"/>
      <c r="X291" s="445"/>
      <c r="Y291" s="445"/>
      <c r="Z291" s="445"/>
      <c r="AA291" s="445"/>
      <c r="AB291" s="445"/>
      <c r="AC291" s="3"/>
      <c r="AD291" s="13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spans="1:46" ht="15.75" customHeight="1">
      <c r="A292" s="4"/>
      <c r="B292" s="4"/>
      <c r="C292" s="4"/>
      <c r="D292" s="102"/>
      <c r="E292" s="102"/>
      <c r="F292" s="102"/>
      <c r="G292" s="3"/>
      <c r="H292" s="3"/>
      <c r="I292" s="3"/>
      <c r="J292" s="3"/>
      <c r="K292" s="3"/>
      <c r="L292" s="3"/>
      <c r="M292" s="102"/>
      <c r="N292" s="445"/>
      <c r="O292" s="445"/>
      <c r="P292" s="445"/>
      <c r="Q292" s="445"/>
      <c r="R292" s="445"/>
      <c r="S292" s="445"/>
      <c r="T292" s="445"/>
      <c r="U292" s="445"/>
      <c r="V292" s="445"/>
      <c r="W292" s="476"/>
      <c r="X292" s="445"/>
      <c r="Y292" s="445"/>
      <c r="Z292" s="445"/>
      <c r="AA292" s="445"/>
      <c r="AB292" s="445"/>
      <c r="AC292" s="3"/>
      <c r="AD292" s="13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spans="1:46" ht="15.75" customHeight="1">
      <c r="A293" s="4"/>
      <c r="B293" s="4"/>
      <c r="C293" s="4"/>
      <c r="D293" s="102"/>
      <c r="E293" s="102"/>
      <c r="F293" s="102"/>
      <c r="G293" s="3"/>
      <c r="H293" s="3"/>
      <c r="I293" s="3"/>
      <c r="J293" s="3"/>
      <c r="K293" s="3"/>
      <c r="L293" s="3"/>
      <c r="M293" s="102"/>
      <c r="N293" s="445"/>
      <c r="O293" s="445"/>
      <c r="P293" s="445"/>
      <c r="Q293" s="445"/>
      <c r="R293" s="445"/>
      <c r="S293" s="445"/>
      <c r="T293" s="445"/>
      <c r="U293" s="445"/>
      <c r="V293" s="445"/>
      <c r="W293" s="476"/>
      <c r="X293" s="445"/>
      <c r="Y293" s="445"/>
      <c r="Z293" s="445"/>
      <c r="AA293" s="445"/>
      <c r="AB293" s="445"/>
      <c r="AC293" s="3"/>
      <c r="AD293" s="13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spans="1:46" ht="15.75" customHeight="1">
      <c r="A294" s="4"/>
      <c r="B294" s="4"/>
      <c r="C294" s="4"/>
      <c r="D294" s="102"/>
      <c r="E294" s="102"/>
      <c r="F294" s="102"/>
      <c r="G294" s="3"/>
      <c r="H294" s="3"/>
      <c r="I294" s="3"/>
      <c r="J294" s="3"/>
      <c r="K294" s="3"/>
      <c r="L294" s="3"/>
      <c r="M294" s="102"/>
      <c r="N294" s="445"/>
      <c r="O294" s="445"/>
      <c r="P294" s="445"/>
      <c r="Q294" s="445"/>
      <c r="R294" s="445"/>
      <c r="S294" s="445"/>
      <c r="T294" s="445"/>
      <c r="U294" s="445"/>
      <c r="V294" s="445"/>
      <c r="W294" s="476"/>
      <c r="X294" s="445"/>
      <c r="Y294" s="445"/>
      <c r="Z294" s="445"/>
      <c r="AA294" s="445"/>
      <c r="AB294" s="445"/>
      <c r="AC294" s="3"/>
      <c r="AD294" s="13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spans="1:46" ht="15.75" customHeight="1">
      <c r="A295" s="4"/>
      <c r="B295" s="4"/>
      <c r="C295" s="4"/>
      <c r="D295" s="102"/>
      <c r="E295" s="102"/>
      <c r="F295" s="102"/>
      <c r="G295" s="3"/>
      <c r="H295" s="3"/>
      <c r="I295" s="3"/>
      <c r="J295" s="3"/>
      <c r="K295" s="3"/>
      <c r="L295" s="3"/>
      <c r="M295" s="102"/>
      <c r="N295" s="445"/>
      <c r="O295" s="445"/>
      <c r="P295" s="445"/>
      <c r="Q295" s="445"/>
      <c r="R295" s="445"/>
      <c r="S295" s="445"/>
      <c r="T295" s="445"/>
      <c r="U295" s="445"/>
      <c r="V295" s="445"/>
      <c r="W295" s="476"/>
      <c r="X295" s="445"/>
      <c r="Y295" s="445"/>
      <c r="Z295" s="445"/>
      <c r="AA295" s="445"/>
      <c r="AB295" s="445"/>
      <c r="AC295" s="3"/>
      <c r="AD295" s="13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spans="1:46" ht="15.75" customHeight="1">
      <c r="A296" s="4"/>
      <c r="B296" s="4"/>
      <c r="C296" s="4"/>
      <c r="D296" s="102"/>
      <c r="E296" s="102"/>
      <c r="F296" s="102"/>
      <c r="G296" s="3"/>
      <c r="H296" s="3"/>
      <c r="I296" s="3"/>
      <c r="J296" s="3"/>
      <c r="K296" s="3"/>
      <c r="L296" s="3"/>
      <c r="M296" s="102"/>
      <c r="N296" s="445"/>
      <c r="O296" s="445"/>
      <c r="P296" s="445"/>
      <c r="Q296" s="445"/>
      <c r="R296" s="445"/>
      <c r="S296" s="445"/>
      <c r="T296" s="445"/>
      <c r="U296" s="445"/>
      <c r="V296" s="445"/>
      <c r="W296" s="476"/>
      <c r="X296" s="445"/>
      <c r="Y296" s="445"/>
      <c r="Z296" s="445"/>
      <c r="AA296" s="445"/>
      <c r="AB296" s="445"/>
      <c r="AC296" s="3"/>
      <c r="AD296" s="13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spans="1:46" ht="15.75" customHeight="1">
      <c r="A297" s="4"/>
      <c r="B297" s="4"/>
      <c r="C297" s="4"/>
      <c r="D297" s="102"/>
      <c r="E297" s="102"/>
      <c r="F297" s="102"/>
      <c r="G297" s="3"/>
      <c r="H297" s="3"/>
      <c r="I297" s="3"/>
      <c r="J297" s="3"/>
      <c r="K297" s="3"/>
      <c r="L297" s="3"/>
      <c r="M297" s="102"/>
      <c r="N297" s="445"/>
      <c r="O297" s="445"/>
      <c r="P297" s="445"/>
      <c r="Q297" s="445"/>
      <c r="R297" s="445"/>
      <c r="S297" s="445"/>
      <c r="T297" s="445"/>
      <c r="U297" s="445"/>
      <c r="V297" s="445"/>
      <c r="W297" s="476"/>
      <c r="X297" s="445"/>
      <c r="Y297" s="445"/>
      <c r="Z297" s="445"/>
      <c r="AA297" s="445"/>
      <c r="AB297" s="445"/>
      <c r="AC297" s="3"/>
      <c r="AD297" s="13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spans="1:46" ht="15.75" customHeight="1">
      <c r="A298" s="4"/>
      <c r="B298" s="4"/>
      <c r="C298" s="4"/>
      <c r="D298" s="102"/>
      <c r="E298" s="102"/>
      <c r="F298" s="102"/>
      <c r="G298" s="3"/>
      <c r="H298" s="3"/>
      <c r="I298" s="3"/>
      <c r="J298" s="3"/>
      <c r="K298" s="3"/>
      <c r="L298" s="3"/>
      <c r="M298" s="102"/>
      <c r="N298" s="445"/>
      <c r="O298" s="445"/>
      <c r="P298" s="445"/>
      <c r="Q298" s="445"/>
      <c r="R298" s="445"/>
      <c r="S298" s="445"/>
      <c r="T298" s="445"/>
      <c r="U298" s="445"/>
      <c r="V298" s="445"/>
      <c r="W298" s="476"/>
      <c r="X298" s="445"/>
      <c r="Y298" s="445"/>
      <c r="Z298" s="445"/>
      <c r="AA298" s="445"/>
      <c r="AB298" s="445"/>
      <c r="AC298" s="3"/>
      <c r="AD298" s="13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spans="1:46" ht="15.75" customHeight="1">
      <c r="A299" s="4"/>
      <c r="B299" s="4"/>
      <c r="C299" s="4"/>
      <c r="D299" s="102"/>
      <c r="E299" s="102"/>
      <c r="F299" s="102"/>
      <c r="G299" s="3"/>
      <c r="H299" s="3"/>
      <c r="I299" s="3"/>
      <c r="J299" s="3"/>
      <c r="K299" s="3"/>
      <c r="L299" s="3"/>
      <c r="M299" s="102"/>
      <c r="N299" s="445"/>
      <c r="O299" s="445"/>
      <c r="P299" s="445"/>
      <c r="Q299" s="445"/>
      <c r="R299" s="445"/>
      <c r="S299" s="445"/>
      <c r="T299" s="445"/>
      <c r="U299" s="445"/>
      <c r="V299" s="445"/>
      <c r="W299" s="476"/>
      <c r="X299" s="445"/>
      <c r="Y299" s="445"/>
      <c r="Z299" s="445"/>
      <c r="AA299" s="445"/>
      <c r="AB299" s="445"/>
      <c r="AC299" s="3"/>
      <c r="AD299" s="13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spans="1:46" ht="15.75" customHeight="1">
      <c r="A300" s="4"/>
      <c r="B300" s="4"/>
      <c r="C300" s="4"/>
      <c r="D300" s="102"/>
      <c r="E300" s="102"/>
      <c r="F300" s="102"/>
      <c r="G300" s="3"/>
      <c r="H300" s="3"/>
      <c r="I300" s="3"/>
      <c r="J300" s="3"/>
      <c r="K300" s="3"/>
      <c r="L300" s="3"/>
      <c r="M300" s="102"/>
      <c r="N300" s="445"/>
      <c r="O300" s="445"/>
      <c r="P300" s="445"/>
      <c r="Q300" s="445"/>
      <c r="R300" s="445"/>
      <c r="S300" s="445"/>
      <c r="T300" s="445"/>
      <c r="U300" s="445"/>
      <c r="V300" s="445"/>
      <c r="W300" s="476"/>
      <c r="X300" s="445"/>
      <c r="Y300" s="445"/>
      <c r="Z300" s="445"/>
      <c r="AA300" s="445"/>
      <c r="AB300" s="445"/>
      <c r="AC300" s="3"/>
      <c r="AD300" s="13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spans="1:46" ht="15.75" customHeight="1">
      <c r="A301" s="4"/>
      <c r="B301" s="4"/>
      <c r="C301" s="4"/>
      <c r="D301" s="102"/>
      <c r="E301" s="102"/>
      <c r="F301" s="102"/>
      <c r="G301" s="3"/>
      <c r="H301" s="3"/>
      <c r="I301" s="3"/>
      <c r="J301" s="3"/>
      <c r="K301" s="3"/>
      <c r="L301" s="3"/>
      <c r="M301" s="102"/>
      <c r="N301" s="445"/>
      <c r="O301" s="445"/>
      <c r="P301" s="445"/>
      <c r="Q301" s="445"/>
      <c r="R301" s="445"/>
      <c r="S301" s="445"/>
      <c r="T301" s="445"/>
      <c r="U301" s="445"/>
      <c r="V301" s="445"/>
      <c r="W301" s="476"/>
      <c r="X301" s="445"/>
      <c r="Y301" s="445"/>
      <c r="Z301" s="445"/>
      <c r="AA301" s="445"/>
      <c r="AB301" s="445"/>
      <c r="AC301" s="3"/>
      <c r="AD301" s="13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spans="1:46" ht="15.75" customHeight="1">
      <c r="A302" s="4"/>
      <c r="B302" s="4"/>
      <c r="C302" s="4"/>
      <c r="D302" s="102"/>
      <c r="E302" s="102"/>
      <c r="F302" s="102"/>
      <c r="G302" s="3"/>
      <c r="H302" s="3"/>
      <c r="I302" s="3"/>
      <c r="J302" s="3"/>
      <c r="K302" s="3"/>
      <c r="L302" s="3"/>
      <c r="M302" s="102"/>
      <c r="N302" s="445"/>
      <c r="O302" s="445"/>
      <c r="P302" s="445"/>
      <c r="Q302" s="445"/>
      <c r="R302" s="445"/>
      <c r="S302" s="445"/>
      <c r="T302" s="445"/>
      <c r="U302" s="445"/>
      <c r="V302" s="445"/>
      <c r="W302" s="476"/>
      <c r="X302" s="445"/>
      <c r="Y302" s="445"/>
      <c r="Z302" s="445"/>
      <c r="AA302" s="445"/>
      <c r="AB302" s="445"/>
      <c r="AC302" s="3"/>
      <c r="AD302" s="13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spans="1:46" ht="15.75" customHeight="1">
      <c r="A303" s="4"/>
      <c r="B303" s="4"/>
      <c r="C303" s="4"/>
      <c r="D303" s="102"/>
      <c r="E303" s="102"/>
      <c r="F303" s="102"/>
      <c r="G303" s="3"/>
      <c r="H303" s="3"/>
      <c r="I303" s="3"/>
      <c r="J303" s="3"/>
      <c r="K303" s="3"/>
      <c r="L303" s="3"/>
      <c r="M303" s="102"/>
      <c r="N303" s="445"/>
      <c r="O303" s="445"/>
      <c r="P303" s="445"/>
      <c r="Q303" s="445"/>
      <c r="R303" s="445"/>
      <c r="S303" s="445"/>
      <c r="T303" s="445"/>
      <c r="U303" s="445"/>
      <c r="V303" s="445"/>
      <c r="W303" s="476"/>
      <c r="X303" s="445"/>
      <c r="Y303" s="445"/>
      <c r="Z303" s="445"/>
      <c r="AA303" s="445"/>
      <c r="AB303" s="445"/>
      <c r="AC303" s="3"/>
      <c r="AD303" s="13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spans="1:46" ht="15.75" customHeight="1">
      <c r="A304" s="4"/>
      <c r="B304" s="4"/>
      <c r="C304" s="4"/>
      <c r="D304" s="102"/>
      <c r="E304" s="102"/>
      <c r="F304" s="102"/>
      <c r="G304" s="3"/>
      <c r="H304" s="3"/>
      <c r="I304" s="3"/>
      <c r="J304" s="3"/>
      <c r="K304" s="3"/>
      <c r="L304" s="3"/>
      <c r="M304" s="102"/>
      <c r="N304" s="445"/>
      <c r="O304" s="445"/>
      <c r="P304" s="445"/>
      <c r="Q304" s="445"/>
      <c r="R304" s="445"/>
      <c r="S304" s="445"/>
      <c r="T304" s="445"/>
      <c r="U304" s="445"/>
      <c r="V304" s="445"/>
      <c r="W304" s="476"/>
      <c r="X304" s="445"/>
      <c r="Y304" s="445"/>
      <c r="Z304" s="445"/>
      <c r="AA304" s="445"/>
      <c r="AB304" s="445"/>
      <c r="AC304" s="3"/>
      <c r="AD304" s="13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spans="1:46" ht="15.75" customHeight="1">
      <c r="A305" s="4"/>
      <c r="B305" s="4"/>
      <c r="C305" s="4"/>
      <c r="D305" s="102"/>
      <c r="E305" s="102"/>
      <c r="F305" s="102"/>
      <c r="G305" s="3"/>
      <c r="H305" s="3"/>
      <c r="I305" s="3"/>
      <c r="J305" s="3"/>
      <c r="K305" s="3"/>
      <c r="L305" s="3"/>
      <c r="M305" s="102"/>
      <c r="N305" s="445"/>
      <c r="O305" s="445"/>
      <c r="P305" s="445"/>
      <c r="Q305" s="445"/>
      <c r="R305" s="445"/>
      <c r="S305" s="445"/>
      <c r="T305" s="445"/>
      <c r="U305" s="445"/>
      <c r="V305" s="445"/>
      <c r="W305" s="476"/>
      <c r="X305" s="445"/>
      <c r="Y305" s="445"/>
      <c r="Z305" s="445"/>
      <c r="AA305" s="445"/>
      <c r="AB305" s="445"/>
      <c r="AC305" s="3"/>
      <c r="AD305" s="13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spans="1:46" ht="15.75" customHeight="1">
      <c r="A306" s="4"/>
      <c r="B306" s="4"/>
      <c r="C306" s="4"/>
      <c r="D306" s="102"/>
      <c r="E306" s="102"/>
      <c r="F306" s="102"/>
      <c r="G306" s="3"/>
      <c r="H306" s="3"/>
      <c r="I306" s="3"/>
      <c r="J306" s="3"/>
      <c r="K306" s="3"/>
      <c r="L306" s="3"/>
      <c r="M306" s="102"/>
      <c r="N306" s="445"/>
      <c r="O306" s="445"/>
      <c r="P306" s="445"/>
      <c r="Q306" s="445"/>
      <c r="R306" s="445"/>
      <c r="S306" s="445"/>
      <c r="T306" s="445"/>
      <c r="U306" s="445"/>
      <c r="V306" s="445"/>
      <c r="W306" s="476"/>
      <c r="X306" s="445"/>
      <c r="Y306" s="445"/>
      <c r="Z306" s="445"/>
      <c r="AA306" s="445"/>
      <c r="AB306" s="445"/>
      <c r="AC306" s="3"/>
      <c r="AD306" s="13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spans="1:46" ht="15.75" customHeight="1">
      <c r="A307" s="4"/>
      <c r="B307" s="4"/>
      <c r="C307" s="4"/>
      <c r="D307" s="102"/>
      <c r="E307" s="102"/>
      <c r="F307" s="102"/>
      <c r="G307" s="3"/>
      <c r="H307" s="3"/>
      <c r="I307" s="3"/>
      <c r="J307" s="3"/>
      <c r="K307" s="3"/>
      <c r="L307" s="3"/>
      <c r="M307" s="102"/>
      <c r="N307" s="445"/>
      <c r="O307" s="445"/>
      <c r="P307" s="445"/>
      <c r="Q307" s="445"/>
      <c r="R307" s="445"/>
      <c r="S307" s="445"/>
      <c r="T307" s="445"/>
      <c r="U307" s="445"/>
      <c r="V307" s="445"/>
      <c r="W307" s="476"/>
      <c r="X307" s="445"/>
      <c r="Y307" s="445"/>
      <c r="Z307" s="445"/>
      <c r="AA307" s="445"/>
      <c r="AB307" s="445"/>
      <c r="AC307" s="3"/>
      <c r="AD307" s="13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spans="1:46" ht="15.75" customHeight="1">
      <c r="A308" s="4"/>
      <c r="B308" s="4"/>
      <c r="C308" s="4"/>
      <c r="D308" s="102"/>
      <c r="E308" s="102"/>
      <c r="F308" s="102"/>
      <c r="G308" s="3"/>
      <c r="H308" s="3"/>
      <c r="I308" s="3"/>
      <c r="J308" s="3"/>
      <c r="K308" s="3"/>
      <c r="L308" s="3"/>
      <c r="M308" s="102"/>
      <c r="N308" s="445"/>
      <c r="O308" s="445"/>
      <c r="P308" s="445"/>
      <c r="Q308" s="445"/>
      <c r="R308" s="445"/>
      <c r="S308" s="445"/>
      <c r="T308" s="445"/>
      <c r="U308" s="445"/>
      <c r="V308" s="445"/>
      <c r="W308" s="476"/>
      <c r="X308" s="445"/>
      <c r="Y308" s="445"/>
      <c r="Z308" s="445"/>
      <c r="AA308" s="445"/>
      <c r="AB308" s="445"/>
      <c r="AC308" s="3"/>
      <c r="AD308" s="13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spans="1:46" ht="15.75" customHeight="1">
      <c r="A309" s="4"/>
      <c r="B309" s="4"/>
      <c r="C309" s="4"/>
      <c r="D309" s="102"/>
      <c r="E309" s="102"/>
      <c r="F309" s="102"/>
      <c r="G309" s="3"/>
      <c r="H309" s="3"/>
      <c r="I309" s="3"/>
      <c r="J309" s="3"/>
      <c r="K309" s="3"/>
      <c r="L309" s="3"/>
      <c r="M309" s="102"/>
      <c r="N309" s="445"/>
      <c r="O309" s="445"/>
      <c r="P309" s="445"/>
      <c r="Q309" s="445"/>
      <c r="R309" s="445"/>
      <c r="S309" s="445"/>
      <c r="T309" s="445"/>
      <c r="U309" s="445"/>
      <c r="V309" s="445"/>
      <c r="W309" s="476"/>
      <c r="X309" s="445"/>
      <c r="Y309" s="445"/>
      <c r="Z309" s="445"/>
      <c r="AA309" s="445"/>
      <c r="AB309" s="445"/>
      <c r="AC309" s="3"/>
      <c r="AD309" s="13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spans="1:46" ht="15.75" customHeight="1">
      <c r="A310" s="4"/>
      <c r="B310" s="4"/>
      <c r="C310" s="4"/>
      <c r="D310" s="102"/>
      <c r="E310" s="102"/>
      <c r="F310" s="102"/>
      <c r="G310" s="3"/>
      <c r="H310" s="3"/>
      <c r="I310" s="3"/>
      <c r="J310" s="3"/>
      <c r="K310" s="3"/>
      <c r="L310" s="3"/>
      <c r="M310" s="102"/>
      <c r="N310" s="445"/>
      <c r="O310" s="445"/>
      <c r="P310" s="445"/>
      <c r="Q310" s="445"/>
      <c r="R310" s="445"/>
      <c r="S310" s="445"/>
      <c r="T310" s="445"/>
      <c r="U310" s="445"/>
      <c r="V310" s="445"/>
      <c r="W310" s="476"/>
      <c r="X310" s="445"/>
      <c r="Y310" s="445"/>
      <c r="Z310" s="445"/>
      <c r="AA310" s="445"/>
      <c r="AB310" s="445"/>
      <c r="AC310" s="3"/>
      <c r="AD310" s="13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spans="1:46" ht="15.75" customHeight="1">
      <c r="A311" s="4"/>
      <c r="B311" s="4"/>
      <c r="C311" s="4"/>
      <c r="D311" s="102"/>
      <c r="E311" s="102"/>
      <c r="F311" s="102"/>
      <c r="G311" s="3"/>
      <c r="H311" s="3"/>
      <c r="I311" s="3"/>
      <c r="J311" s="3"/>
      <c r="K311" s="3"/>
      <c r="L311" s="3"/>
      <c r="M311" s="102"/>
      <c r="N311" s="445"/>
      <c r="O311" s="445"/>
      <c r="P311" s="445"/>
      <c r="Q311" s="445"/>
      <c r="R311" s="445"/>
      <c r="S311" s="445"/>
      <c r="T311" s="445"/>
      <c r="U311" s="445"/>
      <c r="V311" s="445"/>
      <c r="W311" s="476"/>
      <c r="X311" s="445"/>
      <c r="Y311" s="445"/>
      <c r="Z311" s="445"/>
      <c r="AA311" s="445"/>
      <c r="AB311" s="445"/>
      <c r="AC311" s="3"/>
      <c r="AD311" s="13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spans="1:46" ht="15.75" customHeight="1">
      <c r="A312" s="4"/>
      <c r="B312" s="4"/>
      <c r="C312" s="4"/>
      <c r="D312" s="102"/>
      <c r="E312" s="102"/>
      <c r="F312" s="102"/>
      <c r="G312" s="3"/>
      <c r="H312" s="3"/>
      <c r="I312" s="3"/>
      <c r="J312" s="3"/>
      <c r="K312" s="3"/>
      <c r="L312" s="3"/>
      <c r="M312" s="102"/>
      <c r="N312" s="445"/>
      <c r="O312" s="445"/>
      <c r="P312" s="445"/>
      <c r="Q312" s="445"/>
      <c r="R312" s="445"/>
      <c r="S312" s="445"/>
      <c r="T312" s="445"/>
      <c r="U312" s="445"/>
      <c r="V312" s="445"/>
      <c r="W312" s="476"/>
      <c r="X312" s="445"/>
      <c r="Y312" s="445"/>
      <c r="Z312" s="445"/>
      <c r="AA312" s="445"/>
      <c r="AB312" s="445"/>
      <c r="AC312" s="3"/>
      <c r="AD312" s="13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spans="1:46" ht="15.75" customHeight="1">
      <c r="A313" s="4"/>
      <c r="B313" s="4"/>
      <c r="C313" s="4"/>
      <c r="D313" s="102"/>
      <c r="E313" s="102"/>
      <c r="F313" s="102"/>
      <c r="G313" s="3"/>
      <c r="H313" s="3"/>
      <c r="I313" s="3"/>
      <c r="J313" s="3"/>
      <c r="K313" s="3"/>
      <c r="L313" s="3"/>
      <c r="M313" s="102"/>
      <c r="N313" s="445"/>
      <c r="O313" s="445"/>
      <c r="P313" s="445"/>
      <c r="Q313" s="445"/>
      <c r="R313" s="445"/>
      <c r="S313" s="445"/>
      <c r="T313" s="445"/>
      <c r="U313" s="445"/>
      <c r="V313" s="445"/>
      <c r="W313" s="476"/>
      <c r="X313" s="445"/>
      <c r="Y313" s="445"/>
      <c r="Z313" s="445"/>
      <c r="AA313" s="445"/>
      <c r="AB313" s="445"/>
      <c r="AC313" s="3"/>
      <c r="AD313" s="13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spans="1:46" ht="15.75" customHeight="1">
      <c r="A314" s="4"/>
      <c r="B314" s="4"/>
      <c r="C314" s="4"/>
      <c r="D314" s="102"/>
      <c r="E314" s="102"/>
      <c r="F314" s="102"/>
      <c r="G314" s="3"/>
      <c r="H314" s="3"/>
      <c r="I314" s="3"/>
      <c r="J314" s="3"/>
      <c r="K314" s="3"/>
      <c r="L314" s="3"/>
      <c r="M314" s="102"/>
      <c r="N314" s="445"/>
      <c r="O314" s="445"/>
      <c r="P314" s="445"/>
      <c r="Q314" s="445"/>
      <c r="R314" s="445"/>
      <c r="S314" s="445"/>
      <c r="T314" s="445"/>
      <c r="U314" s="445"/>
      <c r="V314" s="445"/>
      <c r="W314" s="476"/>
      <c r="X314" s="445"/>
      <c r="Y314" s="445"/>
      <c r="Z314" s="445"/>
      <c r="AA314" s="445"/>
      <c r="AB314" s="445"/>
      <c r="AC314" s="3"/>
      <c r="AD314" s="13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spans="1:46" ht="15.75" customHeight="1">
      <c r="A315" s="4"/>
      <c r="B315" s="4"/>
      <c r="C315" s="4"/>
      <c r="D315" s="102"/>
      <c r="E315" s="102"/>
      <c r="F315" s="102"/>
      <c r="G315" s="3"/>
      <c r="H315" s="3"/>
      <c r="I315" s="3"/>
      <c r="J315" s="3"/>
      <c r="K315" s="3"/>
      <c r="L315" s="3"/>
      <c r="M315" s="102"/>
      <c r="N315" s="445"/>
      <c r="O315" s="445"/>
      <c r="P315" s="445"/>
      <c r="Q315" s="445"/>
      <c r="R315" s="445"/>
      <c r="S315" s="445"/>
      <c r="T315" s="445"/>
      <c r="U315" s="445"/>
      <c r="V315" s="445"/>
      <c r="W315" s="476"/>
      <c r="X315" s="445"/>
      <c r="Y315" s="445"/>
      <c r="Z315" s="445"/>
      <c r="AA315" s="445"/>
      <c r="AB315" s="445"/>
      <c r="AC315" s="3"/>
      <c r="AD315" s="13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spans="1:46" ht="15.75" customHeight="1">
      <c r="A316" s="4"/>
      <c r="B316" s="4"/>
      <c r="C316" s="4"/>
      <c r="D316" s="102"/>
      <c r="E316" s="102"/>
      <c r="F316" s="102"/>
      <c r="G316" s="3"/>
      <c r="H316" s="3"/>
      <c r="I316" s="3"/>
      <c r="J316" s="3"/>
      <c r="K316" s="3"/>
      <c r="L316" s="3"/>
      <c r="M316" s="102"/>
      <c r="N316" s="445"/>
      <c r="O316" s="445"/>
      <c r="P316" s="445"/>
      <c r="Q316" s="445"/>
      <c r="R316" s="445"/>
      <c r="S316" s="445"/>
      <c r="T316" s="445"/>
      <c r="U316" s="445"/>
      <c r="V316" s="445"/>
      <c r="W316" s="476"/>
      <c r="X316" s="445"/>
      <c r="Y316" s="445"/>
      <c r="Z316" s="445"/>
      <c r="AA316" s="445"/>
      <c r="AB316" s="445"/>
      <c r="AC316" s="3"/>
      <c r="AD316" s="13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spans="1:46" ht="15.75" customHeight="1">
      <c r="A317" s="4"/>
      <c r="B317" s="4"/>
      <c r="C317" s="4"/>
      <c r="D317" s="102"/>
      <c r="E317" s="102"/>
      <c r="F317" s="102"/>
      <c r="G317" s="3"/>
      <c r="H317" s="3"/>
      <c r="I317" s="3"/>
      <c r="J317" s="3"/>
      <c r="K317" s="3"/>
      <c r="L317" s="3"/>
      <c r="M317" s="102"/>
      <c r="N317" s="445"/>
      <c r="O317" s="445"/>
      <c r="P317" s="445"/>
      <c r="Q317" s="445"/>
      <c r="R317" s="445"/>
      <c r="S317" s="445"/>
      <c r="T317" s="445"/>
      <c r="U317" s="445"/>
      <c r="V317" s="445"/>
      <c r="W317" s="476"/>
      <c r="X317" s="445"/>
      <c r="Y317" s="445"/>
      <c r="Z317" s="445"/>
      <c r="AA317" s="445"/>
      <c r="AB317" s="445"/>
      <c r="AC317" s="3"/>
      <c r="AD317" s="13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spans="1:46" ht="15.75" customHeight="1">
      <c r="A318" s="4"/>
      <c r="B318" s="4"/>
      <c r="C318" s="4"/>
      <c r="D318" s="102"/>
      <c r="E318" s="102"/>
      <c r="F318" s="102"/>
      <c r="G318" s="3"/>
      <c r="H318" s="3"/>
      <c r="I318" s="3"/>
      <c r="J318" s="3"/>
      <c r="K318" s="3"/>
      <c r="L318" s="3"/>
      <c r="M318" s="102"/>
      <c r="N318" s="445"/>
      <c r="O318" s="445"/>
      <c r="P318" s="445"/>
      <c r="Q318" s="445"/>
      <c r="R318" s="445"/>
      <c r="S318" s="445"/>
      <c r="T318" s="445"/>
      <c r="U318" s="445"/>
      <c r="V318" s="445"/>
      <c r="W318" s="476"/>
      <c r="X318" s="445"/>
      <c r="Y318" s="445"/>
      <c r="Z318" s="445"/>
      <c r="AA318" s="445"/>
      <c r="AB318" s="445"/>
      <c r="AC318" s="3"/>
      <c r="AD318" s="13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spans="1:46" ht="15.75" customHeight="1">
      <c r="A319" s="4"/>
      <c r="B319" s="4"/>
      <c r="C319" s="4"/>
      <c r="D319" s="102"/>
      <c r="E319" s="102"/>
      <c r="F319" s="102"/>
      <c r="G319" s="3"/>
      <c r="H319" s="3"/>
      <c r="I319" s="3"/>
      <c r="J319" s="3"/>
      <c r="K319" s="3"/>
      <c r="L319" s="3"/>
      <c r="M319" s="102"/>
      <c r="N319" s="445"/>
      <c r="O319" s="445"/>
      <c r="P319" s="445"/>
      <c r="Q319" s="445"/>
      <c r="R319" s="445"/>
      <c r="S319" s="445"/>
      <c r="T319" s="445"/>
      <c r="U319" s="445"/>
      <c r="V319" s="445"/>
      <c r="W319" s="476"/>
      <c r="X319" s="445"/>
      <c r="Y319" s="445"/>
      <c r="Z319" s="445"/>
      <c r="AA319" s="445"/>
      <c r="AB319" s="445"/>
      <c r="AC319" s="3"/>
      <c r="AD319" s="13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spans="1:46" ht="15.75" customHeight="1">
      <c r="A320" s="4"/>
      <c r="B320" s="4"/>
      <c r="C320" s="4"/>
      <c r="D320" s="102"/>
      <c r="E320" s="102"/>
      <c r="F320" s="102"/>
      <c r="G320" s="3"/>
      <c r="H320" s="3"/>
      <c r="I320" s="3"/>
      <c r="J320" s="3"/>
      <c r="K320" s="3"/>
      <c r="L320" s="3"/>
      <c r="M320" s="102"/>
      <c r="N320" s="445"/>
      <c r="O320" s="445"/>
      <c r="P320" s="445"/>
      <c r="Q320" s="445"/>
      <c r="R320" s="445"/>
      <c r="S320" s="445"/>
      <c r="T320" s="445"/>
      <c r="U320" s="445"/>
      <c r="V320" s="445"/>
      <c r="W320" s="476"/>
      <c r="X320" s="445"/>
      <c r="Y320" s="445"/>
      <c r="Z320" s="445"/>
      <c r="AA320" s="445"/>
      <c r="AB320" s="445"/>
      <c r="AC320" s="3"/>
      <c r="AD320" s="13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spans="1:46" ht="15.75" customHeight="1">
      <c r="A321" s="4"/>
      <c r="B321" s="4"/>
      <c r="C321" s="4"/>
      <c r="D321" s="102"/>
      <c r="E321" s="102"/>
      <c r="F321" s="102"/>
      <c r="G321" s="3"/>
      <c r="H321" s="3"/>
      <c r="I321" s="3"/>
      <c r="J321" s="3"/>
      <c r="K321" s="3"/>
      <c r="L321" s="3"/>
      <c r="M321" s="102"/>
      <c r="N321" s="445"/>
      <c r="O321" s="445"/>
      <c r="P321" s="445"/>
      <c r="Q321" s="445"/>
      <c r="R321" s="445"/>
      <c r="S321" s="445"/>
      <c r="T321" s="445"/>
      <c r="U321" s="445"/>
      <c r="V321" s="445"/>
      <c r="W321" s="476"/>
      <c r="X321" s="445"/>
      <c r="Y321" s="445"/>
      <c r="Z321" s="445"/>
      <c r="AA321" s="445"/>
      <c r="AB321" s="445"/>
      <c r="AC321" s="3"/>
      <c r="AD321" s="13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spans="1:46" ht="15.75" customHeight="1">
      <c r="A322" s="4"/>
      <c r="B322" s="4"/>
      <c r="C322" s="4"/>
      <c r="D322" s="102"/>
      <c r="E322" s="102"/>
      <c r="F322" s="102"/>
      <c r="G322" s="3"/>
      <c r="H322" s="3"/>
      <c r="I322" s="3"/>
      <c r="J322" s="3"/>
      <c r="K322" s="3"/>
      <c r="L322" s="3"/>
      <c r="M322" s="102"/>
      <c r="N322" s="445"/>
      <c r="O322" s="445"/>
      <c r="P322" s="445"/>
      <c r="Q322" s="445"/>
      <c r="R322" s="445"/>
      <c r="S322" s="445"/>
      <c r="T322" s="445"/>
      <c r="U322" s="445"/>
      <c r="V322" s="445"/>
      <c r="W322" s="476"/>
      <c r="X322" s="445"/>
      <c r="Y322" s="445"/>
      <c r="Z322" s="445"/>
      <c r="AA322" s="445"/>
      <c r="AB322" s="445"/>
      <c r="AC322" s="3"/>
      <c r="AD322" s="13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spans="1:46" ht="15.75" customHeight="1">
      <c r="A323" s="4"/>
      <c r="B323" s="4"/>
      <c r="C323" s="4"/>
      <c r="D323" s="102"/>
      <c r="E323" s="102"/>
      <c r="F323" s="102"/>
      <c r="G323" s="3"/>
      <c r="H323" s="3"/>
      <c r="I323" s="3"/>
      <c r="J323" s="3"/>
      <c r="K323" s="3"/>
      <c r="L323" s="3"/>
      <c r="M323" s="102"/>
      <c r="N323" s="445"/>
      <c r="O323" s="445"/>
      <c r="P323" s="445"/>
      <c r="Q323" s="445"/>
      <c r="R323" s="445"/>
      <c r="S323" s="445"/>
      <c r="T323" s="445"/>
      <c r="U323" s="445"/>
      <c r="V323" s="445"/>
      <c r="W323" s="476"/>
      <c r="X323" s="445"/>
      <c r="Y323" s="445"/>
      <c r="Z323" s="445"/>
      <c r="AA323" s="445"/>
      <c r="AB323" s="445"/>
      <c r="AC323" s="3"/>
      <c r="AD323" s="13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spans="1:46" ht="15.75" customHeight="1">
      <c r="A324" s="4"/>
      <c r="B324" s="4"/>
      <c r="C324" s="4"/>
      <c r="D324" s="102"/>
      <c r="E324" s="102"/>
      <c r="F324" s="102"/>
      <c r="G324" s="3"/>
      <c r="H324" s="3"/>
      <c r="I324" s="3"/>
      <c r="J324" s="3"/>
      <c r="K324" s="3"/>
      <c r="L324" s="3"/>
      <c r="M324" s="102"/>
      <c r="N324" s="445"/>
      <c r="O324" s="445"/>
      <c r="P324" s="445"/>
      <c r="Q324" s="445"/>
      <c r="R324" s="445"/>
      <c r="S324" s="445"/>
      <c r="T324" s="445"/>
      <c r="U324" s="445"/>
      <c r="V324" s="445"/>
      <c r="W324" s="476"/>
      <c r="X324" s="445"/>
      <c r="Y324" s="445"/>
      <c r="Z324" s="445"/>
      <c r="AA324" s="445"/>
      <c r="AB324" s="445"/>
      <c r="AC324" s="3"/>
      <c r="AD324" s="13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spans="1:46" ht="15.75" customHeight="1">
      <c r="A325" s="4"/>
      <c r="B325" s="4"/>
      <c r="C325" s="4"/>
      <c r="D325" s="102"/>
      <c r="E325" s="102"/>
      <c r="F325" s="102"/>
      <c r="G325" s="3"/>
      <c r="H325" s="3"/>
      <c r="I325" s="3"/>
      <c r="J325" s="3"/>
      <c r="K325" s="3"/>
      <c r="L325" s="3"/>
      <c r="M325" s="102"/>
      <c r="N325" s="445"/>
      <c r="O325" s="445"/>
      <c r="P325" s="445"/>
      <c r="Q325" s="445"/>
      <c r="R325" s="445"/>
      <c r="S325" s="445"/>
      <c r="T325" s="445"/>
      <c r="U325" s="445"/>
      <c r="V325" s="445"/>
      <c r="W325" s="476"/>
      <c r="X325" s="445"/>
      <c r="Y325" s="445"/>
      <c r="Z325" s="445"/>
      <c r="AA325" s="445"/>
      <c r="AB325" s="445"/>
      <c r="AC325" s="3"/>
      <c r="AD325" s="13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spans="1:46" ht="15.75" customHeight="1">
      <c r="A326" s="4"/>
      <c r="B326" s="4"/>
      <c r="C326" s="4"/>
      <c r="D326" s="102"/>
      <c r="E326" s="102"/>
      <c r="F326" s="102"/>
      <c r="G326" s="3"/>
      <c r="H326" s="3"/>
      <c r="I326" s="3"/>
      <c r="J326" s="3"/>
      <c r="K326" s="3"/>
      <c r="L326" s="3"/>
      <c r="M326" s="102"/>
      <c r="N326" s="445"/>
      <c r="O326" s="445"/>
      <c r="P326" s="445"/>
      <c r="Q326" s="445"/>
      <c r="R326" s="445"/>
      <c r="S326" s="445"/>
      <c r="T326" s="445"/>
      <c r="U326" s="445"/>
      <c r="V326" s="445"/>
      <c r="W326" s="476"/>
      <c r="X326" s="445"/>
      <c r="Y326" s="445"/>
      <c r="Z326" s="445"/>
      <c r="AA326" s="445"/>
      <c r="AB326" s="445"/>
      <c r="AC326" s="3"/>
      <c r="AD326" s="13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spans="1:46" ht="15.75" customHeight="1">
      <c r="A327" s="4"/>
      <c r="B327" s="4"/>
      <c r="C327" s="4"/>
      <c r="D327" s="102"/>
      <c r="E327" s="102"/>
      <c r="F327" s="102"/>
      <c r="G327" s="3"/>
      <c r="H327" s="3"/>
      <c r="I327" s="3"/>
      <c r="J327" s="3"/>
      <c r="K327" s="3"/>
      <c r="L327" s="3"/>
      <c r="M327" s="102"/>
      <c r="N327" s="445"/>
      <c r="O327" s="445"/>
      <c r="P327" s="445"/>
      <c r="Q327" s="445"/>
      <c r="R327" s="445"/>
      <c r="S327" s="445"/>
      <c r="T327" s="445"/>
      <c r="U327" s="445"/>
      <c r="V327" s="445"/>
      <c r="W327" s="476"/>
      <c r="X327" s="445"/>
      <c r="Y327" s="445"/>
      <c r="Z327" s="445"/>
      <c r="AA327" s="445"/>
      <c r="AB327" s="445"/>
      <c r="AC327" s="3"/>
      <c r="AD327" s="13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spans="1:46" ht="15.75" customHeight="1">
      <c r="A328" s="4"/>
      <c r="B328" s="4"/>
      <c r="C328" s="4"/>
      <c r="D328" s="102"/>
      <c r="E328" s="102"/>
      <c r="F328" s="102"/>
      <c r="G328" s="3"/>
      <c r="H328" s="3"/>
      <c r="I328" s="3"/>
      <c r="J328" s="3"/>
      <c r="K328" s="3"/>
      <c r="L328" s="3"/>
      <c r="M328" s="102"/>
      <c r="N328" s="445"/>
      <c r="O328" s="445"/>
      <c r="P328" s="445"/>
      <c r="Q328" s="445"/>
      <c r="R328" s="445"/>
      <c r="S328" s="445"/>
      <c r="T328" s="445"/>
      <c r="U328" s="445"/>
      <c r="V328" s="445"/>
      <c r="W328" s="476"/>
      <c r="X328" s="445"/>
      <c r="Y328" s="445"/>
      <c r="Z328" s="445"/>
      <c r="AA328" s="445"/>
      <c r="AB328" s="445"/>
      <c r="AC328" s="3"/>
      <c r="AD328" s="13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spans="1:46" ht="15.75" customHeight="1">
      <c r="A329" s="4"/>
      <c r="B329" s="4"/>
      <c r="C329" s="4"/>
      <c r="D329" s="102"/>
      <c r="E329" s="102"/>
      <c r="F329" s="102"/>
      <c r="G329" s="3"/>
      <c r="H329" s="3"/>
      <c r="I329" s="3"/>
      <c r="J329" s="3"/>
      <c r="K329" s="3"/>
      <c r="L329" s="3"/>
      <c r="M329" s="102"/>
      <c r="N329" s="445"/>
      <c r="O329" s="445"/>
      <c r="P329" s="445"/>
      <c r="Q329" s="445"/>
      <c r="R329" s="445"/>
      <c r="S329" s="445"/>
      <c r="T329" s="445"/>
      <c r="U329" s="445"/>
      <c r="V329" s="445"/>
      <c r="W329" s="476"/>
      <c r="X329" s="445"/>
      <c r="Y329" s="445"/>
      <c r="Z329" s="445"/>
      <c r="AA329" s="445"/>
      <c r="AB329" s="445"/>
      <c r="AC329" s="3"/>
      <c r="AD329" s="13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spans="1:46" ht="15.75" customHeight="1">
      <c r="A330" s="4"/>
      <c r="B330" s="4"/>
      <c r="C330" s="4"/>
      <c r="D330" s="102"/>
      <c r="E330" s="102"/>
      <c r="F330" s="102"/>
      <c r="G330" s="3"/>
      <c r="H330" s="3"/>
      <c r="I330" s="3"/>
      <c r="J330" s="3"/>
      <c r="K330" s="3"/>
      <c r="L330" s="3"/>
      <c r="M330" s="102"/>
      <c r="N330" s="445"/>
      <c r="O330" s="445"/>
      <c r="P330" s="445"/>
      <c r="Q330" s="445"/>
      <c r="R330" s="445"/>
      <c r="S330" s="445"/>
      <c r="T330" s="445"/>
      <c r="U330" s="445"/>
      <c r="V330" s="445"/>
      <c r="W330" s="476"/>
      <c r="X330" s="445"/>
      <c r="Y330" s="445"/>
      <c r="Z330" s="445"/>
      <c r="AA330" s="445"/>
      <c r="AB330" s="445"/>
      <c r="AC330" s="3"/>
      <c r="AD330" s="13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spans="1:46" ht="15.75" customHeight="1">
      <c r="A331" s="4"/>
      <c r="B331" s="4"/>
      <c r="C331" s="4"/>
      <c r="D331" s="102"/>
      <c r="E331" s="102"/>
      <c r="F331" s="102"/>
      <c r="G331" s="3"/>
      <c r="H331" s="3"/>
      <c r="I331" s="3"/>
      <c r="J331" s="3"/>
      <c r="K331" s="3"/>
      <c r="L331" s="3"/>
      <c r="M331" s="102"/>
      <c r="N331" s="445"/>
      <c r="O331" s="445"/>
      <c r="P331" s="445"/>
      <c r="Q331" s="445"/>
      <c r="R331" s="445"/>
      <c r="S331" s="445"/>
      <c r="T331" s="445"/>
      <c r="U331" s="445"/>
      <c r="V331" s="445"/>
      <c r="W331" s="476"/>
      <c r="X331" s="445"/>
      <c r="Y331" s="445"/>
      <c r="Z331" s="445"/>
      <c r="AA331" s="445"/>
      <c r="AB331" s="445"/>
      <c r="AC331" s="3"/>
      <c r="AD331" s="13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spans="1:46" ht="15.75" customHeight="1">
      <c r="A332" s="4"/>
      <c r="B332" s="4"/>
      <c r="C332" s="4"/>
      <c r="D332" s="102"/>
      <c r="E332" s="102"/>
      <c r="F332" s="102"/>
      <c r="G332" s="3"/>
      <c r="H332" s="3"/>
      <c r="I332" s="3"/>
      <c r="J332" s="3"/>
      <c r="K332" s="3"/>
      <c r="L332" s="3"/>
      <c r="M332" s="102"/>
      <c r="N332" s="445"/>
      <c r="O332" s="445"/>
      <c r="P332" s="445"/>
      <c r="Q332" s="445"/>
      <c r="R332" s="445"/>
      <c r="S332" s="445"/>
      <c r="T332" s="445"/>
      <c r="U332" s="445"/>
      <c r="V332" s="445"/>
      <c r="W332" s="476"/>
      <c r="X332" s="445"/>
      <c r="Y332" s="445"/>
      <c r="Z332" s="445"/>
      <c r="AA332" s="445"/>
      <c r="AB332" s="445"/>
      <c r="AC332" s="3"/>
      <c r="AD332" s="13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spans="1:46" ht="15.75" customHeight="1">
      <c r="A333" s="4"/>
      <c r="B333" s="4"/>
      <c r="C333" s="4"/>
      <c r="D333" s="102"/>
      <c r="E333" s="102"/>
      <c r="F333" s="102"/>
      <c r="G333" s="3"/>
      <c r="H333" s="3"/>
      <c r="I333" s="3"/>
      <c r="J333" s="3"/>
      <c r="K333" s="3"/>
      <c r="L333" s="3"/>
      <c r="M333" s="102"/>
      <c r="N333" s="445"/>
      <c r="O333" s="445"/>
      <c r="P333" s="445"/>
      <c r="Q333" s="445"/>
      <c r="R333" s="445"/>
      <c r="S333" s="445"/>
      <c r="T333" s="445"/>
      <c r="U333" s="445"/>
      <c r="V333" s="445"/>
      <c r="W333" s="476"/>
      <c r="X333" s="445"/>
      <c r="Y333" s="445"/>
      <c r="Z333" s="445"/>
      <c r="AA333" s="445"/>
      <c r="AB333" s="445"/>
      <c r="AC333" s="3"/>
      <c r="AD333" s="13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spans="1:46" ht="15.75" customHeight="1">
      <c r="A334" s="4"/>
      <c r="B334" s="4"/>
      <c r="C334" s="4"/>
      <c r="D334" s="102"/>
      <c r="E334" s="102"/>
      <c r="F334" s="102"/>
      <c r="G334" s="3"/>
      <c r="H334" s="3"/>
      <c r="I334" s="3"/>
      <c r="J334" s="3"/>
      <c r="K334" s="3"/>
      <c r="L334" s="3"/>
      <c r="M334" s="102"/>
      <c r="N334" s="445"/>
      <c r="O334" s="445"/>
      <c r="P334" s="445"/>
      <c r="Q334" s="445"/>
      <c r="R334" s="445"/>
      <c r="S334" s="445"/>
      <c r="T334" s="445"/>
      <c r="U334" s="445"/>
      <c r="V334" s="445"/>
      <c r="W334" s="476"/>
      <c r="X334" s="445"/>
      <c r="Y334" s="445"/>
      <c r="Z334" s="445"/>
      <c r="AA334" s="445"/>
      <c r="AB334" s="445"/>
      <c r="AC334" s="3"/>
      <c r="AD334" s="13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spans="1:46" ht="15.75" customHeight="1">
      <c r="A335" s="4"/>
      <c r="B335" s="4"/>
      <c r="C335" s="4"/>
      <c r="D335" s="102"/>
      <c r="E335" s="102"/>
      <c r="F335" s="102"/>
      <c r="G335" s="3"/>
      <c r="H335" s="3"/>
      <c r="I335" s="3"/>
      <c r="J335" s="3"/>
      <c r="K335" s="3"/>
      <c r="L335" s="3"/>
      <c r="M335" s="102"/>
      <c r="N335" s="445"/>
      <c r="O335" s="445"/>
      <c r="P335" s="445"/>
      <c r="Q335" s="445"/>
      <c r="R335" s="445"/>
      <c r="S335" s="445"/>
      <c r="T335" s="445"/>
      <c r="U335" s="445"/>
      <c r="V335" s="445"/>
      <c r="W335" s="476"/>
      <c r="X335" s="445"/>
      <c r="Y335" s="445"/>
      <c r="Z335" s="445"/>
      <c r="AA335" s="445"/>
      <c r="AB335" s="445"/>
      <c r="AC335" s="3"/>
      <c r="AD335" s="13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spans="1:46" ht="15.75" customHeight="1">
      <c r="A336" s="4"/>
      <c r="B336" s="4"/>
      <c r="C336" s="4"/>
      <c r="D336" s="102"/>
      <c r="E336" s="102"/>
      <c r="F336" s="102"/>
      <c r="G336" s="3"/>
      <c r="H336" s="3"/>
      <c r="I336" s="3"/>
      <c r="J336" s="3"/>
      <c r="K336" s="3"/>
      <c r="L336" s="3"/>
      <c r="M336" s="102"/>
      <c r="N336" s="445"/>
      <c r="O336" s="445"/>
      <c r="P336" s="445"/>
      <c r="Q336" s="445"/>
      <c r="R336" s="445"/>
      <c r="S336" s="445"/>
      <c r="T336" s="445"/>
      <c r="U336" s="445"/>
      <c r="V336" s="445"/>
      <c r="W336" s="476"/>
      <c r="X336" s="445"/>
      <c r="Y336" s="445"/>
      <c r="Z336" s="445"/>
      <c r="AA336" s="445"/>
      <c r="AB336" s="445"/>
      <c r="AC336" s="3"/>
      <c r="AD336" s="13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spans="1:46" ht="15.75" customHeight="1">
      <c r="A337" s="4"/>
      <c r="B337" s="4"/>
      <c r="C337" s="4"/>
      <c r="D337" s="102"/>
      <c r="E337" s="102"/>
      <c r="F337" s="102"/>
      <c r="G337" s="3"/>
      <c r="H337" s="3"/>
      <c r="I337" s="3"/>
      <c r="J337" s="3"/>
      <c r="K337" s="3"/>
      <c r="L337" s="3"/>
      <c r="M337" s="102"/>
      <c r="N337" s="445"/>
      <c r="O337" s="445"/>
      <c r="P337" s="445"/>
      <c r="Q337" s="445"/>
      <c r="R337" s="445"/>
      <c r="S337" s="445"/>
      <c r="T337" s="445"/>
      <c r="U337" s="445"/>
      <c r="V337" s="445"/>
      <c r="W337" s="476"/>
      <c r="X337" s="445"/>
      <c r="Y337" s="445"/>
      <c r="Z337" s="445"/>
      <c r="AA337" s="445"/>
      <c r="AB337" s="445"/>
      <c r="AC337" s="3"/>
      <c r="AD337" s="13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spans="1:46" ht="15.75" customHeight="1">
      <c r="A338" s="4"/>
      <c r="B338" s="4"/>
      <c r="C338" s="4"/>
      <c r="D338" s="102"/>
      <c r="E338" s="102"/>
      <c r="F338" s="102"/>
      <c r="G338" s="3"/>
      <c r="H338" s="3"/>
      <c r="I338" s="3"/>
      <c r="J338" s="3"/>
      <c r="K338" s="3"/>
      <c r="L338" s="3"/>
      <c r="M338" s="102"/>
      <c r="N338" s="445"/>
      <c r="O338" s="445"/>
      <c r="P338" s="445"/>
      <c r="Q338" s="445"/>
      <c r="R338" s="445"/>
      <c r="S338" s="445"/>
      <c r="T338" s="445"/>
      <c r="U338" s="445"/>
      <c r="V338" s="445"/>
      <c r="W338" s="476"/>
      <c r="X338" s="445"/>
      <c r="Y338" s="445"/>
      <c r="Z338" s="445"/>
      <c r="AA338" s="445"/>
      <c r="AB338" s="445"/>
      <c r="AC338" s="3"/>
      <c r="AD338" s="13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spans="1:46" ht="15.75" customHeight="1">
      <c r="A339" s="4"/>
      <c r="B339" s="4"/>
      <c r="C339" s="4"/>
      <c r="D339" s="102"/>
      <c r="E339" s="102"/>
      <c r="F339" s="102"/>
      <c r="G339" s="3"/>
      <c r="H339" s="3"/>
      <c r="I339" s="3"/>
      <c r="J339" s="3"/>
      <c r="K339" s="3"/>
      <c r="L339" s="3"/>
      <c r="M339" s="102"/>
      <c r="N339" s="445"/>
      <c r="O339" s="445"/>
      <c r="P339" s="445"/>
      <c r="Q339" s="445"/>
      <c r="R339" s="445"/>
      <c r="S339" s="445"/>
      <c r="T339" s="445"/>
      <c r="U339" s="445"/>
      <c r="V339" s="445"/>
      <c r="W339" s="476"/>
      <c r="X339" s="445"/>
      <c r="Y339" s="445"/>
      <c r="Z339" s="445"/>
      <c r="AA339" s="445"/>
      <c r="AB339" s="445"/>
      <c r="AC339" s="3"/>
      <c r="AD339" s="13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spans="1:46" ht="15.75" customHeight="1">
      <c r="A340" s="4"/>
      <c r="B340" s="4"/>
      <c r="C340" s="4"/>
      <c r="D340" s="102"/>
      <c r="E340" s="102"/>
      <c r="F340" s="102"/>
      <c r="G340" s="3"/>
      <c r="H340" s="3"/>
      <c r="I340" s="3"/>
      <c r="J340" s="3"/>
      <c r="K340" s="3"/>
      <c r="L340" s="3"/>
      <c r="M340" s="102"/>
      <c r="N340" s="445"/>
      <c r="O340" s="445"/>
      <c r="P340" s="445"/>
      <c r="Q340" s="445"/>
      <c r="R340" s="445"/>
      <c r="S340" s="445"/>
      <c r="T340" s="445"/>
      <c r="U340" s="445"/>
      <c r="V340" s="445"/>
      <c r="W340" s="476"/>
      <c r="X340" s="445"/>
      <c r="Y340" s="445"/>
      <c r="Z340" s="445"/>
      <c r="AA340" s="445"/>
      <c r="AB340" s="445"/>
      <c r="AC340" s="3"/>
      <c r="AD340" s="13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spans="1:46" ht="15.75" customHeight="1">
      <c r="A341" s="4"/>
      <c r="B341" s="4"/>
      <c r="C341" s="4"/>
      <c r="D341" s="102"/>
      <c r="E341" s="102"/>
      <c r="F341" s="102"/>
      <c r="G341" s="3"/>
      <c r="H341" s="3"/>
      <c r="I341" s="3"/>
      <c r="J341" s="3"/>
      <c r="K341" s="3"/>
      <c r="L341" s="3"/>
      <c r="M341" s="102"/>
      <c r="N341" s="445"/>
      <c r="O341" s="445"/>
      <c r="P341" s="445"/>
      <c r="Q341" s="445"/>
      <c r="R341" s="445"/>
      <c r="S341" s="445"/>
      <c r="T341" s="445"/>
      <c r="U341" s="445"/>
      <c r="V341" s="445"/>
      <c r="W341" s="476"/>
      <c r="X341" s="445"/>
      <c r="Y341" s="445"/>
      <c r="Z341" s="445"/>
      <c r="AA341" s="445"/>
      <c r="AB341" s="445"/>
      <c r="AC341" s="3"/>
      <c r="AD341" s="13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spans="1:46" ht="15.75" customHeight="1">
      <c r="A342" s="4"/>
      <c r="B342" s="4"/>
      <c r="C342" s="4"/>
      <c r="D342" s="102"/>
      <c r="E342" s="102"/>
      <c r="F342" s="102"/>
      <c r="G342" s="3"/>
      <c r="H342" s="3"/>
      <c r="I342" s="3"/>
      <c r="J342" s="3"/>
      <c r="K342" s="3"/>
      <c r="L342" s="3"/>
      <c r="M342" s="102"/>
      <c r="N342" s="445"/>
      <c r="O342" s="445"/>
      <c r="P342" s="445"/>
      <c r="Q342" s="445"/>
      <c r="R342" s="445"/>
      <c r="S342" s="445"/>
      <c r="T342" s="445"/>
      <c r="U342" s="445"/>
      <c r="V342" s="445"/>
      <c r="W342" s="476"/>
      <c r="X342" s="445"/>
      <c r="Y342" s="445"/>
      <c r="Z342" s="445"/>
      <c r="AA342" s="445"/>
      <c r="AB342" s="445"/>
      <c r="AC342" s="3"/>
      <c r="AD342" s="13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spans="1:46" ht="15.75" customHeight="1">
      <c r="A343" s="4"/>
      <c r="B343" s="4"/>
      <c r="C343" s="4"/>
      <c r="D343" s="102"/>
      <c r="E343" s="102"/>
      <c r="F343" s="102"/>
      <c r="G343" s="3"/>
      <c r="H343" s="3"/>
      <c r="I343" s="3"/>
      <c r="J343" s="3"/>
      <c r="K343" s="3"/>
      <c r="L343" s="3"/>
      <c r="M343" s="102"/>
      <c r="N343" s="445"/>
      <c r="O343" s="445"/>
      <c r="P343" s="445"/>
      <c r="Q343" s="445"/>
      <c r="R343" s="445"/>
      <c r="S343" s="445"/>
      <c r="T343" s="445"/>
      <c r="U343" s="445"/>
      <c r="V343" s="445"/>
      <c r="W343" s="476"/>
      <c r="X343" s="445"/>
      <c r="Y343" s="445"/>
      <c r="Z343" s="445"/>
      <c r="AA343" s="445"/>
      <c r="AB343" s="445"/>
      <c r="AC343" s="3"/>
      <c r="AD343" s="13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spans="1:46" ht="15.75" customHeight="1">
      <c r="A344" s="4"/>
      <c r="B344" s="4"/>
      <c r="C344" s="4"/>
      <c r="D344" s="102"/>
      <c r="E344" s="102"/>
      <c r="F344" s="102"/>
      <c r="G344" s="3"/>
      <c r="H344" s="3"/>
      <c r="I344" s="3"/>
      <c r="J344" s="3"/>
      <c r="K344" s="3"/>
      <c r="L344" s="3"/>
      <c r="M344" s="102"/>
      <c r="N344" s="445"/>
      <c r="O344" s="445"/>
      <c r="P344" s="445"/>
      <c r="Q344" s="445"/>
      <c r="R344" s="445"/>
      <c r="S344" s="445"/>
      <c r="T344" s="445"/>
      <c r="U344" s="445"/>
      <c r="V344" s="445"/>
      <c r="W344" s="476"/>
      <c r="X344" s="445"/>
      <c r="Y344" s="445"/>
      <c r="Z344" s="445"/>
      <c r="AA344" s="445"/>
      <c r="AB344" s="445"/>
      <c r="AC344" s="3"/>
      <c r="AD344" s="13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spans="1:46" ht="15.75" customHeight="1">
      <c r="A345" s="4"/>
      <c r="B345" s="4"/>
      <c r="C345" s="4"/>
      <c r="D345" s="102"/>
      <c r="E345" s="102"/>
      <c r="F345" s="102"/>
      <c r="G345" s="3"/>
      <c r="H345" s="3"/>
      <c r="I345" s="3"/>
      <c r="J345" s="3"/>
      <c r="K345" s="3"/>
      <c r="L345" s="3"/>
      <c r="M345" s="102"/>
      <c r="N345" s="445"/>
      <c r="O345" s="445"/>
      <c r="P345" s="445"/>
      <c r="Q345" s="445"/>
      <c r="R345" s="445"/>
      <c r="S345" s="445"/>
      <c r="T345" s="445"/>
      <c r="U345" s="445"/>
      <c r="V345" s="445"/>
      <c r="W345" s="476"/>
      <c r="X345" s="445"/>
      <c r="Y345" s="445"/>
      <c r="Z345" s="445"/>
      <c r="AA345" s="445"/>
      <c r="AB345" s="445"/>
      <c r="AC345" s="3"/>
      <c r="AD345" s="13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spans="1:46" ht="15.75" customHeight="1">
      <c r="A346" s="4"/>
      <c r="B346" s="4"/>
      <c r="C346" s="4"/>
      <c r="D346" s="102"/>
      <c r="E346" s="102"/>
      <c r="F346" s="102"/>
      <c r="G346" s="3"/>
      <c r="H346" s="3"/>
      <c r="I346" s="3"/>
      <c r="J346" s="3"/>
      <c r="K346" s="3"/>
      <c r="L346" s="3"/>
      <c r="M346" s="102"/>
      <c r="N346" s="445"/>
      <c r="O346" s="445"/>
      <c r="P346" s="445"/>
      <c r="Q346" s="445"/>
      <c r="R346" s="445"/>
      <c r="S346" s="445"/>
      <c r="T346" s="445"/>
      <c r="U346" s="445"/>
      <c r="V346" s="445"/>
      <c r="W346" s="476"/>
      <c r="X346" s="445"/>
      <c r="Y346" s="445"/>
      <c r="Z346" s="445"/>
      <c r="AA346" s="445"/>
      <c r="AB346" s="445"/>
      <c r="AC346" s="3"/>
      <c r="AD346" s="13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spans="1:46" ht="15.75" customHeight="1">
      <c r="A347" s="4"/>
      <c r="B347" s="4"/>
      <c r="C347" s="4"/>
      <c r="D347" s="102"/>
      <c r="E347" s="102"/>
      <c r="F347" s="102"/>
      <c r="G347" s="3"/>
      <c r="H347" s="3"/>
      <c r="I347" s="3"/>
      <c r="J347" s="3"/>
      <c r="K347" s="3"/>
      <c r="L347" s="3"/>
      <c r="M347" s="102"/>
      <c r="N347" s="445"/>
      <c r="O347" s="445"/>
      <c r="P347" s="445"/>
      <c r="Q347" s="445"/>
      <c r="R347" s="445"/>
      <c r="S347" s="445"/>
      <c r="T347" s="445"/>
      <c r="U347" s="445"/>
      <c r="V347" s="445"/>
      <c r="W347" s="476"/>
      <c r="X347" s="445"/>
      <c r="Y347" s="445"/>
      <c r="Z347" s="445"/>
      <c r="AA347" s="445"/>
      <c r="AB347" s="445"/>
      <c r="AC347" s="3"/>
      <c r="AD347" s="13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spans="1:46" ht="15.75" customHeight="1">
      <c r="A348" s="4"/>
      <c r="B348" s="4"/>
      <c r="C348" s="4"/>
      <c r="D348" s="102"/>
      <c r="E348" s="102"/>
      <c r="F348" s="102"/>
      <c r="G348" s="3"/>
      <c r="H348" s="3"/>
      <c r="I348" s="3"/>
      <c r="J348" s="3"/>
      <c r="K348" s="3"/>
      <c r="L348" s="3"/>
      <c r="M348" s="102"/>
      <c r="N348" s="445"/>
      <c r="O348" s="445"/>
      <c r="P348" s="445"/>
      <c r="Q348" s="445"/>
      <c r="R348" s="445"/>
      <c r="S348" s="445"/>
      <c r="T348" s="445"/>
      <c r="U348" s="445"/>
      <c r="V348" s="445"/>
      <c r="W348" s="476"/>
      <c r="X348" s="445"/>
      <c r="Y348" s="445"/>
      <c r="Z348" s="445"/>
      <c r="AA348" s="445"/>
      <c r="AB348" s="445"/>
      <c r="AC348" s="3"/>
      <c r="AD348" s="13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spans="1:46" ht="15.75" customHeight="1">
      <c r="A349" s="4"/>
      <c r="B349" s="4"/>
      <c r="C349" s="4"/>
      <c r="D349" s="102"/>
      <c r="E349" s="102"/>
      <c r="F349" s="102"/>
      <c r="G349" s="3"/>
      <c r="H349" s="3"/>
      <c r="I349" s="3"/>
      <c r="J349" s="3"/>
      <c r="K349" s="3"/>
      <c r="L349" s="3"/>
      <c r="M349" s="102"/>
      <c r="N349" s="445"/>
      <c r="O349" s="445"/>
      <c r="P349" s="445"/>
      <c r="Q349" s="445"/>
      <c r="R349" s="445"/>
      <c r="S349" s="445"/>
      <c r="T349" s="445"/>
      <c r="U349" s="445"/>
      <c r="V349" s="445"/>
      <c r="W349" s="476"/>
      <c r="X349" s="445"/>
      <c r="Y349" s="445"/>
      <c r="Z349" s="445"/>
      <c r="AA349" s="445"/>
      <c r="AB349" s="445"/>
      <c r="AC349" s="3"/>
      <c r="AD349" s="13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spans="1:46" ht="15.75" customHeight="1">
      <c r="A350" s="4"/>
      <c r="B350" s="4"/>
      <c r="C350" s="4"/>
      <c r="D350" s="102"/>
      <c r="E350" s="102"/>
      <c r="F350" s="102"/>
      <c r="G350" s="3"/>
      <c r="H350" s="3"/>
      <c r="I350" s="3"/>
      <c r="J350" s="3"/>
      <c r="K350" s="3"/>
      <c r="L350" s="3"/>
      <c r="M350" s="102"/>
      <c r="N350" s="445"/>
      <c r="O350" s="445"/>
      <c r="P350" s="445"/>
      <c r="Q350" s="445"/>
      <c r="R350" s="445"/>
      <c r="S350" s="445"/>
      <c r="T350" s="445"/>
      <c r="U350" s="445"/>
      <c r="V350" s="445"/>
      <c r="W350" s="476"/>
      <c r="X350" s="445"/>
      <c r="Y350" s="445"/>
      <c r="Z350" s="445"/>
      <c r="AA350" s="445"/>
      <c r="AB350" s="445"/>
      <c r="AC350" s="3"/>
      <c r="AD350" s="13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spans="1:46" ht="15.75" customHeight="1">
      <c r="A351" s="4"/>
      <c r="B351" s="4"/>
      <c r="C351" s="4"/>
      <c r="D351" s="102"/>
      <c r="E351" s="102"/>
      <c r="F351" s="102"/>
      <c r="G351" s="3"/>
      <c r="H351" s="3"/>
      <c r="I351" s="3"/>
      <c r="J351" s="3"/>
      <c r="K351" s="3"/>
      <c r="L351" s="3"/>
      <c r="M351" s="102"/>
      <c r="N351" s="445"/>
      <c r="O351" s="445"/>
      <c r="P351" s="445"/>
      <c r="Q351" s="445"/>
      <c r="R351" s="445"/>
      <c r="S351" s="445"/>
      <c r="T351" s="445"/>
      <c r="U351" s="445"/>
      <c r="V351" s="445"/>
      <c r="W351" s="476"/>
      <c r="X351" s="445"/>
      <c r="Y351" s="445"/>
      <c r="Z351" s="445"/>
      <c r="AA351" s="445"/>
      <c r="AB351" s="445"/>
      <c r="AC351" s="3"/>
      <c r="AD351" s="13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spans="1:46" ht="15.75" customHeight="1">
      <c r="A352" s="4"/>
      <c r="B352" s="4"/>
      <c r="C352" s="4"/>
      <c r="D352" s="102"/>
      <c r="E352" s="102"/>
      <c r="F352" s="102"/>
      <c r="G352" s="3"/>
      <c r="H352" s="3"/>
      <c r="I352" s="3"/>
      <c r="J352" s="3"/>
      <c r="K352" s="3"/>
      <c r="L352" s="3"/>
      <c r="M352" s="102"/>
      <c r="N352" s="445"/>
      <c r="O352" s="445"/>
      <c r="P352" s="445"/>
      <c r="Q352" s="445"/>
      <c r="R352" s="445"/>
      <c r="S352" s="445"/>
      <c r="T352" s="445"/>
      <c r="U352" s="445"/>
      <c r="V352" s="445"/>
      <c r="W352" s="476"/>
      <c r="X352" s="445"/>
      <c r="Y352" s="445"/>
      <c r="Z352" s="445"/>
      <c r="AA352" s="445"/>
      <c r="AB352" s="445"/>
      <c r="AC352" s="3"/>
      <c r="AD352" s="13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spans="1:46" ht="15.75" customHeight="1">
      <c r="A353" s="4"/>
      <c r="B353" s="4"/>
      <c r="C353" s="4"/>
      <c r="D353" s="102"/>
      <c r="E353" s="102"/>
      <c r="F353" s="102"/>
      <c r="G353" s="3"/>
      <c r="H353" s="3"/>
      <c r="I353" s="3"/>
      <c r="J353" s="3"/>
      <c r="K353" s="3"/>
      <c r="L353" s="3"/>
      <c r="M353" s="102"/>
      <c r="N353" s="445"/>
      <c r="O353" s="445"/>
      <c r="P353" s="445"/>
      <c r="Q353" s="445"/>
      <c r="R353" s="445"/>
      <c r="S353" s="445"/>
      <c r="T353" s="445"/>
      <c r="U353" s="445"/>
      <c r="V353" s="445"/>
      <c r="W353" s="476"/>
      <c r="X353" s="445"/>
      <c r="Y353" s="445"/>
      <c r="Z353" s="445"/>
      <c r="AA353" s="445"/>
      <c r="AB353" s="445"/>
      <c r="AC353" s="3"/>
      <c r="AD353" s="13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spans="1:46" ht="15.75" customHeight="1">
      <c r="A354" s="110"/>
      <c r="B354" s="110"/>
      <c r="C354" s="110"/>
      <c r="D354" s="118"/>
      <c r="E354" s="118"/>
      <c r="F354" s="118"/>
      <c r="G354" s="408"/>
      <c r="H354" s="408"/>
      <c r="I354" s="408"/>
      <c r="J354" s="408"/>
      <c r="K354" s="408"/>
      <c r="L354" s="408"/>
      <c r="M354" s="118"/>
      <c r="N354" s="435"/>
      <c r="O354" s="435"/>
      <c r="P354" s="435"/>
      <c r="Q354" s="435"/>
      <c r="R354" s="435"/>
      <c r="S354" s="435"/>
      <c r="T354" s="435"/>
      <c r="U354" s="435"/>
      <c r="V354" s="435"/>
      <c r="W354" s="463"/>
      <c r="X354" s="435"/>
      <c r="Y354" s="435"/>
      <c r="Z354" s="435"/>
      <c r="AA354" s="435"/>
      <c r="AB354" s="435"/>
      <c r="AC354" s="408"/>
      <c r="AD354" s="4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</row>
    <row r="355" spans="1:46" ht="15.75" customHeight="1">
      <c r="A355" s="110"/>
      <c r="B355" s="110"/>
      <c r="C355" s="110"/>
      <c r="D355" s="118"/>
      <c r="E355" s="118"/>
      <c r="F355" s="118"/>
      <c r="G355" s="408"/>
      <c r="H355" s="408"/>
      <c r="I355" s="408"/>
      <c r="J355" s="408"/>
      <c r="K355" s="408"/>
      <c r="L355" s="408"/>
      <c r="M355" s="118"/>
      <c r="N355" s="435"/>
      <c r="O355" s="435"/>
      <c r="P355" s="435"/>
      <c r="Q355" s="435"/>
      <c r="R355" s="435"/>
      <c r="S355" s="435"/>
      <c r="T355" s="435"/>
      <c r="U355" s="435"/>
      <c r="V355" s="435"/>
      <c r="W355" s="463"/>
      <c r="X355" s="435"/>
      <c r="Y355" s="435"/>
      <c r="Z355" s="435"/>
      <c r="AA355" s="435"/>
      <c r="AB355" s="435"/>
      <c r="AC355" s="408"/>
      <c r="AD355" s="4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</row>
    <row r="356" spans="1:46" ht="15.75" customHeight="1">
      <c r="A356" s="110"/>
      <c r="B356" s="110"/>
      <c r="C356" s="110"/>
      <c r="D356" s="118"/>
      <c r="E356" s="118"/>
      <c r="F356" s="118"/>
      <c r="G356" s="408"/>
      <c r="H356" s="408"/>
      <c r="I356" s="408"/>
      <c r="J356" s="408"/>
      <c r="K356" s="408"/>
      <c r="L356" s="408"/>
      <c r="M356" s="118"/>
      <c r="N356" s="435"/>
      <c r="O356" s="435"/>
      <c r="P356" s="435"/>
      <c r="Q356" s="435"/>
      <c r="R356" s="435"/>
      <c r="S356" s="435"/>
      <c r="T356" s="435"/>
      <c r="U356" s="435"/>
      <c r="V356" s="435"/>
      <c r="W356" s="463"/>
      <c r="X356" s="435"/>
      <c r="Y356" s="435"/>
      <c r="Z356" s="435"/>
      <c r="AA356" s="435"/>
      <c r="AB356" s="435"/>
      <c r="AC356" s="408"/>
      <c r="AD356" s="4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</row>
    <row r="357" spans="1:46" ht="15.75" customHeight="1">
      <c r="A357" s="110"/>
      <c r="B357" s="110"/>
      <c r="C357" s="110"/>
      <c r="D357" s="118"/>
      <c r="E357" s="118"/>
      <c r="F357" s="118"/>
      <c r="G357" s="408"/>
      <c r="H357" s="408"/>
      <c r="I357" s="408"/>
      <c r="J357" s="408"/>
      <c r="K357" s="408"/>
      <c r="L357" s="408"/>
      <c r="M357" s="118"/>
      <c r="N357" s="435"/>
      <c r="O357" s="435"/>
      <c r="P357" s="435"/>
      <c r="Q357" s="435"/>
      <c r="R357" s="435"/>
      <c r="S357" s="435"/>
      <c r="T357" s="435"/>
      <c r="U357" s="435"/>
      <c r="V357" s="435"/>
      <c r="W357" s="463"/>
      <c r="X357" s="435"/>
      <c r="Y357" s="435"/>
      <c r="Z357" s="435"/>
      <c r="AA357" s="435"/>
      <c r="AB357" s="435"/>
      <c r="AC357" s="408"/>
      <c r="AD357" s="4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</row>
    <row r="358" spans="1:46" ht="15.75" customHeight="1">
      <c r="A358" s="110"/>
      <c r="B358" s="110"/>
      <c r="C358" s="110"/>
      <c r="D358" s="118"/>
      <c r="E358" s="118"/>
      <c r="F358" s="118"/>
      <c r="G358" s="408"/>
      <c r="H358" s="408"/>
      <c r="I358" s="408"/>
      <c r="J358" s="408"/>
      <c r="K358" s="408"/>
      <c r="L358" s="408"/>
      <c r="M358" s="118"/>
      <c r="N358" s="435"/>
      <c r="O358" s="435"/>
      <c r="P358" s="435"/>
      <c r="Q358" s="435"/>
      <c r="R358" s="435"/>
      <c r="S358" s="435"/>
      <c r="T358" s="435"/>
      <c r="U358" s="435"/>
      <c r="V358" s="435"/>
      <c r="W358" s="463"/>
      <c r="X358" s="435"/>
      <c r="Y358" s="435"/>
      <c r="Z358" s="435"/>
      <c r="AA358" s="435"/>
      <c r="AB358" s="435"/>
      <c r="AC358" s="408"/>
      <c r="AD358" s="4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</row>
    <row r="359" spans="1:46" ht="15.75" customHeight="1">
      <c r="A359" s="110"/>
      <c r="B359" s="110"/>
      <c r="C359" s="110"/>
      <c r="D359" s="118"/>
      <c r="E359" s="118"/>
      <c r="F359" s="118"/>
      <c r="G359" s="408"/>
      <c r="H359" s="408"/>
      <c r="I359" s="408"/>
      <c r="J359" s="408"/>
      <c r="K359" s="408"/>
      <c r="L359" s="408"/>
      <c r="M359" s="118"/>
      <c r="N359" s="435"/>
      <c r="O359" s="435"/>
      <c r="P359" s="435"/>
      <c r="Q359" s="435"/>
      <c r="R359" s="435"/>
      <c r="S359" s="435"/>
      <c r="T359" s="435"/>
      <c r="U359" s="435"/>
      <c r="V359" s="435"/>
      <c r="W359" s="463"/>
      <c r="X359" s="435"/>
      <c r="Y359" s="435"/>
      <c r="Z359" s="435"/>
      <c r="AA359" s="435"/>
      <c r="AB359" s="435"/>
      <c r="AC359" s="408"/>
      <c r="AD359" s="4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</row>
    <row r="360" spans="1:46" ht="15.75" customHeight="1">
      <c r="A360" s="110"/>
      <c r="B360" s="110"/>
      <c r="C360" s="110"/>
      <c r="D360" s="118"/>
      <c r="E360" s="118"/>
      <c r="F360" s="118"/>
      <c r="G360" s="408"/>
      <c r="H360" s="408"/>
      <c r="I360" s="408"/>
      <c r="J360" s="408"/>
      <c r="K360" s="408"/>
      <c r="L360" s="408"/>
      <c r="M360" s="118"/>
      <c r="N360" s="435"/>
      <c r="O360" s="435"/>
      <c r="P360" s="435"/>
      <c r="Q360" s="435"/>
      <c r="R360" s="435"/>
      <c r="S360" s="435"/>
      <c r="T360" s="435"/>
      <c r="U360" s="435"/>
      <c r="V360" s="435"/>
      <c r="W360" s="463"/>
      <c r="X360" s="435"/>
      <c r="Y360" s="435"/>
      <c r="Z360" s="435"/>
      <c r="AA360" s="435"/>
      <c r="AB360" s="435"/>
      <c r="AC360" s="408"/>
      <c r="AD360" s="4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</row>
    <row r="361" spans="1:46" ht="15.75" customHeight="1">
      <c r="A361" s="110"/>
      <c r="B361" s="110"/>
      <c r="C361" s="110"/>
      <c r="D361" s="118"/>
      <c r="E361" s="118"/>
      <c r="F361" s="118"/>
      <c r="G361" s="408"/>
      <c r="H361" s="408"/>
      <c r="I361" s="408"/>
      <c r="J361" s="408"/>
      <c r="K361" s="408"/>
      <c r="L361" s="408"/>
      <c r="M361" s="118"/>
      <c r="N361" s="435"/>
      <c r="O361" s="435"/>
      <c r="P361" s="435"/>
      <c r="Q361" s="435"/>
      <c r="R361" s="435"/>
      <c r="S361" s="435"/>
      <c r="T361" s="435"/>
      <c r="U361" s="435"/>
      <c r="V361" s="435"/>
      <c r="W361" s="463"/>
      <c r="X361" s="435"/>
      <c r="Y361" s="435"/>
      <c r="Z361" s="435"/>
      <c r="AA361" s="435"/>
      <c r="AB361" s="435"/>
      <c r="AC361" s="408"/>
      <c r="AD361" s="4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</row>
    <row r="362" spans="1:46" ht="15.75" customHeight="1">
      <c r="A362" s="110"/>
      <c r="B362" s="110"/>
      <c r="C362" s="110"/>
      <c r="D362" s="118"/>
      <c r="E362" s="118"/>
      <c r="F362" s="118"/>
      <c r="G362" s="408"/>
      <c r="H362" s="408"/>
      <c r="I362" s="408"/>
      <c r="J362" s="408"/>
      <c r="K362" s="408"/>
      <c r="L362" s="408"/>
      <c r="M362" s="118"/>
      <c r="N362" s="435"/>
      <c r="O362" s="435"/>
      <c r="P362" s="435"/>
      <c r="Q362" s="435"/>
      <c r="R362" s="435"/>
      <c r="S362" s="435"/>
      <c r="T362" s="435"/>
      <c r="U362" s="435"/>
      <c r="V362" s="435"/>
      <c r="W362" s="463"/>
      <c r="X362" s="435"/>
      <c r="Y362" s="435"/>
      <c r="Z362" s="435"/>
      <c r="AA362" s="435"/>
      <c r="AB362" s="435"/>
      <c r="AC362" s="408"/>
      <c r="AD362" s="4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</row>
    <row r="363" spans="1:46" ht="15.75" customHeight="1">
      <c r="A363" s="110"/>
      <c r="B363" s="110"/>
      <c r="C363" s="110"/>
      <c r="D363" s="118"/>
      <c r="E363" s="118"/>
      <c r="F363" s="118"/>
      <c r="G363" s="408"/>
      <c r="H363" s="408"/>
      <c r="I363" s="408"/>
      <c r="J363" s="408"/>
      <c r="K363" s="408"/>
      <c r="L363" s="408"/>
      <c r="M363" s="118"/>
      <c r="N363" s="435"/>
      <c r="O363" s="435"/>
      <c r="P363" s="435"/>
      <c r="Q363" s="435"/>
      <c r="R363" s="435"/>
      <c r="S363" s="435"/>
      <c r="T363" s="435"/>
      <c r="U363" s="435"/>
      <c r="V363" s="435"/>
      <c r="W363" s="463"/>
      <c r="X363" s="435"/>
      <c r="Y363" s="435"/>
      <c r="Z363" s="435"/>
      <c r="AA363" s="435"/>
      <c r="AB363" s="435"/>
      <c r="AC363" s="408"/>
      <c r="AD363" s="4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</row>
    <row r="364" spans="1:46" ht="15.75" customHeight="1">
      <c r="A364" s="110"/>
      <c r="B364" s="110"/>
      <c r="C364" s="110"/>
      <c r="D364" s="118"/>
      <c r="E364" s="118"/>
      <c r="F364" s="118"/>
      <c r="G364" s="408"/>
      <c r="H364" s="408"/>
      <c r="I364" s="408"/>
      <c r="J364" s="408"/>
      <c r="K364" s="408"/>
      <c r="L364" s="408"/>
      <c r="M364" s="118"/>
      <c r="N364" s="435"/>
      <c r="O364" s="435"/>
      <c r="P364" s="435"/>
      <c r="Q364" s="435"/>
      <c r="R364" s="435"/>
      <c r="S364" s="435"/>
      <c r="T364" s="435"/>
      <c r="U364" s="435"/>
      <c r="V364" s="435"/>
      <c r="W364" s="463"/>
      <c r="X364" s="435"/>
      <c r="Y364" s="435"/>
      <c r="Z364" s="435"/>
      <c r="AA364" s="435"/>
      <c r="AB364" s="435"/>
      <c r="AC364" s="408"/>
      <c r="AD364" s="4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</row>
    <row r="365" spans="1:46" ht="15.75" customHeight="1">
      <c r="A365" s="110"/>
      <c r="B365" s="110"/>
      <c r="C365" s="110"/>
      <c r="D365" s="118"/>
      <c r="E365" s="118"/>
      <c r="F365" s="118"/>
      <c r="G365" s="408"/>
      <c r="H365" s="408"/>
      <c r="I365" s="408"/>
      <c r="J365" s="408"/>
      <c r="K365" s="408"/>
      <c r="L365" s="408"/>
      <c r="M365" s="118"/>
      <c r="N365" s="435"/>
      <c r="O365" s="435"/>
      <c r="P365" s="435"/>
      <c r="Q365" s="435"/>
      <c r="R365" s="435"/>
      <c r="S365" s="435"/>
      <c r="T365" s="435"/>
      <c r="U365" s="435"/>
      <c r="V365" s="435"/>
      <c r="W365" s="463"/>
      <c r="X365" s="435"/>
      <c r="Y365" s="435"/>
      <c r="Z365" s="435"/>
      <c r="AA365" s="435"/>
      <c r="AB365" s="435"/>
      <c r="AC365" s="408"/>
      <c r="AD365" s="4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</row>
    <row r="366" spans="1:46" ht="15.75" customHeight="1">
      <c r="A366" s="110"/>
      <c r="B366" s="110"/>
      <c r="C366" s="110"/>
      <c r="D366" s="118"/>
      <c r="E366" s="118"/>
      <c r="F366" s="118"/>
      <c r="G366" s="408"/>
      <c r="H366" s="408"/>
      <c r="I366" s="408"/>
      <c r="J366" s="408"/>
      <c r="K366" s="408"/>
      <c r="L366" s="408"/>
      <c r="M366" s="118"/>
      <c r="N366" s="435"/>
      <c r="O366" s="435"/>
      <c r="P366" s="435"/>
      <c r="Q366" s="435"/>
      <c r="R366" s="435"/>
      <c r="S366" s="435"/>
      <c r="T366" s="435"/>
      <c r="U366" s="435"/>
      <c r="V366" s="435"/>
      <c r="W366" s="463"/>
      <c r="X366" s="435"/>
      <c r="Y366" s="435"/>
      <c r="Z366" s="435"/>
      <c r="AA366" s="435"/>
      <c r="AB366" s="435"/>
      <c r="AC366" s="408"/>
      <c r="AD366" s="4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</row>
    <row r="367" spans="1:46" ht="15.75" customHeight="1">
      <c r="A367" s="110"/>
      <c r="B367" s="110"/>
      <c r="C367" s="110"/>
      <c r="D367" s="118"/>
      <c r="E367" s="118"/>
      <c r="F367" s="118"/>
      <c r="G367" s="408"/>
      <c r="H367" s="408"/>
      <c r="I367" s="408"/>
      <c r="J367" s="408"/>
      <c r="K367" s="408"/>
      <c r="L367" s="408"/>
      <c r="M367" s="118"/>
      <c r="N367" s="435"/>
      <c r="O367" s="435"/>
      <c r="P367" s="435"/>
      <c r="Q367" s="435"/>
      <c r="R367" s="435"/>
      <c r="S367" s="435"/>
      <c r="T367" s="435"/>
      <c r="U367" s="435"/>
      <c r="V367" s="435"/>
      <c r="W367" s="463"/>
      <c r="X367" s="435"/>
      <c r="Y367" s="435"/>
      <c r="Z367" s="435"/>
      <c r="AA367" s="435"/>
      <c r="AB367" s="435"/>
      <c r="AC367" s="408"/>
      <c r="AD367" s="4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</row>
    <row r="368" spans="1:46" ht="15.75" customHeight="1">
      <c r="A368" s="110"/>
      <c r="B368" s="110"/>
      <c r="C368" s="110"/>
      <c r="D368" s="118"/>
      <c r="E368" s="118"/>
      <c r="F368" s="118"/>
      <c r="G368" s="408"/>
      <c r="H368" s="408"/>
      <c r="I368" s="408"/>
      <c r="J368" s="408"/>
      <c r="K368" s="408"/>
      <c r="L368" s="408"/>
      <c r="M368" s="118"/>
      <c r="N368" s="435"/>
      <c r="O368" s="435"/>
      <c r="P368" s="435"/>
      <c r="Q368" s="435"/>
      <c r="R368" s="435"/>
      <c r="S368" s="435"/>
      <c r="T368" s="435"/>
      <c r="U368" s="435"/>
      <c r="V368" s="435"/>
      <c r="W368" s="463"/>
      <c r="X368" s="435"/>
      <c r="Y368" s="435"/>
      <c r="Z368" s="435"/>
      <c r="AA368" s="435"/>
      <c r="AB368" s="435"/>
      <c r="AC368" s="408"/>
      <c r="AD368" s="4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</row>
    <row r="369" spans="1:46" ht="15.75" customHeight="1">
      <c r="A369" s="110"/>
      <c r="B369" s="110"/>
      <c r="C369" s="110"/>
      <c r="D369" s="118"/>
      <c r="E369" s="118"/>
      <c r="F369" s="118"/>
      <c r="G369" s="408"/>
      <c r="H369" s="408"/>
      <c r="I369" s="408"/>
      <c r="J369" s="408"/>
      <c r="K369" s="408"/>
      <c r="L369" s="408"/>
      <c r="M369" s="118"/>
      <c r="N369" s="435"/>
      <c r="O369" s="435"/>
      <c r="P369" s="435"/>
      <c r="Q369" s="435"/>
      <c r="R369" s="435"/>
      <c r="S369" s="435"/>
      <c r="T369" s="435"/>
      <c r="U369" s="435"/>
      <c r="V369" s="435"/>
      <c r="W369" s="463"/>
      <c r="X369" s="435"/>
      <c r="Y369" s="435"/>
      <c r="Z369" s="435"/>
      <c r="AA369" s="435"/>
      <c r="AB369" s="435"/>
      <c r="AC369" s="408"/>
      <c r="AD369" s="4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</row>
    <row r="370" spans="1:46" ht="15.75" customHeight="1">
      <c r="A370" s="110"/>
      <c r="B370" s="110"/>
      <c r="C370" s="110"/>
      <c r="D370" s="118"/>
      <c r="E370" s="118"/>
      <c r="F370" s="118"/>
      <c r="G370" s="408"/>
      <c r="H370" s="408"/>
      <c r="I370" s="408"/>
      <c r="J370" s="408"/>
      <c r="K370" s="408"/>
      <c r="L370" s="408"/>
      <c r="M370" s="118"/>
      <c r="N370" s="435"/>
      <c r="O370" s="435"/>
      <c r="P370" s="435"/>
      <c r="Q370" s="435"/>
      <c r="R370" s="435"/>
      <c r="S370" s="435"/>
      <c r="T370" s="435"/>
      <c r="U370" s="435"/>
      <c r="V370" s="435"/>
      <c r="W370" s="463"/>
      <c r="X370" s="435"/>
      <c r="Y370" s="435"/>
      <c r="Z370" s="435"/>
      <c r="AA370" s="435"/>
      <c r="AB370" s="435"/>
      <c r="AC370" s="408"/>
      <c r="AD370" s="4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</row>
    <row r="371" spans="1:46" ht="15.75" customHeight="1">
      <c r="A371" s="110"/>
      <c r="B371" s="110"/>
      <c r="C371" s="110"/>
      <c r="D371" s="118"/>
      <c r="E371" s="118"/>
      <c r="F371" s="118"/>
      <c r="G371" s="408"/>
      <c r="H371" s="408"/>
      <c r="I371" s="408"/>
      <c r="J371" s="408"/>
      <c r="K371" s="408"/>
      <c r="L371" s="408"/>
      <c r="M371" s="118"/>
      <c r="N371" s="435"/>
      <c r="O371" s="435"/>
      <c r="P371" s="435"/>
      <c r="Q371" s="435"/>
      <c r="R371" s="435"/>
      <c r="S371" s="435"/>
      <c r="T371" s="435"/>
      <c r="U371" s="435"/>
      <c r="V371" s="435"/>
      <c r="W371" s="463"/>
      <c r="X371" s="435"/>
      <c r="Y371" s="435"/>
      <c r="Z371" s="435"/>
      <c r="AA371" s="435"/>
      <c r="AB371" s="435"/>
      <c r="AC371" s="408"/>
      <c r="AD371" s="4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</row>
    <row r="372" spans="1:46" ht="15.75" customHeight="1">
      <c r="A372" s="110"/>
      <c r="B372" s="110"/>
      <c r="C372" s="110"/>
      <c r="D372" s="118"/>
      <c r="E372" s="118"/>
      <c r="F372" s="118"/>
      <c r="G372" s="408"/>
      <c r="H372" s="408"/>
      <c r="I372" s="408"/>
      <c r="J372" s="408"/>
      <c r="K372" s="408"/>
      <c r="L372" s="408"/>
      <c r="M372" s="118"/>
      <c r="N372" s="435"/>
      <c r="O372" s="435"/>
      <c r="P372" s="435"/>
      <c r="Q372" s="435"/>
      <c r="R372" s="435"/>
      <c r="S372" s="435"/>
      <c r="T372" s="435"/>
      <c r="U372" s="435"/>
      <c r="V372" s="435"/>
      <c r="W372" s="463"/>
      <c r="X372" s="435"/>
      <c r="Y372" s="435"/>
      <c r="Z372" s="435"/>
      <c r="AA372" s="435"/>
      <c r="AB372" s="435"/>
      <c r="AC372" s="408"/>
      <c r="AD372" s="4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</row>
    <row r="373" spans="1:46" ht="15.75" customHeight="1">
      <c r="A373" s="110"/>
      <c r="B373" s="110"/>
      <c r="C373" s="110"/>
      <c r="D373" s="118"/>
      <c r="E373" s="118"/>
      <c r="F373" s="118"/>
      <c r="G373" s="408"/>
      <c r="H373" s="408"/>
      <c r="I373" s="408"/>
      <c r="J373" s="408"/>
      <c r="K373" s="408"/>
      <c r="L373" s="408"/>
      <c r="M373" s="118"/>
      <c r="N373" s="435"/>
      <c r="O373" s="435"/>
      <c r="P373" s="435"/>
      <c r="Q373" s="435"/>
      <c r="R373" s="435"/>
      <c r="S373" s="435"/>
      <c r="T373" s="435"/>
      <c r="U373" s="435"/>
      <c r="V373" s="435"/>
      <c r="W373" s="463"/>
      <c r="X373" s="435"/>
      <c r="Y373" s="435"/>
      <c r="Z373" s="435"/>
      <c r="AA373" s="435"/>
      <c r="AB373" s="435"/>
      <c r="AC373" s="408"/>
      <c r="AD373" s="4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</row>
    <row r="374" spans="1:46" ht="15.75" customHeight="1">
      <c r="A374" s="110"/>
      <c r="B374" s="110"/>
      <c r="C374" s="110"/>
      <c r="D374" s="118"/>
      <c r="E374" s="118"/>
      <c r="F374" s="118"/>
      <c r="G374" s="408"/>
      <c r="H374" s="408"/>
      <c r="I374" s="408"/>
      <c r="J374" s="408"/>
      <c r="K374" s="408"/>
      <c r="L374" s="408"/>
      <c r="M374" s="118"/>
      <c r="N374" s="435"/>
      <c r="O374" s="435"/>
      <c r="P374" s="435"/>
      <c r="Q374" s="435"/>
      <c r="R374" s="435"/>
      <c r="S374" s="435"/>
      <c r="T374" s="435"/>
      <c r="U374" s="435"/>
      <c r="V374" s="435"/>
      <c r="W374" s="463"/>
      <c r="X374" s="435"/>
      <c r="Y374" s="435"/>
      <c r="Z374" s="435"/>
      <c r="AA374" s="435"/>
      <c r="AB374" s="435"/>
      <c r="AC374" s="408"/>
      <c r="AD374" s="4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</row>
    <row r="375" spans="1:46" ht="15.75" customHeight="1">
      <c r="A375" s="110"/>
      <c r="B375" s="110"/>
      <c r="C375" s="110"/>
      <c r="D375" s="118"/>
      <c r="E375" s="118"/>
      <c r="F375" s="118"/>
      <c r="G375" s="408"/>
      <c r="H375" s="408"/>
      <c r="I375" s="408"/>
      <c r="J375" s="408"/>
      <c r="K375" s="408"/>
      <c r="L375" s="408"/>
      <c r="M375" s="118"/>
      <c r="N375" s="435"/>
      <c r="O375" s="435"/>
      <c r="P375" s="435"/>
      <c r="Q375" s="435"/>
      <c r="R375" s="435"/>
      <c r="S375" s="435"/>
      <c r="T375" s="435"/>
      <c r="U375" s="435"/>
      <c r="V375" s="435"/>
      <c r="W375" s="463"/>
      <c r="X375" s="435"/>
      <c r="Y375" s="435"/>
      <c r="Z375" s="435"/>
      <c r="AA375" s="435"/>
      <c r="AB375" s="435"/>
      <c r="AC375" s="408"/>
      <c r="AD375" s="4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</row>
    <row r="376" spans="1:46" ht="15.75" customHeight="1">
      <c r="A376" s="110"/>
      <c r="B376" s="110"/>
      <c r="C376" s="110"/>
      <c r="D376" s="118"/>
      <c r="E376" s="118"/>
      <c r="F376" s="118"/>
      <c r="G376" s="408"/>
      <c r="H376" s="408"/>
      <c r="I376" s="408"/>
      <c r="J376" s="408"/>
      <c r="K376" s="408"/>
      <c r="L376" s="408"/>
      <c r="M376" s="118"/>
      <c r="N376" s="435"/>
      <c r="O376" s="435"/>
      <c r="P376" s="435"/>
      <c r="Q376" s="435"/>
      <c r="R376" s="435"/>
      <c r="S376" s="435"/>
      <c r="T376" s="435"/>
      <c r="U376" s="435"/>
      <c r="V376" s="435"/>
      <c r="W376" s="463"/>
      <c r="X376" s="435"/>
      <c r="Y376" s="435"/>
      <c r="Z376" s="435"/>
      <c r="AA376" s="435"/>
      <c r="AB376" s="435"/>
      <c r="AC376" s="408"/>
      <c r="AD376" s="4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</row>
    <row r="377" spans="1:46" ht="15.75" customHeight="1">
      <c r="A377" s="110"/>
      <c r="B377" s="110"/>
      <c r="C377" s="110"/>
      <c r="D377" s="118"/>
      <c r="E377" s="118"/>
      <c r="F377" s="118"/>
      <c r="G377" s="408"/>
      <c r="H377" s="408"/>
      <c r="I377" s="408"/>
      <c r="J377" s="408"/>
      <c r="K377" s="408"/>
      <c r="L377" s="408"/>
      <c r="M377" s="118"/>
      <c r="N377" s="435"/>
      <c r="O377" s="435"/>
      <c r="P377" s="435"/>
      <c r="Q377" s="435"/>
      <c r="R377" s="435"/>
      <c r="S377" s="435"/>
      <c r="T377" s="435"/>
      <c r="U377" s="435"/>
      <c r="V377" s="435"/>
      <c r="W377" s="463"/>
      <c r="X377" s="435"/>
      <c r="Y377" s="435"/>
      <c r="Z377" s="435"/>
      <c r="AA377" s="435"/>
      <c r="AB377" s="435"/>
      <c r="AC377" s="408"/>
      <c r="AD377" s="4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</row>
    <row r="378" spans="1:46" ht="15.75" customHeight="1">
      <c r="A378" s="110"/>
      <c r="B378" s="110"/>
      <c r="C378" s="110"/>
      <c r="D378" s="118"/>
      <c r="E378" s="118"/>
      <c r="F378" s="118"/>
      <c r="G378" s="408"/>
      <c r="H378" s="408"/>
      <c r="I378" s="408"/>
      <c r="J378" s="408"/>
      <c r="K378" s="408"/>
      <c r="L378" s="408"/>
      <c r="M378" s="118"/>
      <c r="N378" s="435"/>
      <c r="O378" s="435"/>
      <c r="P378" s="435"/>
      <c r="Q378" s="435"/>
      <c r="R378" s="435"/>
      <c r="S378" s="435"/>
      <c r="T378" s="435"/>
      <c r="U378" s="435"/>
      <c r="V378" s="435"/>
      <c r="W378" s="463"/>
      <c r="X378" s="435"/>
      <c r="Y378" s="435"/>
      <c r="Z378" s="435"/>
      <c r="AA378" s="435"/>
      <c r="AB378" s="435"/>
      <c r="AC378" s="408"/>
      <c r="AD378" s="4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</row>
    <row r="379" spans="1:46" ht="15.75" customHeight="1">
      <c r="A379" s="110"/>
      <c r="B379" s="110"/>
      <c r="C379" s="110"/>
      <c r="D379" s="118"/>
      <c r="E379" s="118"/>
      <c r="F379" s="118"/>
      <c r="G379" s="408"/>
      <c r="H379" s="408"/>
      <c r="I379" s="408"/>
      <c r="J379" s="408"/>
      <c r="K379" s="408"/>
      <c r="L379" s="408"/>
      <c r="M379" s="118"/>
      <c r="N379" s="435"/>
      <c r="O379" s="435"/>
      <c r="P379" s="435"/>
      <c r="Q379" s="435"/>
      <c r="R379" s="435"/>
      <c r="S379" s="435"/>
      <c r="T379" s="435"/>
      <c r="U379" s="435"/>
      <c r="V379" s="435"/>
      <c r="W379" s="463"/>
      <c r="X379" s="435"/>
      <c r="Y379" s="435"/>
      <c r="Z379" s="435"/>
      <c r="AA379" s="435"/>
      <c r="AB379" s="435"/>
      <c r="AC379" s="408"/>
      <c r="AD379" s="4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</row>
    <row r="380" spans="1:46" ht="15.75" customHeight="1">
      <c r="A380" s="110"/>
      <c r="B380" s="110"/>
      <c r="C380" s="110"/>
      <c r="D380" s="118"/>
      <c r="E380" s="118"/>
      <c r="F380" s="118"/>
      <c r="G380" s="408"/>
      <c r="H380" s="408"/>
      <c r="I380" s="408"/>
      <c r="J380" s="408"/>
      <c r="K380" s="408"/>
      <c r="L380" s="408"/>
      <c r="M380" s="118"/>
      <c r="N380" s="435"/>
      <c r="O380" s="435"/>
      <c r="P380" s="435"/>
      <c r="Q380" s="435"/>
      <c r="R380" s="435"/>
      <c r="S380" s="435"/>
      <c r="T380" s="435"/>
      <c r="U380" s="435"/>
      <c r="V380" s="435"/>
      <c r="W380" s="463"/>
      <c r="X380" s="435"/>
      <c r="Y380" s="435"/>
      <c r="Z380" s="435"/>
      <c r="AA380" s="435"/>
      <c r="AB380" s="435"/>
      <c r="AC380" s="408"/>
      <c r="AD380" s="4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</row>
    <row r="381" spans="1:46" ht="15.75" customHeight="1">
      <c r="A381" s="110"/>
      <c r="B381" s="110"/>
      <c r="C381" s="110"/>
      <c r="D381" s="118"/>
      <c r="E381" s="118"/>
      <c r="F381" s="118"/>
      <c r="G381" s="408"/>
      <c r="H381" s="408"/>
      <c r="I381" s="408"/>
      <c r="J381" s="408"/>
      <c r="K381" s="408"/>
      <c r="L381" s="408"/>
      <c r="M381" s="118"/>
      <c r="N381" s="435"/>
      <c r="O381" s="435"/>
      <c r="P381" s="435"/>
      <c r="Q381" s="435"/>
      <c r="R381" s="435"/>
      <c r="S381" s="435"/>
      <c r="T381" s="435"/>
      <c r="U381" s="435"/>
      <c r="V381" s="435"/>
      <c r="W381" s="463"/>
      <c r="X381" s="435"/>
      <c r="Y381" s="435"/>
      <c r="Z381" s="435"/>
      <c r="AA381" s="435"/>
      <c r="AB381" s="435"/>
      <c r="AC381" s="408"/>
      <c r="AD381" s="4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</row>
    <row r="382" spans="1:46" ht="15.75" customHeight="1">
      <c r="A382" s="110"/>
      <c r="B382" s="110"/>
      <c r="C382" s="110"/>
      <c r="D382" s="118"/>
      <c r="E382" s="118"/>
      <c r="F382" s="118"/>
      <c r="G382" s="408"/>
      <c r="H382" s="408"/>
      <c r="I382" s="408"/>
      <c r="J382" s="408"/>
      <c r="K382" s="408"/>
      <c r="L382" s="408"/>
      <c r="M382" s="118"/>
      <c r="N382" s="435"/>
      <c r="O382" s="435"/>
      <c r="P382" s="435"/>
      <c r="Q382" s="435"/>
      <c r="R382" s="435"/>
      <c r="S382" s="435"/>
      <c r="T382" s="435"/>
      <c r="U382" s="435"/>
      <c r="V382" s="435"/>
      <c r="W382" s="463"/>
      <c r="X382" s="435"/>
      <c r="Y382" s="435"/>
      <c r="Z382" s="435"/>
      <c r="AA382" s="435"/>
      <c r="AB382" s="435"/>
      <c r="AC382" s="408"/>
      <c r="AD382" s="4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</row>
    <row r="383" spans="1:46" ht="15.75" customHeight="1">
      <c r="A383" s="110"/>
      <c r="B383" s="110"/>
      <c r="C383" s="110"/>
      <c r="D383" s="118"/>
      <c r="E383" s="118"/>
      <c r="F383" s="118"/>
      <c r="G383" s="408"/>
      <c r="H383" s="408"/>
      <c r="I383" s="408"/>
      <c r="J383" s="408"/>
      <c r="K383" s="408"/>
      <c r="L383" s="408"/>
      <c r="M383" s="118"/>
      <c r="N383" s="435"/>
      <c r="O383" s="435"/>
      <c r="P383" s="435"/>
      <c r="Q383" s="435"/>
      <c r="R383" s="435"/>
      <c r="S383" s="435"/>
      <c r="T383" s="435"/>
      <c r="U383" s="435"/>
      <c r="V383" s="435"/>
      <c r="W383" s="463"/>
      <c r="X383" s="435"/>
      <c r="Y383" s="435"/>
      <c r="Z383" s="435"/>
      <c r="AA383" s="435"/>
      <c r="AB383" s="435"/>
      <c r="AC383" s="408"/>
      <c r="AD383" s="4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</row>
    <row r="384" spans="1:46" ht="15.75" customHeight="1">
      <c r="A384" s="110"/>
      <c r="B384" s="110"/>
      <c r="C384" s="110"/>
      <c r="D384" s="118"/>
      <c r="E384" s="118"/>
      <c r="F384" s="118"/>
      <c r="G384" s="408"/>
      <c r="H384" s="408"/>
      <c r="I384" s="408"/>
      <c r="J384" s="408"/>
      <c r="K384" s="408"/>
      <c r="L384" s="408"/>
      <c r="M384" s="118"/>
      <c r="N384" s="435"/>
      <c r="O384" s="435"/>
      <c r="P384" s="435"/>
      <c r="Q384" s="435"/>
      <c r="R384" s="435"/>
      <c r="S384" s="435"/>
      <c r="T384" s="435"/>
      <c r="U384" s="435"/>
      <c r="V384" s="435"/>
      <c r="W384" s="463"/>
      <c r="X384" s="435"/>
      <c r="Y384" s="435"/>
      <c r="Z384" s="435"/>
      <c r="AA384" s="435"/>
      <c r="AB384" s="435"/>
      <c r="AC384" s="408"/>
      <c r="AD384" s="4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</row>
    <row r="385" spans="1:46" ht="15.75" customHeight="1">
      <c r="A385" s="110"/>
      <c r="B385" s="110"/>
      <c r="C385" s="110"/>
      <c r="D385" s="118"/>
      <c r="E385" s="118"/>
      <c r="F385" s="118"/>
      <c r="G385" s="408"/>
      <c r="H385" s="408"/>
      <c r="I385" s="408"/>
      <c r="J385" s="408"/>
      <c r="K385" s="408"/>
      <c r="L385" s="408"/>
      <c r="M385" s="118"/>
      <c r="N385" s="435"/>
      <c r="O385" s="435"/>
      <c r="P385" s="435"/>
      <c r="Q385" s="435"/>
      <c r="R385" s="435"/>
      <c r="S385" s="435"/>
      <c r="T385" s="435"/>
      <c r="U385" s="435"/>
      <c r="V385" s="435"/>
      <c r="W385" s="463"/>
      <c r="X385" s="435"/>
      <c r="Y385" s="435"/>
      <c r="Z385" s="435"/>
      <c r="AA385" s="435"/>
      <c r="AB385" s="435"/>
      <c r="AC385" s="408"/>
      <c r="AD385" s="4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</row>
    <row r="386" spans="1:46" ht="15.75" customHeight="1">
      <c r="A386" s="110"/>
      <c r="B386" s="110"/>
      <c r="C386" s="110"/>
      <c r="D386" s="118"/>
      <c r="E386" s="118"/>
      <c r="F386" s="118"/>
      <c r="G386" s="408"/>
      <c r="H386" s="408"/>
      <c r="I386" s="408"/>
      <c r="J386" s="408"/>
      <c r="K386" s="408"/>
      <c r="L386" s="408"/>
      <c r="M386" s="118"/>
      <c r="N386" s="435"/>
      <c r="O386" s="435"/>
      <c r="P386" s="435"/>
      <c r="Q386" s="435"/>
      <c r="R386" s="435"/>
      <c r="S386" s="435"/>
      <c r="T386" s="435"/>
      <c r="U386" s="435"/>
      <c r="V386" s="435"/>
      <c r="W386" s="463"/>
      <c r="X386" s="435"/>
      <c r="Y386" s="435"/>
      <c r="Z386" s="435"/>
      <c r="AA386" s="435"/>
      <c r="AB386" s="435"/>
      <c r="AC386" s="408"/>
      <c r="AD386" s="4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</row>
    <row r="387" spans="1:46" ht="15.75" customHeight="1">
      <c r="A387" s="110"/>
      <c r="B387" s="110"/>
      <c r="C387" s="110"/>
      <c r="D387" s="118"/>
      <c r="E387" s="118"/>
      <c r="F387" s="118"/>
      <c r="G387" s="408"/>
      <c r="H387" s="408"/>
      <c r="I387" s="408"/>
      <c r="J387" s="408"/>
      <c r="K387" s="408"/>
      <c r="L387" s="408"/>
      <c r="M387" s="118"/>
      <c r="N387" s="435"/>
      <c r="O387" s="435"/>
      <c r="P387" s="435"/>
      <c r="Q387" s="435"/>
      <c r="R387" s="435"/>
      <c r="S387" s="435"/>
      <c r="T387" s="435"/>
      <c r="U387" s="435"/>
      <c r="V387" s="435"/>
      <c r="W387" s="463"/>
      <c r="X387" s="435"/>
      <c r="Y387" s="435"/>
      <c r="Z387" s="435"/>
      <c r="AA387" s="435"/>
      <c r="AB387" s="435"/>
      <c r="AC387" s="408"/>
      <c r="AD387" s="4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</row>
    <row r="388" spans="1:46" ht="15.75" customHeight="1">
      <c r="A388" s="110"/>
      <c r="B388" s="110"/>
      <c r="C388" s="110"/>
      <c r="D388" s="118"/>
      <c r="E388" s="118"/>
      <c r="F388" s="118"/>
      <c r="G388" s="408"/>
      <c r="H388" s="408"/>
      <c r="I388" s="408"/>
      <c r="J388" s="408"/>
      <c r="K388" s="408"/>
      <c r="L388" s="408"/>
      <c r="M388" s="118"/>
      <c r="N388" s="435"/>
      <c r="O388" s="435"/>
      <c r="P388" s="435"/>
      <c r="Q388" s="435"/>
      <c r="R388" s="435"/>
      <c r="S388" s="435"/>
      <c r="T388" s="435"/>
      <c r="U388" s="435"/>
      <c r="V388" s="435"/>
      <c r="W388" s="463"/>
      <c r="X388" s="435"/>
      <c r="Y388" s="435"/>
      <c r="Z388" s="435"/>
      <c r="AA388" s="435"/>
      <c r="AB388" s="435"/>
      <c r="AC388" s="408"/>
      <c r="AD388" s="4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</row>
    <row r="389" spans="1:46" ht="15.75" customHeight="1">
      <c r="A389" s="110"/>
      <c r="B389" s="110"/>
      <c r="C389" s="110"/>
      <c r="D389" s="118"/>
      <c r="E389" s="118"/>
      <c r="F389" s="118"/>
      <c r="G389" s="408"/>
      <c r="H389" s="408"/>
      <c r="I389" s="408"/>
      <c r="J389" s="408"/>
      <c r="K389" s="408"/>
      <c r="L389" s="408"/>
      <c r="M389" s="118"/>
      <c r="N389" s="435"/>
      <c r="O389" s="435"/>
      <c r="P389" s="435"/>
      <c r="Q389" s="435"/>
      <c r="R389" s="435"/>
      <c r="S389" s="435"/>
      <c r="T389" s="435"/>
      <c r="U389" s="435"/>
      <c r="V389" s="435"/>
      <c r="W389" s="463"/>
      <c r="X389" s="435"/>
      <c r="Y389" s="435"/>
      <c r="Z389" s="435"/>
      <c r="AA389" s="435"/>
      <c r="AB389" s="435"/>
      <c r="AC389" s="408"/>
      <c r="AD389" s="4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</row>
    <row r="390" spans="1:46" ht="15.75" customHeight="1">
      <c r="A390" s="110"/>
      <c r="B390" s="110"/>
      <c r="C390" s="110"/>
      <c r="D390" s="118"/>
      <c r="E390" s="118"/>
      <c r="F390" s="118"/>
      <c r="G390" s="408"/>
      <c r="H390" s="408"/>
      <c r="I390" s="408"/>
      <c r="J390" s="408"/>
      <c r="K390" s="408"/>
      <c r="L390" s="408"/>
      <c r="M390" s="118"/>
      <c r="N390" s="435"/>
      <c r="O390" s="435"/>
      <c r="P390" s="435"/>
      <c r="Q390" s="435"/>
      <c r="R390" s="435"/>
      <c r="S390" s="435"/>
      <c r="T390" s="435"/>
      <c r="U390" s="435"/>
      <c r="V390" s="435"/>
      <c r="W390" s="463"/>
      <c r="X390" s="435"/>
      <c r="Y390" s="435"/>
      <c r="Z390" s="435"/>
      <c r="AA390" s="435"/>
      <c r="AB390" s="435"/>
      <c r="AC390" s="408"/>
      <c r="AD390" s="4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</row>
    <row r="391" spans="1:46" ht="15.75" customHeight="1">
      <c r="A391" s="110"/>
      <c r="B391" s="110"/>
      <c r="C391" s="110"/>
      <c r="D391" s="118"/>
      <c r="E391" s="118"/>
      <c r="F391" s="118"/>
      <c r="G391" s="408"/>
      <c r="H391" s="408"/>
      <c r="I391" s="408"/>
      <c r="J391" s="408"/>
      <c r="K391" s="408"/>
      <c r="L391" s="408"/>
      <c r="M391" s="118"/>
      <c r="N391" s="435"/>
      <c r="O391" s="435"/>
      <c r="P391" s="435"/>
      <c r="Q391" s="435"/>
      <c r="R391" s="435"/>
      <c r="S391" s="435"/>
      <c r="T391" s="435"/>
      <c r="U391" s="435"/>
      <c r="V391" s="435"/>
      <c r="W391" s="463"/>
      <c r="X391" s="435"/>
      <c r="Y391" s="435"/>
      <c r="Z391" s="435"/>
      <c r="AA391" s="435"/>
      <c r="AB391" s="435"/>
      <c r="AC391" s="408"/>
      <c r="AD391" s="4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</row>
    <row r="392" spans="1:46" ht="15.75" customHeight="1">
      <c r="A392" s="110"/>
      <c r="B392" s="110"/>
      <c r="C392" s="110"/>
      <c r="D392" s="118"/>
      <c r="E392" s="118"/>
      <c r="F392" s="118"/>
      <c r="G392" s="408"/>
      <c r="H392" s="408"/>
      <c r="I392" s="408"/>
      <c r="J392" s="408"/>
      <c r="K392" s="408"/>
      <c r="L392" s="408"/>
      <c r="M392" s="118"/>
      <c r="N392" s="435"/>
      <c r="O392" s="435"/>
      <c r="P392" s="435"/>
      <c r="Q392" s="435"/>
      <c r="R392" s="435"/>
      <c r="S392" s="435"/>
      <c r="T392" s="435"/>
      <c r="U392" s="435"/>
      <c r="V392" s="435"/>
      <c r="W392" s="463"/>
      <c r="X392" s="435"/>
      <c r="Y392" s="435"/>
      <c r="Z392" s="435"/>
      <c r="AA392" s="435"/>
      <c r="AB392" s="435"/>
      <c r="AC392" s="408"/>
      <c r="AD392" s="4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</row>
    <row r="393" spans="1:46" ht="15.75" customHeight="1">
      <c r="A393" s="110"/>
      <c r="B393" s="110"/>
      <c r="C393" s="110"/>
      <c r="D393" s="118"/>
      <c r="E393" s="118"/>
      <c r="F393" s="118"/>
      <c r="G393" s="408"/>
      <c r="H393" s="408"/>
      <c r="I393" s="408"/>
      <c r="J393" s="408"/>
      <c r="K393" s="408"/>
      <c r="L393" s="408"/>
      <c r="M393" s="118"/>
      <c r="N393" s="435"/>
      <c r="O393" s="435"/>
      <c r="P393" s="435"/>
      <c r="Q393" s="435"/>
      <c r="R393" s="435"/>
      <c r="S393" s="435"/>
      <c r="T393" s="435"/>
      <c r="U393" s="435"/>
      <c r="V393" s="435"/>
      <c r="W393" s="463"/>
      <c r="X393" s="435"/>
      <c r="Y393" s="435"/>
      <c r="Z393" s="435"/>
      <c r="AA393" s="435"/>
      <c r="AB393" s="435"/>
      <c r="AC393" s="408"/>
      <c r="AD393" s="4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</row>
    <row r="394" spans="1:46" ht="15.75" customHeight="1">
      <c r="A394" s="110"/>
      <c r="B394" s="110"/>
      <c r="C394" s="110"/>
      <c r="D394" s="118"/>
      <c r="E394" s="118"/>
      <c r="F394" s="118"/>
      <c r="G394" s="408"/>
      <c r="H394" s="408"/>
      <c r="I394" s="408"/>
      <c r="J394" s="408"/>
      <c r="K394" s="408"/>
      <c r="L394" s="408"/>
      <c r="M394" s="118"/>
      <c r="N394" s="435"/>
      <c r="O394" s="435"/>
      <c r="P394" s="435"/>
      <c r="Q394" s="435"/>
      <c r="R394" s="435"/>
      <c r="S394" s="435"/>
      <c r="T394" s="435"/>
      <c r="U394" s="435"/>
      <c r="V394" s="435"/>
      <c r="W394" s="463"/>
      <c r="X394" s="435"/>
      <c r="Y394" s="435"/>
      <c r="Z394" s="435"/>
      <c r="AA394" s="435"/>
      <c r="AB394" s="435"/>
      <c r="AC394" s="408"/>
      <c r="AD394" s="4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</row>
    <row r="395" spans="1:46" ht="15.75" customHeight="1">
      <c r="A395" s="110"/>
      <c r="B395" s="110"/>
      <c r="C395" s="110"/>
      <c r="D395" s="118"/>
      <c r="E395" s="118"/>
      <c r="F395" s="118"/>
      <c r="G395" s="408"/>
      <c r="H395" s="408"/>
      <c r="I395" s="408"/>
      <c r="J395" s="408"/>
      <c r="K395" s="408"/>
      <c r="L395" s="408"/>
      <c r="M395" s="118"/>
      <c r="N395" s="435"/>
      <c r="O395" s="435"/>
      <c r="P395" s="435"/>
      <c r="Q395" s="435"/>
      <c r="R395" s="435"/>
      <c r="S395" s="435"/>
      <c r="T395" s="435"/>
      <c r="U395" s="435"/>
      <c r="V395" s="435"/>
      <c r="W395" s="463"/>
      <c r="X395" s="435"/>
      <c r="Y395" s="435"/>
      <c r="Z395" s="435"/>
      <c r="AA395" s="435"/>
      <c r="AB395" s="435"/>
      <c r="AC395" s="408"/>
      <c r="AD395" s="4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</row>
    <row r="396" spans="1:46" ht="15.75" customHeight="1">
      <c r="A396" s="110"/>
      <c r="B396" s="110"/>
      <c r="C396" s="110"/>
      <c r="D396" s="118"/>
      <c r="E396" s="118"/>
      <c r="F396" s="118"/>
      <c r="G396" s="408"/>
      <c r="H396" s="408"/>
      <c r="I396" s="408"/>
      <c r="J396" s="408"/>
      <c r="K396" s="408"/>
      <c r="L396" s="408"/>
      <c r="M396" s="118"/>
      <c r="N396" s="435"/>
      <c r="O396" s="435"/>
      <c r="P396" s="435"/>
      <c r="Q396" s="435"/>
      <c r="R396" s="435"/>
      <c r="S396" s="435"/>
      <c r="T396" s="435"/>
      <c r="U396" s="435"/>
      <c r="V396" s="435"/>
      <c r="W396" s="463"/>
      <c r="X396" s="435"/>
      <c r="Y396" s="435"/>
      <c r="Z396" s="435"/>
      <c r="AA396" s="435"/>
      <c r="AB396" s="435"/>
      <c r="AC396" s="408"/>
      <c r="AD396" s="4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</row>
    <row r="397" spans="1:46" ht="15.75" customHeight="1">
      <c r="A397" s="110"/>
      <c r="B397" s="110"/>
      <c r="C397" s="110"/>
      <c r="D397" s="118"/>
      <c r="E397" s="118"/>
      <c r="F397" s="118"/>
      <c r="G397" s="408"/>
      <c r="H397" s="408"/>
      <c r="I397" s="408"/>
      <c r="J397" s="408"/>
      <c r="K397" s="408"/>
      <c r="L397" s="408"/>
      <c r="M397" s="118"/>
      <c r="N397" s="435"/>
      <c r="O397" s="435"/>
      <c r="P397" s="435"/>
      <c r="Q397" s="435"/>
      <c r="R397" s="435"/>
      <c r="S397" s="435"/>
      <c r="T397" s="435"/>
      <c r="U397" s="435"/>
      <c r="V397" s="435"/>
      <c r="W397" s="463"/>
      <c r="X397" s="435"/>
      <c r="Y397" s="435"/>
      <c r="Z397" s="435"/>
      <c r="AA397" s="435"/>
      <c r="AB397" s="435"/>
      <c r="AC397" s="408"/>
      <c r="AD397" s="4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</row>
    <row r="398" spans="1:46" ht="15.75" customHeight="1">
      <c r="A398" s="110"/>
      <c r="B398" s="110"/>
      <c r="C398" s="110"/>
      <c r="D398" s="118"/>
      <c r="E398" s="118"/>
      <c r="F398" s="118"/>
      <c r="G398" s="408"/>
      <c r="H398" s="408"/>
      <c r="I398" s="408"/>
      <c r="J398" s="408"/>
      <c r="K398" s="408"/>
      <c r="L398" s="408"/>
      <c r="M398" s="118"/>
      <c r="N398" s="435"/>
      <c r="O398" s="435"/>
      <c r="P398" s="435"/>
      <c r="Q398" s="435"/>
      <c r="R398" s="435"/>
      <c r="S398" s="435"/>
      <c r="T398" s="435"/>
      <c r="U398" s="435"/>
      <c r="V398" s="435"/>
      <c r="W398" s="463"/>
      <c r="X398" s="435"/>
      <c r="Y398" s="435"/>
      <c r="Z398" s="435"/>
      <c r="AA398" s="435"/>
      <c r="AB398" s="435"/>
      <c r="AC398" s="408"/>
      <c r="AD398" s="4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</row>
    <row r="399" spans="1:46" ht="15.75" customHeight="1">
      <c r="A399" s="110"/>
      <c r="B399" s="110"/>
      <c r="C399" s="110"/>
      <c r="D399" s="118"/>
      <c r="E399" s="118"/>
      <c r="F399" s="118"/>
      <c r="G399" s="408"/>
      <c r="H399" s="408"/>
      <c r="I399" s="408"/>
      <c r="J399" s="408"/>
      <c r="K399" s="408"/>
      <c r="L399" s="408"/>
      <c r="M399" s="118"/>
      <c r="N399" s="435"/>
      <c r="O399" s="435"/>
      <c r="P399" s="435"/>
      <c r="Q399" s="435"/>
      <c r="R399" s="435"/>
      <c r="S399" s="435"/>
      <c r="T399" s="435"/>
      <c r="U399" s="435"/>
      <c r="V399" s="435"/>
      <c r="W399" s="463"/>
      <c r="X399" s="435"/>
      <c r="Y399" s="435"/>
      <c r="Z399" s="435"/>
      <c r="AA399" s="435"/>
      <c r="AB399" s="435"/>
      <c r="AC399" s="408"/>
      <c r="AD399" s="4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</row>
    <row r="400" spans="1:46" ht="15.75" customHeight="1">
      <c r="A400" s="110"/>
      <c r="B400" s="110"/>
      <c r="C400" s="110"/>
      <c r="D400" s="118"/>
      <c r="E400" s="118"/>
      <c r="F400" s="118"/>
      <c r="G400" s="408"/>
      <c r="H400" s="408"/>
      <c r="I400" s="408"/>
      <c r="J400" s="408"/>
      <c r="K400" s="408"/>
      <c r="L400" s="408"/>
      <c r="M400" s="118"/>
      <c r="N400" s="435"/>
      <c r="O400" s="435"/>
      <c r="P400" s="435"/>
      <c r="Q400" s="435"/>
      <c r="R400" s="435"/>
      <c r="S400" s="435"/>
      <c r="T400" s="435"/>
      <c r="U400" s="435"/>
      <c r="V400" s="435"/>
      <c r="W400" s="463"/>
      <c r="X400" s="435"/>
      <c r="Y400" s="435"/>
      <c r="Z400" s="435"/>
      <c r="AA400" s="435"/>
      <c r="AB400" s="435"/>
      <c r="AC400" s="408"/>
      <c r="AD400" s="4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</row>
    <row r="401" spans="1:46" ht="15.75" customHeight="1">
      <c r="A401" s="110"/>
      <c r="B401" s="110"/>
      <c r="C401" s="110"/>
      <c r="D401" s="118"/>
      <c r="E401" s="118"/>
      <c r="F401" s="118"/>
      <c r="G401" s="408"/>
      <c r="H401" s="408"/>
      <c r="I401" s="408"/>
      <c r="J401" s="408"/>
      <c r="K401" s="408"/>
      <c r="L401" s="408"/>
      <c r="M401" s="118"/>
      <c r="N401" s="435"/>
      <c r="O401" s="435"/>
      <c r="P401" s="435"/>
      <c r="Q401" s="435"/>
      <c r="R401" s="435"/>
      <c r="S401" s="435"/>
      <c r="T401" s="435"/>
      <c r="U401" s="435"/>
      <c r="V401" s="435"/>
      <c r="W401" s="463"/>
      <c r="X401" s="435"/>
      <c r="Y401" s="435"/>
      <c r="Z401" s="435"/>
      <c r="AA401" s="435"/>
      <c r="AB401" s="435"/>
      <c r="AC401" s="408"/>
      <c r="AD401" s="4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</row>
    <row r="402" spans="1:46" ht="15.75" customHeight="1">
      <c r="A402" s="110"/>
      <c r="B402" s="110"/>
      <c r="C402" s="110"/>
      <c r="D402" s="118"/>
      <c r="E402" s="118"/>
      <c r="F402" s="118"/>
      <c r="G402" s="408"/>
      <c r="H402" s="408"/>
      <c r="I402" s="408"/>
      <c r="J402" s="408"/>
      <c r="K402" s="408"/>
      <c r="L402" s="408"/>
      <c r="M402" s="118"/>
      <c r="N402" s="435"/>
      <c r="O402" s="435"/>
      <c r="P402" s="435"/>
      <c r="Q402" s="435"/>
      <c r="R402" s="435"/>
      <c r="S402" s="435"/>
      <c r="T402" s="435"/>
      <c r="U402" s="435"/>
      <c r="V402" s="435"/>
      <c r="W402" s="463"/>
      <c r="X402" s="435"/>
      <c r="Y402" s="435"/>
      <c r="Z402" s="435"/>
      <c r="AA402" s="435"/>
      <c r="AB402" s="435"/>
      <c r="AC402" s="408"/>
      <c r="AD402" s="4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</row>
    <row r="403" spans="1:46" ht="15.75" customHeight="1">
      <c r="A403" s="110"/>
      <c r="B403" s="110"/>
      <c r="C403" s="110"/>
      <c r="D403" s="118"/>
      <c r="E403" s="118"/>
      <c r="F403" s="118"/>
      <c r="G403" s="408"/>
      <c r="H403" s="408"/>
      <c r="I403" s="408"/>
      <c r="J403" s="408"/>
      <c r="K403" s="408"/>
      <c r="L403" s="408"/>
      <c r="M403" s="118"/>
      <c r="N403" s="435"/>
      <c r="O403" s="435"/>
      <c r="P403" s="435"/>
      <c r="Q403" s="435"/>
      <c r="R403" s="435"/>
      <c r="S403" s="435"/>
      <c r="T403" s="435"/>
      <c r="U403" s="435"/>
      <c r="V403" s="435"/>
      <c r="W403" s="463"/>
      <c r="X403" s="435"/>
      <c r="Y403" s="435"/>
      <c r="Z403" s="435"/>
      <c r="AA403" s="435"/>
      <c r="AB403" s="435"/>
      <c r="AC403" s="408"/>
      <c r="AD403" s="4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</row>
    <row r="404" spans="1:46" ht="15.75" customHeight="1">
      <c r="A404" s="110"/>
      <c r="B404" s="110"/>
      <c r="C404" s="110"/>
      <c r="D404" s="118"/>
      <c r="E404" s="118"/>
      <c r="F404" s="118"/>
      <c r="G404" s="408"/>
      <c r="H404" s="408"/>
      <c r="I404" s="408"/>
      <c r="J404" s="408"/>
      <c r="K404" s="408"/>
      <c r="L404" s="408"/>
      <c r="M404" s="118"/>
      <c r="N404" s="435"/>
      <c r="O404" s="435"/>
      <c r="P404" s="435"/>
      <c r="Q404" s="435"/>
      <c r="R404" s="435"/>
      <c r="S404" s="435"/>
      <c r="T404" s="435"/>
      <c r="U404" s="435"/>
      <c r="V404" s="435"/>
      <c r="W404" s="463"/>
      <c r="X404" s="435"/>
      <c r="Y404" s="435"/>
      <c r="Z404" s="435"/>
      <c r="AA404" s="435"/>
      <c r="AB404" s="435"/>
      <c r="AC404" s="408"/>
      <c r="AD404" s="4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</row>
    <row r="405" spans="1:46" ht="15.75" customHeight="1">
      <c r="A405" s="110"/>
      <c r="B405" s="110"/>
      <c r="C405" s="110"/>
      <c r="D405" s="118"/>
      <c r="E405" s="118"/>
      <c r="F405" s="118"/>
      <c r="G405" s="408"/>
      <c r="H405" s="408"/>
      <c r="I405" s="408"/>
      <c r="J405" s="408"/>
      <c r="K405" s="408"/>
      <c r="L405" s="408"/>
      <c r="M405" s="118"/>
      <c r="N405" s="435"/>
      <c r="O405" s="435"/>
      <c r="P405" s="435"/>
      <c r="Q405" s="435"/>
      <c r="R405" s="435"/>
      <c r="S405" s="435"/>
      <c r="T405" s="435"/>
      <c r="U405" s="435"/>
      <c r="V405" s="435"/>
      <c r="W405" s="463"/>
      <c r="X405" s="435"/>
      <c r="Y405" s="435"/>
      <c r="Z405" s="435"/>
      <c r="AA405" s="435"/>
      <c r="AB405" s="435"/>
      <c r="AC405" s="408"/>
      <c r="AD405" s="4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</row>
    <row r="406" spans="1:46" ht="15.75" customHeight="1">
      <c r="A406" s="110"/>
      <c r="B406" s="110"/>
      <c r="C406" s="110"/>
      <c r="D406" s="118"/>
      <c r="E406" s="118"/>
      <c r="F406" s="118"/>
      <c r="G406" s="408"/>
      <c r="H406" s="408"/>
      <c r="I406" s="408"/>
      <c r="J406" s="408"/>
      <c r="K406" s="408"/>
      <c r="L406" s="408"/>
      <c r="M406" s="118"/>
      <c r="N406" s="435"/>
      <c r="O406" s="435"/>
      <c r="P406" s="435"/>
      <c r="Q406" s="435"/>
      <c r="R406" s="435"/>
      <c r="S406" s="435"/>
      <c r="T406" s="435"/>
      <c r="U406" s="435"/>
      <c r="V406" s="435"/>
      <c r="W406" s="463"/>
      <c r="X406" s="435"/>
      <c r="Y406" s="435"/>
      <c r="Z406" s="435"/>
      <c r="AA406" s="435"/>
      <c r="AB406" s="435"/>
      <c r="AC406" s="408"/>
      <c r="AD406" s="4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</row>
    <row r="407" spans="1:46" ht="15.75" customHeight="1">
      <c r="A407" s="110"/>
      <c r="B407" s="110"/>
      <c r="C407" s="110"/>
      <c r="D407" s="118"/>
      <c r="E407" s="118"/>
      <c r="F407" s="118"/>
      <c r="G407" s="408"/>
      <c r="H407" s="408"/>
      <c r="I407" s="408"/>
      <c r="J407" s="408"/>
      <c r="K407" s="408"/>
      <c r="L407" s="408"/>
      <c r="M407" s="118"/>
      <c r="N407" s="435"/>
      <c r="O407" s="435"/>
      <c r="P407" s="435"/>
      <c r="Q407" s="435"/>
      <c r="R407" s="435"/>
      <c r="S407" s="435"/>
      <c r="T407" s="435"/>
      <c r="U407" s="435"/>
      <c r="V407" s="435"/>
      <c r="W407" s="463"/>
      <c r="X407" s="435"/>
      <c r="Y407" s="435"/>
      <c r="Z407" s="435"/>
      <c r="AA407" s="435"/>
      <c r="AB407" s="435"/>
      <c r="AC407" s="408"/>
      <c r="AD407" s="4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</row>
    <row r="408" spans="1:46" ht="15.75" customHeight="1">
      <c r="A408" s="110"/>
      <c r="B408" s="110"/>
      <c r="C408" s="110"/>
      <c r="D408" s="118"/>
      <c r="E408" s="118"/>
      <c r="F408" s="118"/>
      <c r="G408" s="408"/>
      <c r="H408" s="408"/>
      <c r="I408" s="408"/>
      <c r="J408" s="408"/>
      <c r="K408" s="408"/>
      <c r="L408" s="408"/>
      <c r="M408" s="118"/>
      <c r="N408" s="435"/>
      <c r="O408" s="435"/>
      <c r="P408" s="435"/>
      <c r="Q408" s="435"/>
      <c r="R408" s="435"/>
      <c r="S408" s="435"/>
      <c r="T408" s="435"/>
      <c r="U408" s="435"/>
      <c r="V408" s="435"/>
      <c r="W408" s="463"/>
      <c r="X408" s="435"/>
      <c r="Y408" s="435"/>
      <c r="Z408" s="435"/>
      <c r="AA408" s="435"/>
      <c r="AB408" s="435"/>
      <c r="AC408" s="408"/>
      <c r="AD408" s="4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</row>
    <row r="409" spans="1:46" ht="15.75" customHeight="1">
      <c r="A409" s="110"/>
      <c r="B409" s="110"/>
      <c r="C409" s="110"/>
      <c r="D409" s="118"/>
      <c r="E409" s="118"/>
      <c r="F409" s="118"/>
      <c r="G409" s="408"/>
      <c r="H409" s="408"/>
      <c r="I409" s="408"/>
      <c r="J409" s="408"/>
      <c r="K409" s="408"/>
      <c r="L409" s="408"/>
      <c r="M409" s="118"/>
      <c r="N409" s="435"/>
      <c r="O409" s="435"/>
      <c r="P409" s="435"/>
      <c r="Q409" s="435"/>
      <c r="R409" s="435"/>
      <c r="S409" s="435"/>
      <c r="T409" s="435"/>
      <c r="U409" s="435"/>
      <c r="V409" s="435"/>
      <c r="W409" s="463"/>
      <c r="X409" s="435"/>
      <c r="Y409" s="435"/>
      <c r="Z409" s="435"/>
      <c r="AA409" s="435"/>
      <c r="AB409" s="435"/>
      <c r="AC409" s="408"/>
      <c r="AD409" s="4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</row>
    <row r="410" spans="1:46" ht="15.75" customHeight="1">
      <c r="A410" s="110"/>
      <c r="B410" s="110"/>
      <c r="C410" s="110"/>
      <c r="D410" s="118"/>
      <c r="E410" s="118"/>
      <c r="F410" s="118"/>
      <c r="G410" s="408"/>
      <c r="H410" s="408"/>
      <c r="I410" s="408"/>
      <c r="J410" s="408"/>
      <c r="K410" s="408"/>
      <c r="L410" s="408"/>
      <c r="M410" s="118"/>
      <c r="N410" s="435"/>
      <c r="O410" s="435"/>
      <c r="P410" s="435"/>
      <c r="Q410" s="435"/>
      <c r="R410" s="435"/>
      <c r="S410" s="435"/>
      <c r="T410" s="435"/>
      <c r="U410" s="435"/>
      <c r="V410" s="435"/>
      <c r="W410" s="463"/>
      <c r="X410" s="435"/>
      <c r="Y410" s="435"/>
      <c r="Z410" s="435"/>
      <c r="AA410" s="435"/>
      <c r="AB410" s="435"/>
      <c r="AC410" s="408"/>
      <c r="AD410" s="4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</row>
    <row r="411" spans="1:46" ht="15.75" customHeight="1">
      <c r="A411" s="110"/>
      <c r="B411" s="110"/>
      <c r="C411" s="110"/>
      <c r="D411" s="118"/>
      <c r="E411" s="118"/>
      <c r="F411" s="118"/>
      <c r="G411" s="408"/>
      <c r="H411" s="408"/>
      <c r="I411" s="408"/>
      <c r="J411" s="408"/>
      <c r="K411" s="408"/>
      <c r="L411" s="408"/>
      <c r="M411" s="118"/>
      <c r="N411" s="435"/>
      <c r="O411" s="435"/>
      <c r="P411" s="435"/>
      <c r="Q411" s="435"/>
      <c r="R411" s="435"/>
      <c r="S411" s="435"/>
      <c r="T411" s="435"/>
      <c r="U411" s="435"/>
      <c r="V411" s="435"/>
      <c r="W411" s="463"/>
      <c r="X411" s="435"/>
      <c r="Y411" s="435"/>
      <c r="Z411" s="435"/>
      <c r="AA411" s="435"/>
      <c r="AB411" s="435"/>
      <c r="AC411" s="408"/>
      <c r="AD411" s="4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</row>
    <row r="412" spans="1:46" ht="15.75" customHeight="1">
      <c r="A412" s="110"/>
      <c r="B412" s="110"/>
      <c r="C412" s="110"/>
      <c r="D412" s="118"/>
      <c r="E412" s="118"/>
      <c r="F412" s="118"/>
      <c r="G412" s="408"/>
      <c r="H412" s="408"/>
      <c r="I412" s="408"/>
      <c r="J412" s="408"/>
      <c r="K412" s="408"/>
      <c r="L412" s="408"/>
      <c r="M412" s="118"/>
      <c r="N412" s="435"/>
      <c r="O412" s="435"/>
      <c r="P412" s="435"/>
      <c r="Q412" s="435"/>
      <c r="R412" s="435"/>
      <c r="S412" s="435"/>
      <c r="T412" s="435"/>
      <c r="U412" s="435"/>
      <c r="V412" s="435"/>
      <c r="W412" s="463"/>
      <c r="X412" s="435"/>
      <c r="Y412" s="435"/>
      <c r="Z412" s="435"/>
      <c r="AA412" s="435"/>
      <c r="AB412" s="435"/>
      <c r="AC412" s="408"/>
      <c r="AD412" s="4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</row>
    <row r="413" spans="1:46" ht="15.75" customHeight="1">
      <c r="A413" s="110"/>
      <c r="B413" s="110"/>
      <c r="C413" s="110"/>
      <c r="D413" s="118"/>
      <c r="E413" s="118"/>
      <c r="F413" s="118"/>
      <c r="G413" s="408"/>
      <c r="H413" s="408"/>
      <c r="I413" s="408"/>
      <c r="J413" s="408"/>
      <c r="K413" s="408"/>
      <c r="L413" s="408"/>
      <c r="M413" s="118"/>
      <c r="N413" s="435"/>
      <c r="O413" s="435"/>
      <c r="P413" s="435"/>
      <c r="Q413" s="435"/>
      <c r="R413" s="435"/>
      <c r="S413" s="435"/>
      <c r="T413" s="435"/>
      <c r="U413" s="435"/>
      <c r="V413" s="435"/>
      <c r="W413" s="463"/>
      <c r="X413" s="435"/>
      <c r="Y413" s="435"/>
      <c r="Z413" s="435"/>
      <c r="AA413" s="435"/>
      <c r="AB413" s="435"/>
      <c r="AC413" s="408"/>
      <c r="AD413" s="4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</row>
    <row r="414" spans="1:46" ht="15.75" customHeight="1">
      <c r="A414" s="110"/>
      <c r="B414" s="110"/>
      <c r="C414" s="110"/>
      <c r="D414" s="118"/>
      <c r="E414" s="118"/>
      <c r="F414" s="118"/>
      <c r="G414" s="408"/>
      <c r="H414" s="408"/>
      <c r="I414" s="408"/>
      <c r="J414" s="408"/>
      <c r="K414" s="408"/>
      <c r="L414" s="408"/>
      <c r="M414" s="118"/>
      <c r="N414" s="435"/>
      <c r="O414" s="435"/>
      <c r="P414" s="435"/>
      <c r="Q414" s="435"/>
      <c r="R414" s="435"/>
      <c r="S414" s="435"/>
      <c r="T414" s="435"/>
      <c r="U414" s="435"/>
      <c r="V414" s="435"/>
      <c r="W414" s="463"/>
      <c r="X414" s="435"/>
      <c r="Y414" s="435"/>
      <c r="Z414" s="435"/>
      <c r="AA414" s="435"/>
      <c r="AB414" s="435"/>
      <c r="AC414" s="408"/>
      <c r="AD414" s="4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</row>
    <row r="415" spans="1:46" ht="15.75" customHeight="1">
      <c r="A415" s="110"/>
      <c r="B415" s="110"/>
      <c r="C415" s="110"/>
      <c r="D415" s="118"/>
      <c r="E415" s="118"/>
      <c r="F415" s="118"/>
      <c r="G415" s="408"/>
      <c r="H415" s="408"/>
      <c r="I415" s="408"/>
      <c r="J415" s="408"/>
      <c r="K415" s="408"/>
      <c r="L415" s="408"/>
      <c r="M415" s="118"/>
      <c r="N415" s="435"/>
      <c r="O415" s="435"/>
      <c r="P415" s="435"/>
      <c r="Q415" s="435"/>
      <c r="R415" s="435"/>
      <c r="S415" s="435"/>
      <c r="T415" s="435"/>
      <c r="U415" s="435"/>
      <c r="V415" s="435"/>
      <c r="W415" s="463"/>
      <c r="X415" s="435"/>
      <c r="Y415" s="435"/>
      <c r="Z415" s="435"/>
      <c r="AA415" s="435"/>
      <c r="AB415" s="435"/>
      <c r="AC415" s="408"/>
      <c r="AD415" s="4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</row>
    <row r="416" spans="1:46" ht="15.75" customHeight="1">
      <c r="A416" s="110"/>
      <c r="B416" s="110"/>
      <c r="C416" s="110"/>
      <c r="D416" s="118"/>
      <c r="E416" s="118"/>
      <c r="F416" s="118"/>
      <c r="G416" s="408"/>
      <c r="H416" s="408"/>
      <c r="I416" s="408"/>
      <c r="J416" s="408"/>
      <c r="K416" s="408"/>
      <c r="L416" s="408"/>
      <c r="M416" s="118"/>
      <c r="N416" s="435"/>
      <c r="O416" s="435"/>
      <c r="P416" s="435"/>
      <c r="Q416" s="435"/>
      <c r="R416" s="435"/>
      <c r="S416" s="435"/>
      <c r="T416" s="435"/>
      <c r="U416" s="435"/>
      <c r="V416" s="435"/>
      <c r="W416" s="463"/>
      <c r="X416" s="435"/>
      <c r="Y416" s="435"/>
      <c r="Z416" s="435"/>
      <c r="AA416" s="435"/>
      <c r="AB416" s="435"/>
      <c r="AC416" s="408"/>
      <c r="AD416" s="4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</row>
    <row r="417" spans="1:46" ht="15.75" customHeight="1">
      <c r="A417" s="110"/>
      <c r="B417" s="110"/>
      <c r="C417" s="110"/>
      <c r="D417" s="118"/>
      <c r="E417" s="118"/>
      <c r="F417" s="118"/>
      <c r="G417" s="408"/>
      <c r="H417" s="408"/>
      <c r="I417" s="408"/>
      <c r="J417" s="408"/>
      <c r="K417" s="408"/>
      <c r="L417" s="408"/>
      <c r="M417" s="118"/>
      <c r="N417" s="435"/>
      <c r="O417" s="435"/>
      <c r="P417" s="435"/>
      <c r="Q417" s="435"/>
      <c r="R417" s="435"/>
      <c r="S417" s="435"/>
      <c r="T417" s="435"/>
      <c r="U417" s="435"/>
      <c r="V417" s="435"/>
      <c r="W417" s="463"/>
      <c r="X417" s="435"/>
      <c r="Y417" s="435"/>
      <c r="Z417" s="435"/>
      <c r="AA417" s="435"/>
      <c r="AB417" s="435"/>
      <c r="AC417" s="408"/>
      <c r="AD417" s="4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</row>
    <row r="418" spans="1:46" ht="15.75" customHeight="1">
      <c r="A418" s="110"/>
      <c r="B418" s="110"/>
      <c r="C418" s="110"/>
      <c r="D418" s="118"/>
      <c r="E418" s="118"/>
      <c r="F418" s="118"/>
      <c r="G418" s="408"/>
      <c r="H418" s="408"/>
      <c r="I418" s="408"/>
      <c r="J418" s="408"/>
      <c r="K418" s="408"/>
      <c r="L418" s="408"/>
      <c r="M418" s="118"/>
      <c r="N418" s="435"/>
      <c r="O418" s="435"/>
      <c r="P418" s="435"/>
      <c r="Q418" s="435"/>
      <c r="R418" s="435"/>
      <c r="S418" s="435"/>
      <c r="T418" s="435"/>
      <c r="U418" s="435"/>
      <c r="V418" s="435"/>
      <c r="W418" s="463"/>
      <c r="X418" s="435"/>
      <c r="Y418" s="435"/>
      <c r="Z418" s="435"/>
      <c r="AA418" s="435"/>
      <c r="AB418" s="435"/>
      <c r="AC418" s="408"/>
      <c r="AD418" s="4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</row>
    <row r="419" spans="1:46" ht="15.75" customHeight="1">
      <c r="A419" s="110"/>
      <c r="B419" s="110"/>
      <c r="C419" s="110"/>
      <c r="D419" s="118"/>
      <c r="E419" s="118"/>
      <c r="F419" s="118"/>
      <c r="G419" s="408"/>
      <c r="H419" s="408"/>
      <c r="I419" s="408"/>
      <c r="J419" s="408"/>
      <c r="K419" s="408"/>
      <c r="L419" s="408"/>
      <c r="M419" s="118"/>
      <c r="N419" s="435"/>
      <c r="O419" s="435"/>
      <c r="P419" s="435"/>
      <c r="Q419" s="435"/>
      <c r="R419" s="435"/>
      <c r="S419" s="435"/>
      <c r="T419" s="435"/>
      <c r="U419" s="435"/>
      <c r="V419" s="435"/>
      <c r="W419" s="463"/>
      <c r="X419" s="435"/>
      <c r="Y419" s="435"/>
      <c r="Z419" s="435"/>
      <c r="AA419" s="435"/>
      <c r="AB419" s="435"/>
      <c r="AC419" s="408"/>
      <c r="AD419" s="4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</row>
    <row r="420" spans="1:46" ht="15.75" customHeight="1">
      <c r="A420" s="110"/>
      <c r="B420" s="110"/>
      <c r="C420" s="110"/>
      <c r="D420" s="118"/>
      <c r="E420" s="118"/>
      <c r="F420" s="118"/>
      <c r="G420" s="408"/>
      <c r="H420" s="408"/>
      <c r="I420" s="408"/>
      <c r="J420" s="408"/>
      <c r="K420" s="408"/>
      <c r="L420" s="408"/>
      <c r="M420" s="118"/>
      <c r="N420" s="435"/>
      <c r="O420" s="435"/>
      <c r="P420" s="435"/>
      <c r="Q420" s="435"/>
      <c r="R420" s="435"/>
      <c r="S420" s="435"/>
      <c r="T420" s="435"/>
      <c r="U420" s="435"/>
      <c r="V420" s="435"/>
      <c r="W420" s="463"/>
      <c r="X420" s="435"/>
      <c r="Y420" s="435"/>
      <c r="Z420" s="435"/>
      <c r="AA420" s="435"/>
      <c r="AB420" s="435"/>
      <c r="AC420" s="408"/>
      <c r="AD420" s="4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</row>
    <row r="421" spans="1:46" ht="15.75" customHeight="1">
      <c r="A421" s="110"/>
      <c r="B421" s="110"/>
      <c r="C421" s="110"/>
      <c r="D421" s="118"/>
      <c r="E421" s="118"/>
      <c r="F421" s="118"/>
      <c r="G421" s="408"/>
      <c r="H421" s="408"/>
      <c r="I421" s="408"/>
      <c r="J421" s="408"/>
      <c r="K421" s="408"/>
      <c r="L421" s="408"/>
      <c r="M421" s="118"/>
      <c r="N421" s="435"/>
      <c r="O421" s="435"/>
      <c r="P421" s="435"/>
      <c r="Q421" s="435"/>
      <c r="R421" s="435"/>
      <c r="S421" s="435"/>
      <c r="T421" s="435"/>
      <c r="U421" s="435"/>
      <c r="V421" s="435"/>
      <c r="W421" s="463"/>
      <c r="X421" s="435"/>
      <c r="Y421" s="435"/>
      <c r="Z421" s="435"/>
      <c r="AA421" s="435"/>
      <c r="AB421" s="435"/>
      <c r="AC421" s="408"/>
      <c r="AD421" s="4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</row>
    <row r="422" spans="1:46" ht="15.75" customHeight="1">
      <c r="A422" s="110"/>
      <c r="B422" s="110"/>
      <c r="C422" s="110"/>
      <c r="D422" s="118"/>
      <c r="E422" s="118"/>
      <c r="F422" s="118"/>
      <c r="G422" s="408"/>
      <c r="H422" s="408"/>
      <c r="I422" s="408"/>
      <c r="J422" s="408"/>
      <c r="K422" s="408"/>
      <c r="L422" s="408"/>
      <c r="M422" s="118"/>
      <c r="N422" s="435"/>
      <c r="O422" s="435"/>
      <c r="P422" s="435"/>
      <c r="Q422" s="435"/>
      <c r="R422" s="435"/>
      <c r="S422" s="435"/>
      <c r="T422" s="435"/>
      <c r="U422" s="435"/>
      <c r="V422" s="435"/>
      <c r="W422" s="463"/>
      <c r="X422" s="435"/>
      <c r="Y422" s="435"/>
      <c r="Z422" s="435"/>
      <c r="AA422" s="435"/>
      <c r="AB422" s="435"/>
      <c r="AC422" s="408"/>
      <c r="AD422" s="4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</row>
    <row r="423" spans="1:46" ht="15.75" customHeight="1">
      <c r="A423" s="110"/>
      <c r="B423" s="110"/>
      <c r="C423" s="110"/>
      <c r="D423" s="118"/>
      <c r="E423" s="118"/>
      <c r="F423" s="118"/>
      <c r="G423" s="408"/>
      <c r="H423" s="408"/>
      <c r="I423" s="408"/>
      <c r="J423" s="408"/>
      <c r="K423" s="408"/>
      <c r="L423" s="408"/>
      <c r="M423" s="118"/>
      <c r="N423" s="435"/>
      <c r="O423" s="435"/>
      <c r="P423" s="435"/>
      <c r="Q423" s="435"/>
      <c r="R423" s="435"/>
      <c r="S423" s="435"/>
      <c r="T423" s="435"/>
      <c r="U423" s="435"/>
      <c r="V423" s="435"/>
      <c r="W423" s="463"/>
      <c r="X423" s="435"/>
      <c r="Y423" s="435"/>
      <c r="Z423" s="435"/>
      <c r="AA423" s="435"/>
      <c r="AB423" s="435"/>
      <c r="AC423" s="408"/>
      <c r="AD423" s="4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</row>
    <row r="424" spans="1:46" ht="15.75" customHeight="1">
      <c r="A424" s="110"/>
      <c r="B424" s="110"/>
      <c r="C424" s="110"/>
      <c r="D424" s="118"/>
      <c r="E424" s="118"/>
      <c r="F424" s="118"/>
      <c r="G424" s="408"/>
      <c r="H424" s="408"/>
      <c r="I424" s="408"/>
      <c r="J424" s="408"/>
      <c r="K424" s="408"/>
      <c r="L424" s="408"/>
      <c r="M424" s="118"/>
      <c r="N424" s="435"/>
      <c r="O424" s="435"/>
      <c r="P424" s="435"/>
      <c r="Q424" s="435"/>
      <c r="R424" s="435"/>
      <c r="S424" s="435"/>
      <c r="T424" s="435"/>
      <c r="U424" s="435"/>
      <c r="V424" s="435"/>
      <c r="W424" s="463"/>
      <c r="X424" s="435"/>
      <c r="Y424" s="435"/>
      <c r="Z424" s="435"/>
      <c r="AA424" s="435"/>
      <c r="AB424" s="435"/>
      <c r="AC424" s="408"/>
      <c r="AD424" s="4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</row>
    <row r="425" spans="1:46" ht="15.75" customHeight="1">
      <c r="A425" s="110"/>
      <c r="B425" s="110"/>
      <c r="C425" s="110"/>
      <c r="D425" s="118"/>
      <c r="E425" s="118"/>
      <c r="F425" s="118"/>
      <c r="G425" s="408"/>
      <c r="H425" s="408"/>
      <c r="I425" s="408"/>
      <c r="J425" s="408"/>
      <c r="K425" s="408"/>
      <c r="L425" s="408"/>
      <c r="M425" s="118"/>
      <c r="N425" s="435"/>
      <c r="O425" s="435"/>
      <c r="P425" s="435"/>
      <c r="Q425" s="435"/>
      <c r="R425" s="435"/>
      <c r="S425" s="435"/>
      <c r="T425" s="435"/>
      <c r="U425" s="435"/>
      <c r="V425" s="435"/>
      <c r="W425" s="463"/>
      <c r="X425" s="435"/>
      <c r="Y425" s="435"/>
      <c r="Z425" s="435"/>
      <c r="AA425" s="435"/>
      <c r="AB425" s="435"/>
      <c r="AC425" s="408"/>
      <c r="AD425" s="4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</row>
    <row r="426" spans="1:46" ht="15.75" customHeight="1">
      <c r="A426" s="110"/>
      <c r="B426" s="110"/>
      <c r="C426" s="110"/>
      <c r="D426" s="118"/>
      <c r="E426" s="118"/>
      <c r="F426" s="118"/>
      <c r="G426" s="408"/>
      <c r="H426" s="408"/>
      <c r="I426" s="408"/>
      <c r="J426" s="408"/>
      <c r="K426" s="408"/>
      <c r="L426" s="408"/>
      <c r="M426" s="118"/>
      <c r="N426" s="435"/>
      <c r="O426" s="435"/>
      <c r="P426" s="435"/>
      <c r="Q426" s="435"/>
      <c r="R426" s="435"/>
      <c r="S426" s="435"/>
      <c r="T426" s="435"/>
      <c r="U426" s="435"/>
      <c r="V426" s="435"/>
      <c r="W426" s="463"/>
      <c r="X426" s="435"/>
      <c r="Y426" s="435"/>
      <c r="Z426" s="435"/>
      <c r="AA426" s="435"/>
      <c r="AB426" s="435"/>
      <c r="AC426" s="408"/>
      <c r="AD426" s="4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</row>
    <row r="427" spans="1:46" ht="15.75" customHeight="1">
      <c r="A427" s="110"/>
      <c r="B427" s="110"/>
      <c r="C427" s="110"/>
      <c r="D427" s="118"/>
      <c r="E427" s="118"/>
      <c r="F427" s="118"/>
      <c r="G427" s="408"/>
      <c r="H427" s="408"/>
      <c r="I427" s="408"/>
      <c r="J427" s="408"/>
      <c r="K427" s="408"/>
      <c r="L427" s="408"/>
      <c r="M427" s="118"/>
      <c r="N427" s="435"/>
      <c r="O427" s="435"/>
      <c r="P427" s="435"/>
      <c r="Q427" s="435"/>
      <c r="R427" s="435"/>
      <c r="S427" s="435"/>
      <c r="T427" s="435"/>
      <c r="U427" s="435"/>
      <c r="V427" s="435"/>
      <c r="W427" s="463"/>
      <c r="X427" s="435"/>
      <c r="Y427" s="435"/>
      <c r="Z427" s="435"/>
      <c r="AA427" s="435"/>
      <c r="AB427" s="435"/>
      <c r="AC427" s="408"/>
      <c r="AD427" s="4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</row>
    <row r="428" spans="1:46" ht="15.75" customHeight="1">
      <c r="A428" s="110"/>
      <c r="B428" s="110"/>
      <c r="C428" s="110"/>
      <c r="D428" s="118"/>
      <c r="E428" s="118"/>
      <c r="F428" s="118"/>
      <c r="G428" s="408"/>
      <c r="H428" s="408"/>
      <c r="I428" s="408"/>
      <c r="J428" s="408"/>
      <c r="K428" s="408"/>
      <c r="L428" s="408"/>
      <c r="M428" s="118"/>
      <c r="N428" s="435"/>
      <c r="O428" s="435"/>
      <c r="P428" s="435"/>
      <c r="Q428" s="435"/>
      <c r="R428" s="435"/>
      <c r="S428" s="435"/>
      <c r="T428" s="435"/>
      <c r="U428" s="435"/>
      <c r="V428" s="435"/>
      <c r="W428" s="463"/>
      <c r="X428" s="435"/>
      <c r="Y428" s="435"/>
      <c r="Z428" s="435"/>
      <c r="AA428" s="435"/>
      <c r="AB428" s="435"/>
      <c r="AC428" s="408"/>
      <c r="AD428" s="4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</row>
    <row r="429" spans="1:46" ht="15.75" customHeight="1">
      <c r="A429" s="110"/>
      <c r="B429" s="110"/>
      <c r="C429" s="110"/>
      <c r="D429" s="118"/>
      <c r="E429" s="118"/>
      <c r="F429" s="118"/>
      <c r="G429" s="408"/>
      <c r="H429" s="408"/>
      <c r="I429" s="408"/>
      <c r="J429" s="408"/>
      <c r="K429" s="408"/>
      <c r="L429" s="408"/>
      <c r="M429" s="118"/>
      <c r="N429" s="435"/>
      <c r="O429" s="435"/>
      <c r="P429" s="435"/>
      <c r="Q429" s="435"/>
      <c r="R429" s="435"/>
      <c r="S429" s="435"/>
      <c r="T429" s="435"/>
      <c r="U429" s="435"/>
      <c r="V429" s="435"/>
      <c r="W429" s="463"/>
      <c r="X429" s="435"/>
      <c r="Y429" s="435"/>
      <c r="Z429" s="435"/>
      <c r="AA429" s="435"/>
      <c r="AB429" s="435"/>
      <c r="AC429" s="408"/>
      <c r="AD429" s="4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</row>
    <row r="430" spans="1:46" ht="15.75" customHeight="1">
      <c r="A430" s="110"/>
      <c r="B430" s="110"/>
      <c r="C430" s="110"/>
      <c r="D430" s="118"/>
      <c r="E430" s="118"/>
      <c r="F430" s="118"/>
      <c r="G430" s="408"/>
      <c r="H430" s="408"/>
      <c r="I430" s="408"/>
      <c r="J430" s="408"/>
      <c r="K430" s="408"/>
      <c r="L430" s="408"/>
      <c r="M430" s="118"/>
      <c r="N430" s="435"/>
      <c r="O430" s="435"/>
      <c r="P430" s="435"/>
      <c r="Q430" s="435"/>
      <c r="R430" s="435"/>
      <c r="S430" s="435"/>
      <c r="T430" s="435"/>
      <c r="U430" s="435"/>
      <c r="V430" s="435"/>
      <c r="W430" s="463"/>
      <c r="X430" s="435"/>
      <c r="Y430" s="435"/>
      <c r="Z430" s="435"/>
      <c r="AA430" s="435"/>
      <c r="AB430" s="435"/>
      <c r="AC430" s="408"/>
      <c r="AD430" s="4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</row>
    <row r="431" spans="1:46" ht="15.75" customHeight="1">
      <c r="A431" s="110"/>
      <c r="B431" s="110"/>
      <c r="C431" s="110"/>
      <c r="D431" s="118"/>
      <c r="E431" s="118"/>
      <c r="F431" s="118"/>
      <c r="G431" s="408"/>
      <c r="H431" s="408"/>
      <c r="I431" s="408"/>
      <c r="J431" s="408"/>
      <c r="K431" s="408"/>
      <c r="L431" s="408"/>
      <c r="M431" s="118"/>
      <c r="N431" s="435"/>
      <c r="O431" s="435"/>
      <c r="P431" s="435"/>
      <c r="Q431" s="435"/>
      <c r="R431" s="435"/>
      <c r="S431" s="435"/>
      <c r="T431" s="435"/>
      <c r="U431" s="435"/>
      <c r="V431" s="435"/>
      <c r="W431" s="463"/>
      <c r="X431" s="435"/>
      <c r="Y431" s="435"/>
      <c r="Z431" s="435"/>
      <c r="AA431" s="435"/>
      <c r="AB431" s="435"/>
      <c r="AC431" s="408"/>
      <c r="AD431" s="4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</row>
    <row r="432" spans="1:46" ht="15.75" customHeight="1">
      <c r="A432" s="110"/>
      <c r="B432" s="110"/>
      <c r="C432" s="110"/>
      <c r="D432" s="118"/>
      <c r="E432" s="118"/>
      <c r="F432" s="118"/>
      <c r="G432" s="408"/>
      <c r="H432" s="408"/>
      <c r="I432" s="408"/>
      <c r="J432" s="408"/>
      <c r="K432" s="408"/>
      <c r="L432" s="408"/>
      <c r="M432" s="118"/>
      <c r="N432" s="435"/>
      <c r="O432" s="435"/>
      <c r="P432" s="435"/>
      <c r="Q432" s="435"/>
      <c r="R432" s="435"/>
      <c r="S432" s="435"/>
      <c r="T432" s="435"/>
      <c r="U432" s="435"/>
      <c r="V432" s="435"/>
      <c r="W432" s="463"/>
      <c r="X432" s="435"/>
      <c r="Y432" s="435"/>
      <c r="Z432" s="435"/>
      <c r="AA432" s="435"/>
      <c r="AB432" s="435"/>
      <c r="AC432" s="408"/>
      <c r="AD432" s="4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</row>
    <row r="433" spans="1:46" ht="15.75" customHeight="1">
      <c r="A433" s="110"/>
      <c r="B433" s="110"/>
      <c r="C433" s="110"/>
      <c r="D433" s="118"/>
      <c r="E433" s="118"/>
      <c r="F433" s="118"/>
      <c r="G433" s="408"/>
      <c r="H433" s="408"/>
      <c r="I433" s="408"/>
      <c r="J433" s="408"/>
      <c r="K433" s="408"/>
      <c r="L433" s="408"/>
      <c r="M433" s="118"/>
      <c r="N433" s="435"/>
      <c r="O433" s="435"/>
      <c r="P433" s="435"/>
      <c r="Q433" s="435"/>
      <c r="R433" s="435"/>
      <c r="S433" s="435"/>
      <c r="T433" s="435"/>
      <c r="U433" s="435"/>
      <c r="V433" s="435"/>
      <c r="W433" s="463"/>
      <c r="X433" s="435"/>
      <c r="Y433" s="435"/>
      <c r="Z433" s="435"/>
      <c r="AA433" s="435"/>
      <c r="AB433" s="435"/>
      <c r="AC433" s="408"/>
      <c r="AD433" s="4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</row>
    <row r="434" spans="1:46" ht="15.75" customHeight="1">
      <c r="A434" s="110"/>
      <c r="B434" s="110"/>
      <c r="C434" s="110"/>
      <c r="D434" s="118"/>
      <c r="E434" s="118"/>
      <c r="F434" s="118"/>
      <c r="G434" s="408"/>
      <c r="H434" s="408"/>
      <c r="I434" s="408"/>
      <c r="J434" s="408"/>
      <c r="K434" s="408"/>
      <c r="L434" s="408"/>
      <c r="M434" s="118"/>
      <c r="N434" s="435"/>
      <c r="O434" s="435"/>
      <c r="P434" s="435"/>
      <c r="Q434" s="435"/>
      <c r="R434" s="435"/>
      <c r="S434" s="435"/>
      <c r="T434" s="435"/>
      <c r="U434" s="435"/>
      <c r="V434" s="435"/>
      <c r="W434" s="463"/>
      <c r="X434" s="435"/>
      <c r="Y434" s="435"/>
      <c r="Z434" s="435"/>
      <c r="AA434" s="435"/>
      <c r="AB434" s="435"/>
      <c r="AC434" s="408"/>
      <c r="AD434" s="4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</row>
    <row r="435" spans="1:46" ht="15.75" customHeight="1">
      <c r="A435" s="110"/>
      <c r="B435" s="110"/>
      <c r="C435" s="110"/>
      <c r="D435" s="118"/>
      <c r="E435" s="118"/>
      <c r="F435" s="118"/>
      <c r="G435" s="408"/>
      <c r="H435" s="408"/>
      <c r="I435" s="408"/>
      <c r="J435" s="408"/>
      <c r="K435" s="408"/>
      <c r="L435" s="408"/>
      <c r="M435" s="118"/>
      <c r="N435" s="435"/>
      <c r="O435" s="435"/>
      <c r="P435" s="435"/>
      <c r="Q435" s="435"/>
      <c r="R435" s="435"/>
      <c r="S435" s="435"/>
      <c r="T435" s="435"/>
      <c r="U435" s="435"/>
      <c r="V435" s="435"/>
      <c r="W435" s="463"/>
      <c r="X435" s="435"/>
      <c r="Y435" s="435"/>
      <c r="Z435" s="435"/>
      <c r="AA435" s="435"/>
      <c r="AB435" s="435"/>
      <c r="AC435" s="408"/>
      <c r="AD435" s="4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</row>
    <row r="436" spans="1:46" ht="15.75" customHeight="1">
      <c r="A436" s="110"/>
      <c r="B436" s="110"/>
      <c r="C436" s="110"/>
      <c r="D436" s="118"/>
      <c r="E436" s="118"/>
      <c r="F436" s="118"/>
      <c r="G436" s="408"/>
      <c r="H436" s="408"/>
      <c r="I436" s="408"/>
      <c r="J436" s="408"/>
      <c r="K436" s="408"/>
      <c r="L436" s="408"/>
      <c r="M436" s="118"/>
      <c r="N436" s="435"/>
      <c r="O436" s="435"/>
      <c r="P436" s="435"/>
      <c r="Q436" s="435"/>
      <c r="R436" s="435"/>
      <c r="S436" s="435"/>
      <c r="T436" s="435"/>
      <c r="U436" s="435"/>
      <c r="V436" s="435"/>
      <c r="W436" s="463"/>
      <c r="X436" s="435"/>
      <c r="Y436" s="435"/>
      <c r="Z436" s="435"/>
      <c r="AA436" s="435"/>
      <c r="AB436" s="435"/>
      <c r="AC436" s="408"/>
      <c r="AD436" s="4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</row>
    <row r="437" spans="1:46" ht="15.75" customHeight="1">
      <c r="A437" s="110"/>
      <c r="B437" s="110"/>
      <c r="C437" s="110"/>
      <c r="D437" s="118"/>
      <c r="E437" s="118"/>
      <c r="F437" s="118"/>
      <c r="G437" s="408"/>
      <c r="H437" s="408"/>
      <c r="I437" s="408"/>
      <c r="J437" s="408"/>
      <c r="K437" s="408"/>
      <c r="L437" s="408"/>
      <c r="M437" s="118"/>
      <c r="N437" s="435"/>
      <c r="O437" s="435"/>
      <c r="P437" s="435"/>
      <c r="Q437" s="435"/>
      <c r="R437" s="435"/>
      <c r="S437" s="435"/>
      <c r="T437" s="435"/>
      <c r="U437" s="435"/>
      <c r="V437" s="435"/>
      <c r="W437" s="463"/>
      <c r="X437" s="435"/>
      <c r="Y437" s="435"/>
      <c r="Z437" s="435"/>
      <c r="AA437" s="435"/>
      <c r="AB437" s="435"/>
      <c r="AC437" s="408"/>
      <c r="AD437" s="4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</row>
    <row r="438" spans="1:46" ht="15.75" customHeight="1">
      <c r="A438" s="110"/>
      <c r="B438" s="110"/>
      <c r="C438" s="110"/>
      <c r="D438" s="118"/>
      <c r="E438" s="118"/>
      <c r="F438" s="118"/>
      <c r="G438" s="408"/>
      <c r="H438" s="408"/>
      <c r="I438" s="408"/>
      <c r="J438" s="408"/>
      <c r="K438" s="408"/>
      <c r="L438" s="408"/>
      <c r="M438" s="118"/>
      <c r="N438" s="435"/>
      <c r="O438" s="435"/>
      <c r="P438" s="435"/>
      <c r="Q438" s="435"/>
      <c r="R438" s="435"/>
      <c r="S438" s="435"/>
      <c r="T438" s="435"/>
      <c r="U438" s="435"/>
      <c r="V438" s="435"/>
      <c r="W438" s="463"/>
      <c r="X438" s="435"/>
      <c r="Y438" s="435"/>
      <c r="Z438" s="435"/>
      <c r="AA438" s="435"/>
      <c r="AB438" s="435"/>
      <c r="AC438" s="408"/>
      <c r="AD438" s="4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</row>
    <row r="439" spans="1:46" ht="15.75" customHeight="1">
      <c r="A439" s="110"/>
      <c r="B439" s="110"/>
      <c r="C439" s="110"/>
      <c r="D439" s="118"/>
      <c r="E439" s="118"/>
      <c r="F439" s="118"/>
      <c r="G439" s="408"/>
      <c r="H439" s="408"/>
      <c r="I439" s="408"/>
      <c r="J439" s="408"/>
      <c r="K439" s="408"/>
      <c r="L439" s="408"/>
      <c r="M439" s="118"/>
      <c r="N439" s="435"/>
      <c r="O439" s="435"/>
      <c r="P439" s="435"/>
      <c r="Q439" s="435"/>
      <c r="R439" s="435"/>
      <c r="S439" s="435"/>
      <c r="T439" s="435"/>
      <c r="U439" s="435"/>
      <c r="V439" s="435"/>
      <c r="W439" s="463"/>
      <c r="X439" s="435"/>
      <c r="Y439" s="435"/>
      <c r="Z439" s="435"/>
      <c r="AA439" s="435"/>
      <c r="AB439" s="435"/>
      <c r="AC439" s="408"/>
      <c r="AD439" s="4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</row>
    <row r="440" spans="1:46" ht="15.75" customHeight="1">
      <c r="A440" s="110"/>
      <c r="B440" s="110"/>
      <c r="C440" s="110"/>
      <c r="D440" s="118"/>
      <c r="E440" s="118"/>
      <c r="F440" s="118"/>
      <c r="G440" s="408"/>
      <c r="H440" s="408"/>
      <c r="I440" s="408"/>
      <c r="J440" s="408"/>
      <c r="K440" s="408"/>
      <c r="L440" s="408"/>
      <c r="M440" s="118"/>
      <c r="N440" s="435"/>
      <c r="O440" s="435"/>
      <c r="P440" s="435"/>
      <c r="Q440" s="435"/>
      <c r="R440" s="435"/>
      <c r="S440" s="435"/>
      <c r="T440" s="435"/>
      <c r="U440" s="435"/>
      <c r="V440" s="435"/>
      <c r="W440" s="463"/>
      <c r="X440" s="435"/>
      <c r="Y440" s="435"/>
      <c r="Z440" s="435"/>
      <c r="AA440" s="435"/>
      <c r="AB440" s="435"/>
      <c r="AC440" s="408"/>
      <c r="AD440" s="4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</row>
    <row r="441" spans="1:46" ht="15.75" customHeight="1">
      <c r="A441" s="110"/>
      <c r="B441" s="110"/>
      <c r="C441" s="110"/>
      <c r="D441" s="118"/>
      <c r="E441" s="118"/>
      <c r="F441" s="118"/>
      <c r="G441" s="408"/>
      <c r="H441" s="408"/>
      <c r="I441" s="408"/>
      <c r="J441" s="408"/>
      <c r="K441" s="408"/>
      <c r="L441" s="408"/>
      <c r="M441" s="118"/>
      <c r="N441" s="435"/>
      <c r="O441" s="435"/>
      <c r="P441" s="435"/>
      <c r="Q441" s="435"/>
      <c r="R441" s="435"/>
      <c r="S441" s="435"/>
      <c r="T441" s="435"/>
      <c r="U441" s="435"/>
      <c r="V441" s="435"/>
      <c r="W441" s="463"/>
      <c r="X441" s="435"/>
      <c r="Y441" s="435"/>
      <c r="Z441" s="435"/>
      <c r="AA441" s="435"/>
      <c r="AB441" s="435"/>
      <c r="AC441" s="408"/>
      <c r="AD441" s="4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</row>
    <row r="442" spans="1:46" ht="15.75" customHeight="1">
      <c r="A442" s="110"/>
      <c r="B442" s="110"/>
      <c r="C442" s="110"/>
      <c r="D442" s="118"/>
      <c r="E442" s="118"/>
      <c r="F442" s="118"/>
      <c r="G442" s="408"/>
      <c r="H442" s="408"/>
      <c r="I442" s="408"/>
      <c r="J442" s="408"/>
      <c r="K442" s="408"/>
      <c r="L442" s="408"/>
      <c r="M442" s="118"/>
      <c r="N442" s="435"/>
      <c r="O442" s="435"/>
      <c r="P442" s="435"/>
      <c r="Q442" s="435"/>
      <c r="R442" s="435"/>
      <c r="S442" s="435"/>
      <c r="T442" s="435"/>
      <c r="U442" s="435"/>
      <c r="V442" s="435"/>
      <c r="W442" s="463"/>
      <c r="X442" s="435"/>
      <c r="Y442" s="435"/>
      <c r="Z442" s="435"/>
      <c r="AA442" s="435"/>
      <c r="AB442" s="435"/>
      <c r="AC442" s="408"/>
      <c r="AD442" s="4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</row>
    <row r="443" spans="1:46" ht="15.75" customHeight="1">
      <c r="A443" s="110"/>
      <c r="B443" s="110"/>
      <c r="C443" s="110"/>
      <c r="D443" s="118"/>
      <c r="E443" s="118"/>
      <c r="F443" s="118"/>
      <c r="G443" s="408"/>
      <c r="H443" s="408"/>
      <c r="I443" s="408"/>
      <c r="J443" s="408"/>
      <c r="K443" s="408"/>
      <c r="L443" s="408"/>
      <c r="M443" s="118"/>
      <c r="N443" s="435"/>
      <c r="O443" s="435"/>
      <c r="P443" s="435"/>
      <c r="Q443" s="435"/>
      <c r="R443" s="435"/>
      <c r="S443" s="435"/>
      <c r="T443" s="435"/>
      <c r="U443" s="435"/>
      <c r="V443" s="435"/>
      <c r="W443" s="463"/>
      <c r="X443" s="435"/>
      <c r="Y443" s="435"/>
      <c r="Z443" s="435"/>
      <c r="AA443" s="435"/>
      <c r="AB443" s="435"/>
      <c r="AC443" s="408"/>
      <c r="AD443" s="4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</row>
    <row r="444" spans="1:46" ht="15.75" customHeight="1">
      <c r="A444" s="110"/>
      <c r="B444" s="110"/>
      <c r="C444" s="110"/>
      <c r="D444" s="118"/>
      <c r="E444" s="118"/>
      <c r="F444" s="118"/>
      <c r="G444" s="408"/>
      <c r="H444" s="408"/>
      <c r="I444" s="408"/>
      <c r="J444" s="408"/>
      <c r="K444" s="408"/>
      <c r="L444" s="408"/>
      <c r="M444" s="118"/>
      <c r="N444" s="435"/>
      <c r="O444" s="435"/>
      <c r="P444" s="435"/>
      <c r="Q444" s="435"/>
      <c r="R444" s="435"/>
      <c r="S444" s="435"/>
      <c r="T444" s="435"/>
      <c r="U444" s="435"/>
      <c r="V444" s="435"/>
      <c r="W444" s="463"/>
      <c r="X444" s="435"/>
      <c r="Y444" s="435"/>
      <c r="Z444" s="435"/>
      <c r="AA444" s="435"/>
      <c r="AB444" s="435"/>
      <c r="AC444" s="408"/>
      <c r="AD444" s="4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</row>
    <row r="445" spans="1:46" ht="15.75" customHeight="1">
      <c r="A445" s="110"/>
      <c r="B445" s="110"/>
      <c r="C445" s="110"/>
      <c r="D445" s="118"/>
      <c r="E445" s="118"/>
      <c r="F445" s="118"/>
      <c r="G445" s="408"/>
      <c r="H445" s="408"/>
      <c r="I445" s="408"/>
      <c r="J445" s="408"/>
      <c r="K445" s="408"/>
      <c r="L445" s="408"/>
      <c r="M445" s="118"/>
      <c r="N445" s="435"/>
      <c r="O445" s="435"/>
      <c r="P445" s="435"/>
      <c r="Q445" s="435"/>
      <c r="R445" s="435"/>
      <c r="S445" s="435"/>
      <c r="T445" s="435"/>
      <c r="U445" s="435"/>
      <c r="V445" s="435"/>
      <c r="W445" s="463"/>
      <c r="X445" s="435"/>
      <c r="Y445" s="435"/>
      <c r="Z445" s="435"/>
      <c r="AA445" s="435"/>
      <c r="AB445" s="435"/>
      <c r="AC445" s="408"/>
      <c r="AD445" s="4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</row>
    <row r="446" spans="1:46" ht="15.75" customHeight="1">
      <c r="A446" s="110"/>
      <c r="B446" s="110"/>
      <c r="C446" s="110"/>
      <c r="D446" s="118"/>
      <c r="E446" s="118"/>
      <c r="F446" s="118"/>
      <c r="G446" s="408"/>
      <c r="H446" s="408"/>
      <c r="I446" s="408"/>
      <c r="J446" s="408"/>
      <c r="K446" s="408"/>
      <c r="L446" s="408"/>
      <c r="M446" s="118"/>
      <c r="N446" s="435"/>
      <c r="O446" s="435"/>
      <c r="P446" s="435"/>
      <c r="Q446" s="435"/>
      <c r="R446" s="435"/>
      <c r="S446" s="435"/>
      <c r="T446" s="435"/>
      <c r="U446" s="435"/>
      <c r="V446" s="435"/>
      <c r="W446" s="463"/>
      <c r="X446" s="435"/>
      <c r="Y446" s="435"/>
      <c r="Z446" s="435"/>
      <c r="AA446" s="435"/>
      <c r="AB446" s="435"/>
      <c r="AC446" s="408"/>
      <c r="AD446" s="4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</row>
    <row r="447" spans="1:46" ht="15.75" customHeight="1">
      <c r="A447" s="110"/>
      <c r="B447" s="110"/>
      <c r="C447" s="110"/>
      <c r="D447" s="118"/>
      <c r="E447" s="118"/>
      <c r="F447" s="118"/>
      <c r="G447" s="408"/>
      <c r="H447" s="408"/>
      <c r="I447" s="408"/>
      <c r="J447" s="408"/>
      <c r="K447" s="408"/>
      <c r="L447" s="408"/>
      <c r="M447" s="118"/>
      <c r="N447" s="435"/>
      <c r="O447" s="435"/>
      <c r="P447" s="435"/>
      <c r="Q447" s="435"/>
      <c r="R447" s="435"/>
      <c r="S447" s="435"/>
      <c r="T447" s="435"/>
      <c r="U447" s="435"/>
      <c r="V447" s="435"/>
      <c r="W447" s="463"/>
      <c r="X447" s="435"/>
      <c r="Y447" s="435"/>
      <c r="Z447" s="435"/>
      <c r="AA447" s="435"/>
      <c r="AB447" s="435"/>
      <c r="AC447" s="408"/>
      <c r="AD447" s="4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</row>
    <row r="448" spans="1:46" ht="15.75" customHeight="1">
      <c r="A448" s="110"/>
      <c r="B448" s="110"/>
      <c r="C448" s="110"/>
      <c r="D448" s="118"/>
      <c r="E448" s="118"/>
      <c r="F448" s="118"/>
      <c r="G448" s="408"/>
      <c r="H448" s="408"/>
      <c r="I448" s="408"/>
      <c r="J448" s="408"/>
      <c r="K448" s="408"/>
      <c r="L448" s="408"/>
      <c r="M448" s="118"/>
      <c r="N448" s="435"/>
      <c r="O448" s="435"/>
      <c r="P448" s="435"/>
      <c r="Q448" s="435"/>
      <c r="R448" s="435"/>
      <c r="S448" s="435"/>
      <c r="T448" s="435"/>
      <c r="U448" s="435"/>
      <c r="V448" s="435"/>
      <c r="W448" s="463"/>
      <c r="X448" s="435"/>
      <c r="Y448" s="435"/>
      <c r="Z448" s="435"/>
      <c r="AA448" s="435"/>
      <c r="AB448" s="435"/>
      <c r="AC448" s="408"/>
      <c r="AD448" s="4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</row>
    <row r="449" spans="1:46" ht="15.75" customHeight="1">
      <c r="A449" s="110"/>
      <c r="B449" s="110"/>
      <c r="C449" s="110"/>
      <c r="D449" s="118"/>
      <c r="E449" s="118"/>
      <c r="F449" s="118"/>
      <c r="G449" s="408"/>
      <c r="H449" s="408"/>
      <c r="I449" s="408"/>
      <c r="J449" s="408"/>
      <c r="K449" s="408"/>
      <c r="L449" s="408"/>
      <c r="M449" s="118"/>
      <c r="N449" s="435"/>
      <c r="O449" s="435"/>
      <c r="P449" s="435"/>
      <c r="Q449" s="435"/>
      <c r="R449" s="435"/>
      <c r="S449" s="435"/>
      <c r="T449" s="435"/>
      <c r="U449" s="435"/>
      <c r="V449" s="435"/>
      <c r="W449" s="463"/>
      <c r="X449" s="435"/>
      <c r="Y449" s="435"/>
      <c r="Z449" s="435"/>
      <c r="AA449" s="435"/>
      <c r="AB449" s="435"/>
      <c r="AC449" s="408"/>
      <c r="AD449" s="4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</row>
    <row r="450" spans="1:46" ht="15.75" customHeight="1">
      <c r="A450" s="110"/>
      <c r="B450" s="110"/>
      <c r="C450" s="110"/>
      <c r="D450" s="118"/>
      <c r="E450" s="118"/>
      <c r="F450" s="118"/>
      <c r="G450" s="408"/>
      <c r="H450" s="408"/>
      <c r="I450" s="408"/>
      <c r="J450" s="408"/>
      <c r="K450" s="408"/>
      <c r="L450" s="408"/>
      <c r="M450" s="118"/>
      <c r="N450" s="435"/>
      <c r="O450" s="435"/>
      <c r="P450" s="435"/>
      <c r="Q450" s="435"/>
      <c r="R450" s="435"/>
      <c r="S450" s="435"/>
      <c r="T450" s="435"/>
      <c r="U450" s="435"/>
      <c r="V450" s="435"/>
      <c r="W450" s="463"/>
      <c r="X450" s="435"/>
      <c r="Y450" s="435"/>
      <c r="Z450" s="435"/>
      <c r="AA450" s="435"/>
      <c r="AB450" s="435"/>
      <c r="AC450" s="408"/>
      <c r="AD450" s="4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</row>
    <row r="451" spans="1:46" ht="15.75" customHeight="1">
      <c r="A451" s="110"/>
      <c r="B451" s="110"/>
      <c r="C451" s="110"/>
      <c r="D451" s="118"/>
      <c r="E451" s="118"/>
      <c r="F451" s="118"/>
      <c r="G451" s="408"/>
      <c r="H451" s="408"/>
      <c r="I451" s="408"/>
      <c r="J451" s="408"/>
      <c r="K451" s="408"/>
      <c r="L451" s="408"/>
      <c r="M451" s="118"/>
      <c r="N451" s="435"/>
      <c r="O451" s="435"/>
      <c r="P451" s="435"/>
      <c r="Q451" s="435"/>
      <c r="R451" s="435"/>
      <c r="S451" s="435"/>
      <c r="T451" s="435"/>
      <c r="U451" s="435"/>
      <c r="V451" s="435"/>
      <c r="W451" s="463"/>
      <c r="X451" s="435"/>
      <c r="Y451" s="435"/>
      <c r="Z451" s="435"/>
      <c r="AA451" s="435"/>
      <c r="AB451" s="435"/>
      <c r="AC451" s="408"/>
      <c r="AD451" s="4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</row>
    <row r="452" spans="1:46" ht="15.75" customHeight="1">
      <c r="A452" s="110"/>
      <c r="B452" s="110"/>
      <c r="C452" s="110"/>
      <c r="D452" s="118"/>
      <c r="E452" s="118"/>
      <c r="F452" s="118"/>
      <c r="G452" s="408"/>
      <c r="H452" s="408"/>
      <c r="I452" s="408"/>
      <c r="J452" s="408"/>
      <c r="K452" s="408"/>
      <c r="L452" s="408"/>
      <c r="M452" s="118"/>
      <c r="N452" s="435"/>
      <c r="O452" s="435"/>
      <c r="P452" s="435"/>
      <c r="Q452" s="435"/>
      <c r="R452" s="435"/>
      <c r="S452" s="435"/>
      <c r="T452" s="435"/>
      <c r="U452" s="435"/>
      <c r="V452" s="435"/>
      <c r="W452" s="463"/>
      <c r="X452" s="435"/>
      <c r="Y452" s="435"/>
      <c r="Z452" s="435"/>
      <c r="AA452" s="435"/>
      <c r="AB452" s="435"/>
      <c r="AC452" s="408"/>
      <c r="AD452" s="4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</row>
    <row r="453" spans="1:46" ht="15.75" customHeight="1">
      <c r="A453" s="110"/>
      <c r="B453" s="110"/>
      <c r="C453" s="110"/>
      <c r="D453" s="118"/>
      <c r="E453" s="118"/>
      <c r="F453" s="118"/>
      <c r="G453" s="408"/>
      <c r="H453" s="408"/>
      <c r="I453" s="408"/>
      <c r="J453" s="408"/>
      <c r="K453" s="408"/>
      <c r="L453" s="408"/>
      <c r="M453" s="118"/>
      <c r="N453" s="435"/>
      <c r="O453" s="435"/>
      <c r="P453" s="435"/>
      <c r="Q453" s="435"/>
      <c r="R453" s="435"/>
      <c r="S453" s="435"/>
      <c r="T453" s="435"/>
      <c r="U453" s="435"/>
      <c r="V453" s="435"/>
      <c r="W453" s="463"/>
      <c r="X453" s="435"/>
      <c r="Y453" s="435"/>
      <c r="Z453" s="435"/>
      <c r="AA453" s="435"/>
      <c r="AB453" s="435"/>
      <c r="AC453" s="408"/>
      <c r="AD453" s="4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</row>
    <row r="454" spans="1:46" ht="15.75" customHeight="1">
      <c r="A454" s="110"/>
      <c r="B454" s="110"/>
      <c r="C454" s="110"/>
      <c r="D454" s="118"/>
      <c r="E454" s="118"/>
      <c r="F454" s="118"/>
      <c r="G454" s="408"/>
      <c r="H454" s="408"/>
      <c r="I454" s="408"/>
      <c r="J454" s="408"/>
      <c r="K454" s="408"/>
      <c r="L454" s="408"/>
      <c r="M454" s="118"/>
      <c r="N454" s="435"/>
      <c r="O454" s="435"/>
      <c r="P454" s="435"/>
      <c r="Q454" s="435"/>
      <c r="R454" s="435"/>
      <c r="S454" s="435"/>
      <c r="T454" s="435"/>
      <c r="U454" s="435"/>
      <c r="V454" s="435"/>
      <c r="W454" s="463"/>
      <c r="X454" s="435"/>
      <c r="Y454" s="435"/>
      <c r="Z454" s="435"/>
      <c r="AA454" s="435"/>
      <c r="AB454" s="435"/>
      <c r="AC454" s="408"/>
      <c r="AD454" s="4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</row>
    <row r="455" spans="1:46" ht="15.75" customHeight="1">
      <c r="A455" s="110"/>
      <c r="B455" s="110"/>
      <c r="C455" s="110"/>
      <c r="D455" s="118"/>
      <c r="E455" s="118"/>
      <c r="F455" s="118"/>
      <c r="G455" s="408"/>
      <c r="H455" s="408"/>
      <c r="I455" s="408"/>
      <c r="J455" s="408"/>
      <c r="K455" s="408"/>
      <c r="L455" s="408"/>
      <c r="M455" s="118"/>
      <c r="N455" s="435"/>
      <c r="O455" s="435"/>
      <c r="P455" s="435"/>
      <c r="Q455" s="435"/>
      <c r="R455" s="435"/>
      <c r="S455" s="435"/>
      <c r="T455" s="435"/>
      <c r="U455" s="435"/>
      <c r="V455" s="435"/>
      <c r="W455" s="463"/>
      <c r="X455" s="435"/>
      <c r="Y455" s="435"/>
      <c r="Z455" s="435"/>
      <c r="AA455" s="435"/>
      <c r="AB455" s="435"/>
      <c r="AC455" s="408"/>
      <c r="AD455" s="4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</row>
    <row r="456" spans="1:46" ht="15.75" customHeight="1">
      <c r="A456" s="110"/>
      <c r="B456" s="110"/>
      <c r="C456" s="110"/>
      <c r="D456" s="118"/>
      <c r="E456" s="118"/>
      <c r="F456" s="118"/>
      <c r="G456" s="408"/>
      <c r="H456" s="408"/>
      <c r="I456" s="408"/>
      <c r="J456" s="408"/>
      <c r="K456" s="408"/>
      <c r="L456" s="408"/>
      <c r="M456" s="118"/>
      <c r="N456" s="435"/>
      <c r="O456" s="435"/>
      <c r="P456" s="435"/>
      <c r="Q456" s="435"/>
      <c r="R456" s="435"/>
      <c r="S456" s="435"/>
      <c r="T456" s="435"/>
      <c r="U456" s="435"/>
      <c r="V456" s="435"/>
      <c r="W456" s="463"/>
      <c r="X456" s="435"/>
      <c r="Y456" s="435"/>
      <c r="Z456" s="435"/>
      <c r="AA456" s="435"/>
      <c r="AB456" s="435"/>
      <c r="AC456" s="408"/>
      <c r="AD456" s="4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</row>
    <row r="457" spans="1:46" ht="15.75" customHeight="1">
      <c r="A457" s="110"/>
      <c r="B457" s="110"/>
      <c r="C457" s="110"/>
      <c r="D457" s="118"/>
      <c r="E457" s="118"/>
      <c r="F457" s="118"/>
      <c r="G457" s="408"/>
      <c r="H457" s="408"/>
      <c r="I457" s="408"/>
      <c r="J457" s="408"/>
      <c r="K457" s="408"/>
      <c r="L457" s="408"/>
      <c r="M457" s="118"/>
      <c r="N457" s="435"/>
      <c r="O457" s="435"/>
      <c r="P457" s="435"/>
      <c r="Q457" s="435"/>
      <c r="R457" s="435"/>
      <c r="S457" s="435"/>
      <c r="T457" s="435"/>
      <c r="U457" s="435"/>
      <c r="V457" s="435"/>
      <c r="W457" s="463"/>
      <c r="X457" s="435"/>
      <c r="Y457" s="435"/>
      <c r="Z457" s="435"/>
      <c r="AA457" s="435"/>
      <c r="AB457" s="435"/>
      <c r="AC457" s="408"/>
      <c r="AD457" s="4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</row>
    <row r="458" spans="1:46" ht="15.75" customHeight="1">
      <c r="A458" s="110"/>
      <c r="B458" s="110"/>
      <c r="C458" s="110"/>
      <c r="D458" s="118"/>
      <c r="E458" s="118"/>
      <c r="F458" s="118"/>
      <c r="G458" s="408"/>
      <c r="H458" s="408"/>
      <c r="I458" s="408"/>
      <c r="J458" s="408"/>
      <c r="K458" s="408"/>
      <c r="L458" s="408"/>
      <c r="M458" s="118"/>
      <c r="N458" s="435"/>
      <c r="O458" s="435"/>
      <c r="P458" s="435"/>
      <c r="Q458" s="435"/>
      <c r="R458" s="435"/>
      <c r="S458" s="435"/>
      <c r="T458" s="435"/>
      <c r="U458" s="435"/>
      <c r="V458" s="435"/>
      <c r="W458" s="463"/>
      <c r="X458" s="435"/>
      <c r="Y458" s="435"/>
      <c r="Z458" s="435"/>
      <c r="AA458" s="435"/>
      <c r="AB458" s="435"/>
      <c r="AC458" s="408"/>
      <c r="AD458" s="4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</row>
    <row r="459" spans="1:46" ht="15.75" customHeight="1">
      <c r="A459" s="110"/>
      <c r="B459" s="110"/>
      <c r="C459" s="110"/>
      <c r="D459" s="118"/>
      <c r="E459" s="118"/>
      <c r="F459" s="118"/>
      <c r="G459" s="408"/>
      <c r="H459" s="408"/>
      <c r="I459" s="408"/>
      <c r="J459" s="408"/>
      <c r="K459" s="408"/>
      <c r="L459" s="408"/>
      <c r="M459" s="118"/>
      <c r="N459" s="435"/>
      <c r="O459" s="435"/>
      <c r="P459" s="435"/>
      <c r="Q459" s="435"/>
      <c r="R459" s="435"/>
      <c r="S459" s="435"/>
      <c r="T459" s="435"/>
      <c r="U459" s="435"/>
      <c r="V459" s="435"/>
      <c r="W459" s="463"/>
      <c r="X459" s="435"/>
      <c r="Y459" s="435"/>
      <c r="Z459" s="435"/>
      <c r="AA459" s="435"/>
      <c r="AB459" s="435"/>
      <c r="AC459" s="408"/>
      <c r="AD459" s="4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</row>
    <row r="460" spans="1:46" ht="15.75" customHeight="1">
      <c r="A460" s="110"/>
      <c r="B460" s="110"/>
      <c r="C460" s="110"/>
      <c r="D460" s="118"/>
      <c r="E460" s="118"/>
      <c r="F460" s="118"/>
      <c r="G460" s="408"/>
      <c r="H460" s="408"/>
      <c r="I460" s="408"/>
      <c r="J460" s="408"/>
      <c r="K460" s="408"/>
      <c r="L460" s="408"/>
      <c r="M460" s="118"/>
      <c r="N460" s="435"/>
      <c r="O460" s="435"/>
      <c r="P460" s="435"/>
      <c r="Q460" s="435"/>
      <c r="R460" s="435"/>
      <c r="S460" s="435"/>
      <c r="T460" s="435"/>
      <c r="U460" s="435"/>
      <c r="V460" s="435"/>
      <c r="W460" s="463"/>
      <c r="X460" s="435"/>
      <c r="Y460" s="435"/>
      <c r="Z460" s="435"/>
      <c r="AA460" s="435"/>
      <c r="AB460" s="435"/>
      <c r="AC460" s="408"/>
      <c r="AD460" s="4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</row>
    <row r="461" spans="1:46" ht="15.75" customHeight="1">
      <c r="A461" s="110"/>
      <c r="B461" s="110"/>
      <c r="C461" s="110"/>
      <c r="D461" s="118"/>
      <c r="E461" s="118"/>
      <c r="F461" s="118"/>
      <c r="G461" s="408"/>
      <c r="H461" s="408"/>
      <c r="I461" s="408"/>
      <c r="J461" s="408"/>
      <c r="K461" s="408"/>
      <c r="L461" s="408"/>
      <c r="M461" s="118"/>
      <c r="N461" s="435"/>
      <c r="O461" s="435"/>
      <c r="P461" s="435"/>
      <c r="Q461" s="435"/>
      <c r="R461" s="435"/>
      <c r="S461" s="435"/>
      <c r="T461" s="435"/>
      <c r="U461" s="435"/>
      <c r="V461" s="435"/>
      <c r="W461" s="463"/>
      <c r="X461" s="435"/>
      <c r="Y461" s="435"/>
      <c r="Z461" s="435"/>
      <c r="AA461" s="435"/>
      <c r="AB461" s="435"/>
      <c r="AC461" s="408"/>
      <c r="AD461" s="4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</row>
    <row r="462" spans="1:46" ht="15.75" customHeight="1">
      <c r="A462" s="110"/>
      <c r="B462" s="110"/>
      <c r="C462" s="110"/>
      <c r="D462" s="118"/>
      <c r="E462" s="118"/>
      <c r="F462" s="118"/>
      <c r="G462" s="408"/>
      <c r="H462" s="408"/>
      <c r="I462" s="408"/>
      <c r="J462" s="408"/>
      <c r="K462" s="408"/>
      <c r="L462" s="408"/>
      <c r="M462" s="118"/>
      <c r="N462" s="435"/>
      <c r="O462" s="435"/>
      <c r="P462" s="435"/>
      <c r="Q462" s="435"/>
      <c r="R462" s="435"/>
      <c r="S462" s="435"/>
      <c r="T462" s="435"/>
      <c r="U462" s="435"/>
      <c r="V462" s="435"/>
      <c r="W462" s="463"/>
      <c r="X462" s="435"/>
      <c r="Y462" s="435"/>
      <c r="Z462" s="435"/>
      <c r="AA462" s="435"/>
      <c r="AB462" s="435"/>
      <c r="AC462" s="408"/>
      <c r="AD462" s="4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</row>
    <row r="463" spans="1:46" ht="15.75" customHeight="1">
      <c r="A463" s="110"/>
      <c r="B463" s="110"/>
      <c r="C463" s="110"/>
      <c r="D463" s="118"/>
      <c r="E463" s="118"/>
      <c r="F463" s="118"/>
      <c r="G463" s="408"/>
      <c r="H463" s="408"/>
      <c r="I463" s="408"/>
      <c r="J463" s="408"/>
      <c r="K463" s="408"/>
      <c r="L463" s="408"/>
      <c r="M463" s="118"/>
      <c r="N463" s="435"/>
      <c r="O463" s="435"/>
      <c r="P463" s="435"/>
      <c r="Q463" s="435"/>
      <c r="R463" s="435"/>
      <c r="S463" s="435"/>
      <c r="T463" s="435"/>
      <c r="U463" s="435"/>
      <c r="V463" s="435"/>
      <c r="W463" s="463"/>
      <c r="X463" s="435"/>
      <c r="Y463" s="435"/>
      <c r="Z463" s="435"/>
      <c r="AA463" s="435"/>
      <c r="AB463" s="435"/>
      <c r="AC463" s="408"/>
      <c r="AD463" s="4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</row>
    <row r="464" spans="1:46" ht="15.75" customHeight="1">
      <c r="A464" s="110"/>
      <c r="B464" s="110"/>
      <c r="C464" s="110"/>
      <c r="D464" s="118"/>
      <c r="E464" s="118"/>
      <c r="F464" s="118"/>
      <c r="G464" s="408"/>
      <c r="H464" s="408"/>
      <c r="I464" s="408"/>
      <c r="J464" s="408"/>
      <c r="K464" s="408"/>
      <c r="L464" s="408"/>
      <c r="M464" s="118"/>
      <c r="N464" s="435"/>
      <c r="O464" s="435"/>
      <c r="P464" s="435"/>
      <c r="Q464" s="435"/>
      <c r="R464" s="435"/>
      <c r="S464" s="435"/>
      <c r="T464" s="435"/>
      <c r="U464" s="435"/>
      <c r="V464" s="435"/>
      <c r="W464" s="463"/>
      <c r="X464" s="435"/>
      <c r="Y464" s="435"/>
      <c r="Z464" s="435"/>
      <c r="AA464" s="435"/>
      <c r="AB464" s="435"/>
      <c r="AC464" s="408"/>
      <c r="AD464" s="4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</row>
    <row r="465" spans="1:46" ht="15.75" customHeight="1">
      <c r="A465" s="110"/>
      <c r="B465" s="110"/>
      <c r="C465" s="110"/>
      <c r="D465" s="118"/>
      <c r="E465" s="118"/>
      <c r="F465" s="118"/>
      <c r="G465" s="408"/>
      <c r="H465" s="408"/>
      <c r="I465" s="408"/>
      <c r="J465" s="408"/>
      <c r="K465" s="408"/>
      <c r="L465" s="408"/>
      <c r="M465" s="118"/>
      <c r="N465" s="435"/>
      <c r="O465" s="435"/>
      <c r="P465" s="435"/>
      <c r="Q465" s="435"/>
      <c r="R465" s="435"/>
      <c r="S465" s="435"/>
      <c r="T465" s="435"/>
      <c r="U465" s="435"/>
      <c r="V465" s="435"/>
      <c r="W465" s="463"/>
      <c r="X465" s="435"/>
      <c r="Y465" s="435"/>
      <c r="Z465" s="435"/>
      <c r="AA465" s="435"/>
      <c r="AB465" s="435"/>
      <c r="AC465" s="408"/>
      <c r="AD465" s="4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</row>
    <row r="466" spans="1:46" ht="15.75" customHeight="1">
      <c r="A466" s="110"/>
      <c r="B466" s="110"/>
      <c r="C466" s="110"/>
      <c r="D466" s="118"/>
      <c r="E466" s="118"/>
      <c r="F466" s="118"/>
      <c r="G466" s="408"/>
      <c r="H466" s="408"/>
      <c r="I466" s="408"/>
      <c r="J466" s="408"/>
      <c r="K466" s="408"/>
      <c r="L466" s="408"/>
      <c r="M466" s="118"/>
      <c r="N466" s="435"/>
      <c r="O466" s="435"/>
      <c r="P466" s="435"/>
      <c r="Q466" s="435"/>
      <c r="R466" s="435"/>
      <c r="S466" s="435"/>
      <c r="T466" s="435"/>
      <c r="U466" s="435"/>
      <c r="V466" s="435"/>
      <c r="W466" s="463"/>
      <c r="X466" s="435"/>
      <c r="Y466" s="435"/>
      <c r="Z466" s="435"/>
      <c r="AA466" s="435"/>
      <c r="AB466" s="435"/>
      <c r="AC466" s="408"/>
      <c r="AD466" s="4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</row>
    <row r="467" spans="1:46" ht="15.75" customHeight="1">
      <c r="A467" s="110"/>
      <c r="B467" s="110"/>
      <c r="C467" s="110"/>
      <c r="D467" s="118"/>
      <c r="E467" s="118"/>
      <c r="F467" s="118"/>
      <c r="G467" s="408"/>
      <c r="H467" s="408"/>
      <c r="I467" s="408"/>
      <c r="J467" s="408"/>
      <c r="K467" s="408"/>
      <c r="L467" s="408"/>
      <c r="M467" s="118"/>
      <c r="N467" s="435"/>
      <c r="O467" s="435"/>
      <c r="P467" s="435"/>
      <c r="Q467" s="435"/>
      <c r="R467" s="435"/>
      <c r="S467" s="435"/>
      <c r="T467" s="435"/>
      <c r="U467" s="435"/>
      <c r="V467" s="435"/>
      <c r="W467" s="463"/>
      <c r="X467" s="435"/>
      <c r="Y467" s="435"/>
      <c r="Z467" s="435"/>
      <c r="AA467" s="435"/>
      <c r="AB467" s="435"/>
      <c r="AC467" s="408"/>
      <c r="AD467" s="4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</row>
    <row r="468" spans="1:46" ht="15.75" customHeight="1">
      <c r="A468" s="110"/>
      <c r="B468" s="110"/>
      <c r="C468" s="110"/>
      <c r="D468" s="118"/>
      <c r="E468" s="118"/>
      <c r="F468" s="118"/>
      <c r="G468" s="408"/>
      <c r="H468" s="408"/>
      <c r="I468" s="408"/>
      <c r="J468" s="408"/>
      <c r="K468" s="408"/>
      <c r="L468" s="408"/>
      <c r="M468" s="118"/>
      <c r="N468" s="435"/>
      <c r="O468" s="435"/>
      <c r="P468" s="435"/>
      <c r="Q468" s="435"/>
      <c r="R468" s="435"/>
      <c r="S468" s="435"/>
      <c r="T468" s="435"/>
      <c r="U468" s="435"/>
      <c r="V468" s="435"/>
      <c r="W468" s="463"/>
      <c r="X468" s="435"/>
      <c r="Y468" s="435"/>
      <c r="Z468" s="435"/>
      <c r="AA468" s="435"/>
      <c r="AB468" s="435"/>
      <c r="AC468" s="408"/>
      <c r="AD468" s="4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</row>
    <row r="469" spans="1:46" ht="15.75" customHeight="1">
      <c r="A469" s="110"/>
      <c r="B469" s="110"/>
      <c r="C469" s="110"/>
      <c r="D469" s="118"/>
      <c r="E469" s="118"/>
      <c r="F469" s="118"/>
      <c r="G469" s="408"/>
      <c r="H469" s="408"/>
      <c r="I469" s="408"/>
      <c r="J469" s="408"/>
      <c r="K469" s="408"/>
      <c r="L469" s="408"/>
      <c r="M469" s="118"/>
      <c r="N469" s="435"/>
      <c r="O469" s="435"/>
      <c r="P469" s="435"/>
      <c r="Q469" s="435"/>
      <c r="R469" s="435"/>
      <c r="S469" s="435"/>
      <c r="T469" s="435"/>
      <c r="U469" s="435"/>
      <c r="V469" s="435"/>
      <c r="W469" s="463"/>
      <c r="X469" s="435"/>
      <c r="Y469" s="435"/>
      <c r="Z469" s="435"/>
      <c r="AA469" s="435"/>
      <c r="AB469" s="435"/>
      <c r="AC469" s="408"/>
      <c r="AD469" s="4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</row>
    <row r="470" spans="1:46" ht="15.75" customHeight="1">
      <c r="A470" s="110"/>
      <c r="B470" s="110"/>
      <c r="C470" s="110"/>
      <c r="D470" s="118"/>
      <c r="E470" s="118"/>
      <c r="F470" s="118"/>
      <c r="G470" s="408"/>
      <c r="H470" s="408"/>
      <c r="I470" s="408"/>
      <c r="J470" s="408"/>
      <c r="K470" s="408"/>
      <c r="L470" s="408"/>
      <c r="M470" s="118"/>
      <c r="N470" s="435"/>
      <c r="O470" s="435"/>
      <c r="P470" s="435"/>
      <c r="Q470" s="435"/>
      <c r="R470" s="435"/>
      <c r="S470" s="435"/>
      <c r="T470" s="435"/>
      <c r="U470" s="435"/>
      <c r="V470" s="435"/>
      <c r="W470" s="463"/>
      <c r="X470" s="435"/>
      <c r="Y470" s="435"/>
      <c r="Z470" s="435"/>
      <c r="AA470" s="435"/>
      <c r="AB470" s="435"/>
      <c r="AC470" s="408"/>
      <c r="AD470" s="4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</row>
    <row r="471" spans="1:46" ht="15.75" customHeight="1">
      <c r="A471" s="110"/>
      <c r="B471" s="110"/>
      <c r="C471" s="110"/>
      <c r="D471" s="118"/>
      <c r="E471" s="118"/>
      <c r="F471" s="118"/>
      <c r="G471" s="408"/>
      <c r="H471" s="408"/>
      <c r="I471" s="408"/>
      <c r="J471" s="408"/>
      <c r="K471" s="408"/>
      <c r="L471" s="408"/>
      <c r="M471" s="118"/>
      <c r="N471" s="435"/>
      <c r="O471" s="435"/>
      <c r="P471" s="435"/>
      <c r="Q471" s="435"/>
      <c r="R471" s="435"/>
      <c r="S471" s="435"/>
      <c r="T471" s="435"/>
      <c r="U471" s="435"/>
      <c r="V471" s="435"/>
      <c r="W471" s="463"/>
      <c r="X471" s="435"/>
      <c r="Y471" s="435"/>
      <c r="Z471" s="435"/>
      <c r="AA471" s="435"/>
      <c r="AB471" s="435"/>
      <c r="AC471" s="408"/>
      <c r="AD471" s="4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</row>
    <row r="472" spans="1:46" ht="15.75" customHeight="1">
      <c r="A472" s="110"/>
      <c r="B472" s="110"/>
      <c r="C472" s="110"/>
      <c r="D472" s="118"/>
      <c r="E472" s="118"/>
      <c r="F472" s="118"/>
      <c r="G472" s="408"/>
      <c r="H472" s="408"/>
      <c r="I472" s="408"/>
      <c r="J472" s="408"/>
      <c r="K472" s="408"/>
      <c r="L472" s="408"/>
      <c r="M472" s="118"/>
      <c r="N472" s="435"/>
      <c r="O472" s="435"/>
      <c r="P472" s="435"/>
      <c r="Q472" s="435"/>
      <c r="R472" s="435"/>
      <c r="S472" s="435"/>
      <c r="T472" s="435"/>
      <c r="U472" s="435"/>
      <c r="V472" s="435"/>
      <c r="W472" s="463"/>
      <c r="X472" s="435"/>
      <c r="Y472" s="435"/>
      <c r="Z472" s="435"/>
      <c r="AA472" s="435"/>
      <c r="AB472" s="435"/>
      <c r="AC472" s="408"/>
      <c r="AD472" s="4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</row>
    <row r="473" spans="1:46" ht="15.75" customHeight="1">
      <c r="A473" s="110"/>
      <c r="B473" s="110"/>
      <c r="C473" s="110"/>
      <c r="D473" s="118"/>
      <c r="E473" s="118"/>
      <c r="F473" s="118"/>
      <c r="G473" s="408"/>
      <c r="H473" s="408"/>
      <c r="I473" s="408"/>
      <c r="J473" s="408"/>
      <c r="K473" s="408"/>
      <c r="L473" s="408"/>
      <c r="M473" s="118"/>
      <c r="N473" s="435"/>
      <c r="O473" s="435"/>
      <c r="P473" s="435"/>
      <c r="Q473" s="435"/>
      <c r="R473" s="435"/>
      <c r="S473" s="435"/>
      <c r="T473" s="435"/>
      <c r="U473" s="435"/>
      <c r="V473" s="435"/>
      <c r="W473" s="463"/>
      <c r="X473" s="435"/>
      <c r="Y473" s="435"/>
      <c r="Z473" s="435"/>
      <c r="AA473" s="435"/>
      <c r="AB473" s="435"/>
      <c r="AC473" s="408"/>
      <c r="AD473" s="4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</row>
    <row r="474" spans="1:46" ht="15.75" customHeight="1">
      <c r="A474" s="110"/>
      <c r="B474" s="110"/>
      <c r="C474" s="110"/>
      <c r="D474" s="118"/>
      <c r="E474" s="118"/>
      <c r="F474" s="118"/>
      <c r="G474" s="408"/>
      <c r="H474" s="408"/>
      <c r="I474" s="408"/>
      <c r="J474" s="408"/>
      <c r="K474" s="408"/>
      <c r="L474" s="408"/>
      <c r="M474" s="118"/>
      <c r="N474" s="435"/>
      <c r="O474" s="435"/>
      <c r="P474" s="435"/>
      <c r="Q474" s="435"/>
      <c r="R474" s="435"/>
      <c r="S474" s="435"/>
      <c r="T474" s="435"/>
      <c r="U474" s="435"/>
      <c r="V474" s="435"/>
      <c r="W474" s="463"/>
      <c r="X474" s="435"/>
      <c r="Y474" s="435"/>
      <c r="Z474" s="435"/>
      <c r="AA474" s="435"/>
      <c r="AB474" s="435"/>
      <c r="AC474" s="408"/>
      <c r="AD474" s="4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</row>
    <row r="475" spans="1:46" ht="15.75" customHeight="1">
      <c r="A475" s="110"/>
      <c r="B475" s="110"/>
      <c r="C475" s="110"/>
      <c r="D475" s="118"/>
      <c r="E475" s="118"/>
      <c r="F475" s="118"/>
      <c r="G475" s="408"/>
      <c r="H475" s="408"/>
      <c r="I475" s="408"/>
      <c r="J475" s="408"/>
      <c r="K475" s="408"/>
      <c r="L475" s="408"/>
      <c r="M475" s="118"/>
      <c r="N475" s="435"/>
      <c r="O475" s="435"/>
      <c r="P475" s="435"/>
      <c r="Q475" s="435"/>
      <c r="R475" s="435"/>
      <c r="S475" s="435"/>
      <c r="T475" s="435"/>
      <c r="U475" s="435"/>
      <c r="V475" s="435"/>
      <c r="W475" s="463"/>
      <c r="X475" s="435"/>
      <c r="Y475" s="435"/>
      <c r="Z475" s="435"/>
      <c r="AA475" s="435"/>
      <c r="AB475" s="435"/>
      <c r="AC475" s="408"/>
      <c r="AD475" s="4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</row>
    <row r="476" spans="1:46" ht="15.75" customHeight="1">
      <c r="A476" s="110"/>
      <c r="B476" s="110"/>
      <c r="C476" s="110"/>
      <c r="D476" s="118"/>
      <c r="E476" s="118"/>
      <c r="F476" s="118"/>
      <c r="G476" s="408"/>
      <c r="H476" s="408"/>
      <c r="I476" s="408"/>
      <c r="J476" s="408"/>
      <c r="K476" s="408"/>
      <c r="L476" s="408"/>
      <c r="M476" s="118"/>
      <c r="N476" s="435"/>
      <c r="O476" s="435"/>
      <c r="P476" s="435"/>
      <c r="Q476" s="435"/>
      <c r="R476" s="435"/>
      <c r="S476" s="435"/>
      <c r="T476" s="435"/>
      <c r="U476" s="435"/>
      <c r="V476" s="435"/>
      <c r="W476" s="463"/>
      <c r="X476" s="435"/>
      <c r="Y476" s="435"/>
      <c r="Z476" s="435"/>
      <c r="AA476" s="435"/>
      <c r="AB476" s="435"/>
      <c r="AC476" s="408"/>
      <c r="AD476" s="4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</row>
    <row r="477" spans="1:46" ht="15.75" customHeight="1">
      <c r="A477" s="110"/>
      <c r="B477" s="110"/>
      <c r="C477" s="110"/>
      <c r="D477" s="118"/>
      <c r="E477" s="118"/>
      <c r="F477" s="118"/>
      <c r="G477" s="408"/>
      <c r="H477" s="408"/>
      <c r="I477" s="408"/>
      <c r="J477" s="408"/>
      <c r="K477" s="408"/>
      <c r="L477" s="408"/>
      <c r="M477" s="118"/>
      <c r="N477" s="435"/>
      <c r="O477" s="435"/>
      <c r="P477" s="435"/>
      <c r="Q477" s="435"/>
      <c r="R477" s="435"/>
      <c r="S477" s="435"/>
      <c r="T477" s="435"/>
      <c r="U477" s="435"/>
      <c r="V477" s="435"/>
      <c r="W477" s="463"/>
      <c r="X477" s="435"/>
      <c r="Y477" s="435"/>
      <c r="Z477" s="435"/>
      <c r="AA477" s="435"/>
      <c r="AB477" s="435"/>
      <c r="AC477" s="408"/>
      <c r="AD477" s="4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</row>
    <row r="478" spans="1:46" ht="15.75" customHeight="1">
      <c r="A478" s="110"/>
      <c r="B478" s="110"/>
      <c r="C478" s="110"/>
      <c r="D478" s="118"/>
      <c r="E478" s="118"/>
      <c r="F478" s="118"/>
      <c r="G478" s="408"/>
      <c r="H478" s="408"/>
      <c r="I478" s="408"/>
      <c r="J478" s="408"/>
      <c r="K478" s="408"/>
      <c r="L478" s="408"/>
      <c r="M478" s="118"/>
      <c r="N478" s="435"/>
      <c r="O478" s="435"/>
      <c r="P478" s="435"/>
      <c r="Q478" s="435"/>
      <c r="R478" s="435"/>
      <c r="S478" s="435"/>
      <c r="T478" s="435"/>
      <c r="U478" s="435"/>
      <c r="V478" s="435"/>
      <c r="W478" s="463"/>
      <c r="X478" s="435"/>
      <c r="Y478" s="435"/>
      <c r="Z478" s="435"/>
      <c r="AA478" s="435"/>
      <c r="AB478" s="435"/>
      <c r="AC478" s="408"/>
      <c r="AD478" s="4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</row>
    <row r="479" spans="1:46" ht="15.75" customHeight="1">
      <c r="A479" s="110"/>
      <c r="B479" s="110"/>
      <c r="C479" s="110"/>
      <c r="D479" s="118"/>
      <c r="E479" s="118"/>
      <c r="F479" s="118"/>
      <c r="G479" s="408"/>
      <c r="H479" s="408"/>
      <c r="I479" s="408"/>
      <c r="J479" s="408"/>
      <c r="K479" s="408"/>
      <c r="L479" s="408"/>
      <c r="M479" s="118"/>
      <c r="N479" s="435"/>
      <c r="O479" s="435"/>
      <c r="P479" s="435"/>
      <c r="Q479" s="435"/>
      <c r="R479" s="435"/>
      <c r="S479" s="435"/>
      <c r="T479" s="435"/>
      <c r="U479" s="435"/>
      <c r="V479" s="435"/>
      <c r="W479" s="463"/>
      <c r="X479" s="435"/>
      <c r="Y479" s="435"/>
      <c r="Z479" s="435"/>
      <c r="AA479" s="435"/>
      <c r="AB479" s="435"/>
      <c r="AC479" s="408"/>
      <c r="AD479" s="4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</row>
    <row r="480" spans="1:46" ht="15.75" customHeight="1">
      <c r="A480" s="110"/>
      <c r="B480" s="110"/>
      <c r="C480" s="110"/>
      <c r="D480" s="118"/>
      <c r="E480" s="118"/>
      <c r="F480" s="118"/>
      <c r="G480" s="408"/>
      <c r="H480" s="408"/>
      <c r="I480" s="408"/>
      <c r="J480" s="408"/>
      <c r="K480" s="408"/>
      <c r="L480" s="408"/>
      <c r="M480" s="118"/>
      <c r="N480" s="435"/>
      <c r="O480" s="435"/>
      <c r="P480" s="435"/>
      <c r="Q480" s="435"/>
      <c r="R480" s="435"/>
      <c r="S480" s="435"/>
      <c r="T480" s="435"/>
      <c r="U480" s="435"/>
      <c r="V480" s="435"/>
      <c r="W480" s="463"/>
      <c r="X480" s="435"/>
      <c r="Y480" s="435"/>
      <c r="Z480" s="435"/>
      <c r="AA480" s="435"/>
      <c r="AB480" s="435"/>
      <c r="AC480" s="408"/>
      <c r="AD480" s="4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</row>
    <row r="481" spans="1:46" ht="15.75" customHeight="1">
      <c r="A481" s="110"/>
      <c r="B481" s="110"/>
      <c r="C481" s="110"/>
      <c r="D481" s="118"/>
      <c r="E481" s="118"/>
      <c r="F481" s="118"/>
      <c r="G481" s="408"/>
      <c r="H481" s="408"/>
      <c r="I481" s="408"/>
      <c r="J481" s="408"/>
      <c r="K481" s="408"/>
      <c r="L481" s="408"/>
      <c r="M481" s="118"/>
      <c r="N481" s="435"/>
      <c r="O481" s="435"/>
      <c r="P481" s="435"/>
      <c r="Q481" s="435"/>
      <c r="R481" s="435"/>
      <c r="S481" s="435"/>
      <c r="T481" s="435"/>
      <c r="U481" s="435"/>
      <c r="V481" s="435"/>
      <c r="W481" s="463"/>
      <c r="X481" s="435"/>
      <c r="Y481" s="435"/>
      <c r="Z481" s="435"/>
      <c r="AA481" s="435"/>
      <c r="AB481" s="435"/>
      <c r="AC481" s="408"/>
      <c r="AD481" s="4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</row>
    <row r="482" spans="1:46" ht="15.75" customHeight="1">
      <c r="A482" s="110"/>
      <c r="B482" s="110"/>
      <c r="C482" s="110"/>
      <c r="D482" s="118"/>
      <c r="E482" s="118"/>
      <c r="F482" s="118"/>
      <c r="G482" s="408"/>
      <c r="H482" s="408"/>
      <c r="I482" s="408"/>
      <c r="J482" s="408"/>
      <c r="K482" s="408"/>
      <c r="L482" s="408"/>
      <c r="M482" s="118"/>
      <c r="N482" s="435"/>
      <c r="O482" s="435"/>
      <c r="P482" s="435"/>
      <c r="Q482" s="435"/>
      <c r="R482" s="435"/>
      <c r="S482" s="435"/>
      <c r="T482" s="435"/>
      <c r="U482" s="435"/>
      <c r="V482" s="435"/>
      <c r="W482" s="463"/>
      <c r="X482" s="435"/>
      <c r="Y482" s="435"/>
      <c r="Z482" s="435"/>
      <c r="AA482" s="435"/>
      <c r="AB482" s="435"/>
      <c r="AC482" s="408"/>
      <c r="AD482" s="4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</row>
    <row r="483" spans="1:46" ht="15.75" customHeight="1">
      <c r="A483" s="110"/>
      <c r="B483" s="110"/>
      <c r="C483" s="110"/>
      <c r="D483" s="118"/>
      <c r="E483" s="118"/>
      <c r="F483" s="118"/>
      <c r="G483" s="408"/>
      <c r="H483" s="408"/>
      <c r="I483" s="408"/>
      <c r="J483" s="408"/>
      <c r="K483" s="408"/>
      <c r="L483" s="408"/>
      <c r="M483" s="118"/>
      <c r="N483" s="435"/>
      <c r="O483" s="435"/>
      <c r="P483" s="435"/>
      <c r="Q483" s="435"/>
      <c r="R483" s="435"/>
      <c r="S483" s="435"/>
      <c r="T483" s="435"/>
      <c r="U483" s="435"/>
      <c r="V483" s="435"/>
      <c r="W483" s="463"/>
      <c r="X483" s="435"/>
      <c r="Y483" s="435"/>
      <c r="Z483" s="435"/>
      <c r="AA483" s="435"/>
      <c r="AB483" s="435"/>
      <c r="AC483" s="408"/>
      <c r="AD483" s="4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</row>
    <row r="484" spans="1:46" ht="15.75" customHeight="1">
      <c r="A484" s="110"/>
      <c r="B484" s="110"/>
      <c r="C484" s="110"/>
      <c r="D484" s="118"/>
      <c r="E484" s="118"/>
      <c r="F484" s="118"/>
      <c r="G484" s="408"/>
      <c r="H484" s="408"/>
      <c r="I484" s="408"/>
      <c r="J484" s="408"/>
      <c r="K484" s="408"/>
      <c r="L484" s="408"/>
      <c r="M484" s="118"/>
      <c r="N484" s="435"/>
      <c r="O484" s="435"/>
      <c r="P484" s="435"/>
      <c r="Q484" s="435"/>
      <c r="R484" s="435"/>
      <c r="S484" s="435"/>
      <c r="T484" s="435"/>
      <c r="U484" s="435"/>
      <c r="V484" s="435"/>
      <c r="W484" s="463"/>
      <c r="X484" s="435"/>
      <c r="Y484" s="435"/>
      <c r="Z484" s="435"/>
      <c r="AA484" s="435"/>
      <c r="AB484" s="435"/>
      <c r="AC484" s="408"/>
      <c r="AD484" s="4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</row>
    <row r="485" spans="1:46" ht="15.75" customHeight="1">
      <c r="A485" s="110"/>
      <c r="B485" s="110"/>
      <c r="C485" s="110"/>
      <c r="D485" s="118"/>
      <c r="E485" s="118"/>
      <c r="F485" s="118"/>
      <c r="G485" s="408"/>
      <c r="H485" s="408"/>
      <c r="I485" s="408"/>
      <c r="J485" s="408"/>
      <c r="K485" s="408"/>
      <c r="L485" s="408"/>
      <c r="M485" s="118"/>
      <c r="N485" s="435"/>
      <c r="O485" s="435"/>
      <c r="P485" s="435"/>
      <c r="Q485" s="435"/>
      <c r="R485" s="435"/>
      <c r="S485" s="435"/>
      <c r="T485" s="435"/>
      <c r="U485" s="435"/>
      <c r="V485" s="435"/>
      <c r="W485" s="463"/>
      <c r="X485" s="435"/>
      <c r="Y485" s="435"/>
      <c r="Z485" s="435"/>
      <c r="AA485" s="435"/>
      <c r="AB485" s="435"/>
      <c r="AC485" s="408"/>
      <c r="AD485" s="4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</row>
    <row r="486" spans="1:46" ht="15.75" customHeight="1">
      <c r="A486" s="110"/>
      <c r="B486" s="110"/>
      <c r="C486" s="110"/>
      <c r="D486" s="118"/>
      <c r="E486" s="118"/>
      <c r="F486" s="118"/>
      <c r="G486" s="408"/>
      <c r="H486" s="408"/>
      <c r="I486" s="408"/>
      <c r="J486" s="408"/>
      <c r="K486" s="408"/>
      <c r="L486" s="408"/>
      <c r="M486" s="118"/>
      <c r="N486" s="435"/>
      <c r="O486" s="435"/>
      <c r="P486" s="435"/>
      <c r="Q486" s="435"/>
      <c r="R486" s="435"/>
      <c r="S486" s="435"/>
      <c r="T486" s="435"/>
      <c r="U486" s="435"/>
      <c r="V486" s="435"/>
      <c r="W486" s="463"/>
      <c r="X486" s="435"/>
      <c r="Y486" s="435"/>
      <c r="Z486" s="435"/>
      <c r="AA486" s="435"/>
      <c r="AB486" s="435"/>
      <c r="AC486" s="408"/>
      <c r="AD486" s="4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</row>
    <row r="487" spans="1:46" ht="15.75" customHeight="1">
      <c r="A487" s="110"/>
      <c r="B487" s="110"/>
      <c r="C487" s="110"/>
      <c r="D487" s="118"/>
      <c r="E487" s="118"/>
      <c r="F487" s="118"/>
      <c r="G487" s="408"/>
      <c r="H487" s="408"/>
      <c r="I487" s="408"/>
      <c r="J487" s="408"/>
      <c r="K487" s="408"/>
      <c r="L487" s="408"/>
      <c r="M487" s="118"/>
      <c r="N487" s="435"/>
      <c r="O487" s="435"/>
      <c r="P487" s="435"/>
      <c r="Q487" s="435"/>
      <c r="R487" s="435"/>
      <c r="S487" s="435"/>
      <c r="T487" s="435"/>
      <c r="U487" s="435"/>
      <c r="V487" s="435"/>
      <c r="W487" s="463"/>
      <c r="X487" s="435"/>
      <c r="Y487" s="435"/>
      <c r="Z487" s="435"/>
      <c r="AA487" s="435"/>
      <c r="AB487" s="435"/>
      <c r="AC487" s="408"/>
      <c r="AD487" s="4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</row>
    <row r="488" spans="1:46" ht="15.75" customHeight="1">
      <c r="A488" s="110"/>
      <c r="B488" s="110"/>
      <c r="C488" s="110"/>
      <c r="D488" s="118"/>
      <c r="E488" s="118"/>
      <c r="F488" s="118"/>
      <c r="G488" s="408"/>
      <c r="H488" s="408"/>
      <c r="I488" s="408"/>
      <c r="J488" s="408"/>
      <c r="K488" s="408"/>
      <c r="L488" s="408"/>
      <c r="M488" s="118"/>
      <c r="N488" s="435"/>
      <c r="O488" s="435"/>
      <c r="P488" s="435"/>
      <c r="Q488" s="435"/>
      <c r="R488" s="435"/>
      <c r="S488" s="435"/>
      <c r="T488" s="435"/>
      <c r="U488" s="435"/>
      <c r="V488" s="435"/>
      <c r="W488" s="463"/>
      <c r="X488" s="435"/>
      <c r="Y488" s="435"/>
      <c r="Z488" s="435"/>
      <c r="AA488" s="435"/>
      <c r="AB488" s="435"/>
      <c r="AC488" s="408"/>
      <c r="AD488" s="4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</row>
    <row r="489" spans="1:46" ht="15.75" customHeight="1">
      <c r="A489" s="110"/>
      <c r="B489" s="110"/>
      <c r="C489" s="110"/>
      <c r="D489" s="118"/>
      <c r="E489" s="118"/>
      <c r="F489" s="118"/>
      <c r="G489" s="408"/>
      <c r="H489" s="408"/>
      <c r="I489" s="408"/>
      <c r="J489" s="408"/>
      <c r="K489" s="408"/>
      <c r="L489" s="408"/>
      <c r="M489" s="118"/>
      <c r="N489" s="435"/>
      <c r="O489" s="435"/>
      <c r="P489" s="435"/>
      <c r="Q489" s="435"/>
      <c r="R489" s="435"/>
      <c r="S489" s="435"/>
      <c r="T489" s="435"/>
      <c r="U489" s="435"/>
      <c r="V489" s="435"/>
      <c r="W489" s="463"/>
      <c r="X489" s="435"/>
      <c r="Y489" s="435"/>
      <c r="Z489" s="435"/>
      <c r="AA489" s="435"/>
      <c r="AB489" s="435"/>
      <c r="AC489" s="408"/>
      <c r="AD489" s="4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</row>
    <row r="490" spans="1:46" ht="15.75" customHeight="1">
      <c r="A490" s="110"/>
      <c r="B490" s="110"/>
      <c r="C490" s="110"/>
      <c r="D490" s="118"/>
      <c r="E490" s="118"/>
      <c r="F490" s="118"/>
      <c r="G490" s="408"/>
      <c r="H490" s="408"/>
      <c r="I490" s="408"/>
      <c r="J490" s="408"/>
      <c r="K490" s="408"/>
      <c r="L490" s="408"/>
      <c r="M490" s="118"/>
      <c r="N490" s="435"/>
      <c r="O490" s="435"/>
      <c r="P490" s="435"/>
      <c r="Q490" s="435"/>
      <c r="R490" s="435"/>
      <c r="S490" s="435"/>
      <c r="T490" s="435"/>
      <c r="U490" s="435"/>
      <c r="V490" s="435"/>
      <c r="W490" s="463"/>
      <c r="X490" s="435"/>
      <c r="Y490" s="435"/>
      <c r="Z490" s="435"/>
      <c r="AA490" s="435"/>
      <c r="AB490" s="435"/>
      <c r="AC490" s="408"/>
      <c r="AD490" s="4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</row>
    <row r="491" spans="1:46" ht="15.75" customHeight="1">
      <c r="A491" s="110"/>
      <c r="B491" s="110"/>
      <c r="C491" s="110"/>
      <c r="D491" s="118"/>
      <c r="E491" s="118"/>
      <c r="F491" s="118"/>
      <c r="G491" s="408"/>
      <c r="H491" s="408"/>
      <c r="I491" s="408"/>
      <c r="J491" s="408"/>
      <c r="K491" s="408"/>
      <c r="L491" s="408"/>
      <c r="M491" s="118"/>
      <c r="N491" s="435"/>
      <c r="O491" s="435"/>
      <c r="P491" s="435"/>
      <c r="Q491" s="435"/>
      <c r="R491" s="435"/>
      <c r="S491" s="435"/>
      <c r="T491" s="435"/>
      <c r="U491" s="435"/>
      <c r="V491" s="435"/>
      <c r="W491" s="463"/>
      <c r="X491" s="435"/>
      <c r="Y491" s="435"/>
      <c r="Z491" s="435"/>
      <c r="AA491" s="435"/>
      <c r="AB491" s="435"/>
      <c r="AC491" s="408"/>
      <c r="AD491" s="4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</row>
    <row r="492" spans="1:46" ht="15.75" customHeight="1">
      <c r="A492" s="110"/>
      <c r="B492" s="110"/>
      <c r="C492" s="110"/>
      <c r="D492" s="118"/>
      <c r="E492" s="118"/>
      <c r="F492" s="118"/>
      <c r="G492" s="408"/>
      <c r="H492" s="408"/>
      <c r="I492" s="408"/>
      <c r="J492" s="408"/>
      <c r="K492" s="408"/>
      <c r="L492" s="408"/>
      <c r="M492" s="118"/>
      <c r="N492" s="435"/>
      <c r="O492" s="435"/>
      <c r="P492" s="435"/>
      <c r="Q492" s="435"/>
      <c r="R492" s="435"/>
      <c r="S492" s="435"/>
      <c r="T492" s="435"/>
      <c r="U492" s="435"/>
      <c r="V492" s="435"/>
      <c r="W492" s="463"/>
      <c r="X492" s="435"/>
      <c r="Y492" s="435"/>
      <c r="Z492" s="435"/>
      <c r="AA492" s="435"/>
      <c r="AB492" s="435"/>
      <c r="AC492" s="408"/>
      <c r="AD492" s="4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</row>
    <row r="493" spans="1:46" ht="15.75" customHeight="1">
      <c r="A493" s="110"/>
      <c r="B493" s="110"/>
      <c r="C493" s="110"/>
      <c r="D493" s="118"/>
      <c r="E493" s="118"/>
      <c r="F493" s="118"/>
      <c r="G493" s="408"/>
      <c r="H493" s="408"/>
      <c r="I493" s="408"/>
      <c r="J493" s="408"/>
      <c r="K493" s="408"/>
      <c r="L493" s="408"/>
      <c r="M493" s="118"/>
      <c r="N493" s="435"/>
      <c r="O493" s="435"/>
      <c r="P493" s="435"/>
      <c r="Q493" s="435"/>
      <c r="R493" s="435"/>
      <c r="S493" s="435"/>
      <c r="T493" s="435"/>
      <c r="U493" s="435"/>
      <c r="V493" s="435"/>
      <c r="W493" s="463"/>
      <c r="X493" s="435"/>
      <c r="Y493" s="435"/>
      <c r="Z493" s="435"/>
      <c r="AA493" s="435"/>
      <c r="AB493" s="435"/>
      <c r="AC493" s="408"/>
      <c r="AD493" s="4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</row>
    <row r="494" spans="1:46" ht="15.75" customHeight="1">
      <c r="A494" s="110"/>
      <c r="B494" s="110"/>
      <c r="C494" s="110"/>
      <c r="D494" s="118"/>
      <c r="E494" s="118"/>
      <c r="F494" s="118"/>
      <c r="G494" s="408"/>
      <c r="H494" s="408"/>
      <c r="I494" s="408"/>
      <c r="J494" s="408"/>
      <c r="K494" s="408"/>
      <c r="L494" s="408"/>
      <c r="M494" s="118"/>
      <c r="N494" s="435"/>
      <c r="O494" s="435"/>
      <c r="P494" s="435"/>
      <c r="Q494" s="435"/>
      <c r="R494" s="435"/>
      <c r="S494" s="435"/>
      <c r="T494" s="435"/>
      <c r="U494" s="435"/>
      <c r="V494" s="435"/>
      <c r="W494" s="463"/>
      <c r="X494" s="435"/>
      <c r="Y494" s="435"/>
      <c r="Z494" s="435"/>
      <c r="AA494" s="435"/>
      <c r="AB494" s="435"/>
      <c r="AC494" s="408"/>
      <c r="AD494" s="4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</row>
    <row r="495" spans="1:46" ht="15.75" customHeight="1">
      <c r="A495" s="110"/>
      <c r="B495" s="110"/>
      <c r="C495" s="110"/>
      <c r="D495" s="118"/>
      <c r="E495" s="118"/>
      <c r="F495" s="118"/>
      <c r="G495" s="408"/>
      <c r="H495" s="408"/>
      <c r="I495" s="408"/>
      <c r="J495" s="408"/>
      <c r="K495" s="408"/>
      <c r="L495" s="408"/>
      <c r="M495" s="118"/>
      <c r="N495" s="435"/>
      <c r="O495" s="435"/>
      <c r="P495" s="435"/>
      <c r="Q495" s="435"/>
      <c r="R495" s="435"/>
      <c r="S495" s="435"/>
      <c r="T495" s="435"/>
      <c r="U495" s="435"/>
      <c r="V495" s="435"/>
      <c r="W495" s="463"/>
      <c r="X495" s="435"/>
      <c r="Y495" s="435"/>
      <c r="Z495" s="435"/>
      <c r="AA495" s="435"/>
      <c r="AB495" s="435"/>
      <c r="AC495" s="408"/>
      <c r="AD495" s="4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</row>
    <row r="496" spans="1:46" ht="15.75" customHeight="1">
      <c r="A496" s="110"/>
      <c r="B496" s="110"/>
      <c r="C496" s="110"/>
      <c r="D496" s="118"/>
      <c r="E496" s="118"/>
      <c r="F496" s="118"/>
      <c r="G496" s="408"/>
      <c r="H496" s="408"/>
      <c r="I496" s="408"/>
      <c r="J496" s="408"/>
      <c r="K496" s="408"/>
      <c r="L496" s="408"/>
      <c r="M496" s="118"/>
      <c r="N496" s="435"/>
      <c r="O496" s="435"/>
      <c r="P496" s="435"/>
      <c r="Q496" s="435"/>
      <c r="R496" s="435"/>
      <c r="S496" s="435"/>
      <c r="T496" s="435"/>
      <c r="U496" s="435"/>
      <c r="V496" s="435"/>
      <c r="W496" s="463"/>
      <c r="X496" s="435"/>
      <c r="Y496" s="435"/>
      <c r="Z496" s="435"/>
      <c r="AA496" s="435"/>
      <c r="AB496" s="435"/>
      <c r="AC496" s="408"/>
      <c r="AD496" s="4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</row>
    <row r="497" spans="1:46" ht="15.75" customHeight="1">
      <c r="A497" s="110"/>
      <c r="B497" s="110"/>
      <c r="C497" s="110"/>
      <c r="D497" s="118"/>
      <c r="E497" s="118"/>
      <c r="F497" s="118"/>
      <c r="G497" s="408"/>
      <c r="H497" s="408"/>
      <c r="I497" s="408"/>
      <c r="J497" s="408"/>
      <c r="K497" s="408"/>
      <c r="L497" s="408"/>
      <c r="M497" s="118"/>
      <c r="N497" s="435"/>
      <c r="O497" s="435"/>
      <c r="P497" s="435"/>
      <c r="Q497" s="435"/>
      <c r="R497" s="435"/>
      <c r="S497" s="435"/>
      <c r="T497" s="435"/>
      <c r="U497" s="435"/>
      <c r="V497" s="435"/>
      <c r="W497" s="463"/>
      <c r="X497" s="435"/>
      <c r="Y497" s="435"/>
      <c r="Z497" s="435"/>
      <c r="AA497" s="435"/>
      <c r="AB497" s="435"/>
      <c r="AC497" s="408"/>
      <c r="AD497" s="4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</row>
    <row r="498" spans="1:46" ht="15.75" customHeight="1">
      <c r="A498" s="110"/>
      <c r="B498" s="110"/>
      <c r="C498" s="110"/>
      <c r="D498" s="118"/>
      <c r="E498" s="118"/>
      <c r="F498" s="118"/>
      <c r="G498" s="408"/>
      <c r="H498" s="408"/>
      <c r="I498" s="408"/>
      <c r="J498" s="408"/>
      <c r="K498" s="408"/>
      <c r="L498" s="408"/>
      <c r="M498" s="118"/>
      <c r="N498" s="435"/>
      <c r="O498" s="435"/>
      <c r="P498" s="435"/>
      <c r="Q498" s="435"/>
      <c r="R498" s="435"/>
      <c r="S498" s="435"/>
      <c r="T498" s="435"/>
      <c r="U498" s="435"/>
      <c r="V498" s="435"/>
      <c r="W498" s="463"/>
      <c r="X498" s="435"/>
      <c r="Y498" s="435"/>
      <c r="Z498" s="435"/>
      <c r="AA498" s="435"/>
      <c r="AB498" s="435"/>
      <c r="AC498" s="408"/>
      <c r="AD498" s="4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</row>
    <row r="499" spans="1:46" ht="15.75" customHeight="1">
      <c r="A499" s="110"/>
      <c r="B499" s="110"/>
      <c r="C499" s="110"/>
      <c r="D499" s="118"/>
      <c r="E499" s="118"/>
      <c r="F499" s="118"/>
      <c r="G499" s="408"/>
      <c r="H499" s="408"/>
      <c r="I499" s="408"/>
      <c r="J499" s="408"/>
      <c r="K499" s="408"/>
      <c r="L499" s="408"/>
      <c r="M499" s="118"/>
      <c r="N499" s="435"/>
      <c r="O499" s="435"/>
      <c r="P499" s="435"/>
      <c r="Q499" s="435"/>
      <c r="R499" s="435"/>
      <c r="S499" s="435"/>
      <c r="T499" s="435"/>
      <c r="U499" s="435"/>
      <c r="V499" s="435"/>
      <c r="W499" s="463"/>
      <c r="X499" s="435"/>
      <c r="Y499" s="435"/>
      <c r="Z499" s="435"/>
      <c r="AA499" s="435"/>
      <c r="AB499" s="435"/>
      <c r="AC499" s="408"/>
      <c r="AD499" s="4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</row>
    <row r="500" spans="1:46" ht="15.75" customHeight="1">
      <c r="A500" s="110"/>
      <c r="B500" s="110"/>
      <c r="C500" s="110"/>
      <c r="D500" s="118"/>
      <c r="E500" s="118"/>
      <c r="F500" s="118"/>
      <c r="G500" s="408"/>
      <c r="H500" s="408"/>
      <c r="I500" s="408"/>
      <c r="J500" s="408"/>
      <c r="K500" s="408"/>
      <c r="L500" s="408"/>
      <c r="M500" s="118"/>
      <c r="N500" s="435"/>
      <c r="O500" s="435"/>
      <c r="P500" s="435"/>
      <c r="Q500" s="435"/>
      <c r="R500" s="435"/>
      <c r="S500" s="435"/>
      <c r="T500" s="435"/>
      <c r="U500" s="435"/>
      <c r="V500" s="435"/>
      <c r="W500" s="463"/>
      <c r="X500" s="435"/>
      <c r="Y500" s="435"/>
      <c r="Z500" s="435"/>
      <c r="AA500" s="435"/>
      <c r="AB500" s="435"/>
      <c r="AC500" s="408"/>
      <c r="AD500" s="4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</row>
    <row r="501" spans="1:46" ht="15.75" customHeight="1">
      <c r="A501" s="110"/>
      <c r="B501" s="110"/>
      <c r="C501" s="110"/>
      <c r="D501" s="118"/>
      <c r="E501" s="118"/>
      <c r="F501" s="118"/>
      <c r="G501" s="408"/>
      <c r="H501" s="408"/>
      <c r="I501" s="408"/>
      <c r="J501" s="408"/>
      <c r="K501" s="408"/>
      <c r="L501" s="408"/>
      <c r="M501" s="118"/>
      <c r="N501" s="435"/>
      <c r="O501" s="435"/>
      <c r="P501" s="435"/>
      <c r="Q501" s="435"/>
      <c r="R501" s="435"/>
      <c r="S501" s="435"/>
      <c r="T501" s="435"/>
      <c r="U501" s="435"/>
      <c r="V501" s="435"/>
      <c r="W501" s="463"/>
      <c r="X501" s="435"/>
      <c r="Y501" s="435"/>
      <c r="Z501" s="435"/>
      <c r="AA501" s="435"/>
      <c r="AB501" s="435"/>
      <c r="AC501" s="408"/>
      <c r="AD501" s="4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</row>
    <row r="502" spans="1:46" ht="15.75" customHeight="1">
      <c r="A502" s="110"/>
      <c r="B502" s="110"/>
      <c r="C502" s="110"/>
      <c r="D502" s="118"/>
      <c r="E502" s="118"/>
      <c r="F502" s="118"/>
      <c r="G502" s="408"/>
      <c r="H502" s="408"/>
      <c r="I502" s="408"/>
      <c r="J502" s="408"/>
      <c r="K502" s="408"/>
      <c r="L502" s="408"/>
      <c r="M502" s="118"/>
      <c r="N502" s="435"/>
      <c r="O502" s="435"/>
      <c r="P502" s="435"/>
      <c r="Q502" s="435"/>
      <c r="R502" s="435"/>
      <c r="S502" s="435"/>
      <c r="T502" s="435"/>
      <c r="U502" s="435"/>
      <c r="V502" s="435"/>
      <c r="W502" s="463"/>
      <c r="X502" s="435"/>
      <c r="Y502" s="435"/>
      <c r="Z502" s="435"/>
      <c r="AA502" s="435"/>
      <c r="AB502" s="435"/>
      <c r="AC502" s="408"/>
      <c r="AD502" s="4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</row>
    <row r="503" spans="1:46" ht="15.75" customHeight="1">
      <c r="A503" s="110"/>
      <c r="B503" s="110"/>
      <c r="C503" s="110"/>
      <c r="D503" s="118"/>
      <c r="E503" s="118"/>
      <c r="F503" s="118"/>
      <c r="G503" s="408"/>
      <c r="H503" s="408"/>
      <c r="I503" s="408"/>
      <c r="J503" s="408"/>
      <c r="K503" s="408"/>
      <c r="L503" s="408"/>
      <c r="M503" s="118"/>
      <c r="N503" s="435"/>
      <c r="O503" s="435"/>
      <c r="P503" s="435"/>
      <c r="Q503" s="435"/>
      <c r="R503" s="435"/>
      <c r="S503" s="435"/>
      <c r="T503" s="435"/>
      <c r="U503" s="435"/>
      <c r="V503" s="435"/>
      <c r="W503" s="463"/>
      <c r="X503" s="435"/>
      <c r="Y503" s="435"/>
      <c r="Z503" s="435"/>
      <c r="AA503" s="435"/>
      <c r="AB503" s="435"/>
      <c r="AC503" s="408"/>
      <c r="AD503" s="4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</row>
    <row r="504" spans="1:46" ht="15.75" customHeight="1">
      <c r="A504" s="110"/>
      <c r="B504" s="110"/>
      <c r="C504" s="110"/>
      <c r="D504" s="118"/>
      <c r="E504" s="118"/>
      <c r="F504" s="118"/>
      <c r="G504" s="408"/>
      <c r="H504" s="408"/>
      <c r="I504" s="408"/>
      <c r="J504" s="408"/>
      <c r="K504" s="408"/>
      <c r="L504" s="408"/>
      <c r="M504" s="118"/>
      <c r="N504" s="435"/>
      <c r="O504" s="435"/>
      <c r="P504" s="435"/>
      <c r="Q504" s="435"/>
      <c r="R504" s="435"/>
      <c r="S504" s="435"/>
      <c r="T504" s="435"/>
      <c r="U504" s="435"/>
      <c r="V504" s="435"/>
      <c r="W504" s="463"/>
      <c r="X504" s="435"/>
      <c r="Y504" s="435"/>
      <c r="Z504" s="435"/>
      <c r="AA504" s="435"/>
      <c r="AB504" s="435"/>
      <c r="AC504" s="408"/>
      <c r="AD504" s="4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</row>
    <row r="505" spans="1:46" ht="15.75" customHeight="1">
      <c r="A505" s="110"/>
      <c r="B505" s="110"/>
      <c r="C505" s="110"/>
      <c r="D505" s="118"/>
      <c r="E505" s="118"/>
      <c r="F505" s="118"/>
      <c r="G505" s="408"/>
      <c r="H505" s="408"/>
      <c r="I505" s="408"/>
      <c r="J505" s="408"/>
      <c r="K505" s="408"/>
      <c r="L505" s="408"/>
      <c r="M505" s="118"/>
      <c r="N505" s="435"/>
      <c r="O505" s="435"/>
      <c r="P505" s="435"/>
      <c r="Q505" s="435"/>
      <c r="R505" s="435"/>
      <c r="S505" s="435"/>
      <c r="T505" s="435"/>
      <c r="U505" s="435"/>
      <c r="V505" s="435"/>
      <c r="W505" s="463"/>
      <c r="X505" s="435"/>
      <c r="Y505" s="435"/>
      <c r="Z505" s="435"/>
      <c r="AA505" s="435"/>
      <c r="AB505" s="435"/>
      <c r="AC505" s="408"/>
      <c r="AD505" s="4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</row>
    <row r="506" spans="1:46" ht="15.75" customHeight="1">
      <c r="A506" s="110"/>
      <c r="B506" s="110"/>
      <c r="C506" s="110"/>
      <c r="D506" s="118"/>
      <c r="E506" s="118"/>
      <c r="F506" s="118"/>
      <c r="G506" s="408"/>
      <c r="H506" s="408"/>
      <c r="I506" s="408"/>
      <c r="J506" s="408"/>
      <c r="K506" s="408"/>
      <c r="L506" s="408"/>
      <c r="M506" s="118"/>
      <c r="N506" s="435"/>
      <c r="O506" s="435"/>
      <c r="P506" s="435"/>
      <c r="Q506" s="435"/>
      <c r="R506" s="435"/>
      <c r="S506" s="435"/>
      <c r="T506" s="435"/>
      <c r="U506" s="435"/>
      <c r="V506" s="435"/>
      <c r="W506" s="463"/>
      <c r="X506" s="435"/>
      <c r="Y506" s="435"/>
      <c r="Z506" s="435"/>
      <c r="AA506" s="435"/>
      <c r="AB506" s="435"/>
      <c r="AC506" s="408"/>
      <c r="AD506" s="4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</row>
    <row r="507" spans="1:46" ht="15.75" customHeight="1">
      <c r="A507" s="110"/>
      <c r="B507" s="110"/>
      <c r="C507" s="110"/>
      <c r="D507" s="118"/>
      <c r="E507" s="118"/>
      <c r="F507" s="118"/>
      <c r="G507" s="408"/>
      <c r="H507" s="408"/>
      <c r="I507" s="408"/>
      <c r="J507" s="408"/>
      <c r="K507" s="408"/>
      <c r="L507" s="408"/>
      <c r="M507" s="118"/>
      <c r="N507" s="435"/>
      <c r="O507" s="435"/>
      <c r="P507" s="435"/>
      <c r="Q507" s="435"/>
      <c r="R507" s="435"/>
      <c r="S507" s="435"/>
      <c r="T507" s="435"/>
      <c r="U507" s="435"/>
      <c r="V507" s="435"/>
      <c r="W507" s="463"/>
      <c r="X507" s="435"/>
      <c r="Y507" s="435"/>
      <c r="Z507" s="435"/>
      <c r="AA507" s="435"/>
      <c r="AB507" s="435"/>
      <c r="AC507" s="408"/>
      <c r="AD507" s="4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</row>
    <row r="508" spans="1:46" ht="15.75" customHeight="1">
      <c r="A508" s="110"/>
      <c r="B508" s="110"/>
      <c r="C508" s="110"/>
      <c r="D508" s="118"/>
      <c r="E508" s="118"/>
      <c r="F508" s="118"/>
      <c r="G508" s="408"/>
      <c r="H508" s="408"/>
      <c r="I508" s="408"/>
      <c r="J508" s="408"/>
      <c r="K508" s="408"/>
      <c r="L508" s="408"/>
      <c r="M508" s="118"/>
      <c r="N508" s="435"/>
      <c r="O508" s="435"/>
      <c r="P508" s="435"/>
      <c r="Q508" s="435"/>
      <c r="R508" s="435"/>
      <c r="S508" s="435"/>
      <c r="T508" s="435"/>
      <c r="U508" s="435"/>
      <c r="V508" s="435"/>
      <c r="W508" s="463"/>
      <c r="X508" s="435"/>
      <c r="Y508" s="435"/>
      <c r="Z508" s="435"/>
      <c r="AA508" s="435"/>
      <c r="AB508" s="435"/>
      <c r="AC508" s="408"/>
      <c r="AD508" s="4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</row>
    <row r="509" spans="1:46" ht="15.75" customHeight="1">
      <c r="A509" s="110"/>
      <c r="B509" s="110"/>
      <c r="C509" s="110"/>
      <c r="D509" s="118"/>
      <c r="E509" s="118"/>
      <c r="F509" s="118"/>
      <c r="G509" s="408"/>
      <c r="H509" s="408"/>
      <c r="I509" s="408"/>
      <c r="J509" s="408"/>
      <c r="K509" s="408"/>
      <c r="L509" s="408"/>
      <c r="M509" s="118"/>
      <c r="N509" s="435"/>
      <c r="O509" s="435"/>
      <c r="P509" s="435"/>
      <c r="Q509" s="435"/>
      <c r="R509" s="435"/>
      <c r="S509" s="435"/>
      <c r="T509" s="435"/>
      <c r="U509" s="435"/>
      <c r="V509" s="435"/>
      <c r="W509" s="463"/>
      <c r="X509" s="435"/>
      <c r="Y509" s="435"/>
      <c r="Z509" s="435"/>
      <c r="AA509" s="435"/>
      <c r="AB509" s="435"/>
      <c r="AC509" s="408"/>
      <c r="AD509" s="4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</row>
    <row r="510" spans="1:46" ht="15.75" customHeight="1">
      <c r="A510" s="110"/>
      <c r="B510" s="110"/>
      <c r="C510" s="110"/>
      <c r="D510" s="118"/>
      <c r="E510" s="118"/>
      <c r="F510" s="118"/>
      <c r="G510" s="408"/>
      <c r="H510" s="408"/>
      <c r="I510" s="408"/>
      <c r="J510" s="408"/>
      <c r="K510" s="408"/>
      <c r="L510" s="408"/>
      <c r="M510" s="118"/>
      <c r="N510" s="435"/>
      <c r="O510" s="435"/>
      <c r="P510" s="435"/>
      <c r="Q510" s="435"/>
      <c r="R510" s="435"/>
      <c r="S510" s="435"/>
      <c r="T510" s="435"/>
      <c r="U510" s="435"/>
      <c r="V510" s="435"/>
      <c r="W510" s="463"/>
      <c r="X510" s="435"/>
      <c r="Y510" s="435"/>
      <c r="Z510" s="435"/>
      <c r="AA510" s="435"/>
      <c r="AB510" s="435"/>
      <c r="AC510" s="408"/>
      <c r="AD510" s="4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</row>
    <row r="511" spans="1:46" ht="15.75" customHeight="1">
      <c r="A511" s="110"/>
      <c r="B511" s="110"/>
      <c r="C511" s="110"/>
      <c r="D511" s="118"/>
      <c r="E511" s="118"/>
      <c r="F511" s="118"/>
      <c r="G511" s="408"/>
      <c r="H511" s="408"/>
      <c r="I511" s="408"/>
      <c r="J511" s="408"/>
      <c r="K511" s="408"/>
      <c r="L511" s="408"/>
      <c r="M511" s="118"/>
      <c r="N511" s="435"/>
      <c r="O511" s="435"/>
      <c r="P511" s="435"/>
      <c r="Q511" s="435"/>
      <c r="R511" s="435"/>
      <c r="S511" s="435"/>
      <c r="T511" s="435"/>
      <c r="U511" s="435"/>
      <c r="V511" s="435"/>
      <c r="W511" s="463"/>
      <c r="X511" s="435"/>
      <c r="Y511" s="435"/>
      <c r="Z511" s="435"/>
      <c r="AA511" s="435"/>
      <c r="AB511" s="435"/>
      <c r="AC511" s="408"/>
      <c r="AD511" s="4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</row>
    <row r="512" spans="1:46" ht="15.75" customHeight="1">
      <c r="A512" s="110"/>
      <c r="B512" s="110"/>
      <c r="C512" s="110"/>
      <c r="D512" s="118"/>
      <c r="E512" s="118"/>
      <c r="F512" s="118"/>
      <c r="G512" s="408"/>
      <c r="H512" s="408"/>
      <c r="I512" s="408"/>
      <c r="J512" s="408"/>
      <c r="K512" s="408"/>
      <c r="L512" s="408"/>
      <c r="M512" s="118"/>
      <c r="N512" s="435"/>
      <c r="O512" s="435"/>
      <c r="P512" s="435"/>
      <c r="Q512" s="435"/>
      <c r="R512" s="435"/>
      <c r="S512" s="435"/>
      <c r="T512" s="435"/>
      <c r="U512" s="435"/>
      <c r="V512" s="435"/>
      <c r="W512" s="463"/>
      <c r="X512" s="435"/>
      <c r="Y512" s="435"/>
      <c r="Z512" s="435"/>
      <c r="AA512" s="435"/>
      <c r="AB512" s="435"/>
      <c r="AC512" s="408"/>
      <c r="AD512" s="4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</row>
    <row r="513" spans="1:46" ht="15.75" customHeight="1">
      <c r="A513" s="110"/>
      <c r="B513" s="110"/>
      <c r="C513" s="110"/>
      <c r="D513" s="118"/>
      <c r="E513" s="118"/>
      <c r="F513" s="118"/>
      <c r="G513" s="408"/>
      <c r="H513" s="408"/>
      <c r="I513" s="408"/>
      <c r="J513" s="408"/>
      <c r="K513" s="408"/>
      <c r="L513" s="408"/>
      <c r="M513" s="118"/>
      <c r="N513" s="435"/>
      <c r="O513" s="435"/>
      <c r="P513" s="435"/>
      <c r="Q513" s="435"/>
      <c r="R513" s="435"/>
      <c r="S513" s="435"/>
      <c r="T513" s="435"/>
      <c r="U513" s="435"/>
      <c r="V513" s="435"/>
      <c r="W513" s="463"/>
      <c r="X513" s="435"/>
      <c r="Y513" s="435"/>
      <c r="Z513" s="435"/>
      <c r="AA513" s="435"/>
      <c r="AB513" s="435"/>
      <c r="AC513" s="408"/>
      <c r="AD513" s="4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</row>
    <row r="514" spans="1:46" ht="15.75" customHeight="1">
      <c r="A514" s="110"/>
      <c r="B514" s="110"/>
      <c r="C514" s="110"/>
      <c r="D514" s="118"/>
      <c r="E514" s="118"/>
      <c r="F514" s="118"/>
      <c r="G514" s="408"/>
      <c r="H514" s="408"/>
      <c r="I514" s="408"/>
      <c r="J514" s="408"/>
      <c r="K514" s="408"/>
      <c r="L514" s="408"/>
      <c r="M514" s="118"/>
      <c r="N514" s="435"/>
      <c r="O514" s="435"/>
      <c r="P514" s="435"/>
      <c r="Q514" s="435"/>
      <c r="R514" s="435"/>
      <c r="S514" s="435"/>
      <c r="T514" s="435"/>
      <c r="U514" s="435"/>
      <c r="V514" s="435"/>
      <c r="W514" s="463"/>
      <c r="X514" s="435"/>
      <c r="Y514" s="435"/>
      <c r="Z514" s="435"/>
      <c r="AA514" s="435"/>
      <c r="AB514" s="435"/>
      <c r="AC514" s="408"/>
      <c r="AD514" s="4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</row>
    <row r="515" spans="1:46" ht="15.75" customHeight="1">
      <c r="A515" s="110"/>
      <c r="B515" s="110"/>
      <c r="C515" s="110"/>
      <c r="D515" s="118"/>
      <c r="E515" s="118"/>
      <c r="F515" s="118"/>
      <c r="G515" s="408"/>
      <c r="H515" s="408"/>
      <c r="I515" s="408"/>
      <c r="J515" s="408"/>
      <c r="K515" s="408"/>
      <c r="L515" s="408"/>
      <c r="M515" s="118"/>
      <c r="N515" s="435"/>
      <c r="O515" s="435"/>
      <c r="P515" s="435"/>
      <c r="Q515" s="435"/>
      <c r="R515" s="435"/>
      <c r="S515" s="435"/>
      <c r="T515" s="435"/>
      <c r="U515" s="435"/>
      <c r="V515" s="435"/>
      <c r="W515" s="463"/>
      <c r="X515" s="435"/>
      <c r="Y515" s="435"/>
      <c r="Z515" s="435"/>
      <c r="AA515" s="435"/>
      <c r="AB515" s="435"/>
      <c r="AC515" s="408"/>
      <c r="AD515" s="4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</row>
    <row r="516" spans="1:46" ht="15.75" customHeight="1">
      <c r="A516" s="110"/>
      <c r="B516" s="110"/>
      <c r="C516" s="110"/>
      <c r="D516" s="118"/>
      <c r="E516" s="118"/>
      <c r="F516" s="118"/>
      <c r="G516" s="408"/>
      <c r="H516" s="408"/>
      <c r="I516" s="408"/>
      <c r="J516" s="408"/>
      <c r="K516" s="408"/>
      <c r="L516" s="408"/>
      <c r="M516" s="118"/>
      <c r="N516" s="435"/>
      <c r="O516" s="435"/>
      <c r="P516" s="435"/>
      <c r="Q516" s="435"/>
      <c r="R516" s="435"/>
      <c r="S516" s="435"/>
      <c r="T516" s="435"/>
      <c r="U516" s="435"/>
      <c r="V516" s="435"/>
      <c r="W516" s="463"/>
      <c r="X516" s="435"/>
      <c r="Y516" s="435"/>
      <c r="Z516" s="435"/>
      <c r="AA516" s="435"/>
      <c r="AB516" s="435"/>
      <c r="AC516" s="408"/>
      <c r="AD516" s="4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</row>
    <row r="517" spans="1:46" ht="15.75" customHeight="1">
      <c r="A517" s="110"/>
      <c r="B517" s="110"/>
      <c r="C517" s="110"/>
      <c r="D517" s="118"/>
      <c r="E517" s="118"/>
      <c r="F517" s="118"/>
      <c r="G517" s="408"/>
      <c r="H517" s="408"/>
      <c r="I517" s="408"/>
      <c r="J517" s="408"/>
      <c r="K517" s="408"/>
      <c r="L517" s="408"/>
      <c r="M517" s="118"/>
      <c r="N517" s="435"/>
      <c r="O517" s="435"/>
      <c r="P517" s="435"/>
      <c r="Q517" s="435"/>
      <c r="R517" s="435"/>
      <c r="S517" s="435"/>
      <c r="T517" s="435"/>
      <c r="U517" s="435"/>
      <c r="V517" s="435"/>
      <c r="W517" s="463"/>
      <c r="X517" s="435"/>
      <c r="Y517" s="435"/>
      <c r="Z517" s="435"/>
      <c r="AA517" s="435"/>
      <c r="AB517" s="435"/>
      <c r="AC517" s="408"/>
      <c r="AD517" s="4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</row>
    <row r="518" spans="1:46" ht="15.75" customHeight="1">
      <c r="A518" s="110"/>
      <c r="B518" s="110"/>
      <c r="C518" s="110"/>
      <c r="D518" s="118"/>
      <c r="E518" s="118"/>
      <c r="F518" s="118"/>
      <c r="G518" s="408"/>
      <c r="H518" s="408"/>
      <c r="I518" s="408"/>
      <c r="J518" s="408"/>
      <c r="K518" s="408"/>
      <c r="L518" s="408"/>
      <c r="M518" s="118"/>
      <c r="N518" s="435"/>
      <c r="O518" s="435"/>
      <c r="P518" s="435"/>
      <c r="Q518" s="435"/>
      <c r="R518" s="435"/>
      <c r="S518" s="435"/>
      <c r="T518" s="435"/>
      <c r="U518" s="435"/>
      <c r="V518" s="435"/>
      <c r="W518" s="463"/>
      <c r="X518" s="435"/>
      <c r="Y518" s="435"/>
      <c r="Z518" s="435"/>
      <c r="AA518" s="435"/>
      <c r="AB518" s="435"/>
      <c r="AC518" s="408"/>
      <c r="AD518" s="4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</row>
    <row r="519" spans="1:46" ht="15.75" customHeight="1">
      <c r="A519" s="110"/>
      <c r="B519" s="110"/>
      <c r="C519" s="110"/>
      <c r="D519" s="118"/>
      <c r="E519" s="118"/>
      <c r="F519" s="118"/>
      <c r="G519" s="408"/>
      <c r="H519" s="408"/>
      <c r="I519" s="408"/>
      <c r="J519" s="408"/>
      <c r="K519" s="408"/>
      <c r="L519" s="408"/>
      <c r="M519" s="118"/>
      <c r="N519" s="435"/>
      <c r="O519" s="435"/>
      <c r="P519" s="435"/>
      <c r="Q519" s="435"/>
      <c r="R519" s="435"/>
      <c r="S519" s="435"/>
      <c r="T519" s="435"/>
      <c r="U519" s="435"/>
      <c r="V519" s="435"/>
      <c r="W519" s="463"/>
      <c r="X519" s="435"/>
      <c r="Y519" s="435"/>
      <c r="Z519" s="435"/>
      <c r="AA519" s="435"/>
      <c r="AB519" s="435"/>
      <c r="AC519" s="408"/>
      <c r="AD519" s="4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</row>
    <row r="520" spans="1:46" ht="15.75" customHeight="1">
      <c r="A520" s="110"/>
      <c r="B520" s="110"/>
      <c r="C520" s="110"/>
      <c r="D520" s="118"/>
      <c r="E520" s="118"/>
      <c r="F520" s="118"/>
      <c r="G520" s="408"/>
      <c r="H520" s="408"/>
      <c r="I520" s="408"/>
      <c r="J520" s="408"/>
      <c r="K520" s="408"/>
      <c r="L520" s="408"/>
      <c r="M520" s="118"/>
      <c r="N520" s="435"/>
      <c r="O520" s="435"/>
      <c r="P520" s="435"/>
      <c r="Q520" s="435"/>
      <c r="R520" s="435"/>
      <c r="S520" s="435"/>
      <c r="T520" s="435"/>
      <c r="U520" s="435"/>
      <c r="V520" s="435"/>
      <c r="W520" s="463"/>
      <c r="X520" s="435"/>
      <c r="Y520" s="435"/>
      <c r="Z520" s="435"/>
      <c r="AA520" s="435"/>
      <c r="AB520" s="435"/>
      <c r="AC520" s="408"/>
      <c r="AD520" s="4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</row>
    <row r="521" spans="1:46" ht="15.75" customHeight="1">
      <c r="A521" s="110"/>
      <c r="B521" s="110"/>
      <c r="C521" s="110"/>
      <c r="D521" s="118"/>
      <c r="E521" s="118"/>
      <c r="F521" s="118"/>
      <c r="G521" s="408"/>
      <c r="H521" s="408"/>
      <c r="I521" s="408"/>
      <c r="J521" s="408"/>
      <c r="K521" s="408"/>
      <c r="L521" s="408"/>
      <c r="M521" s="118"/>
      <c r="N521" s="435"/>
      <c r="O521" s="435"/>
      <c r="P521" s="435"/>
      <c r="Q521" s="435"/>
      <c r="R521" s="435"/>
      <c r="S521" s="435"/>
      <c r="T521" s="435"/>
      <c r="U521" s="435"/>
      <c r="V521" s="435"/>
      <c r="W521" s="463"/>
      <c r="X521" s="435"/>
      <c r="Y521" s="435"/>
      <c r="Z521" s="435"/>
      <c r="AA521" s="435"/>
      <c r="AB521" s="435"/>
      <c r="AC521" s="408"/>
      <c r="AD521" s="4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</row>
    <row r="522" spans="1:46" ht="15.75" customHeight="1">
      <c r="A522" s="110"/>
      <c r="B522" s="110"/>
      <c r="C522" s="110"/>
      <c r="D522" s="118"/>
      <c r="E522" s="118"/>
      <c r="F522" s="118"/>
      <c r="G522" s="408"/>
      <c r="H522" s="408"/>
      <c r="I522" s="408"/>
      <c r="J522" s="408"/>
      <c r="K522" s="408"/>
      <c r="L522" s="408"/>
      <c r="M522" s="118"/>
      <c r="N522" s="435"/>
      <c r="O522" s="435"/>
      <c r="P522" s="435"/>
      <c r="Q522" s="435"/>
      <c r="R522" s="435"/>
      <c r="S522" s="435"/>
      <c r="T522" s="435"/>
      <c r="U522" s="435"/>
      <c r="V522" s="435"/>
      <c r="W522" s="463"/>
      <c r="X522" s="435"/>
      <c r="Y522" s="435"/>
      <c r="Z522" s="435"/>
      <c r="AA522" s="435"/>
      <c r="AB522" s="435"/>
      <c r="AC522" s="408"/>
      <c r="AD522" s="4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</row>
    <row r="523" spans="1:46" ht="15.75" customHeight="1">
      <c r="A523" s="110"/>
      <c r="B523" s="110"/>
      <c r="C523" s="110"/>
      <c r="D523" s="118"/>
      <c r="E523" s="118"/>
      <c r="F523" s="118"/>
      <c r="G523" s="408"/>
      <c r="H523" s="408"/>
      <c r="I523" s="408"/>
      <c r="J523" s="408"/>
      <c r="K523" s="408"/>
      <c r="L523" s="408"/>
      <c r="M523" s="118"/>
      <c r="N523" s="435"/>
      <c r="O523" s="435"/>
      <c r="P523" s="435"/>
      <c r="Q523" s="435"/>
      <c r="R523" s="435"/>
      <c r="S523" s="435"/>
      <c r="T523" s="435"/>
      <c r="U523" s="435"/>
      <c r="V523" s="435"/>
      <c r="W523" s="463"/>
      <c r="X523" s="435"/>
      <c r="Y523" s="435"/>
      <c r="Z523" s="435"/>
      <c r="AA523" s="435"/>
      <c r="AB523" s="435"/>
      <c r="AC523" s="408"/>
      <c r="AD523" s="4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</row>
    <row r="524" spans="1:46" ht="15.75" customHeight="1">
      <c r="A524" s="110"/>
      <c r="B524" s="110"/>
      <c r="C524" s="110"/>
      <c r="D524" s="118"/>
      <c r="E524" s="118"/>
      <c r="F524" s="118"/>
      <c r="G524" s="408"/>
      <c r="H524" s="408"/>
      <c r="I524" s="408"/>
      <c r="J524" s="408"/>
      <c r="K524" s="408"/>
      <c r="L524" s="408"/>
      <c r="M524" s="118"/>
      <c r="N524" s="435"/>
      <c r="O524" s="435"/>
      <c r="P524" s="435"/>
      <c r="Q524" s="435"/>
      <c r="R524" s="435"/>
      <c r="S524" s="435"/>
      <c r="T524" s="435"/>
      <c r="U524" s="435"/>
      <c r="V524" s="435"/>
      <c r="W524" s="463"/>
      <c r="X524" s="435"/>
      <c r="Y524" s="435"/>
      <c r="Z524" s="435"/>
      <c r="AA524" s="435"/>
      <c r="AB524" s="435"/>
      <c r="AC524" s="408"/>
      <c r="AD524" s="4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</row>
    <row r="525" spans="1:46" ht="15.75" customHeight="1">
      <c r="A525" s="110"/>
      <c r="B525" s="110"/>
      <c r="C525" s="110"/>
      <c r="D525" s="118"/>
      <c r="E525" s="118"/>
      <c r="F525" s="118"/>
      <c r="G525" s="408"/>
      <c r="H525" s="408"/>
      <c r="I525" s="408"/>
      <c r="J525" s="408"/>
      <c r="K525" s="408"/>
      <c r="L525" s="408"/>
      <c r="M525" s="118"/>
      <c r="N525" s="435"/>
      <c r="O525" s="435"/>
      <c r="P525" s="435"/>
      <c r="Q525" s="435"/>
      <c r="R525" s="435"/>
      <c r="S525" s="435"/>
      <c r="T525" s="435"/>
      <c r="U525" s="435"/>
      <c r="V525" s="435"/>
      <c r="W525" s="463"/>
      <c r="X525" s="435"/>
      <c r="Y525" s="435"/>
      <c r="Z525" s="435"/>
      <c r="AA525" s="435"/>
      <c r="AB525" s="435"/>
      <c r="AC525" s="408"/>
      <c r="AD525" s="4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</row>
    <row r="526" spans="1:46" ht="15.75" customHeight="1">
      <c r="A526" s="110"/>
      <c r="B526" s="110"/>
      <c r="C526" s="110"/>
      <c r="D526" s="118"/>
      <c r="E526" s="118"/>
      <c r="F526" s="118"/>
      <c r="G526" s="408"/>
      <c r="H526" s="408"/>
      <c r="I526" s="408"/>
      <c r="J526" s="408"/>
      <c r="K526" s="408"/>
      <c r="L526" s="408"/>
      <c r="M526" s="118"/>
      <c r="N526" s="435"/>
      <c r="O526" s="435"/>
      <c r="P526" s="435"/>
      <c r="Q526" s="435"/>
      <c r="R526" s="435"/>
      <c r="S526" s="435"/>
      <c r="T526" s="435"/>
      <c r="U526" s="435"/>
      <c r="V526" s="435"/>
      <c r="W526" s="463"/>
      <c r="X526" s="435"/>
      <c r="Y526" s="435"/>
      <c r="Z526" s="435"/>
      <c r="AA526" s="435"/>
      <c r="AB526" s="435"/>
      <c r="AC526" s="408"/>
      <c r="AD526" s="4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</row>
    <row r="527" spans="1:46" ht="15.75" customHeight="1">
      <c r="A527" s="110"/>
      <c r="B527" s="110"/>
      <c r="C527" s="110"/>
      <c r="D527" s="118"/>
      <c r="E527" s="118"/>
      <c r="F527" s="118"/>
      <c r="G527" s="408"/>
      <c r="H527" s="408"/>
      <c r="I527" s="408"/>
      <c r="J527" s="408"/>
      <c r="K527" s="408"/>
      <c r="L527" s="408"/>
      <c r="M527" s="118"/>
      <c r="N527" s="435"/>
      <c r="O527" s="435"/>
      <c r="P527" s="435"/>
      <c r="Q527" s="435"/>
      <c r="R527" s="435"/>
      <c r="S527" s="435"/>
      <c r="T527" s="435"/>
      <c r="U527" s="435"/>
      <c r="V527" s="435"/>
      <c r="W527" s="463"/>
      <c r="X527" s="435"/>
      <c r="Y527" s="435"/>
      <c r="Z527" s="435"/>
      <c r="AA527" s="435"/>
      <c r="AB527" s="435"/>
      <c r="AC527" s="408"/>
      <c r="AD527" s="4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</row>
    <row r="528" spans="1:46" ht="15.75" customHeight="1">
      <c r="A528" s="110"/>
      <c r="B528" s="110"/>
      <c r="C528" s="110"/>
      <c r="D528" s="118"/>
      <c r="E528" s="118"/>
      <c r="F528" s="118"/>
      <c r="G528" s="408"/>
      <c r="H528" s="408"/>
      <c r="I528" s="408"/>
      <c r="J528" s="408"/>
      <c r="K528" s="408"/>
      <c r="L528" s="408"/>
      <c r="M528" s="118"/>
      <c r="N528" s="435"/>
      <c r="O528" s="435"/>
      <c r="P528" s="435"/>
      <c r="Q528" s="435"/>
      <c r="R528" s="435"/>
      <c r="S528" s="435"/>
      <c r="T528" s="435"/>
      <c r="U528" s="435"/>
      <c r="V528" s="435"/>
      <c r="W528" s="463"/>
      <c r="X528" s="435"/>
      <c r="Y528" s="435"/>
      <c r="Z528" s="435"/>
      <c r="AA528" s="435"/>
      <c r="AB528" s="435"/>
      <c r="AC528" s="408"/>
      <c r="AD528" s="4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</row>
    <row r="529" spans="1:46" ht="15.75" customHeight="1">
      <c r="A529" s="110"/>
      <c r="B529" s="110"/>
      <c r="C529" s="110"/>
      <c r="D529" s="118"/>
      <c r="E529" s="118"/>
      <c r="F529" s="118"/>
      <c r="G529" s="408"/>
      <c r="H529" s="408"/>
      <c r="I529" s="408"/>
      <c r="J529" s="408"/>
      <c r="K529" s="408"/>
      <c r="L529" s="408"/>
      <c r="M529" s="118"/>
      <c r="N529" s="435"/>
      <c r="O529" s="435"/>
      <c r="P529" s="435"/>
      <c r="Q529" s="435"/>
      <c r="R529" s="435"/>
      <c r="S529" s="435"/>
      <c r="T529" s="435"/>
      <c r="U529" s="435"/>
      <c r="V529" s="435"/>
      <c r="W529" s="463"/>
      <c r="X529" s="435"/>
      <c r="Y529" s="435"/>
      <c r="Z529" s="435"/>
      <c r="AA529" s="435"/>
      <c r="AB529" s="435"/>
      <c r="AC529" s="408"/>
      <c r="AD529" s="4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</row>
    <row r="530" spans="1:46" ht="15.75" customHeight="1">
      <c r="A530" s="110"/>
      <c r="B530" s="110"/>
      <c r="C530" s="110"/>
      <c r="D530" s="118"/>
      <c r="E530" s="118"/>
      <c r="F530" s="118"/>
      <c r="G530" s="408"/>
      <c r="H530" s="408"/>
      <c r="I530" s="408"/>
      <c r="J530" s="408"/>
      <c r="K530" s="408"/>
      <c r="L530" s="408"/>
      <c r="M530" s="118"/>
      <c r="N530" s="435"/>
      <c r="O530" s="435"/>
      <c r="P530" s="435"/>
      <c r="Q530" s="435"/>
      <c r="R530" s="435"/>
      <c r="S530" s="435"/>
      <c r="T530" s="435"/>
      <c r="U530" s="435"/>
      <c r="V530" s="435"/>
      <c r="W530" s="463"/>
      <c r="X530" s="435"/>
      <c r="Y530" s="435"/>
      <c r="Z530" s="435"/>
      <c r="AA530" s="435"/>
      <c r="AB530" s="435"/>
      <c r="AC530" s="408"/>
      <c r="AD530" s="4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</row>
    <row r="531" spans="1:46" ht="15.75" customHeight="1">
      <c r="A531" s="110"/>
      <c r="B531" s="110"/>
      <c r="C531" s="110"/>
      <c r="D531" s="118"/>
      <c r="E531" s="118"/>
      <c r="F531" s="118"/>
      <c r="G531" s="408"/>
      <c r="H531" s="408"/>
      <c r="I531" s="408"/>
      <c r="J531" s="408"/>
      <c r="K531" s="408"/>
      <c r="L531" s="408"/>
      <c r="M531" s="118"/>
      <c r="N531" s="435"/>
      <c r="O531" s="435"/>
      <c r="P531" s="435"/>
      <c r="Q531" s="435"/>
      <c r="R531" s="435"/>
      <c r="S531" s="435"/>
      <c r="T531" s="435"/>
      <c r="U531" s="435"/>
      <c r="V531" s="435"/>
      <c r="W531" s="463"/>
      <c r="X531" s="435"/>
      <c r="Y531" s="435"/>
      <c r="Z531" s="435"/>
      <c r="AA531" s="435"/>
      <c r="AB531" s="435"/>
      <c r="AC531" s="408"/>
      <c r="AD531" s="4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</row>
    <row r="532" spans="1:46" ht="15.75" customHeight="1">
      <c r="A532" s="110"/>
      <c r="B532" s="110"/>
      <c r="C532" s="110"/>
      <c r="D532" s="118"/>
      <c r="E532" s="118"/>
      <c r="F532" s="118"/>
      <c r="G532" s="408"/>
      <c r="H532" s="408"/>
      <c r="I532" s="408"/>
      <c r="J532" s="408"/>
      <c r="K532" s="408"/>
      <c r="L532" s="408"/>
      <c r="M532" s="118"/>
      <c r="N532" s="435"/>
      <c r="O532" s="435"/>
      <c r="P532" s="435"/>
      <c r="Q532" s="435"/>
      <c r="R532" s="435"/>
      <c r="S532" s="435"/>
      <c r="T532" s="435"/>
      <c r="U532" s="435"/>
      <c r="V532" s="435"/>
      <c r="W532" s="463"/>
      <c r="X532" s="435"/>
      <c r="Y532" s="435"/>
      <c r="Z532" s="435"/>
      <c r="AA532" s="435"/>
      <c r="AB532" s="435"/>
      <c r="AC532" s="408"/>
      <c r="AD532" s="4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</row>
    <row r="533" spans="1:46" ht="15.75" customHeight="1">
      <c r="A533" s="110"/>
      <c r="B533" s="110"/>
      <c r="C533" s="110"/>
      <c r="D533" s="118"/>
      <c r="E533" s="118"/>
      <c r="F533" s="118"/>
      <c r="G533" s="408"/>
      <c r="H533" s="408"/>
      <c r="I533" s="408"/>
      <c r="J533" s="408"/>
      <c r="K533" s="408"/>
      <c r="L533" s="408"/>
      <c r="M533" s="118"/>
      <c r="N533" s="435"/>
      <c r="O533" s="435"/>
      <c r="P533" s="435"/>
      <c r="Q533" s="435"/>
      <c r="R533" s="435"/>
      <c r="S533" s="435"/>
      <c r="T533" s="435"/>
      <c r="U533" s="435"/>
      <c r="V533" s="435"/>
      <c r="W533" s="463"/>
      <c r="X533" s="435"/>
      <c r="Y533" s="435"/>
      <c r="Z533" s="435"/>
      <c r="AA533" s="435"/>
      <c r="AB533" s="435"/>
      <c r="AC533" s="408"/>
      <c r="AD533" s="4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</row>
    <row r="534" spans="1:46" ht="15.75" customHeight="1">
      <c r="A534" s="110"/>
      <c r="B534" s="110"/>
      <c r="C534" s="110"/>
      <c r="D534" s="118"/>
      <c r="E534" s="118"/>
      <c r="F534" s="118"/>
      <c r="G534" s="408"/>
      <c r="H534" s="408"/>
      <c r="I534" s="408"/>
      <c r="J534" s="408"/>
      <c r="K534" s="408"/>
      <c r="L534" s="408"/>
      <c r="M534" s="118"/>
      <c r="N534" s="435"/>
      <c r="O534" s="435"/>
      <c r="P534" s="435"/>
      <c r="Q534" s="435"/>
      <c r="R534" s="435"/>
      <c r="S534" s="435"/>
      <c r="T534" s="435"/>
      <c r="U534" s="435"/>
      <c r="V534" s="435"/>
      <c r="W534" s="463"/>
      <c r="X534" s="435"/>
      <c r="Y534" s="435"/>
      <c r="Z534" s="435"/>
      <c r="AA534" s="435"/>
      <c r="AB534" s="435"/>
      <c r="AC534" s="408"/>
      <c r="AD534" s="4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</row>
    <row r="535" spans="1:46" ht="15.75" customHeight="1">
      <c r="A535" s="110"/>
      <c r="B535" s="110"/>
      <c r="C535" s="110"/>
      <c r="D535" s="118"/>
      <c r="E535" s="118"/>
      <c r="F535" s="118"/>
      <c r="G535" s="408"/>
      <c r="H535" s="408"/>
      <c r="I535" s="408"/>
      <c r="J535" s="408"/>
      <c r="K535" s="408"/>
      <c r="L535" s="408"/>
      <c r="M535" s="118"/>
      <c r="N535" s="435"/>
      <c r="O535" s="435"/>
      <c r="P535" s="435"/>
      <c r="Q535" s="435"/>
      <c r="R535" s="435"/>
      <c r="S535" s="435"/>
      <c r="T535" s="435"/>
      <c r="U535" s="435"/>
      <c r="V535" s="435"/>
      <c r="W535" s="463"/>
      <c r="X535" s="435"/>
      <c r="Y535" s="435"/>
      <c r="Z535" s="435"/>
      <c r="AA535" s="435"/>
      <c r="AB535" s="435"/>
      <c r="AC535" s="408"/>
      <c r="AD535" s="4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</row>
    <row r="536" spans="1:46" ht="15.75" customHeight="1">
      <c r="A536" s="110"/>
      <c r="B536" s="110"/>
      <c r="C536" s="110"/>
      <c r="D536" s="118"/>
      <c r="E536" s="118"/>
      <c r="F536" s="118"/>
      <c r="G536" s="408"/>
      <c r="H536" s="408"/>
      <c r="I536" s="408"/>
      <c r="J536" s="408"/>
      <c r="K536" s="408"/>
      <c r="L536" s="408"/>
      <c r="M536" s="118"/>
      <c r="N536" s="435"/>
      <c r="O536" s="435"/>
      <c r="P536" s="435"/>
      <c r="Q536" s="435"/>
      <c r="R536" s="435"/>
      <c r="S536" s="435"/>
      <c r="T536" s="435"/>
      <c r="U536" s="435"/>
      <c r="V536" s="435"/>
      <c r="W536" s="463"/>
      <c r="X536" s="435"/>
      <c r="Y536" s="435"/>
      <c r="Z536" s="435"/>
      <c r="AA536" s="435"/>
      <c r="AB536" s="435"/>
      <c r="AC536" s="408"/>
      <c r="AD536" s="4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</row>
    <row r="537" spans="1:46" ht="15.75" customHeight="1">
      <c r="A537" s="110"/>
      <c r="B537" s="110"/>
      <c r="C537" s="110"/>
      <c r="D537" s="118"/>
      <c r="E537" s="118"/>
      <c r="F537" s="118"/>
      <c r="G537" s="408"/>
      <c r="H537" s="408"/>
      <c r="I537" s="408"/>
      <c r="J537" s="408"/>
      <c r="K537" s="408"/>
      <c r="L537" s="408"/>
      <c r="M537" s="118"/>
      <c r="N537" s="435"/>
      <c r="O537" s="435"/>
      <c r="P537" s="435"/>
      <c r="Q537" s="435"/>
      <c r="R537" s="435"/>
      <c r="S537" s="435"/>
      <c r="T537" s="435"/>
      <c r="U537" s="435"/>
      <c r="V537" s="435"/>
      <c r="W537" s="463"/>
      <c r="X537" s="435"/>
      <c r="Y537" s="435"/>
      <c r="Z537" s="435"/>
      <c r="AA537" s="435"/>
      <c r="AB537" s="435"/>
      <c r="AC537" s="408"/>
      <c r="AD537" s="4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</row>
    <row r="538" spans="1:46" ht="15.75" customHeight="1">
      <c r="A538" s="110"/>
      <c r="B538" s="110"/>
      <c r="C538" s="110"/>
      <c r="D538" s="118"/>
      <c r="E538" s="118"/>
      <c r="F538" s="118"/>
      <c r="G538" s="408"/>
      <c r="H538" s="408"/>
      <c r="I538" s="408"/>
      <c r="J538" s="408"/>
      <c r="K538" s="408"/>
      <c r="L538" s="408"/>
      <c r="M538" s="118"/>
      <c r="N538" s="435"/>
      <c r="O538" s="435"/>
      <c r="P538" s="435"/>
      <c r="Q538" s="435"/>
      <c r="R538" s="435"/>
      <c r="S538" s="435"/>
      <c r="T538" s="435"/>
      <c r="U538" s="435"/>
      <c r="V538" s="435"/>
      <c r="W538" s="463"/>
      <c r="X538" s="435"/>
      <c r="Y538" s="435"/>
      <c r="Z538" s="435"/>
      <c r="AA538" s="435"/>
      <c r="AB538" s="435"/>
      <c r="AC538" s="408"/>
      <c r="AD538" s="4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</row>
    <row r="539" spans="1:46" ht="15.75" customHeight="1">
      <c r="A539" s="110"/>
      <c r="B539" s="110"/>
      <c r="C539" s="110"/>
      <c r="D539" s="118"/>
      <c r="E539" s="118"/>
      <c r="F539" s="118"/>
      <c r="G539" s="408"/>
      <c r="H539" s="408"/>
      <c r="I539" s="408"/>
      <c r="J539" s="408"/>
      <c r="K539" s="408"/>
      <c r="L539" s="408"/>
      <c r="M539" s="118"/>
      <c r="N539" s="435"/>
      <c r="O539" s="435"/>
      <c r="P539" s="435"/>
      <c r="Q539" s="435"/>
      <c r="R539" s="435"/>
      <c r="S539" s="435"/>
      <c r="T539" s="435"/>
      <c r="U539" s="435"/>
      <c r="V539" s="435"/>
      <c r="W539" s="463"/>
      <c r="X539" s="435"/>
      <c r="Y539" s="435"/>
      <c r="Z539" s="435"/>
      <c r="AA539" s="435"/>
      <c r="AB539" s="435"/>
      <c r="AC539" s="408"/>
      <c r="AD539" s="4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</row>
    <row r="540" spans="1:46" ht="15.75" customHeight="1">
      <c r="A540" s="110"/>
      <c r="B540" s="110"/>
      <c r="C540" s="110"/>
      <c r="D540" s="118"/>
      <c r="E540" s="118"/>
      <c r="F540" s="118"/>
      <c r="G540" s="408"/>
      <c r="H540" s="408"/>
      <c r="I540" s="408"/>
      <c r="J540" s="408"/>
      <c r="K540" s="408"/>
      <c r="L540" s="408"/>
      <c r="M540" s="118"/>
      <c r="N540" s="435"/>
      <c r="O540" s="435"/>
      <c r="P540" s="435"/>
      <c r="Q540" s="435"/>
      <c r="R540" s="435"/>
      <c r="S540" s="435"/>
      <c r="T540" s="435"/>
      <c r="U540" s="435"/>
      <c r="V540" s="435"/>
      <c r="W540" s="463"/>
      <c r="X540" s="435"/>
      <c r="Y540" s="435"/>
      <c r="Z540" s="435"/>
      <c r="AA540" s="435"/>
      <c r="AB540" s="435"/>
      <c r="AC540" s="408"/>
      <c r="AD540" s="4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</row>
    <row r="541" spans="1:46" ht="15.75" customHeight="1">
      <c r="A541" s="110"/>
      <c r="B541" s="110"/>
      <c r="C541" s="110"/>
      <c r="D541" s="118"/>
      <c r="E541" s="118"/>
      <c r="F541" s="118"/>
      <c r="G541" s="408"/>
      <c r="H541" s="408"/>
      <c r="I541" s="408"/>
      <c r="J541" s="408"/>
      <c r="K541" s="408"/>
      <c r="L541" s="408"/>
      <c r="M541" s="118"/>
      <c r="N541" s="435"/>
      <c r="O541" s="435"/>
      <c r="P541" s="435"/>
      <c r="Q541" s="435"/>
      <c r="R541" s="435"/>
      <c r="S541" s="435"/>
      <c r="T541" s="435"/>
      <c r="U541" s="435"/>
      <c r="V541" s="435"/>
      <c r="W541" s="463"/>
      <c r="X541" s="435"/>
      <c r="Y541" s="435"/>
      <c r="Z541" s="435"/>
      <c r="AA541" s="435"/>
      <c r="AB541" s="435"/>
      <c r="AC541" s="408"/>
      <c r="AD541" s="4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</row>
    <row r="542" spans="1:46" ht="15.75" customHeight="1">
      <c r="A542" s="110"/>
      <c r="B542" s="110"/>
      <c r="C542" s="110"/>
      <c r="D542" s="118"/>
      <c r="E542" s="118"/>
      <c r="F542" s="118"/>
      <c r="G542" s="408"/>
      <c r="H542" s="408"/>
      <c r="I542" s="408"/>
      <c r="J542" s="408"/>
      <c r="K542" s="408"/>
      <c r="L542" s="408"/>
      <c r="M542" s="118"/>
      <c r="N542" s="435"/>
      <c r="O542" s="435"/>
      <c r="P542" s="435"/>
      <c r="Q542" s="435"/>
      <c r="R542" s="435"/>
      <c r="S542" s="435"/>
      <c r="T542" s="435"/>
      <c r="U542" s="435"/>
      <c r="V542" s="435"/>
      <c r="W542" s="463"/>
      <c r="X542" s="435"/>
      <c r="Y542" s="435"/>
      <c r="Z542" s="435"/>
      <c r="AA542" s="435"/>
      <c r="AB542" s="435"/>
      <c r="AC542" s="408"/>
      <c r="AD542" s="4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</row>
    <row r="543" spans="1:46" ht="15.75" customHeight="1">
      <c r="A543" s="110"/>
      <c r="B543" s="110"/>
      <c r="C543" s="110"/>
      <c r="D543" s="118"/>
      <c r="E543" s="118"/>
      <c r="F543" s="118"/>
      <c r="G543" s="408"/>
      <c r="H543" s="408"/>
      <c r="I543" s="408"/>
      <c r="J543" s="408"/>
      <c r="K543" s="408"/>
      <c r="L543" s="408"/>
      <c r="M543" s="118"/>
      <c r="N543" s="435"/>
      <c r="O543" s="435"/>
      <c r="P543" s="435"/>
      <c r="Q543" s="435"/>
      <c r="R543" s="435"/>
      <c r="S543" s="435"/>
      <c r="T543" s="435"/>
      <c r="U543" s="435"/>
      <c r="V543" s="435"/>
      <c r="W543" s="463"/>
      <c r="X543" s="435"/>
      <c r="Y543" s="435"/>
      <c r="Z543" s="435"/>
      <c r="AA543" s="435"/>
      <c r="AB543" s="435"/>
      <c r="AC543" s="408"/>
      <c r="AD543" s="4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</row>
    <row r="544" spans="1:46" ht="15.75" customHeight="1">
      <c r="A544" s="110"/>
      <c r="B544" s="110"/>
      <c r="C544" s="110"/>
      <c r="D544" s="118"/>
      <c r="E544" s="118"/>
      <c r="F544" s="118"/>
      <c r="G544" s="408"/>
      <c r="H544" s="408"/>
      <c r="I544" s="408"/>
      <c r="J544" s="408"/>
      <c r="K544" s="408"/>
      <c r="L544" s="408"/>
      <c r="M544" s="118"/>
      <c r="N544" s="435"/>
      <c r="O544" s="435"/>
      <c r="P544" s="435"/>
      <c r="Q544" s="435"/>
      <c r="R544" s="435"/>
      <c r="S544" s="435"/>
      <c r="T544" s="435"/>
      <c r="U544" s="435"/>
      <c r="V544" s="435"/>
      <c r="W544" s="463"/>
      <c r="X544" s="435"/>
      <c r="Y544" s="435"/>
      <c r="Z544" s="435"/>
      <c r="AA544" s="435"/>
      <c r="AB544" s="435"/>
      <c r="AC544" s="408"/>
      <c r="AD544" s="4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</row>
    <row r="545" spans="1:46" ht="15.75" customHeight="1">
      <c r="A545" s="110"/>
      <c r="B545" s="110"/>
      <c r="C545" s="110"/>
      <c r="D545" s="118"/>
      <c r="E545" s="118"/>
      <c r="F545" s="118"/>
      <c r="G545" s="408"/>
      <c r="H545" s="408"/>
      <c r="I545" s="408"/>
      <c r="J545" s="408"/>
      <c r="K545" s="408"/>
      <c r="L545" s="408"/>
      <c r="M545" s="118"/>
      <c r="N545" s="435"/>
      <c r="O545" s="435"/>
      <c r="P545" s="435"/>
      <c r="Q545" s="435"/>
      <c r="R545" s="435"/>
      <c r="S545" s="435"/>
      <c r="T545" s="435"/>
      <c r="U545" s="435"/>
      <c r="V545" s="435"/>
      <c r="W545" s="463"/>
      <c r="X545" s="435"/>
      <c r="Y545" s="435"/>
      <c r="Z545" s="435"/>
      <c r="AA545" s="435"/>
      <c r="AB545" s="435"/>
      <c r="AC545" s="408"/>
      <c r="AD545" s="4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</row>
    <row r="546" spans="1:46" ht="15.75" customHeight="1">
      <c r="A546" s="110"/>
      <c r="B546" s="110"/>
      <c r="C546" s="110"/>
      <c r="D546" s="118"/>
      <c r="E546" s="118"/>
      <c r="F546" s="118"/>
      <c r="G546" s="408"/>
      <c r="H546" s="408"/>
      <c r="I546" s="408"/>
      <c r="J546" s="408"/>
      <c r="K546" s="408"/>
      <c r="L546" s="408"/>
      <c r="M546" s="118"/>
      <c r="N546" s="435"/>
      <c r="O546" s="435"/>
      <c r="P546" s="435"/>
      <c r="Q546" s="435"/>
      <c r="R546" s="435"/>
      <c r="S546" s="435"/>
      <c r="T546" s="435"/>
      <c r="U546" s="435"/>
      <c r="V546" s="435"/>
      <c r="W546" s="463"/>
      <c r="X546" s="435"/>
      <c r="Y546" s="435"/>
      <c r="Z546" s="435"/>
      <c r="AA546" s="435"/>
      <c r="AB546" s="435"/>
      <c r="AC546" s="408"/>
      <c r="AD546" s="4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</row>
    <row r="547" spans="1:46" ht="15.75" customHeight="1">
      <c r="A547" s="110"/>
      <c r="B547" s="110"/>
      <c r="C547" s="110"/>
      <c r="D547" s="118"/>
      <c r="E547" s="118"/>
      <c r="F547" s="118"/>
      <c r="G547" s="408"/>
      <c r="H547" s="408"/>
      <c r="I547" s="408"/>
      <c r="J547" s="408"/>
      <c r="K547" s="408"/>
      <c r="L547" s="408"/>
      <c r="M547" s="118"/>
      <c r="N547" s="435"/>
      <c r="O547" s="435"/>
      <c r="P547" s="435"/>
      <c r="Q547" s="435"/>
      <c r="R547" s="435"/>
      <c r="S547" s="435"/>
      <c r="T547" s="435"/>
      <c r="U547" s="435"/>
      <c r="V547" s="435"/>
      <c r="W547" s="463"/>
      <c r="X547" s="435"/>
      <c r="Y547" s="435"/>
      <c r="Z547" s="435"/>
      <c r="AA547" s="435"/>
      <c r="AB547" s="435"/>
      <c r="AC547" s="408"/>
      <c r="AD547" s="4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</row>
    <row r="548" spans="1:46" ht="15.75" customHeight="1">
      <c r="A548" s="110"/>
      <c r="B548" s="110"/>
      <c r="C548" s="110"/>
      <c r="D548" s="118"/>
      <c r="E548" s="118"/>
      <c r="F548" s="118"/>
      <c r="G548" s="408"/>
      <c r="H548" s="408"/>
      <c r="I548" s="408"/>
      <c r="J548" s="408"/>
      <c r="K548" s="408"/>
      <c r="L548" s="408"/>
      <c r="M548" s="118"/>
      <c r="N548" s="435"/>
      <c r="O548" s="435"/>
      <c r="P548" s="435"/>
      <c r="Q548" s="435"/>
      <c r="R548" s="435"/>
      <c r="S548" s="435"/>
      <c r="T548" s="435"/>
      <c r="U548" s="435"/>
      <c r="V548" s="435"/>
      <c r="W548" s="463"/>
      <c r="X548" s="435"/>
      <c r="Y548" s="435"/>
      <c r="Z548" s="435"/>
      <c r="AA548" s="435"/>
      <c r="AB548" s="435"/>
      <c r="AC548" s="408"/>
      <c r="AD548" s="4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</row>
    <row r="549" spans="1:46" ht="15.75" customHeight="1">
      <c r="A549" s="110"/>
      <c r="B549" s="110"/>
      <c r="C549" s="110"/>
      <c r="D549" s="118"/>
      <c r="E549" s="118"/>
      <c r="F549" s="118"/>
      <c r="G549" s="408"/>
      <c r="H549" s="408"/>
      <c r="I549" s="408"/>
      <c r="J549" s="408"/>
      <c r="K549" s="408"/>
      <c r="L549" s="408"/>
      <c r="M549" s="118"/>
      <c r="N549" s="435"/>
      <c r="O549" s="435"/>
      <c r="P549" s="435"/>
      <c r="Q549" s="435"/>
      <c r="R549" s="435"/>
      <c r="S549" s="435"/>
      <c r="T549" s="435"/>
      <c r="U549" s="435"/>
      <c r="V549" s="435"/>
      <c r="W549" s="463"/>
      <c r="X549" s="435"/>
      <c r="Y549" s="435"/>
      <c r="Z549" s="435"/>
      <c r="AA549" s="435"/>
      <c r="AB549" s="435"/>
      <c r="AC549" s="408"/>
      <c r="AD549" s="4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</row>
    <row r="550" spans="1:46" ht="15.75" customHeight="1">
      <c r="A550" s="110"/>
      <c r="B550" s="110"/>
      <c r="C550" s="110"/>
      <c r="D550" s="118"/>
      <c r="E550" s="118"/>
      <c r="F550" s="118"/>
      <c r="G550" s="408"/>
      <c r="H550" s="408"/>
      <c r="I550" s="408"/>
      <c r="J550" s="408"/>
      <c r="K550" s="408"/>
      <c r="L550" s="408"/>
      <c r="M550" s="118"/>
      <c r="N550" s="435"/>
      <c r="O550" s="435"/>
      <c r="P550" s="435"/>
      <c r="Q550" s="435"/>
      <c r="R550" s="435"/>
      <c r="S550" s="435"/>
      <c r="T550" s="435"/>
      <c r="U550" s="435"/>
      <c r="V550" s="435"/>
      <c r="W550" s="463"/>
      <c r="X550" s="435"/>
      <c r="Y550" s="435"/>
      <c r="Z550" s="435"/>
      <c r="AA550" s="435"/>
      <c r="AB550" s="435"/>
      <c r="AC550" s="408"/>
      <c r="AD550" s="4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</row>
    <row r="551" spans="1:46" ht="15.75" customHeight="1">
      <c r="A551" s="110"/>
      <c r="B551" s="110"/>
      <c r="C551" s="110"/>
      <c r="D551" s="118"/>
      <c r="E551" s="118"/>
      <c r="F551" s="118"/>
      <c r="G551" s="408"/>
      <c r="H551" s="408"/>
      <c r="I551" s="408"/>
      <c r="J551" s="408"/>
      <c r="K551" s="408"/>
      <c r="L551" s="408"/>
      <c r="M551" s="118"/>
      <c r="N551" s="435"/>
      <c r="O551" s="435"/>
      <c r="P551" s="435"/>
      <c r="Q551" s="435"/>
      <c r="R551" s="435"/>
      <c r="S551" s="435"/>
      <c r="T551" s="435"/>
      <c r="U551" s="435"/>
      <c r="V551" s="435"/>
      <c r="W551" s="463"/>
      <c r="X551" s="435"/>
      <c r="Y551" s="435"/>
      <c r="Z551" s="435"/>
      <c r="AA551" s="435"/>
      <c r="AB551" s="435"/>
      <c r="AC551" s="408"/>
      <c r="AD551" s="4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</row>
    <row r="552" spans="1:46" ht="15.75" customHeight="1">
      <c r="A552" s="110"/>
      <c r="B552" s="110"/>
      <c r="C552" s="110"/>
      <c r="D552" s="118"/>
      <c r="E552" s="118"/>
      <c r="F552" s="118"/>
      <c r="G552" s="408"/>
      <c r="H552" s="408"/>
      <c r="I552" s="408"/>
      <c r="J552" s="408"/>
      <c r="K552" s="408"/>
      <c r="L552" s="408"/>
      <c r="M552" s="118"/>
      <c r="N552" s="435"/>
      <c r="O552" s="435"/>
      <c r="P552" s="435"/>
      <c r="Q552" s="435"/>
      <c r="R552" s="435"/>
      <c r="S552" s="435"/>
      <c r="T552" s="435"/>
      <c r="U552" s="435"/>
      <c r="V552" s="435"/>
      <c r="W552" s="463"/>
      <c r="X552" s="435"/>
      <c r="Y552" s="435"/>
      <c r="Z552" s="435"/>
      <c r="AA552" s="435"/>
      <c r="AB552" s="435"/>
      <c r="AC552" s="408"/>
      <c r="AD552" s="4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</row>
    <row r="553" spans="1:46" ht="15.75" customHeight="1">
      <c r="A553" s="110"/>
      <c r="B553" s="110"/>
      <c r="C553" s="110"/>
      <c r="D553" s="118"/>
      <c r="E553" s="118"/>
      <c r="F553" s="118"/>
      <c r="G553" s="408"/>
      <c r="H553" s="408"/>
      <c r="I553" s="408"/>
      <c r="J553" s="408"/>
      <c r="K553" s="408"/>
      <c r="L553" s="408"/>
      <c r="M553" s="118"/>
      <c r="N553" s="435"/>
      <c r="O553" s="435"/>
      <c r="P553" s="435"/>
      <c r="Q553" s="435"/>
      <c r="R553" s="435"/>
      <c r="S553" s="435"/>
      <c r="T553" s="435"/>
      <c r="U553" s="435"/>
      <c r="V553" s="435"/>
      <c r="W553" s="463"/>
      <c r="X553" s="435"/>
      <c r="Y553" s="435"/>
      <c r="Z553" s="435"/>
      <c r="AA553" s="435"/>
      <c r="AB553" s="435"/>
      <c r="AC553" s="408"/>
      <c r="AD553" s="4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</row>
    <row r="554" spans="1:46" ht="15.75" customHeight="1">
      <c r="A554" s="110"/>
      <c r="B554" s="110"/>
      <c r="C554" s="110"/>
      <c r="D554" s="118"/>
      <c r="E554" s="118"/>
      <c r="F554" s="118"/>
      <c r="G554" s="408"/>
      <c r="H554" s="408"/>
      <c r="I554" s="408"/>
      <c r="J554" s="408"/>
      <c r="K554" s="408"/>
      <c r="L554" s="408"/>
      <c r="M554" s="118"/>
      <c r="N554" s="435"/>
      <c r="O554" s="435"/>
      <c r="P554" s="435"/>
      <c r="Q554" s="435"/>
      <c r="R554" s="435"/>
      <c r="S554" s="435"/>
      <c r="T554" s="435"/>
      <c r="U554" s="435"/>
      <c r="V554" s="435"/>
      <c r="W554" s="463"/>
      <c r="X554" s="435"/>
      <c r="Y554" s="435"/>
      <c r="Z554" s="435"/>
      <c r="AA554" s="435"/>
      <c r="AB554" s="435"/>
      <c r="AC554" s="408"/>
      <c r="AD554" s="4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</row>
    <row r="555" spans="1:46" ht="15.75" customHeight="1">
      <c r="A555" s="110"/>
      <c r="B555" s="110"/>
      <c r="C555" s="110"/>
      <c r="D555" s="118"/>
      <c r="E555" s="118"/>
      <c r="F555" s="118"/>
      <c r="G555" s="408"/>
      <c r="H555" s="408"/>
      <c r="I555" s="408"/>
      <c r="J555" s="408"/>
      <c r="K555" s="408"/>
      <c r="L555" s="408"/>
      <c r="M555" s="118"/>
      <c r="N555" s="435"/>
      <c r="O555" s="435"/>
      <c r="P555" s="435"/>
      <c r="Q555" s="435"/>
      <c r="R555" s="435"/>
      <c r="S555" s="435"/>
      <c r="T555" s="435"/>
      <c r="U555" s="435"/>
      <c r="V555" s="435"/>
      <c r="W555" s="463"/>
      <c r="X555" s="435"/>
      <c r="Y555" s="435"/>
      <c r="Z555" s="435"/>
      <c r="AA555" s="435"/>
      <c r="AB555" s="435"/>
      <c r="AC555" s="408"/>
      <c r="AD555" s="4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</row>
    <row r="556" spans="1:46" ht="15.75" customHeight="1">
      <c r="A556" s="110"/>
      <c r="B556" s="110"/>
      <c r="C556" s="110"/>
      <c r="D556" s="118"/>
      <c r="E556" s="118"/>
      <c r="F556" s="118"/>
      <c r="G556" s="408"/>
      <c r="H556" s="408"/>
      <c r="I556" s="408"/>
      <c r="J556" s="408"/>
      <c r="K556" s="408"/>
      <c r="L556" s="408"/>
      <c r="M556" s="118"/>
      <c r="N556" s="435"/>
      <c r="O556" s="435"/>
      <c r="P556" s="435"/>
      <c r="Q556" s="435"/>
      <c r="R556" s="435"/>
      <c r="S556" s="435"/>
      <c r="T556" s="435"/>
      <c r="U556" s="435"/>
      <c r="V556" s="435"/>
      <c r="W556" s="463"/>
      <c r="X556" s="435"/>
      <c r="Y556" s="435"/>
      <c r="Z556" s="435"/>
      <c r="AA556" s="435"/>
      <c r="AB556" s="435"/>
      <c r="AC556" s="408"/>
      <c r="AD556" s="4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</row>
    <row r="557" spans="1:46" ht="15.75" customHeight="1">
      <c r="A557" s="110"/>
      <c r="B557" s="110"/>
      <c r="C557" s="110"/>
      <c r="D557" s="118"/>
      <c r="E557" s="118"/>
      <c r="F557" s="118"/>
      <c r="G557" s="408"/>
      <c r="H557" s="408"/>
      <c r="I557" s="408"/>
      <c r="J557" s="408"/>
      <c r="K557" s="408"/>
      <c r="L557" s="408"/>
      <c r="M557" s="118"/>
      <c r="N557" s="435"/>
      <c r="O557" s="435"/>
      <c r="P557" s="435"/>
      <c r="Q557" s="435"/>
      <c r="R557" s="435"/>
      <c r="S557" s="435"/>
      <c r="T557" s="435"/>
      <c r="U557" s="435"/>
      <c r="V557" s="435"/>
      <c r="W557" s="463"/>
      <c r="X557" s="435"/>
      <c r="Y557" s="435"/>
      <c r="Z557" s="435"/>
      <c r="AA557" s="435"/>
      <c r="AB557" s="435"/>
      <c r="AC557" s="408"/>
      <c r="AD557" s="4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</row>
    <row r="558" spans="1:46" ht="15.75" customHeight="1">
      <c r="A558" s="110"/>
      <c r="B558" s="110"/>
      <c r="C558" s="110"/>
      <c r="D558" s="118"/>
      <c r="E558" s="118"/>
      <c r="F558" s="118"/>
      <c r="G558" s="408"/>
      <c r="H558" s="408"/>
      <c r="I558" s="408"/>
      <c r="J558" s="408"/>
      <c r="K558" s="408"/>
      <c r="L558" s="408"/>
      <c r="M558" s="118"/>
      <c r="N558" s="435"/>
      <c r="O558" s="435"/>
      <c r="P558" s="435"/>
      <c r="Q558" s="435"/>
      <c r="R558" s="435"/>
      <c r="S558" s="435"/>
      <c r="T558" s="435"/>
      <c r="U558" s="435"/>
      <c r="V558" s="435"/>
      <c r="W558" s="463"/>
      <c r="X558" s="435"/>
      <c r="Y558" s="435"/>
      <c r="Z558" s="435"/>
      <c r="AA558" s="435"/>
      <c r="AB558" s="435"/>
      <c r="AC558" s="408"/>
      <c r="AD558" s="4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</row>
    <row r="559" spans="1:46" ht="15.75" customHeight="1">
      <c r="A559" s="110"/>
      <c r="B559" s="110"/>
      <c r="C559" s="110"/>
      <c r="D559" s="118"/>
      <c r="E559" s="118"/>
      <c r="F559" s="118"/>
      <c r="G559" s="408"/>
      <c r="H559" s="408"/>
      <c r="I559" s="408"/>
      <c r="J559" s="408"/>
      <c r="K559" s="408"/>
      <c r="L559" s="408"/>
      <c r="M559" s="118"/>
      <c r="N559" s="435"/>
      <c r="O559" s="435"/>
      <c r="P559" s="435"/>
      <c r="Q559" s="435"/>
      <c r="R559" s="435"/>
      <c r="S559" s="435"/>
      <c r="T559" s="435"/>
      <c r="U559" s="435"/>
      <c r="V559" s="435"/>
      <c r="W559" s="463"/>
      <c r="X559" s="435"/>
      <c r="Y559" s="435"/>
      <c r="Z559" s="435"/>
      <c r="AA559" s="435"/>
      <c r="AB559" s="435"/>
      <c r="AC559" s="408"/>
      <c r="AD559" s="4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</row>
    <row r="560" spans="1:46" ht="15.75" customHeight="1">
      <c r="A560" s="110"/>
      <c r="B560" s="110"/>
      <c r="C560" s="110"/>
      <c r="D560" s="118"/>
      <c r="E560" s="118"/>
      <c r="F560" s="118"/>
      <c r="G560" s="408"/>
      <c r="H560" s="408"/>
      <c r="I560" s="408"/>
      <c r="J560" s="408"/>
      <c r="K560" s="408"/>
      <c r="L560" s="408"/>
      <c r="M560" s="118"/>
      <c r="N560" s="435"/>
      <c r="O560" s="435"/>
      <c r="P560" s="435"/>
      <c r="Q560" s="435"/>
      <c r="R560" s="435"/>
      <c r="S560" s="435"/>
      <c r="T560" s="435"/>
      <c r="U560" s="435"/>
      <c r="V560" s="435"/>
      <c r="W560" s="463"/>
      <c r="X560" s="435"/>
      <c r="Y560" s="435"/>
      <c r="Z560" s="435"/>
      <c r="AA560" s="435"/>
      <c r="AB560" s="435"/>
      <c r="AC560" s="408"/>
      <c r="AD560" s="4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</row>
    <row r="561" spans="1:46" ht="15.75" customHeight="1">
      <c r="A561" s="110"/>
      <c r="B561" s="110"/>
      <c r="C561" s="110"/>
      <c r="D561" s="118"/>
      <c r="E561" s="118"/>
      <c r="F561" s="118"/>
      <c r="G561" s="408"/>
      <c r="H561" s="408"/>
      <c r="I561" s="408"/>
      <c r="J561" s="408"/>
      <c r="K561" s="408"/>
      <c r="L561" s="408"/>
      <c r="M561" s="118"/>
      <c r="N561" s="435"/>
      <c r="O561" s="435"/>
      <c r="P561" s="435"/>
      <c r="Q561" s="435"/>
      <c r="R561" s="435"/>
      <c r="S561" s="435"/>
      <c r="T561" s="435"/>
      <c r="U561" s="435"/>
      <c r="V561" s="435"/>
      <c r="W561" s="463"/>
      <c r="X561" s="435"/>
      <c r="Y561" s="435"/>
      <c r="Z561" s="435"/>
      <c r="AA561" s="435"/>
      <c r="AB561" s="435"/>
      <c r="AC561" s="408"/>
      <c r="AD561" s="4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</row>
    <row r="562" spans="1:46" ht="15.75" customHeight="1">
      <c r="A562" s="110"/>
      <c r="B562" s="110"/>
      <c r="C562" s="110"/>
      <c r="D562" s="118"/>
      <c r="E562" s="118"/>
      <c r="F562" s="118"/>
      <c r="G562" s="408"/>
      <c r="H562" s="408"/>
      <c r="I562" s="408"/>
      <c r="J562" s="408"/>
      <c r="K562" s="408"/>
      <c r="L562" s="408"/>
      <c r="M562" s="118"/>
      <c r="N562" s="435"/>
      <c r="O562" s="435"/>
      <c r="P562" s="435"/>
      <c r="Q562" s="435"/>
      <c r="R562" s="435"/>
      <c r="S562" s="435"/>
      <c r="T562" s="435"/>
      <c r="U562" s="435"/>
      <c r="V562" s="435"/>
      <c r="W562" s="463"/>
      <c r="X562" s="435"/>
      <c r="Y562" s="435"/>
      <c r="Z562" s="435"/>
      <c r="AA562" s="435"/>
      <c r="AB562" s="435"/>
      <c r="AC562" s="408"/>
      <c r="AD562" s="4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</row>
    <row r="563" spans="1:46" ht="15.75" customHeight="1">
      <c r="A563" s="110"/>
      <c r="B563" s="110"/>
      <c r="C563" s="110"/>
      <c r="D563" s="118"/>
      <c r="E563" s="118"/>
      <c r="F563" s="118"/>
      <c r="G563" s="408"/>
      <c r="H563" s="408"/>
      <c r="I563" s="408"/>
      <c r="J563" s="408"/>
      <c r="K563" s="408"/>
      <c r="L563" s="408"/>
      <c r="M563" s="118"/>
      <c r="N563" s="435"/>
      <c r="O563" s="435"/>
      <c r="P563" s="435"/>
      <c r="Q563" s="435"/>
      <c r="R563" s="435"/>
      <c r="S563" s="435"/>
      <c r="T563" s="435"/>
      <c r="U563" s="435"/>
      <c r="V563" s="435"/>
      <c r="W563" s="463"/>
      <c r="X563" s="435"/>
      <c r="Y563" s="435"/>
      <c r="Z563" s="435"/>
      <c r="AA563" s="435"/>
      <c r="AB563" s="435"/>
      <c r="AC563" s="408"/>
      <c r="AD563" s="4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</row>
    <row r="564" spans="1:46" ht="15.75" customHeight="1">
      <c r="A564" s="110"/>
      <c r="B564" s="110"/>
      <c r="C564" s="110"/>
      <c r="D564" s="118"/>
      <c r="E564" s="118"/>
      <c r="F564" s="118"/>
      <c r="G564" s="408"/>
      <c r="H564" s="408"/>
      <c r="I564" s="408"/>
      <c r="J564" s="408"/>
      <c r="K564" s="408"/>
      <c r="L564" s="408"/>
      <c r="M564" s="118"/>
      <c r="N564" s="435"/>
      <c r="O564" s="435"/>
      <c r="P564" s="435"/>
      <c r="Q564" s="435"/>
      <c r="R564" s="435"/>
      <c r="S564" s="435"/>
      <c r="T564" s="435"/>
      <c r="U564" s="435"/>
      <c r="V564" s="435"/>
      <c r="W564" s="463"/>
      <c r="X564" s="435"/>
      <c r="Y564" s="435"/>
      <c r="Z564" s="435"/>
      <c r="AA564" s="435"/>
      <c r="AB564" s="435"/>
      <c r="AC564" s="408"/>
      <c r="AD564" s="4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</row>
    <row r="565" spans="1:46" ht="15.75" customHeight="1">
      <c r="A565" s="110"/>
      <c r="B565" s="110"/>
      <c r="C565" s="110"/>
      <c r="D565" s="118"/>
      <c r="E565" s="118"/>
      <c r="F565" s="118"/>
      <c r="G565" s="408"/>
      <c r="H565" s="408"/>
      <c r="I565" s="408"/>
      <c r="J565" s="408"/>
      <c r="K565" s="408"/>
      <c r="L565" s="408"/>
      <c r="M565" s="118"/>
      <c r="N565" s="435"/>
      <c r="O565" s="435"/>
      <c r="P565" s="435"/>
      <c r="Q565" s="435"/>
      <c r="R565" s="435"/>
      <c r="S565" s="435"/>
      <c r="T565" s="435"/>
      <c r="U565" s="435"/>
      <c r="V565" s="435"/>
      <c r="W565" s="463"/>
      <c r="X565" s="435"/>
      <c r="Y565" s="435"/>
      <c r="Z565" s="435"/>
      <c r="AA565" s="435"/>
      <c r="AB565" s="435"/>
      <c r="AC565" s="408"/>
      <c r="AD565" s="4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</row>
    <row r="566" spans="1:46" ht="15.75" customHeight="1">
      <c r="A566" s="110"/>
      <c r="B566" s="110"/>
      <c r="C566" s="110"/>
      <c r="D566" s="118"/>
      <c r="E566" s="118"/>
      <c r="F566" s="118"/>
      <c r="G566" s="408"/>
      <c r="H566" s="408"/>
      <c r="I566" s="408"/>
      <c r="J566" s="408"/>
      <c r="K566" s="408"/>
      <c r="L566" s="408"/>
      <c r="M566" s="118"/>
      <c r="N566" s="435"/>
      <c r="O566" s="435"/>
      <c r="P566" s="435"/>
      <c r="Q566" s="435"/>
      <c r="R566" s="435"/>
      <c r="S566" s="435"/>
      <c r="T566" s="435"/>
      <c r="U566" s="435"/>
      <c r="V566" s="435"/>
      <c r="W566" s="463"/>
      <c r="X566" s="435"/>
      <c r="Y566" s="435"/>
      <c r="Z566" s="435"/>
      <c r="AA566" s="435"/>
      <c r="AB566" s="435"/>
      <c r="AC566" s="408"/>
      <c r="AD566" s="4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</row>
    <row r="567" spans="1:46" ht="15.75" customHeight="1">
      <c r="A567" s="110"/>
      <c r="B567" s="110"/>
      <c r="C567" s="110"/>
      <c r="D567" s="118"/>
      <c r="E567" s="118"/>
      <c r="F567" s="118"/>
      <c r="G567" s="408"/>
      <c r="H567" s="408"/>
      <c r="I567" s="408"/>
      <c r="J567" s="408"/>
      <c r="K567" s="408"/>
      <c r="L567" s="408"/>
      <c r="M567" s="118"/>
      <c r="N567" s="435"/>
      <c r="O567" s="435"/>
      <c r="P567" s="435"/>
      <c r="Q567" s="435"/>
      <c r="R567" s="435"/>
      <c r="S567" s="435"/>
      <c r="T567" s="435"/>
      <c r="U567" s="435"/>
      <c r="V567" s="435"/>
      <c r="W567" s="463"/>
      <c r="X567" s="435"/>
      <c r="Y567" s="435"/>
      <c r="Z567" s="435"/>
      <c r="AA567" s="435"/>
      <c r="AB567" s="435"/>
      <c r="AC567" s="408"/>
      <c r="AD567" s="4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</row>
    <row r="568" spans="1:46" ht="15.75" customHeight="1">
      <c r="A568" s="110"/>
      <c r="B568" s="110"/>
      <c r="C568" s="110"/>
      <c r="D568" s="118"/>
      <c r="E568" s="118"/>
      <c r="F568" s="118"/>
      <c r="G568" s="408"/>
      <c r="H568" s="408"/>
      <c r="I568" s="408"/>
      <c r="J568" s="408"/>
      <c r="K568" s="408"/>
      <c r="L568" s="408"/>
      <c r="M568" s="118"/>
      <c r="N568" s="435"/>
      <c r="O568" s="435"/>
      <c r="P568" s="435"/>
      <c r="Q568" s="435"/>
      <c r="R568" s="435"/>
      <c r="S568" s="435"/>
      <c r="T568" s="435"/>
      <c r="U568" s="435"/>
      <c r="V568" s="435"/>
      <c r="W568" s="463"/>
      <c r="X568" s="435"/>
      <c r="Y568" s="435"/>
      <c r="Z568" s="435"/>
      <c r="AA568" s="435"/>
      <c r="AB568" s="435"/>
      <c r="AC568" s="408"/>
      <c r="AD568" s="4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</row>
    <row r="569" spans="1:46" ht="15.75" customHeight="1">
      <c r="A569" s="110"/>
      <c r="B569" s="110"/>
      <c r="C569" s="110"/>
      <c r="D569" s="118"/>
      <c r="E569" s="118"/>
      <c r="F569" s="118"/>
      <c r="G569" s="408"/>
      <c r="H569" s="408"/>
      <c r="I569" s="408"/>
      <c r="J569" s="408"/>
      <c r="K569" s="408"/>
      <c r="L569" s="408"/>
      <c r="M569" s="118"/>
      <c r="N569" s="435"/>
      <c r="O569" s="435"/>
      <c r="P569" s="435"/>
      <c r="Q569" s="435"/>
      <c r="R569" s="435"/>
      <c r="S569" s="435"/>
      <c r="T569" s="435"/>
      <c r="U569" s="435"/>
      <c r="V569" s="435"/>
      <c r="W569" s="463"/>
      <c r="X569" s="435"/>
      <c r="Y569" s="435"/>
      <c r="Z569" s="435"/>
      <c r="AA569" s="435"/>
      <c r="AB569" s="435"/>
      <c r="AC569" s="408"/>
      <c r="AD569" s="4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</row>
    <row r="570" spans="1:46" ht="15.75" customHeight="1">
      <c r="A570" s="110"/>
      <c r="B570" s="110"/>
      <c r="C570" s="110"/>
      <c r="D570" s="118"/>
      <c r="E570" s="118"/>
      <c r="F570" s="118"/>
      <c r="G570" s="408"/>
      <c r="H570" s="408"/>
      <c r="I570" s="408"/>
      <c r="J570" s="408"/>
      <c r="K570" s="408"/>
      <c r="L570" s="408"/>
      <c r="M570" s="118"/>
      <c r="N570" s="435"/>
      <c r="O570" s="435"/>
      <c r="P570" s="435"/>
      <c r="Q570" s="435"/>
      <c r="R570" s="435"/>
      <c r="S570" s="435"/>
      <c r="T570" s="435"/>
      <c r="U570" s="435"/>
      <c r="V570" s="435"/>
      <c r="W570" s="463"/>
      <c r="X570" s="435"/>
      <c r="Y570" s="435"/>
      <c r="Z570" s="435"/>
      <c r="AA570" s="435"/>
      <c r="AB570" s="435"/>
      <c r="AC570" s="408"/>
      <c r="AD570" s="4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</row>
    <row r="571" spans="1:46" ht="15.75" customHeight="1">
      <c r="A571" s="110"/>
      <c r="B571" s="110"/>
      <c r="C571" s="110"/>
      <c r="D571" s="118"/>
      <c r="E571" s="118"/>
      <c r="F571" s="118"/>
      <c r="G571" s="408"/>
      <c r="H571" s="408"/>
      <c r="I571" s="408"/>
      <c r="J571" s="408"/>
      <c r="K571" s="408"/>
      <c r="L571" s="408"/>
      <c r="M571" s="118"/>
      <c r="N571" s="435"/>
      <c r="O571" s="435"/>
      <c r="P571" s="435"/>
      <c r="Q571" s="435"/>
      <c r="R571" s="435"/>
      <c r="S571" s="435"/>
      <c r="T571" s="435"/>
      <c r="U571" s="435"/>
      <c r="V571" s="435"/>
      <c r="W571" s="463"/>
      <c r="X571" s="435"/>
      <c r="Y571" s="435"/>
      <c r="Z571" s="435"/>
      <c r="AA571" s="435"/>
      <c r="AB571" s="435"/>
      <c r="AC571" s="408"/>
      <c r="AD571" s="4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</row>
    <row r="572" spans="1:46" ht="15.75" customHeight="1">
      <c r="A572" s="110"/>
      <c r="B572" s="110"/>
      <c r="C572" s="110"/>
      <c r="D572" s="118"/>
      <c r="E572" s="118"/>
      <c r="F572" s="118"/>
      <c r="G572" s="408"/>
      <c r="H572" s="408"/>
      <c r="I572" s="408"/>
      <c r="J572" s="408"/>
      <c r="K572" s="408"/>
      <c r="L572" s="408"/>
      <c r="M572" s="118"/>
      <c r="N572" s="435"/>
      <c r="O572" s="435"/>
      <c r="P572" s="435"/>
      <c r="Q572" s="435"/>
      <c r="R572" s="435"/>
      <c r="S572" s="435"/>
      <c r="T572" s="435"/>
      <c r="U572" s="435"/>
      <c r="V572" s="435"/>
      <c r="W572" s="463"/>
      <c r="X572" s="435"/>
      <c r="Y572" s="435"/>
      <c r="Z572" s="435"/>
      <c r="AA572" s="435"/>
      <c r="AB572" s="435"/>
      <c r="AC572" s="408"/>
      <c r="AD572" s="4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</row>
    <row r="573" spans="1:46" ht="15.75" customHeight="1">
      <c r="A573" s="110"/>
      <c r="B573" s="110"/>
      <c r="C573" s="110"/>
      <c r="D573" s="118"/>
      <c r="E573" s="118"/>
      <c r="F573" s="118"/>
      <c r="G573" s="408"/>
      <c r="H573" s="408"/>
      <c r="I573" s="408"/>
      <c r="J573" s="408"/>
      <c r="K573" s="408"/>
      <c r="L573" s="408"/>
      <c r="M573" s="118"/>
      <c r="N573" s="435"/>
      <c r="O573" s="435"/>
      <c r="P573" s="435"/>
      <c r="Q573" s="435"/>
      <c r="R573" s="435"/>
      <c r="S573" s="435"/>
      <c r="T573" s="435"/>
      <c r="U573" s="435"/>
      <c r="V573" s="435"/>
      <c r="W573" s="463"/>
      <c r="X573" s="435"/>
      <c r="Y573" s="435"/>
      <c r="Z573" s="435"/>
      <c r="AA573" s="435"/>
      <c r="AB573" s="435"/>
      <c r="AC573" s="408"/>
      <c r="AD573" s="4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</row>
    <row r="574" spans="1:46" ht="15.75" customHeight="1">
      <c r="A574" s="110"/>
      <c r="B574" s="110"/>
      <c r="C574" s="110"/>
      <c r="D574" s="118"/>
      <c r="E574" s="118"/>
      <c r="F574" s="118"/>
      <c r="G574" s="408"/>
      <c r="H574" s="408"/>
      <c r="I574" s="408"/>
      <c r="J574" s="408"/>
      <c r="K574" s="408"/>
      <c r="L574" s="408"/>
      <c r="M574" s="118"/>
      <c r="N574" s="435"/>
      <c r="O574" s="435"/>
      <c r="P574" s="435"/>
      <c r="Q574" s="435"/>
      <c r="R574" s="435"/>
      <c r="S574" s="435"/>
      <c r="T574" s="435"/>
      <c r="U574" s="435"/>
      <c r="V574" s="435"/>
      <c r="W574" s="463"/>
      <c r="X574" s="435"/>
      <c r="Y574" s="435"/>
      <c r="Z574" s="435"/>
      <c r="AA574" s="435"/>
      <c r="AB574" s="435"/>
      <c r="AC574" s="408"/>
      <c r="AD574" s="4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</row>
    <row r="575" spans="1:46" ht="15.75" customHeight="1">
      <c r="A575" s="110"/>
      <c r="B575" s="110"/>
      <c r="C575" s="110"/>
      <c r="D575" s="118"/>
      <c r="E575" s="118"/>
      <c r="F575" s="118"/>
      <c r="G575" s="408"/>
      <c r="H575" s="408"/>
      <c r="I575" s="408"/>
      <c r="J575" s="408"/>
      <c r="K575" s="408"/>
      <c r="L575" s="408"/>
      <c r="M575" s="118"/>
      <c r="N575" s="435"/>
      <c r="O575" s="435"/>
      <c r="P575" s="435"/>
      <c r="Q575" s="435"/>
      <c r="R575" s="435"/>
      <c r="S575" s="435"/>
      <c r="T575" s="435"/>
      <c r="U575" s="435"/>
      <c r="V575" s="435"/>
      <c r="W575" s="463"/>
      <c r="X575" s="435"/>
      <c r="Y575" s="435"/>
      <c r="Z575" s="435"/>
      <c r="AA575" s="435"/>
      <c r="AB575" s="435"/>
      <c r="AC575" s="408"/>
      <c r="AD575" s="4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</row>
    <row r="576" spans="1:46" ht="15.75" customHeight="1">
      <c r="A576" s="110"/>
      <c r="B576" s="110"/>
      <c r="C576" s="110"/>
      <c r="D576" s="118"/>
      <c r="E576" s="118"/>
      <c r="F576" s="118"/>
      <c r="G576" s="408"/>
      <c r="H576" s="408"/>
      <c r="I576" s="408"/>
      <c r="J576" s="408"/>
      <c r="K576" s="408"/>
      <c r="L576" s="408"/>
      <c r="M576" s="118"/>
      <c r="N576" s="435"/>
      <c r="O576" s="435"/>
      <c r="P576" s="435"/>
      <c r="Q576" s="435"/>
      <c r="R576" s="435"/>
      <c r="S576" s="435"/>
      <c r="T576" s="435"/>
      <c r="U576" s="435"/>
      <c r="V576" s="435"/>
      <c r="W576" s="463"/>
      <c r="X576" s="435"/>
      <c r="Y576" s="435"/>
      <c r="Z576" s="435"/>
      <c r="AA576" s="435"/>
      <c r="AB576" s="435"/>
      <c r="AC576" s="408"/>
      <c r="AD576" s="4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</row>
    <row r="577" spans="1:46" ht="15.75" customHeight="1">
      <c r="A577" s="110"/>
      <c r="B577" s="110"/>
      <c r="C577" s="110"/>
      <c r="D577" s="118"/>
      <c r="E577" s="118"/>
      <c r="F577" s="118"/>
      <c r="G577" s="408"/>
      <c r="H577" s="408"/>
      <c r="I577" s="408"/>
      <c r="J577" s="408"/>
      <c r="K577" s="408"/>
      <c r="L577" s="408"/>
      <c r="M577" s="118"/>
      <c r="N577" s="435"/>
      <c r="O577" s="435"/>
      <c r="P577" s="435"/>
      <c r="Q577" s="435"/>
      <c r="R577" s="435"/>
      <c r="S577" s="435"/>
      <c r="T577" s="435"/>
      <c r="U577" s="435"/>
      <c r="V577" s="435"/>
      <c r="W577" s="463"/>
      <c r="X577" s="435"/>
      <c r="Y577" s="435"/>
      <c r="Z577" s="435"/>
      <c r="AA577" s="435"/>
      <c r="AB577" s="435"/>
      <c r="AC577" s="408"/>
      <c r="AD577" s="4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</row>
    <row r="578" spans="1:46" ht="15.75" customHeight="1">
      <c r="A578" s="110"/>
      <c r="B578" s="110"/>
      <c r="C578" s="110"/>
      <c r="D578" s="118"/>
      <c r="E578" s="118"/>
      <c r="F578" s="118"/>
      <c r="G578" s="408"/>
      <c r="H578" s="408"/>
      <c r="I578" s="408"/>
      <c r="J578" s="408"/>
      <c r="K578" s="408"/>
      <c r="L578" s="408"/>
      <c r="M578" s="118"/>
      <c r="N578" s="435"/>
      <c r="O578" s="435"/>
      <c r="P578" s="435"/>
      <c r="Q578" s="435"/>
      <c r="R578" s="435"/>
      <c r="S578" s="435"/>
      <c r="T578" s="435"/>
      <c r="U578" s="435"/>
      <c r="V578" s="435"/>
      <c r="W578" s="463"/>
      <c r="X578" s="435"/>
      <c r="Y578" s="435"/>
      <c r="Z578" s="435"/>
      <c r="AA578" s="435"/>
      <c r="AB578" s="435"/>
      <c r="AC578" s="408"/>
      <c r="AD578" s="4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</row>
    <row r="579" spans="1:46" ht="15.75" customHeight="1">
      <c r="A579" s="110"/>
      <c r="B579" s="110"/>
      <c r="C579" s="110"/>
      <c r="D579" s="118"/>
      <c r="E579" s="118"/>
      <c r="F579" s="118"/>
      <c r="G579" s="408"/>
      <c r="H579" s="408"/>
      <c r="I579" s="408"/>
      <c r="J579" s="408"/>
      <c r="K579" s="408"/>
      <c r="L579" s="408"/>
      <c r="M579" s="118"/>
      <c r="N579" s="435"/>
      <c r="O579" s="435"/>
      <c r="P579" s="435"/>
      <c r="Q579" s="435"/>
      <c r="R579" s="435"/>
      <c r="S579" s="435"/>
      <c r="T579" s="435"/>
      <c r="U579" s="435"/>
      <c r="V579" s="435"/>
      <c r="W579" s="463"/>
      <c r="X579" s="435"/>
      <c r="Y579" s="435"/>
      <c r="Z579" s="435"/>
      <c r="AA579" s="435"/>
      <c r="AB579" s="435"/>
      <c r="AC579" s="408"/>
      <c r="AD579" s="4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</row>
    <row r="580" spans="1:46" ht="15.75" customHeight="1">
      <c r="A580" s="110"/>
      <c r="B580" s="110"/>
      <c r="C580" s="110"/>
      <c r="D580" s="118"/>
      <c r="E580" s="118"/>
      <c r="F580" s="118"/>
      <c r="G580" s="408"/>
      <c r="H580" s="408"/>
      <c r="I580" s="408"/>
      <c r="J580" s="408"/>
      <c r="K580" s="408"/>
      <c r="L580" s="408"/>
      <c r="M580" s="118"/>
      <c r="N580" s="435"/>
      <c r="O580" s="435"/>
      <c r="P580" s="435"/>
      <c r="Q580" s="435"/>
      <c r="R580" s="435"/>
      <c r="S580" s="435"/>
      <c r="T580" s="435"/>
      <c r="U580" s="435"/>
      <c r="V580" s="435"/>
      <c r="W580" s="463"/>
      <c r="X580" s="435"/>
      <c r="Y580" s="435"/>
      <c r="Z580" s="435"/>
      <c r="AA580" s="435"/>
      <c r="AB580" s="435"/>
      <c r="AC580" s="408"/>
      <c r="AD580" s="4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</row>
    <row r="581" spans="1:46" ht="15.75" customHeight="1">
      <c r="A581" s="110"/>
      <c r="B581" s="110"/>
      <c r="C581" s="110"/>
      <c r="D581" s="118"/>
      <c r="E581" s="118"/>
      <c r="F581" s="118"/>
      <c r="G581" s="408"/>
      <c r="H581" s="408"/>
      <c r="I581" s="408"/>
      <c r="J581" s="408"/>
      <c r="K581" s="408"/>
      <c r="L581" s="408"/>
      <c r="M581" s="118"/>
      <c r="N581" s="435"/>
      <c r="O581" s="435"/>
      <c r="P581" s="435"/>
      <c r="Q581" s="435"/>
      <c r="R581" s="435"/>
      <c r="S581" s="435"/>
      <c r="T581" s="435"/>
      <c r="U581" s="435"/>
      <c r="V581" s="435"/>
      <c r="W581" s="463"/>
      <c r="X581" s="435"/>
      <c r="Y581" s="435"/>
      <c r="Z581" s="435"/>
      <c r="AA581" s="435"/>
      <c r="AB581" s="435"/>
      <c r="AC581" s="408"/>
      <c r="AD581" s="4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</row>
    <row r="582" spans="1:46" ht="15.75" customHeight="1">
      <c r="A582" s="110"/>
      <c r="B582" s="110"/>
      <c r="C582" s="110"/>
      <c r="D582" s="118"/>
      <c r="E582" s="118"/>
      <c r="F582" s="118"/>
      <c r="G582" s="408"/>
      <c r="H582" s="408"/>
      <c r="I582" s="408"/>
      <c r="J582" s="408"/>
      <c r="K582" s="408"/>
      <c r="L582" s="408"/>
      <c r="M582" s="118"/>
      <c r="N582" s="435"/>
      <c r="O582" s="435"/>
      <c r="P582" s="435"/>
      <c r="Q582" s="435"/>
      <c r="R582" s="435"/>
      <c r="S582" s="435"/>
      <c r="T582" s="435"/>
      <c r="U582" s="435"/>
      <c r="V582" s="435"/>
      <c r="W582" s="463"/>
      <c r="X582" s="435"/>
      <c r="Y582" s="435"/>
      <c r="Z582" s="435"/>
      <c r="AA582" s="435"/>
      <c r="AB582" s="435"/>
      <c r="AC582" s="408"/>
      <c r="AD582" s="4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</row>
    <row r="583" spans="1:46" ht="15.75" customHeight="1">
      <c r="A583" s="110"/>
      <c r="B583" s="110"/>
      <c r="C583" s="110"/>
      <c r="D583" s="118"/>
      <c r="E583" s="118"/>
      <c r="F583" s="118"/>
      <c r="G583" s="408"/>
      <c r="H583" s="408"/>
      <c r="I583" s="408"/>
      <c r="J583" s="408"/>
      <c r="K583" s="408"/>
      <c r="L583" s="408"/>
      <c r="M583" s="118"/>
      <c r="N583" s="435"/>
      <c r="O583" s="435"/>
      <c r="P583" s="435"/>
      <c r="Q583" s="435"/>
      <c r="R583" s="435"/>
      <c r="S583" s="435"/>
      <c r="T583" s="435"/>
      <c r="U583" s="435"/>
      <c r="V583" s="435"/>
      <c r="W583" s="463"/>
      <c r="X583" s="435"/>
      <c r="Y583" s="435"/>
      <c r="Z583" s="435"/>
      <c r="AA583" s="435"/>
      <c r="AB583" s="435"/>
      <c r="AC583" s="408"/>
      <c r="AD583" s="4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</row>
    <row r="584" spans="1:46" ht="15.75" customHeight="1">
      <c r="A584" s="110"/>
      <c r="B584" s="110"/>
      <c r="C584" s="110"/>
      <c r="D584" s="118"/>
      <c r="E584" s="118"/>
      <c r="F584" s="118"/>
      <c r="G584" s="408"/>
      <c r="H584" s="408"/>
      <c r="I584" s="408"/>
      <c r="J584" s="408"/>
      <c r="K584" s="408"/>
      <c r="L584" s="408"/>
      <c r="M584" s="118"/>
      <c r="N584" s="435"/>
      <c r="O584" s="435"/>
      <c r="P584" s="435"/>
      <c r="Q584" s="435"/>
      <c r="R584" s="435"/>
      <c r="S584" s="435"/>
      <c r="T584" s="435"/>
      <c r="U584" s="435"/>
      <c r="V584" s="435"/>
      <c r="W584" s="463"/>
      <c r="X584" s="435"/>
      <c r="Y584" s="435"/>
      <c r="Z584" s="435"/>
      <c r="AA584" s="435"/>
      <c r="AB584" s="435"/>
      <c r="AC584" s="408"/>
      <c r="AD584" s="4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</row>
    <row r="585" spans="1:46" ht="15.75" customHeight="1">
      <c r="A585" s="110"/>
      <c r="B585" s="110"/>
      <c r="C585" s="110"/>
      <c r="D585" s="118"/>
      <c r="E585" s="118"/>
      <c r="F585" s="118"/>
      <c r="G585" s="408"/>
      <c r="H585" s="408"/>
      <c r="I585" s="408"/>
      <c r="J585" s="408"/>
      <c r="K585" s="408"/>
      <c r="L585" s="408"/>
      <c r="M585" s="118"/>
      <c r="N585" s="435"/>
      <c r="O585" s="435"/>
      <c r="P585" s="435"/>
      <c r="Q585" s="435"/>
      <c r="R585" s="435"/>
      <c r="S585" s="435"/>
      <c r="T585" s="435"/>
      <c r="U585" s="435"/>
      <c r="V585" s="435"/>
      <c r="W585" s="463"/>
      <c r="X585" s="435"/>
      <c r="Y585" s="435"/>
      <c r="Z585" s="435"/>
      <c r="AA585" s="435"/>
      <c r="AB585" s="435"/>
      <c r="AC585" s="408"/>
      <c r="AD585" s="4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</row>
    <row r="586" spans="1:46" ht="15.75" customHeight="1">
      <c r="A586" s="110"/>
      <c r="B586" s="110"/>
      <c r="C586" s="110"/>
      <c r="D586" s="118"/>
      <c r="E586" s="118"/>
      <c r="F586" s="118"/>
      <c r="G586" s="408"/>
      <c r="H586" s="408"/>
      <c r="I586" s="408"/>
      <c r="J586" s="408"/>
      <c r="K586" s="408"/>
      <c r="L586" s="408"/>
      <c r="M586" s="118"/>
      <c r="N586" s="435"/>
      <c r="O586" s="435"/>
      <c r="P586" s="435"/>
      <c r="Q586" s="435"/>
      <c r="R586" s="435"/>
      <c r="S586" s="435"/>
      <c r="T586" s="435"/>
      <c r="U586" s="435"/>
      <c r="V586" s="435"/>
      <c r="W586" s="463"/>
      <c r="X586" s="435"/>
      <c r="Y586" s="435"/>
      <c r="Z586" s="435"/>
      <c r="AA586" s="435"/>
      <c r="AB586" s="435"/>
      <c r="AC586" s="408"/>
      <c r="AD586" s="4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</row>
    <row r="587" spans="1:46" ht="15.75" customHeight="1">
      <c r="A587" s="110"/>
      <c r="B587" s="110"/>
      <c r="C587" s="110"/>
      <c r="D587" s="118"/>
      <c r="E587" s="118"/>
      <c r="F587" s="118"/>
      <c r="G587" s="408"/>
      <c r="H587" s="408"/>
      <c r="I587" s="408"/>
      <c r="J587" s="408"/>
      <c r="K587" s="408"/>
      <c r="L587" s="408"/>
      <c r="M587" s="118"/>
      <c r="N587" s="435"/>
      <c r="O587" s="435"/>
      <c r="P587" s="435"/>
      <c r="Q587" s="435"/>
      <c r="R587" s="435"/>
      <c r="S587" s="435"/>
      <c r="T587" s="435"/>
      <c r="U587" s="435"/>
      <c r="V587" s="435"/>
      <c r="W587" s="463"/>
      <c r="X587" s="435"/>
      <c r="Y587" s="435"/>
      <c r="Z587" s="435"/>
      <c r="AA587" s="435"/>
      <c r="AB587" s="435"/>
      <c r="AC587" s="408"/>
      <c r="AD587" s="4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</row>
    <row r="588" spans="1:46" ht="15.75" customHeight="1">
      <c r="A588" s="110"/>
      <c r="B588" s="110"/>
      <c r="C588" s="110"/>
      <c r="D588" s="118"/>
      <c r="E588" s="118"/>
      <c r="F588" s="118"/>
      <c r="G588" s="408"/>
      <c r="H588" s="408"/>
      <c r="I588" s="408"/>
      <c r="J588" s="408"/>
      <c r="K588" s="408"/>
      <c r="L588" s="408"/>
      <c r="M588" s="118"/>
      <c r="N588" s="435"/>
      <c r="O588" s="435"/>
      <c r="P588" s="435"/>
      <c r="Q588" s="435"/>
      <c r="R588" s="435"/>
      <c r="S588" s="435"/>
      <c r="T588" s="435"/>
      <c r="U588" s="435"/>
      <c r="V588" s="435"/>
      <c r="W588" s="463"/>
      <c r="X588" s="435"/>
      <c r="Y588" s="435"/>
      <c r="Z588" s="435"/>
      <c r="AA588" s="435"/>
      <c r="AB588" s="435"/>
      <c r="AC588" s="408"/>
      <c r="AD588" s="4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</row>
    <row r="589" spans="1:46" ht="15.75" customHeight="1">
      <c r="A589" s="110"/>
      <c r="B589" s="110"/>
      <c r="C589" s="110"/>
      <c r="D589" s="118"/>
      <c r="E589" s="118"/>
      <c r="F589" s="118"/>
      <c r="G589" s="408"/>
      <c r="H589" s="408"/>
      <c r="I589" s="408"/>
      <c r="J589" s="408"/>
      <c r="K589" s="408"/>
      <c r="L589" s="408"/>
      <c r="M589" s="118"/>
      <c r="N589" s="435"/>
      <c r="O589" s="435"/>
      <c r="P589" s="435"/>
      <c r="Q589" s="435"/>
      <c r="R589" s="435"/>
      <c r="S589" s="435"/>
      <c r="T589" s="435"/>
      <c r="U589" s="435"/>
      <c r="V589" s="435"/>
      <c r="W589" s="463"/>
      <c r="X589" s="435"/>
      <c r="Y589" s="435"/>
      <c r="Z589" s="435"/>
      <c r="AA589" s="435"/>
      <c r="AB589" s="435"/>
      <c r="AC589" s="408"/>
      <c r="AD589" s="4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</row>
    <row r="590" spans="1:46" ht="15.75" customHeight="1">
      <c r="A590" s="110"/>
      <c r="B590" s="110"/>
      <c r="C590" s="110"/>
      <c r="D590" s="118"/>
      <c r="E590" s="118"/>
      <c r="F590" s="118"/>
      <c r="G590" s="408"/>
      <c r="H590" s="408"/>
      <c r="I590" s="408"/>
      <c r="J590" s="408"/>
      <c r="K590" s="408"/>
      <c r="L590" s="408"/>
      <c r="M590" s="118"/>
      <c r="N590" s="435"/>
      <c r="O590" s="435"/>
      <c r="P590" s="435"/>
      <c r="Q590" s="435"/>
      <c r="R590" s="435"/>
      <c r="S590" s="435"/>
      <c r="T590" s="435"/>
      <c r="U590" s="435"/>
      <c r="V590" s="435"/>
      <c r="W590" s="463"/>
      <c r="X590" s="435"/>
      <c r="Y590" s="435"/>
      <c r="Z590" s="435"/>
      <c r="AA590" s="435"/>
      <c r="AB590" s="435"/>
      <c r="AC590" s="408"/>
      <c r="AD590" s="4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</row>
    <row r="591" spans="1:46" ht="15.75" customHeight="1">
      <c r="A591" s="110"/>
      <c r="B591" s="110"/>
      <c r="C591" s="110"/>
      <c r="D591" s="118"/>
      <c r="E591" s="118"/>
      <c r="F591" s="118"/>
      <c r="G591" s="408"/>
      <c r="H591" s="408"/>
      <c r="I591" s="408"/>
      <c r="J591" s="408"/>
      <c r="K591" s="408"/>
      <c r="L591" s="408"/>
      <c r="M591" s="118"/>
      <c r="N591" s="435"/>
      <c r="O591" s="435"/>
      <c r="P591" s="435"/>
      <c r="Q591" s="435"/>
      <c r="R591" s="435"/>
      <c r="S591" s="435"/>
      <c r="T591" s="435"/>
      <c r="U591" s="435"/>
      <c r="V591" s="435"/>
      <c r="W591" s="463"/>
      <c r="X591" s="435"/>
      <c r="Y591" s="435"/>
      <c r="Z591" s="435"/>
      <c r="AA591" s="435"/>
      <c r="AB591" s="435"/>
      <c r="AC591" s="408"/>
      <c r="AD591" s="4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</row>
    <row r="592" spans="1:46" ht="15.75" customHeight="1">
      <c r="A592" s="110"/>
      <c r="B592" s="110"/>
      <c r="C592" s="110"/>
      <c r="D592" s="118"/>
      <c r="E592" s="118"/>
      <c r="F592" s="118"/>
      <c r="G592" s="408"/>
      <c r="H592" s="408"/>
      <c r="I592" s="408"/>
      <c r="J592" s="408"/>
      <c r="K592" s="408"/>
      <c r="L592" s="408"/>
      <c r="M592" s="118"/>
      <c r="N592" s="435"/>
      <c r="O592" s="435"/>
      <c r="P592" s="435"/>
      <c r="Q592" s="435"/>
      <c r="R592" s="435"/>
      <c r="S592" s="435"/>
      <c r="T592" s="435"/>
      <c r="U592" s="435"/>
      <c r="V592" s="435"/>
      <c r="W592" s="463"/>
      <c r="X592" s="435"/>
      <c r="Y592" s="435"/>
      <c r="Z592" s="435"/>
      <c r="AA592" s="435"/>
      <c r="AB592" s="435"/>
      <c r="AC592" s="408"/>
      <c r="AD592" s="4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</row>
    <row r="593" spans="1:46" ht="15.75" customHeight="1">
      <c r="A593" s="110"/>
      <c r="B593" s="110"/>
      <c r="C593" s="110"/>
      <c r="D593" s="118"/>
      <c r="E593" s="118"/>
      <c r="F593" s="118"/>
      <c r="G593" s="408"/>
      <c r="H593" s="408"/>
      <c r="I593" s="408"/>
      <c r="J593" s="408"/>
      <c r="K593" s="408"/>
      <c r="L593" s="408"/>
      <c r="M593" s="118"/>
      <c r="N593" s="435"/>
      <c r="O593" s="435"/>
      <c r="P593" s="435"/>
      <c r="Q593" s="435"/>
      <c r="R593" s="435"/>
      <c r="S593" s="435"/>
      <c r="T593" s="435"/>
      <c r="U593" s="435"/>
      <c r="V593" s="435"/>
      <c r="W593" s="463"/>
      <c r="X593" s="435"/>
      <c r="Y593" s="435"/>
      <c r="Z593" s="435"/>
      <c r="AA593" s="435"/>
      <c r="AB593" s="435"/>
      <c r="AC593" s="408"/>
      <c r="AD593" s="4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</row>
    <row r="594" spans="1:46" ht="15.75" customHeight="1">
      <c r="A594" s="110"/>
      <c r="B594" s="110"/>
      <c r="C594" s="110"/>
      <c r="D594" s="118"/>
      <c r="E594" s="118"/>
      <c r="F594" s="118"/>
      <c r="G594" s="408"/>
      <c r="H594" s="408"/>
      <c r="I594" s="408"/>
      <c r="J594" s="408"/>
      <c r="K594" s="408"/>
      <c r="L594" s="408"/>
      <c r="M594" s="118"/>
      <c r="N594" s="435"/>
      <c r="O594" s="435"/>
      <c r="P594" s="435"/>
      <c r="Q594" s="435"/>
      <c r="R594" s="435"/>
      <c r="S594" s="435"/>
      <c r="T594" s="435"/>
      <c r="U594" s="435"/>
      <c r="V594" s="435"/>
      <c r="W594" s="463"/>
      <c r="X594" s="435"/>
      <c r="Y594" s="435"/>
      <c r="Z594" s="435"/>
      <c r="AA594" s="435"/>
      <c r="AB594" s="435"/>
      <c r="AC594" s="408"/>
      <c r="AD594" s="4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</row>
    <row r="595" spans="1:46" ht="15.75" customHeight="1">
      <c r="A595" s="110"/>
      <c r="B595" s="110"/>
      <c r="C595" s="110"/>
      <c r="D595" s="118"/>
      <c r="E595" s="118"/>
      <c r="F595" s="118"/>
      <c r="G595" s="408"/>
      <c r="H595" s="408"/>
      <c r="I595" s="408"/>
      <c r="J595" s="408"/>
      <c r="K595" s="408"/>
      <c r="L595" s="408"/>
      <c r="M595" s="118"/>
      <c r="N595" s="435"/>
      <c r="O595" s="435"/>
      <c r="P595" s="435"/>
      <c r="Q595" s="435"/>
      <c r="R595" s="435"/>
      <c r="S595" s="435"/>
      <c r="T595" s="435"/>
      <c r="U595" s="435"/>
      <c r="V595" s="435"/>
      <c r="W595" s="463"/>
      <c r="X595" s="435"/>
      <c r="Y595" s="435"/>
      <c r="Z595" s="435"/>
      <c r="AA595" s="435"/>
      <c r="AB595" s="435"/>
      <c r="AC595" s="408"/>
      <c r="AD595" s="4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</row>
    <row r="596" spans="1:46" ht="15.75" customHeight="1">
      <c r="A596" s="110"/>
      <c r="B596" s="110"/>
      <c r="C596" s="110"/>
      <c r="D596" s="118"/>
      <c r="E596" s="118"/>
      <c r="F596" s="118"/>
      <c r="G596" s="408"/>
      <c r="H596" s="408"/>
      <c r="I596" s="408"/>
      <c r="J596" s="408"/>
      <c r="K596" s="408"/>
      <c r="L596" s="408"/>
      <c r="M596" s="118"/>
      <c r="N596" s="435"/>
      <c r="O596" s="435"/>
      <c r="P596" s="435"/>
      <c r="Q596" s="435"/>
      <c r="R596" s="435"/>
      <c r="S596" s="435"/>
      <c r="T596" s="435"/>
      <c r="U596" s="435"/>
      <c r="V596" s="435"/>
      <c r="W596" s="463"/>
      <c r="X596" s="435"/>
      <c r="Y596" s="435"/>
      <c r="Z596" s="435"/>
      <c r="AA596" s="435"/>
      <c r="AB596" s="435"/>
      <c r="AC596" s="408"/>
      <c r="AD596" s="4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</row>
    <row r="597" spans="1:46" ht="15.75" customHeight="1">
      <c r="A597" s="110"/>
      <c r="B597" s="110"/>
      <c r="C597" s="110"/>
      <c r="D597" s="118"/>
      <c r="E597" s="118"/>
      <c r="F597" s="118"/>
      <c r="G597" s="408"/>
      <c r="H597" s="408"/>
      <c r="I597" s="408"/>
      <c r="J597" s="408"/>
      <c r="K597" s="408"/>
      <c r="L597" s="408"/>
      <c r="M597" s="118"/>
      <c r="N597" s="435"/>
      <c r="O597" s="435"/>
      <c r="P597" s="435"/>
      <c r="Q597" s="435"/>
      <c r="R597" s="435"/>
      <c r="S597" s="435"/>
      <c r="T597" s="435"/>
      <c r="U597" s="435"/>
      <c r="V597" s="435"/>
      <c r="W597" s="463"/>
      <c r="X597" s="435"/>
      <c r="Y597" s="435"/>
      <c r="Z597" s="435"/>
      <c r="AA597" s="435"/>
      <c r="AB597" s="435"/>
      <c r="AC597" s="408"/>
      <c r="AD597" s="4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</row>
    <row r="598" spans="1:46" ht="15.75" customHeight="1">
      <c r="A598" s="110"/>
      <c r="B598" s="110"/>
      <c r="C598" s="110"/>
      <c r="D598" s="118"/>
      <c r="E598" s="118"/>
      <c r="F598" s="118"/>
      <c r="G598" s="408"/>
      <c r="H598" s="408"/>
      <c r="I598" s="408"/>
      <c r="J598" s="408"/>
      <c r="K598" s="408"/>
      <c r="L598" s="408"/>
      <c r="M598" s="118"/>
      <c r="N598" s="435"/>
      <c r="O598" s="435"/>
      <c r="P598" s="435"/>
      <c r="Q598" s="435"/>
      <c r="R598" s="435"/>
      <c r="S598" s="435"/>
      <c r="T598" s="435"/>
      <c r="U598" s="435"/>
      <c r="V598" s="435"/>
      <c r="W598" s="463"/>
      <c r="X598" s="435"/>
      <c r="Y598" s="435"/>
      <c r="Z598" s="435"/>
      <c r="AA598" s="435"/>
      <c r="AB598" s="435"/>
      <c r="AC598" s="408"/>
      <c r="AD598" s="4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</row>
    <row r="599" spans="1:46" ht="15.75" customHeight="1">
      <c r="A599" s="110"/>
      <c r="B599" s="110"/>
      <c r="C599" s="110"/>
      <c r="D599" s="118"/>
      <c r="E599" s="118"/>
      <c r="F599" s="118"/>
      <c r="G599" s="408"/>
      <c r="H599" s="408"/>
      <c r="I599" s="408"/>
      <c r="J599" s="408"/>
      <c r="K599" s="408"/>
      <c r="L599" s="408"/>
      <c r="M599" s="118"/>
      <c r="N599" s="435"/>
      <c r="O599" s="435"/>
      <c r="P599" s="435"/>
      <c r="Q599" s="435"/>
      <c r="R599" s="435"/>
      <c r="S599" s="435"/>
      <c r="T599" s="435"/>
      <c r="U599" s="435"/>
      <c r="V599" s="435"/>
      <c r="W599" s="463"/>
      <c r="X599" s="435"/>
      <c r="Y599" s="435"/>
      <c r="Z599" s="435"/>
      <c r="AA599" s="435"/>
      <c r="AB599" s="435"/>
      <c r="AC599" s="408"/>
      <c r="AD599" s="4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</row>
    <row r="600" spans="1:46" ht="15.75" customHeight="1">
      <c r="A600" s="110"/>
      <c r="B600" s="110"/>
      <c r="C600" s="110"/>
      <c r="D600" s="118"/>
      <c r="E600" s="118"/>
      <c r="F600" s="118"/>
      <c r="G600" s="408"/>
      <c r="H600" s="408"/>
      <c r="I600" s="408"/>
      <c r="J600" s="408"/>
      <c r="K600" s="408"/>
      <c r="L600" s="408"/>
      <c r="M600" s="118"/>
      <c r="N600" s="435"/>
      <c r="O600" s="435"/>
      <c r="P600" s="435"/>
      <c r="Q600" s="435"/>
      <c r="R600" s="435"/>
      <c r="S600" s="435"/>
      <c r="T600" s="435"/>
      <c r="U600" s="435"/>
      <c r="V600" s="435"/>
      <c r="W600" s="463"/>
      <c r="X600" s="435"/>
      <c r="Y600" s="435"/>
      <c r="Z600" s="435"/>
      <c r="AA600" s="435"/>
      <c r="AB600" s="435"/>
      <c r="AC600" s="408"/>
      <c r="AD600" s="4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</row>
    <row r="601" spans="1:46" ht="15.75" customHeight="1">
      <c r="A601" s="110"/>
      <c r="B601" s="110"/>
      <c r="C601" s="110"/>
      <c r="D601" s="118"/>
      <c r="E601" s="118"/>
      <c r="F601" s="118"/>
      <c r="G601" s="408"/>
      <c r="H601" s="408"/>
      <c r="I601" s="408"/>
      <c r="J601" s="408"/>
      <c r="K601" s="408"/>
      <c r="L601" s="408"/>
      <c r="M601" s="118"/>
      <c r="N601" s="435"/>
      <c r="O601" s="435"/>
      <c r="P601" s="435"/>
      <c r="Q601" s="435"/>
      <c r="R601" s="435"/>
      <c r="S601" s="435"/>
      <c r="T601" s="435"/>
      <c r="U601" s="435"/>
      <c r="V601" s="435"/>
      <c r="W601" s="463"/>
      <c r="X601" s="435"/>
      <c r="Y601" s="435"/>
      <c r="Z601" s="435"/>
      <c r="AA601" s="435"/>
      <c r="AB601" s="435"/>
      <c r="AC601" s="408"/>
      <c r="AD601" s="4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</row>
    <row r="602" spans="1:46" ht="15.75" customHeight="1">
      <c r="A602" s="110"/>
      <c r="B602" s="110"/>
      <c r="C602" s="110"/>
      <c r="D602" s="118"/>
      <c r="E602" s="118"/>
      <c r="F602" s="118"/>
      <c r="G602" s="408"/>
      <c r="H602" s="408"/>
      <c r="I602" s="408"/>
      <c r="J602" s="408"/>
      <c r="K602" s="408"/>
      <c r="L602" s="408"/>
      <c r="M602" s="118"/>
      <c r="N602" s="435"/>
      <c r="O602" s="435"/>
      <c r="P602" s="435"/>
      <c r="Q602" s="435"/>
      <c r="R602" s="435"/>
      <c r="S602" s="435"/>
      <c r="T602" s="435"/>
      <c r="U602" s="435"/>
      <c r="V602" s="435"/>
      <c r="W602" s="463"/>
      <c r="X602" s="435"/>
      <c r="Y602" s="435"/>
      <c r="Z602" s="435"/>
      <c r="AA602" s="435"/>
      <c r="AB602" s="435"/>
      <c r="AC602" s="408"/>
      <c r="AD602" s="4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</row>
    <row r="603" spans="1:46" ht="15.75" customHeight="1">
      <c r="A603" s="110"/>
      <c r="B603" s="110"/>
      <c r="C603" s="110"/>
      <c r="D603" s="118"/>
      <c r="E603" s="118"/>
      <c r="F603" s="118"/>
      <c r="G603" s="408"/>
      <c r="H603" s="408"/>
      <c r="I603" s="408"/>
      <c r="J603" s="408"/>
      <c r="K603" s="408"/>
      <c r="L603" s="408"/>
      <c r="M603" s="118"/>
      <c r="N603" s="435"/>
      <c r="O603" s="435"/>
      <c r="P603" s="435"/>
      <c r="Q603" s="435"/>
      <c r="R603" s="435"/>
      <c r="S603" s="435"/>
      <c r="T603" s="435"/>
      <c r="U603" s="435"/>
      <c r="V603" s="435"/>
      <c r="W603" s="463"/>
      <c r="X603" s="435"/>
      <c r="Y603" s="435"/>
      <c r="Z603" s="435"/>
      <c r="AA603" s="435"/>
      <c r="AB603" s="435"/>
      <c r="AC603" s="408"/>
      <c r="AD603" s="4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</row>
    <row r="604" spans="1:46" ht="15.75" customHeight="1">
      <c r="A604" s="110"/>
      <c r="B604" s="110"/>
      <c r="C604" s="110"/>
      <c r="D604" s="118"/>
      <c r="E604" s="118"/>
      <c r="F604" s="118"/>
      <c r="G604" s="408"/>
      <c r="H604" s="408"/>
      <c r="I604" s="408"/>
      <c r="J604" s="408"/>
      <c r="K604" s="408"/>
      <c r="L604" s="408"/>
      <c r="M604" s="118"/>
      <c r="N604" s="435"/>
      <c r="O604" s="435"/>
      <c r="P604" s="435"/>
      <c r="Q604" s="435"/>
      <c r="R604" s="435"/>
      <c r="S604" s="435"/>
      <c r="T604" s="435"/>
      <c r="U604" s="435"/>
      <c r="V604" s="435"/>
      <c r="W604" s="463"/>
      <c r="X604" s="435"/>
      <c r="Y604" s="435"/>
      <c r="Z604" s="435"/>
      <c r="AA604" s="435"/>
      <c r="AB604" s="435"/>
      <c r="AC604" s="408"/>
      <c r="AD604" s="4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</row>
    <row r="605" spans="1:46" ht="15.75" customHeight="1">
      <c r="A605" s="110"/>
      <c r="B605" s="110"/>
      <c r="C605" s="110"/>
      <c r="D605" s="118"/>
      <c r="E605" s="118"/>
      <c r="F605" s="118"/>
      <c r="G605" s="408"/>
      <c r="H605" s="408"/>
      <c r="I605" s="408"/>
      <c r="J605" s="408"/>
      <c r="K605" s="408"/>
      <c r="L605" s="408"/>
      <c r="M605" s="118"/>
      <c r="N605" s="435"/>
      <c r="O605" s="435"/>
      <c r="P605" s="435"/>
      <c r="Q605" s="435"/>
      <c r="R605" s="435"/>
      <c r="S605" s="435"/>
      <c r="T605" s="435"/>
      <c r="U605" s="435"/>
      <c r="V605" s="435"/>
      <c r="W605" s="463"/>
      <c r="X605" s="435"/>
      <c r="Y605" s="435"/>
      <c r="Z605" s="435"/>
      <c r="AA605" s="435"/>
      <c r="AB605" s="435"/>
      <c r="AC605" s="408"/>
      <c r="AD605" s="4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</row>
    <row r="606" spans="1:46" ht="15.75" customHeight="1">
      <c r="A606" s="110"/>
      <c r="B606" s="110"/>
      <c r="C606" s="110"/>
      <c r="D606" s="118"/>
      <c r="E606" s="118"/>
      <c r="F606" s="118"/>
      <c r="G606" s="408"/>
      <c r="H606" s="408"/>
      <c r="I606" s="408"/>
      <c r="J606" s="408"/>
      <c r="K606" s="408"/>
      <c r="L606" s="408"/>
      <c r="M606" s="118"/>
      <c r="N606" s="435"/>
      <c r="O606" s="435"/>
      <c r="P606" s="435"/>
      <c r="Q606" s="435"/>
      <c r="R606" s="435"/>
      <c r="S606" s="435"/>
      <c r="T606" s="435"/>
      <c r="U606" s="435"/>
      <c r="V606" s="435"/>
      <c r="W606" s="463"/>
      <c r="X606" s="435"/>
      <c r="Y606" s="435"/>
      <c r="Z606" s="435"/>
      <c r="AA606" s="435"/>
      <c r="AB606" s="435"/>
      <c r="AC606" s="408"/>
      <c r="AD606" s="4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</row>
    <row r="607" spans="1:46" ht="15.75" customHeight="1">
      <c r="A607" s="110"/>
      <c r="B607" s="110"/>
      <c r="C607" s="110"/>
      <c r="D607" s="118"/>
      <c r="E607" s="118"/>
      <c r="F607" s="118"/>
      <c r="G607" s="408"/>
      <c r="H607" s="408"/>
      <c r="I607" s="408"/>
      <c r="J607" s="408"/>
      <c r="K607" s="408"/>
      <c r="L607" s="408"/>
      <c r="M607" s="118"/>
      <c r="N607" s="435"/>
      <c r="O607" s="435"/>
      <c r="P607" s="435"/>
      <c r="Q607" s="435"/>
      <c r="R607" s="435"/>
      <c r="S607" s="435"/>
      <c r="T607" s="435"/>
      <c r="U607" s="435"/>
      <c r="V607" s="435"/>
      <c r="W607" s="463"/>
      <c r="X607" s="435"/>
      <c r="Y607" s="435"/>
      <c r="Z607" s="435"/>
      <c r="AA607" s="435"/>
      <c r="AB607" s="435"/>
      <c r="AC607" s="408"/>
      <c r="AD607" s="4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</row>
    <row r="608" spans="1:46" ht="15.75" customHeight="1">
      <c r="A608" s="110"/>
      <c r="B608" s="110"/>
      <c r="C608" s="110"/>
      <c r="D608" s="118"/>
      <c r="E608" s="118"/>
      <c r="F608" s="118"/>
      <c r="G608" s="408"/>
      <c r="H608" s="408"/>
      <c r="I608" s="408"/>
      <c r="J608" s="408"/>
      <c r="K608" s="408"/>
      <c r="L608" s="408"/>
      <c r="M608" s="118"/>
      <c r="N608" s="435"/>
      <c r="O608" s="435"/>
      <c r="P608" s="435"/>
      <c r="Q608" s="435"/>
      <c r="R608" s="435"/>
      <c r="S608" s="435"/>
      <c r="T608" s="435"/>
      <c r="U608" s="435"/>
      <c r="V608" s="435"/>
      <c r="W608" s="463"/>
      <c r="X608" s="435"/>
      <c r="Y608" s="435"/>
      <c r="Z608" s="435"/>
      <c r="AA608" s="435"/>
      <c r="AB608" s="435"/>
      <c r="AC608" s="408"/>
      <c r="AD608" s="4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</row>
    <row r="609" spans="1:46" ht="15.75" customHeight="1">
      <c r="A609" s="110"/>
      <c r="B609" s="110"/>
      <c r="C609" s="110"/>
      <c r="D609" s="118"/>
      <c r="E609" s="118"/>
      <c r="F609" s="118"/>
      <c r="G609" s="408"/>
      <c r="H609" s="408"/>
      <c r="I609" s="408"/>
      <c r="J609" s="408"/>
      <c r="K609" s="408"/>
      <c r="L609" s="408"/>
      <c r="M609" s="118"/>
      <c r="N609" s="435"/>
      <c r="O609" s="435"/>
      <c r="P609" s="435"/>
      <c r="Q609" s="435"/>
      <c r="R609" s="435"/>
      <c r="S609" s="435"/>
      <c r="T609" s="435"/>
      <c r="U609" s="435"/>
      <c r="V609" s="435"/>
      <c r="W609" s="463"/>
      <c r="X609" s="435"/>
      <c r="Y609" s="435"/>
      <c r="Z609" s="435"/>
      <c r="AA609" s="435"/>
      <c r="AB609" s="435"/>
      <c r="AC609" s="408"/>
      <c r="AD609" s="4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</row>
    <row r="610" spans="1:46" ht="15.75" customHeight="1">
      <c r="A610" s="110"/>
      <c r="B610" s="110"/>
      <c r="C610" s="110"/>
      <c r="D610" s="118"/>
      <c r="E610" s="118"/>
      <c r="F610" s="118"/>
      <c r="G610" s="408"/>
      <c r="H610" s="408"/>
      <c r="I610" s="408"/>
      <c r="J610" s="408"/>
      <c r="K610" s="408"/>
      <c r="L610" s="408"/>
      <c r="M610" s="118"/>
      <c r="N610" s="435"/>
      <c r="O610" s="435"/>
      <c r="P610" s="435"/>
      <c r="Q610" s="435"/>
      <c r="R610" s="435"/>
      <c r="S610" s="435"/>
      <c r="T610" s="435"/>
      <c r="U610" s="435"/>
      <c r="V610" s="435"/>
      <c r="W610" s="463"/>
      <c r="X610" s="435"/>
      <c r="Y610" s="435"/>
      <c r="Z610" s="435"/>
      <c r="AA610" s="435"/>
      <c r="AB610" s="435"/>
      <c r="AC610" s="408"/>
      <c r="AD610" s="4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</row>
    <row r="611" spans="1:46" ht="15.75" customHeight="1">
      <c r="A611" s="110"/>
      <c r="B611" s="110"/>
      <c r="C611" s="110"/>
      <c r="D611" s="118"/>
      <c r="E611" s="118"/>
      <c r="F611" s="118"/>
      <c r="G611" s="408"/>
      <c r="H611" s="408"/>
      <c r="I611" s="408"/>
      <c r="J611" s="408"/>
      <c r="K611" s="408"/>
      <c r="L611" s="408"/>
      <c r="M611" s="118"/>
      <c r="N611" s="435"/>
      <c r="O611" s="435"/>
      <c r="P611" s="435"/>
      <c r="Q611" s="435"/>
      <c r="R611" s="435"/>
      <c r="S611" s="435"/>
      <c r="T611" s="435"/>
      <c r="U611" s="435"/>
      <c r="V611" s="435"/>
      <c r="W611" s="463"/>
      <c r="X611" s="435"/>
      <c r="Y611" s="435"/>
      <c r="Z611" s="435"/>
      <c r="AA611" s="435"/>
      <c r="AB611" s="435"/>
      <c r="AC611" s="408"/>
      <c r="AD611" s="4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</row>
    <row r="612" spans="1:46" ht="15.75" customHeight="1">
      <c r="A612" s="110"/>
      <c r="B612" s="110"/>
      <c r="C612" s="110"/>
      <c r="D612" s="118"/>
      <c r="E612" s="118"/>
      <c r="F612" s="118"/>
      <c r="G612" s="408"/>
      <c r="H612" s="408"/>
      <c r="I612" s="408"/>
      <c r="J612" s="408"/>
      <c r="K612" s="408"/>
      <c r="L612" s="408"/>
      <c r="M612" s="118"/>
      <c r="N612" s="435"/>
      <c r="O612" s="435"/>
      <c r="P612" s="435"/>
      <c r="Q612" s="435"/>
      <c r="R612" s="435"/>
      <c r="S612" s="435"/>
      <c r="T612" s="435"/>
      <c r="U612" s="435"/>
      <c r="V612" s="435"/>
      <c r="W612" s="463"/>
      <c r="X612" s="435"/>
      <c r="Y612" s="435"/>
      <c r="Z612" s="435"/>
      <c r="AA612" s="435"/>
      <c r="AB612" s="435"/>
      <c r="AC612" s="408"/>
      <c r="AD612" s="4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</row>
    <row r="613" spans="1:46" ht="15.75" customHeight="1">
      <c r="A613" s="110"/>
      <c r="B613" s="110"/>
      <c r="C613" s="110"/>
      <c r="D613" s="118"/>
      <c r="E613" s="118"/>
      <c r="F613" s="118"/>
      <c r="G613" s="408"/>
      <c r="H613" s="408"/>
      <c r="I613" s="408"/>
      <c r="J613" s="408"/>
      <c r="K613" s="408"/>
      <c r="L613" s="408"/>
      <c r="M613" s="118"/>
      <c r="N613" s="435"/>
      <c r="O613" s="435"/>
      <c r="P613" s="435"/>
      <c r="Q613" s="435"/>
      <c r="R613" s="435"/>
      <c r="S613" s="435"/>
      <c r="T613" s="435"/>
      <c r="U613" s="435"/>
      <c r="V613" s="435"/>
      <c r="W613" s="463"/>
      <c r="X613" s="435"/>
      <c r="Y613" s="435"/>
      <c r="Z613" s="435"/>
      <c r="AA613" s="435"/>
      <c r="AB613" s="435"/>
      <c r="AC613" s="408"/>
      <c r="AD613" s="4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</row>
    <row r="614" spans="1:46" ht="15.75" customHeight="1">
      <c r="A614" s="110"/>
      <c r="B614" s="110"/>
      <c r="C614" s="110"/>
      <c r="D614" s="118"/>
      <c r="E614" s="118"/>
      <c r="F614" s="118"/>
      <c r="G614" s="408"/>
      <c r="H614" s="408"/>
      <c r="I614" s="408"/>
      <c r="J614" s="408"/>
      <c r="K614" s="408"/>
      <c r="L614" s="408"/>
      <c r="M614" s="118"/>
      <c r="N614" s="435"/>
      <c r="O614" s="435"/>
      <c r="P614" s="435"/>
      <c r="Q614" s="435"/>
      <c r="R614" s="435"/>
      <c r="S614" s="435"/>
      <c r="T614" s="435"/>
      <c r="U614" s="435"/>
      <c r="V614" s="435"/>
      <c r="W614" s="463"/>
      <c r="X614" s="435"/>
      <c r="Y614" s="435"/>
      <c r="Z614" s="435"/>
      <c r="AA614" s="435"/>
      <c r="AB614" s="435"/>
      <c r="AC614" s="408"/>
      <c r="AD614" s="4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</row>
    <row r="615" spans="1:46" ht="15.75" customHeight="1">
      <c r="A615" s="110"/>
      <c r="B615" s="110"/>
      <c r="C615" s="110"/>
      <c r="D615" s="118"/>
      <c r="E615" s="118"/>
      <c r="F615" s="118"/>
      <c r="G615" s="408"/>
      <c r="H615" s="408"/>
      <c r="I615" s="408"/>
      <c r="J615" s="408"/>
      <c r="K615" s="408"/>
      <c r="L615" s="408"/>
      <c r="M615" s="118"/>
      <c r="N615" s="435"/>
      <c r="O615" s="435"/>
      <c r="P615" s="435"/>
      <c r="Q615" s="435"/>
      <c r="R615" s="435"/>
      <c r="S615" s="435"/>
      <c r="T615" s="435"/>
      <c r="U615" s="435"/>
      <c r="V615" s="435"/>
      <c r="W615" s="463"/>
      <c r="X615" s="435"/>
      <c r="Y615" s="435"/>
      <c r="Z615" s="435"/>
      <c r="AA615" s="435"/>
      <c r="AB615" s="435"/>
      <c r="AC615" s="408"/>
      <c r="AD615" s="4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</row>
    <row r="616" spans="1:46" ht="15.75" customHeight="1">
      <c r="A616" s="110"/>
      <c r="B616" s="110"/>
      <c r="C616" s="110"/>
      <c r="D616" s="118"/>
      <c r="E616" s="118"/>
      <c r="F616" s="118"/>
      <c r="G616" s="408"/>
      <c r="H616" s="408"/>
      <c r="I616" s="408"/>
      <c r="J616" s="408"/>
      <c r="K616" s="408"/>
      <c r="L616" s="408"/>
      <c r="M616" s="118"/>
      <c r="N616" s="435"/>
      <c r="O616" s="435"/>
      <c r="P616" s="435"/>
      <c r="Q616" s="435"/>
      <c r="R616" s="435"/>
      <c r="S616" s="435"/>
      <c r="T616" s="435"/>
      <c r="U616" s="435"/>
      <c r="V616" s="435"/>
      <c r="W616" s="463"/>
      <c r="X616" s="435"/>
      <c r="Y616" s="435"/>
      <c r="Z616" s="435"/>
      <c r="AA616" s="435"/>
      <c r="AB616" s="435"/>
      <c r="AC616" s="408"/>
      <c r="AD616" s="4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</row>
    <row r="617" spans="1:46" ht="15.75" customHeight="1">
      <c r="A617" s="110"/>
      <c r="B617" s="110"/>
      <c r="C617" s="110"/>
      <c r="D617" s="118"/>
      <c r="E617" s="118"/>
      <c r="F617" s="118"/>
      <c r="G617" s="408"/>
      <c r="H617" s="408"/>
      <c r="I617" s="408"/>
      <c r="J617" s="408"/>
      <c r="K617" s="408"/>
      <c r="L617" s="408"/>
      <c r="M617" s="118"/>
      <c r="N617" s="435"/>
      <c r="O617" s="435"/>
      <c r="P617" s="435"/>
      <c r="Q617" s="435"/>
      <c r="R617" s="435"/>
      <c r="S617" s="435"/>
      <c r="T617" s="435"/>
      <c r="U617" s="435"/>
      <c r="V617" s="435"/>
      <c r="W617" s="463"/>
      <c r="X617" s="435"/>
      <c r="Y617" s="435"/>
      <c r="Z617" s="435"/>
      <c r="AA617" s="435"/>
      <c r="AB617" s="435"/>
      <c r="AC617" s="408"/>
      <c r="AD617" s="4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</row>
    <row r="618" spans="1:46" ht="15.75" customHeight="1">
      <c r="A618" s="110"/>
      <c r="B618" s="110"/>
      <c r="C618" s="110"/>
      <c r="D618" s="118"/>
      <c r="E618" s="118"/>
      <c r="F618" s="118"/>
      <c r="G618" s="408"/>
      <c r="H618" s="408"/>
      <c r="I618" s="408"/>
      <c r="J618" s="408"/>
      <c r="K618" s="408"/>
      <c r="L618" s="408"/>
      <c r="M618" s="118"/>
      <c r="N618" s="435"/>
      <c r="O618" s="435"/>
      <c r="P618" s="435"/>
      <c r="Q618" s="435"/>
      <c r="R618" s="435"/>
      <c r="S618" s="435"/>
      <c r="T618" s="435"/>
      <c r="U618" s="435"/>
      <c r="V618" s="435"/>
      <c r="W618" s="463"/>
      <c r="X618" s="435"/>
      <c r="Y618" s="435"/>
      <c r="Z618" s="435"/>
      <c r="AA618" s="435"/>
      <c r="AB618" s="435"/>
      <c r="AC618" s="408"/>
      <c r="AD618" s="4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</row>
    <row r="619" spans="1:46" ht="15.75" customHeight="1">
      <c r="A619" s="110"/>
      <c r="B619" s="110"/>
      <c r="C619" s="110"/>
      <c r="D619" s="118"/>
      <c r="E619" s="118"/>
      <c r="F619" s="118"/>
      <c r="G619" s="408"/>
      <c r="H619" s="408"/>
      <c r="I619" s="408"/>
      <c r="J619" s="408"/>
      <c r="K619" s="408"/>
      <c r="L619" s="408"/>
      <c r="M619" s="118"/>
      <c r="N619" s="435"/>
      <c r="O619" s="435"/>
      <c r="P619" s="435"/>
      <c r="Q619" s="435"/>
      <c r="R619" s="435"/>
      <c r="S619" s="435"/>
      <c r="T619" s="435"/>
      <c r="U619" s="435"/>
      <c r="V619" s="435"/>
      <c r="W619" s="463"/>
      <c r="X619" s="435"/>
      <c r="Y619" s="435"/>
      <c r="Z619" s="435"/>
      <c r="AA619" s="435"/>
      <c r="AB619" s="435"/>
      <c r="AC619" s="408"/>
      <c r="AD619" s="4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</row>
    <row r="620" spans="1:46" ht="15.75" customHeight="1">
      <c r="A620" s="110"/>
      <c r="B620" s="110"/>
      <c r="C620" s="110"/>
      <c r="D620" s="118"/>
      <c r="E620" s="118"/>
      <c r="F620" s="118"/>
      <c r="G620" s="408"/>
      <c r="H620" s="408"/>
      <c r="I620" s="408"/>
      <c r="J620" s="408"/>
      <c r="K620" s="408"/>
      <c r="L620" s="408"/>
      <c r="M620" s="118"/>
      <c r="N620" s="435"/>
      <c r="O620" s="435"/>
      <c r="P620" s="435"/>
      <c r="Q620" s="435"/>
      <c r="R620" s="435"/>
      <c r="S620" s="435"/>
      <c r="T620" s="435"/>
      <c r="U620" s="435"/>
      <c r="V620" s="435"/>
      <c r="W620" s="463"/>
      <c r="X620" s="435"/>
      <c r="Y620" s="435"/>
      <c r="Z620" s="435"/>
      <c r="AA620" s="435"/>
      <c r="AB620" s="435"/>
      <c r="AC620" s="408"/>
      <c r="AD620" s="4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</row>
    <row r="621" spans="1:46" ht="15.75" customHeight="1">
      <c r="A621" s="110"/>
      <c r="B621" s="110"/>
      <c r="C621" s="110"/>
      <c r="D621" s="118"/>
      <c r="E621" s="118"/>
      <c r="F621" s="118"/>
      <c r="G621" s="408"/>
      <c r="H621" s="408"/>
      <c r="I621" s="408"/>
      <c r="J621" s="408"/>
      <c r="K621" s="408"/>
      <c r="L621" s="408"/>
      <c r="M621" s="118"/>
      <c r="N621" s="435"/>
      <c r="O621" s="435"/>
      <c r="P621" s="435"/>
      <c r="Q621" s="435"/>
      <c r="R621" s="435"/>
      <c r="S621" s="435"/>
      <c r="T621" s="435"/>
      <c r="U621" s="435"/>
      <c r="V621" s="435"/>
      <c r="W621" s="463"/>
      <c r="X621" s="435"/>
      <c r="Y621" s="435"/>
      <c r="Z621" s="435"/>
      <c r="AA621" s="435"/>
      <c r="AB621" s="435"/>
      <c r="AC621" s="408"/>
      <c r="AD621" s="4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</row>
    <row r="622" spans="1:46" ht="15.75" customHeight="1">
      <c r="A622" s="110"/>
      <c r="B622" s="110"/>
      <c r="C622" s="110"/>
      <c r="D622" s="118"/>
      <c r="E622" s="118"/>
      <c r="F622" s="118"/>
      <c r="G622" s="408"/>
      <c r="H622" s="408"/>
      <c r="I622" s="408"/>
      <c r="J622" s="408"/>
      <c r="K622" s="408"/>
      <c r="L622" s="408"/>
      <c r="M622" s="118"/>
      <c r="N622" s="435"/>
      <c r="O622" s="435"/>
      <c r="P622" s="435"/>
      <c r="Q622" s="435"/>
      <c r="R622" s="435"/>
      <c r="S622" s="435"/>
      <c r="T622" s="435"/>
      <c r="U622" s="435"/>
      <c r="V622" s="435"/>
      <c r="W622" s="463"/>
      <c r="X622" s="435"/>
      <c r="Y622" s="435"/>
      <c r="Z622" s="435"/>
      <c r="AA622" s="435"/>
      <c r="AB622" s="435"/>
      <c r="AC622" s="408"/>
      <c r="AD622" s="4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</row>
    <row r="623" spans="1:46" ht="15.75" customHeight="1">
      <c r="A623" s="110"/>
      <c r="B623" s="110"/>
      <c r="C623" s="110"/>
      <c r="D623" s="118"/>
      <c r="E623" s="118"/>
      <c r="F623" s="118"/>
      <c r="G623" s="408"/>
      <c r="H623" s="408"/>
      <c r="I623" s="408"/>
      <c r="J623" s="408"/>
      <c r="K623" s="408"/>
      <c r="L623" s="408"/>
      <c r="M623" s="118"/>
      <c r="N623" s="435"/>
      <c r="O623" s="435"/>
      <c r="P623" s="435"/>
      <c r="Q623" s="435"/>
      <c r="R623" s="435"/>
      <c r="S623" s="435"/>
      <c r="T623" s="435"/>
      <c r="U623" s="435"/>
      <c r="V623" s="435"/>
      <c r="W623" s="463"/>
      <c r="X623" s="435"/>
      <c r="Y623" s="435"/>
      <c r="Z623" s="435"/>
      <c r="AA623" s="435"/>
      <c r="AB623" s="435"/>
      <c r="AC623" s="408"/>
      <c r="AD623" s="4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</row>
    <row r="624" spans="1:46" ht="15.75" customHeight="1">
      <c r="A624" s="110"/>
      <c r="B624" s="110"/>
      <c r="C624" s="110"/>
      <c r="D624" s="118"/>
      <c r="E624" s="118"/>
      <c r="F624" s="118"/>
      <c r="G624" s="408"/>
      <c r="H624" s="408"/>
      <c r="I624" s="408"/>
      <c r="J624" s="408"/>
      <c r="K624" s="408"/>
      <c r="L624" s="408"/>
      <c r="M624" s="118"/>
      <c r="N624" s="435"/>
      <c r="O624" s="435"/>
      <c r="P624" s="435"/>
      <c r="Q624" s="435"/>
      <c r="R624" s="435"/>
      <c r="S624" s="435"/>
      <c r="T624" s="435"/>
      <c r="U624" s="435"/>
      <c r="V624" s="435"/>
      <c r="W624" s="463"/>
      <c r="X624" s="435"/>
      <c r="Y624" s="435"/>
      <c r="Z624" s="435"/>
      <c r="AA624" s="435"/>
      <c r="AB624" s="435"/>
      <c r="AC624" s="408"/>
      <c r="AD624" s="4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</row>
    <row r="625" spans="1:46" ht="15.75" customHeight="1">
      <c r="A625" s="110"/>
      <c r="B625" s="110"/>
      <c r="C625" s="110"/>
      <c r="D625" s="118"/>
      <c r="E625" s="118"/>
      <c r="F625" s="118"/>
      <c r="G625" s="408"/>
      <c r="H625" s="408"/>
      <c r="I625" s="408"/>
      <c r="J625" s="408"/>
      <c r="K625" s="408"/>
      <c r="L625" s="408"/>
      <c r="M625" s="118"/>
      <c r="N625" s="435"/>
      <c r="O625" s="435"/>
      <c r="P625" s="435"/>
      <c r="Q625" s="435"/>
      <c r="R625" s="435"/>
      <c r="S625" s="435"/>
      <c r="T625" s="435"/>
      <c r="U625" s="435"/>
      <c r="V625" s="435"/>
      <c r="W625" s="463"/>
      <c r="X625" s="435"/>
      <c r="Y625" s="435"/>
      <c r="Z625" s="435"/>
      <c r="AA625" s="435"/>
      <c r="AB625" s="435"/>
      <c r="AC625" s="408"/>
      <c r="AD625" s="4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</row>
    <row r="626" spans="1:46" ht="15.75" customHeight="1">
      <c r="A626" s="110"/>
      <c r="B626" s="110"/>
      <c r="C626" s="110"/>
      <c r="D626" s="118"/>
      <c r="E626" s="118"/>
      <c r="F626" s="118"/>
      <c r="G626" s="408"/>
      <c r="H626" s="408"/>
      <c r="I626" s="408"/>
      <c r="J626" s="408"/>
      <c r="K626" s="408"/>
      <c r="L626" s="408"/>
      <c r="M626" s="118"/>
      <c r="N626" s="435"/>
      <c r="O626" s="435"/>
      <c r="P626" s="435"/>
      <c r="Q626" s="435"/>
      <c r="R626" s="435"/>
      <c r="S626" s="435"/>
      <c r="T626" s="435"/>
      <c r="U626" s="435"/>
      <c r="V626" s="435"/>
      <c r="W626" s="463"/>
      <c r="X626" s="435"/>
      <c r="Y626" s="435"/>
      <c r="Z626" s="435"/>
      <c r="AA626" s="435"/>
      <c r="AB626" s="435"/>
      <c r="AC626" s="408"/>
      <c r="AD626" s="4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</row>
    <row r="627" spans="1:46" ht="15.75" customHeight="1">
      <c r="A627" s="110"/>
      <c r="B627" s="110"/>
      <c r="C627" s="110"/>
      <c r="D627" s="118"/>
      <c r="E627" s="118"/>
      <c r="F627" s="118"/>
      <c r="G627" s="408"/>
      <c r="H627" s="408"/>
      <c r="I627" s="408"/>
      <c r="J627" s="408"/>
      <c r="K627" s="408"/>
      <c r="L627" s="408"/>
      <c r="M627" s="118"/>
      <c r="N627" s="435"/>
      <c r="O627" s="435"/>
      <c r="P627" s="435"/>
      <c r="Q627" s="435"/>
      <c r="R627" s="435"/>
      <c r="S627" s="435"/>
      <c r="T627" s="435"/>
      <c r="U627" s="435"/>
      <c r="V627" s="435"/>
      <c r="W627" s="463"/>
      <c r="X627" s="435"/>
      <c r="Y627" s="435"/>
      <c r="Z627" s="435"/>
      <c r="AA627" s="435"/>
      <c r="AB627" s="435"/>
      <c r="AC627" s="408"/>
      <c r="AD627" s="4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</row>
    <row r="628" spans="1:46" ht="15.75" customHeight="1">
      <c r="A628" s="110"/>
      <c r="B628" s="110"/>
      <c r="C628" s="110"/>
      <c r="D628" s="118"/>
      <c r="E628" s="118"/>
      <c r="F628" s="118"/>
      <c r="G628" s="408"/>
      <c r="H628" s="408"/>
      <c r="I628" s="408"/>
      <c r="J628" s="408"/>
      <c r="K628" s="408"/>
      <c r="L628" s="408"/>
      <c r="M628" s="118"/>
      <c r="N628" s="435"/>
      <c r="O628" s="435"/>
      <c r="P628" s="435"/>
      <c r="Q628" s="435"/>
      <c r="R628" s="435"/>
      <c r="S628" s="435"/>
      <c r="T628" s="435"/>
      <c r="U628" s="435"/>
      <c r="V628" s="435"/>
      <c r="W628" s="463"/>
      <c r="X628" s="435"/>
      <c r="Y628" s="435"/>
      <c r="Z628" s="435"/>
      <c r="AA628" s="435"/>
      <c r="AB628" s="435"/>
      <c r="AC628" s="408"/>
      <c r="AD628" s="4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</row>
    <row r="629" spans="1:46" ht="15.75" customHeight="1">
      <c r="A629" s="110"/>
      <c r="B629" s="110"/>
      <c r="C629" s="110"/>
      <c r="D629" s="118"/>
      <c r="E629" s="118"/>
      <c r="F629" s="118"/>
      <c r="G629" s="408"/>
      <c r="H629" s="408"/>
      <c r="I629" s="408"/>
      <c r="J629" s="408"/>
      <c r="K629" s="408"/>
      <c r="L629" s="408"/>
      <c r="M629" s="118"/>
      <c r="N629" s="435"/>
      <c r="O629" s="435"/>
      <c r="P629" s="435"/>
      <c r="Q629" s="435"/>
      <c r="R629" s="435"/>
      <c r="S629" s="435"/>
      <c r="T629" s="435"/>
      <c r="U629" s="435"/>
      <c r="V629" s="435"/>
      <c r="W629" s="463"/>
      <c r="X629" s="435"/>
      <c r="Y629" s="435"/>
      <c r="Z629" s="435"/>
      <c r="AA629" s="435"/>
      <c r="AB629" s="435"/>
      <c r="AC629" s="408"/>
      <c r="AD629" s="4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</row>
    <row r="630" spans="1:46" ht="15.75" customHeight="1">
      <c r="A630" s="110"/>
      <c r="B630" s="110"/>
      <c r="C630" s="110"/>
      <c r="D630" s="118"/>
      <c r="E630" s="118"/>
      <c r="F630" s="118"/>
      <c r="G630" s="408"/>
      <c r="H630" s="408"/>
      <c r="I630" s="408"/>
      <c r="J630" s="408"/>
      <c r="K630" s="408"/>
      <c r="L630" s="408"/>
      <c r="M630" s="118"/>
      <c r="N630" s="435"/>
      <c r="O630" s="435"/>
      <c r="P630" s="435"/>
      <c r="Q630" s="435"/>
      <c r="R630" s="435"/>
      <c r="S630" s="435"/>
      <c r="T630" s="435"/>
      <c r="U630" s="435"/>
      <c r="V630" s="435"/>
      <c r="W630" s="463"/>
      <c r="X630" s="435"/>
      <c r="Y630" s="435"/>
      <c r="Z630" s="435"/>
      <c r="AA630" s="435"/>
      <c r="AB630" s="435"/>
      <c r="AC630" s="408"/>
      <c r="AD630" s="4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</row>
    <row r="631" spans="1:46" ht="15.75" customHeight="1">
      <c r="A631" s="110"/>
      <c r="B631" s="110"/>
      <c r="C631" s="110"/>
      <c r="D631" s="118"/>
      <c r="E631" s="118"/>
      <c r="F631" s="118"/>
      <c r="G631" s="408"/>
      <c r="H631" s="408"/>
      <c r="I631" s="408"/>
      <c r="J631" s="408"/>
      <c r="K631" s="408"/>
      <c r="L631" s="408"/>
      <c r="M631" s="118"/>
      <c r="N631" s="435"/>
      <c r="O631" s="435"/>
      <c r="P631" s="435"/>
      <c r="Q631" s="435"/>
      <c r="R631" s="435"/>
      <c r="S631" s="435"/>
      <c r="T631" s="435"/>
      <c r="U631" s="435"/>
      <c r="V631" s="435"/>
      <c r="W631" s="463"/>
      <c r="X631" s="435"/>
      <c r="Y631" s="435"/>
      <c r="Z631" s="435"/>
      <c r="AA631" s="435"/>
      <c r="AB631" s="435"/>
      <c r="AC631" s="408"/>
      <c r="AD631" s="4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</row>
    <row r="632" spans="1:46" ht="15.75" customHeight="1">
      <c r="A632" s="110"/>
      <c r="B632" s="110"/>
      <c r="C632" s="110"/>
      <c r="D632" s="118"/>
      <c r="E632" s="118"/>
      <c r="F632" s="118"/>
      <c r="G632" s="408"/>
      <c r="H632" s="408"/>
      <c r="I632" s="408"/>
      <c r="J632" s="408"/>
      <c r="K632" s="408"/>
      <c r="L632" s="408"/>
      <c r="M632" s="118"/>
      <c r="N632" s="435"/>
      <c r="O632" s="435"/>
      <c r="P632" s="435"/>
      <c r="Q632" s="435"/>
      <c r="R632" s="435"/>
      <c r="S632" s="435"/>
      <c r="T632" s="435"/>
      <c r="U632" s="435"/>
      <c r="V632" s="435"/>
      <c r="W632" s="463"/>
      <c r="X632" s="435"/>
      <c r="Y632" s="435"/>
      <c r="Z632" s="435"/>
      <c r="AA632" s="435"/>
      <c r="AB632" s="435"/>
      <c r="AC632" s="408"/>
      <c r="AD632" s="4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</row>
    <row r="633" spans="1:46" ht="15.75" customHeight="1">
      <c r="A633" s="110"/>
      <c r="B633" s="110"/>
      <c r="C633" s="110"/>
      <c r="D633" s="118"/>
      <c r="E633" s="118"/>
      <c r="F633" s="118"/>
      <c r="G633" s="408"/>
      <c r="H633" s="408"/>
      <c r="I633" s="408"/>
      <c r="J633" s="408"/>
      <c r="K633" s="408"/>
      <c r="L633" s="408"/>
      <c r="M633" s="118"/>
      <c r="N633" s="435"/>
      <c r="O633" s="435"/>
      <c r="P633" s="435"/>
      <c r="Q633" s="435"/>
      <c r="R633" s="435"/>
      <c r="S633" s="435"/>
      <c r="T633" s="435"/>
      <c r="U633" s="435"/>
      <c r="V633" s="435"/>
      <c r="W633" s="463"/>
      <c r="X633" s="435"/>
      <c r="Y633" s="435"/>
      <c r="Z633" s="435"/>
      <c r="AA633" s="435"/>
      <c r="AB633" s="435"/>
      <c r="AC633" s="408"/>
      <c r="AD633" s="4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</row>
    <row r="634" spans="1:46" ht="15.75" customHeight="1">
      <c r="A634" s="110"/>
      <c r="B634" s="110"/>
      <c r="C634" s="110"/>
      <c r="D634" s="118"/>
      <c r="E634" s="118"/>
      <c r="F634" s="118"/>
      <c r="G634" s="408"/>
      <c r="H634" s="408"/>
      <c r="I634" s="408"/>
      <c r="J634" s="408"/>
      <c r="K634" s="408"/>
      <c r="L634" s="408"/>
      <c r="M634" s="118"/>
      <c r="N634" s="435"/>
      <c r="O634" s="435"/>
      <c r="P634" s="435"/>
      <c r="Q634" s="435"/>
      <c r="R634" s="435"/>
      <c r="S634" s="435"/>
      <c r="T634" s="435"/>
      <c r="U634" s="435"/>
      <c r="V634" s="435"/>
      <c r="W634" s="463"/>
      <c r="X634" s="435"/>
      <c r="Y634" s="435"/>
      <c r="Z634" s="435"/>
      <c r="AA634" s="435"/>
      <c r="AB634" s="435"/>
      <c r="AC634" s="408"/>
      <c r="AD634" s="4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</row>
    <row r="635" spans="1:46" ht="15.75" customHeight="1">
      <c r="A635" s="110"/>
      <c r="B635" s="110"/>
      <c r="C635" s="110"/>
      <c r="D635" s="118"/>
      <c r="E635" s="118"/>
      <c r="F635" s="118"/>
      <c r="G635" s="408"/>
      <c r="H635" s="408"/>
      <c r="I635" s="408"/>
      <c r="J635" s="408"/>
      <c r="K635" s="408"/>
      <c r="L635" s="408"/>
      <c r="M635" s="118"/>
      <c r="N635" s="435"/>
      <c r="O635" s="435"/>
      <c r="P635" s="435"/>
      <c r="Q635" s="435"/>
      <c r="R635" s="435"/>
      <c r="S635" s="435"/>
      <c r="T635" s="435"/>
      <c r="U635" s="435"/>
      <c r="V635" s="435"/>
      <c r="W635" s="463"/>
      <c r="X635" s="435"/>
      <c r="Y635" s="435"/>
      <c r="Z635" s="435"/>
      <c r="AA635" s="435"/>
      <c r="AB635" s="435"/>
      <c r="AC635" s="408"/>
      <c r="AD635" s="4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</row>
    <row r="636" spans="1:46" ht="15.75" customHeight="1">
      <c r="A636" s="110"/>
      <c r="B636" s="110"/>
      <c r="C636" s="110"/>
      <c r="D636" s="118"/>
      <c r="E636" s="118"/>
      <c r="F636" s="118"/>
      <c r="G636" s="408"/>
      <c r="H636" s="408"/>
      <c r="I636" s="408"/>
      <c r="J636" s="408"/>
      <c r="K636" s="408"/>
      <c r="L636" s="408"/>
      <c r="M636" s="118"/>
      <c r="N636" s="435"/>
      <c r="O636" s="435"/>
      <c r="P636" s="435"/>
      <c r="Q636" s="435"/>
      <c r="R636" s="435"/>
      <c r="S636" s="435"/>
      <c r="T636" s="435"/>
      <c r="U636" s="435"/>
      <c r="V636" s="435"/>
      <c r="W636" s="463"/>
      <c r="X636" s="435"/>
      <c r="Y636" s="435"/>
      <c r="Z636" s="435"/>
      <c r="AA636" s="435"/>
      <c r="AB636" s="435"/>
      <c r="AC636" s="408"/>
      <c r="AD636" s="4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</row>
    <row r="637" spans="1:46" ht="15.75" customHeight="1">
      <c r="A637" s="110"/>
      <c r="B637" s="110"/>
      <c r="C637" s="110"/>
      <c r="D637" s="118"/>
      <c r="E637" s="118"/>
      <c r="F637" s="118"/>
      <c r="G637" s="408"/>
      <c r="H637" s="408"/>
      <c r="I637" s="408"/>
      <c r="J637" s="408"/>
      <c r="K637" s="408"/>
      <c r="L637" s="408"/>
      <c r="M637" s="118"/>
      <c r="N637" s="435"/>
      <c r="O637" s="435"/>
      <c r="P637" s="435"/>
      <c r="Q637" s="435"/>
      <c r="R637" s="435"/>
      <c r="S637" s="435"/>
      <c r="T637" s="435"/>
      <c r="U637" s="435"/>
      <c r="V637" s="435"/>
      <c r="W637" s="463"/>
      <c r="X637" s="435"/>
      <c r="Y637" s="435"/>
      <c r="Z637" s="435"/>
      <c r="AA637" s="435"/>
      <c r="AB637" s="435"/>
      <c r="AC637" s="408"/>
      <c r="AD637" s="4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</row>
    <row r="638" spans="1:46" ht="15.75" customHeight="1">
      <c r="A638" s="110"/>
      <c r="B638" s="110"/>
      <c r="C638" s="110"/>
      <c r="D638" s="118"/>
      <c r="E638" s="118"/>
      <c r="F638" s="118"/>
      <c r="G638" s="408"/>
      <c r="H638" s="408"/>
      <c r="I638" s="408"/>
      <c r="J638" s="408"/>
      <c r="K638" s="408"/>
      <c r="L638" s="408"/>
      <c r="M638" s="118"/>
      <c r="N638" s="435"/>
      <c r="O638" s="435"/>
      <c r="P638" s="435"/>
      <c r="Q638" s="435"/>
      <c r="R638" s="435"/>
      <c r="S638" s="435"/>
      <c r="T638" s="435"/>
      <c r="U638" s="435"/>
      <c r="V638" s="435"/>
      <c r="W638" s="463"/>
      <c r="X638" s="435"/>
      <c r="Y638" s="435"/>
      <c r="Z638" s="435"/>
      <c r="AA638" s="435"/>
      <c r="AB638" s="435"/>
      <c r="AC638" s="408"/>
      <c r="AD638" s="4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</row>
    <row r="639" spans="1:46" ht="15.75" customHeight="1">
      <c r="A639" s="110"/>
      <c r="B639" s="110"/>
      <c r="C639" s="110"/>
      <c r="D639" s="118"/>
      <c r="E639" s="118"/>
      <c r="F639" s="118"/>
      <c r="G639" s="408"/>
      <c r="H639" s="408"/>
      <c r="I639" s="408"/>
      <c r="J639" s="408"/>
      <c r="K639" s="408"/>
      <c r="L639" s="408"/>
      <c r="M639" s="118"/>
      <c r="N639" s="435"/>
      <c r="O639" s="435"/>
      <c r="P639" s="435"/>
      <c r="Q639" s="435"/>
      <c r="R639" s="435"/>
      <c r="S639" s="435"/>
      <c r="T639" s="435"/>
      <c r="U639" s="435"/>
      <c r="V639" s="435"/>
      <c r="W639" s="463"/>
      <c r="X639" s="435"/>
      <c r="Y639" s="435"/>
      <c r="Z639" s="435"/>
      <c r="AA639" s="435"/>
      <c r="AB639" s="435"/>
      <c r="AC639" s="408"/>
      <c r="AD639" s="4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</row>
    <row r="640" spans="1:46" ht="15.75" customHeight="1">
      <c r="A640" s="110"/>
      <c r="B640" s="110"/>
      <c r="C640" s="110"/>
      <c r="D640" s="118"/>
      <c r="E640" s="118"/>
      <c r="F640" s="118"/>
      <c r="G640" s="408"/>
      <c r="H640" s="408"/>
      <c r="I640" s="408"/>
      <c r="J640" s="408"/>
      <c r="K640" s="408"/>
      <c r="L640" s="408"/>
      <c r="M640" s="118"/>
      <c r="N640" s="435"/>
      <c r="O640" s="435"/>
      <c r="P640" s="435"/>
      <c r="Q640" s="435"/>
      <c r="R640" s="435"/>
      <c r="S640" s="435"/>
      <c r="T640" s="435"/>
      <c r="U640" s="435"/>
      <c r="V640" s="435"/>
      <c r="W640" s="463"/>
      <c r="X640" s="435"/>
      <c r="Y640" s="435"/>
      <c r="Z640" s="435"/>
      <c r="AA640" s="435"/>
      <c r="AB640" s="435"/>
      <c r="AC640" s="408"/>
      <c r="AD640" s="4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</row>
    <row r="641" spans="1:46" ht="15.75" customHeight="1">
      <c r="A641" s="110"/>
      <c r="B641" s="110"/>
      <c r="C641" s="110"/>
      <c r="D641" s="118"/>
      <c r="E641" s="118"/>
      <c r="F641" s="118"/>
      <c r="G641" s="408"/>
      <c r="H641" s="408"/>
      <c r="I641" s="408"/>
      <c r="J641" s="408"/>
      <c r="K641" s="408"/>
      <c r="L641" s="408"/>
      <c r="M641" s="118"/>
      <c r="N641" s="435"/>
      <c r="O641" s="435"/>
      <c r="P641" s="435"/>
      <c r="Q641" s="435"/>
      <c r="R641" s="435"/>
      <c r="S641" s="435"/>
      <c r="T641" s="435"/>
      <c r="U641" s="435"/>
      <c r="V641" s="435"/>
      <c r="W641" s="463"/>
      <c r="X641" s="435"/>
      <c r="Y641" s="435"/>
      <c r="Z641" s="435"/>
      <c r="AA641" s="435"/>
      <c r="AB641" s="435"/>
      <c r="AC641" s="408"/>
      <c r="AD641" s="4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</row>
    <row r="642" spans="1:46" ht="15.75" customHeight="1">
      <c r="A642" s="110"/>
      <c r="B642" s="110"/>
      <c r="C642" s="110"/>
      <c r="D642" s="118"/>
      <c r="E642" s="118"/>
      <c r="F642" s="118"/>
      <c r="G642" s="408"/>
      <c r="H642" s="408"/>
      <c r="I642" s="408"/>
      <c r="J642" s="408"/>
      <c r="K642" s="408"/>
      <c r="L642" s="408"/>
      <c r="M642" s="118"/>
      <c r="N642" s="435"/>
      <c r="O642" s="435"/>
      <c r="P642" s="435"/>
      <c r="Q642" s="435"/>
      <c r="R642" s="435"/>
      <c r="S642" s="435"/>
      <c r="T642" s="435"/>
      <c r="U642" s="435"/>
      <c r="V642" s="435"/>
      <c r="W642" s="463"/>
      <c r="X642" s="435"/>
      <c r="Y642" s="435"/>
      <c r="Z642" s="435"/>
      <c r="AA642" s="435"/>
      <c r="AB642" s="435"/>
      <c r="AC642" s="408"/>
      <c r="AD642" s="4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</row>
    <row r="643" spans="1:46" ht="15.75" customHeight="1">
      <c r="A643" s="110"/>
      <c r="B643" s="110"/>
      <c r="C643" s="110"/>
      <c r="D643" s="118"/>
      <c r="E643" s="118"/>
      <c r="F643" s="118"/>
      <c r="G643" s="408"/>
      <c r="H643" s="408"/>
      <c r="I643" s="408"/>
      <c r="J643" s="408"/>
      <c r="K643" s="408"/>
      <c r="L643" s="408"/>
      <c r="M643" s="118"/>
      <c r="N643" s="435"/>
      <c r="O643" s="435"/>
      <c r="P643" s="435"/>
      <c r="Q643" s="435"/>
      <c r="R643" s="435"/>
      <c r="S643" s="435"/>
      <c r="T643" s="435"/>
      <c r="U643" s="435"/>
      <c r="V643" s="435"/>
      <c r="W643" s="463"/>
      <c r="X643" s="435"/>
      <c r="Y643" s="435"/>
      <c r="Z643" s="435"/>
      <c r="AA643" s="435"/>
      <c r="AB643" s="435"/>
      <c r="AC643" s="408"/>
      <c r="AD643" s="4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</row>
    <row r="644" spans="1:46" ht="15.75" customHeight="1">
      <c r="A644" s="110"/>
      <c r="B644" s="110"/>
      <c r="C644" s="110"/>
      <c r="D644" s="118"/>
      <c r="E644" s="118"/>
      <c r="F644" s="118"/>
      <c r="G644" s="408"/>
      <c r="H644" s="408"/>
      <c r="I644" s="408"/>
      <c r="J644" s="408"/>
      <c r="K644" s="408"/>
      <c r="L644" s="408"/>
      <c r="M644" s="118"/>
      <c r="N644" s="435"/>
      <c r="O644" s="435"/>
      <c r="P644" s="435"/>
      <c r="Q644" s="435"/>
      <c r="R644" s="435"/>
      <c r="S644" s="435"/>
      <c r="T644" s="435"/>
      <c r="U644" s="435"/>
      <c r="V644" s="435"/>
      <c r="W644" s="463"/>
      <c r="X644" s="435"/>
      <c r="Y644" s="435"/>
      <c r="Z644" s="435"/>
      <c r="AA644" s="435"/>
      <c r="AB644" s="435"/>
      <c r="AC644" s="408"/>
      <c r="AD644" s="4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</row>
    <row r="645" spans="1:46" ht="15.75" customHeight="1">
      <c r="A645" s="110"/>
      <c r="B645" s="110"/>
      <c r="C645" s="110"/>
      <c r="D645" s="118"/>
      <c r="E645" s="118"/>
      <c r="F645" s="118"/>
      <c r="G645" s="408"/>
      <c r="H645" s="408"/>
      <c r="I645" s="408"/>
      <c r="J645" s="408"/>
      <c r="K645" s="408"/>
      <c r="L645" s="408"/>
      <c r="M645" s="118"/>
      <c r="N645" s="435"/>
      <c r="O645" s="435"/>
      <c r="P645" s="435"/>
      <c r="Q645" s="435"/>
      <c r="R645" s="435"/>
      <c r="S645" s="435"/>
      <c r="T645" s="435"/>
      <c r="U645" s="435"/>
      <c r="V645" s="435"/>
      <c r="W645" s="463"/>
      <c r="X645" s="435"/>
      <c r="Y645" s="435"/>
      <c r="Z645" s="435"/>
      <c r="AA645" s="435"/>
      <c r="AB645" s="435"/>
      <c r="AC645" s="408"/>
      <c r="AD645" s="4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</row>
    <row r="646" spans="1:46" ht="15.75" customHeight="1">
      <c r="A646" s="110"/>
      <c r="B646" s="110"/>
      <c r="C646" s="110"/>
      <c r="D646" s="118"/>
      <c r="E646" s="118"/>
      <c r="F646" s="118"/>
      <c r="G646" s="408"/>
      <c r="H646" s="408"/>
      <c r="I646" s="408"/>
      <c r="J646" s="408"/>
      <c r="K646" s="408"/>
      <c r="L646" s="408"/>
      <c r="M646" s="118"/>
      <c r="N646" s="435"/>
      <c r="O646" s="435"/>
      <c r="P646" s="435"/>
      <c r="Q646" s="435"/>
      <c r="R646" s="435"/>
      <c r="S646" s="435"/>
      <c r="T646" s="435"/>
      <c r="U646" s="435"/>
      <c r="V646" s="435"/>
      <c r="W646" s="463"/>
      <c r="X646" s="435"/>
      <c r="Y646" s="435"/>
      <c r="Z646" s="435"/>
      <c r="AA646" s="435"/>
      <c r="AB646" s="435"/>
      <c r="AC646" s="408"/>
      <c r="AD646" s="4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</row>
    <row r="647" spans="1:46" ht="15.75" customHeight="1">
      <c r="A647" s="110"/>
      <c r="B647" s="110"/>
      <c r="C647" s="110"/>
      <c r="D647" s="118"/>
      <c r="E647" s="118"/>
      <c r="F647" s="118"/>
      <c r="G647" s="408"/>
      <c r="H647" s="408"/>
      <c r="I647" s="408"/>
      <c r="J647" s="408"/>
      <c r="K647" s="408"/>
      <c r="L647" s="408"/>
      <c r="M647" s="118"/>
      <c r="N647" s="435"/>
      <c r="O647" s="435"/>
      <c r="P647" s="435"/>
      <c r="Q647" s="435"/>
      <c r="R647" s="435"/>
      <c r="S647" s="435"/>
      <c r="T647" s="435"/>
      <c r="U647" s="435"/>
      <c r="V647" s="435"/>
      <c r="W647" s="463"/>
      <c r="X647" s="435"/>
      <c r="Y647" s="435"/>
      <c r="Z647" s="435"/>
      <c r="AA647" s="435"/>
      <c r="AB647" s="435"/>
      <c r="AC647" s="408"/>
      <c r="AD647" s="4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</row>
    <row r="648" spans="1:46" ht="15.75" customHeight="1">
      <c r="A648" s="110"/>
      <c r="B648" s="110"/>
      <c r="C648" s="110"/>
      <c r="D648" s="118"/>
      <c r="E648" s="118"/>
      <c r="F648" s="118"/>
      <c r="G648" s="408"/>
      <c r="H648" s="408"/>
      <c r="I648" s="408"/>
      <c r="J648" s="408"/>
      <c r="K648" s="408"/>
      <c r="L648" s="408"/>
      <c r="M648" s="118"/>
      <c r="N648" s="435"/>
      <c r="O648" s="435"/>
      <c r="P648" s="435"/>
      <c r="Q648" s="435"/>
      <c r="R648" s="435"/>
      <c r="S648" s="435"/>
      <c r="T648" s="435"/>
      <c r="U648" s="435"/>
      <c r="V648" s="435"/>
      <c r="W648" s="463"/>
      <c r="X648" s="435"/>
      <c r="Y648" s="435"/>
      <c r="Z648" s="435"/>
      <c r="AA648" s="435"/>
      <c r="AB648" s="435"/>
      <c r="AC648" s="408"/>
      <c r="AD648" s="4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</row>
    <row r="649" spans="1:46" ht="15.75" customHeight="1">
      <c r="A649" s="110"/>
      <c r="B649" s="110"/>
      <c r="C649" s="110"/>
      <c r="D649" s="118"/>
      <c r="E649" s="118"/>
      <c r="F649" s="118"/>
      <c r="G649" s="408"/>
      <c r="H649" s="408"/>
      <c r="I649" s="408"/>
      <c r="J649" s="408"/>
      <c r="K649" s="408"/>
      <c r="L649" s="408"/>
      <c r="M649" s="118"/>
      <c r="N649" s="435"/>
      <c r="O649" s="435"/>
      <c r="P649" s="435"/>
      <c r="Q649" s="435"/>
      <c r="R649" s="435"/>
      <c r="S649" s="435"/>
      <c r="T649" s="435"/>
      <c r="U649" s="435"/>
      <c r="V649" s="435"/>
      <c r="W649" s="463"/>
      <c r="X649" s="435"/>
      <c r="Y649" s="435"/>
      <c r="Z649" s="435"/>
      <c r="AA649" s="435"/>
      <c r="AB649" s="435"/>
      <c r="AC649" s="408"/>
      <c r="AD649" s="4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</row>
    <row r="650" spans="1:46" ht="15.75" customHeight="1">
      <c r="A650" s="110"/>
      <c r="B650" s="110"/>
      <c r="C650" s="110"/>
      <c r="D650" s="118"/>
      <c r="E650" s="118"/>
      <c r="F650" s="118"/>
      <c r="G650" s="408"/>
      <c r="H650" s="408"/>
      <c r="I650" s="408"/>
      <c r="J650" s="408"/>
      <c r="K650" s="408"/>
      <c r="L650" s="408"/>
      <c r="M650" s="118"/>
      <c r="N650" s="435"/>
      <c r="O650" s="435"/>
      <c r="P650" s="435"/>
      <c r="Q650" s="435"/>
      <c r="R650" s="435"/>
      <c r="S650" s="435"/>
      <c r="T650" s="435"/>
      <c r="U650" s="435"/>
      <c r="V650" s="435"/>
      <c r="W650" s="463"/>
      <c r="X650" s="435"/>
      <c r="Y650" s="435"/>
      <c r="Z650" s="435"/>
      <c r="AA650" s="435"/>
      <c r="AB650" s="435"/>
      <c r="AC650" s="408"/>
      <c r="AD650" s="4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</row>
    <row r="651" spans="1:46" ht="15.75" customHeight="1">
      <c r="A651" s="110"/>
      <c r="B651" s="110"/>
      <c r="C651" s="110"/>
      <c r="D651" s="118"/>
      <c r="E651" s="118"/>
      <c r="F651" s="118"/>
      <c r="G651" s="408"/>
      <c r="H651" s="408"/>
      <c r="I651" s="408"/>
      <c r="J651" s="408"/>
      <c r="K651" s="408"/>
      <c r="L651" s="408"/>
      <c r="M651" s="118"/>
      <c r="N651" s="435"/>
      <c r="O651" s="435"/>
      <c r="P651" s="435"/>
      <c r="Q651" s="435"/>
      <c r="R651" s="435"/>
      <c r="S651" s="435"/>
      <c r="T651" s="435"/>
      <c r="U651" s="435"/>
      <c r="V651" s="435"/>
      <c r="W651" s="463"/>
      <c r="X651" s="435"/>
      <c r="Y651" s="435"/>
      <c r="Z651" s="435"/>
      <c r="AA651" s="435"/>
      <c r="AB651" s="435"/>
      <c r="AC651" s="408"/>
      <c r="AD651" s="4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</row>
    <row r="652" spans="1:46" ht="15.75" customHeight="1">
      <c r="A652" s="110"/>
      <c r="B652" s="110"/>
      <c r="C652" s="110"/>
      <c r="D652" s="118"/>
      <c r="E652" s="118"/>
      <c r="F652" s="118"/>
      <c r="G652" s="408"/>
      <c r="H652" s="408"/>
      <c r="I652" s="408"/>
      <c r="J652" s="408"/>
      <c r="K652" s="408"/>
      <c r="L652" s="408"/>
      <c r="M652" s="118"/>
      <c r="N652" s="435"/>
      <c r="O652" s="435"/>
      <c r="P652" s="435"/>
      <c r="Q652" s="435"/>
      <c r="R652" s="435"/>
      <c r="S652" s="435"/>
      <c r="T652" s="435"/>
      <c r="U652" s="435"/>
      <c r="V652" s="435"/>
      <c r="W652" s="463"/>
      <c r="X652" s="435"/>
      <c r="Y652" s="435"/>
      <c r="Z652" s="435"/>
      <c r="AA652" s="435"/>
      <c r="AB652" s="435"/>
      <c r="AC652" s="408"/>
      <c r="AD652" s="4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</row>
    <row r="653" spans="1:46" ht="15.75" customHeight="1">
      <c r="A653" s="110"/>
      <c r="B653" s="110"/>
      <c r="C653" s="110"/>
      <c r="D653" s="118"/>
      <c r="E653" s="118"/>
      <c r="F653" s="118"/>
      <c r="G653" s="408"/>
      <c r="H653" s="408"/>
      <c r="I653" s="408"/>
      <c r="J653" s="408"/>
      <c r="K653" s="408"/>
      <c r="L653" s="408"/>
      <c r="M653" s="118"/>
      <c r="N653" s="435"/>
      <c r="O653" s="435"/>
      <c r="P653" s="435"/>
      <c r="Q653" s="435"/>
      <c r="R653" s="435"/>
      <c r="S653" s="435"/>
      <c r="T653" s="435"/>
      <c r="U653" s="435"/>
      <c r="V653" s="435"/>
      <c r="W653" s="463"/>
      <c r="X653" s="435"/>
      <c r="Y653" s="435"/>
      <c r="Z653" s="435"/>
      <c r="AA653" s="435"/>
      <c r="AB653" s="435"/>
      <c r="AC653" s="408"/>
      <c r="AD653" s="4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</row>
    <row r="654" spans="1:46" ht="15.75" customHeight="1">
      <c r="A654" s="110"/>
      <c r="B654" s="110"/>
      <c r="C654" s="110"/>
      <c r="D654" s="118"/>
      <c r="E654" s="118"/>
      <c r="F654" s="118"/>
      <c r="G654" s="408"/>
      <c r="H654" s="408"/>
      <c r="I654" s="408"/>
      <c r="J654" s="408"/>
      <c r="K654" s="408"/>
      <c r="L654" s="408"/>
      <c r="M654" s="118"/>
      <c r="N654" s="435"/>
      <c r="O654" s="435"/>
      <c r="P654" s="435"/>
      <c r="Q654" s="435"/>
      <c r="R654" s="435"/>
      <c r="S654" s="435"/>
      <c r="T654" s="435"/>
      <c r="U654" s="435"/>
      <c r="V654" s="435"/>
      <c r="W654" s="463"/>
      <c r="X654" s="435"/>
      <c r="Y654" s="435"/>
      <c r="Z654" s="435"/>
      <c r="AA654" s="435"/>
      <c r="AB654" s="435"/>
      <c r="AC654" s="408"/>
      <c r="AD654" s="4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</row>
    <row r="655" spans="1:46" ht="15.75" customHeight="1">
      <c r="A655" s="110"/>
      <c r="B655" s="110"/>
      <c r="C655" s="110"/>
      <c r="D655" s="118"/>
      <c r="E655" s="118"/>
      <c r="F655" s="118"/>
      <c r="G655" s="408"/>
      <c r="H655" s="408"/>
      <c r="I655" s="408"/>
      <c r="J655" s="408"/>
      <c r="K655" s="408"/>
      <c r="L655" s="408"/>
      <c r="M655" s="118"/>
      <c r="N655" s="435"/>
      <c r="O655" s="435"/>
      <c r="P655" s="435"/>
      <c r="Q655" s="435"/>
      <c r="R655" s="435"/>
      <c r="S655" s="435"/>
      <c r="T655" s="435"/>
      <c r="U655" s="435"/>
      <c r="V655" s="435"/>
      <c r="W655" s="463"/>
      <c r="X655" s="435"/>
      <c r="Y655" s="435"/>
      <c r="Z655" s="435"/>
      <c r="AA655" s="435"/>
      <c r="AB655" s="435"/>
      <c r="AC655" s="408"/>
      <c r="AD655" s="4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</row>
    <row r="656" spans="1:46" ht="15.75" customHeight="1">
      <c r="A656" s="110"/>
      <c r="B656" s="110"/>
      <c r="C656" s="110"/>
      <c r="D656" s="118"/>
      <c r="E656" s="118"/>
      <c r="F656" s="118"/>
      <c r="G656" s="408"/>
      <c r="H656" s="408"/>
      <c r="I656" s="408"/>
      <c r="J656" s="408"/>
      <c r="K656" s="408"/>
      <c r="L656" s="408"/>
      <c r="M656" s="118"/>
      <c r="N656" s="435"/>
      <c r="O656" s="435"/>
      <c r="P656" s="435"/>
      <c r="Q656" s="435"/>
      <c r="R656" s="435"/>
      <c r="S656" s="435"/>
      <c r="T656" s="435"/>
      <c r="U656" s="435"/>
      <c r="V656" s="435"/>
      <c r="W656" s="463"/>
      <c r="X656" s="435"/>
      <c r="Y656" s="435"/>
      <c r="Z656" s="435"/>
      <c r="AA656" s="435"/>
      <c r="AB656" s="435"/>
      <c r="AC656" s="408"/>
      <c r="AD656" s="4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</row>
    <row r="657" spans="1:46" ht="15.75" customHeight="1">
      <c r="A657" s="110"/>
      <c r="B657" s="110"/>
      <c r="C657" s="110"/>
      <c r="D657" s="118"/>
      <c r="E657" s="118"/>
      <c r="F657" s="118"/>
      <c r="G657" s="408"/>
      <c r="H657" s="408"/>
      <c r="I657" s="408"/>
      <c r="J657" s="408"/>
      <c r="K657" s="408"/>
      <c r="L657" s="408"/>
      <c r="M657" s="118"/>
      <c r="N657" s="435"/>
      <c r="O657" s="435"/>
      <c r="P657" s="435"/>
      <c r="Q657" s="435"/>
      <c r="R657" s="435"/>
      <c r="S657" s="435"/>
      <c r="T657" s="435"/>
      <c r="U657" s="435"/>
      <c r="V657" s="435"/>
      <c r="W657" s="463"/>
      <c r="X657" s="435"/>
      <c r="Y657" s="435"/>
      <c r="Z657" s="435"/>
      <c r="AA657" s="435"/>
      <c r="AB657" s="435"/>
      <c r="AC657" s="408"/>
      <c r="AD657" s="4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</row>
    <row r="658" spans="1:46" ht="15.75" customHeight="1">
      <c r="A658" s="110"/>
      <c r="B658" s="110"/>
      <c r="C658" s="110"/>
      <c r="D658" s="118"/>
      <c r="E658" s="118"/>
      <c r="F658" s="118"/>
      <c r="G658" s="408"/>
      <c r="H658" s="408"/>
      <c r="I658" s="408"/>
      <c r="J658" s="408"/>
      <c r="K658" s="408"/>
      <c r="L658" s="408"/>
      <c r="M658" s="118"/>
      <c r="N658" s="435"/>
      <c r="O658" s="435"/>
      <c r="P658" s="435"/>
      <c r="Q658" s="435"/>
      <c r="R658" s="435"/>
      <c r="S658" s="435"/>
      <c r="T658" s="435"/>
      <c r="U658" s="435"/>
      <c r="V658" s="435"/>
      <c r="W658" s="463"/>
      <c r="X658" s="435"/>
      <c r="Y658" s="435"/>
      <c r="Z658" s="435"/>
      <c r="AA658" s="435"/>
      <c r="AB658" s="435"/>
      <c r="AC658" s="408"/>
      <c r="AD658" s="4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</row>
    <row r="659" spans="1:46" ht="15.75" customHeight="1">
      <c r="A659" s="110"/>
      <c r="B659" s="110"/>
      <c r="C659" s="110"/>
      <c r="D659" s="118"/>
      <c r="E659" s="118"/>
      <c r="F659" s="118"/>
      <c r="G659" s="408"/>
      <c r="H659" s="408"/>
      <c r="I659" s="408"/>
      <c r="J659" s="408"/>
      <c r="K659" s="408"/>
      <c r="L659" s="408"/>
      <c r="M659" s="118"/>
      <c r="N659" s="435"/>
      <c r="O659" s="435"/>
      <c r="P659" s="435"/>
      <c r="Q659" s="435"/>
      <c r="R659" s="435"/>
      <c r="S659" s="435"/>
      <c r="T659" s="435"/>
      <c r="U659" s="435"/>
      <c r="V659" s="435"/>
      <c r="W659" s="463"/>
      <c r="X659" s="435"/>
      <c r="Y659" s="435"/>
      <c r="Z659" s="435"/>
      <c r="AA659" s="435"/>
      <c r="AB659" s="435"/>
      <c r="AC659" s="408"/>
      <c r="AD659" s="4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</row>
    <row r="660" spans="1:46" ht="15.75" customHeight="1">
      <c r="A660" s="110"/>
      <c r="B660" s="110"/>
      <c r="C660" s="110"/>
      <c r="D660" s="118"/>
      <c r="E660" s="118"/>
      <c r="F660" s="118"/>
      <c r="G660" s="408"/>
      <c r="H660" s="408"/>
      <c r="I660" s="408"/>
      <c r="J660" s="408"/>
      <c r="K660" s="408"/>
      <c r="L660" s="408"/>
      <c r="M660" s="118"/>
      <c r="N660" s="435"/>
      <c r="O660" s="435"/>
      <c r="P660" s="435"/>
      <c r="Q660" s="435"/>
      <c r="R660" s="435"/>
      <c r="S660" s="435"/>
      <c r="T660" s="435"/>
      <c r="U660" s="435"/>
      <c r="V660" s="435"/>
      <c r="W660" s="463"/>
      <c r="X660" s="435"/>
      <c r="Y660" s="435"/>
      <c r="Z660" s="435"/>
      <c r="AA660" s="435"/>
      <c r="AB660" s="435"/>
      <c r="AC660" s="408"/>
      <c r="AD660" s="4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</row>
    <row r="661" spans="1:46" ht="15.75" customHeight="1">
      <c r="A661" s="110"/>
      <c r="B661" s="110"/>
      <c r="C661" s="110"/>
      <c r="D661" s="118"/>
      <c r="E661" s="118"/>
      <c r="F661" s="118"/>
      <c r="G661" s="408"/>
      <c r="H661" s="408"/>
      <c r="I661" s="408"/>
      <c r="J661" s="408"/>
      <c r="K661" s="408"/>
      <c r="L661" s="408"/>
      <c r="M661" s="118"/>
      <c r="N661" s="435"/>
      <c r="O661" s="435"/>
      <c r="P661" s="435"/>
      <c r="Q661" s="435"/>
      <c r="R661" s="435"/>
      <c r="S661" s="435"/>
      <c r="T661" s="435"/>
      <c r="U661" s="435"/>
      <c r="V661" s="435"/>
      <c r="W661" s="463"/>
      <c r="X661" s="435"/>
      <c r="Y661" s="435"/>
      <c r="Z661" s="435"/>
      <c r="AA661" s="435"/>
      <c r="AB661" s="435"/>
      <c r="AC661" s="408"/>
      <c r="AD661" s="4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</row>
    <row r="662" spans="1:46" ht="15.75" customHeight="1">
      <c r="A662" s="110"/>
      <c r="B662" s="110"/>
      <c r="C662" s="110"/>
      <c r="D662" s="118"/>
      <c r="E662" s="118"/>
      <c r="F662" s="118"/>
      <c r="G662" s="408"/>
      <c r="H662" s="408"/>
      <c r="I662" s="408"/>
      <c r="J662" s="408"/>
      <c r="K662" s="408"/>
      <c r="L662" s="408"/>
      <c r="M662" s="118"/>
      <c r="N662" s="435"/>
      <c r="O662" s="435"/>
      <c r="P662" s="435"/>
      <c r="Q662" s="435"/>
      <c r="R662" s="435"/>
      <c r="S662" s="435"/>
      <c r="T662" s="435"/>
      <c r="U662" s="435"/>
      <c r="V662" s="435"/>
      <c r="W662" s="463"/>
      <c r="X662" s="435"/>
      <c r="Y662" s="435"/>
      <c r="Z662" s="435"/>
      <c r="AA662" s="435"/>
      <c r="AB662" s="435"/>
      <c r="AC662" s="408"/>
      <c r="AD662" s="4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</row>
    <row r="663" spans="1:46" ht="15.75" customHeight="1">
      <c r="A663" s="110"/>
      <c r="B663" s="110"/>
      <c r="C663" s="110"/>
      <c r="D663" s="118"/>
      <c r="E663" s="118"/>
      <c r="F663" s="118"/>
      <c r="G663" s="408"/>
      <c r="H663" s="408"/>
      <c r="I663" s="408"/>
      <c r="J663" s="408"/>
      <c r="K663" s="408"/>
      <c r="L663" s="408"/>
      <c r="M663" s="118"/>
      <c r="N663" s="435"/>
      <c r="O663" s="435"/>
      <c r="P663" s="435"/>
      <c r="Q663" s="435"/>
      <c r="R663" s="435"/>
      <c r="S663" s="435"/>
      <c r="T663" s="435"/>
      <c r="U663" s="435"/>
      <c r="V663" s="435"/>
      <c r="W663" s="463"/>
      <c r="X663" s="435"/>
      <c r="Y663" s="435"/>
      <c r="Z663" s="435"/>
      <c r="AA663" s="435"/>
      <c r="AB663" s="435"/>
      <c r="AC663" s="408"/>
      <c r="AD663" s="4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</row>
    <row r="664" spans="1:46" ht="15.75" customHeight="1">
      <c r="A664" s="110"/>
      <c r="B664" s="110"/>
      <c r="C664" s="110"/>
      <c r="D664" s="118"/>
      <c r="E664" s="118"/>
      <c r="F664" s="118"/>
      <c r="G664" s="408"/>
      <c r="H664" s="408"/>
      <c r="I664" s="408"/>
      <c r="J664" s="408"/>
      <c r="K664" s="408"/>
      <c r="L664" s="408"/>
      <c r="M664" s="118"/>
      <c r="N664" s="435"/>
      <c r="O664" s="435"/>
      <c r="P664" s="435"/>
      <c r="Q664" s="435"/>
      <c r="R664" s="435"/>
      <c r="S664" s="435"/>
      <c r="T664" s="435"/>
      <c r="U664" s="435"/>
      <c r="V664" s="435"/>
      <c r="W664" s="463"/>
      <c r="X664" s="435"/>
      <c r="Y664" s="435"/>
      <c r="Z664" s="435"/>
      <c r="AA664" s="435"/>
      <c r="AB664" s="435"/>
      <c r="AC664" s="408"/>
      <c r="AD664" s="4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</row>
    <row r="665" spans="1:46" ht="15.75" customHeight="1">
      <c r="A665" s="110"/>
      <c r="B665" s="110"/>
      <c r="C665" s="110"/>
      <c r="D665" s="118"/>
      <c r="E665" s="118"/>
      <c r="F665" s="118"/>
      <c r="G665" s="408"/>
      <c r="H665" s="408"/>
      <c r="I665" s="408"/>
      <c r="J665" s="408"/>
      <c r="K665" s="408"/>
      <c r="L665" s="408"/>
      <c r="M665" s="118"/>
      <c r="N665" s="435"/>
      <c r="O665" s="435"/>
      <c r="P665" s="435"/>
      <c r="Q665" s="435"/>
      <c r="R665" s="435"/>
      <c r="S665" s="435"/>
      <c r="T665" s="435"/>
      <c r="U665" s="435"/>
      <c r="V665" s="435"/>
      <c r="W665" s="463"/>
      <c r="X665" s="435"/>
      <c r="Y665" s="435"/>
      <c r="Z665" s="435"/>
      <c r="AA665" s="435"/>
      <c r="AB665" s="435"/>
      <c r="AC665" s="408"/>
      <c r="AD665" s="4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</row>
    <row r="666" spans="1:46" ht="15.75" customHeight="1">
      <c r="A666" s="110"/>
      <c r="B666" s="110"/>
      <c r="C666" s="110"/>
      <c r="D666" s="118"/>
      <c r="E666" s="118"/>
      <c r="F666" s="118"/>
      <c r="G666" s="408"/>
      <c r="H666" s="408"/>
      <c r="I666" s="408"/>
      <c r="J666" s="408"/>
      <c r="K666" s="408"/>
      <c r="L666" s="408"/>
      <c r="M666" s="118"/>
      <c r="N666" s="435"/>
      <c r="O666" s="435"/>
      <c r="P666" s="435"/>
      <c r="Q666" s="435"/>
      <c r="R666" s="435"/>
      <c r="S666" s="435"/>
      <c r="T666" s="435"/>
      <c r="U666" s="435"/>
      <c r="V666" s="435"/>
      <c r="W666" s="463"/>
      <c r="X666" s="435"/>
      <c r="Y666" s="435"/>
      <c r="Z666" s="435"/>
      <c r="AA666" s="435"/>
      <c r="AB666" s="435"/>
      <c r="AC666" s="408"/>
      <c r="AD666" s="4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</row>
    <row r="667" spans="1:46" ht="15.75" customHeight="1">
      <c r="A667" s="110"/>
      <c r="B667" s="110"/>
      <c r="C667" s="110"/>
      <c r="D667" s="118"/>
      <c r="E667" s="118"/>
      <c r="F667" s="118"/>
      <c r="G667" s="408"/>
      <c r="H667" s="408"/>
      <c r="I667" s="408"/>
      <c r="J667" s="408"/>
      <c r="K667" s="408"/>
      <c r="L667" s="408"/>
      <c r="M667" s="118"/>
      <c r="N667" s="435"/>
      <c r="O667" s="435"/>
      <c r="P667" s="435"/>
      <c r="Q667" s="435"/>
      <c r="R667" s="435"/>
      <c r="S667" s="435"/>
      <c r="T667" s="435"/>
      <c r="U667" s="435"/>
      <c r="V667" s="435"/>
      <c r="W667" s="463"/>
      <c r="X667" s="435"/>
      <c r="Y667" s="435"/>
      <c r="Z667" s="435"/>
      <c r="AA667" s="435"/>
      <c r="AB667" s="435"/>
      <c r="AC667" s="408"/>
      <c r="AD667" s="4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</row>
    <row r="668" spans="1:46" ht="15.75" customHeight="1">
      <c r="A668" s="110"/>
      <c r="B668" s="110"/>
      <c r="C668" s="110"/>
      <c r="D668" s="118"/>
      <c r="E668" s="118"/>
      <c r="F668" s="118"/>
      <c r="G668" s="408"/>
      <c r="H668" s="408"/>
      <c r="I668" s="408"/>
      <c r="J668" s="408"/>
      <c r="K668" s="408"/>
      <c r="L668" s="408"/>
      <c r="M668" s="118"/>
      <c r="N668" s="435"/>
      <c r="O668" s="435"/>
      <c r="P668" s="435"/>
      <c r="Q668" s="435"/>
      <c r="R668" s="435"/>
      <c r="S668" s="435"/>
      <c r="T668" s="435"/>
      <c r="U668" s="435"/>
      <c r="V668" s="435"/>
      <c r="W668" s="463"/>
      <c r="X668" s="435"/>
      <c r="Y668" s="435"/>
      <c r="Z668" s="435"/>
      <c r="AA668" s="435"/>
      <c r="AB668" s="435"/>
      <c r="AC668" s="408"/>
      <c r="AD668" s="4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</row>
    <row r="669" spans="1:46" ht="15.75" customHeight="1">
      <c r="A669" s="110"/>
      <c r="B669" s="110"/>
      <c r="C669" s="110"/>
      <c r="D669" s="118"/>
      <c r="E669" s="118"/>
      <c r="F669" s="118"/>
      <c r="G669" s="408"/>
      <c r="H669" s="408"/>
      <c r="I669" s="408"/>
      <c r="J669" s="408"/>
      <c r="K669" s="408"/>
      <c r="L669" s="408"/>
      <c r="M669" s="118"/>
      <c r="N669" s="435"/>
      <c r="O669" s="435"/>
      <c r="P669" s="435"/>
      <c r="Q669" s="435"/>
      <c r="R669" s="435"/>
      <c r="S669" s="435"/>
      <c r="T669" s="435"/>
      <c r="U669" s="435"/>
      <c r="V669" s="435"/>
      <c r="W669" s="463"/>
      <c r="X669" s="435"/>
      <c r="Y669" s="435"/>
      <c r="Z669" s="435"/>
      <c r="AA669" s="435"/>
      <c r="AB669" s="435"/>
      <c r="AC669" s="408"/>
      <c r="AD669" s="4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</row>
    <row r="670" spans="1:46" ht="15.75" customHeight="1">
      <c r="A670" s="110"/>
      <c r="B670" s="110"/>
      <c r="C670" s="110"/>
      <c r="D670" s="118"/>
      <c r="E670" s="118"/>
      <c r="F670" s="118"/>
      <c r="G670" s="408"/>
      <c r="H670" s="408"/>
      <c r="I670" s="408"/>
      <c r="J670" s="408"/>
      <c r="K670" s="408"/>
      <c r="L670" s="408"/>
      <c r="M670" s="118"/>
      <c r="N670" s="435"/>
      <c r="O670" s="435"/>
      <c r="P670" s="435"/>
      <c r="Q670" s="435"/>
      <c r="R670" s="435"/>
      <c r="S670" s="435"/>
      <c r="T670" s="435"/>
      <c r="U670" s="435"/>
      <c r="V670" s="435"/>
      <c r="W670" s="463"/>
      <c r="X670" s="435"/>
      <c r="Y670" s="435"/>
      <c r="Z670" s="435"/>
      <c r="AA670" s="435"/>
      <c r="AB670" s="435"/>
      <c r="AC670" s="408"/>
      <c r="AD670" s="4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</row>
    <row r="671" spans="1:46" ht="15.75" customHeight="1">
      <c r="A671" s="110"/>
      <c r="B671" s="110"/>
      <c r="C671" s="110"/>
      <c r="D671" s="118"/>
      <c r="E671" s="118"/>
      <c r="F671" s="118"/>
      <c r="G671" s="408"/>
      <c r="H671" s="408"/>
      <c r="I671" s="408"/>
      <c r="J671" s="408"/>
      <c r="K671" s="408"/>
      <c r="L671" s="408"/>
      <c r="M671" s="118"/>
      <c r="N671" s="435"/>
      <c r="O671" s="435"/>
      <c r="P671" s="435"/>
      <c r="Q671" s="435"/>
      <c r="R671" s="435"/>
      <c r="S671" s="435"/>
      <c r="T671" s="435"/>
      <c r="U671" s="435"/>
      <c r="V671" s="435"/>
      <c r="W671" s="463"/>
      <c r="X671" s="435"/>
      <c r="Y671" s="435"/>
      <c r="Z671" s="435"/>
      <c r="AA671" s="435"/>
      <c r="AB671" s="435"/>
      <c r="AC671" s="408"/>
      <c r="AD671" s="4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</row>
    <row r="672" spans="1:46" ht="15.75" customHeight="1">
      <c r="A672" s="110"/>
      <c r="B672" s="110"/>
      <c r="C672" s="110"/>
      <c r="D672" s="118"/>
      <c r="E672" s="118"/>
      <c r="F672" s="118"/>
      <c r="G672" s="408"/>
      <c r="H672" s="408"/>
      <c r="I672" s="408"/>
      <c r="J672" s="408"/>
      <c r="K672" s="408"/>
      <c r="L672" s="408"/>
      <c r="M672" s="118"/>
      <c r="N672" s="435"/>
      <c r="O672" s="435"/>
      <c r="P672" s="435"/>
      <c r="Q672" s="435"/>
      <c r="R672" s="435"/>
      <c r="S672" s="435"/>
      <c r="T672" s="435"/>
      <c r="U672" s="435"/>
      <c r="V672" s="435"/>
      <c r="W672" s="463"/>
      <c r="X672" s="435"/>
      <c r="Y672" s="435"/>
      <c r="Z672" s="435"/>
      <c r="AA672" s="435"/>
      <c r="AB672" s="435"/>
      <c r="AC672" s="408"/>
      <c r="AD672" s="4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</row>
    <row r="673" spans="1:46" ht="15.75" customHeight="1">
      <c r="A673" s="110"/>
      <c r="B673" s="110"/>
      <c r="C673" s="110"/>
      <c r="D673" s="118"/>
      <c r="E673" s="118"/>
      <c r="F673" s="118"/>
      <c r="G673" s="408"/>
      <c r="H673" s="408"/>
      <c r="I673" s="408"/>
      <c r="J673" s="408"/>
      <c r="K673" s="408"/>
      <c r="L673" s="408"/>
      <c r="M673" s="118"/>
      <c r="N673" s="435"/>
      <c r="O673" s="435"/>
      <c r="P673" s="435"/>
      <c r="Q673" s="435"/>
      <c r="R673" s="435"/>
      <c r="S673" s="435"/>
      <c r="T673" s="435"/>
      <c r="U673" s="435"/>
      <c r="V673" s="435"/>
      <c r="W673" s="463"/>
      <c r="X673" s="435"/>
      <c r="Y673" s="435"/>
      <c r="Z673" s="435"/>
      <c r="AA673" s="435"/>
      <c r="AB673" s="435"/>
      <c r="AC673" s="408"/>
      <c r="AD673" s="4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</row>
    <row r="674" spans="1:46" ht="15.75" customHeight="1">
      <c r="A674" s="110"/>
      <c r="B674" s="110"/>
      <c r="C674" s="110"/>
      <c r="D674" s="118"/>
      <c r="E674" s="118"/>
      <c r="F674" s="118"/>
      <c r="G674" s="408"/>
      <c r="H674" s="408"/>
      <c r="I674" s="408"/>
      <c r="J674" s="408"/>
      <c r="K674" s="408"/>
      <c r="L674" s="408"/>
      <c r="M674" s="118"/>
      <c r="N674" s="435"/>
      <c r="O674" s="435"/>
      <c r="P674" s="435"/>
      <c r="Q674" s="435"/>
      <c r="R674" s="435"/>
      <c r="S674" s="435"/>
      <c r="T674" s="435"/>
      <c r="U674" s="435"/>
      <c r="V674" s="435"/>
      <c r="W674" s="463"/>
      <c r="X674" s="435"/>
      <c r="Y674" s="435"/>
      <c r="Z674" s="435"/>
      <c r="AA674" s="435"/>
      <c r="AB674" s="435"/>
      <c r="AC674" s="408"/>
      <c r="AD674" s="4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</row>
    <row r="675" spans="1:46" ht="15.75" customHeight="1">
      <c r="A675" s="110"/>
      <c r="B675" s="110"/>
      <c r="C675" s="110"/>
      <c r="D675" s="118"/>
      <c r="E675" s="118"/>
      <c r="F675" s="118"/>
      <c r="G675" s="408"/>
      <c r="H675" s="408"/>
      <c r="I675" s="408"/>
      <c r="J675" s="408"/>
      <c r="K675" s="408"/>
      <c r="L675" s="408"/>
      <c r="M675" s="118"/>
      <c r="N675" s="435"/>
      <c r="O675" s="435"/>
      <c r="P675" s="435"/>
      <c r="Q675" s="435"/>
      <c r="R675" s="435"/>
      <c r="S675" s="435"/>
      <c r="T675" s="435"/>
      <c r="U675" s="435"/>
      <c r="V675" s="435"/>
      <c r="W675" s="463"/>
      <c r="X675" s="435"/>
      <c r="Y675" s="435"/>
      <c r="Z675" s="435"/>
      <c r="AA675" s="435"/>
      <c r="AB675" s="435"/>
      <c r="AC675" s="408"/>
      <c r="AD675" s="4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</row>
    <row r="676" spans="1:46" ht="15.75" customHeight="1">
      <c r="A676" s="110"/>
      <c r="B676" s="110"/>
      <c r="C676" s="110"/>
      <c r="D676" s="118"/>
      <c r="E676" s="118"/>
      <c r="F676" s="118"/>
      <c r="G676" s="408"/>
      <c r="H676" s="408"/>
      <c r="I676" s="408"/>
      <c r="J676" s="408"/>
      <c r="K676" s="408"/>
      <c r="L676" s="408"/>
      <c r="M676" s="118"/>
      <c r="N676" s="435"/>
      <c r="O676" s="435"/>
      <c r="P676" s="435"/>
      <c r="Q676" s="435"/>
      <c r="R676" s="435"/>
      <c r="S676" s="435"/>
      <c r="T676" s="435"/>
      <c r="U676" s="435"/>
      <c r="V676" s="435"/>
      <c r="W676" s="463"/>
      <c r="X676" s="435"/>
      <c r="Y676" s="435"/>
      <c r="Z676" s="435"/>
      <c r="AA676" s="435"/>
      <c r="AB676" s="435"/>
      <c r="AC676" s="408"/>
      <c r="AD676" s="4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</row>
    <row r="677" spans="1:46" ht="15.75" customHeight="1">
      <c r="A677" s="110"/>
      <c r="B677" s="110"/>
      <c r="C677" s="110"/>
      <c r="D677" s="118"/>
      <c r="E677" s="118"/>
      <c r="F677" s="118"/>
      <c r="G677" s="408"/>
      <c r="H677" s="408"/>
      <c r="I677" s="408"/>
      <c r="J677" s="408"/>
      <c r="K677" s="408"/>
      <c r="L677" s="408"/>
      <c r="M677" s="118"/>
      <c r="N677" s="435"/>
      <c r="O677" s="435"/>
      <c r="P677" s="435"/>
      <c r="Q677" s="435"/>
      <c r="R677" s="435"/>
      <c r="S677" s="435"/>
      <c r="T677" s="435"/>
      <c r="U677" s="435"/>
      <c r="V677" s="435"/>
      <c r="W677" s="463"/>
      <c r="X677" s="435"/>
      <c r="Y677" s="435"/>
      <c r="Z677" s="435"/>
      <c r="AA677" s="435"/>
      <c r="AB677" s="435"/>
      <c r="AC677" s="408"/>
      <c r="AD677" s="4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</row>
    <row r="678" spans="1:46" ht="15.75" customHeight="1">
      <c r="A678" s="110"/>
      <c r="B678" s="110"/>
      <c r="C678" s="110"/>
      <c r="D678" s="118"/>
      <c r="E678" s="118"/>
      <c r="F678" s="118"/>
      <c r="G678" s="408"/>
      <c r="H678" s="408"/>
      <c r="I678" s="408"/>
      <c r="J678" s="408"/>
      <c r="K678" s="408"/>
      <c r="L678" s="408"/>
      <c r="M678" s="118"/>
      <c r="N678" s="435"/>
      <c r="O678" s="435"/>
      <c r="P678" s="435"/>
      <c r="Q678" s="435"/>
      <c r="R678" s="435"/>
      <c r="S678" s="435"/>
      <c r="T678" s="435"/>
      <c r="U678" s="435"/>
      <c r="V678" s="435"/>
      <c r="W678" s="463"/>
      <c r="X678" s="435"/>
      <c r="Y678" s="435"/>
      <c r="Z678" s="435"/>
      <c r="AA678" s="435"/>
      <c r="AB678" s="435"/>
      <c r="AC678" s="408"/>
      <c r="AD678" s="4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</row>
    <row r="679" spans="1:46" ht="15.75" customHeight="1">
      <c r="A679" s="110"/>
      <c r="B679" s="110"/>
      <c r="C679" s="110"/>
      <c r="D679" s="118"/>
      <c r="E679" s="118"/>
      <c r="F679" s="118"/>
      <c r="G679" s="408"/>
      <c r="H679" s="408"/>
      <c r="I679" s="408"/>
      <c r="J679" s="408"/>
      <c r="K679" s="408"/>
      <c r="L679" s="408"/>
      <c r="M679" s="118"/>
      <c r="N679" s="435"/>
      <c r="O679" s="435"/>
      <c r="P679" s="435"/>
      <c r="Q679" s="435"/>
      <c r="R679" s="435"/>
      <c r="S679" s="435"/>
      <c r="T679" s="435"/>
      <c r="U679" s="435"/>
      <c r="V679" s="435"/>
      <c r="W679" s="463"/>
      <c r="X679" s="435"/>
      <c r="Y679" s="435"/>
      <c r="Z679" s="435"/>
      <c r="AA679" s="435"/>
      <c r="AB679" s="435"/>
      <c r="AC679" s="408"/>
      <c r="AD679" s="4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</row>
    <row r="680" spans="1:46" ht="15.75" customHeight="1">
      <c r="A680" s="110"/>
      <c r="B680" s="110"/>
      <c r="C680" s="110"/>
      <c r="D680" s="118"/>
      <c r="E680" s="118"/>
      <c r="F680" s="118"/>
      <c r="G680" s="408"/>
      <c r="H680" s="408"/>
      <c r="I680" s="408"/>
      <c r="J680" s="408"/>
      <c r="K680" s="408"/>
      <c r="L680" s="408"/>
      <c r="M680" s="118"/>
      <c r="N680" s="435"/>
      <c r="O680" s="435"/>
      <c r="P680" s="435"/>
      <c r="Q680" s="435"/>
      <c r="R680" s="435"/>
      <c r="S680" s="435"/>
      <c r="T680" s="435"/>
      <c r="U680" s="435"/>
      <c r="V680" s="435"/>
      <c r="W680" s="463"/>
      <c r="X680" s="435"/>
      <c r="Y680" s="435"/>
      <c r="Z680" s="435"/>
      <c r="AA680" s="435"/>
      <c r="AB680" s="435"/>
      <c r="AC680" s="408"/>
      <c r="AD680" s="4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</row>
    <row r="681" spans="1:46" ht="15.75" customHeight="1">
      <c r="A681" s="110"/>
      <c r="B681" s="110"/>
      <c r="C681" s="110"/>
      <c r="D681" s="118"/>
      <c r="E681" s="118"/>
      <c r="F681" s="118"/>
      <c r="G681" s="408"/>
      <c r="H681" s="408"/>
      <c r="I681" s="408"/>
      <c r="J681" s="408"/>
      <c r="K681" s="408"/>
      <c r="L681" s="408"/>
      <c r="M681" s="118"/>
      <c r="N681" s="435"/>
      <c r="O681" s="435"/>
      <c r="P681" s="435"/>
      <c r="Q681" s="435"/>
      <c r="R681" s="435"/>
      <c r="S681" s="435"/>
      <c r="T681" s="435"/>
      <c r="U681" s="435"/>
      <c r="V681" s="435"/>
      <c r="W681" s="463"/>
      <c r="X681" s="435"/>
      <c r="Y681" s="435"/>
      <c r="Z681" s="435"/>
      <c r="AA681" s="435"/>
      <c r="AB681" s="435"/>
      <c r="AC681" s="408"/>
      <c r="AD681" s="4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</row>
    <row r="682" spans="1:46" ht="15.75" customHeight="1">
      <c r="A682" s="110"/>
      <c r="B682" s="110"/>
      <c r="C682" s="110"/>
      <c r="D682" s="118"/>
      <c r="E682" s="118"/>
      <c r="F682" s="118"/>
      <c r="G682" s="408"/>
      <c r="H682" s="408"/>
      <c r="I682" s="408"/>
      <c r="J682" s="408"/>
      <c r="K682" s="408"/>
      <c r="L682" s="408"/>
      <c r="M682" s="118"/>
      <c r="N682" s="435"/>
      <c r="O682" s="435"/>
      <c r="P682" s="435"/>
      <c r="Q682" s="435"/>
      <c r="R682" s="435"/>
      <c r="S682" s="435"/>
      <c r="T682" s="435"/>
      <c r="U682" s="435"/>
      <c r="V682" s="435"/>
      <c r="W682" s="463"/>
      <c r="X682" s="435"/>
      <c r="Y682" s="435"/>
      <c r="Z682" s="435"/>
      <c r="AA682" s="435"/>
      <c r="AB682" s="435"/>
      <c r="AC682" s="408"/>
      <c r="AD682" s="4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</row>
    <row r="683" spans="1:46" ht="15.75" customHeight="1">
      <c r="A683" s="110"/>
      <c r="B683" s="110"/>
      <c r="C683" s="110"/>
      <c r="D683" s="118"/>
      <c r="E683" s="118"/>
      <c r="F683" s="118"/>
      <c r="G683" s="408"/>
      <c r="H683" s="408"/>
      <c r="I683" s="408"/>
      <c r="J683" s="408"/>
      <c r="K683" s="408"/>
      <c r="L683" s="408"/>
      <c r="M683" s="118"/>
      <c r="N683" s="435"/>
      <c r="O683" s="435"/>
      <c r="P683" s="435"/>
      <c r="Q683" s="435"/>
      <c r="R683" s="435"/>
      <c r="S683" s="435"/>
      <c r="T683" s="435"/>
      <c r="U683" s="435"/>
      <c r="V683" s="435"/>
      <c r="W683" s="463"/>
      <c r="X683" s="435"/>
      <c r="Y683" s="435"/>
      <c r="Z683" s="435"/>
      <c r="AA683" s="435"/>
      <c r="AB683" s="435"/>
      <c r="AC683" s="408"/>
      <c r="AD683" s="4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</row>
    <row r="684" spans="1:46" ht="15.75" customHeight="1">
      <c r="A684" s="110"/>
      <c r="B684" s="110"/>
      <c r="C684" s="110"/>
      <c r="D684" s="118"/>
      <c r="E684" s="118"/>
      <c r="F684" s="118"/>
      <c r="G684" s="408"/>
      <c r="H684" s="408"/>
      <c r="I684" s="408"/>
      <c r="J684" s="408"/>
      <c r="K684" s="408"/>
      <c r="L684" s="408"/>
      <c r="M684" s="118"/>
      <c r="N684" s="435"/>
      <c r="O684" s="435"/>
      <c r="P684" s="435"/>
      <c r="Q684" s="435"/>
      <c r="R684" s="435"/>
      <c r="S684" s="435"/>
      <c r="T684" s="435"/>
      <c r="U684" s="435"/>
      <c r="V684" s="435"/>
      <c r="W684" s="463"/>
      <c r="X684" s="435"/>
      <c r="Y684" s="435"/>
      <c r="Z684" s="435"/>
      <c r="AA684" s="435"/>
      <c r="AB684" s="435"/>
      <c r="AC684" s="408"/>
      <c r="AD684" s="4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</row>
    <row r="685" spans="1:46" ht="15.75" customHeight="1">
      <c r="A685" s="110"/>
      <c r="B685" s="110"/>
      <c r="C685" s="110"/>
      <c r="D685" s="118"/>
      <c r="E685" s="118"/>
      <c r="F685" s="118"/>
      <c r="G685" s="408"/>
      <c r="H685" s="408"/>
      <c r="I685" s="408"/>
      <c r="J685" s="408"/>
      <c r="K685" s="408"/>
      <c r="L685" s="408"/>
      <c r="M685" s="118"/>
      <c r="N685" s="435"/>
      <c r="O685" s="435"/>
      <c r="P685" s="435"/>
      <c r="Q685" s="435"/>
      <c r="R685" s="435"/>
      <c r="S685" s="435"/>
      <c r="T685" s="435"/>
      <c r="U685" s="435"/>
      <c r="V685" s="435"/>
      <c r="W685" s="463"/>
      <c r="X685" s="435"/>
      <c r="Y685" s="435"/>
      <c r="Z685" s="435"/>
      <c r="AA685" s="435"/>
      <c r="AB685" s="435"/>
      <c r="AC685" s="408"/>
      <c r="AD685" s="4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</row>
    <row r="686" spans="1:46" ht="15.75" customHeight="1">
      <c r="A686" s="110"/>
      <c r="B686" s="110"/>
      <c r="C686" s="110"/>
      <c r="D686" s="118"/>
      <c r="E686" s="118"/>
      <c r="F686" s="118"/>
      <c r="G686" s="408"/>
      <c r="H686" s="408"/>
      <c r="I686" s="408"/>
      <c r="J686" s="408"/>
      <c r="K686" s="408"/>
      <c r="L686" s="408"/>
      <c r="M686" s="118"/>
      <c r="N686" s="435"/>
      <c r="O686" s="435"/>
      <c r="P686" s="435"/>
      <c r="Q686" s="435"/>
      <c r="R686" s="435"/>
      <c r="S686" s="435"/>
      <c r="T686" s="435"/>
      <c r="U686" s="435"/>
      <c r="V686" s="435"/>
      <c r="W686" s="463"/>
      <c r="X686" s="435"/>
      <c r="Y686" s="435"/>
      <c r="Z686" s="435"/>
      <c r="AA686" s="435"/>
      <c r="AB686" s="435"/>
      <c r="AC686" s="408"/>
      <c r="AD686" s="4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</row>
    <row r="687" spans="1:46" ht="15.75" customHeight="1">
      <c r="A687" s="110"/>
      <c r="B687" s="110"/>
      <c r="C687" s="110"/>
      <c r="D687" s="118"/>
      <c r="E687" s="118"/>
      <c r="F687" s="118"/>
      <c r="G687" s="408"/>
      <c r="H687" s="408"/>
      <c r="I687" s="408"/>
      <c r="J687" s="408"/>
      <c r="K687" s="408"/>
      <c r="L687" s="408"/>
      <c r="M687" s="118"/>
      <c r="N687" s="435"/>
      <c r="O687" s="435"/>
      <c r="P687" s="435"/>
      <c r="Q687" s="435"/>
      <c r="R687" s="435"/>
      <c r="S687" s="435"/>
      <c r="T687" s="435"/>
      <c r="U687" s="435"/>
      <c r="V687" s="435"/>
      <c r="W687" s="463"/>
      <c r="X687" s="435"/>
      <c r="Y687" s="435"/>
      <c r="Z687" s="435"/>
      <c r="AA687" s="435"/>
      <c r="AB687" s="435"/>
      <c r="AC687" s="408"/>
      <c r="AD687" s="4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</row>
    <row r="688" spans="1:46" ht="15.75" customHeight="1">
      <c r="A688" s="110"/>
      <c r="B688" s="110"/>
      <c r="C688" s="110"/>
      <c r="D688" s="118"/>
      <c r="E688" s="118"/>
      <c r="F688" s="118"/>
      <c r="G688" s="408"/>
      <c r="H688" s="408"/>
      <c r="I688" s="408"/>
      <c r="J688" s="408"/>
      <c r="K688" s="408"/>
      <c r="L688" s="408"/>
      <c r="M688" s="118"/>
      <c r="N688" s="435"/>
      <c r="O688" s="435"/>
      <c r="P688" s="435"/>
      <c r="Q688" s="435"/>
      <c r="R688" s="435"/>
      <c r="S688" s="435"/>
      <c r="T688" s="435"/>
      <c r="U688" s="435"/>
      <c r="V688" s="435"/>
      <c r="W688" s="463"/>
      <c r="X688" s="435"/>
      <c r="Y688" s="435"/>
      <c r="Z688" s="435"/>
      <c r="AA688" s="435"/>
      <c r="AB688" s="435"/>
      <c r="AC688" s="408"/>
      <c r="AD688" s="4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</row>
    <row r="689" spans="1:46" ht="15.75" customHeight="1">
      <c r="A689" s="110"/>
      <c r="B689" s="110"/>
      <c r="C689" s="110"/>
      <c r="D689" s="118"/>
      <c r="E689" s="118"/>
      <c r="F689" s="118"/>
      <c r="G689" s="408"/>
      <c r="H689" s="408"/>
      <c r="I689" s="408"/>
      <c r="J689" s="408"/>
      <c r="K689" s="408"/>
      <c r="L689" s="408"/>
      <c r="M689" s="118"/>
      <c r="N689" s="435"/>
      <c r="O689" s="435"/>
      <c r="P689" s="435"/>
      <c r="Q689" s="435"/>
      <c r="R689" s="435"/>
      <c r="S689" s="435"/>
      <c r="T689" s="435"/>
      <c r="U689" s="435"/>
      <c r="V689" s="435"/>
      <c r="W689" s="463"/>
      <c r="X689" s="435"/>
      <c r="Y689" s="435"/>
      <c r="Z689" s="435"/>
      <c r="AA689" s="435"/>
      <c r="AB689" s="435"/>
      <c r="AC689" s="408"/>
      <c r="AD689" s="4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</row>
    <row r="690" spans="1:46" ht="15.75" customHeight="1">
      <c r="A690" s="110"/>
      <c r="B690" s="110"/>
      <c r="C690" s="110"/>
      <c r="D690" s="118"/>
      <c r="E690" s="118"/>
      <c r="F690" s="118"/>
      <c r="G690" s="408"/>
      <c r="H690" s="408"/>
      <c r="I690" s="408"/>
      <c r="J690" s="408"/>
      <c r="K690" s="408"/>
      <c r="L690" s="408"/>
      <c r="M690" s="118"/>
      <c r="N690" s="435"/>
      <c r="O690" s="435"/>
      <c r="P690" s="435"/>
      <c r="Q690" s="435"/>
      <c r="R690" s="435"/>
      <c r="S690" s="435"/>
      <c r="T690" s="435"/>
      <c r="U690" s="435"/>
      <c r="V690" s="435"/>
      <c r="W690" s="463"/>
      <c r="X690" s="435"/>
      <c r="Y690" s="435"/>
      <c r="Z690" s="435"/>
      <c r="AA690" s="435"/>
      <c r="AB690" s="435"/>
      <c r="AC690" s="408"/>
      <c r="AD690" s="4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</row>
    <row r="691" spans="1:46" ht="15.75" customHeight="1">
      <c r="A691" s="110"/>
      <c r="B691" s="110"/>
      <c r="C691" s="110"/>
      <c r="D691" s="118"/>
      <c r="E691" s="118"/>
      <c r="F691" s="118"/>
      <c r="G691" s="408"/>
      <c r="H691" s="408"/>
      <c r="I691" s="408"/>
      <c r="J691" s="408"/>
      <c r="K691" s="408"/>
      <c r="L691" s="408"/>
      <c r="M691" s="118"/>
      <c r="N691" s="435"/>
      <c r="O691" s="435"/>
      <c r="P691" s="435"/>
      <c r="Q691" s="435"/>
      <c r="R691" s="435"/>
      <c r="S691" s="435"/>
      <c r="T691" s="435"/>
      <c r="U691" s="435"/>
      <c r="V691" s="435"/>
      <c r="W691" s="463"/>
      <c r="X691" s="435"/>
      <c r="Y691" s="435"/>
      <c r="Z691" s="435"/>
      <c r="AA691" s="435"/>
      <c r="AB691" s="435"/>
      <c r="AC691" s="408"/>
      <c r="AD691" s="4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</row>
    <row r="692" spans="1:46" ht="15.75" customHeight="1">
      <c r="A692" s="110"/>
      <c r="B692" s="110"/>
      <c r="C692" s="110"/>
      <c r="D692" s="118"/>
      <c r="E692" s="118"/>
      <c r="F692" s="118"/>
      <c r="G692" s="408"/>
      <c r="H692" s="408"/>
      <c r="I692" s="408"/>
      <c r="J692" s="408"/>
      <c r="K692" s="408"/>
      <c r="L692" s="408"/>
      <c r="M692" s="118"/>
      <c r="N692" s="435"/>
      <c r="O692" s="435"/>
      <c r="P692" s="435"/>
      <c r="Q692" s="435"/>
      <c r="R692" s="435"/>
      <c r="S692" s="435"/>
      <c r="T692" s="435"/>
      <c r="U692" s="435"/>
      <c r="V692" s="435"/>
      <c r="W692" s="463"/>
      <c r="X692" s="435"/>
      <c r="Y692" s="435"/>
      <c r="Z692" s="435"/>
      <c r="AA692" s="435"/>
      <c r="AB692" s="435"/>
      <c r="AC692" s="408"/>
      <c r="AD692" s="4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</row>
    <row r="693" spans="1:46" ht="15.75" customHeight="1">
      <c r="A693" s="110"/>
      <c r="B693" s="110"/>
      <c r="C693" s="110"/>
      <c r="D693" s="118"/>
      <c r="E693" s="118"/>
      <c r="F693" s="118"/>
      <c r="G693" s="408"/>
      <c r="H693" s="408"/>
      <c r="I693" s="408"/>
      <c r="J693" s="408"/>
      <c r="K693" s="408"/>
      <c r="L693" s="408"/>
      <c r="M693" s="118"/>
      <c r="N693" s="435"/>
      <c r="O693" s="435"/>
      <c r="P693" s="435"/>
      <c r="Q693" s="435"/>
      <c r="R693" s="435"/>
      <c r="S693" s="435"/>
      <c r="T693" s="435"/>
      <c r="U693" s="435"/>
      <c r="V693" s="435"/>
      <c r="W693" s="463"/>
      <c r="X693" s="435"/>
      <c r="Y693" s="435"/>
      <c r="Z693" s="435"/>
      <c r="AA693" s="435"/>
      <c r="AB693" s="435"/>
      <c r="AC693" s="408"/>
      <c r="AD693" s="4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</row>
    <row r="694" spans="1:46" ht="15.75" customHeight="1">
      <c r="A694" s="110"/>
      <c r="B694" s="110"/>
      <c r="C694" s="110"/>
      <c r="D694" s="118"/>
      <c r="E694" s="118"/>
      <c r="F694" s="118"/>
      <c r="G694" s="408"/>
      <c r="H694" s="408"/>
      <c r="I694" s="408"/>
      <c r="J694" s="408"/>
      <c r="K694" s="408"/>
      <c r="L694" s="408"/>
      <c r="M694" s="118"/>
      <c r="N694" s="435"/>
      <c r="O694" s="435"/>
      <c r="P694" s="435"/>
      <c r="Q694" s="435"/>
      <c r="R694" s="435"/>
      <c r="S694" s="435"/>
      <c r="T694" s="435"/>
      <c r="U694" s="435"/>
      <c r="V694" s="435"/>
      <c r="W694" s="463"/>
      <c r="X694" s="435"/>
      <c r="Y694" s="435"/>
      <c r="Z694" s="435"/>
      <c r="AA694" s="435"/>
      <c r="AB694" s="435"/>
      <c r="AC694" s="408"/>
      <c r="AD694" s="4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</row>
    <row r="695" spans="1:46" ht="15.75" customHeight="1">
      <c r="A695" s="110"/>
      <c r="B695" s="110"/>
      <c r="C695" s="110"/>
      <c r="D695" s="118"/>
      <c r="E695" s="118"/>
      <c r="F695" s="118"/>
      <c r="G695" s="408"/>
      <c r="H695" s="408"/>
      <c r="I695" s="408"/>
      <c r="J695" s="408"/>
      <c r="K695" s="408"/>
      <c r="L695" s="408"/>
      <c r="M695" s="118"/>
      <c r="N695" s="435"/>
      <c r="O695" s="435"/>
      <c r="P695" s="435"/>
      <c r="Q695" s="435"/>
      <c r="R695" s="435"/>
      <c r="S695" s="435"/>
      <c r="T695" s="435"/>
      <c r="U695" s="435"/>
      <c r="V695" s="435"/>
      <c r="W695" s="463"/>
      <c r="X695" s="435"/>
      <c r="Y695" s="435"/>
      <c r="Z695" s="435"/>
      <c r="AA695" s="435"/>
      <c r="AB695" s="435"/>
      <c r="AC695" s="408"/>
      <c r="AD695" s="4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</row>
    <row r="696" spans="1:46" ht="15.75" customHeight="1">
      <c r="A696" s="110"/>
      <c r="B696" s="110"/>
      <c r="C696" s="110"/>
      <c r="D696" s="118"/>
      <c r="E696" s="118"/>
      <c r="F696" s="118"/>
      <c r="G696" s="408"/>
      <c r="H696" s="408"/>
      <c r="I696" s="408"/>
      <c r="J696" s="408"/>
      <c r="K696" s="408"/>
      <c r="L696" s="408"/>
      <c r="M696" s="118"/>
      <c r="N696" s="435"/>
      <c r="O696" s="435"/>
      <c r="P696" s="435"/>
      <c r="Q696" s="435"/>
      <c r="R696" s="435"/>
      <c r="S696" s="435"/>
      <c r="T696" s="435"/>
      <c r="U696" s="435"/>
      <c r="V696" s="435"/>
      <c r="W696" s="463"/>
      <c r="X696" s="435"/>
      <c r="Y696" s="435"/>
      <c r="Z696" s="435"/>
      <c r="AA696" s="435"/>
      <c r="AB696" s="435"/>
      <c r="AC696" s="408"/>
      <c r="AD696" s="4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</row>
    <row r="697" spans="1:46" ht="15.75" customHeight="1">
      <c r="A697" s="110"/>
      <c r="B697" s="110"/>
      <c r="C697" s="110"/>
      <c r="D697" s="118"/>
      <c r="E697" s="118"/>
      <c r="F697" s="118"/>
      <c r="G697" s="408"/>
      <c r="H697" s="408"/>
      <c r="I697" s="408"/>
      <c r="J697" s="408"/>
      <c r="K697" s="408"/>
      <c r="L697" s="408"/>
      <c r="M697" s="118"/>
      <c r="N697" s="435"/>
      <c r="O697" s="435"/>
      <c r="P697" s="435"/>
      <c r="Q697" s="435"/>
      <c r="R697" s="435"/>
      <c r="S697" s="435"/>
      <c r="T697" s="435"/>
      <c r="U697" s="435"/>
      <c r="V697" s="435"/>
      <c r="W697" s="463"/>
      <c r="X697" s="435"/>
      <c r="Y697" s="435"/>
      <c r="Z697" s="435"/>
      <c r="AA697" s="435"/>
      <c r="AB697" s="435"/>
      <c r="AC697" s="408"/>
      <c r="AD697" s="4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</row>
    <row r="698" spans="1:46" ht="15.75" customHeight="1">
      <c r="A698" s="110"/>
      <c r="B698" s="110"/>
      <c r="C698" s="110"/>
      <c r="D698" s="118"/>
      <c r="E698" s="118"/>
      <c r="F698" s="118"/>
      <c r="G698" s="408"/>
      <c r="H698" s="408"/>
      <c r="I698" s="408"/>
      <c r="J698" s="408"/>
      <c r="K698" s="408"/>
      <c r="L698" s="408"/>
      <c r="M698" s="118"/>
      <c r="N698" s="435"/>
      <c r="O698" s="435"/>
      <c r="P698" s="435"/>
      <c r="Q698" s="435"/>
      <c r="R698" s="435"/>
      <c r="S698" s="435"/>
      <c r="T698" s="435"/>
      <c r="U698" s="435"/>
      <c r="V698" s="435"/>
      <c r="W698" s="463"/>
      <c r="X698" s="435"/>
      <c r="Y698" s="435"/>
      <c r="Z698" s="435"/>
      <c r="AA698" s="435"/>
      <c r="AB698" s="435"/>
      <c r="AC698" s="408"/>
      <c r="AD698" s="4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</row>
    <row r="699" spans="1:46" ht="15.75" customHeight="1">
      <c r="A699" s="110"/>
      <c r="B699" s="110"/>
      <c r="C699" s="110"/>
      <c r="D699" s="118"/>
      <c r="E699" s="118"/>
      <c r="F699" s="118"/>
      <c r="G699" s="408"/>
      <c r="H699" s="408"/>
      <c r="I699" s="408"/>
      <c r="J699" s="408"/>
      <c r="K699" s="408"/>
      <c r="L699" s="408"/>
      <c r="M699" s="118"/>
      <c r="N699" s="435"/>
      <c r="O699" s="435"/>
      <c r="P699" s="435"/>
      <c r="Q699" s="435"/>
      <c r="R699" s="435"/>
      <c r="S699" s="435"/>
      <c r="T699" s="435"/>
      <c r="U699" s="435"/>
      <c r="V699" s="435"/>
      <c r="W699" s="463"/>
      <c r="X699" s="435"/>
      <c r="Y699" s="435"/>
      <c r="Z699" s="435"/>
      <c r="AA699" s="435"/>
      <c r="AB699" s="435"/>
      <c r="AC699" s="408"/>
      <c r="AD699" s="4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</row>
    <row r="700" spans="1:46" ht="15.75" customHeight="1">
      <c r="A700" s="110"/>
      <c r="B700" s="110"/>
      <c r="C700" s="110"/>
      <c r="D700" s="118"/>
      <c r="E700" s="118"/>
      <c r="F700" s="118"/>
      <c r="G700" s="408"/>
      <c r="H700" s="408"/>
      <c r="I700" s="408"/>
      <c r="J700" s="408"/>
      <c r="K700" s="408"/>
      <c r="L700" s="408"/>
      <c r="M700" s="118"/>
      <c r="N700" s="435"/>
      <c r="O700" s="435"/>
      <c r="P700" s="435"/>
      <c r="Q700" s="435"/>
      <c r="R700" s="435"/>
      <c r="S700" s="435"/>
      <c r="T700" s="435"/>
      <c r="U700" s="435"/>
      <c r="V700" s="435"/>
      <c r="W700" s="463"/>
      <c r="X700" s="435"/>
      <c r="Y700" s="435"/>
      <c r="Z700" s="435"/>
      <c r="AA700" s="435"/>
      <c r="AB700" s="435"/>
      <c r="AC700" s="408"/>
      <c r="AD700" s="4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</row>
    <row r="701" spans="1:46" ht="15.75" customHeight="1">
      <c r="A701" s="110"/>
      <c r="B701" s="110"/>
      <c r="C701" s="110"/>
      <c r="D701" s="118"/>
      <c r="E701" s="118"/>
      <c r="F701" s="118"/>
      <c r="G701" s="408"/>
      <c r="H701" s="408"/>
      <c r="I701" s="408"/>
      <c r="J701" s="408"/>
      <c r="K701" s="408"/>
      <c r="L701" s="408"/>
      <c r="M701" s="118"/>
      <c r="N701" s="435"/>
      <c r="O701" s="435"/>
      <c r="P701" s="435"/>
      <c r="Q701" s="435"/>
      <c r="R701" s="435"/>
      <c r="S701" s="435"/>
      <c r="T701" s="435"/>
      <c r="U701" s="435"/>
      <c r="V701" s="435"/>
      <c r="W701" s="463"/>
      <c r="X701" s="435"/>
      <c r="Y701" s="435"/>
      <c r="Z701" s="435"/>
      <c r="AA701" s="435"/>
      <c r="AB701" s="435"/>
      <c r="AC701" s="408"/>
      <c r="AD701" s="4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</row>
    <row r="702" spans="1:46" ht="15.75" customHeight="1">
      <c r="A702" s="110"/>
      <c r="B702" s="110"/>
      <c r="C702" s="110"/>
      <c r="D702" s="118"/>
      <c r="E702" s="118"/>
      <c r="F702" s="118"/>
      <c r="G702" s="408"/>
      <c r="H702" s="408"/>
      <c r="I702" s="408"/>
      <c r="J702" s="408"/>
      <c r="K702" s="408"/>
      <c r="L702" s="408"/>
      <c r="M702" s="118"/>
      <c r="N702" s="435"/>
      <c r="O702" s="435"/>
      <c r="P702" s="435"/>
      <c r="Q702" s="435"/>
      <c r="R702" s="435"/>
      <c r="S702" s="435"/>
      <c r="T702" s="435"/>
      <c r="U702" s="435"/>
      <c r="V702" s="435"/>
      <c r="W702" s="463"/>
      <c r="X702" s="435"/>
      <c r="Y702" s="435"/>
      <c r="Z702" s="435"/>
      <c r="AA702" s="435"/>
      <c r="AB702" s="435"/>
      <c r="AC702" s="408"/>
      <c r="AD702" s="4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</row>
    <row r="703" spans="1:46" ht="15.75" customHeight="1">
      <c r="A703" s="110"/>
      <c r="B703" s="110"/>
      <c r="C703" s="110"/>
      <c r="D703" s="118"/>
      <c r="E703" s="118"/>
      <c r="F703" s="118"/>
      <c r="G703" s="408"/>
      <c r="H703" s="408"/>
      <c r="I703" s="408"/>
      <c r="J703" s="408"/>
      <c r="K703" s="408"/>
      <c r="L703" s="408"/>
      <c r="M703" s="118"/>
      <c r="N703" s="435"/>
      <c r="O703" s="435"/>
      <c r="P703" s="435"/>
      <c r="Q703" s="435"/>
      <c r="R703" s="435"/>
      <c r="S703" s="435"/>
      <c r="T703" s="435"/>
      <c r="U703" s="435"/>
      <c r="V703" s="435"/>
      <c r="W703" s="463"/>
      <c r="X703" s="435"/>
      <c r="Y703" s="435"/>
      <c r="Z703" s="435"/>
      <c r="AA703" s="435"/>
      <c r="AB703" s="435"/>
      <c r="AC703" s="408"/>
      <c r="AD703" s="4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</row>
    <row r="704" spans="1:46" ht="15.75" customHeight="1">
      <c r="A704" s="110"/>
      <c r="B704" s="110"/>
      <c r="C704" s="110"/>
      <c r="D704" s="118"/>
      <c r="E704" s="118"/>
      <c r="F704" s="118"/>
      <c r="G704" s="408"/>
      <c r="H704" s="408"/>
      <c r="I704" s="408"/>
      <c r="J704" s="408"/>
      <c r="K704" s="408"/>
      <c r="L704" s="408"/>
      <c r="M704" s="118"/>
      <c r="N704" s="435"/>
      <c r="O704" s="435"/>
      <c r="P704" s="435"/>
      <c r="Q704" s="435"/>
      <c r="R704" s="435"/>
      <c r="S704" s="435"/>
      <c r="T704" s="435"/>
      <c r="U704" s="435"/>
      <c r="V704" s="435"/>
      <c r="W704" s="463"/>
      <c r="X704" s="435"/>
      <c r="Y704" s="435"/>
      <c r="Z704" s="435"/>
      <c r="AA704" s="435"/>
      <c r="AB704" s="435"/>
      <c r="AC704" s="408"/>
      <c r="AD704" s="4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</row>
    <row r="705" spans="1:46" ht="15.75" customHeight="1">
      <c r="A705" s="110"/>
      <c r="B705" s="110"/>
      <c r="C705" s="110"/>
      <c r="D705" s="118"/>
      <c r="E705" s="118"/>
      <c r="F705" s="118"/>
      <c r="G705" s="408"/>
      <c r="H705" s="408"/>
      <c r="I705" s="408"/>
      <c r="J705" s="408"/>
      <c r="K705" s="408"/>
      <c r="L705" s="408"/>
      <c r="M705" s="118"/>
      <c r="N705" s="435"/>
      <c r="O705" s="435"/>
      <c r="P705" s="435"/>
      <c r="Q705" s="435"/>
      <c r="R705" s="435"/>
      <c r="S705" s="435"/>
      <c r="T705" s="435"/>
      <c r="U705" s="435"/>
      <c r="V705" s="435"/>
      <c r="W705" s="463"/>
      <c r="X705" s="435"/>
      <c r="Y705" s="435"/>
      <c r="Z705" s="435"/>
      <c r="AA705" s="435"/>
      <c r="AB705" s="435"/>
      <c r="AC705" s="408"/>
      <c r="AD705" s="4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</row>
    <row r="706" spans="1:46" ht="15.75" customHeight="1">
      <c r="A706" s="110"/>
      <c r="B706" s="110"/>
      <c r="C706" s="110"/>
      <c r="D706" s="118"/>
      <c r="E706" s="118"/>
      <c r="F706" s="118"/>
      <c r="G706" s="408"/>
      <c r="H706" s="408"/>
      <c r="I706" s="408"/>
      <c r="J706" s="408"/>
      <c r="K706" s="408"/>
      <c r="L706" s="408"/>
      <c r="M706" s="118"/>
      <c r="N706" s="435"/>
      <c r="O706" s="435"/>
      <c r="P706" s="435"/>
      <c r="Q706" s="435"/>
      <c r="R706" s="435"/>
      <c r="S706" s="435"/>
      <c r="T706" s="435"/>
      <c r="U706" s="435"/>
      <c r="V706" s="435"/>
      <c r="W706" s="463"/>
      <c r="X706" s="435"/>
      <c r="Y706" s="435"/>
      <c r="Z706" s="435"/>
      <c r="AA706" s="435"/>
      <c r="AB706" s="435"/>
      <c r="AC706" s="408"/>
      <c r="AD706" s="4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</row>
    <row r="707" spans="1:46" ht="15.75" customHeight="1">
      <c r="A707" s="110"/>
      <c r="B707" s="110"/>
      <c r="C707" s="110"/>
      <c r="D707" s="118"/>
      <c r="E707" s="118"/>
      <c r="F707" s="118"/>
      <c r="G707" s="408"/>
      <c r="H707" s="408"/>
      <c r="I707" s="408"/>
      <c r="J707" s="408"/>
      <c r="K707" s="408"/>
      <c r="L707" s="408"/>
      <c r="M707" s="118"/>
      <c r="N707" s="435"/>
      <c r="O707" s="435"/>
      <c r="P707" s="435"/>
      <c r="Q707" s="435"/>
      <c r="R707" s="435"/>
      <c r="S707" s="435"/>
      <c r="T707" s="435"/>
      <c r="U707" s="435"/>
      <c r="V707" s="435"/>
      <c r="W707" s="463"/>
      <c r="X707" s="435"/>
      <c r="Y707" s="435"/>
      <c r="Z707" s="435"/>
      <c r="AA707" s="435"/>
      <c r="AB707" s="435"/>
      <c r="AC707" s="408"/>
      <c r="AD707" s="4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</row>
    <row r="708" spans="1:46" ht="15.75" customHeight="1">
      <c r="A708" s="110"/>
      <c r="B708" s="110"/>
      <c r="C708" s="110"/>
      <c r="D708" s="118"/>
      <c r="E708" s="118"/>
      <c r="F708" s="118"/>
      <c r="G708" s="408"/>
      <c r="H708" s="408"/>
      <c r="I708" s="408"/>
      <c r="J708" s="408"/>
      <c r="K708" s="408"/>
      <c r="L708" s="408"/>
      <c r="M708" s="118"/>
      <c r="N708" s="435"/>
      <c r="O708" s="435"/>
      <c r="P708" s="435"/>
      <c r="Q708" s="435"/>
      <c r="R708" s="435"/>
      <c r="S708" s="435"/>
      <c r="T708" s="435"/>
      <c r="U708" s="435"/>
      <c r="V708" s="435"/>
      <c r="W708" s="463"/>
      <c r="X708" s="435"/>
      <c r="Y708" s="435"/>
      <c r="Z708" s="435"/>
      <c r="AA708" s="435"/>
      <c r="AB708" s="435"/>
      <c r="AC708" s="408"/>
      <c r="AD708" s="4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</row>
    <row r="709" spans="1:46" ht="15.75" customHeight="1">
      <c r="A709" s="110"/>
      <c r="B709" s="110"/>
      <c r="C709" s="110"/>
      <c r="D709" s="118"/>
      <c r="E709" s="118"/>
      <c r="F709" s="118"/>
      <c r="G709" s="408"/>
      <c r="H709" s="408"/>
      <c r="I709" s="408"/>
      <c r="J709" s="408"/>
      <c r="K709" s="408"/>
      <c r="L709" s="408"/>
      <c r="M709" s="118"/>
      <c r="N709" s="435"/>
      <c r="O709" s="435"/>
      <c r="P709" s="435"/>
      <c r="Q709" s="435"/>
      <c r="R709" s="435"/>
      <c r="S709" s="435"/>
      <c r="T709" s="435"/>
      <c r="U709" s="435"/>
      <c r="V709" s="435"/>
      <c r="W709" s="463"/>
      <c r="X709" s="435"/>
      <c r="Y709" s="435"/>
      <c r="Z709" s="435"/>
      <c r="AA709" s="435"/>
      <c r="AB709" s="435"/>
      <c r="AC709" s="408"/>
      <c r="AD709" s="4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</row>
    <row r="710" spans="1:46" ht="15.75" customHeight="1">
      <c r="A710" s="110"/>
      <c r="B710" s="110"/>
      <c r="C710" s="110"/>
      <c r="D710" s="118"/>
      <c r="E710" s="118"/>
      <c r="F710" s="118"/>
      <c r="G710" s="408"/>
      <c r="H710" s="408"/>
      <c r="I710" s="408"/>
      <c r="J710" s="408"/>
      <c r="K710" s="408"/>
      <c r="L710" s="408"/>
      <c r="M710" s="118"/>
      <c r="N710" s="435"/>
      <c r="O710" s="435"/>
      <c r="P710" s="435"/>
      <c r="Q710" s="435"/>
      <c r="R710" s="435"/>
      <c r="S710" s="435"/>
      <c r="T710" s="435"/>
      <c r="U710" s="435"/>
      <c r="V710" s="435"/>
      <c r="W710" s="463"/>
      <c r="X710" s="435"/>
      <c r="Y710" s="435"/>
      <c r="Z710" s="435"/>
      <c r="AA710" s="435"/>
      <c r="AB710" s="435"/>
      <c r="AC710" s="408"/>
      <c r="AD710" s="4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</row>
    <row r="711" spans="1:46" ht="15.75" customHeight="1">
      <c r="A711" s="110"/>
      <c r="B711" s="110"/>
      <c r="C711" s="110"/>
      <c r="D711" s="118"/>
      <c r="E711" s="118"/>
      <c r="F711" s="118"/>
      <c r="G711" s="408"/>
      <c r="H711" s="408"/>
      <c r="I711" s="408"/>
      <c r="J711" s="408"/>
      <c r="K711" s="408"/>
      <c r="L711" s="408"/>
      <c r="M711" s="118"/>
      <c r="N711" s="435"/>
      <c r="O711" s="435"/>
      <c r="P711" s="435"/>
      <c r="Q711" s="435"/>
      <c r="R711" s="435"/>
      <c r="S711" s="435"/>
      <c r="T711" s="435"/>
      <c r="U711" s="435"/>
      <c r="V711" s="435"/>
      <c r="W711" s="463"/>
      <c r="X711" s="435"/>
      <c r="Y711" s="435"/>
      <c r="Z711" s="435"/>
      <c r="AA711" s="435"/>
      <c r="AB711" s="435"/>
      <c r="AC711" s="408"/>
      <c r="AD711" s="4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</row>
    <row r="712" spans="1:46" ht="15.75" customHeight="1">
      <c r="A712" s="110"/>
      <c r="B712" s="110"/>
      <c r="C712" s="110"/>
      <c r="D712" s="118"/>
      <c r="E712" s="118"/>
      <c r="F712" s="118"/>
      <c r="G712" s="408"/>
      <c r="H712" s="408"/>
      <c r="I712" s="408"/>
      <c r="J712" s="408"/>
      <c r="K712" s="408"/>
      <c r="L712" s="408"/>
      <c r="M712" s="118"/>
      <c r="N712" s="435"/>
      <c r="O712" s="435"/>
      <c r="P712" s="435"/>
      <c r="Q712" s="435"/>
      <c r="R712" s="435"/>
      <c r="S712" s="435"/>
      <c r="T712" s="435"/>
      <c r="U712" s="435"/>
      <c r="V712" s="435"/>
      <c r="W712" s="463"/>
      <c r="X712" s="435"/>
      <c r="Y712" s="435"/>
      <c r="Z712" s="435"/>
      <c r="AA712" s="435"/>
      <c r="AB712" s="435"/>
      <c r="AC712" s="408"/>
      <c r="AD712" s="4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</row>
    <row r="713" spans="1:46" ht="15.75" customHeight="1">
      <c r="A713" s="110"/>
      <c r="B713" s="110"/>
      <c r="C713" s="110"/>
      <c r="D713" s="118"/>
      <c r="E713" s="118"/>
      <c r="F713" s="118"/>
      <c r="G713" s="408"/>
      <c r="H713" s="408"/>
      <c r="I713" s="408"/>
      <c r="J713" s="408"/>
      <c r="K713" s="408"/>
      <c r="L713" s="408"/>
      <c r="M713" s="118"/>
      <c r="N713" s="435"/>
      <c r="O713" s="435"/>
      <c r="P713" s="435"/>
      <c r="Q713" s="435"/>
      <c r="R713" s="435"/>
      <c r="S713" s="435"/>
      <c r="T713" s="435"/>
      <c r="U713" s="435"/>
      <c r="V713" s="435"/>
      <c r="W713" s="463"/>
      <c r="X713" s="435"/>
      <c r="Y713" s="435"/>
      <c r="Z713" s="435"/>
      <c r="AA713" s="435"/>
      <c r="AB713" s="435"/>
      <c r="AC713" s="408"/>
      <c r="AD713" s="4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</row>
    <row r="714" spans="1:46" ht="15.75" customHeight="1">
      <c r="A714" s="110"/>
      <c r="B714" s="110"/>
      <c r="C714" s="110"/>
      <c r="D714" s="118"/>
      <c r="E714" s="118"/>
      <c r="F714" s="118"/>
      <c r="G714" s="408"/>
      <c r="H714" s="408"/>
      <c r="I714" s="408"/>
      <c r="J714" s="408"/>
      <c r="K714" s="408"/>
      <c r="L714" s="408"/>
      <c r="M714" s="118"/>
      <c r="N714" s="435"/>
      <c r="O714" s="435"/>
      <c r="P714" s="435"/>
      <c r="Q714" s="435"/>
      <c r="R714" s="435"/>
      <c r="S714" s="435"/>
      <c r="T714" s="435"/>
      <c r="U714" s="435"/>
      <c r="V714" s="435"/>
      <c r="W714" s="463"/>
      <c r="X714" s="435"/>
      <c r="Y714" s="435"/>
      <c r="Z714" s="435"/>
      <c r="AA714" s="435"/>
      <c r="AB714" s="435"/>
      <c r="AC714" s="408"/>
      <c r="AD714" s="4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</row>
    <row r="715" spans="1:46" ht="15.75" customHeight="1">
      <c r="A715" s="110"/>
      <c r="B715" s="110"/>
      <c r="C715" s="110"/>
      <c r="D715" s="118"/>
      <c r="E715" s="118"/>
      <c r="F715" s="118"/>
      <c r="G715" s="408"/>
      <c r="H715" s="408"/>
      <c r="I715" s="408"/>
      <c r="J715" s="408"/>
      <c r="K715" s="408"/>
      <c r="L715" s="408"/>
      <c r="M715" s="118"/>
      <c r="N715" s="435"/>
      <c r="O715" s="435"/>
      <c r="P715" s="435"/>
      <c r="Q715" s="435"/>
      <c r="R715" s="435"/>
      <c r="S715" s="435"/>
      <c r="T715" s="435"/>
      <c r="U715" s="435"/>
      <c r="V715" s="435"/>
      <c r="W715" s="463"/>
      <c r="X715" s="435"/>
      <c r="Y715" s="435"/>
      <c r="Z715" s="435"/>
      <c r="AA715" s="435"/>
      <c r="AB715" s="435"/>
      <c r="AC715" s="408"/>
      <c r="AD715" s="4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</row>
    <row r="716" spans="1:46" ht="15.75" customHeight="1">
      <c r="A716" s="110"/>
      <c r="B716" s="110"/>
      <c r="C716" s="110"/>
      <c r="D716" s="118"/>
      <c r="E716" s="118"/>
      <c r="F716" s="118"/>
      <c r="G716" s="408"/>
      <c r="H716" s="408"/>
      <c r="I716" s="408"/>
      <c r="J716" s="408"/>
      <c r="K716" s="408"/>
      <c r="L716" s="408"/>
      <c r="M716" s="118"/>
      <c r="N716" s="435"/>
      <c r="O716" s="435"/>
      <c r="P716" s="435"/>
      <c r="Q716" s="435"/>
      <c r="R716" s="435"/>
      <c r="S716" s="435"/>
      <c r="T716" s="435"/>
      <c r="U716" s="435"/>
      <c r="V716" s="435"/>
      <c r="W716" s="463"/>
      <c r="X716" s="435"/>
      <c r="Y716" s="435"/>
      <c r="Z716" s="435"/>
      <c r="AA716" s="435"/>
      <c r="AB716" s="435"/>
      <c r="AC716" s="408"/>
      <c r="AD716" s="4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</row>
    <row r="717" spans="1:46" ht="15.75" customHeight="1">
      <c r="A717" s="110"/>
      <c r="B717" s="110"/>
      <c r="C717" s="110"/>
      <c r="D717" s="118"/>
      <c r="E717" s="118"/>
      <c r="F717" s="118"/>
      <c r="G717" s="408"/>
      <c r="H717" s="408"/>
      <c r="I717" s="408"/>
      <c r="J717" s="408"/>
      <c r="K717" s="408"/>
      <c r="L717" s="408"/>
      <c r="M717" s="118"/>
      <c r="N717" s="435"/>
      <c r="O717" s="435"/>
      <c r="P717" s="435"/>
      <c r="Q717" s="435"/>
      <c r="R717" s="435"/>
      <c r="S717" s="435"/>
      <c r="T717" s="435"/>
      <c r="U717" s="435"/>
      <c r="V717" s="435"/>
      <c r="W717" s="463"/>
      <c r="X717" s="435"/>
      <c r="Y717" s="435"/>
      <c r="Z717" s="435"/>
      <c r="AA717" s="435"/>
      <c r="AB717" s="435"/>
      <c r="AC717" s="408"/>
      <c r="AD717" s="4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</row>
    <row r="718" spans="1:46" ht="15.75" customHeight="1">
      <c r="A718" s="110"/>
      <c r="B718" s="110"/>
      <c r="C718" s="110"/>
      <c r="D718" s="118"/>
      <c r="E718" s="118"/>
      <c r="F718" s="118"/>
      <c r="G718" s="408"/>
      <c r="H718" s="408"/>
      <c r="I718" s="408"/>
      <c r="J718" s="408"/>
      <c r="K718" s="408"/>
      <c r="L718" s="408"/>
      <c r="M718" s="118"/>
      <c r="N718" s="435"/>
      <c r="O718" s="435"/>
      <c r="P718" s="435"/>
      <c r="Q718" s="435"/>
      <c r="R718" s="435"/>
      <c r="S718" s="435"/>
      <c r="T718" s="435"/>
      <c r="U718" s="435"/>
      <c r="V718" s="435"/>
      <c r="W718" s="463"/>
      <c r="X718" s="435"/>
      <c r="Y718" s="435"/>
      <c r="Z718" s="435"/>
      <c r="AA718" s="435"/>
      <c r="AB718" s="435"/>
      <c r="AC718" s="408"/>
      <c r="AD718" s="4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</row>
    <row r="719" spans="1:46" ht="15.75" customHeight="1">
      <c r="A719" s="110"/>
      <c r="B719" s="110"/>
      <c r="C719" s="110"/>
      <c r="D719" s="118"/>
      <c r="E719" s="118"/>
      <c r="F719" s="118"/>
      <c r="G719" s="408"/>
      <c r="H719" s="408"/>
      <c r="I719" s="408"/>
      <c r="J719" s="408"/>
      <c r="K719" s="408"/>
      <c r="L719" s="408"/>
      <c r="M719" s="118"/>
      <c r="N719" s="435"/>
      <c r="O719" s="435"/>
      <c r="P719" s="435"/>
      <c r="Q719" s="435"/>
      <c r="R719" s="435"/>
      <c r="S719" s="435"/>
      <c r="T719" s="435"/>
      <c r="U719" s="435"/>
      <c r="V719" s="435"/>
      <c r="W719" s="463"/>
      <c r="X719" s="435"/>
      <c r="Y719" s="435"/>
      <c r="Z719" s="435"/>
      <c r="AA719" s="435"/>
      <c r="AB719" s="435"/>
      <c r="AC719" s="408"/>
      <c r="AD719" s="4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</row>
    <row r="720" spans="1:46" ht="15.75" customHeight="1">
      <c r="A720" s="110"/>
      <c r="B720" s="110"/>
      <c r="C720" s="110"/>
      <c r="D720" s="118"/>
      <c r="E720" s="118"/>
      <c r="F720" s="118"/>
      <c r="G720" s="408"/>
      <c r="H720" s="408"/>
      <c r="I720" s="408"/>
      <c r="J720" s="408"/>
      <c r="K720" s="408"/>
      <c r="L720" s="408"/>
      <c r="M720" s="118"/>
      <c r="N720" s="435"/>
      <c r="O720" s="435"/>
      <c r="P720" s="435"/>
      <c r="Q720" s="435"/>
      <c r="R720" s="435"/>
      <c r="S720" s="435"/>
      <c r="T720" s="435"/>
      <c r="U720" s="435"/>
      <c r="V720" s="435"/>
      <c r="W720" s="463"/>
      <c r="X720" s="435"/>
      <c r="Y720" s="435"/>
      <c r="Z720" s="435"/>
      <c r="AA720" s="435"/>
      <c r="AB720" s="435"/>
      <c r="AC720" s="408"/>
      <c r="AD720" s="4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</row>
    <row r="721" spans="1:46" ht="15.75" customHeight="1">
      <c r="A721" s="110"/>
      <c r="B721" s="110"/>
      <c r="C721" s="110"/>
      <c r="D721" s="118"/>
      <c r="E721" s="118"/>
      <c r="F721" s="118"/>
      <c r="G721" s="408"/>
      <c r="H721" s="408"/>
      <c r="I721" s="408"/>
      <c r="J721" s="408"/>
      <c r="K721" s="408"/>
      <c r="L721" s="408"/>
      <c r="M721" s="118"/>
      <c r="N721" s="435"/>
      <c r="O721" s="435"/>
      <c r="P721" s="435"/>
      <c r="Q721" s="435"/>
      <c r="R721" s="435"/>
      <c r="S721" s="435"/>
      <c r="T721" s="435"/>
      <c r="U721" s="435"/>
      <c r="V721" s="435"/>
      <c r="W721" s="463"/>
      <c r="X721" s="435"/>
      <c r="Y721" s="435"/>
      <c r="Z721" s="435"/>
      <c r="AA721" s="435"/>
      <c r="AB721" s="435"/>
      <c r="AC721" s="408"/>
      <c r="AD721" s="4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</row>
    <row r="722" spans="1:46" ht="15.75" customHeight="1">
      <c r="A722" s="110"/>
      <c r="B722" s="110"/>
      <c r="C722" s="110"/>
      <c r="D722" s="118"/>
      <c r="E722" s="118"/>
      <c r="F722" s="118"/>
      <c r="G722" s="408"/>
      <c r="H722" s="408"/>
      <c r="I722" s="408"/>
      <c r="J722" s="408"/>
      <c r="K722" s="408"/>
      <c r="L722" s="408"/>
      <c r="M722" s="118"/>
      <c r="N722" s="435"/>
      <c r="O722" s="435"/>
      <c r="P722" s="435"/>
      <c r="Q722" s="435"/>
      <c r="R722" s="435"/>
      <c r="S722" s="435"/>
      <c r="T722" s="435"/>
      <c r="U722" s="435"/>
      <c r="V722" s="435"/>
      <c r="W722" s="463"/>
      <c r="X722" s="435"/>
      <c r="Y722" s="435"/>
      <c r="Z722" s="435"/>
      <c r="AA722" s="435"/>
      <c r="AB722" s="435"/>
      <c r="AC722" s="408"/>
      <c r="AD722" s="4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</row>
    <row r="723" spans="1:46" ht="15.75" customHeight="1">
      <c r="A723" s="110"/>
      <c r="B723" s="110"/>
      <c r="C723" s="110"/>
      <c r="D723" s="118"/>
      <c r="E723" s="118"/>
      <c r="F723" s="118"/>
      <c r="G723" s="408"/>
      <c r="H723" s="408"/>
      <c r="I723" s="408"/>
      <c r="J723" s="408"/>
      <c r="K723" s="408"/>
      <c r="L723" s="408"/>
      <c r="M723" s="118"/>
      <c r="N723" s="435"/>
      <c r="O723" s="435"/>
      <c r="P723" s="435"/>
      <c r="Q723" s="435"/>
      <c r="R723" s="435"/>
      <c r="S723" s="435"/>
      <c r="T723" s="435"/>
      <c r="U723" s="435"/>
      <c r="V723" s="435"/>
      <c r="W723" s="463"/>
      <c r="X723" s="435"/>
      <c r="Y723" s="435"/>
      <c r="Z723" s="435"/>
      <c r="AA723" s="435"/>
      <c r="AB723" s="435"/>
      <c r="AC723" s="408"/>
      <c r="AD723" s="4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</row>
    <row r="724" spans="1:46" ht="15.75" customHeight="1">
      <c r="A724" s="110"/>
      <c r="B724" s="110"/>
      <c r="C724" s="110"/>
      <c r="D724" s="118"/>
      <c r="E724" s="118"/>
      <c r="F724" s="118"/>
      <c r="G724" s="408"/>
      <c r="H724" s="408"/>
      <c r="I724" s="408"/>
      <c r="J724" s="408"/>
      <c r="K724" s="408"/>
      <c r="L724" s="408"/>
      <c r="M724" s="118"/>
      <c r="N724" s="435"/>
      <c r="O724" s="435"/>
      <c r="P724" s="435"/>
      <c r="Q724" s="435"/>
      <c r="R724" s="435"/>
      <c r="S724" s="435"/>
      <c r="T724" s="435"/>
      <c r="U724" s="435"/>
      <c r="V724" s="435"/>
      <c r="W724" s="463"/>
      <c r="X724" s="435"/>
      <c r="Y724" s="435"/>
      <c r="Z724" s="435"/>
      <c r="AA724" s="435"/>
      <c r="AB724" s="435"/>
      <c r="AC724" s="408"/>
      <c r="AD724" s="4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</row>
    <row r="725" spans="1:46" ht="15.75" customHeight="1">
      <c r="A725" s="110"/>
      <c r="B725" s="110"/>
      <c r="C725" s="110"/>
      <c r="D725" s="118"/>
      <c r="E725" s="118"/>
      <c r="F725" s="118"/>
      <c r="G725" s="408"/>
      <c r="H725" s="408"/>
      <c r="I725" s="408"/>
      <c r="J725" s="408"/>
      <c r="K725" s="408"/>
      <c r="L725" s="408"/>
      <c r="M725" s="118"/>
      <c r="N725" s="435"/>
      <c r="O725" s="435"/>
      <c r="P725" s="435"/>
      <c r="Q725" s="435"/>
      <c r="R725" s="435"/>
      <c r="S725" s="435"/>
      <c r="T725" s="435"/>
      <c r="U725" s="435"/>
      <c r="V725" s="435"/>
      <c r="W725" s="463"/>
      <c r="X725" s="435"/>
      <c r="Y725" s="435"/>
      <c r="Z725" s="435"/>
      <c r="AA725" s="435"/>
      <c r="AB725" s="435"/>
      <c r="AC725" s="408"/>
      <c r="AD725" s="4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</row>
    <row r="726" spans="1:46" ht="15.75" customHeight="1">
      <c r="A726" s="110"/>
      <c r="B726" s="110"/>
      <c r="C726" s="110"/>
      <c r="D726" s="118"/>
      <c r="E726" s="118"/>
      <c r="F726" s="118"/>
      <c r="G726" s="408"/>
      <c r="H726" s="408"/>
      <c r="I726" s="408"/>
      <c r="J726" s="408"/>
      <c r="K726" s="408"/>
      <c r="L726" s="408"/>
      <c r="M726" s="118"/>
      <c r="N726" s="435"/>
      <c r="O726" s="435"/>
      <c r="P726" s="435"/>
      <c r="Q726" s="435"/>
      <c r="R726" s="435"/>
      <c r="S726" s="435"/>
      <c r="T726" s="435"/>
      <c r="U726" s="435"/>
      <c r="V726" s="435"/>
      <c r="W726" s="463"/>
      <c r="X726" s="435"/>
      <c r="Y726" s="435"/>
      <c r="Z726" s="435"/>
      <c r="AA726" s="435"/>
      <c r="AB726" s="435"/>
      <c r="AC726" s="408"/>
      <c r="AD726" s="4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</row>
    <row r="727" spans="1:46" ht="15.75" customHeight="1">
      <c r="A727" s="110"/>
      <c r="B727" s="110"/>
      <c r="C727" s="110"/>
      <c r="D727" s="118"/>
      <c r="E727" s="118"/>
      <c r="F727" s="118"/>
      <c r="G727" s="408"/>
      <c r="H727" s="408"/>
      <c r="I727" s="408"/>
      <c r="J727" s="408"/>
      <c r="K727" s="408"/>
      <c r="L727" s="408"/>
      <c r="M727" s="118"/>
      <c r="N727" s="435"/>
      <c r="O727" s="435"/>
      <c r="P727" s="435"/>
      <c r="Q727" s="435"/>
      <c r="R727" s="435"/>
      <c r="S727" s="435"/>
      <c r="T727" s="435"/>
      <c r="U727" s="435"/>
      <c r="V727" s="435"/>
      <c r="W727" s="463"/>
      <c r="X727" s="435"/>
      <c r="Y727" s="435"/>
      <c r="Z727" s="435"/>
      <c r="AA727" s="435"/>
      <c r="AB727" s="435"/>
      <c r="AC727" s="408"/>
      <c r="AD727" s="4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</row>
    <row r="728" spans="1:46" ht="15.75" customHeight="1">
      <c r="A728" s="110"/>
      <c r="B728" s="110"/>
      <c r="C728" s="110"/>
      <c r="D728" s="118"/>
      <c r="E728" s="118"/>
      <c r="F728" s="118"/>
      <c r="G728" s="408"/>
      <c r="H728" s="408"/>
      <c r="I728" s="408"/>
      <c r="J728" s="408"/>
      <c r="K728" s="408"/>
      <c r="L728" s="408"/>
      <c r="M728" s="118"/>
      <c r="N728" s="435"/>
      <c r="O728" s="435"/>
      <c r="P728" s="435"/>
      <c r="Q728" s="435"/>
      <c r="R728" s="435"/>
      <c r="S728" s="435"/>
      <c r="T728" s="435"/>
      <c r="U728" s="435"/>
      <c r="V728" s="435"/>
      <c r="W728" s="463"/>
      <c r="X728" s="435"/>
      <c r="Y728" s="435"/>
      <c r="Z728" s="435"/>
      <c r="AA728" s="435"/>
      <c r="AB728" s="435"/>
      <c r="AC728" s="408"/>
      <c r="AD728" s="4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</row>
    <row r="729" spans="1:46" ht="15.75" customHeight="1">
      <c r="A729" s="110"/>
      <c r="B729" s="110"/>
      <c r="C729" s="110"/>
      <c r="D729" s="118"/>
      <c r="E729" s="118"/>
      <c r="F729" s="118"/>
      <c r="G729" s="408"/>
      <c r="H729" s="408"/>
      <c r="I729" s="408"/>
      <c r="J729" s="408"/>
      <c r="K729" s="408"/>
      <c r="L729" s="408"/>
      <c r="M729" s="118"/>
      <c r="N729" s="435"/>
      <c r="O729" s="435"/>
      <c r="P729" s="435"/>
      <c r="Q729" s="435"/>
      <c r="R729" s="435"/>
      <c r="S729" s="435"/>
      <c r="T729" s="435"/>
      <c r="U729" s="435"/>
      <c r="V729" s="435"/>
      <c r="W729" s="463"/>
      <c r="X729" s="435"/>
      <c r="Y729" s="435"/>
      <c r="Z729" s="435"/>
      <c r="AA729" s="435"/>
      <c r="AB729" s="435"/>
      <c r="AC729" s="408"/>
      <c r="AD729" s="4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</row>
    <row r="730" spans="1:46" ht="15.75" customHeight="1">
      <c r="A730" s="110"/>
      <c r="B730" s="110"/>
      <c r="C730" s="110"/>
      <c r="D730" s="118"/>
      <c r="E730" s="118"/>
      <c r="F730" s="118"/>
      <c r="G730" s="408"/>
      <c r="H730" s="408"/>
      <c r="I730" s="408"/>
      <c r="J730" s="408"/>
      <c r="K730" s="408"/>
      <c r="L730" s="408"/>
      <c r="M730" s="118"/>
      <c r="N730" s="435"/>
      <c r="O730" s="435"/>
      <c r="P730" s="435"/>
      <c r="Q730" s="435"/>
      <c r="R730" s="435"/>
      <c r="S730" s="435"/>
      <c r="T730" s="435"/>
      <c r="U730" s="435"/>
      <c r="V730" s="435"/>
      <c r="W730" s="463"/>
      <c r="X730" s="435"/>
      <c r="Y730" s="435"/>
      <c r="Z730" s="435"/>
      <c r="AA730" s="435"/>
      <c r="AB730" s="435"/>
      <c r="AC730" s="408"/>
      <c r="AD730" s="4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</row>
    <row r="731" spans="1:46" ht="15.75" customHeight="1">
      <c r="A731" s="110"/>
      <c r="B731" s="110"/>
      <c r="C731" s="110"/>
      <c r="D731" s="118"/>
      <c r="E731" s="118"/>
      <c r="F731" s="118"/>
      <c r="G731" s="408"/>
      <c r="H731" s="408"/>
      <c r="I731" s="408"/>
      <c r="J731" s="408"/>
      <c r="K731" s="408"/>
      <c r="L731" s="408"/>
      <c r="M731" s="118"/>
      <c r="N731" s="435"/>
      <c r="O731" s="435"/>
      <c r="P731" s="435"/>
      <c r="Q731" s="435"/>
      <c r="R731" s="435"/>
      <c r="S731" s="435"/>
      <c r="T731" s="435"/>
      <c r="U731" s="435"/>
      <c r="V731" s="435"/>
      <c r="W731" s="463"/>
      <c r="X731" s="435"/>
      <c r="Y731" s="435"/>
      <c r="Z731" s="435"/>
      <c r="AA731" s="435"/>
      <c r="AB731" s="435"/>
      <c r="AC731" s="408"/>
      <c r="AD731" s="4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</row>
    <row r="732" spans="1:46" ht="15.75" customHeight="1">
      <c r="A732" s="110"/>
      <c r="B732" s="110"/>
      <c r="C732" s="110"/>
      <c r="D732" s="118"/>
      <c r="E732" s="118"/>
      <c r="F732" s="118"/>
      <c r="G732" s="408"/>
      <c r="H732" s="408"/>
      <c r="I732" s="408"/>
      <c r="J732" s="408"/>
      <c r="K732" s="408"/>
      <c r="L732" s="408"/>
      <c r="M732" s="118"/>
      <c r="N732" s="435"/>
      <c r="O732" s="435"/>
      <c r="P732" s="435"/>
      <c r="Q732" s="435"/>
      <c r="R732" s="435"/>
      <c r="S732" s="435"/>
      <c r="T732" s="435"/>
      <c r="U732" s="435"/>
      <c r="V732" s="435"/>
      <c r="W732" s="463"/>
      <c r="X732" s="435"/>
      <c r="Y732" s="435"/>
      <c r="Z732" s="435"/>
      <c r="AA732" s="435"/>
      <c r="AB732" s="435"/>
      <c r="AC732" s="408"/>
      <c r="AD732" s="4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</row>
    <row r="733" spans="1:46" ht="15.75" customHeight="1">
      <c r="A733" s="110"/>
      <c r="B733" s="110"/>
      <c r="C733" s="110"/>
      <c r="D733" s="118"/>
      <c r="E733" s="118"/>
      <c r="F733" s="118"/>
      <c r="G733" s="408"/>
      <c r="H733" s="408"/>
      <c r="I733" s="408"/>
      <c r="J733" s="408"/>
      <c r="K733" s="408"/>
      <c r="L733" s="408"/>
      <c r="M733" s="118"/>
      <c r="N733" s="435"/>
      <c r="O733" s="435"/>
      <c r="P733" s="435"/>
      <c r="Q733" s="435"/>
      <c r="R733" s="435"/>
      <c r="S733" s="435"/>
      <c r="T733" s="435"/>
      <c r="U733" s="435"/>
      <c r="V733" s="435"/>
      <c r="W733" s="463"/>
      <c r="X733" s="435"/>
      <c r="Y733" s="435"/>
      <c r="Z733" s="435"/>
      <c r="AA733" s="435"/>
      <c r="AB733" s="435"/>
      <c r="AC733" s="408"/>
      <c r="AD733" s="4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</row>
    <row r="734" spans="1:46" ht="15.75" customHeight="1">
      <c r="A734" s="110"/>
      <c r="B734" s="110"/>
      <c r="C734" s="110"/>
      <c r="D734" s="118"/>
      <c r="E734" s="118"/>
      <c r="F734" s="118"/>
      <c r="G734" s="408"/>
      <c r="H734" s="408"/>
      <c r="I734" s="408"/>
      <c r="J734" s="408"/>
      <c r="K734" s="408"/>
      <c r="L734" s="408"/>
      <c r="M734" s="118"/>
      <c r="N734" s="435"/>
      <c r="O734" s="435"/>
      <c r="P734" s="435"/>
      <c r="Q734" s="435"/>
      <c r="R734" s="435"/>
      <c r="S734" s="435"/>
      <c r="T734" s="435"/>
      <c r="U734" s="435"/>
      <c r="V734" s="435"/>
      <c r="W734" s="463"/>
      <c r="X734" s="435"/>
      <c r="Y734" s="435"/>
      <c r="Z734" s="435"/>
      <c r="AA734" s="435"/>
      <c r="AB734" s="435"/>
      <c r="AC734" s="408"/>
      <c r="AD734" s="4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</row>
    <row r="735" spans="1:46" ht="15.75" customHeight="1">
      <c r="A735" s="110"/>
      <c r="B735" s="110"/>
      <c r="C735" s="110"/>
      <c r="D735" s="118"/>
      <c r="E735" s="118"/>
      <c r="F735" s="118"/>
      <c r="G735" s="408"/>
      <c r="H735" s="408"/>
      <c r="I735" s="408"/>
      <c r="J735" s="408"/>
      <c r="K735" s="408"/>
      <c r="L735" s="408"/>
      <c r="M735" s="118"/>
      <c r="N735" s="435"/>
      <c r="O735" s="435"/>
      <c r="P735" s="435"/>
      <c r="Q735" s="435"/>
      <c r="R735" s="435"/>
      <c r="S735" s="435"/>
      <c r="T735" s="435"/>
      <c r="U735" s="435"/>
      <c r="V735" s="435"/>
      <c r="W735" s="463"/>
      <c r="X735" s="435"/>
      <c r="Y735" s="435"/>
      <c r="Z735" s="435"/>
      <c r="AA735" s="435"/>
      <c r="AB735" s="435"/>
      <c r="AC735" s="408"/>
      <c r="AD735" s="4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</row>
    <row r="736" spans="1:46" ht="15.75" customHeight="1">
      <c r="A736" s="110"/>
      <c r="B736" s="110"/>
      <c r="C736" s="110"/>
      <c r="D736" s="118"/>
      <c r="E736" s="118"/>
      <c r="F736" s="118"/>
      <c r="G736" s="408"/>
      <c r="H736" s="408"/>
      <c r="I736" s="408"/>
      <c r="J736" s="408"/>
      <c r="K736" s="408"/>
      <c r="L736" s="408"/>
      <c r="M736" s="118"/>
      <c r="N736" s="435"/>
      <c r="O736" s="435"/>
      <c r="P736" s="435"/>
      <c r="Q736" s="435"/>
      <c r="R736" s="435"/>
      <c r="S736" s="435"/>
      <c r="T736" s="435"/>
      <c r="U736" s="435"/>
      <c r="V736" s="435"/>
      <c r="W736" s="463"/>
      <c r="X736" s="435"/>
      <c r="Y736" s="435"/>
      <c r="Z736" s="435"/>
      <c r="AA736" s="435"/>
      <c r="AB736" s="435"/>
      <c r="AC736" s="408"/>
      <c r="AD736" s="4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</row>
    <row r="737" spans="1:46" ht="15.75" customHeight="1">
      <c r="A737" s="110"/>
      <c r="B737" s="110"/>
      <c r="C737" s="110"/>
      <c r="D737" s="118"/>
      <c r="E737" s="118"/>
      <c r="F737" s="118"/>
      <c r="G737" s="408"/>
      <c r="H737" s="408"/>
      <c r="I737" s="408"/>
      <c r="J737" s="408"/>
      <c r="K737" s="408"/>
      <c r="L737" s="408"/>
      <c r="M737" s="118"/>
      <c r="N737" s="435"/>
      <c r="O737" s="435"/>
      <c r="P737" s="435"/>
      <c r="Q737" s="435"/>
      <c r="R737" s="435"/>
      <c r="S737" s="435"/>
      <c r="T737" s="435"/>
      <c r="U737" s="435"/>
      <c r="V737" s="435"/>
      <c r="W737" s="463"/>
      <c r="X737" s="435"/>
      <c r="Y737" s="435"/>
      <c r="Z737" s="435"/>
      <c r="AA737" s="435"/>
      <c r="AB737" s="435"/>
      <c r="AC737" s="408"/>
      <c r="AD737" s="4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</row>
    <row r="738" spans="1:46" ht="15.75" customHeight="1">
      <c r="A738" s="110"/>
      <c r="B738" s="110"/>
      <c r="C738" s="110"/>
      <c r="D738" s="118"/>
      <c r="E738" s="118"/>
      <c r="F738" s="118"/>
      <c r="G738" s="408"/>
      <c r="H738" s="408"/>
      <c r="I738" s="408"/>
      <c r="J738" s="408"/>
      <c r="K738" s="408"/>
      <c r="L738" s="408"/>
      <c r="M738" s="118"/>
      <c r="N738" s="435"/>
      <c r="O738" s="435"/>
      <c r="P738" s="435"/>
      <c r="Q738" s="435"/>
      <c r="R738" s="435"/>
      <c r="S738" s="435"/>
      <c r="T738" s="435"/>
      <c r="U738" s="435"/>
      <c r="V738" s="435"/>
      <c r="W738" s="463"/>
      <c r="X738" s="435"/>
      <c r="Y738" s="435"/>
      <c r="Z738" s="435"/>
      <c r="AA738" s="435"/>
      <c r="AB738" s="435"/>
      <c r="AC738" s="408"/>
      <c r="AD738" s="4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</row>
    <row r="739" spans="1:46" ht="15.75" customHeight="1">
      <c r="A739" s="110"/>
      <c r="B739" s="110"/>
      <c r="C739" s="110"/>
      <c r="D739" s="118"/>
      <c r="E739" s="118"/>
      <c r="F739" s="118"/>
      <c r="G739" s="408"/>
      <c r="H739" s="408"/>
      <c r="I739" s="408"/>
      <c r="J739" s="408"/>
      <c r="K739" s="408"/>
      <c r="L739" s="408"/>
      <c r="M739" s="118"/>
      <c r="N739" s="435"/>
      <c r="O739" s="435"/>
      <c r="P739" s="435"/>
      <c r="Q739" s="435"/>
      <c r="R739" s="435"/>
      <c r="S739" s="435"/>
      <c r="T739" s="435"/>
      <c r="U739" s="435"/>
      <c r="V739" s="435"/>
      <c r="W739" s="463"/>
      <c r="X739" s="435"/>
      <c r="Y739" s="435"/>
      <c r="Z739" s="435"/>
      <c r="AA739" s="435"/>
      <c r="AB739" s="435"/>
      <c r="AC739" s="408"/>
      <c r="AD739" s="4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</row>
    <row r="740" spans="1:46" ht="15.75" customHeight="1">
      <c r="A740" s="110"/>
      <c r="B740" s="110"/>
      <c r="C740" s="110"/>
      <c r="D740" s="118"/>
      <c r="E740" s="118"/>
      <c r="F740" s="118"/>
      <c r="G740" s="408"/>
      <c r="H740" s="408"/>
      <c r="I740" s="408"/>
      <c r="J740" s="408"/>
      <c r="K740" s="408"/>
      <c r="L740" s="408"/>
      <c r="M740" s="118"/>
      <c r="N740" s="435"/>
      <c r="O740" s="435"/>
      <c r="P740" s="435"/>
      <c r="Q740" s="435"/>
      <c r="R740" s="435"/>
      <c r="S740" s="435"/>
      <c r="T740" s="435"/>
      <c r="U740" s="435"/>
      <c r="V740" s="435"/>
      <c r="W740" s="463"/>
      <c r="X740" s="435"/>
      <c r="Y740" s="435"/>
      <c r="Z740" s="435"/>
      <c r="AA740" s="435"/>
      <c r="AB740" s="435"/>
      <c r="AC740" s="408"/>
      <c r="AD740" s="4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</row>
    <row r="741" spans="1:46" ht="15.75" customHeight="1">
      <c r="A741" s="110"/>
      <c r="B741" s="110"/>
      <c r="C741" s="110"/>
      <c r="D741" s="118"/>
      <c r="E741" s="118"/>
      <c r="F741" s="118"/>
      <c r="G741" s="408"/>
      <c r="H741" s="408"/>
      <c r="I741" s="408"/>
      <c r="J741" s="408"/>
      <c r="K741" s="408"/>
      <c r="L741" s="408"/>
      <c r="M741" s="118"/>
      <c r="N741" s="435"/>
      <c r="O741" s="435"/>
      <c r="P741" s="435"/>
      <c r="Q741" s="435"/>
      <c r="R741" s="435"/>
      <c r="S741" s="435"/>
      <c r="T741" s="435"/>
      <c r="U741" s="435"/>
      <c r="V741" s="435"/>
      <c r="W741" s="463"/>
      <c r="X741" s="435"/>
      <c r="Y741" s="435"/>
      <c r="Z741" s="435"/>
      <c r="AA741" s="435"/>
      <c r="AB741" s="435"/>
      <c r="AC741" s="408"/>
      <c r="AD741" s="4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</row>
    <row r="742" spans="1:46" ht="15.75" customHeight="1">
      <c r="A742" s="110"/>
      <c r="B742" s="110"/>
      <c r="C742" s="110"/>
      <c r="D742" s="118"/>
      <c r="E742" s="118"/>
      <c r="F742" s="118"/>
      <c r="G742" s="408"/>
      <c r="H742" s="408"/>
      <c r="I742" s="408"/>
      <c r="J742" s="408"/>
      <c r="K742" s="408"/>
      <c r="L742" s="408"/>
      <c r="M742" s="118"/>
      <c r="N742" s="435"/>
      <c r="O742" s="435"/>
      <c r="P742" s="435"/>
      <c r="Q742" s="435"/>
      <c r="R742" s="435"/>
      <c r="S742" s="435"/>
      <c r="T742" s="435"/>
      <c r="U742" s="435"/>
      <c r="V742" s="435"/>
      <c r="W742" s="463"/>
      <c r="X742" s="435"/>
      <c r="Y742" s="435"/>
      <c r="Z742" s="435"/>
      <c r="AA742" s="435"/>
      <c r="AB742" s="435"/>
      <c r="AC742" s="408"/>
      <c r="AD742" s="4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</row>
    <row r="743" spans="1:46" ht="15.75" customHeight="1">
      <c r="A743" s="110"/>
      <c r="B743" s="110"/>
      <c r="C743" s="110"/>
      <c r="D743" s="118"/>
      <c r="E743" s="118"/>
      <c r="F743" s="118"/>
      <c r="G743" s="408"/>
      <c r="H743" s="408"/>
      <c r="I743" s="408"/>
      <c r="J743" s="408"/>
      <c r="K743" s="408"/>
      <c r="L743" s="408"/>
      <c r="M743" s="118"/>
      <c r="N743" s="435"/>
      <c r="O743" s="435"/>
      <c r="P743" s="435"/>
      <c r="Q743" s="435"/>
      <c r="R743" s="435"/>
      <c r="S743" s="435"/>
      <c r="T743" s="435"/>
      <c r="U743" s="435"/>
      <c r="V743" s="435"/>
      <c r="W743" s="463"/>
      <c r="X743" s="435"/>
      <c r="Y743" s="435"/>
      <c r="Z743" s="435"/>
      <c r="AA743" s="435"/>
      <c r="AB743" s="435"/>
      <c r="AC743" s="408"/>
      <c r="AD743" s="4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</row>
    <row r="744" spans="1:46" ht="15.75" customHeight="1">
      <c r="A744" s="110"/>
      <c r="B744" s="110"/>
      <c r="C744" s="110"/>
      <c r="D744" s="118"/>
      <c r="E744" s="118"/>
      <c r="F744" s="118"/>
      <c r="G744" s="408"/>
      <c r="H744" s="408"/>
      <c r="I744" s="408"/>
      <c r="J744" s="408"/>
      <c r="K744" s="408"/>
      <c r="L744" s="408"/>
      <c r="M744" s="118"/>
      <c r="N744" s="435"/>
      <c r="O744" s="435"/>
      <c r="P744" s="435"/>
      <c r="Q744" s="435"/>
      <c r="R744" s="435"/>
      <c r="S744" s="435"/>
      <c r="T744" s="435"/>
      <c r="U744" s="435"/>
      <c r="V744" s="435"/>
      <c r="W744" s="463"/>
      <c r="X744" s="435"/>
      <c r="Y744" s="435"/>
      <c r="Z744" s="435"/>
      <c r="AA744" s="435"/>
      <c r="AB744" s="435"/>
      <c r="AC744" s="408"/>
      <c r="AD744" s="4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</row>
    <row r="745" spans="1:46" ht="15.75" customHeight="1">
      <c r="A745" s="110"/>
      <c r="B745" s="110"/>
      <c r="C745" s="110"/>
      <c r="D745" s="118"/>
      <c r="E745" s="118"/>
      <c r="F745" s="118"/>
      <c r="G745" s="408"/>
      <c r="H745" s="408"/>
      <c r="I745" s="408"/>
      <c r="J745" s="408"/>
      <c r="K745" s="408"/>
      <c r="L745" s="408"/>
      <c r="M745" s="118"/>
      <c r="N745" s="435"/>
      <c r="O745" s="435"/>
      <c r="P745" s="435"/>
      <c r="Q745" s="435"/>
      <c r="R745" s="435"/>
      <c r="S745" s="435"/>
      <c r="T745" s="435"/>
      <c r="U745" s="435"/>
      <c r="V745" s="435"/>
      <c r="W745" s="463"/>
      <c r="X745" s="435"/>
      <c r="Y745" s="435"/>
      <c r="Z745" s="435"/>
      <c r="AA745" s="435"/>
      <c r="AB745" s="435"/>
      <c r="AC745" s="408"/>
      <c r="AD745" s="4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</row>
    <row r="746" spans="1:46" ht="15.75" customHeight="1">
      <c r="A746" s="110"/>
      <c r="B746" s="110"/>
      <c r="C746" s="110"/>
      <c r="D746" s="118"/>
      <c r="E746" s="118"/>
      <c r="F746" s="118"/>
      <c r="G746" s="408"/>
      <c r="H746" s="408"/>
      <c r="I746" s="408"/>
      <c r="J746" s="408"/>
      <c r="K746" s="408"/>
      <c r="L746" s="408"/>
      <c r="M746" s="118"/>
      <c r="N746" s="435"/>
      <c r="O746" s="435"/>
      <c r="P746" s="435"/>
      <c r="Q746" s="435"/>
      <c r="R746" s="435"/>
      <c r="S746" s="435"/>
      <c r="T746" s="435"/>
      <c r="U746" s="435"/>
      <c r="V746" s="435"/>
      <c r="W746" s="463"/>
      <c r="X746" s="435"/>
      <c r="Y746" s="435"/>
      <c r="Z746" s="435"/>
      <c r="AA746" s="435"/>
      <c r="AB746" s="435"/>
      <c r="AC746" s="408"/>
      <c r="AD746" s="4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</row>
    <row r="747" spans="1:46" ht="15.75" customHeight="1">
      <c r="A747" s="110"/>
      <c r="B747" s="110"/>
      <c r="C747" s="110"/>
      <c r="D747" s="118"/>
      <c r="E747" s="118"/>
      <c r="F747" s="118"/>
      <c r="G747" s="408"/>
      <c r="H747" s="408"/>
      <c r="I747" s="408"/>
      <c r="J747" s="408"/>
      <c r="K747" s="408"/>
      <c r="L747" s="408"/>
      <c r="M747" s="118"/>
      <c r="N747" s="435"/>
      <c r="O747" s="435"/>
      <c r="P747" s="435"/>
      <c r="Q747" s="435"/>
      <c r="R747" s="435"/>
      <c r="S747" s="435"/>
      <c r="T747" s="435"/>
      <c r="U747" s="435"/>
      <c r="V747" s="435"/>
      <c r="W747" s="463"/>
      <c r="X747" s="435"/>
      <c r="Y747" s="435"/>
      <c r="Z747" s="435"/>
      <c r="AA747" s="435"/>
      <c r="AB747" s="435"/>
      <c r="AC747" s="408"/>
      <c r="AD747" s="4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</row>
    <row r="748" spans="1:46" ht="15.75" customHeight="1">
      <c r="A748" s="110"/>
      <c r="B748" s="110"/>
      <c r="C748" s="110"/>
      <c r="D748" s="118"/>
      <c r="E748" s="118"/>
      <c r="F748" s="118"/>
      <c r="G748" s="408"/>
      <c r="H748" s="408"/>
      <c r="I748" s="408"/>
      <c r="J748" s="408"/>
      <c r="K748" s="408"/>
      <c r="L748" s="408"/>
      <c r="M748" s="118"/>
      <c r="N748" s="435"/>
      <c r="O748" s="435"/>
      <c r="P748" s="435"/>
      <c r="Q748" s="435"/>
      <c r="R748" s="435"/>
      <c r="S748" s="435"/>
      <c r="T748" s="435"/>
      <c r="U748" s="435"/>
      <c r="V748" s="435"/>
      <c r="W748" s="463"/>
      <c r="X748" s="435"/>
      <c r="Y748" s="435"/>
      <c r="Z748" s="435"/>
      <c r="AA748" s="435"/>
      <c r="AB748" s="435"/>
      <c r="AC748" s="408"/>
      <c r="AD748" s="4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</row>
    <row r="749" spans="1:46" ht="15.75" customHeight="1">
      <c r="A749" s="110"/>
      <c r="B749" s="110"/>
      <c r="C749" s="110"/>
      <c r="D749" s="118"/>
      <c r="E749" s="118"/>
      <c r="F749" s="118"/>
      <c r="G749" s="408"/>
      <c r="H749" s="408"/>
      <c r="I749" s="408"/>
      <c r="J749" s="408"/>
      <c r="K749" s="408"/>
      <c r="L749" s="408"/>
      <c r="M749" s="118"/>
      <c r="N749" s="435"/>
      <c r="O749" s="435"/>
      <c r="P749" s="435"/>
      <c r="Q749" s="435"/>
      <c r="R749" s="435"/>
      <c r="S749" s="435"/>
      <c r="T749" s="435"/>
      <c r="U749" s="435"/>
      <c r="V749" s="435"/>
      <c r="W749" s="463"/>
      <c r="X749" s="435"/>
      <c r="Y749" s="435"/>
      <c r="Z749" s="435"/>
      <c r="AA749" s="435"/>
      <c r="AB749" s="435"/>
      <c r="AC749" s="408"/>
      <c r="AD749" s="4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</row>
    <row r="750" spans="1:46" ht="15.75" customHeight="1">
      <c r="A750" s="110"/>
      <c r="B750" s="110"/>
      <c r="C750" s="110"/>
      <c r="D750" s="118"/>
      <c r="E750" s="118"/>
      <c r="F750" s="118"/>
      <c r="G750" s="408"/>
      <c r="H750" s="408"/>
      <c r="I750" s="408"/>
      <c r="J750" s="408"/>
      <c r="K750" s="408"/>
      <c r="L750" s="408"/>
      <c r="M750" s="118"/>
      <c r="N750" s="435"/>
      <c r="O750" s="435"/>
      <c r="P750" s="435"/>
      <c r="Q750" s="435"/>
      <c r="R750" s="435"/>
      <c r="S750" s="435"/>
      <c r="T750" s="435"/>
      <c r="U750" s="435"/>
      <c r="V750" s="435"/>
      <c r="W750" s="463"/>
      <c r="X750" s="435"/>
      <c r="Y750" s="435"/>
      <c r="Z750" s="435"/>
      <c r="AA750" s="435"/>
      <c r="AB750" s="435"/>
      <c r="AC750" s="408"/>
      <c r="AD750" s="4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</row>
    <row r="751" spans="1:46" ht="15.75" customHeight="1">
      <c r="A751" s="110"/>
      <c r="B751" s="110"/>
      <c r="C751" s="110"/>
      <c r="D751" s="118"/>
      <c r="E751" s="118"/>
      <c r="F751" s="118"/>
      <c r="G751" s="408"/>
      <c r="H751" s="408"/>
      <c r="I751" s="408"/>
      <c r="J751" s="408"/>
      <c r="K751" s="408"/>
      <c r="L751" s="408"/>
      <c r="M751" s="118"/>
      <c r="N751" s="435"/>
      <c r="O751" s="435"/>
      <c r="P751" s="435"/>
      <c r="Q751" s="435"/>
      <c r="R751" s="435"/>
      <c r="S751" s="435"/>
      <c r="T751" s="435"/>
      <c r="U751" s="435"/>
      <c r="V751" s="435"/>
      <c r="W751" s="463"/>
      <c r="X751" s="435"/>
      <c r="Y751" s="435"/>
      <c r="Z751" s="435"/>
      <c r="AA751" s="435"/>
      <c r="AB751" s="435"/>
      <c r="AC751" s="408"/>
      <c r="AD751" s="4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</row>
    <row r="752" spans="1:46" ht="15.75" customHeight="1">
      <c r="A752" s="110"/>
      <c r="B752" s="110"/>
      <c r="C752" s="110"/>
      <c r="D752" s="118"/>
      <c r="E752" s="118"/>
      <c r="F752" s="118"/>
      <c r="G752" s="408"/>
      <c r="H752" s="408"/>
      <c r="I752" s="408"/>
      <c r="J752" s="408"/>
      <c r="K752" s="408"/>
      <c r="L752" s="408"/>
      <c r="M752" s="118"/>
      <c r="N752" s="435"/>
      <c r="O752" s="435"/>
      <c r="P752" s="435"/>
      <c r="Q752" s="435"/>
      <c r="R752" s="435"/>
      <c r="S752" s="435"/>
      <c r="T752" s="435"/>
      <c r="U752" s="435"/>
      <c r="V752" s="435"/>
      <c r="W752" s="463"/>
      <c r="X752" s="435"/>
      <c r="Y752" s="435"/>
      <c r="Z752" s="435"/>
      <c r="AA752" s="435"/>
      <c r="AB752" s="435"/>
      <c r="AC752" s="408"/>
      <c r="AD752" s="4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</row>
    <row r="753" spans="1:46" ht="15.75" customHeight="1">
      <c r="A753" s="110"/>
      <c r="B753" s="110"/>
      <c r="C753" s="110"/>
      <c r="D753" s="118"/>
      <c r="E753" s="118"/>
      <c r="F753" s="118"/>
      <c r="G753" s="408"/>
      <c r="H753" s="408"/>
      <c r="I753" s="408"/>
      <c r="J753" s="408"/>
      <c r="K753" s="408"/>
      <c r="L753" s="408"/>
      <c r="M753" s="118"/>
      <c r="N753" s="435"/>
      <c r="O753" s="435"/>
      <c r="P753" s="435"/>
      <c r="Q753" s="435"/>
      <c r="R753" s="435"/>
      <c r="S753" s="435"/>
      <c r="T753" s="435"/>
      <c r="U753" s="435"/>
      <c r="V753" s="435"/>
      <c r="W753" s="463"/>
      <c r="X753" s="435"/>
      <c r="Y753" s="435"/>
      <c r="Z753" s="435"/>
      <c r="AA753" s="435"/>
      <c r="AB753" s="435"/>
      <c r="AC753" s="408"/>
      <c r="AD753" s="4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</row>
    <row r="754" spans="1:46" ht="15.75" customHeight="1">
      <c r="A754" s="110"/>
      <c r="B754" s="110"/>
      <c r="C754" s="110"/>
      <c r="D754" s="118"/>
      <c r="E754" s="118"/>
      <c r="F754" s="118"/>
      <c r="G754" s="408"/>
      <c r="H754" s="408"/>
      <c r="I754" s="408"/>
      <c r="J754" s="408"/>
      <c r="K754" s="408"/>
      <c r="L754" s="408"/>
      <c r="M754" s="118"/>
      <c r="N754" s="435"/>
      <c r="O754" s="435"/>
      <c r="P754" s="435"/>
      <c r="Q754" s="435"/>
      <c r="R754" s="435"/>
      <c r="S754" s="435"/>
      <c r="T754" s="435"/>
      <c r="U754" s="435"/>
      <c r="V754" s="435"/>
      <c r="W754" s="463"/>
      <c r="X754" s="435"/>
      <c r="Y754" s="435"/>
      <c r="Z754" s="435"/>
      <c r="AA754" s="435"/>
      <c r="AB754" s="435"/>
      <c r="AC754" s="408"/>
      <c r="AD754" s="4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</row>
    <row r="755" spans="1:46" ht="15.75" customHeight="1">
      <c r="A755" s="110"/>
      <c r="B755" s="110"/>
      <c r="C755" s="110"/>
      <c r="D755" s="118"/>
      <c r="E755" s="118"/>
      <c r="F755" s="118"/>
      <c r="G755" s="408"/>
      <c r="H755" s="408"/>
      <c r="I755" s="408"/>
      <c r="J755" s="408"/>
      <c r="K755" s="408"/>
      <c r="L755" s="408"/>
      <c r="M755" s="118"/>
      <c r="N755" s="435"/>
      <c r="O755" s="435"/>
      <c r="P755" s="435"/>
      <c r="Q755" s="435"/>
      <c r="R755" s="435"/>
      <c r="S755" s="435"/>
      <c r="T755" s="435"/>
      <c r="U755" s="435"/>
      <c r="V755" s="435"/>
      <c r="W755" s="463"/>
      <c r="X755" s="435"/>
      <c r="Y755" s="435"/>
      <c r="Z755" s="435"/>
      <c r="AA755" s="435"/>
      <c r="AB755" s="435"/>
      <c r="AC755" s="408"/>
      <c r="AD755" s="4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</row>
    <row r="756" spans="1:46" ht="15.75" customHeight="1">
      <c r="A756" s="110"/>
      <c r="B756" s="110"/>
      <c r="C756" s="110"/>
      <c r="D756" s="118"/>
      <c r="E756" s="118"/>
      <c r="F756" s="118"/>
      <c r="G756" s="408"/>
      <c r="H756" s="408"/>
      <c r="I756" s="408"/>
      <c r="J756" s="408"/>
      <c r="K756" s="408"/>
      <c r="L756" s="408"/>
      <c r="M756" s="118"/>
      <c r="N756" s="435"/>
      <c r="O756" s="435"/>
      <c r="P756" s="435"/>
      <c r="Q756" s="435"/>
      <c r="R756" s="435"/>
      <c r="S756" s="435"/>
      <c r="T756" s="435"/>
      <c r="U756" s="435"/>
      <c r="V756" s="435"/>
      <c r="W756" s="463"/>
      <c r="X756" s="435"/>
      <c r="Y756" s="435"/>
      <c r="Z756" s="435"/>
      <c r="AA756" s="435"/>
      <c r="AB756" s="435"/>
      <c r="AC756" s="408"/>
      <c r="AD756" s="4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</row>
    <row r="757" spans="1:46" ht="15.75" customHeight="1">
      <c r="A757" s="110"/>
      <c r="B757" s="110"/>
      <c r="C757" s="110"/>
      <c r="D757" s="118"/>
      <c r="E757" s="118"/>
      <c r="F757" s="118"/>
      <c r="G757" s="408"/>
      <c r="H757" s="408"/>
      <c r="I757" s="408"/>
      <c r="J757" s="408"/>
      <c r="K757" s="408"/>
      <c r="L757" s="408"/>
      <c r="M757" s="118"/>
      <c r="N757" s="435"/>
      <c r="O757" s="435"/>
      <c r="P757" s="435"/>
      <c r="Q757" s="435"/>
      <c r="R757" s="435"/>
      <c r="S757" s="435"/>
      <c r="T757" s="435"/>
      <c r="U757" s="435"/>
      <c r="V757" s="435"/>
      <c r="W757" s="463"/>
      <c r="X757" s="435"/>
      <c r="Y757" s="435"/>
      <c r="Z757" s="435"/>
      <c r="AA757" s="435"/>
      <c r="AB757" s="435"/>
      <c r="AC757" s="408"/>
      <c r="AD757" s="4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</row>
    <row r="758" spans="1:46" ht="15.75" customHeight="1">
      <c r="A758" s="110"/>
      <c r="B758" s="110"/>
      <c r="C758" s="110"/>
      <c r="D758" s="118"/>
      <c r="E758" s="118"/>
      <c r="F758" s="118"/>
      <c r="G758" s="408"/>
      <c r="H758" s="408"/>
      <c r="I758" s="408"/>
      <c r="J758" s="408"/>
      <c r="K758" s="408"/>
      <c r="L758" s="408"/>
      <c r="M758" s="118"/>
      <c r="N758" s="435"/>
      <c r="O758" s="435"/>
      <c r="P758" s="435"/>
      <c r="Q758" s="435"/>
      <c r="R758" s="435"/>
      <c r="S758" s="435"/>
      <c r="T758" s="435"/>
      <c r="U758" s="435"/>
      <c r="V758" s="435"/>
      <c r="W758" s="463"/>
      <c r="X758" s="435"/>
      <c r="Y758" s="435"/>
      <c r="Z758" s="435"/>
      <c r="AA758" s="435"/>
      <c r="AB758" s="435"/>
      <c r="AC758" s="408"/>
      <c r="AD758" s="4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</row>
    <row r="759" spans="1:46" ht="15.75" customHeight="1">
      <c r="A759" s="110"/>
      <c r="B759" s="110"/>
      <c r="C759" s="110"/>
      <c r="D759" s="118"/>
      <c r="E759" s="118"/>
      <c r="F759" s="118"/>
      <c r="G759" s="408"/>
      <c r="H759" s="408"/>
      <c r="I759" s="408"/>
      <c r="J759" s="408"/>
      <c r="K759" s="408"/>
      <c r="L759" s="408"/>
      <c r="M759" s="118"/>
      <c r="N759" s="435"/>
      <c r="O759" s="435"/>
      <c r="P759" s="435"/>
      <c r="Q759" s="435"/>
      <c r="R759" s="435"/>
      <c r="S759" s="435"/>
      <c r="T759" s="435"/>
      <c r="U759" s="435"/>
      <c r="V759" s="435"/>
      <c r="W759" s="463"/>
      <c r="X759" s="435"/>
      <c r="Y759" s="435"/>
      <c r="Z759" s="435"/>
      <c r="AA759" s="435"/>
      <c r="AB759" s="435"/>
      <c r="AC759" s="408"/>
      <c r="AD759" s="4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</row>
    <row r="760" spans="1:46" ht="15.75" customHeight="1">
      <c r="A760" s="110"/>
      <c r="B760" s="110"/>
      <c r="C760" s="110"/>
      <c r="D760" s="118"/>
      <c r="E760" s="118"/>
      <c r="F760" s="118"/>
      <c r="G760" s="408"/>
      <c r="H760" s="408"/>
      <c r="I760" s="408"/>
      <c r="J760" s="408"/>
      <c r="K760" s="408"/>
      <c r="L760" s="408"/>
      <c r="M760" s="118"/>
      <c r="N760" s="435"/>
      <c r="O760" s="435"/>
      <c r="P760" s="435"/>
      <c r="Q760" s="435"/>
      <c r="R760" s="435"/>
      <c r="S760" s="435"/>
      <c r="T760" s="435"/>
      <c r="U760" s="435"/>
      <c r="V760" s="435"/>
      <c r="W760" s="463"/>
      <c r="X760" s="435"/>
      <c r="Y760" s="435"/>
      <c r="Z760" s="435"/>
      <c r="AA760" s="435"/>
      <c r="AB760" s="435"/>
      <c r="AC760" s="408"/>
      <c r="AD760" s="4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</row>
    <row r="761" spans="1:46" ht="15.75" customHeight="1">
      <c r="A761" s="110"/>
      <c r="B761" s="110"/>
      <c r="C761" s="110"/>
      <c r="D761" s="118"/>
      <c r="E761" s="118"/>
      <c r="F761" s="118"/>
      <c r="G761" s="408"/>
      <c r="H761" s="408"/>
      <c r="I761" s="408"/>
      <c r="J761" s="408"/>
      <c r="K761" s="408"/>
      <c r="L761" s="408"/>
      <c r="M761" s="118"/>
      <c r="N761" s="435"/>
      <c r="O761" s="435"/>
      <c r="P761" s="435"/>
      <c r="Q761" s="435"/>
      <c r="R761" s="435"/>
      <c r="S761" s="435"/>
      <c r="T761" s="435"/>
      <c r="U761" s="435"/>
      <c r="V761" s="435"/>
      <c r="W761" s="463"/>
      <c r="X761" s="435"/>
      <c r="Y761" s="435"/>
      <c r="Z761" s="435"/>
      <c r="AA761" s="435"/>
      <c r="AB761" s="435"/>
      <c r="AC761" s="408"/>
      <c r="AD761" s="4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</row>
    <row r="762" spans="1:46" ht="15.75" customHeight="1">
      <c r="A762" s="110"/>
      <c r="B762" s="110"/>
      <c r="C762" s="110"/>
      <c r="D762" s="118"/>
      <c r="E762" s="118"/>
      <c r="F762" s="118"/>
      <c r="G762" s="408"/>
      <c r="H762" s="408"/>
      <c r="I762" s="408"/>
      <c r="J762" s="408"/>
      <c r="K762" s="408"/>
      <c r="L762" s="408"/>
      <c r="M762" s="118"/>
      <c r="N762" s="435"/>
      <c r="O762" s="435"/>
      <c r="P762" s="435"/>
      <c r="Q762" s="435"/>
      <c r="R762" s="435"/>
      <c r="S762" s="435"/>
      <c r="T762" s="435"/>
      <c r="U762" s="435"/>
      <c r="V762" s="435"/>
      <c r="W762" s="463"/>
      <c r="X762" s="435"/>
      <c r="Y762" s="435"/>
      <c r="Z762" s="435"/>
      <c r="AA762" s="435"/>
      <c r="AB762" s="435"/>
      <c r="AC762" s="408"/>
      <c r="AD762" s="4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</row>
    <row r="763" spans="1:46" ht="15.75" customHeight="1">
      <c r="A763" s="110"/>
      <c r="B763" s="110"/>
      <c r="C763" s="110"/>
      <c r="D763" s="118"/>
      <c r="E763" s="118"/>
      <c r="F763" s="118"/>
      <c r="G763" s="408"/>
      <c r="H763" s="408"/>
      <c r="I763" s="408"/>
      <c r="J763" s="408"/>
      <c r="K763" s="408"/>
      <c r="L763" s="408"/>
      <c r="M763" s="118"/>
      <c r="N763" s="435"/>
      <c r="O763" s="435"/>
      <c r="P763" s="435"/>
      <c r="Q763" s="435"/>
      <c r="R763" s="435"/>
      <c r="S763" s="435"/>
      <c r="T763" s="435"/>
      <c r="U763" s="435"/>
      <c r="V763" s="435"/>
      <c r="W763" s="463"/>
      <c r="X763" s="435"/>
      <c r="Y763" s="435"/>
      <c r="Z763" s="435"/>
      <c r="AA763" s="435"/>
      <c r="AB763" s="435"/>
      <c r="AC763" s="408"/>
      <c r="AD763" s="4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</row>
    <row r="764" spans="1:46" ht="15.75" customHeight="1">
      <c r="A764" s="110"/>
      <c r="B764" s="110"/>
      <c r="C764" s="110"/>
      <c r="D764" s="118"/>
      <c r="E764" s="118"/>
      <c r="F764" s="118"/>
      <c r="G764" s="408"/>
      <c r="H764" s="408"/>
      <c r="I764" s="408"/>
      <c r="J764" s="408"/>
      <c r="K764" s="408"/>
      <c r="L764" s="408"/>
      <c r="M764" s="118"/>
      <c r="N764" s="435"/>
      <c r="O764" s="435"/>
      <c r="P764" s="435"/>
      <c r="Q764" s="435"/>
      <c r="R764" s="435"/>
      <c r="S764" s="435"/>
      <c r="T764" s="435"/>
      <c r="U764" s="435"/>
      <c r="V764" s="435"/>
      <c r="W764" s="463"/>
      <c r="X764" s="435"/>
      <c r="Y764" s="435"/>
      <c r="Z764" s="435"/>
      <c r="AA764" s="435"/>
      <c r="AB764" s="435"/>
      <c r="AC764" s="408"/>
      <c r="AD764" s="4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</row>
    <row r="765" spans="1:46" ht="15.75" customHeight="1">
      <c r="A765" s="110"/>
      <c r="B765" s="110"/>
      <c r="C765" s="110"/>
      <c r="D765" s="118"/>
      <c r="E765" s="118"/>
      <c r="F765" s="118"/>
      <c r="G765" s="408"/>
      <c r="H765" s="408"/>
      <c r="I765" s="408"/>
      <c r="J765" s="408"/>
      <c r="K765" s="408"/>
      <c r="L765" s="408"/>
      <c r="M765" s="118"/>
      <c r="N765" s="435"/>
      <c r="O765" s="435"/>
      <c r="P765" s="435"/>
      <c r="Q765" s="435"/>
      <c r="R765" s="435"/>
      <c r="S765" s="435"/>
      <c r="T765" s="435"/>
      <c r="U765" s="435"/>
      <c r="V765" s="435"/>
      <c r="W765" s="463"/>
      <c r="X765" s="435"/>
      <c r="Y765" s="435"/>
      <c r="Z765" s="435"/>
      <c r="AA765" s="435"/>
      <c r="AB765" s="435"/>
      <c r="AC765" s="408"/>
      <c r="AD765" s="4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</row>
    <row r="766" spans="1:46" ht="15.75" customHeight="1">
      <c r="A766" s="110"/>
      <c r="B766" s="110"/>
      <c r="C766" s="110"/>
      <c r="D766" s="118"/>
      <c r="E766" s="118"/>
      <c r="F766" s="118"/>
      <c r="G766" s="408"/>
      <c r="H766" s="408"/>
      <c r="I766" s="408"/>
      <c r="J766" s="408"/>
      <c r="K766" s="408"/>
      <c r="L766" s="408"/>
      <c r="M766" s="118"/>
      <c r="N766" s="435"/>
      <c r="O766" s="435"/>
      <c r="P766" s="435"/>
      <c r="Q766" s="435"/>
      <c r="R766" s="435"/>
      <c r="S766" s="435"/>
      <c r="T766" s="435"/>
      <c r="U766" s="435"/>
      <c r="V766" s="435"/>
      <c r="W766" s="463"/>
      <c r="X766" s="435"/>
      <c r="Y766" s="435"/>
      <c r="Z766" s="435"/>
      <c r="AA766" s="435"/>
      <c r="AB766" s="435"/>
      <c r="AC766" s="408"/>
      <c r="AD766" s="4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</row>
    <row r="767" spans="1:46" ht="15.75" customHeight="1">
      <c r="A767" s="110"/>
      <c r="B767" s="110"/>
      <c r="C767" s="110"/>
      <c r="D767" s="118"/>
      <c r="E767" s="118"/>
      <c r="F767" s="118"/>
      <c r="G767" s="408"/>
      <c r="H767" s="408"/>
      <c r="I767" s="408"/>
      <c r="J767" s="408"/>
      <c r="K767" s="408"/>
      <c r="L767" s="408"/>
      <c r="M767" s="118"/>
      <c r="N767" s="435"/>
      <c r="O767" s="435"/>
      <c r="P767" s="435"/>
      <c r="Q767" s="435"/>
      <c r="R767" s="435"/>
      <c r="S767" s="435"/>
      <c r="T767" s="435"/>
      <c r="U767" s="435"/>
      <c r="V767" s="435"/>
      <c r="W767" s="463"/>
      <c r="X767" s="435"/>
      <c r="Y767" s="435"/>
      <c r="Z767" s="435"/>
      <c r="AA767" s="435"/>
      <c r="AB767" s="435"/>
      <c r="AC767" s="408"/>
      <c r="AD767" s="4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</row>
    <row r="768" spans="1:46" ht="15.75" customHeight="1">
      <c r="A768" s="110"/>
      <c r="B768" s="110"/>
      <c r="C768" s="110"/>
      <c r="D768" s="118"/>
      <c r="E768" s="118"/>
      <c r="F768" s="118"/>
      <c r="G768" s="408"/>
      <c r="H768" s="408"/>
      <c r="I768" s="408"/>
      <c r="J768" s="408"/>
      <c r="K768" s="408"/>
      <c r="L768" s="408"/>
      <c r="M768" s="118"/>
      <c r="N768" s="435"/>
      <c r="O768" s="435"/>
      <c r="P768" s="435"/>
      <c r="Q768" s="435"/>
      <c r="R768" s="435"/>
      <c r="S768" s="435"/>
      <c r="T768" s="435"/>
      <c r="U768" s="435"/>
      <c r="V768" s="435"/>
      <c r="W768" s="463"/>
      <c r="X768" s="435"/>
      <c r="Y768" s="435"/>
      <c r="Z768" s="435"/>
      <c r="AA768" s="435"/>
      <c r="AB768" s="435"/>
      <c r="AC768" s="408"/>
      <c r="AD768" s="4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</row>
    <row r="769" spans="1:46" ht="15.75" customHeight="1">
      <c r="A769" s="110"/>
      <c r="B769" s="110"/>
      <c r="C769" s="110"/>
      <c r="D769" s="118"/>
      <c r="E769" s="118"/>
      <c r="F769" s="118"/>
      <c r="G769" s="408"/>
      <c r="H769" s="408"/>
      <c r="I769" s="408"/>
      <c r="J769" s="408"/>
      <c r="K769" s="408"/>
      <c r="L769" s="408"/>
      <c r="M769" s="118"/>
      <c r="N769" s="435"/>
      <c r="O769" s="435"/>
      <c r="P769" s="435"/>
      <c r="Q769" s="435"/>
      <c r="R769" s="435"/>
      <c r="S769" s="435"/>
      <c r="T769" s="435"/>
      <c r="U769" s="435"/>
      <c r="V769" s="435"/>
      <c r="W769" s="463"/>
      <c r="X769" s="435"/>
      <c r="Y769" s="435"/>
      <c r="Z769" s="435"/>
      <c r="AA769" s="435"/>
      <c r="AB769" s="435"/>
      <c r="AC769" s="408"/>
      <c r="AD769" s="4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</row>
    <row r="770" spans="1:46" ht="15.75" customHeight="1">
      <c r="A770" s="110"/>
      <c r="B770" s="110"/>
      <c r="C770" s="110"/>
      <c r="D770" s="118"/>
      <c r="E770" s="118"/>
      <c r="F770" s="118"/>
      <c r="G770" s="408"/>
      <c r="H770" s="408"/>
      <c r="I770" s="408"/>
      <c r="J770" s="408"/>
      <c r="K770" s="408"/>
      <c r="L770" s="408"/>
      <c r="M770" s="118"/>
      <c r="N770" s="435"/>
      <c r="O770" s="435"/>
      <c r="P770" s="435"/>
      <c r="Q770" s="435"/>
      <c r="R770" s="435"/>
      <c r="S770" s="435"/>
      <c r="T770" s="435"/>
      <c r="U770" s="435"/>
      <c r="V770" s="435"/>
      <c r="W770" s="463"/>
      <c r="X770" s="435"/>
      <c r="Y770" s="435"/>
      <c r="Z770" s="435"/>
      <c r="AA770" s="435"/>
      <c r="AB770" s="435"/>
      <c r="AC770" s="408"/>
      <c r="AD770" s="4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</row>
    <row r="771" spans="1:46" ht="15.75" customHeight="1">
      <c r="A771" s="110"/>
      <c r="B771" s="110"/>
      <c r="C771" s="110"/>
      <c r="D771" s="118"/>
      <c r="E771" s="118"/>
      <c r="F771" s="118"/>
      <c r="G771" s="408"/>
      <c r="H771" s="408"/>
      <c r="I771" s="408"/>
      <c r="J771" s="408"/>
      <c r="K771" s="408"/>
      <c r="L771" s="408"/>
      <c r="M771" s="118"/>
      <c r="N771" s="435"/>
      <c r="O771" s="435"/>
      <c r="P771" s="435"/>
      <c r="Q771" s="435"/>
      <c r="R771" s="435"/>
      <c r="S771" s="435"/>
      <c r="T771" s="435"/>
      <c r="U771" s="435"/>
      <c r="V771" s="435"/>
      <c r="W771" s="463"/>
      <c r="X771" s="435"/>
      <c r="Y771" s="435"/>
      <c r="Z771" s="435"/>
      <c r="AA771" s="435"/>
      <c r="AB771" s="435"/>
      <c r="AC771" s="408"/>
      <c r="AD771" s="4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</row>
    <row r="772" spans="1:46" ht="15.75" customHeight="1">
      <c r="A772" s="110"/>
      <c r="B772" s="110"/>
      <c r="C772" s="110"/>
      <c r="D772" s="118"/>
      <c r="E772" s="118"/>
      <c r="F772" s="118"/>
      <c r="G772" s="408"/>
      <c r="H772" s="408"/>
      <c r="I772" s="408"/>
      <c r="J772" s="408"/>
      <c r="K772" s="408"/>
      <c r="L772" s="408"/>
      <c r="M772" s="118"/>
      <c r="N772" s="435"/>
      <c r="O772" s="435"/>
      <c r="P772" s="435"/>
      <c r="Q772" s="435"/>
      <c r="R772" s="435"/>
      <c r="S772" s="435"/>
      <c r="T772" s="435"/>
      <c r="U772" s="435"/>
      <c r="V772" s="435"/>
      <c r="W772" s="463"/>
      <c r="X772" s="435"/>
      <c r="Y772" s="435"/>
      <c r="Z772" s="435"/>
      <c r="AA772" s="435"/>
      <c r="AB772" s="435"/>
      <c r="AC772" s="408"/>
      <c r="AD772" s="4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</row>
    <row r="773" spans="1:46" ht="15.75" customHeight="1">
      <c r="A773" s="110"/>
      <c r="B773" s="110"/>
      <c r="C773" s="110"/>
      <c r="D773" s="118"/>
      <c r="E773" s="118"/>
      <c r="F773" s="118"/>
      <c r="G773" s="408"/>
      <c r="H773" s="408"/>
      <c r="I773" s="408"/>
      <c r="J773" s="408"/>
      <c r="K773" s="408"/>
      <c r="L773" s="408"/>
      <c r="M773" s="118"/>
      <c r="N773" s="435"/>
      <c r="O773" s="435"/>
      <c r="P773" s="435"/>
      <c r="Q773" s="435"/>
      <c r="R773" s="435"/>
      <c r="S773" s="435"/>
      <c r="T773" s="435"/>
      <c r="U773" s="435"/>
      <c r="V773" s="435"/>
      <c r="W773" s="463"/>
      <c r="X773" s="435"/>
      <c r="Y773" s="435"/>
      <c r="Z773" s="435"/>
      <c r="AA773" s="435"/>
      <c r="AB773" s="435"/>
      <c r="AC773" s="408"/>
      <c r="AD773" s="4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</row>
    <row r="774" spans="1:46" ht="15.75" customHeight="1">
      <c r="A774" s="110"/>
      <c r="B774" s="110"/>
      <c r="C774" s="110"/>
      <c r="D774" s="118"/>
      <c r="E774" s="118"/>
      <c r="F774" s="118"/>
      <c r="G774" s="408"/>
      <c r="H774" s="408"/>
      <c r="I774" s="408"/>
      <c r="J774" s="408"/>
      <c r="K774" s="408"/>
      <c r="L774" s="408"/>
      <c r="M774" s="118"/>
      <c r="N774" s="435"/>
      <c r="O774" s="435"/>
      <c r="P774" s="435"/>
      <c r="Q774" s="435"/>
      <c r="R774" s="435"/>
      <c r="S774" s="435"/>
      <c r="T774" s="435"/>
      <c r="U774" s="435"/>
      <c r="V774" s="435"/>
      <c r="W774" s="463"/>
      <c r="X774" s="435"/>
      <c r="Y774" s="435"/>
      <c r="Z774" s="435"/>
      <c r="AA774" s="435"/>
      <c r="AB774" s="435"/>
      <c r="AC774" s="408"/>
      <c r="AD774" s="4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</row>
    <row r="775" spans="1:46" ht="15.75" customHeight="1">
      <c r="A775" s="110"/>
      <c r="B775" s="110"/>
      <c r="C775" s="110"/>
      <c r="D775" s="118"/>
      <c r="E775" s="118"/>
      <c r="F775" s="118"/>
      <c r="G775" s="408"/>
      <c r="H775" s="408"/>
      <c r="I775" s="408"/>
      <c r="J775" s="408"/>
      <c r="K775" s="408"/>
      <c r="L775" s="408"/>
      <c r="M775" s="118"/>
      <c r="N775" s="435"/>
      <c r="O775" s="435"/>
      <c r="P775" s="435"/>
      <c r="Q775" s="435"/>
      <c r="R775" s="435"/>
      <c r="S775" s="435"/>
      <c r="T775" s="435"/>
      <c r="U775" s="435"/>
      <c r="V775" s="435"/>
      <c r="W775" s="463"/>
      <c r="X775" s="435"/>
      <c r="Y775" s="435"/>
      <c r="Z775" s="435"/>
      <c r="AA775" s="435"/>
      <c r="AB775" s="435"/>
      <c r="AC775" s="408"/>
      <c r="AD775" s="4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</row>
    <row r="776" spans="1:46" ht="15.75" customHeight="1">
      <c r="A776" s="110"/>
      <c r="B776" s="110"/>
      <c r="C776" s="110"/>
      <c r="D776" s="118"/>
      <c r="E776" s="118"/>
      <c r="F776" s="118"/>
      <c r="G776" s="408"/>
      <c r="H776" s="408"/>
      <c r="I776" s="408"/>
      <c r="J776" s="408"/>
      <c r="K776" s="408"/>
      <c r="L776" s="408"/>
      <c r="M776" s="118"/>
      <c r="N776" s="435"/>
      <c r="O776" s="435"/>
      <c r="P776" s="435"/>
      <c r="Q776" s="435"/>
      <c r="R776" s="435"/>
      <c r="S776" s="435"/>
      <c r="T776" s="435"/>
      <c r="U776" s="435"/>
      <c r="V776" s="435"/>
      <c r="W776" s="463"/>
      <c r="X776" s="435"/>
      <c r="Y776" s="435"/>
      <c r="Z776" s="435"/>
      <c r="AA776" s="435"/>
      <c r="AB776" s="435"/>
      <c r="AC776" s="408"/>
      <c r="AD776" s="4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</row>
    <row r="777" spans="1:46" ht="15.75" customHeight="1">
      <c r="A777" s="110"/>
      <c r="B777" s="110"/>
      <c r="C777" s="110"/>
      <c r="D777" s="118"/>
      <c r="E777" s="118"/>
      <c r="F777" s="118"/>
      <c r="G777" s="408"/>
      <c r="H777" s="408"/>
      <c r="I777" s="408"/>
      <c r="J777" s="408"/>
      <c r="K777" s="408"/>
      <c r="L777" s="408"/>
      <c r="M777" s="118"/>
      <c r="N777" s="435"/>
      <c r="O777" s="435"/>
      <c r="P777" s="435"/>
      <c r="Q777" s="435"/>
      <c r="R777" s="435"/>
      <c r="S777" s="435"/>
      <c r="T777" s="435"/>
      <c r="U777" s="435"/>
      <c r="V777" s="435"/>
      <c r="W777" s="463"/>
      <c r="X777" s="435"/>
      <c r="Y777" s="435"/>
      <c r="Z777" s="435"/>
      <c r="AA777" s="435"/>
      <c r="AB777" s="435"/>
      <c r="AC777" s="408"/>
      <c r="AD777" s="4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</row>
    <row r="778" spans="1:46" ht="15.75" customHeight="1">
      <c r="A778" s="110"/>
      <c r="B778" s="110"/>
      <c r="C778" s="110"/>
      <c r="D778" s="118"/>
      <c r="E778" s="118"/>
      <c r="F778" s="118"/>
      <c r="G778" s="408"/>
      <c r="H778" s="408"/>
      <c r="I778" s="408"/>
      <c r="J778" s="408"/>
      <c r="K778" s="408"/>
      <c r="L778" s="408"/>
      <c r="M778" s="118"/>
      <c r="N778" s="435"/>
      <c r="O778" s="435"/>
      <c r="P778" s="435"/>
      <c r="Q778" s="435"/>
      <c r="R778" s="435"/>
      <c r="S778" s="435"/>
      <c r="T778" s="435"/>
      <c r="U778" s="435"/>
      <c r="V778" s="435"/>
      <c r="W778" s="463"/>
      <c r="X778" s="435"/>
      <c r="Y778" s="435"/>
      <c r="Z778" s="435"/>
      <c r="AA778" s="435"/>
      <c r="AB778" s="435"/>
      <c r="AC778" s="408"/>
      <c r="AD778" s="4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</row>
    <row r="779" spans="1:46" ht="15.75" customHeight="1">
      <c r="A779" s="110"/>
      <c r="B779" s="110"/>
      <c r="C779" s="110"/>
      <c r="D779" s="118"/>
      <c r="E779" s="118"/>
      <c r="F779" s="118"/>
      <c r="G779" s="408"/>
      <c r="H779" s="408"/>
      <c r="I779" s="408"/>
      <c r="J779" s="408"/>
      <c r="K779" s="408"/>
      <c r="L779" s="408"/>
      <c r="M779" s="118"/>
      <c r="N779" s="435"/>
      <c r="O779" s="435"/>
      <c r="P779" s="435"/>
      <c r="Q779" s="435"/>
      <c r="R779" s="435"/>
      <c r="S779" s="435"/>
      <c r="T779" s="435"/>
      <c r="U779" s="435"/>
      <c r="V779" s="435"/>
      <c r="W779" s="463"/>
      <c r="X779" s="435"/>
      <c r="Y779" s="435"/>
      <c r="Z779" s="435"/>
      <c r="AA779" s="435"/>
      <c r="AB779" s="435"/>
      <c r="AC779" s="408"/>
      <c r="AD779" s="4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</row>
    <row r="780" spans="1:46" ht="15.75" customHeight="1">
      <c r="A780" s="110"/>
      <c r="B780" s="110"/>
      <c r="C780" s="110"/>
      <c r="D780" s="118"/>
      <c r="E780" s="118"/>
      <c r="F780" s="118"/>
      <c r="G780" s="408"/>
      <c r="H780" s="408"/>
      <c r="I780" s="408"/>
      <c r="J780" s="408"/>
      <c r="K780" s="408"/>
      <c r="L780" s="408"/>
      <c r="M780" s="118"/>
      <c r="N780" s="435"/>
      <c r="O780" s="435"/>
      <c r="P780" s="435"/>
      <c r="Q780" s="435"/>
      <c r="R780" s="435"/>
      <c r="S780" s="435"/>
      <c r="T780" s="435"/>
      <c r="U780" s="435"/>
      <c r="V780" s="435"/>
      <c r="W780" s="463"/>
      <c r="X780" s="435"/>
      <c r="Y780" s="435"/>
      <c r="Z780" s="435"/>
      <c r="AA780" s="435"/>
      <c r="AB780" s="435"/>
      <c r="AC780" s="408"/>
      <c r="AD780" s="4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</row>
    <row r="781" spans="1:46" ht="15.75" customHeight="1">
      <c r="A781" s="110"/>
      <c r="B781" s="110"/>
      <c r="C781" s="110"/>
      <c r="D781" s="118"/>
      <c r="E781" s="118"/>
      <c r="F781" s="118"/>
      <c r="G781" s="408"/>
      <c r="H781" s="408"/>
      <c r="I781" s="408"/>
      <c r="J781" s="408"/>
      <c r="K781" s="408"/>
      <c r="L781" s="408"/>
      <c r="M781" s="118"/>
      <c r="N781" s="435"/>
      <c r="O781" s="435"/>
      <c r="P781" s="435"/>
      <c r="Q781" s="435"/>
      <c r="R781" s="435"/>
      <c r="S781" s="435"/>
      <c r="T781" s="435"/>
      <c r="U781" s="435"/>
      <c r="V781" s="435"/>
      <c r="W781" s="463"/>
      <c r="X781" s="435"/>
      <c r="Y781" s="435"/>
      <c r="Z781" s="435"/>
      <c r="AA781" s="435"/>
      <c r="AB781" s="435"/>
      <c r="AC781" s="408"/>
      <c r="AD781" s="4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</row>
    <row r="782" spans="1:46" ht="15.75" customHeight="1">
      <c r="A782" s="110"/>
      <c r="B782" s="110"/>
      <c r="C782" s="110"/>
      <c r="D782" s="118"/>
      <c r="E782" s="118"/>
      <c r="F782" s="118"/>
      <c r="G782" s="408"/>
      <c r="H782" s="408"/>
      <c r="I782" s="408"/>
      <c r="J782" s="408"/>
      <c r="K782" s="408"/>
      <c r="L782" s="408"/>
      <c r="M782" s="118"/>
      <c r="N782" s="435"/>
      <c r="O782" s="435"/>
      <c r="P782" s="435"/>
      <c r="Q782" s="435"/>
      <c r="R782" s="435"/>
      <c r="S782" s="435"/>
      <c r="T782" s="435"/>
      <c r="U782" s="435"/>
      <c r="V782" s="435"/>
      <c r="W782" s="463"/>
      <c r="X782" s="435"/>
      <c r="Y782" s="435"/>
      <c r="Z782" s="435"/>
      <c r="AA782" s="435"/>
      <c r="AB782" s="435"/>
      <c r="AC782" s="408"/>
      <c r="AD782" s="4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</row>
    <row r="783" spans="1:46" ht="15.75" customHeight="1">
      <c r="A783" s="110"/>
      <c r="B783" s="110"/>
      <c r="C783" s="110"/>
      <c r="D783" s="118"/>
      <c r="E783" s="118"/>
      <c r="F783" s="118"/>
      <c r="G783" s="408"/>
      <c r="H783" s="408"/>
      <c r="I783" s="408"/>
      <c r="J783" s="408"/>
      <c r="K783" s="408"/>
      <c r="L783" s="408"/>
      <c r="M783" s="118"/>
      <c r="N783" s="435"/>
      <c r="O783" s="435"/>
      <c r="P783" s="435"/>
      <c r="Q783" s="435"/>
      <c r="R783" s="435"/>
      <c r="S783" s="435"/>
      <c r="T783" s="435"/>
      <c r="U783" s="435"/>
      <c r="V783" s="435"/>
      <c r="W783" s="463"/>
      <c r="X783" s="435"/>
      <c r="Y783" s="435"/>
      <c r="Z783" s="435"/>
      <c r="AA783" s="435"/>
      <c r="AB783" s="435"/>
      <c r="AC783" s="408"/>
      <c r="AD783" s="4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</row>
    <row r="784" spans="1:46" ht="15.75" customHeight="1">
      <c r="A784" s="110"/>
      <c r="B784" s="110"/>
      <c r="C784" s="110"/>
      <c r="D784" s="118"/>
      <c r="E784" s="118"/>
      <c r="F784" s="118"/>
      <c r="G784" s="408"/>
      <c r="H784" s="408"/>
      <c r="I784" s="408"/>
      <c r="J784" s="408"/>
      <c r="K784" s="408"/>
      <c r="L784" s="408"/>
      <c r="M784" s="118"/>
      <c r="N784" s="435"/>
      <c r="O784" s="435"/>
      <c r="P784" s="435"/>
      <c r="Q784" s="435"/>
      <c r="R784" s="435"/>
      <c r="S784" s="435"/>
      <c r="T784" s="435"/>
      <c r="U784" s="435"/>
      <c r="V784" s="435"/>
      <c r="W784" s="463"/>
      <c r="X784" s="435"/>
      <c r="Y784" s="435"/>
      <c r="Z784" s="435"/>
      <c r="AA784" s="435"/>
      <c r="AB784" s="435"/>
      <c r="AC784" s="408"/>
      <c r="AD784" s="4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</row>
    <row r="785" spans="1:46" ht="15.75" customHeight="1">
      <c r="A785" s="110"/>
      <c r="B785" s="110"/>
      <c r="C785" s="110"/>
      <c r="D785" s="118"/>
      <c r="E785" s="118"/>
      <c r="F785" s="118"/>
      <c r="G785" s="408"/>
      <c r="H785" s="408"/>
      <c r="I785" s="408"/>
      <c r="J785" s="408"/>
      <c r="K785" s="408"/>
      <c r="L785" s="408"/>
      <c r="M785" s="118"/>
      <c r="N785" s="435"/>
      <c r="O785" s="435"/>
      <c r="P785" s="435"/>
      <c r="Q785" s="435"/>
      <c r="R785" s="435"/>
      <c r="S785" s="435"/>
      <c r="T785" s="435"/>
      <c r="U785" s="435"/>
      <c r="V785" s="435"/>
      <c r="W785" s="463"/>
      <c r="X785" s="435"/>
      <c r="Y785" s="435"/>
      <c r="Z785" s="435"/>
      <c r="AA785" s="435"/>
      <c r="AB785" s="435"/>
      <c r="AC785" s="408"/>
      <c r="AD785" s="4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</row>
    <row r="786" spans="1:46" ht="15.75" customHeight="1">
      <c r="A786" s="110"/>
      <c r="B786" s="110"/>
      <c r="C786" s="110"/>
      <c r="D786" s="118"/>
      <c r="E786" s="118"/>
      <c r="F786" s="118"/>
      <c r="G786" s="408"/>
      <c r="H786" s="408"/>
      <c r="I786" s="408"/>
      <c r="J786" s="408"/>
      <c r="K786" s="408"/>
      <c r="L786" s="408"/>
      <c r="M786" s="118"/>
      <c r="N786" s="435"/>
      <c r="O786" s="435"/>
      <c r="P786" s="435"/>
      <c r="Q786" s="435"/>
      <c r="R786" s="435"/>
      <c r="S786" s="435"/>
      <c r="T786" s="435"/>
      <c r="U786" s="435"/>
      <c r="V786" s="435"/>
      <c r="W786" s="463"/>
      <c r="X786" s="435"/>
      <c r="Y786" s="435"/>
      <c r="Z786" s="435"/>
      <c r="AA786" s="435"/>
      <c r="AB786" s="435"/>
      <c r="AC786" s="408"/>
      <c r="AD786" s="4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</row>
    <row r="787" spans="1:46" ht="15.75" customHeight="1">
      <c r="A787" s="110"/>
      <c r="B787" s="110"/>
      <c r="C787" s="110"/>
      <c r="D787" s="118"/>
      <c r="E787" s="118"/>
      <c r="F787" s="118"/>
      <c r="G787" s="408"/>
      <c r="H787" s="408"/>
      <c r="I787" s="408"/>
      <c r="J787" s="408"/>
      <c r="K787" s="408"/>
      <c r="L787" s="408"/>
      <c r="M787" s="118"/>
      <c r="N787" s="435"/>
      <c r="O787" s="435"/>
      <c r="P787" s="435"/>
      <c r="Q787" s="435"/>
      <c r="R787" s="435"/>
      <c r="S787" s="435"/>
      <c r="T787" s="435"/>
      <c r="U787" s="435"/>
      <c r="V787" s="435"/>
      <c r="W787" s="463"/>
      <c r="X787" s="435"/>
      <c r="Y787" s="435"/>
      <c r="Z787" s="435"/>
      <c r="AA787" s="435"/>
      <c r="AB787" s="435"/>
      <c r="AC787" s="408"/>
      <c r="AD787" s="4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</row>
    <row r="788" spans="1:46" ht="15.75" customHeight="1">
      <c r="A788" s="110"/>
      <c r="B788" s="110"/>
      <c r="C788" s="110"/>
      <c r="D788" s="118"/>
      <c r="E788" s="118"/>
      <c r="F788" s="118"/>
      <c r="G788" s="408"/>
      <c r="H788" s="408"/>
      <c r="I788" s="408"/>
      <c r="J788" s="408"/>
      <c r="K788" s="408"/>
      <c r="L788" s="408"/>
      <c r="M788" s="118"/>
      <c r="N788" s="435"/>
      <c r="O788" s="435"/>
      <c r="P788" s="435"/>
      <c r="Q788" s="435"/>
      <c r="R788" s="435"/>
      <c r="S788" s="435"/>
      <c r="T788" s="435"/>
      <c r="U788" s="435"/>
      <c r="V788" s="435"/>
      <c r="W788" s="463"/>
      <c r="X788" s="435"/>
      <c r="Y788" s="435"/>
      <c r="Z788" s="435"/>
      <c r="AA788" s="435"/>
      <c r="AB788" s="435"/>
      <c r="AC788" s="408"/>
      <c r="AD788" s="4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</row>
    <row r="789" spans="1:46" ht="15.75" customHeight="1">
      <c r="A789" s="110"/>
      <c r="B789" s="110"/>
      <c r="C789" s="110"/>
      <c r="D789" s="118"/>
      <c r="E789" s="118"/>
      <c r="F789" s="118"/>
      <c r="G789" s="408"/>
      <c r="H789" s="408"/>
      <c r="I789" s="408"/>
      <c r="J789" s="408"/>
      <c r="K789" s="408"/>
      <c r="L789" s="408"/>
      <c r="M789" s="118"/>
      <c r="N789" s="435"/>
      <c r="O789" s="435"/>
      <c r="P789" s="435"/>
      <c r="Q789" s="435"/>
      <c r="R789" s="435"/>
      <c r="S789" s="435"/>
      <c r="T789" s="435"/>
      <c r="U789" s="435"/>
      <c r="V789" s="435"/>
      <c r="W789" s="463"/>
      <c r="X789" s="435"/>
      <c r="Y789" s="435"/>
      <c r="Z789" s="435"/>
      <c r="AA789" s="435"/>
      <c r="AB789" s="435"/>
      <c r="AC789" s="408"/>
      <c r="AD789" s="4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</row>
    <row r="790" spans="1:46" ht="15.75" customHeight="1">
      <c r="A790" s="110"/>
      <c r="B790" s="110"/>
      <c r="C790" s="110"/>
      <c r="D790" s="118"/>
      <c r="E790" s="118"/>
      <c r="F790" s="118"/>
      <c r="G790" s="408"/>
      <c r="H790" s="408"/>
      <c r="I790" s="408"/>
      <c r="J790" s="408"/>
      <c r="K790" s="408"/>
      <c r="L790" s="408"/>
      <c r="M790" s="118"/>
      <c r="N790" s="435"/>
      <c r="O790" s="435"/>
      <c r="P790" s="435"/>
      <c r="Q790" s="435"/>
      <c r="R790" s="435"/>
      <c r="S790" s="435"/>
      <c r="T790" s="435"/>
      <c r="U790" s="435"/>
      <c r="V790" s="435"/>
      <c r="W790" s="463"/>
      <c r="X790" s="435"/>
      <c r="Y790" s="435"/>
      <c r="Z790" s="435"/>
      <c r="AA790" s="435"/>
      <c r="AB790" s="435"/>
      <c r="AC790" s="408"/>
      <c r="AD790" s="4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</row>
    <row r="791" spans="1:46" ht="15.75" customHeight="1">
      <c r="A791" s="110"/>
      <c r="B791" s="110"/>
      <c r="C791" s="110"/>
      <c r="D791" s="118"/>
      <c r="E791" s="118"/>
      <c r="F791" s="118"/>
      <c r="G791" s="408"/>
      <c r="H791" s="408"/>
      <c r="I791" s="408"/>
      <c r="J791" s="408"/>
      <c r="K791" s="408"/>
      <c r="L791" s="408"/>
      <c r="M791" s="118"/>
      <c r="N791" s="435"/>
      <c r="O791" s="435"/>
      <c r="P791" s="435"/>
      <c r="Q791" s="435"/>
      <c r="R791" s="435"/>
      <c r="S791" s="435"/>
      <c r="T791" s="435"/>
      <c r="U791" s="435"/>
      <c r="V791" s="435"/>
      <c r="W791" s="463"/>
      <c r="X791" s="435"/>
      <c r="Y791" s="435"/>
      <c r="Z791" s="435"/>
      <c r="AA791" s="435"/>
      <c r="AB791" s="435"/>
      <c r="AC791" s="408"/>
      <c r="AD791" s="4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</row>
    <row r="792" spans="1:46" ht="15.75" customHeight="1">
      <c r="A792" s="110"/>
      <c r="B792" s="110"/>
      <c r="C792" s="110"/>
      <c r="D792" s="118"/>
      <c r="E792" s="118"/>
      <c r="F792" s="118"/>
      <c r="G792" s="408"/>
      <c r="H792" s="408"/>
      <c r="I792" s="408"/>
      <c r="J792" s="408"/>
      <c r="K792" s="408"/>
      <c r="L792" s="408"/>
      <c r="M792" s="118"/>
      <c r="N792" s="435"/>
      <c r="O792" s="435"/>
      <c r="P792" s="435"/>
      <c r="Q792" s="435"/>
      <c r="R792" s="435"/>
      <c r="S792" s="435"/>
      <c r="T792" s="435"/>
      <c r="U792" s="435"/>
      <c r="V792" s="435"/>
      <c r="W792" s="463"/>
      <c r="X792" s="435"/>
      <c r="Y792" s="435"/>
      <c r="Z792" s="435"/>
      <c r="AA792" s="435"/>
      <c r="AB792" s="435"/>
      <c r="AC792" s="408"/>
      <c r="AD792" s="4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</row>
    <row r="793" spans="1:46" ht="15.75" customHeight="1">
      <c r="A793" s="110"/>
      <c r="B793" s="110"/>
      <c r="C793" s="110"/>
      <c r="D793" s="118"/>
      <c r="E793" s="118"/>
      <c r="F793" s="118"/>
      <c r="G793" s="408"/>
      <c r="H793" s="408"/>
      <c r="I793" s="408"/>
      <c r="J793" s="408"/>
      <c r="K793" s="408"/>
      <c r="L793" s="408"/>
      <c r="M793" s="118"/>
      <c r="N793" s="435"/>
      <c r="O793" s="435"/>
      <c r="P793" s="435"/>
      <c r="Q793" s="435"/>
      <c r="R793" s="435"/>
      <c r="S793" s="435"/>
      <c r="T793" s="435"/>
      <c r="U793" s="435"/>
      <c r="V793" s="435"/>
      <c r="W793" s="463"/>
      <c r="X793" s="435"/>
      <c r="Y793" s="435"/>
      <c r="Z793" s="435"/>
      <c r="AA793" s="435"/>
      <c r="AB793" s="435"/>
      <c r="AC793" s="408"/>
      <c r="AD793" s="4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</row>
    <row r="794" spans="1:46" ht="15.75" customHeight="1">
      <c r="A794" s="110"/>
      <c r="B794" s="110"/>
      <c r="C794" s="110"/>
      <c r="D794" s="118"/>
      <c r="E794" s="118"/>
      <c r="F794" s="118"/>
      <c r="G794" s="408"/>
      <c r="H794" s="408"/>
      <c r="I794" s="408"/>
      <c r="J794" s="408"/>
      <c r="K794" s="408"/>
      <c r="L794" s="408"/>
      <c r="M794" s="118"/>
      <c r="N794" s="435"/>
      <c r="O794" s="435"/>
      <c r="P794" s="435"/>
      <c r="Q794" s="435"/>
      <c r="R794" s="435"/>
      <c r="S794" s="435"/>
      <c r="T794" s="435"/>
      <c r="U794" s="435"/>
      <c r="V794" s="435"/>
      <c r="W794" s="463"/>
      <c r="X794" s="435"/>
      <c r="Y794" s="435"/>
      <c r="Z794" s="435"/>
      <c r="AA794" s="435"/>
      <c r="AB794" s="435"/>
      <c r="AC794" s="408"/>
      <c r="AD794" s="4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</row>
    <row r="795" spans="1:46" ht="15.75" customHeight="1">
      <c r="A795" s="110"/>
      <c r="B795" s="110"/>
      <c r="C795" s="110"/>
      <c r="D795" s="118"/>
      <c r="E795" s="118"/>
      <c r="F795" s="118"/>
      <c r="G795" s="408"/>
      <c r="H795" s="408"/>
      <c r="I795" s="408"/>
      <c r="J795" s="408"/>
      <c r="K795" s="408"/>
      <c r="L795" s="408"/>
      <c r="M795" s="118"/>
      <c r="N795" s="435"/>
      <c r="O795" s="435"/>
      <c r="P795" s="435"/>
      <c r="Q795" s="435"/>
      <c r="R795" s="435"/>
      <c r="S795" s="435"/>
      <c r="T795" s="435"/>
      <c r="U795" s="435"/>
      <c r="V795" s="435"/>
      <c r="W795" s="463"/>
      <c r="X795" s="435"/>
      <c r="Y795" s="435"/>
      <c r="Z795" s="435"/>
      <c r="AA795" s="435"/>
      <c r="AB795" s="435"/>
      <c r="AC795" s="408"/>
      <c r="AD795" s="4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</row>
    <row r="796" spans="1:46" ht="15.75" customHeight="1">
      <c r="A796" s="110"/>
      <c r="B796" s="110"/>
      <c r="C796" s="110"/>
      <c r="D796" s="118"/>
      <c r="E796" s="118"/>
      <c r="F796" s="118"/>
      <c r="G796" s="408"/>
      <c r="H796" s="408"/>
      <c r="I796" s="408"/>
      <c r="J796" s="408"/>
      <c r="K796" s="408"/>
      <c r="L796" s="408"/>
      <c r="M796" s="118"/>
      <c r="N796" s="435"/>
      <c r="O796" s="435"/>
      <c r="P796" s="435"/>
      <c r="Q796" s="435"/>
      <c r="R796" s="435"/>
      <c r="S796" s="435"/>
      <c r="T796" s="435"/>
      <c r="U796" s="435"/>
      <c r="V796" s="435"/>
      <c r="W796" s="463"/>
      <c r="X796" s="435"/>
      <c r="Y796" s="435"/>
      <c r="Z796" s="435"/>
      <c r="AA796" s="435"/>
      <c r="AB796" s="435"/>
      <c r="AC796" s="408"/>
      <c r="AD796" s="4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</row>
    <row r="797" spans="1:46" ht="15.75" customHeight="1">
      <c r="A797" s="110"/>
      <c r="B797" s="110"/>
      <c r="C797" s="110"/>
      <c r="D797" s="118"/>
      <c r="E797" s="118"/>
      <c r="F797" s="118"/>
      <c r="G797" s="408"/>
      <c r="H797" s="408"/>
      <c r="I797" s="408"/>
      <c r="J797" s="408"/>
      <c r="K797" s="408"/>
      <c r="L797" s="408"/>
      <c r="M797" s="118"/>
      <c r="N797" s="435"/>
      <c r="O797" s="435"/>
      <c r="P797" s="435"/>
      <c r="Q797" s="435"/>
      <c r="R797" s="435"/>
      <c r="S797" s="435"/>
      <c r="T797" s="435"/>
      <c r="U797" s="435"/>
      <c r="V797" s="435"/>
      <c r="W797" s="463"/>
      <c r="X797" s="435"/>
      <c r="Y797" s="435"/>
      <c r="Z797" s="435"/>
      <c r="AA797" s="435"/>
      <c r="AB797" s="435"/>
      <c r="AC797" s="408"/>
      <c r="AD797" s="4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</row>
    <row r="798" spans="1:46" ht="15.75" customHeight="1">
      <c r="A798" s="110"/>
      <c r="B798" s="110"/>
      <c r="C798" s="110"/>
      <c r="D798" s="118"/>
      <c r="E798" s="118"/>
      <c r="F798" s="118"/>
      <c r="G798" s="408"/>
      <c r="H798" s="408"/>
      <c r="I798" s="408"/>
      <c r="J798" s="408"/>
      <c r="K798" s="408"/>
      <c r="L798" s="408"/>
      <c r="M798" s="118"/>
      <c r="N798" s="435"/>
      <c r="O798" s="435"/>
      <c r="P798" s="435"/>
      <c r="Q798" s="435"/>
      <c r="R798" s="435"/>
      <c r="S798" s="435"/>
      <c r="T798" s="435"/>
      <c r="U798" s="435"/>
      <c r="V798" s="435"/>
      <c r="W798" s="463"/>
      <c r="X798" s="435"/>
      <c r="Y798" s="435"/>
      <c r="Z798" s="435"/>
      <c r="AA798" s="435"/>
      <c r="AB798" s="435"/>
      <c r="AC798" s="408"/>
      <c r="AD798" s="4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</row>
    <row r="799" spans="1:46" ht="15.75" customHeight="1">
      <c r="A799" s="110"/>
      <c r="B799" s="110"/>
      <c r="C799" s="110"/>
      <c r="D799" s="118"/>
      <c r="E799" s="118"/>
      <c r="F799" s="118"/>
      <c r="G799" s="408"/>
      <c r="H799" s="408"/>
      <c r="I799" s="408"/>
      <c r="J799" s="408"/>
      <c r="K799" s="408"/>
      <c r="L799" s="408"/>
      <c r="M799" s="118"/>
      <c r="N799" s="435"/>
      <c r="O799" s="435"/>
      <c r="P799" s="435"/>
      <c r="Q799" s="435"/>
      <c r="R799" s="435"/>
      <c r="S799" s="435"/>
      <c r="T799" s="435"/>
      <c r="U799" s="435"/>
      <c r="V799" s="435"/>
      <c r="W799" s="463"/>
      <c r="X799" s="435"/>
      <c r="Y799" s="435"/>
      <c r="Z799" s="435"/>
      <c r="AA799" s="435"/>
      <c r="AB799" s="435"/>
      <c r="AC799" s="408"/>
      <c r="AD799" s="4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</row>
    <row r="800" spans="1:46" ht="15.75" customHeight="1">
      <c r="A800" s="110"/>
      <c r="B800" s="110"/>
      <c r="C800" s="110"/>
      <c r="D800" s="118"/>
      <c r="E800" s="118"/>
      <c r="F800" s="118"/>
      <c r="G800" s="408"/>
      <c r="H800" s="408"/>
      <c r="I800" s="408"/>
      <c r="J800" s="408"/>
      <c r="K800" s="408"/>
      <c r="L800" s="408"/>
      <c r="M800" s="118"/>
      <c r="N800" s="435"/>
      <c r="O800" s="435"/>
      <c r="P800" s="435"/>
      <c r="Q800" s="435"/>
      <c r="R800" s="435"/>
      <c r="S800" s="435"/>
      <c r="T800" s="435"/>
      <c r="U800" s="435"/>
      <c r="V800" s="435"/>
      <c r="W800" s="463"/>
      <c r="X800" s="435"/>
      <c r="Y800" s="435"/>
      <c r="Z800" s="435"/>
      <c r="AA800" s="435"/>
      <c r="AB800" s="435"/>
      <c r="AC800" s="408"/>
      <c r="AD800" s="4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</row>
    <row r="801" spans="1:46" ht="15.75" customHeight="1">
      <c r="A801" s="110"/>
      <c r="B801" s="110"/>
      <c r="C801" s="110"/>
      <c r="D801" s="118"/>
      <c r="E801" s="118"/>
      <c r="F801" s="118"/>
      <c r="G801" s="408"/>
      <c r="H801" s="408"/>
      <c r="I801" s="408"/>
      <c r="J801" s="408"/>
      <c r="K801" s="408"/>
      <c r="L801" s="408"/>
      <c r="M801" s="118"/>
      <c r="N801" s="435"/>
      <c r="O801" s="435"/>
      <c r="P801" s="435"/>
      <c r="Q801" s="435"/>
      <c r="R801" s="435"/>
      <c r="S801" s="435"/>
      <c r="T801" s="435"/>
      <c r="U801" s="435"/>
      <c r="V801" s="435"/>
      <c r="W801" s="463"/>
      <c r="X801" s="435"/>
      <c r="Y801" s="435"/>
      <c r="Z801" s="435"/>
      <c r="AA801" s="435"/>
      <c r="AB801" s="435"/>
      <c r="AC801" s="408"/>
      <c r="AD801" s="4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</row>
    <row r="802" spans="1:46" ht="15.75" customHeight="1">
      <c r="A802" s="110"/>
      <c r="B802" s="110"/>
      <c r="C802" s="110"/>
      <c r="D802" s="118"/>
      <c r="E802" s="118"/>
      <c r="F802" s="118"/>
      <c r="G802" s="408"/>
      <c r="H802" s="408"/>
      <c r="I802" s="408"/>
      <c r="J802" s="408"/>
      <c r="K802" s="408"/>
      <c r="L802" s="408"/>
      <c r="M802" s="118"/>
      <c r="N802" s="435"/>
      <c r="O802" s="435"/>
      <c r="P802" s="435"/>
      <c r="Q802" s="435"/>
      <c r="R802" s="435"/>
      <c r="S802" s="435"/>
      <c r="T802" s="435"/>
      <c r="U802" s="435"/>
      <c r="V802" s="435"/>
      <c r="W802" s="463"/>
      <c r="X802" s="435"/>
      <c r="Y802" s="435"/>
      <c r="Z802" s="435"/>
      <c r="AA802" s="435"/>
      <c r="AB802" s="435"/>
      <c r="AC802" s="408"/>
      <c r="AD802" s="4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</row>
    <row r="803" spans="1:46" ht="15.75" customHeight="1">
      <c r="A803" s="110"/>
      <c r="B803" s="110"/>
      <c r="C803" s="110"/>
      <c r="D803" s="118"/>
      <c r="E803" s="118"/>
      <c r="F803" s="118"/>
      <c r="G803" s="408"/>
      <c r="H803" s="408"/>
      <c r="I803" s="408"/>
      <c r="J803" s="408"/>
      <c r="K803" s="408"/>
      <c r="L803" s="408"/>
      <c r="M803" s="118"/>
      <c r="N803" s="435"/>
      <c r="O803" s="435"/>
      <c r="P803" s="435"/>
      <c r="Q803" s="435"/>
      <c r="R803" s="435"/>
      <c r="S803" s="435"/>
      <c r="T803" s="435"/>
      <c r="U803" s="435"/>
      <c r="V803" s="435"/>
      <c r="W803" s="463"/>
      <c r="X803" s="435"/>
      <c r="Y803" s="435"/>
      <c r="Z803" s="435"/>
      <c r="AA803" s="435"/>
      <c r="AB803" s="435"/>
      <c r="AC803" s="408"/>
      <c r="AD803" s="4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</row>
    <row r="804" spans="1:46" ht="15.75" customHeight="1">
      <c r="A804" s="110"/>
      <c r="B804" s="110"/>
      <c r="C804" s="110"/>
      <c r="D804" s="118"/>
      <c r="E804" s="118"/>
      <c r="F804" s="118"/>
      <c r="G804" s="408"/>
      <c r="H804" s="408"/>
      <c r="I804" s="408"/>
      <c r="J804" s="408"/>
      <c r="K804" s="408"/>
      <c r="L804" s="408"/>
      <c r="M804" s="118"/>
      <c r="N804" s="435"/>
      <c r="O804" s="435"/>
      <c r="P804" s="435"/>
      <c r="Q804" s="435"/>
      <c r="R804" s="435"/>
      <c r="S804" s="435"/>
      <c r="T804" s="435"/>
      <c r="U804" s="435"/>
      <c r="V804" s="435"/>
      <c r="W804" s="463"/>
      <c r="X804" s="435"/>
      <c r="Y804" s="435"/>
      <c r="Z804" s="435"/>
      <c r="AA804" s="435"/>
      <c r="AB804" s="435"/>
      <c r="AC804" s="408"/>
      <c r="AD804" s="4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</row>
    <row r="805" spans="1:46" ht="15.75" customHeight="1">
      <c r="A805" s="110"/>
      <c r="B805" s="110"/>
      <c r="C805" s="110"/>
      <c r="D805" s="118"/>
      <c r="E805" s="118"/>
      <c r="F805" s="118"/>
      <c r="G805" s="408"/>
      <c r="H805" s="408"/>
      <c r="I805" s="408"/>
      <c r="J805" s="408"/>
      <c r="K805" s="408"/>
      <c r="L805" s="408"/>
      <c r="M805" s="118"/>
      <c r="N805" s="435"/>
      <c r="O805" s="435"/>
      <c r="P805" s="435"/>
      <c r="Q805" s="435"/>
      <c r="R805" s="435"/>
      <c r="S805" s="435"/>
      <c r="T805" s="435"/>
      <c r="U805" s="435"/>
      <c r="V805" s="435"/>
      <c r="W805" s="463"/>
      <c r="X805" s="435"/>
      <c r="Y805" s="435"/>
      <c r="Z805" s="435"/>
      <c r="AA805" s="435"/>
      <c r="AB805" s="435"/>
      <c r="AC805" s="408"/>
      <c r="AD805" s="4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</row>
    <row r="806" spans="1:46" ht="15.75" customHeight="1">
      <c r="A806" s="110"/>
      <c r="B806" s="110"/>
      <c r="C806" s="110"/>
      <c r="D806" s="118"/>
      <c r="E806" s="118"/>
      <c r="F806" s="118"/>
      <c r="G806" s="408"/>
      <c r="H806" s="408"/>
      <c r="I806" s="408"/>
      <c r="J806" s="408"/>
      <c r="K806" s="408"/>
      <c r="L806" s="408"/>
      <c r="M806" s="118"/>
      <c r="N806" s="435"/>
      <c r="O806" s="435"/>
      <c r="P806" s="435"/>
      <c r="Q806" s="435"/>
      <c r="R806" s="435"/>
      <c r="S806" s="435"/>
      <c r="T806" s="435"/>
      <c r="U806" s="435"/>
      <c r="V806" s="435"/>
      <c r="W806" s="463"/>
      <c r="X806" s="435"/>
      <c r="Y806" s="435"/>
      <c r="Z806" s="435"/>
      <c r="AA806" s="435"/>
      <c r="AB806" s="435"/>
      <c r="AC806" s="408"/>
      <c r="AD806" s="4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</row>
    <row r="807" spans="1:46" ht="15.75" customHeight="1">
      <c r="A807" s="110"/>
      <c r="B807" s="110"/>
      <c r="C807" s="110"/>
      <c r="D807" s="118"/>
      <c r="E807" s="118"/>
      <c r="F807" s="118"/>
      <c r="G807" s="408"/>
      <c r="H807" s="408"/>
      <c r="I807" s="408"/>
      <c r="J807" s="408"/>
      <c r="K807" s="408"/>
      <c r="L807" s="408"/>
      <c r="M807" s="118"/>
      <c r="N807" s="435"/>
      <c r="O807" s="435"/>
      <c r="P807" s="435"/>
      <c r="Q807" s="435"/>
      <c r="R807" s="435"/>
      <c r="S807" s="435"/>
      <c r="T807" s="435"/>
      <c r="U807" s="435"/>
      <c r="V807" s="435"/>
      <c r="W807" s="463"/>
      <c r="X807" s="435"/>
      <c r="Y807" s="435"/>
      <c r="Z807" s="435"/>
      <c r="AA807" s="435"/>
      <c r="AB807" s="435"/>
      <c r="AC807" s="408"/>
      <c r="AD807" s="4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</row>
    <row r="808" spans="1:46" ht="15.75" customHeight="1">
      <c r="A808" s="110"/>
      <c r="B808" s="110"/>
      <c r="C808" s="110"/>
      <c r="D808" s="118"/>
      <c r="E808" s="118"/>
      <c r="F808" s="118"/>
      <c r="G808" s="408"/>
      <c r="H808" s="408"/>
      <c r="I808" s="408"/>
      <c r="J808" s="408"/>
      <c r="K808" s="408"/>
      <c r="L808" s="408"/>
      <c r="M808" s="118"/>
      <c r="N808" s="435"/>
      <c r="O808" s="435"/>
      <c r="P808" s="435"/>
      <c r="Q808" s="435"/>
      <c r="R808" s="435"/>
      <c r="S808" s="435"/>
      <c r="T808" s="435"/>
      <c r="U808" s="435"/>
      <c r="V808" s="435"/>
      <c r="W808" s="463"/>
      <c r="X808" s="435"/>
      <c r="Y808" s="435"/>
      <c r="Z808" s="435"/>
      <c r="AA808" s="435"/>
      <c r="AB808" s="435"/>
      <c r="AC808" s="408"/>
      <c r="AD808" s="4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</row>
    <row r="809" spans="1:46" ht="15.75" customHeight="1">
      <c r="A809" s="110"/>
      <c r="B809" s="110"/>
      <c r="C809" s="110"/>
      <c r="D809" s="118"/>
      <c r="E809" s="118"/>
      <c r="F809" s="118"/>
      <c r="G809" s="408"/>
      <c r="H809" s="408"/>
      <c r="I809" s="408"/>
      <c r="J809" s="408"/>
      <c r="K809" s="408"/>
      <c r="L809" s="408"/>
      <c r="M809" s="118"/>
      <c r="N809" s="435"/>
      <c r="O809" s="435"/>
      <c r="P809" s="435"/>
      <c r="Q809" s="435"/>
      <c r="R809" s="435"/>
      <c r="S809" s="435"/>
      <c r="T809" s="435"/>
      <c r="U809" s="435"/>
      <c r="V809" s="435"/>
      <c r="W809" s="463"/>
      <c r="X809" s="435"/>
      <c r="Y809" s="435"/>
      <c r="Z809" s="435"/>
      <c r="AA809" s="435"/>
      <c r="AB809" s="435"/>
      <c r="AC809" s="408"/>
      <c r="AD809" s="4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</row>
    <row r="810" spans="1:46" ht="15.75" customHeight="1">
      <c r="A810" s="110"/>
      <c r="B810" s="110"/>
      <c r="C810" s="110"/>
      <c r="D810" s="118"/>
      <c r="E810" s="118"/>
      <c r="F810" s="118"/>
      <c r="G810" s="408"/>
      <c r="H810" s="408"/>
      <c r="I810" s="408"/>
      <c r="J810" s="408"/>
      <c r="K810" s="408"/>
      <c r="L810" s="408"/>
      <c r="M810" s="118"/>
      <c r="N810" s="435"/>
      <c r="O810" s="435"/>
      <c r="P810" s="435"/>
      <c r="Q810" s="435"/>
      <c r="R810" s="435"/>
      <c r="S810" s="435"/>
      <c r="T810" s="435"/>
      <c r="U810" s="435"/>
      <c r="V810" s="435"/>
      <c r="W810" s="463"/>
      <c r="X810" s="435"/>
      <c r="Y810" s="435"/>
      <c r="Z810" s="435"/>
      <c r="AA810" s="435"/>
      <c r="AB810" s="435"/>
      <c r="AC810" s="408"/>
      <c r="AD810" s="4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</row>
    <row r="811" spans="1:46" ht="15.75" customHeight="1">
      <c r="A811" s="110"/>
      <c r="B811" s="110"/>
      <c r="C811" s="110"/>
      <c r="D811" s="118"/>
      <c r="E811" s="118"/>
      <c r="F811" s="118"/>
      <c r="G811" s="408"/>
      <c r="H811" s="408"/>
      <c r="I811" s="408"/>
      <c r="J811" s="408"/>
      <c r="K811" s="408"/>
      <c r="L811" s="408"/>
      <c r="M811" s="118"/>
      <c r="N811" s="435"/>
      <c r="O811" s="435"/>
      <c r="P811" s="435"/>
      <c r="Q811" s="435"/>
      <c r="R811" s="435"/>
      <c r="S811" s="435"/>
      <c r="T811" s="435"/>
      <c r="U811" s="435"/>
      <c r="V811" s="435"/>
      <c r="W811" s="463"/>
      <c r="X811" s="435"/>
      <c r="Y811" s="435"/>
      <c r="Z811" s="435"/>
      <c r="AA811" s="435"/>
      <c r="AB811" s="435"/>
      <c r="AC811" s="408"/>
      <c r="AD811" s="4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</row>
    <row r="812" spans="1:46" ht="15.75" customHeight="1">
      <c r="A812" s="110"/>
      <c r="B812" s="110"/>
      <c r="C812" s="110"/>
      <c r="D812" s="118"/>
      <c r="E812" s="118"/>
      <c r="F812" s="118"/>
      <c r="G812" s="408"/>
      <c r="H812" s="408"/>
      <c r="I812" s="408"/>
      <c r="J812" s="408"/>
      <c r="K812" s="408"/>
      <c r="L812" s="408"/>
      <c r="M812" s="118"/>
      <c r="N812" s="435"/>
      <c r="O812" s="435"/>
      <c r="P812" s="435"/>
      <c r="Q812" s="435"/>
      <c r="R812" s="435"/>
      <c r="S812" s="435"/>
      <c r="T812" s="435"/>
      <c r="U812" s="435"/>
      <c r="V812" s="435"/>
      <c r="W812" s="463"/>
      <c r="X812" s="435"/>
      <c r="Y812" s="435"/>
      <c r="Z812" s="435"/>
      <c r="AA812" s="435"/>
      <c r="AB812" s="435"/>
      <c r="AC812" s="408"/>
      <c r="AD812" s="4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</row>
    <row r="813" spans="1:46" ht="15.75" customHeight="1">
      <c r="A813" s="110"/>
      <c r="B813" s="110"/>
      <c r="C813" s="110"/>
      <c r="D813" s="118"/>
      <c r="E813" s="118"/>
      <c r="F813" s="118"/>
      <c r="G813" s="408"/>
      <c r="H813" s="408"/>
      <c r="I813" s="408"/>
      <c r="J813" s="408"/>
      <c r="K813" s="408"/>
      <c r="L813" s="408"/>
      <c r="M813" s="118"/>
      <c r="N813" s="435"/>
      <c r="O813" s="435"/>
      <c r="P813" s="435"/>
      <c r="Q813" s="435"/>
      <c r="R813" s="435"/>
      <c r="S813" s="435"/>
      <c r="T813" s="435"/>
      <c r="U813" s="435"/>
      <c r="V813" s="435"/>
      <c r="W813" s="463"/>
      <c r="X813" s="435"/>
      <c r="Y813" s="435"/>
      <c r="Z813" s="435"/>
      <c r="AA813" s="435"/>
      <c r="AB813" s="435"/>
      <c r="AC813" s="408"/>
      <c r="AD813" s="4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</row>
    <row r="814" spans="1:46" ht="15.75" customHeight="1">
      <c r="A814" s="110"/>
      <c r="B814" s="110"/>
      <c r="C814" s="110"/>
      <c r="D814" s="118"/>
      <c r="E814" s="118"/>
      <c r="F814" s="118"/>
      <c r="G814" s="408"/>
      <c r="H814" s="408"/>
      <c r="I814" s="408"/>
      <c r="J814" s="408"/>
      <c r="K814" s="408"/>
      <c r="L814" s="408"/>
      <c r="M814" s="118"/>
      <c r="N814" s="435"/>
      <c r="O814" s="435"/>
      <c r="P814" s="435"/>
      <c r="Q814" s="435"/>
      <c r="R814" s="435"/>
      <c r="S814" s="435"/>
      <c r="T814" s="435"/>
      <c r="U814" s="435"/>
      <c r="V814" s="435"/>
      <c r="W814" s="463"/>
      <c r="X814" s="435"/>
      <c r="Y814" s="435"/>
      <c r="Z814" s="435"/>
      <c r="AA814" s="435"/>
      <c r="AB814" s="435"/>
      <c r="AC814" s="408"/>
      <c r="AD814" s="4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</row>
    <row r="815" spans="1:46" ht="15.75" customHeight="1">
      <c r="A815" s="110"/>
      <c r="B815" s="110"/>
      <c r="C815" s="110"/>
      <c r="D815" s="118"/>
      <c r="E815" s="118"/>
      <c r="F815" s="118"/>
      <c r="G815" s="408"/>
      <c r="H815" s="408"/>
      <c r="I815" s="408"/>
      <c r="J815" s="408"/>
      <c r="K815" s="408"/>
      <c r="L815" s="408"/>
      <c r="M815" s="118"/>
      <c r="N815" s="435"/>
      <c r="O815" s="435"/>
      <c r="P815" s="435"/>
      <c r="Q815" s="435"/>
      <c r="R815" s="435"/>
      <c r="S815" s="435"/>
      <c r="T815" s="435"/>
      <c r="U815" s="435"/>
      <c r="V815" s="435"/>
      <c r="W815" s="463"/>
      <c r="X815" s="435"/>
      <c r="Y815" s="435"/>
      <c r="Z815" s="435"/>
      <c r="AA815" s="435"/>
      <c r="AB815" s="435"/>
      <c r="AC815" s="408"/>
      <c r="AD815" s="4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</row>
    <row r="816" spans="1:46" ht="15.75" customHeight="1">
      <c r="A816" s="110"/>
      <c r="B816" s="110"/>
      <c r="C816" s="110"/>
      <c r="D816" s="118"/>
      <c r="E816" s="118"/>
      <c r="F816" s="118"/>
      <c r="G816" s="408"/>
      <c r="H816" s="408"/>
      <c r="I816" s="408"/>
      <c r="J816" s="408"/>
      <c r="K816" s="408"/>
      <c r="L816" s="408"/>
      <c r="M816" s="118"/>
      <c r="N816" s="435"/>
      <c r="O816" s="435"/>
      <c r="P816" s="435"/>
      <c r="Q816" s="435"/>
      <c r="R816" s="435"/>
      <c r="S816" s="435"/>
      <c r="T816" s="435"/>
      <c r="U816" s="435"/>
      <c r="V816" s="435"/>
      <c r="W816" s="463"/>
      <c r="X816" s="435"/>
      <c r="Y816" s="435"/>
      <c r="Z816" s="435"/>
      <c r="AA816" s="435"/>
      <c r="AB816" s="435"/>
      <c r="AC816" s="408"/>
      <c r="AD816" s="4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</row>
    <row r="817" spans="1:46" ht="15.75" customHeight="1">
      <c r="A817" s="110"/>
      <c r="B817" s="110"/>
      <c r="C817" s="110"/>
      <c r="D817" s="118"/>
      <c r="E817" s="118"/>
      <c r="F817" s="118"/>
      <c r="G817" s="408"/>
      <c r="H817" s="408"/>
      <c r="I817" s="408"/>
      <c r="J817" s="408"/>
      <c r="K817" s="408"/>
      <c r="L817" s="408"/>
      <c r="M817" s="118"/>
      <c r="N817" s="435"/>
      <c r="O817" s="435"/>
      <c r="P817" s="435"/>
      <c r="Q817" s="435"/>
      <c r="R817" s="435"/>
      <c r="S817" s="435"/>
      <c r="T817" s="435"/>
      <c r="U817" s="435"/>
      <c r="V817" s="435"/>
      <c r="W817" s="463"/>
      <c r="X817" s="435"/>
      <c r="Y817" s="435"/>
      <c r="Z817" s="435"/>
      <c r="AA817" s="435"/>
      <c r="AB817" s="435"/>
      <c r="AC817" s="408"/>
      <c r="AD817" s="4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</row>
    <row r="818" spans="1:46" ht="15.75" customHeight="1">
      <c r="A818" s="110"/>
      <c r="B818" s="110"/>
      <c r="C818" s="110"/>
      <c r="D818" s="118"/>
      <c r="E818" s="118"/>
      <c r="F818" s="118"/>
      <c r="G818" s="408"/>
      <c r="H818" s="408"/>
      <c r="I818" s="408"/>
      <c r="J818" s="408"/>
      <c r="K818" s="408"/>
      <c r="L818" s="408"/>
      <c r="M818" s="118"/>
      <c r="N818" s="435"/>
      <c r="O818" s="435"/>
      <c r="P818" s="435"/>
      <c r="Q818" s="435"/>
      <c r="R818" s="435"/>
      <c r="S818" s="435"/>
      <c r="T818" s="435"/>
      <c r="U818" s="435"/>
      <c r="V818" s="435"/>
      <c r="W818" s="463"/>
      <c r="X818" s="435"/>
      <c r="Y818" s="435"/>
      <c r="Z818" s="435"/>
      <c r="AA818" s="435"/>
      <c r="AB818" s="435"/>
      <c r="AC818" s="408"/>
      <c r="AD818" s="4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</row>
    <row r="819" spans="1:46" ht="15.75" customHeight="1">
      <c r="A819" s="110"/>
      <c r="B819" s="110"/>
      <c r="C819" s="110"/>
      <c r="D819" s="118"/>
      <c r="E819" s="118"/>
      <c r="F819" s="118"/>
      <c r="G819" s="408"/>
      <c r="H819" s="408"/>
      <c r="I819" s="408"/>
      <c r="J819" s="408"/>
      <c r="K819" s="408"/>
      <c r="L819" s="408"/>
      <c r="M819" s="118"/>
      <c r="N819" s="435"/>
      <c r="O819" s="435"/>
      <c r="P819" s="435"/>
      <c r="Q819" s="435"/>
      <c r="R819" s="435"/>
      <c r="S819" s="435"/>
      <c r="T819" s="435"/>
      <c r="U819" s="435"/>
      <c r="V819" s="435"/>
      <c r="W819" s="463"/>
      <c r="X819" s="435"/>
      <c r="Y819" s="435"/>
      <c r="Z819" s="435"/>
      <c r="AA819" s="435"/>
      <c r="AB819" s="435"/>
      <c r="AC819" s="408"/>
      <c r="AD819" s="4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</row>
    <row r="820" spans="1:46" ht="15.75" customHeight="1">
      <c r="A820" s="110"/>
      <c r="B820" s="110"/>
      <c r="C820" s="110"/>
      <c r="D820" s="118"/>
      <c r="E820" s="118"/>
      <c r="F820" s="118"/>
      <c r="G820" s="408"/>
      <c r="H820" s="408"/>
      <c r="I820" s="408"/>
      <c r="J820" s="408"/>
      <c r="K820" s="408"/>
      <c r="L820" s="408"/>
      <c r="M820" s="118"/>
      <c r="N820" s="435"/>
      <c r="O820" s="435"/>
      <c r="P820" s="435"/>
      <c r="Q820" s="435"/>
      <c r="R820" s="435"/>
      <c r="S820" s="435"/>
      <c r="T820" s="435"/>
      <c r="U820" s="435"/>
      <c r="V820" s="435"/>
      <c r="W820" s="463"/>
      <c r="X820" s="435"/>
      <c r="Y820" s="435"/>
      <c r="Z820" s="435"/>
      <c r="AA820" s="435"/>
      <c r="AB820" s="435"/>
      <c r="AC820" s="408"/>
      <c r="AD820" s="4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</row>
    <row r="821" spans="1:46" ht="15.75" customHeight="1">
      <c r="A821" s="110"/>
      <c r="B821" s="110"/>
      <c r="C821" s="110"/>
      <c r="D821" s="118"/>
      <c r="E821" s="118"/>
      <c r="F821" s="118"/>
      <c r="G821" s="408"/>
      <c r="H821" s="408"/>
      <c r="I821" s="408"/>
      <c r="J821" s="408"/>
      <c r="K821" s="408"/>
      <c r="L821" s="408"/>
      <c r="M821" s="118"/>
      <c r="N821" s="435"/>
      <c r="O821" s="435"/>
      <c r="P821" s="435"/>
      <c r="Q821" s="435"/>
      <c r="R821" s="435"/>
      <c r="S821" s="435"/>
      <c r="T821" s="435"/>
      <c r="U821" s="435"/>
      <c r="V821" s="435"/>
      <c r="W821" s="463"/>
      <c r="X821" s="435"/>
      <c r="Y821" s="435"/>
      <c r="Z821" s="435"/>
      <c r="AA821" s="435"/>
      <c r="AB821" s="435"/>
      <c r="AC821" s="408"/>
      <c r="AD821" s="4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</row>
    <row r="822" spans="1:46" ht="15.75" customHeight="1">
      <c r="A822" s="110"/>
      <c r="B822" s="110"/>
      <c r="C822" s="110"/>
      <c r="D822" s="118"/>
      <c r="E822" s="118"/>
      <c r="F822" s="118"/>
      <c r="G822" s="408"/>
      <c r="H822" s="408"/>
      <c r="I822" s="408"/>
      <c r="J822" s="408"/>
      <c r="K822" s="408"/>
      <c r="L822" s="408"/>
      <c r="M822" s="118"/>
      <c r="N822" s="435"/>
      <c r="O822" s="435"/>
      <c r="P822" s="435"/>
      <c r="Q822" s="435"/>
      <c r="R822" s="435"/>
      <c r="S822" s="435"/>
      <c r="T822" s="435"/>
      <c r="U822" s="435"/>
      <c r="V822" s="435"/>
      <c r="W822" s="463"/>
      <c r="X822" s="435"/>
      <c r="Y822" s="435"/>
      <c r="Z822" s="435"/>
      <c r="AA822" s="435"/>
      <c r="AB822" s="435"/>
      <c r="AC822" s="408"/>
      <c r="AD822" s="4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</row>
    <row r="823" spans="1:46" ht="15.75" customHeight="1">
      <c r="A823" s="110"/>
      <c r="B823" s="110"/>
      <c r="C823" s="110"/>
      <c r="D823" s="118"/>
      <c r="E823" s="118"/>
      <c r="F823" s="118"/>
      <c r="G823" s="408"/>
      <c r="H823" s="408"/>
      <c r="I823" s="408"/>
      <c r="J823" s="408"/>
      <c r="K823" s="408"/>
      <c r="L823" s="408"/>
      <c r="M823" s="118"/>
      <c r="N823" s="435"/>
      <c r="O823" s="435"/>
      <c r="P823" s="435"/>
      <c r="Q823" s="435"/>
      <c r="R823" s="435"/>
      <c r="S823" s="435"/>
      <c r="T823" s="435"/>
      <c r="U823" s="435"/>
      <c r="V823" s="435"/>
      <c r="W823" s="463"/>
      <c r="X823" s="435"/>
      <c r="Y823" s="435"/>
      <c r="Z823" s="435"/>
      <c r="AA823" s="435"/>
      <c r="AB823" s="435"/>
      <c r="AC823" s="408"/>
      <c r="AD823" s="4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</row>
    <row r="824" spans="1:46" ht="15.75" customHeight="1">
      <c r="A824" s="110"/>
      <c r="B824" s="110"/>
      <c r="C824" s="110"/>
      <c r="D824" s="118"/>
      <c r="E824" s="118"/>
      <c r="F824" s="118"/>
      <c r="G824" s="408"/>
      <c r="H824" s="408"/>
      <c r="I824" s="408"/>
      <c r="J824" s="408"/>
      <c r="K824" s="408"/>
      <c r="L824" s="408"/>
      <c r="M824" s="118"/>
      <c r="N824" s="435"/>
      <c r="O824" s="435"/>
      <c r="P824" s="435"/>
      <c r="Q824" s="435"/>
      <c r="R824" s="435"/>
      <c r="S824" s="435"/>
      <c r="T824" s="435"/>
      <c r="U824" s="435"/>
      <c r="V824" s="435"/>
      <c r="W824" s="463"/>
      <c r="X824" s="435"/>
      <c r="Y824" s="435"/>
      <c r="Z824" s="435"/>
      <c r="AA824" s="435"/>
      <c r="AB824" s="435"/>
      <c r="AC824" s="408"/>
      <c r="AD824" s="4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</row>
    <row r="825" spans="1:46" ht="15.75" customHeight="1">
      <c r="A825" s="110"/>
      <c r="B825" s="110"/>
      <c r="C825" s="110"/>
      <c r="D825" s="118"/>
      <c r="E825" s="118"/>
      <c r="F825" s="118"/>
      <c r="G825" s="408"/>
      <c r="H825" s="408"/>
      <c r="I825" s="408"/>
      <c r="J825" s="408"/>
      <c r="K825" s="408"/>
      <c r="L825" s="408"/>
      <c r="M825" s="118"/>
      <c r="N825" s="435"/>
      <c r="O825" s="435"/>
      <c r="P825" s="435"/>
      <c r="Q825" s="435"/>
      <c r="R825" s="435"/>
      <c r="S825" s="435"/>
      <c r="T825" s="435"/>
      <c r="U825" s="435"/>
      <c r="V825" s="435"/>
      <c r="W825" s="463"/>
      <c r="X825" s="435"/>
      <c r="Y825" s="435"/>
      <c r="Z825" s="435"/>
      <c r="AA825" s="435"/>
      <c r="AB825" s="435"/>
      <c r="AC825" s="408"/>
      <c r="AD825" s="4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</row>
    <row r="826" spans="1:46" ht="15.75" customHeight="1">
      <c r="A826" s="110"/>
      <c r="B826" s="110"/>
      <c r="C826" s="110"/>
      <c r="D826" s="118"/>
      <c r="E826" s="118"/>
      <c r="F826" s="118"/>
      <c r="G826" s="408"/>
      <c r="H826" s="408"/>
      <c r="I826" s="408"/>
      <c r="J826" s="408"/>
      <c r="K826" s="408"/>
      <c r="L826" s="408"/>
      <c r="M826" s="118"/>
      <c r="N826" s="435"/>
      <c r="O826" s="435"/>
      <c r="P826" s="435"/>
      <c r="Q826" s="435"/>
      <c r="R826" s="435"/>
      <c r="S826" s="435"/>
      <c r="T826" s="435"/>
      <c r="U826" s="435"/>
      <c r="V826" s="435"/>
      <c r="W826" s="463"/>
      <c r="X826" s="435"/>
      <c r="Y826" s="435"/>
      <c r="Z826" s="435"/>
      <c r="AA826" s="435"/>
      <c r="AB826" s="435"/>
      <c r="AC826" s="408"/>
      <c r="AD826" s="4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</row>
    <row r="827" spans="1:46" ht="15.75" customHeight="1">
      <c r="A827" s="110"/>
      <c r="B827" s="110"/>
      <c r="C827" s="110"/>
      <c r="D827" s="118"/>
      <c r="E827" s="118"/>
      <c r="F827" s="118"/>
      <c r="G827" s="408"/>
      <c r="H827" s="408"/>
      <c r="I827" s="408"/>
      <c r="J827" s="408"/>
      <c r="K827" s="408"/>
      <c r="L827" s="408"/>
      <c r="M827" s="118"/>
      <c r="N827" s="435"/>
      <c r="O827" s="435"/>
      <c r="P827" s="435"/>
      <c r="Q827" s="435"/>
      <c r="R827" s="435"/>
      <c r="S827" s="435"/>
      <c r="T827" s="435"/>
      <c r="U827" s="435"/>
      <c r="V827" s="435"/>
      <c r="W827" s="463"/>
      <c r="X827" s="435"/>
      <c r="Y827" s="435"/>
      <c r="Z827" s="435"/>
      <c r="AA827" s="435"/>
      <c r="AB827" s="435"/>
      <c r="AC827" s="408"/>
      <c r="AD827" s="4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</row>
    <row r="828" spans="1:46" ht="15.75" customHeight="1">
      <c r="A828" s="110"/>
      <c r="B828" s="110"/>
      <c r="C828" s="110"/>
      <c r="D828" s="118"/>
      <c r="E828" s="118"/>
      <c r="F828" s="118"/>
      <c r="G828" s="408"/>
      <c r="H828" s="408"/>
      <c r="I828" s="408"/>
      <c r="J828" s="408"/>
      <c r="K828" s="408"/>
      <c r="L828" s="408"/>
      <c r="M828" s="118"/>
      <c r="N828" s="435"/>
      <c r="O828" s="435"/>
      <c r="P828" s="435"/>
      <c r="Q828" s="435"/>
      <c r="R828" s="435"/>
      <c r="S828" s="435"/>
      <c r="T828" s="435"/>
      <c r="U828" s="435"/>
      <c r="V828" s="435"/>
      <c r="W828" s="463"/>
      <c r="X828" s="435"/>
      <c r="Y828" s="435"/>
      <c r="Z828" s="435"/>
      <c r="AA828" s="435"/>
      <c r="AB828" s="435"/>
      <c r="AC828" s="408"/>
      <c r="AD828" s="4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</row>
    <row r="829" spans="1:46" ht="15.75" customHeight="1">
      <c r="A829" s="110"/>
      <c r="B829" s="110"/>
      <c r="C829" s="110"/>
      <c r="D829" s="118"/>
      <c r="E829" s="118"/>
      <c r="F829" s="118"/>
      <c r="G829" s="408"/>
      <c r="H829" s="408"/>
      <c r="I829" s="408"/>
      <c r="J829" s="408"/>
      <c r="K829" s="408"/>
      <c r="L829" s="408"/>
      <c r="M829" s="118"/>
      <c r="N829" s="435"/>
      <c r="O829" s="435"/>
      <c r="P829" s="435"/>
      <c r="Q829" s="435"/>
      <c r="R829" s="435"/>
      <c r="S829" s="435"/>
      <c r="T829" s="435"/>
      <c r="U829" s="435"/>
      <c r="V829" s="435"/>
      <c r="W829" s="463"/>
      <c r="X829" s="435"/>
      <c r="Y829" s="435"/>
      <c r="Z829" s="435"/>
      <c r="AA829" s="435"/>
      <c r="AB829" s="435"/>
      <c r="AC829" s="408"/>
      <c r="AD829" s="4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</row>
    <row r="830" spans="1:46" ht="15.75" customHeight="1">
      <c r="A830" s="110"/>
      <c r="B830" s="110"/>
      <c r="C830" s="110"/>
      <c r="D830" s="118"/>
      <c r="E830" s="118"/>
      <c r="F830" s="118"/>
      <c r="G830" s="408"/>
      <c r="H830" s="408"/>
      <c r="I830" s="408"/>
      <c r="J830" s="408"/>
      <c r="K830" s="408"/>
      <c r="L830" s="408"/>
      <c r="M830" s="118"/>
      <c r="N830" s="435"/>
      <c r="O830" s="435"/>
      <c r="P830" s="435"/>
      <c r="Q830" s="435"/>
      <c r="R830" s="435"/>
      <c r="S830" s="435"/>
      <c r="T830" s="435"/>
      <c r="U830" s="435"/>
      <c r="V830" s="435"/>
      <c r="W830" s="463"/>
      <c r="X830" s="435"/>
      <c r="Y830" s="435"/>
      <c r="Z830" s="435"/>
      <c r="AA830" s="435"/>
      <c r="AB830" s="435"/>
      <c r="AC830" s="408"/>
      <c r="AD830" s="4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</row>
    <row r="831" spans="1:46" ht="15.75" customHeight="1">
      <c r="A831" s="110"/>
      <c r="B831" s="110"/>
      <c r="C831" s="110"/>
      <c r="D831" s="118"/>
      <c r="E831" s="118"/>
      <c r="F831" s="118"/>
      <c r="G831" s="408"/>
      <c r="H831" s="408"/>
      <c r="I831" s="408"/>
      <c r="J831" s="408"/>
      <c r="K831" s="408"/>
      <c r="L831" s="408"/>
      <c r="M831" s="118"/>
      <c r="N831" s="435"/>
      <c r="O831" s="435"/>
      <c r="P831" s="435"/>
      <c r="Q831" s="435"/>
      <c r="R831" s="435"/>
      <c r="S831" s="435"/>
      <c r="T831" s="435"/>
      <c r="U831" s="435"/>
      <c r="V831" s="435"/>
      <c r="W831" s="463"/>
      <c r="X831" s="435"/>
      <c r="Y831" s="435"/>
      <c r="Z831" s="435"/>
      <c r="AA831" s="435"/>
      <c r="AB831" s="435"/>
      <c r="AC831" s="408"/>
      <c r="AD831" s="4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</row>
    <row r="832" spans="1:46" ht="15.75" customHeight="1">
      <c r="A832" s="110"/>
      <c r="B832" s="110"/>
      <c r="C832" s="110"/>
      <c r="D832" s="118"/>
      <c r="E832" s="118"/>
      <c r="F832" s="118"/>
      <c r="G832" s="408"/>
      <c r="H832" s="408"/>
      <c r="I832" s="408"/>
      <c r="J832" s="408"/>
      <c r="K832" s="408"/>
      <c r="L832" s="408"/>
      <c r="M832" s="118"/>
      <c r="N832" s="435"/>
      <c r="O832" s="435"/>
      <c r="P832" s="435"/>
      <c r="Q832" s="435"/>
      <c r="R832" s="435"/>
      <c r="S832" s="435"/>
      <c r="T832" s="435"/>
      <c r="U832" s="435"/>
      <c r="V832" s="435"/>
      <c r="W832" s="463"/>
      <c r="X832" s="435"/>
      <c r="Y832" s="435"/>
      <c r="Z832" s="435"/>
      <c r="AA832" s="435"/>
      <c r="AB832" s="435"/>
      <c r="AC832" s="408"/>
      <c r="AD832" s="4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</row>
    <row r="833" spans="1:46" ht="15.75" customHeight="1">
      <c r="A833" s="110"/>
      <c r="B833" s="110"/>
      <c r="C833" s="110"/>
      <c r="D833" s="118"/>
      <c r="E833" s="118"/>
      <c r="F833" s="118"/>
      <c r="G833" s="408"/>
      <c r="H833" s="408"/>
      <c r="I833" s="408"/>
      <c r="J833" s="408"/>
      <c r="K833" s="408"/>
      <c r="L833" s="408"/>
      <c r="M833" s="118"/>
      <c r="N833" s="435"/>
      <c r="O833" s="435"/>
      <c r="P833" s="435"/>
      <c r="Q833" s="435"/>
      <c r="R833" s="435"/>
      <c r="S833" s="435"/>
      <c r="T833" s="435"/>
      <c r="U833" s="435"/>
      <c r="V833" s="435"/>
      <c r="W833" s="463"/>
      <c r="X833" s="435"/>
      <c r="Y833" s="435"/>
      <c r="Z833" s="435"/>
      <c r="AA833" s="435"/>
      <c r="AB833" s="435"/>
      <c r="AC833" s="408"/>
      <c r="AD833" s="4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</row>
    <row r="834" spans="1:46" ht="15.75" customHeight="1">
      <c r="A834" s="110"/>
      <c r="B834" s="110"/>
      <c r="C834" s="110"/>
      <c r="D834" s="118"/>
      <c r="E834" s="118"/>
      <c r="F834" s="118"/>
      <c r="G834" s="408"/>
      <c r="H834" s="408"/>
      <c r="I834" s="408"/>
      <c r="J834" s="408"/>
      <c r="K834" s="408"/>
      <c r="L834" s="408"/>
      <c r="M834" s="118"/>
      <c r="N834" s="435"/>
      <c r="O834" s="435"/>
      <c r="P834" s="435"/>
      <c r="Q834" s="435"/>
      <c r="R834" s="435"/>
      <c r="S834" s="435"/>
      <c r="T834" s="435"/>
      <c r="U834" s="435"/>
      <c r="V834" s="435"/>
      <c r="W834" s="463"/>
      <c r="X834" s="435"/>
      <c r="Y834" s="435"/>
      <c r="Z834" s="435"/>
      <c r="AA834" s="435"/>
      <c r="AB834" s="435"/>
      <c r="AC834" s="408"/>
      <c r="AD834" s="4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</row>
    <row r="835" spans="1:46" ht="15.75" customHeight="1">
      <c r="A835" s="110"/>
      <c r="B835" s="110"/>
      <c r="C835" s="110"/>
      <c r="D835" s="118"/>
      <c r="E835" s="118"/>
      <c r="F835" s="118"/>
      <c r="G835" s="408"/>
      <c r="H835" s="408"/>
      <c r="I835" s="408"/>
      <c r="J835" s="408"/>
      <c r="K835" s="408"/>
      <c r="L835" s="408"/>
      <c r="M835" s="118"/>
      <c r="N835" s="435"/>
      <c r="O835" s="435"/>
      <c r="P835" s="435"/>
      <c r="Q835" s="435"/>
      <c r="R835" s="435"/>
      <c r="S835" s="435"/>
      <c r="T835" s="435"/>
      <c r="U835" s="435"/>
      <c r="V835" s="435"/>
      <c r="W835" s="463"/>
      <c r="X835" s="435"/>
      <c r="Y835" s="435"/>
      <c r="Z835" s="435"/>
      <c r="AA835" s="435"/>
      <c r="AB835" s="435"/>
      <c r="AC835" s="408"/>
      <c r="AD835" s="4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</row>
    <row r="836" spans="1:46" ht="15.75" customHeight="1">
      <c r="A836" s="110"/>
      <c r="B836" s="110"/>
      <c r="C836" s="110"/>
      <c r="D836" s="118"/>
      <c r="E836" s="118"/>
      <c r="F836" s="118"/>
      <c r="G836" s="408"/>
      <c r="H836" s="408"/>
      <c r="I836" s="408"/>
      <c r="J836" s="408"/>
      <c r="K836" s="408"/>
      <c r="L836" s="408"/>
      <c r="M836" s="118"/>
      <c r="N836" s="435"/>
      <c r="O836" s="435"/>
      <c r="P836" s="435"/>
      <c r="Q836" s="435"/>
      <c r="R836" s="435"/>
      <c r="S836" s="435"/>
      <c r="T836" s="435"/>
      <c r="U836" s="435"/>
      <c r="V836" s="435"/>
      <c r="W836" s="463"/>
      <c r="X836" s="435"/>
      <c r="Y836" s="435"/>
      <c r="Z836" s="435"/>
      <c r="AA836" s="435"/>
      <c r="AB836" s="435"/>
      <c r="AC836" s="408"/>
      <c r="AD836" s="4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</row>
    <row r="837" spans="1:46" ht="15.75" customHeight="1">
      <c r="A837" s="110"/>
      <c r="B837" s="110"/>
      <c r="C837" s="110"/>
      <c r="D837" s="118"/>
      <c r="E837" s="118"/>
      <c r="F837" s="118"/>
      <c r="G837" s="408"/>
      <c r="H837" s="408"/>
      <c r="I837" s="408"/>
      <c r="J837" s="408"/>
      <c r="K837" s="408"/>
      <c r="L837" s="408"/>
      <c r="M837" s="118"/>
      <c r="N837" s="435"/>
      <c r="O837" s="435"/>
      <c r="P837" s="435"/>
      <c r="Q837" s="435"/>
      <c r="R837" s="435"/>
      <c r="S837" s="435"/>
      <c r="T837" s="435"/>
      <c r="U837" s="435"/>
      <c r="V837" s="435"/>
      <c r="W837" s="463"/>
      <c r="X837" s="435"/>
      <c r="Y837" s="435"/>
      <c r="Z837" s="435"/>
      <c r="AA837" s="435"/>
      <c r="AB837" s="435"/>
      <c r="AC837" s="408"/>
      <c r="AD837" s="4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</row>
    <row r="838" spans="1:46" ht="15.75" customHeight="1">
      <c r="A838" s="110"/>
      <c r="B838" s="110"/>
      <c r="C838" s="110"/>
      <c r="D838" s="118"/>
      <c r="E838" s="118"/>
      <c r="F838" s="118"/>
      <c r="G838" s="408"/>
      <c r="H838" s="408"/>
      <c r="I838" s="408"/>
      <c r="J838" s="408"/>
      <c r="K838" s="408"/>
      <c r="L838" s="408"/>
      <c r="M838" s="118"/>
      <c r="N838" s="435"/>
      <c r="O838" s="435"/>
      <c r="P838" s="435"/>
      <c r="Q838" s="435"/>
      <c r="R838" s="435"/>
      <c r="S838" s="435"/>
      <c r="T838" s="435"/>
      <c r="U838" s="435"/>
      <c r="V838" s="435"/>
      <c r="W838" s="463"/>
      <c r="X838" s="435"/>
      <c r="Y838" s="435"/>
      <c r="Z838" s="435"/>
      <c r="AA838" s="435"/>
      <c r="AB838" s="435"/>
      <c r="AC838" s="408"/>
      <c r="AD838" s="4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</row>
    <row r="839" spans="1:46" ht="15.75" customHeight="1">
      <c r="A839" s="110"/>
      <c r="B839" s="110"/>
      <c r="C839" s="110"/>
      <c r="D839" s="118"/>
      <c r="E839" s="118"/>
      <c r="F839" s="118"/>
      <c r="G839" s="408"/>
      <c r="H839" s="408"/>
      <c r="I839" s="408"/>
      <c r="J839" s="408"/>
      <c r="K839" s="408"/>
      <c r="L839" s="408"/>
      <c r="M839" s="118"/>
      <c r="N839" s="435"/>
      <c r="O839" s="435"/>
      <c r="P839" s="435"/>
      <c r="Q839" s="435"/>
      <c r="R839" s="435"/>
      <c r="S839" s="435"/>
      <c r="T839" s="435"/>
      <c r="U839" s="435"/>
      <c r="V839" s="435"/>
      <c r="W839" s="463"/>
      <c r="X839" s="435"/>
      <c r="Y839" s="435"/>
      <c r="Z839" s="435"/>
      <c r="AA839" s="435"/>
      <c r="AB839" s="435"/>
      <c r="AC839" s="408"/>
      <c r="AD839" s="4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</row>
    <row r="840" spans="1:46" ht="15.75" customHeight="1">
      <c r="A840" s="110"/>
      <c r="B840" s="110"/>
      <c r="C840" s="110"/>
      <c r="D840" s="118"/>
      <c r="E840" s="118"/>
      <c r="F840" s="118"/>
      <c r="G840" s="408"/>
      <c r="H840" s="408"/>
      <c r="I840" s="408"/>
      <c r="J840" s="408"/>
      <c r="K840" s="408"/>
      <c r="L840" s="408"/>
      <c r="M840" s="118"/>
      <c r="N840" s="435"/>
      <c r="O840" s="435"/>
      <c r="P840" s="435"/>
      <c r="Q840" s="435"/>
      <c r="R840" s="435"/>
      <c r="S840" s="435"/>
      <c r="T840" s="435"/>
      <c r="U840" s="435"/>
      <c r="V840" s="435"/>
      <c r="W840" s="463"/>
      <c r="X840" s="435"/>
      <c r="Y840" s="435"/>
      <c r="Z840" s="435"/>
      <c r="AA840" s="435"/>
      <c r="AB840" s="435"/>
      <c r="AC840" s="408"/>
      <c r="AD840" s="4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</row>
    <row r="841" spans="1:46" ht="15.75" customHeight="1">
      <c r="A841" s="110"/>
      <c r="B841" s="110"/>
      <c r="C841" s="110"/>
      <c r="D841" s="118"/>
      <c r="E841" s="118"/>
      <c r="F841" s="118"/>
      <c r="G841" s="408"/>
      <c r="H841" s="408"/>
      <c r="I841" s="408"/>
      <c r="J841" s="408"/>
      <c r="K841" s="408"/>
      <c r="L841" s="408"/>
      <c r="M841" s="118"/>
      <c r="N841" s="435"/>
      <c r="O841" s="435"/>
      <c r="P841" s="435"/>
      <c r="Q841" s="435"/>
      <c r="R841" s="435"/>
      <c r="S841" s="435"/>
      <c r="T841" s="435"/>
      <c r="U841" s="435"/>
      <c r="V841" s="435"/>
      <c r="W841" s="463"/>
      <c r="X841" s="435"/>
      <c r="Y841" s="435"/>
      <c r="Z841" s="435"/>
      <c r="AA841" s="435"/>
      <c r="AB841" s="435"/>
      <c r="AC841" s="408"/>
      <c r="AD841" s="4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</row>
    <row r="842" spans="1:46" ht="15.75" customHeight="1">
      <c r="A842" s="110"/>
      <c r="B842" s="110"/>
      <c r="C842" s="110"/>
      <c r="D842" s="118"/>
      <c r="E842" s="118"/>
      <c r="F842" s="118"/>
      <c r="G842" s="408"/>
      <c r="H842" s="408"/>
      <c r="I842" s="408"/>
      <c r="J842" s="408"/>
      <c r="K842" s="408"/>
      <c r="L842" s="408"/>
      <c r="M842" s="118"/>
      <c r="N842" s="435"/>
      <c r="O842" s="435"/>
      <c r="P842" s="435"/>
      <c r="Q842" s="435"/>
      <c r="R842" s="435"/>
      <c r="S842" s="435"/>
      <c r="T842" s="435"/>
      <c r="U842" s="435"/>
      <c r="V842" s="435"/>
      <c r="W842" s="463"/>
      <c r="X842" s="435"/>
      <c r="Y842" s="435"/>
      <c r="Z842" s="435"/>
      <c r="AA842" s="435"/>
      <c r="AB842" s="435"/>
      <c r="AC842" s="408"/>
      <c r="AD842" s="4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</row>
    <row r="843" spans="1:46" ht="15.75" customHeight="1">
      <c r="A843" s="110"/>
      <c r="B843" s="110"/>
      <c r="C843" s="110"/>
      <c r="D843" s="118"/>
      <c r="E843" s="118"/>
      <c r="F843" s="118"/>
      <c r="G843" s="408"/>
      <c r="H843" s="408"/>
      <c r="I843" s="408"/>
      <c r="J843" s="408"/>
      <c r="K843" s="408"/>
      <c r="L843" s="408"/>
      <c r="M843" s="118"/>
      <c r="N843" s="435"/>
      <c r="O843" s="435"/>
      <c r="P843" s="435"/>
      <c r="Q843" s="435"/>
      <c r="R843" s="435"/>
      <c r="S843" s="435"/>
      <c r="T843" s="435"/>
      <c r="U843" s="435"/>
      <c r="V843" s="435"/>
      <c r="W843" s="463"/>
      <c r="X843" s="435"/>
      <c r="Y843" s="435"/>
      <c r="Z843" s="435"/>
      <c r="AA843" s="435"/>
      <c r="AB843" s="435"/>
      <c r="AC843" s="408"/>
      <c r="AD843" s="4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</row>
    <row r="844" spans="1:46" ht="15.75" customHeight="1">
      <c r="A844" s="110"/>
      <c r="B844" s="110"/>
      <c r="C844" s="110"/>
      <c r="D844" s="118"/>
      <c r="E844" s="118"/>
      <c r="F844" s="118"/>
      <c r="G844" s="408"/>
      <c r="H844" s="408"/>
      <c r="I844" s="408"/>
      <c r="J844" s="408"/>
      <c r="K844" s="408"/>
      <c r="L844" s="408"/>
      <c r="M844" s="118"/>
      <c r="N844" s="435"/>
      <c r="O844" s="435"/>
      <c r="P844" s="435"/>
      <c r="Q844" s="435"/>
      <c r="R844" s="435"/>
      <c r="S844" s="435"/>
      <c r="T844" s="435"/>
      <c r="U844" s="435"/>
      <c r="V844" s="435"/>
      <c r="W844" s="463"/>
      <c r="X844" s="435"/>
      <c r="Y844" s="435"/>
      <c r="Z844" s="435"/>
      <c r="AA844" s="435"/>
      <c r="AB844" s="435"/>
      <c r="AC844" s="408"/>
      <c r="AD844" s="4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</row>
    <row r="845" spans="1:46" ht="15.75" customHeight="1">
      <c r="A845" s="110"/>
      <c r="B845" s="110"/>
      <c r="C845" s="110"/>
      <c r="D845" s="118"/>
      <c r="E845" s="118"/>
      <c r="F845" s="118"/>
      <c r="G845" s="408"/>
      <c r="H845" s="408"/>
      <c r="I845" s="408"/>
      <c r="J845" s="408"/>
      <c r="K845" s="408"/>
      <c r="L845" s="408"/>
      <c r="M845" s="118"/>
      <c r="N845" s="435"/>
      <c r="O845" s="435"/>
      <c r="P845" s="435"/>
      <c r="Q845" s="435"/>
      <c r="R845" s="435"/>
      <c r="S845" s="435"/>
      <c r="T845" s="435"/>
      <c r="U845" s="435"/>
      <c r="V845" s="435"/>
      <c r="W845" s="463"/>
      <c r="X845" s="435"/>
      <c r="Y845" s="435"/>
      <c r="Z845" s="435"/>
      <c r="AA845" s="435"/>
      <c r="AB845" s="435"/>
      <c r="AC845" s="408"/>
      <c r="AD845" s="4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</row>
    <row r="846" spans="1:46" ht="15.75" customHeight="1">
      <c r="A846" s="110"/>
      <c r="B846" s="110"/>
      <c r="C846" s="110"/>
      <c r="D846" s="118"/>
      <c r="E846" s="118"/>
      <c r="F846" s="118"/>
      <c r="G846" s="408"/>
      <c r="H846" s="408"/>
      <c r="I846" s="408"/>
      <c r="J846" s="408"/>
      <c r="K846" s="408"/>
      <c r="L846" s="408"/>
      <c r="M846" s="118"/>
      <c r="N846" s="435"/>
      <c r="O846" s="435"/>
      <c r="P846" s="435"/>
      <c r="Q846" s="435"/>
      <c r="R846" s="435"/>
      <c r="S846" s="435"/>
      <c r="T846" s="435"/>
      <c r="U846" s="435"/>
      <c r="V846" s="435"/>
      <c r="W846" s="463"/>
      <c r="X846" s="435"/>
      <c r="Y846" s="435"/>
      <c r="Z846" s="435"/>
      <c r="AA846" s="435"/>
      <c r="AB846" s="435"/>
      <c r="AC846" s="408"/>
      <c r="AD846" s="4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</row>
    <row r="847" spans="1:46" ht="15.75" customHeight="1">
      <c r="A847" s="110"/>
      <c r="B847" s="110"/>
      <c r="C847" s="110"/>
      <c r="D847" s="118"/>
      <c r="E847" s="118"/>
      <c r="F847" s="118"/>
      <c r="G847" s="408"/>
      <c r="H847" s="408"/>
      <c r="I847" s="408"/>
      <c r="J847" s="408"/>
      <c r="K847" s="408"/>
      <c r="L847" s="408"/>
      <c r="M847" s="118"/>
      <c r="N847" s="435"/>
      <c r="O847" s="435"/>
      <c r="P847" s="435"/>
      <c r="Q847" s="435"/>
      <c r="R847" s="435"/>
      <c r="S847" s="435"/>
      <c r="T847" s="435"/>
      <c r="U847" s="435"/>
      <c r="V847" s="435"/>
      <c r="W847" s="463"/>
      <c r="X847" s="435"/>
      <c r="Y847" s="435"/>
      <c r="Z847" s="435"/>
      <c r="AA847" s="435"/>
      <c r="AB847" s="435"/>
      <c r="AC847" s="408"/>
      <c r="AD847" s="4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</row>
    <row r="848" spans="1:46" ht="15.75" customHeight="1">
      <c r="A848" s="110"/>
      <c r="B848" s="110"/>
      <c r="C848" s="110"/>
      <c r="D848" s="118"/>
      <c r="E848" s="118"/>
      <c r="F848" s="118"/>
      <c r="G848" s="408"/>
      <c r="H848" s="408"/>
      <c r="I848" s="408"/>
      <c r="J848" s="408"/>
      <c r="K848" s="408"/>
      <c r="L848" s="408"/>
      <c r="M848" s="118"/>
      <c r="N848" s="435"/>
      <c r="O848" s="435"/>
      <c r="P848" s="435"/>
      <c r="Q848" s="435"/>
      <c r="R848" s="435"/>
      <c r="S848" s="435"/>
      <c r="T848" s="435"/>
      <c r="U848" s="435"/>
      <c r="V848" s="435"/>
      <c r="W848" s="463"/>
      <c r="X848" s="435"/>
      <c r="Y848" s="435"/>
      <c r="Z848" s="435"/>
      <c r="AA848" s="435"/>
      <c r="AB848" s="435"/>
      <c r="AC848" s="408"/>
      <c r="AD848" s="4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</row>
    <row r="849" spans="1:46" ht="15.75" customHeight="1">
      <c r="A849" s="110"/>
      <c r="B849" s="110"/>
      <c r="C849" s="110"/>
      <c r="D849" s="118"/>
      <c r="E849" s="118"/>
      <c r="F849" s="118"/>
      <c r="G849" s="408"/>
      <c r="H849" s="408"/>
      <c r="I849" s="408"/>
      <c r="J849" s="408"/>
      <c r="K849" s="408"/>
      <c r="L849" s="408"/>
      <c r="M849" s="118"/>
      <c r="N849" s="435"/>
      <c r="O849" s="435"/>
      <c r="P849" s="435"/>
      <c r="Q849" s="435"/>
      <c r="R849" s="435"/>
      <c r="S849" s="435"/>
      <c r="T849" s="435"/>
      <c r="U849" s="435"/>
      <c r="V849" s="435"/>
      <c r="W849" s="463"/>
      <c r="X849" s="435"/>
      <c r="Y849" s="435"/>
      <c r="Z849" s="435"/>
      <c r="AA849" s="435"/>
      <c r="AB849" s="435"/>
      <c r="AC849" s="408"/>
      <c r="AD849" s="4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</row>
    <row r="850" spans="1:46" ht="15.75" customHeight="1">
      <c r="A850" s="110"/>
      <c r="B850" s="110"/>
      <c r="C850" s="110"/>
      <c r="D850" s="118"/>
      <c r="E850" s="118"/>
      <c r="F850" s="118"/>
      <c r="G850" s="408"/>
      <c r="H850" s="408"/>
      <c r="I850" s="408"/>
      <c r="J850" s="408"/>
      <c r="K850" s="408"/>
      <c r="L850" s="408"/>
      <c r="M850" s="118"/>
      <c r="N850" s="435"/>
      <c r="O850" s="435"/>
      <c r="P850" s="435"/>
      <c r="Q850" s="435"/>
      <c r="R850" s="435"/>
      <c r="S850" s="435"/>
      <c r="T850" s="435"/>
      <c r="U850" s="435"/>
      <c r="V850" s="435"/>
      <c r="W850" s="463"/>
      <c r="X850" s="435"/>
      <c r="Y850" s="435"/>
      <c r="Z850" s="435"/>
      <c r="AA850" s="435"/>
      <c r="AB850" s="435"/>
      <c r="AC850" s="408"/>
      <c r="AD850" s="4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</row>
    <row r="851" spans="1:46" ht="15.75" customHeight="1">
      <c r="A851" s="110"/>
      <c r="B851" s="110"/>
      <c r="C851" s="110"/>
      <c r="D851" s="118"/>
      <c r="E851" s="118"/>
      <c r="F851" s="118"/>
      <c r="G851" s="408"/>
      <c r="H851" s="408"/>
      <c r="I851" s="408"/>
      <c r="J851" s="408"/>
      <c r="K851" s="408"/>
      <c r="L851" s="408"/>
      <c r="M851" s="118"/>
      <c r="N851" s="435"/>
      <c r="O851" s="435"/>
      <c r="P851" s="435"/>
      <c r="Q851" s="435"/>
      <c r="R851" s="435"/>
      <c r="S851" s="435"/>
      <c r="T851" s="435"/>
      <c r="U851" s="435"/>
      <c r="V851" s="435"/>
      <c r="W851" s="463"/>
      <c r="X851" s="435"/>
      <c r="Y851" s="435"/>
      <c r="Z851" s="435"/>
      <c r="AA851" s="435"/>
      <c r="AB851" s="435"/>
      <c r="AC851" s="408"/>
      <c r="AD851" s="4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</row>
    <row r="852" spans="1:46" ht="15.75" customHeight="1">
      <c r="A852" s="110"/>
      <c r="B852" s="110"/>
      <c r="C852" s="110"/>
      <c r="D852" s="118"/>
      <c r="E852" s="118"/>
      <c r="F852" s="118"/>
      <c r="G852" s="408"/>
      <c r="H852" s="408"/>
      <c r="I852" s="408"/>
      <c r="J852" s="408"/>
      <c r="K852" s="408"/>
      <c r="L852" s="408"/>
      <c r="M852" s="118"/>
      <c r="N852" s="435"/>
      <c r="O852" s="435"/>
      <c r="P852" s="435"/>
      <c r="Q852" s="435"/>
      <c r="R852" s="435"/>
      <c r="S852" s="435"/>
      <c r="T852" s="435"/>
      <c r="U852" s="435"/>
      <c r="V852" s="435"/>
      <c r="W852" s="463"/>
      <c r="X852" s="435"/>
      <c r="Y852" s="435"/>
      <c r="Z852" s="435"/>
      <c r="AA852" s="435"/>
      <c r="AB852" s="435"/>
      <c r="AC852" s="408"/>
      <c r="AD852" s="4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</row>
    <row r="853" spans="1:46" ht="15.75" customHeight="1">
      <c r="A853" s="110"/>
      <c r="B853" s="110"/>
      <c r="C853" s="110"/>
      <c r="D853" s="118"/>
      <c r="E853" s="118"/>
      <c r="F853" s="118"/>
      <c r="G853" s="408"/>
      <c r="H853" s="408"/>
      <c r="I853" s="408"/>
      <c r="J853" s="408"/>
      <c r="K853" s="408"/>
      <c r="L853" s="408"/>
      <c r="M853" s="118"/>
      <c r="N853" s="435"/>
      <c r="O853" s="435"/>
      <c r="P853" s="435"/>
      <c r="Q853" s="435"/>
      <c r="R853" s="435"/>
      <c r="S853" s="435"/>
      <c r="T853" s="435"/>
      <c r="U853" s="435"/>
      <c r="V853" s="435"/>
      <c r="W853" s="463"/>
      <c r="X853" s="435"/>
      <c r="Y853" s="435"/>
      <c r="Z853" s="435"/>
      <c r="AA853" s="435"/>
      <c r="AB853" s="435"/>
      <c r="AC853" s="408"/>
      <c r="AD853" s="4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</row>
    <row r="854" spans="1:46" ht="15.75" customHeight="1">
      <c r="A854" s="110"/>
      <c r="B854" s="110"/>
      <c r="C854" s="110"/>
      <c r="D854" s="118"/>
      <c r="E854" s="118"/>
      <c r="F854" s="118"/>
      <c r="G854" s="408"/>
      <c r="H854" s="408"/>
      <c r="I854" s="408"/>
      <c r="J854" s="408"/>
      <c r="K854" s="408"/>
      <c r="L854" s="408"/>
      <c r="M854" s="118"/>
      <c r="N854" s="435"/>
      <c r="O854" s="435"/>
      <c r="P854" s="435"/>
      <c r="Q854" s="435"/>
      <c r="R854" s="435"/>
      <c r="S854" s="435"/>
      <c r="T854" s="435"/>
      <c r="U854" s="435"/>
      <c r="V854" s="435"/>
      <c r="W854" s="463"/>
      <c r="X854" s="435"/>
      <c r="Y854" s="435"/>
      <c r="Z854" s="435"/>
      <c r="AA854" s="435"/>
      <c r="AB854" s="435"/>
      <c r="AC854" s="408"/>
      <c r="AD854" s="4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</row>
    <row r="855" spans="1:46" ht="15.75" customHeight="1">
      <c r="A855" s="110"/>
      <c r="B855" s="110"/>
      <c r="C855" s="110"/>
      <c r="D855" s="118"/>
      <c r="E855" s="118"/>
      <c r="F855" s="118"/>
      <c r="G855" s="408"/>
      <c r="H855" s="408"/>
      <c r="I855" s="408"/>
      <c r="J855" s="408"/>
      <c r="K855" s="408"/>
      <c r="L855" s="408"/>
      <c r="M855" s="118"/>
      <c r="N855" s="435"/>
      <c r="O855" s="435"/>
      <c r="P855" s="435"/>
      <c r="Q855" s="435"/>
      <c r="R855" s="435"/>
      <c r="S855" s="435"/>
      <c r="T855" s="435"/>
      <c r="U855" s="435"/>
      <c r="V855" s="435"/>
      <c r="W855" s="463"/>
      <c r="X855" s="435"/>
      <c r="Y855" s="435"/>
      <c r="Z855" s="435"/>
      <c r="AA855" s="435"/>
      <c r="AB855" s="435"/>
      <c r="AC855" s="408"/>
      <c r="AD855" s="4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</row>
    <row r="856" spans="1:46" ht="15.75" customHeight="1">
      <c r="A856" s="110"/>
      <c r="B856" s="110"/>
      <c r="C856" s="110"/>
      <c r="D856" s="118"/>
      <c r="E856" s="118"/>
      <c r="F856" s="118"/>
      <c r="G856" s="408"/>
      <c r="H856" s="408"/>
      <c r="I856" s="408"/>
      <c r="J856" s="408"/>
      <c r="K856" s="408"/>
      <c r="L856" s="408"/>
      <c r="M856" s="118"/>
      <c r="N856" s="435"/>
      <c r="O856" s="435"/>
      <c r="P856" s="435"/>
      <c r="Q856" s="435"/>
      <c r="R856" s="435"/>
      <c r="S856" s="435"/>
      <c r="T856" s="435"/>
      <c r="U856" s="435"/>
      <c r="V856" s="435"/>
      <c r="W856" s="463"/>
      <c r="X856" s="435"/>
      <c r="Y856" s="435"/>
      <c r="Z856" s="435"/>
      <c r="AA856" s="435"/>
      <c r="AB856" s="435"/>
      <c r="AC856" s="408"/>
      <c r="AD856" s="4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</row>
    <row r="857" spans="1:46" ht="15.75" customHeight="1">
      <c r="A857" s="110"/>
      <c r="B857" s="110"/>
      <c r="C857" s="110"/>
      <c r="D857" s="118"/>
      <c r="E857" s="118"/>
      <c r="F857" s="118"/>
      <c r="G857" s="408"/>
      <c r="H857" s="408"/>
      <c r="I857" s="408"/>
      <c r="J857" s="408"/>
      <c r="K857" s="408"/>
      <c r="L857" s="408"/>
      <c r="M857" s="118"/>
      <c r="N857" s="435"/>
      <c r="O857" s="435"/>
      <c r="P857" s="435"/>
      <c r="Q857" s="435"/>
      <c r="R857" s="435"/>
      <c r="S857" s="435"/>
      <c r="T857" s="435"/>
      <c r="U857" s="435"/>
      <c r="V857" s="435"/>
      <c r="W857" s="463"/>
      <c r="X857" s="435"/>
      <c r="Y857" s="435"/>
      <c r="Z857" s="435"/>
      <c r="AA857" s="435"/>
      <c r="AB857" s="435"/>
      <c r="AC857" s="408"/>
      <c r="AD857" s="4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</row>
    <row r="858" spans="1:46" ht="15.75" customHeight="1">
      <c r="A858" s="110"/>
      <c r="B858" s="110"/>
      <c r="C858" s="110"/>
      <c r="D858" s="118"/>
      <c r="E858" s="118"/>
      <c r="F858" s="118"/>
      <c r="G858" s="408"/>
      <c r="H858" s="408"/>
      <c r="I858" s="408"/>
      <c r="J858" s="408"/>
      <c r="K858" s="408"/>
      <c r="L858" s="408"/>
      <c r="M858" s="118"/>
      <c r="N858" s="435"/>
      <c r="O858" s="435"/>
      <c r="P858" s="435"/>
      <c r="Q858" s="435"/>
      <c r="R858" s="435"/>
      <c r="S858" s="435"/>
      <c r="T858" s="435"/>
      <c r="U858" s="435"/>
      <c r="V858" s="435"/>
      <c r="W858" s="463"/>
      <c r="X858" s="435"/>
      <c r="Y858" s="435"/>
      <c r="Z858" s="435"/>
      <c r="AA858" s="435"/>
      <c r="AB858" s="435"/>
      <c r="AC858" s="408"/>
      <c r="AD858" s="4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</row>
    <row r="859" spans="1:46" ht="15.75" customHeight="1">
      <c r="A859" s="110"/>
      <c r="B859" s="110"/>
      <c r="C859" s="110"/>
      <c r="D859" s="118"/>
      <c r="E859" s="118"/>
      <c r="F859" s="118"/>
      <c r="G859" s="408"/>
      <c r="H859" s="408"/>
      <c r="I859" s="408"/>
      <c r="J859" s="408"/>
      <c r="K859" s="408"/>
      <c r="L859" s="408"/>
      <c r="M859" s="118"/>
      <c r="N859" s="435"/>
      <c r="O859" s="435"/>
      <c r="P859" s="435"/>
      <c r="Q859" s="435"/>
      <c r="R859" s="435"/>
      <c r="S859" s="435"/>
      <c r="T859" s="435"/>
      <c r="U859" s="435"/>
      <c r="V859" s="435"/>
      <c r="W859" s="463"/>
      <c r="X859" s="435"/>
      <c r="Y859" s="435"/>
      <c r="Z859" s="435"/>
      <c r="AA859" s="435"/>
      <c r="AB859" s="435"/>
      <c r="AC859" s="408"/>
      <c r="AD859" s="4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</row>
    <row r="860" spans="1:46" ht="15.75" customHeight="1">
      <c r="A860" s="110"/>
      <c r="B860" s="110"/>
      <c r="C860" s="110"/>
      <c r="D860" s="118"/>
      <c r="E860" s="118"/>
      <c r="F860" s="118"/>
      <c r="G860" s="408"/>
      <c r="H860" s="408"/>
      <c r="I860" s="408"/>
      <c r="J860" s="408"/>
      <c r="K860" s="408"/>
      <c r="L860" s="408"/>
      <c r="M860" s="118"/>
      <c r="N860" s="435"/>
      <c r="O860" s="435"/>
      <c r="P860" s="435"/>
      <c r="Q860" s="435"/>
      <c r="R860" s="435"/>
      <c r="S860" s="435"/>
      <c r="T860" s="435"/>
      <c r="U860" s="435"/>
      <c r="V860" s="435"/>
      <c r="W860" s="463"/>
      <c r="X860" s="435"/>
      <c r="Y860" s="435"/>
      <c r="Z860" s="435"/>
      <c r="AA860" s="435"/>
      <c r="AB860" s="435"/>
      <c r="AC860" s="408"/>
      <c r="AD860" s="4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</row>
    <row r="861" spans="1:46" ht="15.75" customHeight="1">
      <c r="A861" s="110"/>
      <c r="B861" s="110"/>
      <c r="C861" s="110"/>
      <c r="D861" s="118"/>
      <c r="E861" s="118"/>
      <c r="F861" s="118"/>
      <c r="G861" s="408"/>
      <c r="H861" s="408"/>
      <c r="I861" s="408"/>
      <c r="J861" s="408"/>
      <c r="K861" s="408"/>
      <c r="L861" s="408"/>
      <c r="M861" s="118"/>
      <c r="N861" s="435"/>
      <c r="O861" s="435"/>
      <c r="P861" s="435"/>
      <c r="Q861" s="435"/>
      <c r="R861" s="435"/>
      <c r="S861" s="435"/>
      <c r="T861" s="435"/>
      <c r="U861" s="435"/>
      <c r="V861" s="435"/>
      <c r="W861" s="463"/>
      <c r="X861" s="435"/>
      <c r="Y861" s="435"/>
      <c r="Z861" s="435"/>
      <c r="AA861" s="435"/>
      <c r="AB861" s="435"/>
      <c r="AC861" s="408"/>
      <c r="AD861" s="4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</row>
    <row r="862" spans="1:46" ht="15.75" customHeight="1">
      <c r="A862" s="110"/>
      <c r="B862" s="110"/>
      <c r="C862" s="110"/>
      <c r="D862" s="118"/>
      <c r="E862" s="118"/>
      <c r="F862" s="118"/>
      <c r="G862" s="408"/>
      <c r="H862" s="408"/>
      <c r="I862" s="408"/>
      <c r="J862" s="408"/>
      <c r="K862" s="408"/>
      <c r="L862" s="408"/>
      <c r="M862" s="118"/>
      <c r="N862" s="435"/>
      <c r="O862" s="435"/>
      <c r="P862" s="435"/>
      <c r="Q862" s="435"/>
      <c r="R862" s="435"/>
      <c r="S862" s="435"/>
      <c r="T862" s="435"/>
      <c r="U862" s="435"/>
      <c r="V862" s="435"/>
      <c r="W862" s="463"/>
      <c r="X862" s="435"/>
      <c r="Y862" s="435"/>
      <c r="Z862" s="435"/>
      <c r="AA862" s="435"/>
      <c r="AB862" s="435"/>
      <c r="AC862" s="408"/>
      <c r="AD862" s="4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</row>
    <row r="863" spans="1:46" ht="15.75" customHeight="1">
      <c r="A863" s="110"/>
      <c r="B863" s="110"/>
      <c r="C863" s="110"/>
      <c r="D863" s="118"/>
      <c r="E863" s="118"/>
      <c r="F863" s="118"/>
      <c r="G863" s="408"/>
      <c r="H863" s="408"/>
      <c r="I863" s="408"/>
      <c r="J863" s="408"/>
      <c r="K863" s="408"/>
      <c r="L863" s="408"/>
      <c r="M863" s="118"/>
      <c r="N863" s="435"/>
      <c r="O863" s="435"/>
      <c r="P863" s="435"/>
      <c r="Q863" s="435"/>
      <c r="R863" s="435"/>
      <c r="S863" s="435"/>
      <c r="T863" s="435"/>
      <c r="U863" s="435"/>
      <c r="V863" s="435"/>
      <c r="W863" s="463"/>
      <c r="X863" s="435"/>
      <c r="Y863" s="435"/>
      <c r="Z863" s="435"/>
      <c r="AA863" s="435"/>
      <c r="AB863" s="435"/>
      <c r="AC863" s="408"/>
      <c r="AD863" s="4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</row>
    <row r="864" spans="1:46" ht="15.75" customHeight="1">
      <c r="A864" s="110"/>
      <c r="B864" s="110"/>
      <c r="C864" s="110"/>
      <c r="D864" s="118"/>
      <c r="E864" s="118"/>
      <c r="F864" s="118"/>
      <c r="G864" s="408"/>
      <c r="H864" s="408"/>
      <c r="I864" s="408"/>
      <c r="J864" s="408"/>
      <c r="K864" s="408"/>
      <c r="L864" s="408"/>
      <c r="M864" s="118"/>
      <c r="N864" s="435"/>
      <c r="O864" s="435"/>
      <c r="P864" s="435"/>
      <c r="Q864" s="435"/>
      <c r="R864" s="435"/>
      <c r="S864" s="435"/>
      <c r="T864" s="435"/>
      <c r="U864" s="435"/>
      <c r="V864" s="435"/>
      <c r="W864" s="463"/>
      <c r="X864" s="435"/>
      <c r="Y864" s="435"/>
      <c r="Z864" s="435"/>
      <c r="AA864" s="435"/>
      <c r="AB864" s="435"/>
      <c r="AC864" s="408"/>
      <c r="AD864" s="4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</row>
    <row r="865" spans="1:46" ht="15.75" customHeight="1">
      <c r="A865" s="110"/>
      <c r="B865" s="110"/>
      <c r="C865" s="110"/>
      <c r="D865" s="118"/>
      <c r="E865" s="118"/>
      <c r="F865" s="118"/>
      <c r="G865" s="408"/>
      <c r="H865" s="408"/>
      <c r="I865" s="408"/>
      <c r="J865" s="408"/>
      <c r="K865" s="408"/>
      <c r="L865" s="408"/>
      <c r="M865" s="118"/>
      <c r="N865" s="435"/>
      <c r="O865" s="435"/>
      <c r="P865" s="435"/>
      <c r="Q865" s="435"/>
      <c r="R865" s="435"/>
      <c r="S865" s="435"/>
      <c r="T865" s="435"/>
      <c r="U865" s="435"/>
      <c r="V865" s="435"/>
      <c r="W865" s="463"/>
      <c r="X865" s="435"/>
      <c r="Y865" s="435"/>
      <c r="Z865" s="435"/>
      <c r="AA865" s="435"/>
      <c r="AB865" s="435"/>
      <c r="AC865" s="408"/>
      <c r="AD865" s="4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</row>
    <row r="866" spans="1:46" ht="15.75" customHeight="1">
      <c r="A866" s="110"/>
      <c r="B866" s="110"/>
      <c r="C866" s="110"/>
      <c r="D866" s="118"/>
      <c r="E866" s="118"/>
      <c r="F866" s="118"/>
      <c r="G866" s="408"/>
      <c r="H866" s="408"/>
      <c r="I866" s="408"/>
      <c r="J866" s="408"/>
      <c r="K866" s="408"/>
      <c r="L866" s="408"/>
      <c r="M866" s="118"/>
      <c r="N866" s="435"/>
      <c r="O866" s="435"/>
      <c r="P866" s="435"/>
      <c r="Q866" s="435"/>
      <c r="R866" s="435"/>
      <c r="S866" s="435"/>
      <c r="T866" s="435"/>
      <c r="U866" s="435"/>
      <c r="V866" s="435"/>
      <c r="W866" s="463"/>
      <c r="X866" s="435"/>
      <c r="Y866" s="435"/>
      <c r="Z866" s="435"/>
      <c r="AA866" s="435"/>
      <c r="AB866" s="435"/>
      <c r="AC866" s="408"/>
      <c r="AD866" s="4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</row>
    <row r="867" spans="1:46" ht="15.75" customHeight="1">
      <c r="A867" s="110"/>
      <c r="B867" s="110"/>
      <c r="C867" s="110"/>
      <c r="D867" s="118"/>
      <c r="E867" s="118"/>
      <c r="F867" s="118"/>
      <c r="G867" s="408"/>
      <c r="H867" s="408"/>
      <c r="I867" s="408"/>
      <c r="J867" s="408"/>
      <c r="K867" s="408"/>
      <c r="L867" s="408"/>
      <c r="M867" s="118"/>
      <c r="N867" s="435"/>
      <c r="O867" s="435"/>
      <c r="P867" s="435"/>
      <c r="Q867" s="435"/>
      <c r="R867" s="435"/>
      <c r="S867" s="435"/>
      <c r="T867" s="435"/>
      <c r="U867" s="435"/>
      <c r="V867" s="435"/>
      <c r="W867" s="463"/>
      <c r="X867" s="435"/>
      <c r="Y867" s="435"/>
      <c r="Z867" s="435"/>
      <c r="AA867" s="435"/>
      <c r="AB867" s="435"/>
      <c r="AC867" s="408"/>
      <c r="AD867" s="4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</row>
    <row r="868" spans="1:46" ht="15.75" customHeight="1">
      <c r="A868" s="110"/>
      <c r="B868" s="110"/>
      <c r="C868" s="110"/>
      <c r="D868" s="118"/>
      <c r="E868" s="118"/>
      <c r="F868" s="118"/>
      <c r="G868" s="408"/>
      <c r="H868" s="408"/>
      <c r="I868" s="408"/>
      <c r="J868" s="408"/>
      <c r="K868" s="408"/>
      <c r="L868" s="408"/>
      <c r="M868" s="118"/>
      <c r="N868" s="435"/>
      <c r="O868" s="435"/>
      <c r="P868" s="435"/>
      <c r="Q868" s="435"/>
      <c r="R868" s="435"/>
      <c r="S868" s="435"/>
      <c r="T868" s="435"/>
      <c r="U868" s="435"/>
      <c r="V868" s="435"/>
      <c r="W868" s="463"/>
      <c r="X868" s="435"/>
      <c r="Y868" s="435"/>
      <c r="Z868" s="435"/>
      <c r="AA868" s="435"/>
      <c r="AB868" s="435"/>
      <c r="AC868" s="408"/>
      <c r="AD868" s="4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</row>
    <row r="869" spans="1:46" ht="15.75" customHeight="1">
      <c r="A869" s="110"/>
      <c r="B869" s="110"/>
      <c r="C869" s="110"/>
      <c r="D869" s="118"/>
      <c r="E869" s="118"/>
      <c r="F869" s="118"/>
      <c r="G869" s="408"/>
      <c r="H869" s="408"/>
      <c r="I869" s="408"/>
      <c r="J869" s="408"/>
      <c r="K869" s="408"/>
      <c r="L869" s="408"/>
      <c r="M869" s="118"/>
      <c r="N869" s="435"/>
      <c r="O869" s="435"/>
      <c r="P869" s="435"/>
      <c r="Q869" s="435"/>
      <c r="R869" s="435"/>
      <c r="S869" s="435"/>
      <c r="T869" s="435"/>
      <c r="U869" s="435"/>
      <c r="V869" s="435"/>
      <c r="W869" s="463"/>
      <c r="X869" s="435"/>
      <c r="Y869" s="435"/>
      <c r="Z869" s="435"/>
      <c r="AA869" s="435"/>
      <c r="AB869" s="435"/>
      <c r="AC869" s="408"/>
      <c r="AD869" s="4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</row>
    <row r="870" spans="1:46" ht="15.75" customHeight="1">
      <c r="A870" s="110"/>
      <c r="B870" s="110"/>
      <c r="C870" s="110"/>
      <c r="D870" s="118"/>
      <c r="E870" s="118"/>
      <c r="F870" s="118"/>
      <c r="G870" s="408"/>
      <c r="H870" s="408"/>
      <c r="I870" s="408"/>
      <c r="J870" s="408"/>
      <c r="K870" s="408"/>
      <c r="L870" s="408"/>
      <c r="M870" s="118"/>
      <c r="N870" s="435"/>
      <c r="O870" s="435"/>
      <c r="P870" s="435"/>
      <c r="Q870" s="435"/>
      <c r="R870" s="435"/>
      <c r="S870" s="435"/>
      <c r="T870" s="435"/>
      <c r="U870" s="435"/>
      <c r="V870" s="435"/>
      <c r="W870" s="463"/>
      <c r="X870" s="435"/>
      <c r="Y870" s="435"/>
      <c r="Z870" s="435"/>
      <c r="AA870" s="435"/>
      <c r="AB870" s="435"/>
      <c r="AC870" s="408"/>
      <c r="AD870" s="4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</row>
    <row r="871" spans="1:46" ht="15.75" customHeight="1">
      <c r="A871" s="110"/>
      <c r="B871" s="110"/>
      <c r="C871" s="110"/>
      <c r="D871" s="118"/>
      <c r="E871" s="118"/>
      <c r="F871" s="118"/>
      <c r="G871" s="408"/>
      <c r="H871" s="408"/>
      <c r="I871" s="408"/>
      <c r="J871" s="408"/>
      <c r="K871" s="408"/>
      <c r="L871" s="408"/>
      <c r="M871" s="118"/>
      <c r="N871" s="435"/>
      <c r="O871" s="435"/>
      <c r="P871" s="435"/>
      <c r="Q871" s="435"/>
      <c r="R871" s="435"/>
      <c r="S871" s="435"/>
      <c r="T871" s="435"/>
      <c r="U871" s="435"/>
      <c r="V871" s="435"/>
      <c r="W871" s="463"/>
      <c r="X871" s="435"/>
      <c r="Y871" s="435"/>
      <c r="Z871" s="435"/>
      <c r="AA871" s="435"/>
      <c r="AB871" s="435"/>
      <c r="AC871" s="408"/>
      <c r="AD871" s="4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</row>
    <row r="872" spans="1:46" ht="15.75" customHeight="1">
      <c r="A872" s="110"/>
      <c r="B872" s="110"/>
      <c r="C872" s="110"/>
      <c r="D872" s="118"/>
      <c r="E872" s="118"/>
      <c r="F872" s="118"/>
      <c r="G872" s="408"/>
      <c r="H872" s="408"/>
      <c r="I872" s="408"/>
      <c r="J872" s="408"/>
      <c r="K872" s="408"/>
      <c r="L872" s="408"/>
      <c r="M872" s="118"/>
      <c r="N872" s="435"/>
      <c r="O872" s="435"/>
      <c r="P872" s="435"/>
      <c r="Q872" s="435"/>
      <c r="R872" s="435"/>
      <c r="S872" s="435"/>
      <c r="T872" s="435"/>
      <c r="U872" s="435"/>
      <c r="V872" s="435"/>
      <c r="W872" s="463"/>
      <c r="X872" s="435"/>
      <c r="Y872" s="435"/>
      <c r="Z872" s="435"/>
      <c r="AA872" s="435"/>
      <c r="AB872" s="435"/>
      <c r="AC872" s="408"/>
      <c r="AD872" s="4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</row>
    <row r="873" spans="1:46" ht="15.75" customHeight="1">
      <c r="A873" s="110"/>
      <c r="B873" s="110"/>
      <c r="C873" s="110"/>
      <c r="D873" s="118"/>
      <c r="E873" s="118"/>
      <c r="F873" s="118"/>
      <c r="G873" s="408"/>
      <c r="H873" s="408"/>
      <c r="I873" s="408"/>
      <c r="J873" s="408"/>
      <c r="K873" s="408"/>
      <c r="L873" s="408"/>
      <c r="M873" s="118"/>
      <c r="N873" s="435"/>
      <c r="O873" s="435"/>
      <c r="P873" s="435"/>
      <c r="Q873" s="435"/>
      <c r="R873" s="435"/>
      <c r="S873" s="435"/>
      <c r="T873" s="435"/>
      <c r="U873" s="435"/>
      <c r="V873" s="435"/>
      <c r="W873" s="463"/>
      <c r="X873" s="435"/>
      <c r="Y873" s="435"/>
      <c r="Z873" s="435"/>
      <c r="AA873" s="435"/>
      <c r="AB873" s="435"/>
      <c r="AC873" s="408"/>
      <c r="AD873" s="4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</row>
    <row r="874" spans="1:46" ht="15.75" customHeight="1">
      <c r="A874" s="110"/>
      <c r="B874" s="110"/>
      <c r="C874" s="110"/>
      <c r="D874" s="118"/>
      <c r="E874" s="118"/>
      <c r="F874" s="118"/>
      <c r="G874" s="408"/>
      <c r="H874" s="408"/>
      <c r="I874" s="408"/>
      <c r="J874" s="408"/>
      <c r="K874" s="408"/>
      <c r="L874" s="408"/>
      <c r="M874" s="118"/>
      <c r="N874" s="435"/>
      <c r="O874" s="435"/>
      <c r="P874" s="435"/>
      <c r="Q874" s="435"/>
      <c r="R874" s="435"/>
      <c r="S874" s="435"/>
      <c r="T874" s="435"/>
      <c r="U874" s="435"/>
      <c r="V874" s="435"/>
      <c r="W874" s="463"/>
      <c r="X874" s="435"/>
      <c r="Y874" s="435"/>
      <c r="Z874" s="435"/>
      <c r="AA874" s="435"/>
      <c r="AB874" s="435"/>
      <c r="AC874" s="408"/>
      <c r="AD874" s="4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</row>
    <row r="875" spans="1:46" ht="15.75" customHeight="1">
      <c r="A875" s="110"/>
      <c r="B875" s="110"/>
      <c r="C875" s="110"/>
      <c r="D875" s="118"/>
      <c r="E875" s="118"/>
      <c r="F875" s="118"/>
      <c r="G875" s="408"/>
      <c r="H875" s="408"/>
      <c r="I875" s="408"/>
      <c r="J875" s="408"/>
      <c r="K875" s="408"/>
      <c r="L875" s="408"/>
      <c r="M875" s="118"/>
      <c r="N875" s="435"/>
      <c r="O875" s="435"/>
      <c r="P875" s="435"/>
      <c r="Q875" s="435"/>
      <c r="R875" s="435"/>
      <c r="S875" s="435"/>
      <c r="T875" s="435"/>
      <c r="U875" s="435"/>
      <c r="V875" s="435"/>
      <c r="W875" s="463"/>
      <c r="X875" s="435"/>
      <c r="Y875" s="435"/>
      <c r="Z875" s="435"/>
      <c r="AA875" s="435"/>
      <c r="AB875" s="435"/>
      <c r="AC875" s="408"/>
      <c r="AD875" s="4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</row>
    <row r="876" spans="1:46" ht="15.75" customHeight="1">
      <c r="A876" s="110"/>
      <c r="B876" s="110"/>
      <c r="C876" s="110"/>
      <c r="D876" s="118"/>
      <c r="E876" s="118"/>
      <c r="F876" s="118"/>
      <c r="G876" s="408"/>
      <c r="H876" s="408"/>
      <c r="I876" s="408"/>
      <c r="J876" s="408"/>
      <c r="K876" s="408"/>
      <c r="L876" s="408"/>
      <c r="M876" s="118"/>
      <c r="N876" s="435"/>
      <c r="O876" s="435"/>
      <c r="P876" s="435"/>
      <c r="Q876" s="435"/>
      <c r="R876" s="435"/>
      <c r="S876" s="435"/>
      <c r="T876" s="435"/>
      <c r="U876" s="435"/>
      <c r="V876" s="435"/>
      <c r="W876" s="463"/>
      <c r="X876" s="435"/>
      <c r="Y876" s="435"/>
      <c r="Z876" s="435"/>
      <c r="AA876" s="435"/>
      <c r="AB876" s="435"/>
      <c r="AC876" s="408"/>
      <c r="AD876" s="4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</row>
    <row r="877" spans="1:46" ht="15.75" customHeight="1">
      <c r="A877" s="110"/>
      <c r="B877" s="110"/>
      <c r="C877" s="110"/>
      <c r="D877" s="118"/>
      <c r="E877" s="118"/>
      <c r="F877" s="118"/>
      <c r="G877" s="408"/>
      <c r="H877" s="408"/>
      <c r="I877" s="408"/>
      <c r="J877" s="408"/>
      <c r="K877" s="408"/>
      <c r="L877" s="408"/>
      <c r="M877" s="118"/>
      <c r="N877" s="435"/>
      <c r="O877" s="435"/>
      <c r="P877" s="435"/>
      <c r="Q877" s="435"/>
      <c r="R877" s="435"/>
      <c r="S877" s="435"/>
      <c r="T877" s="435"/>
      <c r="U877" s="435"/>
      <c r="V877" s="435"/>
      <c r="W877" s="463"/>
      <c r="X877" s="435"/>
      <c r="Y877" s="435"/>
      <c r="Z877" s="435"/>
      <c r="AA877" s="435"/>
      <c r="AB877" s="435"/>
      <c r="AC877" s="408"/>
      <c r="AD877" s="4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</row>
    <row r="878" spans="1:46" ht="15.75" customHeight="1">
      <c r="A878" s="110"/>
      <c r="B878" s="110"/>
      <c r="C878" s="110"/>
      <c r="D878" s="118"/>
      <c r="E878" s="118"/>
      <c r="F878" s="118"/>
      <c r="G878" s="408"/>
      <c r="H878" s="408"/>
      <c r="I878" s="408"/>
      <c r="J878" s="408"/>
      <c r="K878" s="408"/>
      <c r="L878" s="408"/>
      <c r="M878" s="118"/>
      <c r="N878" s="435"/>
      <c r="O878" s="435"/>
      <c r="P878" s="435"/>
      <c r="Q878" s="435"/>
      <c r="R878" s="435"/>
      <c r="S878" s="435"/>
      <c r="T878" s="435"/>
      <c r="U878" s="435"/>
      <c r="V878" s="435"/>
      <c r="W878" s="463"/>
      <c r="X878" s="435"/>
      <c r="Y878" s="435"/>
      <c r="Z878" s="435"/>
      <c r="AA878" s="435"/>
      <c r="AB878" s="435"/>
      <c r="AC878" s="408"/>
      <c r="AD878" s="4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</row>
    <row r="879" spans="1:46" ht="15.75" customHeight="1">
      <c r="A879" s="110"/>
      <c r="B879" s="110"/>
      <c r="C879" s="110"/>
      <c r="D879" s="118"/>
      <c r="E879" s="118"/>
      <c r="F879" s="118"/>
      <c r="G879" s="408"/>
      <c r="H879" s="408"/>
      <c r="I879" s="408"/>
      <c r="J879" s="408"/>
      <c r="K879" s="408"/>
      <c r="L879" s="408"/>
      <c r="M879" s="118"/>
      <c r="N879" s="435"/>
      <c r="O879" s="435"/>
      <c r="P879" s="435"/>
      <c r="Q879" s="435"/>
      <c r="R879" s="435"/>
      <c r="S879" s="435"/>
      <c r="T879" s="435"/>
      <c r="U879" s="435"/>
      <c r="V879" s="435"/>
      <c r="W879" s="463"/>
      <c r="X879" s="435"/>
      <c r="Y879" s="435"/>
      <c r="Z879" s="435"/>
      <c r="AA879" s="435"/>
      <c r="AB879" s="435"/>
      <c r="AC879" s="408"/>
      <c r="AD879" s="4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</row>
    <row r="880" spans="1:46" ht="15.75" customHeight="1">
      <c r="A880" s="110"/>
      <c r="B880" s="110"/>
      <c r="C880" s="110"/>
      <c r="D880" s="118"/>
      <c r="E880" s="118"/>
      <c r="F880" s="118"/>
      <c r="G880" s="408"/>
      <c r="H880" s="408"/>
      <c r="I880" s="408"/>
      <c r="J880" s="408"/>
      <c r="K880" s="408"/>
      <c r="L880" s="408"/>
      <c r="M880" s="118"/>
      <c r="N880" s="435"/>
      <c r="O880" s="435"/>
      <c r="P880" s="435"/>
      <c r="Q880" s="435"/>
      <c r="R880" s="435"/>
      <c r="S880" s="435"/>
      <c r="T880" s="435"/>
      <c r="U880" s="435"/>
      <c r="V880" s="435"/>
      <c r="W880" s="463"/>
      <c r="X880" s="435"/>
      <c r="Y880" s="435"/>
      <c r="Z880" s="435"/>
      <c r="AA880" s="435"/>
      <c r="AB880" s="435"/>
      <c r="AC880" s="408"/>
      <c r="AD880" s="4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</row>
    <row r="881" spans="1:46" ht="15.75" customHeight="1">
      <c r="A881" s="110"/>
      <c r="B881" s="110"/>
      <c r="C881" s="110"/>
      <c r="D881" s="118"/>
      <c r="E881" s="118"/>
      <c r="F881" s="118"/>
      <c r="G881" s="408"/>
      <c r="H881" s="408"/>
      <c r="I881" s="408"/>
      <c r="J881" s="408"/>
      <c r="K881" s="408"/>
      <c r="L881" s="408"/>
      <c r="M881" s="118"/>
      <c r="N881" s="435"/>
      <c r="O881" s="435"/>
      <c r="P881" s="435"/>
      <c r="Q881" s="435"/>
      <c r="R881" s="435"/>
      <c r="S881" s="435"/>
      <c r="T881" s="435"/>
      <c r="U881" s="435"/>
      <c r="V881" s="435"/>
      <c r="W881" s="463"/>
      <c r="X881" s="435"/>
      <c r="Y881" s="435"/>
      <c r="Z881" s="435"/>
      <c r="AA881" s="435"/>
      <c r="AB881" s="435"/>
      <c r="AC881" s="408"/>
      <c r="AD881" s="4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</row>
    <row r="882" spans="1:46" ht="15.75" customHeight="1">
      <c r="A882" s="110"/>
      <c r="B882" s="110"/>
      <c r="C882" s="110"/>
      <c r="D882" s="118"/>
      <c r="E882" s="118"/>
      <c r="F882" s="118"/>
      <c r="G882" s="408"/>
      <c r="H882" s="408"/>
      <c r="I882" s="408"/>
      <c r="J882" s="408"/>
      <c r="K882" s="408"/>
      <c r="L882" s="408"/>
      <c r="M882" s="118"/>
      <c r="N882" s="435"/>
      <c r="O882" s="435"/>
      <c r="P882" s="435"/>
      <c r="Q882" s="435"/>
      <c r="R882" s="435"/>
      <c r="S882" s="435"/>
      <c r="T882" s="435"/>
      <c r="U882" s="435"/>
      <c r="V882" s="435"/>
      <c r="W882" s="463"/>
      <c r="X882" s="435"/>
      <c r="Y882" s="435"/>
      <c r="Z882" s="435"/>
      <c r="AA882" s="435"/>
      <c r="AB882" s="435"/>
      <c r="AC882" s="408"/>
      <c r="AD882" s="4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</row>
    <row r="883" spans="1:46" ht="15.75" customHeight="1">
      <c r="A883" s="110"/>
      <c r="B883" s="110"/>
      <c r="C883" s="110"/>
      <c r="D883" s="118"/>
      <c r="E883" s="118"/>
      <c r="F883" s="118"/>
      <c r="G883" s="408"/>
      <c r="H883" s="408"/>
      <c r="I883" s="408"/>
      <c r="J883" s="408"/>
      <c r="K883" s="408"/>
      <c r="L883" s="408"/>
      <c r="M883" s="118"/>
      <c r="N883" s="435"/>
      <c r="O883" s="435"/>
      <c r="P883" s="435"/>
      <c r="Q883" s="435"/>
      <c r="R883" s="435"/>
      <c r="S883" s="435"/>
      <c r="T883" s="435"/>
      <c r="U883" s="435"/>
      <c r="V883" s="435"/>
      <c r="W883" s="463"/>
      <c r="X883" s="435"/>
      <c r="Y883" s="435"/>
      <c r="Z883" s="435"/>
      <c r="AA883" s="435"/>
      <c r="AB883" s="435"/>
      <c r="AC883" s="408"/>
      <c r="AD883" s="4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</row>
    <row r="884" spans="1:46" ht="15.75" customHeight="1">
      <c r="A884" s="110"/>
      <c r="B884" s="110"/>
      <c r="C884" s="110"/>
      <c r="D884" s="118"/>
      <c r="E884" s="118"/>
      <c r="F884" s="118"/>
      <c r="G884" s="408"/>
      <c r="H884" s="408"/>
      <c r="I884" s="408"/>
      <c r="J884" s="408"/>
      <c r="K884" s="408"/>
      <c r="L884" s="408"/>
      <c r="M884" s="118"/>
      <c r="N884" s="435"/>
      <c r="O884" s="435"/>
      <c r="P884" s="435"/>
      <c r="Q884" s="435"/>
      <c r="R884" s="435"/>
      <c r="S884" s="435"/>
      <c r="T884" s="435"/>
      <c r="U884" s="435"/>
      <c r="V884" s="435"/>
      <c r="W884" s="463"/>
      <c r="X884" s="435"/>
      <c r="Y884" s="435"/>
      <c r="Z884" s="435"/>
      <c r="AA884" s="435"/>
      <c r="AB884" s="435"/>
      <c r="AC884" s="408"/>
      <c r="AD884" s="4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</row>
    <row r="885" spans="1:46" ht="15.75" customHeight="1">
      <c r="A885" s="110"/>
      <c r="B885" s="110"/>
      <c r="C885" s="110"/>
      <c r="D885" s="118"/>
      <c r="E885" s="118"/>
      <c r="F885" s="118"/>
      <c r="G885" s="408"/>
      <c r="H885" s="408"/>
      <c r="I885" s="408"/>
      <c r="J885" s="408"/>
      <c r="K885" s="408"/>
      <c r="L885" s="408"/>
      <c r="M885" s="118"/>
      <c r="N885" s="435"/>
      <c r="O885" s="435"/>
      <c r="P885" s="435"/>
      <c r="Q885" s="435"/>
      <c r="R885" s="435"/>
      <c r="S885" s="435"/>
      <c r="T885" s="435"/>
      <c r="U885" s="435"/>
      <c r="V885" s="435"/>
      <c r="W885" s="463"/>
      <c r="X885" s="435"/>
      <c r="Y885" s="435"/>
      <c r="Z885" s="435"/>
      <c r="AA885" s="435"/>
      <c r="AB885" s="435"/>
      <c r="AC885" s="408"/>
      <c r="AD885" s="4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</row>
    <row r="886" spans="1:46" ht="15.75" customHeight="1">
      <c r="A886" s="110"/>
      <c r="B886" s="110"/>
      <c r="C886" s="110"/>
      <c r="D886" s="118"/>
      <c r="E886" s="118"/>
      <c r="F886" s="118"/>
      <c r="G886" s="408"/>
      <c r="H886" s="408"/>
      <c r="I886" s="408"/>
      <c r="J886" s="408"/>
      <c r="K886" s="408"/>
      <c r="L886" s="408"/>
      <c r="M886" s="118"/>
      <c r="N886" s="435"/>
      <c r="O886" s="435"/>
      <c r="P886" s="435"/>
      <c r="Q886" s="435"/>
      <c r="R886" s="435"/>
      <c r="S886" s="435"/>
      <c r="T886" s="435"/>
      <c r="U886" s="435"/>
      <c r="V886" s="435"/>
      <c r="W886" s="463"/>
      <c r="X886" s="435"/>
      <c r="Y886" s="435"/>
      <c r="Z886" s="435"/>
      <c r="AA886" s="435"/>
      <c r="AB886" s="435"/>
      <c r="AC886" s="408"/>
      <c r="AD886" s="4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</row>
    <row r="887" spans="1:46" ht="15.75" customHeight="1">
      <c r="A887" s="110"/>
      <c r="B887" s="110"/>
      <c r="C887" s="110"/>
      <c r="D887" s="118"/>
      <c r="E887" s="118"/>
      <c r="F887" s="118"/>
      <c r="G887" s="408"/>
      <c r="H887" s="408"/>
      <c r="I887" s="408"/>
      <c r="J887" s="408"/>
      <c r="K887" s="408"/>
      <c r="L887" s="408"/>
      <c r="M887" s="118"/>
      <c r="N887" s="435"/>
      <c r="O887" s="435"/>
      <c r="P887" s="435"/>
      <c r="Q887" s="435"/>
      <c r="R887" s="435"/>
      <c r="S887" s="435"/>
      <c r="T887" s="435"/>
      <c r="U887" s="435"/>
      <c r="V887" s="435"/>
      <c r="W887" s="463"/>
      <c r="X887" s="435"/>
      <c r="Y887" s="435"/>
      <c r="Z887" s="435"/>
      <c r="AA887" s="435"/>
      <c r="AB887" s="435"/>
      <c r="AC887" s="408"/>
      <c r="AD887" s="4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</row>
    <row r="888" spans="1:46" ht="15.75" customHeight="1">
      <c r="A888" s="110"/>
      <c r="B888" s="110"/>
      <c r="C888" s="110"/>
      <c r="D888" s="118"/>
      <c r="E888" s="118"/>
      <c r="F888" s="118"/>
      <c r="G888" s="408"/>
      <c r="H888" s="408"/>
      <c r="I888" s="408"/>
      <c r="J888" s="408"/>
      <c r="K888" s="408"/>
      <c r="L888" s="408"/>
      <c r="M888" s="118"/>
      <c r="N888" s="435"/>
      <c r="O888" s="435"/>
      <c r="P888" s="435"/>
      <c r="Q888" s="435"/>
      <c r="R888" s="435"/>
      <c r="S888" s="435"/>
      <c r="T888" s="435"/>
      <c r="U888" s="435"/>
      <c r="V888" s="435"/>
      <c r="W888" s="463"/>
      <c r="X888" s="435"/>
      <c r="Y888" s="435"/>
      <c r="Z888" s="435"/>
      <c r="AA888" s="435"/>
      <c r="AB888" s="435"/>
      <c r="AC888" s="408"/>
      <c r="AD888" s="4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</row>
    <row r="889" spans="1:46" ht="15.75" customHeight="1">
      <c r="A889" s="110"/>
      <c r="B889" s="110"/>
      <c r="C889" s="110"/>
      <c r="D889" s="118"/>
      <c r="E889" s="118"/>
      <c r="F889" s="118"/>
      <c r="G889" s="408"/>
      <c r="H889" s="408"/>
      <c r="I889" s="408"/>
      <c r="J889" s="408"/>
      <c r="K889" s="408"/>
      <c r="L889" s="408"/>
      <c r="M889" s="118"/>
      <c r="N889" s="435"/>
      <c r="O889" s="435"/>
      <c r="P889" s="435"/>
      <c r="Q889" s="435"/>
      <c r="R889" s="435"/>
      <c r="S889" s="435"/>
      <c r="T889" s="435"/>
      <c r="U889" s="435"/>
      <c r="V889" s="435"/>
      <c r="W889" s="463"/>
      <c r="X889" s="435"/>
      <c r="Y889" s="435"/>
      <c r="Z889" s="435"/>
      <c r="AA889" s="435"/>
      <c r="AB889" s="435"/>
      <c r="AC889" s="408"/>
      <c r="AD889" s="4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</row>
    <row r="890" spans="1:46" ht="15.75" customHeight="1">
      <c r="A890" s="110"/>
      <c r="B890" s="110"/>
      <c r="C890" s="110"/>
      <c r="D890" s="118"/>
      <c r="E890" s="118"/>
      <c r="F890" s="118"/>
      <c r="G890" s="408"/>
      <c r="H890" s="408"/>
      <c r="I890" s="408"/>
      <c r="J890" s="408"/>
      <c r="K890" s="408"/>
      <c r="L890" s="408"/>
      <c r="M890" s="118"/>
      <c r="N890" s="435"/>
      <c r="O890" s="435"/>
      <c r="P890" s="435"/>
      <c r="Q890" s="435"/>
      <c r="R890" s="435"/>
      <c r="S890" s="435"/>
      <c r="T890" s="435"/>
      <c r="U890" s="435"/>
      <c r="V890" s="435"/>
      <c r="W890" s="463"/>
      <c r="X890" s="435"/>
      <c r="Y890" s="435"/>
      <c r="Z890" s="435"/>
      <c r="AA890" s="435"/>
      <c r="AB890" s="435"/>
      <c r="AC890" s="408"/>
      <c r="AD890" s="4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</row>
    <row r="891" spans="1:46" ht="15.75" customHeight="1">
      <c r="A891" s="110"/>
      <c r="B891" s="110"/>
      <c r="C891" s="110"/>
      <c r="D891" s="118"/>
      <c r="E891" s="118"/>
      <c r="F891" s="118"/>
      <c r="G891" s="408"/>
      <c r="H891" s="408"/>
      <c r="I891" s="408"/>
      <c r="J891" s="408"/>
      <c r="K891" s="408"/>
      <c r="L891" s="408"/>
      <c r="M891" s="118"/>
      <c r="N891" s="435"/>
      <c r="O891" s="435"/>
      <c r="P891" s="435"/>
      <c r="Q891" s="435"/>
      <c r="R891" s="435"/>
      <c r="S891" s="435"/>
      <c r="T891" s="435"/>
      <c r="U891" s="435"/>
      <c r="V891" s="435"/>
      <c r="W891" s="463"/>
      <c r="X891" s="435"/>
      <c r="Y891" s="435"/>
      <c r="Z891" s="435"/>
      <c r="AA891" s="435"/>
      <c r="AB891" s="435"/>
      <c r="AC891" s="408"/>
      <c r="AD891" s="4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</row>
    <row r="892" spans="1:46" ht="15.75" customHeight="1">
      <c r="A892" s="110"/>
      <c r="B892" s="110"/>
      <c r="C892" s="110"/>
      <c r="D892" s="118"/>
      <c r="E892" s="118"/>
      <c r="F892" s="118"/>
      <c r="G892" s="408"/>
      <c r="H892" s="408"/>
      <c r="I892" s="408"/>
      <c r="J892" s="408"/>
      <c r="K892" s="408"/>
      <c r="L892" s="408"/>
      <c r="M892" s="118"/>
      <c r="N892" s="435"/>
      <c r="O892" s="435"/>
      <c r="P892" s="435"/>
      <c r="Q892" s="435"/>
      <c r="R892" s="435"/>
      <c r="S892" s="435"/>
      <c r="T892" s="435"/>
      <c r="U892" s="435"/>
      <c r="V892" s="435"/>
      <c r="W892" s="463"/>
      <c r="X892" s="435"/>
      <c r="Y892" s="435"/>
      <c r="Z892" s="435"/>
      <c r="AA892" s="435"/>
      <c r="AB892" s="435"/>
      <c r="AC892" s="408"/>
      <c r="AD892" s="4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</row>
    <row r="893" spans="1:46" ht="15.75" customHeight="1">
      <c r="A893" s="110"/>
      <c r="B893" s="110"/>
      <c r="C893" s="110"/>
      <c r="D893" s="118"/>
      <c r="E893" s="118"/>
      <c r="F893" s="118"/>
      <c r="G893" s="408"/>
      <c r="H893" s="408"/>
      <c r="I893" s="408"/>
      <c r="J893" s="408"/>
      <c r="K893" s="408"/>
      <c r="L893" s="408"/>
      <c r="M893" s="118"/>
      <c r="N893" s="435"/>
      <c r="O893" s="435"/>
      <c r="P893" s="435"/>
      <c r="Q893" s="435"/>
      <c r="R893" s="435"/>
      <c r="S893" s="435"/>
      <c r="T893" s="435"/>
      <c r="U893" s="435"/>
      <c r="V893" s="435"/>
      <c r="W893" s="463"/>
      <c r="X893" s="435"/>
      <c r="Y893" s="435"/>
      <c r="Z893" s="435"/>
      <c r="AA893" s="435"/>
      <c r="AB893" s="435"/>
      <c r="AC893" s="408"/>
      <c r="AD893" s="4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</row>
    <row r="894" spans="1:46" ht="15.75" customHeight="1">
      <c r="A894" s="110"/>
      <c r="B894" s="110"/>
      <c r="C894" s="110"/>
      <c r="D894" s="118"/>
      <c r="E894" s="118"/>
      <c r="F894" s="118"/>
      <c r="G894" s="408"/>
      <c r="H894" s="408"/>
      <c r="I894" s="408"/>
      <c r="J894" s="408"/>
      <c r="K894" s="408"/>
      <c r="L894" s="408"/>
      <c r="M894" s="118"/>
      <c r="N894" s="435"/>
      <c r="O894" s="435"/>
      <c r="P894" s="435"/>
      <c r="Q894" s="435"/>
      <c r="R894" s="435"/>
      <c r="S894" s="435"/>
      <c r="T894" s="435"/>
      <c r="U894" s="435"/>
      <c r="V894" s="435"/>
      <c r="W894" s="463"/>
      <c r="X894" s="435"/>
      <c r="Y894" s="435"/>
      <c r="Z894" s="435"/>
      <c r="AA894" s="435"/>
      <c r="AB894" s="435"/>
      <c r="AC894" s="408"/>
      <c r="AD894" s="4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</row>
    <row r="895" spans="1:46" ht="15.75" customHeight="1">
      <c r="A895" s="110"/>
      <c r="B895" s="110"/>
      <c r="C895" s="110"/>
      <c r="D895" s="118"/>
      <c r="E895" s="118"/>
      <c r="F895" s="118"/>
      <c r="G895" s="408"/>
      <c r="H895" s="408"/>
      <c r="I895" s="408"/>
      <c r="J895" s="408"/>
      <c r="K895" s="408"/>
      <c r="L895" s="408"/>
      <c r="M895" s="118"/>
      <c r="N895" s="435"/>
      <c r="O895" s="435"/>
      <c r="P895" s="435"/>
      <c r="Q895" s="435"/>
      <c r="R895" s="435"/>
      <c r="S895" s="435"/>
      <c r="T895" s="435"/>
      <c r="U895" s="435"/>
      <c r="V895" s="435"/>
      <c r="W895" s="463"/>
      <c r="X895" s="435"/>
      <c r="Y895" s="435"/>
      <c r="Z895" s="435"/>
      <c r="AA895" s="435"/>
      <c r="AB895" s="435"/>
      <c r="AC895" s="408"/>
      <c r="AD895" s="4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</row>
    <row r="896" spans="1:46" ht="15.75" customHeight="1">
      <c r="A896" s="110"/>
      <c r="B896" s="110"/>
      <c r="C896" s="110"/>
      <c r="D896" s="118"/>
      <c r="E896" s="118"/>
      <c r="F896" s="118"/>
      <c r="G896" s="408"/>
      <c r="H896" s="408"/>
      <c r="I896" s="408"/>
      <c r="J896" s="408"/>
      <c r="K896" s="408"/>
      <c r="L896" s="408"/>
      <c r="M896" s="118"/>
      <c r="N896" s="435"/>
      <c r="O896" s="435"/>
      <c r="P896" s="435"/>
      <c r="Q896" s="435"/>
      <c r="R896" s="435"/>
      <c r="S896" s="435"/>
      <c r="T896" s="435"/>
      <c r="U896" s="435"/>
      <c r="V896" s="435"/>
      <c r="W896" s="463"/>
      <c r="X896" s="435"/>
      <c r="Y896" s="435"/>
      <c r="Z896" s="435"/>
      <c r="AA896" s="435"/>
      <c r="AB896" s="435"/>
      <c r="AC896" s="408"/>
      <c r="AD896" s="4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</row>
    <row r="897" spans="1:46" ht="15.75" customHeight="1">
      <c r="A897" s="110"/>
      <c r="B897" s="110"/>
      <c r="C897" s="110"/>
      <c r="D897" s="118"/>
      <c r="E897" s="118"/>
      <c r="F897" s="118"/>
      <c r="G897" s="408"/>
      <c r="H897" s="408"/>
      <c r="I897" s="408"/>
      <c r="J897" s="408"/>
      <c r="K897" s="408"/>
      <c r="L897" s="408"/>
      <c r="M897" s="118"/>
      <c r="N897" s="435"/>
      <c r="O897" s="435"/>
      <c r="P897" s="435"/>
      <c r="Q897" s="435"/>
      <c r="R897" s="435"/>
      <c r="S897" s="435"/>
      <c r="T897" s="435"/>
      <c r="U897" s="435"/>
      <c r="V897" s="435"/>
      <c r="W897" s="463"/>
      <c r="X897" s="435"/>
      <c r="Y897" s="435"/>
      <c r="Z897" s="435"/>
      <c r="AA897" s="435"/>
      <c r="AB897" s="435"/>
      <c r="AC897" s="408"/>
      <c r="AD897" s="4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</row>
    <row r="898" spans="1:46" ht="15.75" customHeight="1">
      <c r="A898" s="110"/>
      <c r="B898" s="110"/>
      <c r="C898" s="110"/>
      <c r="D898" s="118"/>
      <c r="E898" s="118"/>
      <c r="F898" s="118"/>
      <c r="G898" s="408"/>
      <c r="H898" s="408"/>
      <c r="I898" s="408"/>
      <c r="J898" s="408"/>
      <c r="K898" s="408"/>
      <c r="L898" s="408"/>
      <c r="M898" s="118"/>
      <c r="N898" s="435"/>
      <c r="O898" s="435"/>
      <c r="P898" s="435"/>
      <c r="Q898" s="435"/>
      <c r="R898" s="435"/>
      <c r="S898" s="435"/>
      <c r="T898" s="435"/>
      <c r="U898" s="435"/>
      <c r="V898" s="435"/>
      <c r="W898" s="463"/>
      <c r="X898" s="435"/>
      <c r="Y898" s="435"/>
      <c r="Z898" s="435"/>
      <c r="AA898" s="435"/>
      <c r="AB898" s="435"/>
      <c r="AC898" s="408"/>
      <c r="AD898" s="4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</row>
    <row r="899" spans="1:46" ht="15.75" customHeight="1">
      <c r="A899" s="110"/>
      <c r="B899" s="110"/>
      <c r="C899" s="110"/>
      <c r="D899" s="118"/>
      <c r="E899" s="118"/>
      <c r="F899" s="118"/>
      <c r="G899" s="408"/>
      <c r="H899" s="408"/>
      <c r="I899" s="408"/>
      <c r="J899" s="408"/>
      <c r="K899" s="408"/>
      <c r="L899" s="408"/>
      <c r="M899" s="118"/>
      <c r="N899" s="435"/>
      <c r="O899" s="435"/>
      <c r="P899" s="435"/>
      <c r="Q899" s="435"/>
      <c r="R899" s="435"/>
      <c r="S899" s="435"/>
      <c r="T899" s="435"/>
      <c r="U899" s="435"/>
      <c r="V899" s="435"/>
      <c r="W899" s="463"/>
      <c r="X899" s="435"/>
      <c r="Y899" s="435"/>
      <c r="Z899" s="435"/>
      <c r="AA899" s="435"/>
      <c r="AB899" s="435"/>
      <c r="AC899" s="408"/>
      <c r="AD899" s="4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</row>
    <row r="900" spans="1:46" ht="15.75" customHeight="1">
      <c r="A900" s="110"/>
      <c r="B900" s="110"/>
      <c r="C900" s="110"/>
      <c r="D900" s="118"/>
      <c r="E900" s="118"/>
      <c r="F900" s="118"/>
      <c r="G900" s="408"/>
      <c r="H900" s="408"/>
      <c r="I900" s="408"/>
      <c r="J900" s="408"/>
      <c r="K900" s="408"/>
      <c r="L900" s="408"/>
      <c r="M900" s="118"/>
      <c r="N900" s="435"/>
      <c r="O900" s="435"/>
      <c r="P900" s="435"/>
      <c r="Q900" s="435"/>
      <c r="R900" s="435"/>
      <c r="S900" s="435"/>
      <c r="T900" s="435"/>
      <c r="U900" s="435"/>
      <c r="V900" s="435"/>
      <c r="W900" s="463"/>
      <c r="X900" s="435"/>
      <c r="Y900" s="435"/>
      <c r="Z900" s="435"/>
      <c r="AA900" s="435"/>
      <c r="AB900" s="435"/>
      <c r="AC900" s="408"/>
      <c r="AD900" s="4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</row>
    <row r="901" spans="1:46" ht="15.75" customHeight="1">
      <c r="A901" s="110"/>
      <c r="B901" s="110"/>
      <c r="C901" s="110"/>
      <c r="D901" s="118"/>
      <c r="E901" s="118"/>
      <c r="F901" s="118"/>
      <c r="G901" s="408"/>
      <c r="H901" s="408"/>
      <c r="I901" s="408"/>
      <c r="J901" s="408"/>
      <c r="K901" s="408"/>
      <c r="L901" s="408"/>
      <c r="M901" s="118"/>
      <c r="N901" s="435"/>
      <c r="O901" s="435"/>
      <c r="P901" s="435"/>
      <c r="Q901" s="435"/>
      <c r="R901" s="435"/>
      <c r="S901" s="435"/>
      <c r="T901" s="435"/>
      <c r="U901" s="435"/>
      <c r="V901" s="435"/>
      <c r="W901" s="463"/>
      <c r="X901" s="435"/>
      <c r="Y901" s="435"/>
      <c r="Z901" s="435"/>
      <c r="AA901" s="435"/>
      <c r="AB901" s="435"/>
      <c r="AC901" s="408"/>
      <c r="AD901" s="4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</row>
    <row r="902" spans="1:46" ht="15.75" customHeight="1">
      <c r="A902" s="110"/>
      <c r="B902" s="110"/>
      <c r="C902" s="110"/>
      <c r="D902" s="118"/>
      <c r="E902" s="118"/>
      <c r="F902" s="118"/>
      <c r="G902" s="408"/>
      <c r="H902" s="408"/>
      <c r="I902" s="408"/>
      <c r="J902" s="408"/>
      <c r="K902" s="408"/>
      <c r="L902" s="408"/>
      <c r="M902" s="118"/>
      <c r="N902" s="435"/>
      <c r="O902" s="435"/>
      <c r="P902" s="435"/>
      <c r="Q902" s="435"/>
      <c r="R902" s="435"/>
      <c r="S902" s="435"/>
      <c r="T902" s="435"/>
      <c r="U902" s="435"/>
      <c r="V902" s="435"/>
      <c r="W902" s="463"/>
      <c r="X902" s="435"/>
      <c r="Y902" s="435"/>
      <c r="Z902" s="435"/>
      <c r="AA902" s="435"/>
      <c r="AB902" s="435"/>
      <c r="AC902" s="408"/>
      <c r="AD902" s="4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</row>
    <row r="903" spans="1:46" ht="15.75" customHeight="1">
      <c r="A903" s="110"/>
      <c r="B903" s="110"/>
      <c r="C903" s="110"/>
      <c r="D903" s="118"/>
      <c r="E903" s="118"/>
      <c r="F903" s="118"/>
      <c r="G903" s="408"/>
      <c r="H903" s="408"/>
      <c r="I903" s="408"/>
      <c r="J903" s="408"/>
      <c r="K903" s="408"/>
      <c r="L903" s="408"/>
      <c r="M903" s="118"/>
      <c r="N903" s="435"/>
      <c r="O903" s="435"/>
      <c r="P903" s="435"/>
      <c r="Q903" s="435"/>
      <c r="R903" s="435"/>
      <c r="S903" s="435"/>
      <c r="T903" s="435"/>
      <c r="U903" s="435"/>
      <c r="V903" s="435"/>
      <c r="W903" s="463"/>
      <c r="X903" s="435"/>
      <c r="Y903" s="435"/>
      <c r="Z903" s="435"/>
      <c r="AA903" s="435"/>
      <c r="AB903" s="435"/>
      <c r="AC903" s="408"/>
      <c r="AD903" s="4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</row>
    <row r="904" spans="1:46" ht="15.75" customHeight="1">
      <c r="A904" s="110"/>
      <c r="B904" s="110"/>
      <c r="C904" s="110"/>
      <c r="D904" s="118"/>
      <c r="E904" s="118"/>
      <c r="F904" s="118"/>
      <c r="G904" s="408"/>
      <c r="H904" s="408"/>
      <c r="I904" s="408"/>
      <c r="J904" s="408"/>
      <c r="K904" s="408"/>
      <c r="L904" s="408"/>
      <c r="M904" s="118"/>
      <c r="N904" s="435"/>
      <c r="O904" s="435"/>
      <c r="P904" s="435"/>
      <c r="Q904" s="435"/>
      <c r="R904" s="435"/>
      <c r="S904" s="435"/>
      <c r="T904" s="435"/>
      <c r="U904" s="435"/>
      <c r="V904" s="435"/>
      <c r="W904" s="463"/>
      <c r="X904" s="435"/>
      <c r="Y904" s="435"/>
      <c r="Z904" s="435"/>
      <c r="AA904" s="435"/>
      <c r="AB904" s="435"/>
      <c r="AC904" s="408"/>
      <c r="AD904" s="4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</row>
    <row r="905" spans="1:46" ht="15.75" customHeight="1">
      <c r="A905" s="110"/>
      <c r="B905" s="110"/>
      <c r="C905" s="110"/>
      <c r="D905" s="118"/>
      <c r="E905" s="118"/>
      <c r="F905" s="118"/>
      <c r="G905" s="408"/>
      <c r="H905" s="408"/>
      <c r="I905" s="408"/>
      <c r="J905" s="408"/>
      <c r="K905" s="408"/>
      <c r="L905" s="408"/>
      <c r="M905" s="118"/>
      <c r="N905" s="435"/>
      <c r="O905" s="435"/>
      <c r="P905" s="435"/>
      <c r="Q905" s="435"/>
      <c r="R905" s="435"/>
      <c r="S905" s="435"/>
      <c r="T905" s="435"/>
      <c r="U905" s="435"/>
      <c r="V905" s="435"/>
      <c r="W905" s="463"/>
      <c r="X905" s="435"/>
      <c r="Y905" s="435"/>
      <c r="Z905" s="435"/>
      <c r="AA905" s="435"/>
      <c r="AB905" s="435"/>
      <c r="AC905" s="408"/>
      <c r="AD905" s="4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</row>
    <row r="906" spans="1:46" ht="15.75" customHeight="1">
      <c r="A906" s="110"/>
      <c r="B906" s="110"/>
      <c r="C906" s="110"/>
      <c r="D906" s="118"/>
      <c r="E906" s="118"/>
      <c r="F906" s="118"/>
      <c r="G906" s="408"/>
      <c r="H906" s="408"/>
      <c r="I906" s="408"/>
      <c r="J906" s="408"/>
      <c r="K906" s="408"/>
      <c r="L906" s="408"/>
      <c r="M906" s="118"/>
      <c r="N906" s="435"/>
      <c r="O906" s="435"/>
      <c r="P906" s="435"/>
      <c r="Q906" s="435"/>
      <c r="R906" s="435"/>
      <c r="S906" s="435"/>
      <c r="T906" s="435"/>
      <c r="U906" s="435"/>
      <c r="V906" s="435"/>
      <c r="W906" s="463"/>
      <c r="X906" s="435"/>
      <c r="Y906" s="435"/>
      <c r="Z906" s="435"/>
      <c r="AA906" s="435"/>
      <c r="AB906" s="435"/>
      <c r="AC906" s="408"/>
      <c r="AD906" s="4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</row>
    <row r="907" spans="1:46" ht="15.75" customHeight="1">
      <c r="A907" s="110"/>
      <c r="B907" s="110"/>
      <c r="C907" s="110"/>
      <c r="D907" s="118"/>
      <c r="E907" s="118"/>
      <c r="F907" s="118"/>
      <c r="G907" s="408"/>
      <c r="H907" s="408"/>
      <c r="I907" s="408"/>
      <c r="J907" s="408"/>
      <c r="K907" s="408"/>
      <c r="L907" s="408"/>
      <c r="M907" s="118"/>
      <c r="N907" s="435"/>
      <c r="O907" s="435"/>
      <c r="P907" s="435"/>
      <c r="Q907" s="435"/>
      <c r="R907" s="435"/>
      <c r="S907" s="435"/>
      <c r="T907" s="435"/>
      <c r="U907" s="435"/>
      <c r="V907" s="435"/>
      <c r="W907" s="463"/>
      <c r="X907" s="435"/>
      <c r="Y907" s="435"/>
      <c r="Z907" s="435"/>
      <c r="AA907" s="435"/>
      <c r="AB907" s="435"/>
      <c r="AC907" s="408"/>
      <c r="AD907" s="4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</row>
    <row r="908" spans="1:46" ht="15.75" customHeight="1">
      <c r="A908" s="110"/>
      <c r="B908" s="110"/>
      <c r="C908" s="110"/>
      <c r="D908" s="118"/>
      <c r="E908" s="118"/>
      <c r="F908" s="118"/>
      <c r="G908" s="408"/>
      <c r="H908" s="408"/>
      <c r="I908" s="408"/>
      <c r="J908" s="408"/>
      <c r="K908" s="408"/>
      <c r="L908" s="408"/>
      <c r="M908" s="118"/>
      <c r="N908" s="435"/>
      <c r="O908" s="435"/>
      <c r="P908" s="435"/>
      <c r="Q908" s="435"/>
      <c r="R908" s="435"/>
      <c r="S908" s="435"/>
      <c r="T908" s="435"/>
      <c r="U908" s="435"/>
      <c r="V908" s="435"/>
      <c r="W908" s="463"/>
      <c r="X908" s="435"/>
      <c r="Y908" s="435"/>
      <c r="Z908" s="435"/>
      <c r="AA908" s="435"/>
      <c r="AB908" s="435"/>
      <c r="AC908" s="408"/>
      <c r="AD908" s="4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</row>
    <row r="909" spans="1:46" ht="15.75" customHeight="1">
      <c r="A909" s="110"/>
      <c r="B909" s="110"/>
      <c r="C909" s="110"/>
      <c r="D909" s="118"/>
      <c r="E909" s="118"/>
      <c r="F909" s="118"/>
      <c r="G909" s="408"/>
      <c r="H909" s="408"/>
      <c r="I909" s="408"/>
      <c r="J909" s="408"/>
      <c r="K909" s="408"/>
      <c r="L909" s="408"/>
      <c r="M909" s="118"/>
      <c r="N909" s="435"/>
      <c r="O909" s="435"/>
      <c r="P909" s="435"/>
      <c r="Q909" s="435"/>
      <c r="R909" s="435"/>
      <c r="S909" s="435"/>
      <c r="T909" s="435"/>
      <c r="U909" s="435"/>
      <c r="V909" s="435"/>
      <c r="W909" s="463"/>
      <c r="X909" s="435"/>
      <c r="Y909" s="435"/>
      <c r="Z909" s="435"/>
      <c r="AA909" s="435"/>
      <c r="AB909" s="435"/>
      <c r="AC909" s="408"/>
      <c r="AD909" s="4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</row>
    <row r="910" spans="1:46" ht="15.75" customHeight="1">
      <c r="A910" s="110"/>
      <c r="B910" s="110"/>
      <c r="C910" s="110"/>
      <c r="D910" s="118"/>
      <c r="E910" s="118"/>
      <c r="F910" s="118"/>
      <c r="G910" s="408"/>
      <c r="H910" s="408"/>
      <c r="I910" s="408"/>
      <c r="J910" s="408"/>
      <c r="K910" s="408"/>
      <c r="L910" s="408"/>
      <c r="M910" s="118"/>
      <c r="N910" s="435"/>
      <c r="O910" s="435"/>
      <c r="P910" s="435"/>
      <c r="Q910" s="435"/>
      <c r="R910" s="435"/>
      <c r="S910" s="435"/>
      <c r="T910" s="435"/>
      <c r="U910" s="435"/>
      <c r="V910" s="435"/>
      <c r="W910" s="463"/>
      <c r="X910" s="435"/>
      <c r="Y910" s="435"/>
      <c r="Z910" s="435"/>
      <c r="AA910" s="435"/>
      <c r="AB910" s="435"/>
      <c r="AC910" s="408"/>
      <c r="AD910" s="4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</row>
    <row r="911" spans="1:46" ht="15.75" customHeight="1">
      <c r="A911" s="110"/>
      <c r="B911" s="110"/>
      <c r="C911" s="110"/>
      <c r="D911" s="118"/>
      <c r="E911" s="118"/>
      <c r="F911" s="118"/>
      <c r="G911" s="408"/>
      <c r="H911" s="408"/>
      <c r="I911" s="408"/>
      <c r="J911" s="408"/>
      <c r="K911" s="408"/>
      <c r="L911" s="408"/>
      <c r="M911" s="118"/>
      <c r="N911" s="435"/>
      <c r="O911" s="435"/>
      <c r="P911" s="435"/>
      <c r="Q911" s="435"/>
      <c r="R911" s="435"/>
      <c r="S911" s="435"/>
      <c r="T911" s="435"/>
      <c r="U911" s="435"/>
      <c r="V911" s="435"/>
      <c r="W911" s="463"/>
      <c r="X911" s="435"/>
      <c r="Y911" s="435"/>
      <c r="Z911" s="435"/>
      <c r="AA911" s="435"/>
      <c r="AB911" s="435"/>
      <c r="AC911" s="408"/>
      <c r="AD911" s="4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</row>
    <row r="912" spans="1:46" ht="15.75" customHeight="1">
      <c r="A912" s="110"/>
      <c r="B912" s="110"/>
      <c r="C912" s="110"/>
      <c r="D912" s="118"/>
      <c r="E912" s="118"/>
      <c r="F912" s="118"/>
      <c r="G912" s="408"/>
      <c r="H912" s="408"/>
      <c r="I912" s="408"/>
      <c r="J912" s="408"/>
      <c r="K912" s="408"/>
      <c r="L912" s="408"/>
      <c r="M912" s="118"/>
      <c r="N912" s="435"/>
      <c r="O912" s="435"/>
      <c r="P912" s="435"/>
      <c r="Q912" s="435"/>
      <c r="R912" s="435"/>
      <c r="S912" s="435"/>
      <c r="T912" s="435"/>
      <c r="U912" s="435"/>
      <c r="V912" s="435"/>
      <c r="W912" s="463"/>
      <c r="X912" s="435"/>
      <c r="Y912" s="435"/>
      <c r="Z912" s="435"/>
      <c r="AA912" s="435"/>
      <c r="AB912" s="435"/>
      <c r="AC912" s="408"/>
      <c r="AD912" s="4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</row>
    <row r="913" spans="1:46" ht="15.75" customHeight="1">
      <c r="A913" s="110"/>
      <c r="B913" s="110"/>
      <c r="C913" s="110"/>
      <c r="D913" s="118"/>
      <c r="E913" s="118"/>
      <c r="F913" s="118"/>
      <c r="G913" s="408"/>
      <c r="H913" s="408"/>
      <c r="I913" s="408"/>
      <c r="J913" s="408"/>
      <c r="K913" s="408"/>
      <c r="L913" s="408"/>
      <c r="M913" s="118"/>
      <c r="N913" s="435"/>
      <c r="O913" s="435"/>
      <c r="P913" s="435"/>
      <c r="Q913" s="435"/>
      <c r="R913" s="435"/>
      <c r="S913" s="435"/>
      <c r="T913" s="435"/>
      <c r="U913" s="435"/>
      <c r="V913" s="435"/>
      <c r="W913" s="463"/>
      <c r="X913" s="435"/>
      <c r="Y913" s="435"/>
      <c r="Z913" s="435"/>
      <c r="AA913" s="435"/>
      <c r="AB913" s="435"/>
      <c r="AC913" s="408"/>
      <c r="AD913" s="4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</row>
    <row r="914" spans="1:46" ht="15.75" customHeight="1">
      <c r="A914" s="110"/>
      <c r="B914" s="110"/>
      <c r="C914" s="110"/>
      <c r="D914" s="118"/>
      <c r="E914" s="118"/>
      <c r="F914" s="118"/>
      <c r="G914" s="408"/>
      <c r="H914" s="408"/>
      <c r="I914" s="408"/>
      <c r="J914" s="408"/>
      <c r="K914" s="408"/>
      <c r="L914" s="408"/>
      <c r="M914" s="118"/>
      <c r="N914" s="435"/>
      <c r="O914" s="435"/>
      <c r="P914" s="435"/>
      <c r="Q914" s="435"/>
      <c r="R914" s="435"/>
      <c r="S914" s="435"/>
      <c r="T914" s="435"/>
      <c r="U914" s="435"/>
      <c r="V914" s="435"/>
      <c r="W914" s="463"/>
      <c r="X914" s="435"/>
      <c r="Y914" s="435"/>
      <c r="Z914" s="435"/>
      <c r="AA914" s="435"/>
      <c r="AB914" s="435"/>
      <c r="AC914" s="408"/>
      <c r="AD914" s="4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</row>
    <row r="915" spans="1:46" ht="15.75" customHeight="1">
      <c r="A915" s="110"/>
      <c r="B915" s="110"/>
      <c r="C915" s="110"/>
      <c r="D915" s="118"/>
      <c r="E915" s="118"/>
      <c r="F915" s="118"/>
      <c r="G915" s="408"/>
      <c r="H915" s="408"/>
      <c r="I915" s="408"/>
      <c r="J915" s="408"/>
      <c r="K915" s="408"/>
      <c r="L915" s="408"/>
      <c r="M915" s="118"/>
      <c r="N915" s="435"/>
      <c r="O915" s="435"/>
      <c r="P915" s="435"/>
      <c r="Q915" s="435"/>
      <c r="R915" s="435"/>
      <c r="S915" s="435"/>
      <c r="T915" s="435"/>
      <c r="U915" s="435"/>
      <c r="V915" s="435"/>
      <c r="W915" s="463"/>
      <c r="X915" s="435"/>
      <c r="Y915" s="435"/>
      <c r="Z915" s="435"/>
      <c r="AA915" s="435"/>
      <c r="AB915" s="435"/>
      <c r="AC915" s="408"/>
      <c r="AD915" s="4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</row>
    <row r="916" spans="1:46" ht="15.75" customHeight="1">
      <c r="A916" s="110"/>
      <c r="B916" s="110"/>
      <c r="C916" s="110"/>
      <c r="D916" s="118"/>
      <c r="E916" s="118"/>
      <c r="F916" s="118"/>
      <c r="G916" s="408"/>
      <c r="H916" s="408"/>
      <c r="I916" s="408"/>
      <c r="J916" s="408"/>
      <c r="K916" s="408"/>
      <c r="L916" s="408"/>
      <c r="M916" s="118"/>
      <c r="N916" s="435"/>
      <c r="O916" s="435"/>
      <c r="P916" s="435"/>
      <c r="Q916" s="435"/>
      <c r="R916" s="435"/>
      <c r="S916" s="435"/>
      <c r="T916" s="435"/>
      <c r="U916" s="435"/>
      <c r="V916" s="435"/>
      <c r="W916" s="463"/>
      <c r="X916" s="435"/>
      <c r="Y916" s="435"/>
      <c r="Z916" s="435"/>
      <c r="AA916" s="435"/>
      <c r="AB916" s="435"/>
      <c r="AC916" s="408"/>
      <c r="AD916" s="4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</row>
    <row r="917" spans="1:46" ht="15.75" customHeight="1">
      <c r="A917" s="110"/>
      <c r="B917" s="110"/>
      <c r="C917" s="110"/>
      <c r="D917" s="118"/>
      <c r="E917" s="118"/>
      <c r="F917" s="118"/>
      <c r="G917" s="408"/>
      <c r="H917" s="408"/>
      <c r="I917" s="408"/>
      <c r="J917" s="408"/>
      <c r="K917" s="408"/>
      <c r="L917" s="408"/>
      <c r="M917" s="118"/>
      <c r="N917" s="435"/>
      <c r="O917" s="435"/>
      <c r="P917" s="435"/>
      <c r="Q917" s="435"/>
      <c r="R917" s="435"/>
      <c r="S917" s="435"/>
      <c r="T917" s="435"/>
      <c r="U917" s="435"/>
      <c r="V917" s="435"/>
      <c r="W917" s="463"/>
      <c r="X917" s="435"/>
      <c r="Y917" s="435"/>
      <c r="Z917" s="435"/>
      <c r="AA917" s="435"/>
      <c r="AB917" s="435"/>
      <c r="AC917" s="408"/>
      <c r="AD917" s="4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</row>
    <row r="918" spans="1:46" ht="15.75" customHeight="1">
      <c r="A918" s="110"/>
      <c r="B918" s="110"/>
      <c r="C918" s="110"/>
      <c r="D918" s="118"/>
      <c r="E918" s="118"/>
      <c r="F918" s="118"/>
      <c r="G918" s="408"/>
      <c r="H918" s="408"/>
      <c r="I918" s="408"/>
      <c r="J918" s="408"/>
      <c r="K918" s="408"/>
      <c r="L918" s="408"/>
      <c r="M918" s="118"/>
      <c r="N918" s="435"/>
      <c r="O918" s="435"/>
      <c r="P918" s="435"/>
      <c r="Q918" s="435"/>
      <c r="R918" s="435"/>
      <c r="S918" s="435"/>
      <c r="T918" s="435"/>
      <c r="U918" s="435"/>
      <c r="V918" s="435"/>
      <c r="W918" s="463"/>
      <c r="X918" s="435"/>
      <c r="Y918" s="435"/>
      <c r="Z918" s="435"/>
      <c r="AA918" s="435"/>
      <c r="AB918" s="435"/>
      <c r="AC918" s="408"/>
      <c r="AD918" s="4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</row>
    <row r="919" spans="1:46" ht="15.75" customHeight="1">
      <c r="A919" s="110"/>
      <c r="B919" s="110"/>
      <c r="C919" s="110"/>
      <c r="D919" s="118"/>
      <c r="E919" s="118"/>
      <c r="F919" s="118"/>
      <c r="G919" s="408"/>
      <c r="H919" s="408"/>
      <c r="I919" s="408"/>
      <c r="J919" s="408"/>
      <c r="K919" s="408"/>
      <c r="L919" s="408"/>
      <c r="M919" s="118"/>
      <c r="N919" s="435"/>
      <c r="O919" s="435"/>
      <c r="P919" s="435"/>
      <c r="Q919" s="435"/>
      <c r="R919" s="435"/>
      <c r="S919" s="435"/>
      <c r="T919" s="435"/>
      <c r="U919" s="435"/>
      <c r="V919" s="435"/>
      <c r="W919" s="463"/>
      <c r="X919" s="435"/>
      <c r="Y919" s="435"/>
      <c r="Z919" s="435"/>
      <c r="AA919" s="435"/>
      <c r="AB919" s="435"/>
      <c r="AC919" s="408"/>
      <c r="AD919" s="4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</row>
    <row r="920" spans="1:46" ht="15.75" customHeight="1">
      <c r="A920" s="110"/>
      <c r="B920" s="110"/>
      <c r="C920" s="110"/>
      <c r="D920" s="118"/>
      <c r="E920" s="118"/>
      <c r="F920" s="118"/>
      <c r="G920" s="408"/>
      <c r="H920" s="408"/>
      <c r="I920" s="408"/>
      <c r="J920" s="408"/>
      <c r="K920" s="408"/>
      <c r="L920" s="408"/>
      <c r="M920" s="118"/>
      <c r="N920" s="435"/>
      <c r="O920" s="435"/>
      <c r="P920" s="435"/>
      <c r="Q920" s="435"/>
      <c r="R920" s="435"/>
      <c r="S920" s="435"/>
      <c r="T920" s="435"/>
      <c r="U920" s="435"/>
      <c r="V920" s="435"/>
      <c r="W920" s="463"/>
      <c r="X920" s="435"/>
      <c r="Y920" s="435"/>
      <c r="Z920" s="435"/>
      <c r="AA920" s="435"/>
      <c r="AB920" s="435"/>
      <c r="AC920" s="408"/>
      <c r="AD920" s="4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</row>
    <row r="921" spans="1:46" ht="15.75" customHeight="1">
      <c r="A921" s="110"/>
      <c r="B921" s="110"/>
      <c r="C921" s="110"/>
      <c r="D921" s="118"/>
      <c r="E921" s="118"/>
      <c r="F921" s="118"/>
      <c r="G921" s="408"/>
      <c r="H921" s="408"/>
      <c r="I921" s="408"/>
      <c r="J921" s="408"/>
      <c r="K921" s="408"/>
      <c r="L921" s="408"/>
      <c r="M921" s="118"/>
      <c r="N921" s="435"/>
      <c r="O921" s="435"/>
      <c r="P921" s="435"/>
      <c r="Q921" s="435"/>
      <c r="R921" s="435"/>
      <c r="S921" s="435"/>
      <c r="T921" s="435"/>
      <c r="U921" s="435"/>
      <c r="V921" s="435"/>
      <c r="W921" s="463"/>
      <c r="X921" s="435"/>
      <c r="Y921" s="435"/>
      <c r="Z921" s="435"/>
      <c r="AA921" s="435"/>
      <c r="AB921" s="435"/>
      <c r="AC921" s="408"/>
      <c r="AD921" s="4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</row>
    <row r="922" spans="1:46" ht="15.75" customHeight="1">
      <c r="A922" s="110"/>
      <c r="B922" s="110"/>
      <c r="C922" s="110"/>
      <c r="D922" s="118"/>
      <c r="E922" s="118"/>
      <c r="F922" s="118"/>
      <c r="G922" s="408"/>
      <c r="H922" s="408"/>
      <c r="I922" s="408"/>
      <c r="J922" s="408"/>
      <c r="K922" s="408"/>
      <c r="L922" s="408"/>
      <c r="M922" s="118"/>
      <c r="N922" s="435"/>
      <c r="O922" s="435"/>
      <c r="P922" s="435"/>
      <c r="Q922" s="435"/>
      <c r="R922" s="435"/>
      <c r="S922" s="435"/>
      <c r="T922" s="435"/>
      <c r="U922" s="435"/>
      <c r="V922" s="435"/>
      <c r="W922" s="463"/>
      <c r="X922" s="435"/>
      <c r="Y922" s="435"/>
      <c r="Z922" s="435"/>
      <c r="AA922" s="435"/>
      <c r="AB922" s="435"/>
      <c r="AC922" s="408"/>
      <c r="AD922" s="4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</row>
    <row r="923" spans="1:46" ht="15.75" customHeight="1">
      <c r="A923" s="110"/>
      <c r="B923" s="110"/>
      <c r="C923" s="110"/>
      <c r="D923" s="118"/>
      <c r="E923" s="118"/>
      <c r="F923" s="118"/>
      <c r="G923" s="408"/>
      <c r="H923" s="408"/>
      <c r="I923" s="408"/>
      <c r="J923" s="408"/>
      <c r="K923" s="408"/>
      <c r="L923" s="408"/>
      <c r="M923" s="118"/>
      <c r="N923" s="435"/>
      <c r="O923" s="435"/>
      <c r="P923" s="435"/>
      <c r="Q923" s="435"/>
      <c r="R923" s="435"/>
      <c r="S923" s="435"/>
      <c r="T923" s="435"/>
      <c r="U923" s="435"/>
      <c r="V923" s="435"/>
      <c r="W923" s="463"/>
      <c r="X923" s="435"/>
      <c r="Y923" s="435"/>
      <c r="Z923" s="435"/>
      <c r="AA923" s="435"/>
      <c r="AB923" s="435"/>
      <c r="AC923" s="408"/>
      <c r="AD923" s="4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</row>
    <row r="924" spans="1:46" ht="15.75" customHeight="1">
      <c r="A924" s="110"/>
      <c r="B924" s="110"/>
      <c r="C924" s="110"/>
      <c r="D924" s="118"/>
      <c r="E924" s="118"/>
      <c r="F924" s="118"/>
      <c r="G924" s="408"/>
      <c r="H924" s="408"/>
      <c r="I924" s="408"/>
      <c r="J924" s="408"/>
      <c r="K924" s="408"/>
      <c r="L924" s="408"/>
      <c r="M924" s="118"/>
      <c r="N924" s="435"/>
      <c r="O924" s="435"/>
      <c r="P924" s="435"/>
      <c r="Q924" s="435"/>
      <c r="R924" s="435"/>
      <c r="S924" s="435"/>
      <c r="T924" s="435"/>
      <c r="U924" s="435"/>
      <c r="V924" s="435"/>
      <c r="W924" s="463"/>
      <c r="X924" s="435"/>
      <c r="Y924" s="435"/>
      <c r="Z924" s="435"/>
      <c r="AA924" s="435"/>
      <c r="AB924" s="435"/>
      <c r="AC924" s="408"/>
      <c r="AD924" s="4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</row>
    <row r="925" spans="1:46" ht="15.75" customHeight="1">
      <c r="A925" s="110"/>
      <c r="B925" s="110"/>
      <c r="C925" s="110"/>
      <c r="D925" s="118"/>
      <c r="E925" s="118"/>
      <c r="F925" s="118"/>
      <c r="G925" s="408"/>
      <c r="H925" s="408"/>
      <c r="I925" s="408"/>
      <c r="J925" s="408"/>
      <c r="K925" s="408"/>
      <c r="L925" s="408"/>
      <c r="M925" s="118"/>
      <c r="N925" s="435"/>
      <c r="O925" s="435"/>
      <c r="P925" s="435"/>
      <c r="Q925" s="435"/>
      <c r="R925" s="435"/>
      <c r="S925" s="435"/>
      <c r="T925" s="435"/>
      <c r="U925" s="435"/>
      <c r="V925" s="435"/>
      <c r="W925" s="463"/>
      <c r="X925" s="435"/>
      <c r="Y925" s="435"/>
      <c r="Z925" s="435"/>
      <c r="AA925" s="435"/>
      <c r="AB925" s="435"/>
      <c r="AC925" s="408"/>
      <c r="AD925" s="4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</row>
    <row r="926" spans="1:46" ht="15.75" customHeight="1">
      <c r="A926" s="110"/>
      <c r="B926" s="110"/>
      <c r="C926" s="110"/>
      <c r="D926" s="118"/>
      <c r="E926" s="118"/>
      <c r="F926" s="118"/>
      <c r="G926" s="408"/>
      <c r="H926" s="408"/>
      <c r="I926" s="408"/>
      <c r="J926" s="408"/>
      <c r="K926" s="408"/>
      <c r="L926" s="408"/>
      <c r="M926" s="118"/>
      <c r="N926" s="435"/>
      <c r="O926" s="435"/>
      <c r="P926" s="435"/>
      <c r="Q926" s="435"/>
      <c r="R926" s="435"/>
      <c r="S926" s="435"/>
      <c r="T926" s="435"/>
      <c r="U926" s="435"/>
      <c r="V926" s="435"/>
      <c r="W926" s="463"/>
      <c r="X926" s="435"/>
      <c r="Y926" s="435"/>
      <c r="Z926" s="435"/>
      <c r="AA926" s="435"/>
      <c r="AB926" s="435"/>
      <c r="AC926" s="408"/>
      <c r="AD926" s="4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</row>
    <row r="927" spans="1:46" ht="15.75" customHeight="1">
      <c r="A927" s="110"/>
      <c r="B927" s="110"/>
      <c r="C927" s="110"/>
      <c r="D927" s="118"/>
      <c r="E927" s="118"/>
      <c r="F927" s="118"/>
      <c r="G927" s="408"/>
      <c r="H927" s="408"/>
      <c r="I927" s="408"/>
      <c r="J927" s="408"/>
      <c r="K927" s="408"/>
      <c r="L927" s="408"/>
      <c r="M927" s="118"/>
      <c r="N927" s="435"/>
      <c r="O927" s="435"/>
      <c r="P927" s="435"/>
      <c r="Q927" s="435"/>
      <c r="R927" s="435"/>
      <c r="S927" s="435"/>
      <c r="T927" s="435"/>
      <c r="U927" s="435"/>
      <c r="V927" s="435"/>
      <c r="W927" s="463"/>
      <c r="X927" s="435"/>
      <c r="Y927" s="435"/>
      <c r="Z927" s="435"/>
      <c r="AA927" s="435"/>
      <c r="AB927" s="435"/>
      <c r="AC927" s="408"/>
      <c r="AD927" s="4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</row>
    <row r="928" spans="1:46" ht="15.75" customHeight="1">
      <c r="A928" s="110"/>
      <c r="B928" s="110"/>
      <c r="C928" s="110"/>
      <c r="D928" s="118"/>
      <c r="E928" s="118"/>
      <c r="F928" s="118"/>
      <c r="G928" s="408"/>
      <c r="H928" s="408"/>
      <c r="I928" s="408"/>
      <c r="J928" s="408"/>
      <c r="K928" s="408"/>
      <c r="L928" s="408"/>
      <c r="M928" s="118"/>
      <c r="N928" s="435"/>
      <c r="O928" s="435"/>
      <c r="P928" s="435"/>
      <c r="Q928" s="435"/>
      <c r="R928" s="435"/>
      <c r="S928" s="435"/>
      <c r="T928" s="435"/>
      <c r="U928" s="435"/>
      <c r="V928" s="435"/>
      <c r="W928" s="463"/>
      <c r="X928" s="435"/>
      <c r="Y928" s="435"/>
      <c r="Z928" s="435"/>
      <c r="AA928" s="435"/>
      <c r="AB928" s="435"/>
      <c r="AC928" s="408"/>
      <c r="AD928" s="4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</row>
    <row r="929" spans="1:46" ht="15.75" customHeight="1">
      <c r="A929" s="110"/>
      <c r="B929" s="110"/>
      <c r="C929" s="110"/>
      <c r="D929" s="118"/>
      <c r="E929" s="118"/>
      <c r="F929" s="118"/>
      <c r="G929" s="408"/>
      <c r="H929" s="408"/>
      <c r="I929" s="408"/>
      <c r="J929" s="408"/>
      <c r="K929" s="408"/>
      <c r="L929" s="408"/>
      <c r="M929" s="118"/>
      <c r="N929" s="435"/>
      <c r="O929" s="435"/>
      <c r="P929" s="435"/>
      <c r="Q929" s="435"/>
      <c r="R929" s="435"/>
      <c r="S929" s="435"/>
      <c r="T929" s="435"/>
      <c r="U929" s="435"/>
      <c r="V929" s="435"/>
      <c r="W929" s="463"/>
      <c r="X929" s="435"/>
      <c r="Y929" s="435"/>
      <c r="Z929" s="435"/>
      <c r="AA929" s="435"/>
      <c r="AB929" s="435"/>
      <c r="AC929" s="408"/>
      <c r="AD929" s="4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</row>
    <row r="930" spans="1:46" ht="15.75" customHeight="1">
      <c r="A930" s="110"/>
      <c r="B930" s="110"/>
      <c r="C930" s="110"/>
      <c r="D930" s="118"/>
      <c r="E930" s="118"/>
      <c r="F930" s="118"/>
      <c r="G930" s="408"/>
      <c r="H930" s="408"/>
      <c r="I930" s="408"/>
      <c r="J930" s="408"/>
      <c r="K930" s="408"/>
      <c r="L930" s="408"/>
      <c r="M930" s="118"/>
      <c r="N930" s="435"/>
      <c r="O930" s="435"/>
      <c r="P930" s="435"/>
      <c r="Q930" s="435"/>
      <c r="R930" s="435"/>
      <c r="S930" s="435"/>
      <c r="T930" s="435"/>
      <c r="U930" s="435"/>
      <c r="V930" s="435"/>
      <c r="W930" s="463"/>
      <c r="X930" s="435"/>
      <c r="Y930" s="435"/>
      <c r="Z930" s="435"/>
      <c r="AA930" s="435"/>
      <c r="AB930" s="435"/>
      <c r="AC930" s="408"/>
      <c r="AD930" s="4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</row>
    <row r="931" spans="1:46" ht="15.75" customHeight="1">
      <c r="A931" s="110"/>
      <c r="B931" s="110"/>
      <c r="C931" s="110"/>
      <c r="D931" s="118"/>
      <c r="E931" s="118"/>
      <c r="F931" s="118"/>
      <c r="G931" s="408"/>
      <c r="H931" s="408"/>
      <c r="I931" s="408"/>
      <c r="J931" s="408"/>
      <c r="K931" s="408"/>
      <c r="L931" s="408"/>
      <c r="M931" s="118"/>
      <c r="N931" s="435"/>
      <c r="O931" s="435"/>
      <c r="P931" s="435"/>
      <c r="Q931" s="435"/>
      <c r="R931" s="435"/>
      <c r="S931" s="435"/>
      <c r="T931" s="435"/>
      <c r="U931" s="435"/>
      <c r="V931" s="435"/>
      <c r="W931" s="463"/>
      <c r="X931" s="435"/>
      <c r="Y931" s="435"/>
      <c r="Z931" s="435"/>
      <c r="AA931" s="435"/>
      <c r="AB931" s="435"/>
      <c r="AC931" s="408"/>
      <c r="AD931" s="4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</row>
    <row r="932" spans="1:46" ht="15.75" customHeight="1">
      <c r="A932" s="110"/>
      <c r="B932" s="110"/>
      <c r="C932" s="110"/>
      <c r="D932" s="118"/>
      <c r="E932" s="118"/>
      <c r="F932" s="118"/>
      <c r="G932" s="408"/>
      <c r="H932" s="408"/>
      <c r="I932" s="408"/>
      <c r="J932" s="408"/>
      <c r="K932" s="408"/>
      <c r="L932" s="408"/>
      <c r="M932" s="118"/>
      <c r="N932" s="435"/>
      <c r="O932" s="435"/>
      <c r="P932" s="435"/>
      <c r="Q932" s="435"/>
      <c r="R932" s="435"/>
      <c r="S932" s="435"/>
      <c r="T932" s="435"/>
      <c r="U932" s="435"/>
      <c r="V932" s="435"/>
      <c r="W932" s="463"/>
      <c r="X932" s="435"/>
      <c r="Y932" s="435"/>
      <c r="Z932" s="435"/>
      <c r="AA932" s="435"/>
      <c r="AB932" s="435"/>
      <c r="AC932" s="408"/>
      <c r="AD932" s="4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</row>
    <row r="933" spans="1:46" ht="15.75" customHeight="1">
      <c r="A933" s="110"/>
      <c r="B933" s="110"/>
      <c r="C933" s="110"/>
      <c r="D933" s="118"/>
      <c r="E933" s="118"/>
      <c r="F933" s="118"/>
      <c r="G933" s="408"/>
      <c r="H933" s="408"/>
      <c r="I933" s="408"/>
      <c r="J933" s="408"/>
      <c r="K933" s="408"/>
      <c r="L933" s="408"/>
      <c r="M933" s="118"/>
      <c r="N933" s="435"/>
      <c r="O933" s="435"/>
      <c r="P933" s="435"/>
      <c r="Q933" s="435"/>
      <c r="R933" s="435"/>
      <c r="S933" s="435"/>
      <c r="T933" s="435"/>
      <c r="U933" s="435"/>
      <c r="V933" s="435"/>
      <c r="W933" s="463"/>
      <c r="X933" s="435"/>
      <c r="Y933" s="435"/>
      <c r="Z933" s="435"/>
      <c r="AA933" s="435"/>
      <c r="AB933" s="435"/>
      <c r="AC933" s="408"/>
      <c r="AD933" s="4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</row>
    <row r="934" spans="1:46" ht="15.75" customHeight="1">
      <c r="A934" s="110"/>
      <c r="B934" s="110"/>
      <c r="C934" s="110"/>
      <c r="D934" s="118"/>
      <c r="E934" s="118"/>
      <c r="F934" s="118"/>
      <c r="G934" s="408"/>
      <c r="H934" s="408"/>
      <c r="I934" s="408"/>
      <c r="J934" s="408"/>
      <c r="K934" s="408"/>
      <c r="L934" s="408"/>
      <c r="M934" s="118"/>
      <c r="N934" s="435"/>
      <c r="O934" s="435"/>
      <c r="P934" s="435"/>
      <c r="Q934" s="435"/>
      <c r="R934" s="435"/>
      <c r="S934" s="435"/>
      <c r="T934" s="435"/>
      <c r="U934" s="435"/>
      <c r="V934" s="435"/>
      <c r="W934" s="463"/>
      <c r="X934" s="435"/>
      <c r="Y934" s="435"/>
      <c r="Z934" s="435"/>
      <c r="AA934" s="435"/>
      <c r="AB934" s="435"/>
      <c r="AC934" s="408"/>
      <c r="AD934" s="4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</row>
    <row r="935" spans="1:46" ht="15.75" customHeight="1">
      <c r="A935" s="110"/>
      <c r="B935" s="110"/>
      <c r="C935" s="110"/>
      <c r="D935" s="118"/>
      <c r="E935" s="118"/>
      <c r="F935" s="118"/>
      <c r="G935" s="408"/>
      <c r="H935" s="408"/>
      <c r="I935" s="408"/>
      <c r="J935" s="408"/>
      <c r="K935" s="408"/>
      <c r="L935" s="408"/>
      <c r="M935" s="118"/>
      <c r="N935" s="435"/>
      <c r="O935" s="435"/>
      <c r="P935" s="435"/>
      <c r="Q935" s="435"/>
      <c r="R935" s="435"/>
      <c r="S935" s="435"/>
      <c r="T935" s="435"/>
      <c r="U935" s="435"/>
      <c r="V935" s="435"/>
      <c r="W935" s="463"/>
      <c r="X935" s="435"/>
      <c r="Y935" s="435"/>
      <c r="Z935" s="435"/>
      <c r="AA935" s="435"/>
      <c r="AB935" s="435"/>
      <c r="AC935" s="408"/>
      <c r="AD935" s="4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</row>
    <row r="936" spans="1:46" ht="15.75" customHeight="1">
      <c r="A936" s="110"/>
      <c r="B936" s="110"/>
      <c r="C936" s="110"/>
      <c r="D936" s="118"/>
      <c r="E936" s="118"/>
      <c r="F936" s="118"/>
      <c r="G936" s="408"/>
      <c r="H936" s="408"/>
      <c r="I936" s="408"/>
      <c r="J936" s="408"/>
      <c r="K936" s="408"/>
      <c r="L936" s="408"/>
      <c r="M936" s="118"/>
      <c r="N936" s="435"/>
      <c r="O936" s="435"/>
      <c r="P936" s="435"/>
      <c r="Q936" s="435"/>
      <c r="R936" s="435"/>
      <c r="S936" s="435"/>
      <c r="T936" s="435"/>
      <c r="U936" s="435"/>
      <c r="V936" s="435"/>
      <c r="W936" s="463"/>
      <c r="X936" s="435"/>
      <c r="Y936" s="435"/>
      <c r="Z936" s="435"/>
      <c r="AA936" s="435"/>
      <c r="AB936" s="435"/>
      <c r="AC936" s="408"/>
      <c r="AD936" s="4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</row>
    <row r="937" spans="1:46" ht="15.75" customHeight="1">
      <c r="A937" s="110"/>
      <c r="B937" s="110"/>
      <c r="C937" s="110"/>
      <c r="D937" s="118"/>
      <c r="E937" s="118"/>
      <c r="F937" s="118"/>
      <c r="G937" s="408"/>
      <c r="H937" s="408"/>
      <c r="I937" s="408"/>
      <c r="J937" s="408"/>
      <c r="K937" s="408"/>
      <c r="L937" s="408"/>
      <c r="M937" s="118"/>
      <c r="N937" s="435"/>
      <c r="O937" s="435"/>
      <c r="P937" s="435"/>
      <c r="Q937" s="435"/>
      <c r="R937" s="435"/>
      <c r="S937" s="435"/>
      <c r="T937" s="435"/>
      <c r="U937" s="435"/>
      <c r="V937" s="435"/>
      <c r="W937" s="463"/>
      <c r="X937" s="435"/>
      <c r="Y937" s="435"/>
      <c r="Z937" s="435"/>
      <c r="AA937" s="435"/>
      <c r="AB937" s="435"/>
      <c r="AC937" s="408"/>
      <c r="AD937" s="4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</row>
    <row r="938" spans="1:46" ht="15.75" customHeight="1">
      <c r="A938" s="110"/>
      <c r="B938" s="110"/>
      <c r="C938" s="110"/>
      <c r="D938" s="118"/>
      <c r="E938" s="118"/>
      <c r="F938" s="118"/>
      <c r="G938" s="408"/>
      <c r="H938" s="408"/>
      <c r="I938" s="408"/>
      <c r="J938" s="408"/>
      <c r="K938" s="408"/>
      <c r="L938" s="408"/>
      <c r="M938" s="118"/>
      <c r="N938" s="435"/>
      <c r="O938" s="435"/>
      <c r="P938" s="435"/>
      <c r="Q938" s="435"/>
      <c r="R938" s="435"/>
      <c r="S938" s="435"/>
      <c r="T938" s="435"/>
      <c r="U938" s="435"/>
      <c r="V938" s="435"/>
      <c r="W938" s="463"/>
      <c r="X938" s="435"/>
      <c r="Y938" s="435"/>
      <c r="Z938" s="435"/>
      <c r="AA938" s="435"/>
      <c r="AB938" s="435"/>
      <c r="AC938" s="408"/>
      <c r="AD938" s="4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</row>
    <row r="939" spans="1:46" ht="15.75" customHeight="1">
      <c r="A939" s="110"/>
      <c r="B939" s="110"/>
      <c r="C939" s="110"/>
      <c r="D939" s="118"/>
      <c r="E939" s="118"/>
      <c r="F939" s="118"/>
      <c r="G939" s="408"/>
      <c r="H939" s="408"/>
      <c r="I939" s="408"/>
      <c r="J939" s="408"/>
      <c r="K939" s="408"/>
      <c r="L939" s="408"/>
      <c r="M939" s="118"/>
      <c r="N939" s="435"/>
      <c r="O939" s="435"/>
      <c r="P939" s="435"/>
      <c r="Q939" s="435"/>
      <c r="R939" s="435"/>
      <c r="S939" s="435"/>
      <c r="T939" s="435"/>
      <c r="U939" s="435"/>
      <c r="V939" s="435"/>
      <c r="W939" s="463"/>
      <c r="X939" s="435"/>
      <c r="Y939" s="435"/>
      <c r="Z939" s="435"/>
      <c r="AA939" s="435"/>
      <c r="AB939" s="435"/>
      <c r="AC939" s="408"/>
      <c r="AD939" s="4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</row>
    <row r="940" spans="1:46" ht="15.75" customHeight="1">
      <c r="A940" s="110"/>
      <c r="B940" s="110"/>
      <c r="C940" s="110"/>
      <c r="D940" s="118"/>
      <c r="E940" s="118"/>
      <c r="F940" s="118"/>
      <c r="G940" s="408"/>
      <c r="H940" s="408"/>
      <c r="I940" s="408"/>
      <c r="J940" s="408"/>
      <c r="K940" s="408"/>
      <c r="L940" s="408"/>
      <c r="M940" s="118"/>
      <c r="N940" s="435"/>
      <c r="O940" s="435"/>
      <c r="P940" s="435"/>
      <c r="Q940" s="435"/>
      <c r="R940" s="435"/>
      <c r="S940" s="435"/>
      <c r="T940" s="435"/>
      <c r="U940" s="435"/>
      <c r="V940" s="435"/>
      <c r="W940" s="463"/>
      <c r="X940" s="435"/>
      <c r="Y940" s="435"/>
      <c r="Z940" s="435"/>
      <c r="AA940" s="435"/>
      <c r="AB940" s="435"/>
      <c r="AC940" s="408"/>
      <c r="AD940" s="4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</row>
    <row r="941" spans="1:46" ht="15.75" customHeight="1">
      <c r="A941" s="110"/>
      <c r="B941" s="110"/>
      <c r="C941" s="110"/>
      <c r="D941" s="118"/>
      <c r="E941" s="118"/>
      <c r="F941" s="118"/>
      <c r="G941" s="408"/>
      <c r="H941" s="408"/>
      <c r="I941" s="408"/>
      <c r="J941" s="408"/>
      <c r="K941" s="408"/>
      <c r="L941" s="408"/>
      <c r="M941" s="118"/>
      <c r="N941" s="435"/>
      <c r="O941" s="435"/>
      <c r="P941" s="435"/>
      <c r="Q941" s="435"/>
      <c r="R941" s="435"/>
      <c r="S941" s="435"/>
      <c r="T941" s="435"/>
      <c r="U941" s="435"/>
      <c r="V941" s="435"/>
      <c r="W941" s="463"/>
      <c r="X941" s="435"/>
      <c r="Y941" s="435"/>
      <c r="Z941" s="435"/>
      <c r="AA941" s="435"/>
      <c r="AB941" s="435"/>
      <c r="AC941" s="408"/>
      <c r="AD941" s="4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</row>
    <row r="942" spans="1:46" ht="15.75" customHeight="1">
      <c r="A942" s="110"/>
      <c r="B942" s="110"/>
      <c r="C942" s="110"/>
      <c r="D942" s="118"/>
      <c r="E942" s="118"/>
      <c r="F942" s="118"/>
      <c r="G942" s="408"/>
      <c r="H942" s="408"/>
      <c r="I942" s="408"/>
      <c r="J942" s="408"/>
      <c r="K942" s="408"/>
      <c r="L942" s="408"/>
      <c r="M942" s="118"/>
      <c r="N942" s="435"/>
      <c r="O942" s="435"/>
      <c r="P942" s="435"/>
      <c r="Q942" s="435"/>
      <c r="R942" s="435"/>
      <c r="S942" s="435"/>
      <c r="T942" s="435"/>
      <c r="U942" s="435"/>
      <c r="V942" s="435"/>
      <c r="W942" s="463"/>
      <c r="X942" s="435"/>
      <c r="Y942" s="435"/>
      <c r="Z942" s="435"/>
      <c r="AA942" s="435"/>
      <c r="AB942" s="435"/>
      <c r="AC942" s="408"/>
      <c r="AD942" s="4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</row>
    <row r="943" spans="1:46" ht="15.75" customHeight="1">
      <c r="A943" s="110"/>
      <c r="B943" s="110"/>
      <c r="C943" s="110"/>
      <c r="D943" s="118"/>
      <c r="E943" s="118"/>
      <c r="F943" s="118"/>
      <c r="G943" s="408"/>
      <c r="H943" s="408"/>
      <c r="I943" s="408"/>
      <c r="J943" s="408"/>
      <c r="K943" s="408"/>
      <c r="L943" s="408"/>
      <c r="M943" s="118"/>
      <c r="N943" s="435"/>
      <c r="O943" s="435"/>
      <c r="P943" s="435"/>
      <c r="Q943" s="435"/>
      <c r="R943" s="435"/>
      <c r="S943" s="435"/>
      <c r="T943" s="435"/>
      <c r="U943" s="435"/>
      <c r="V943" s="435"/>
      <c r="W943" s="463"/>
      <c r="X943" s="435"/>
      <c r="Y943" s="435"/>
      <c r="Z943" s="435"/>
      <c r="AA943" s="435"/>
      <c r="AB943" s="435"/>
      <c r="AC943" s="408"/>
      <c r="AD943" s="4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</row>
    <row r="944" spans="1:46" ht="15.75" customHeight="1">
      <c r="A944" s="110"/>
      <c r="B944" s="110"/>
      <c r="C944" s="110"/>
      <c r="D944" s="118"/>
      <c r="E944" s="118"/>
      <c r="F944" s="118"/>
      <c r="G944" s="408"/>
      <c r="H944" s="408"/>
      <c r="I944" s="408"/>
      <c r="J944" s="408"/>
      <c r="K944" s="408"/>
      <c r="L944" s="408"/>
      <c r="M944" s="118"/>
      <c r="N944" s="435"/>
      <c r="O944" s="435"/>
      <c r="P944" s="435"/>
      <c r="Q944" s="435"/>
      <c r="R944" s="435"/>
      <c r="S944" s="435"/>
      <c r="T944" s="435"/>
      <c r="U944" s="435"/>
      <c r="V944" s="435"/>
      <c r="W944" s="463"/>
      <c r="X944" s="435"/>
      <c r="Y944" s="435"/>
      <c r="Z944" s="435"/>
      <c r="AA944" s="435"/>
      <c r="AB944" s="435"/>
      <c r="AC944" s="408"/>
      <c r="AD944" s="4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</row>
    <row r="945" spans="1:46" ht="15.75" customHeight="1">
      <c r="A945" s="110"/>
      <c r="B945" s="110"/>
      <c r="C945" s="110"/>
      <c r="D945" s="118"/>
      <c r="E945" s="118"/>
      <c r="F945" s="118"/>
      <c r="G945" s="408"/>
      <c r="H945" s="408"/>
      <c r="I945" s="408"/>
      <c r="J945" s="408"/>
      <c r="K945" s="408"/>
      <c r="L945" s="408"/>
      <c r="M945" s="118"/>
      <c r="N945" s="435"/>
      <c r="O945" s="435"/>
      <c r="P945" s="435"/>
      <c r="Q945" s="435"/>
      <c r="R945" s="435"/>
      <c r="S945" s="435"/>
      <c r="T945" s="435"/>
      <c r="U945" s="435"/>
      <c r="V945" s="435"/>
      <c r="W945" s="463"/>
      <c r="X945" s="435"/>
      <c r="Y945" s="435"/>
      <c r="Z945" s="435"/>
      <c r="AA945" s="435"/>
      <c r="AB945" s="435"/>
      <c r="AC945" s="408"/>
      <c r="AD945" s="4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</row>
    <row r="946" spans="1:46" ht="15.75" customHeight="1">
      <c r="A946" s="110"/>
      <c r="B946" s="110"/>
      <c r="C946" s="110"/>
      <c r="D946" s="118"/>
      <c r="E946" s="118"/>
      <c r="F946" s="118"/>
      <c r="G946" s="408"/>
      <c r="H946" s="408"/>
      <c r="I946" s="408"/>
      <c r="J946" s="408"/>
      <c r="K946" s="408"/>
      <c r="L946" s="408"/>
      <c r="M946" s="118"/>
      <c r="N946" s="435"/>
      <c r="O946" s="435"/>
      <c r="P946" s="435"/>
      <c r="Q946" s="435"/>
      <c r="R946" s="435"/>
      <c r="S946" s="435"/>
      <c r="T946" s="435"/>
      <c r="U946" s="435"/>
      <c r="V946" s="435"/>
      <c r="W946" s="463"/>
      <c r="X946" s="435"/>
      <c r="Y946" s="435"/>
      <c r="Z946" s="435"/>
      <c r="AA946" s="435"/>
      <c r="AB946" s="435"/>
      <c r="AC946" s="408"/>
      <c r="AD946" s="4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</row>
    <row r="947" spans="1:46" ht="15.75" customHeight="1">
      <c r="A947" s="110"/>
      <c r="B947" s="110"/>
      <c r="C947" s="110"/>
      <c r="D947" s="118"/>
      <c r="E947" s="118"/>
      <c r="F947" s="118"/>
      <c r="G947" s="408"/>
      <c r="H947" s="408"/>
      <c r="I947" s="408"/>
      <c r="J947" s="408"/>
      <c r="K947" s="408"/>
      <c r="L947" s="408"/>
      <c r="M947" s="118"/>
      <c r="N947" s="435"/>
      <c r="O947" s="435"/>
      <c r="P947" s="435"/>
      <c r="Q947" s="435"/>
      <c r="R947" s="435"/>
      <c r="S947" s="435"/>
      <c r="T947" s="435"/>
      <c r="U947" s="435"/>
      <c r="V947" s="435"/>
      <c r="W947" s="463"/>
      <c r="X947" s="435"/>
      <c r="Y947" s="435"/>
      <c r="Z947" s="435"/>
      <c r="AA947" s="435"/>
      <c r="AB947" s="435"/>
      <c r="AC947" s="408"/>
      <c r="AD947" s="4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</row>
    <row r="948" spans="1:46" ht="15.75" customHeight="1">
      <c r="A948" s="110"/>
      <c r="B948" s="110"/>
      <c r="C948" s="110"/>
      <c r="D948" s="118"/>
      <c r="E948" s="118"/>
      <c r="F948" s="118"/>
      <c r="G948" s="408"/>
      <c r="H948" s="408"/>
      <c r="I948" s="408"/>
      <c r="J948" s="408"/>
      <c r="K948" s="408"/>
      <c r="L948" s="408"/>
      <c r="M948" s="118"/>
      <c r="N948" s="435"/>
      <c r="O948" s="435"/>
      <c r="P948" s="435"/>
      <c r="Q948" s="435"/>
      <c r="R948" s="435"/>
      <c r="S948" s="435"/>
      <c r="T948" s="435"/>
      <c r="U948" s="435"/>
      <c r="V948" s="435"/>
      <c r="W948" s="463"/>
      <c r="X948" s="435"/>
      <c r="Y948" s="435"/>
      <c r="Z948" s="435"/>
      <c r="AA948" s="435"/>
      <c r="AB948" s="435"/>
      <c r="AC948" s="408"/>
      <c r="AD948" s="4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</row>
    <row r="949" spans="1:46" ht="15.75" customHeight="1">
      <c r="A949" s="110"/>
      <c r="B949" s="110"/>
      <c r="C949" s="110"/>
      <c r="D949" s="118"/>
      <c r="E949" s="118"/>
      <c r="F949" s="118"/>
      <c r="G949" s="408"/>
      <c r="H949" s="408"/>
      <c r="I949" s="408"/>
      <c r="J949" s="408"/>
      <c r="K949" s="408"/>
      <c r="L949" s="408"/>
      <c r="M949" s="118"/>
      <c r="N949" s="435"/>
      <c r="O949" s="435"/>
      <c r="P949" s="435"/>
      <c r="Q949" s="435"/>
      <c r="R949" s="435"/>
      <c r="S949" s="435"/>
      <c r="T949" s="435"/>
      <c r="U949" s="435"/>
      <c r="V949" s="435"/>
      <c r="W949" s="463"/>
      <c r="X949" s="435"/>
      <c r="Y949" s="435"/>
      <c r="Z949" s="435"/>
      <c r="AA949" s="435"/>
      <c r="AB949" s="435"/>
      <c r="AC949" s="408"/>
      <c r="AD949" s="4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</row>
    <row r="950" spans="1:46" ht="15.75" customHeight="1">
      <c r="A950" s="110"/>
      <c r="B950" s="110"/>
      <c r="C950" s="110"/>
      <c r="D950" s="118"/>
      <c r="E950" s="118"/>
      <c r="F950" s="118"/>
      <c r="G950" s="408"/>
      <c r="H950" s="408"/>
      <c r="I950" s="408"/>
      <c r="J950" s="408"/>
      <c r="K950" s="408"/>
      <c r="L950" s="408"/>
      <c r="M950" s="118"/>
      <c r="N950" s="435"/>
      <c r="O950" s="435"/>
      <c r="P950" s="435"/>
      <c r="Q950" s="435"/>
      <c r="R950" s="435"/>
      <c r="S950" s="435"/>
      <c r="T950" s="435"/>
      <c r="U950" s="435"/>
      <c r="V950" s="435"/>
      <c r="W950" s="463"/>
      <c r="X950" s="435"/>
      <c r="Y950" s="435"/>
      <c r="Z950" s="435"/>
      <c r="AA950" s="435"/>
      <c r="AB950" s="435"/>
      <c r="AC950" s="408"/>
      <c r="AD950" s="4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</row>
    <row r="951" spans="1:46" ht="15.75" customHeight="1">
      <c r="A951" s="110"/>
      <c r="B951" s="110"/>
      <c r="C951" s="110"/>
      <c r="D951" s="118"/>
      <c r="E951" s="118"/>
      <c r="F951" s="118"/>
      <c r="G951" s="408"/>
      <c r="H951" s="408"/>
      <c r="I951" s="408"/>
      <c r="J951" s="408"/>
      <c r="K951" s="408"/>
      <c r="L951" s="408"/>
      <c r="M951" s="118"/>
      <c r="N951" s="435"/>
      <c r="O951" s="435"/>
      <c r="P951" s="435"/>
      <c r="Q951" s="435"/>
      <c r="R951" s="435"/>
      <c r="S951" s="435"/>
      <c r="T951" s="435"/>
      <c r="U951" s="435"/>
      <c r="V951" s="435"/>
      <c r="W951" s="463"/>
      <c r="X951" s="435"/>
      <c r="Y951" s="435"/>
      <c r="Z951" s="435"/>
      <c r="AA951" s="435"/>
      <c r="AB951" s="435"/>
      <c r="AC951" s="408"/>
      <c r="AD951" s="4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</row>
    <row r="952" spans="1:46" ht="15.75" customHeight="1">
      <c r="A952" s="110"/>
      <c r="B952" s="110"/>
      <c r="C952" s="110"/>
      <c r="D952" s="118"/>
      <c r="E952" s="118"/>
      <c r="F952" s="118"/>
      <c r="G952" s="408"/>
      <c r="H952" s="408"/>
      <c r="I952" s="408"/>
      <c r="J952" s="408"/>
      <c r="K952" s="408"/>
      <c r="L952" s="408"/>
      <c r="M952" s="118"/>
      <c r="N952" s="435"/>
      <c r="O952" s="435"/>
      <c r="P952" s="435"/>
      <c r="Q952" s="435"/>
      <c r="R952" s="435"/>
      <c r="S952" s="435"/>
      <c r="T952" s="435"/>
      <c r="U952" s="435"/>
      <c r="V952" s="435"/>
      <c r="W952" s="463"/>
      <c r="X952" s="435"/>
      <c r="Y952" s="435"/>
      <c r="Z952" s="435"/>
      <c r="AA952" s="435"/>
      <c r="AB952" s="435"/>
      <c r="AC952" s="408"/>
      <c r="AD952" s="4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</row>
    <row r="953" spans="1:46" ht="15.75" customHeight="1">
      <c r="A953" s="110"/>
      <c r="B953" s="110"/>
      <c r="C953" s="110"/>
      <c r="D953" s="118"/>
      <c r="E953" s="118"/>
      <c r="F953" s="118"/>
      <c r="G953" s="408"/>
      <c r="H953" s="408"/>
      <c r="I953" s="408"/>
      <c r="J953" s="408"/>
      <c r="K953" s="408"/>
      <c r="L953" s="408"/>
      <c r="M953" s="118"/>
      <c r="N953" s="435"/>
      <c r="O953" s="435"/>
      <c r="P953" s="435"/>
      <c r="Q953" s="435"/>
      <c r="R953" s="435"/>
      <c r="S953" s="435"/>
      <c r="T953" s="435"/>
      <c r="U953" s="435"/>
      <c r="V953" s="435"/>
      <c r="W953" s="463"/>
      <c r="X953" s="435"/>
      <c r="Y953" s="435"/>
      <c r="Z953" s="435"/>
      <c r="AA953" s="435"/>
      <c r="AB953" s="435"/>
      <c r="AC953" s="408"/>
      <c r="AD953" s="4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</row>
    <row r="954" spans="1:46" ht="15.75" customHeight="1">
      <c r="A954" s="110"/>
      <c r="B954" s="110"/>
      <c r="C954" s="110"/>
      <c r="D954" s="118"/>
      <c r="E954" s="118"/>
      <c r="F954" s="118"/>
      <c r="G954" s="408"/>
      <c r="H954" s="408"/>
      <c r="I954" s="408"/>
      <c r="J954" s="408"/>
      <c r="K954" s="408"/>
      <c r="L954" s="408"/>
      <c r="M954" s="118"/>
      <c r="N954" s="435"/>
      <c r="O954" s="435"/>
      <c r="P954" s="435"/>
      <c r="Q954" s="435"/>
      <c r="R954" s="435"/>
      <c r="S954" s="435"/>
      <c r="T954" s="435"/>
      <c r="U954" s="435"/>
      <c r="V954" s="435"/>
      <c r="W954" s="463"/>
      <c r="X954" s="435"/>
      <c r="Y954" s="435"/>
      <c r="Z954" s="435"/>
      <c r="AA954" s="435"/>
      <c r="AB954" s="435"/>
      <c r="AC954" s="408"/>
      <c r="AD954" s="4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</row>
    <row r="955" spans="1:46" ht="15.75" customHeight="1">
      <c r="A955" s="110"/>
      <c r="B955" s="110"/>
      <c r="C955" s="110"/>
      <c r="D955" s="118"/>
      <c r="E955" s="118"/>
      <c r="F955" s="118"/>
      <c r="G955" s="408"/>
      <c r="H955" s="408"/>
      <c r="I955" s="408"/>
      <c r="J955" s="408"/>
      <c r="K955" s="408"/>
      <c r="L955" s="408"/>
      <c r="M955" s="118"/>
      <c r="N955" s="435"/>
      <c r="O955" s="435"/>
      <c r="P955" s="435"/>
      <c r="Q955" s="435"/>
      <c r="R955" s="435"/>
      <c r="S955" s="435"/>
      <c r="T955" s="435"/>
      <c r="U955" s="435"/>
      <c r="V955" s="435"/>
      <c r="W955" s="463"/>
      <c r="X955" s="435"/>
      <c r="Y955" s="435"/>
      <c r="Z955" s="435"/>
      <c r="AA955" s="435"/>
      <c r="AB955" s="435"/>
      <c r="AC955" s="408"/>
      <c r="AD955" s="4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</row>
    <row r="956" spans="1:46" ht="15.75" customHeight="1">
      <c r="A956" s="110"/>
      <c r="B956" s="110"/>
      <c r="C956" s="110"/>
      <c r="D956" s="118"/>
      <c r="E956" s="118"/>
      <c r="F956" s="118"/>
      <c r="G956" s="408"/>
      <c r="H956" s="408"/>
      <c r="I956" s="408"/>
      <c r="J956" s="408"/>
      <c r="K956" s="408"/>
      <c r="L956" s="408"/>
      <c r="M956" s="118"/>
      <c r="N956" s="435"/>
      <c r="O956" s="435"/>
      <c r="P956" s="435"/>
      <c r="Q956" s="435"/>
      <c r="R956" s="435"/>
      <c r="S956" s="435"/>
      <c r="T956" s="435"/>
      <c r="U956" s="435"/>
      <c r="V956" s="435"/>
      <c r="W956" s="463"/>
      <c r="X956" s="435"/>
      <c r="Y956" s="435"/>
      <c r="Z956" s="435"/>
      <c r="AA956" s="435"/>
      <c r="AB956" s="435"/>
      <c r="AC956" s="408"/>
      <c r="AD956" s="4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</row>
    <row r="957" spans="1:46" ht="15.75" customHeight="1">
      <c r="A957" s="110"/>
      <c r="B957" s="110"/>
      <c r="C957" s="110"/>
      <c r="D957" s="118"/>
      <c r="E957" s="118"/>
      <c r="F957" s="118"/>
      <c r="G957" s="408"/>
      <c r="H957" s="408"/>
      <c r="I957" s="408"/>
      <c r="J957" s="408"/>
      <c r="K957" s="408"/>
      <c r="L957" s="408"/>
      <c r="M957" s="118"/>
      <c r="N957" s="435"/>
      <c r="O957" s="435"/>
      <c r="P957" s="435"/>
      <c r="Q957" s="435"/>
      <c r="R957" s="435"/>
      <c r="S957" s="435"/>
      <c r="T957" s="435"/>
      <c r="U957" s="435"/>
      <c r="V957" s="435"/>
      <c r="W957" s="463"/>
      <c r="X957" s="435"/>
      <c r="Y957" s="435"/>
      <c r="Z957" s="435"/>
      <c r="AA957" s="435"/>
      <c r="AB957" s="435"/>
      <c r="AC957" s="408"/>
      <c r="AD957" s="4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</row>
    <row r="958" spans="1:46" ht="15.75" customHeight="1">
      <c r="A958" s="110"/>
      <c r="B958" s="110"/>
      <c r="C958" s="110"/>
      <c r="D958" s="118"/>
      <c r="E958" s="118"/>
      <c r="F958" s="118"/>
      <c r="G958" s="408"/>
      <c r="H958" s="408"/>
      <c r="I958" s="408"/>
      <c r="J958" s="408"/>
      <c r="K958" s="408"/>
      <c r="L958" s="408"/>
      <c r="M958" s="118"/>
      <c r="N958" s="435"/>
      <c r="O958" s="435"/>
      <c r="P958" s="435"/>
      <c r="Q958" s="435"/>
      <c r="R958" s="435"/>
      <c r="S958" s="435"/>
      <c r="T958" s="435"/>
      <c r="U958" s="435"/>
      <c r="V958" s="435"/>
      <c r="W958" s="463"/>
      <c r="X958" s="435"/>
      <c r="Y958" s="435"/>
      <c r="Z958" s="435"/>
      <c r="AA958" s="435"/>
      <c r="AB958" s="435"/>
      <c r="AC958" s="408"/>
      <c r="AD958" s="4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</row>
    <row r="959" spans="1:46" ht="15.75" customHeight="1">
      <c r="A959" s="110"/>
      <c r="B959" s="110"/>
      <c r="C959" s="110"/>
      <c r="D959" s="118"/>
      <c r="E959" s="118"/>
      <c r="F959" s="118"/>
      <c r="G959" s="408"/>
      <c r="H959" s="408"/>
      <c r="I959" s="408"/>
      <c r="J959" s="408"/>
      <c r="K959" s="408"/>
      <c r="L959" s="408"/>
      <c r="M959" s="118"/>
      <c r="N959" s="435"/>
      <c r="O959" s="435"/>
      <c r="P959" s="435"/>
      <c r="Q959" s="435"/>
      <c r="R959" s="435"/>
      <c r="S959" s="435"/>
      <c r="T959" s="435"/>
      <c r="U959" s="435"/>
      <c r="V959" s="435"/>
      <c r="W959" s="463"/>
      <c r="X959" s="435"/>
      <c r="Y959" s="435"/>
      <c r="Z959" s="435"/>
      <c r="AA959" s="435"/>
      <c r="AB959" s="435"/>
      <c r="AC959" s="408"/>
      <c r="AD959" s="4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</row>
    <row r="960" spans="1:46" ht="15.75" customHeight="1">
      <c r="A960" s="110"/>
      <c r="B960" s="110"/>
      <c r="C960" s="110"/>
      <c r="D960" s="118"/>
      <c r="E960" s="118"/>
      <c r="F960" s="118"/>
      <c r="G960" s="408"/>
      <c r="H960" s="408"/>
      <c r="I960" s="408"/>
      <c r="J960" s="408"/>
      <c r="K960" s="408"/>
      <c r="L960" s="408"/>
      <c r="M960" s="118"/>
      <c r="N960" s="435"/>
      <c r="O960" s="435"/>
      <c r="P960" s="435"/>
      <c r="Q960" s="435"/>
      <c r="R960" s="435"/>
      <c r="S960" s="435"/>
      <c r="T960" s="435"/>
      <c r="U960" s="435"/>
      <c r="V960" s="435"/>
      <c r="W960" s="463"/>
      <c r="X960" s="435"/>
      <c r="Y960" s="435"/>
      <c r="Z960" s="435"/>
      <c r="AA960" s="435"/>
      <c r="AB960" s="435"/>
      <c r="AC960" s="408"/>
      <c r="AD960" s="4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</row>
    <row r="961" spans="1:46" ht="15.75" customHeight="1">
      <c r="A961" s="110"/>
      <c r="B961" s="110"/>
      <c r="C961" s="110"/>
      <c r="D961" s="118"/>
      <c r="E961" s="118"/>
      <c r="F961" s="118"/>
      <c r="G961" s="408"/>
      <c r="H961" s="408"/>
      <c r="I961" s="408"/>
      <c r="J961" s="408"/>
      <c r="K961" s="408"/>
      <c r="L961" s="408"/>
      <c r="M961" s="118"/>
      <c r="N961" s="435"/>
      <c r="O961" s="435"/>
      <c r="P961" s="435"/>
      <c r="Q961" s="435"/>
      <c r="R961" s="435"/>
      <c r="S961" s="435"/>
      <c r="T961" s="435"/>
      <c r="U961" s="435"/>
      <c r="V961" s="435"/>
      <c r="W961" s="463"/>
      <c r="X961" s="435"/>
      <c r="Y961" s="435"/>
      <c r="Z961" s="435"/>
      <c r="AA961" s="435"/>
      <c r="AB961" s="435"/>
      <c r="AC961" s="408"/>
      <c r="AD961" s="4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</row>
    <row r="962" spans="1:46" ht="15.75" customHeight="1">
      <c r="A962" s="110"/>
      <c r="B962" s="110"/>
      <c r="C962" s="110"/>
      <c r="D962" s="118"/>
      <c r="E962" s="118"/>
      <c r="F962" s="118"/>
      <c r="G962" s="408"/>
      <c r="H962" s="408"/>
      <c r="I962" s="408"/>
      <c r="J962" s="408"/>
      <c r="K962" s="408"/>
      <c r="L962" s="408"/>
      <c r="M962" s="118"/>
      <c r="N962" s="435"/>
      <c r="O962" s="435"/>
      <c r="P962" s="435"/>
      <c r="Q962" s="435"/>
      <c r="R962" s="435"/>
      <c r="S962" s="435"/>
      <c r="T962" s="435"/>
      <c r="U962" s="435"/>
      <c r="V962" s="435"/>
      <c r="W962" s="463"/>
      <c r="X962" s="435"/>
      <c r="Y962" s="435"/>
      <c r="Z962" s="435"/>
      <c r="AA962" s="435"/>
      <c r="AB962" s="435"/>
      <c r="AC962" s="408"/>
      <c r="AD962" s="4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</row>
    <row r="963" spans="1:46" ht="15.75" customHeight="1">
      <c r="A963" s="110"/>
      <c r="B963" s="110"/>
      <c r="C963" s="110"/>
      <c r="D963" s="118"/>
      <c r="E963" s="118"/>
      <c r="F963" s="118"/>
      <c r="G963" s="408"/>
      <c r="H963" s="408"/>
      <c r="I963" s="408"/>
      <c r="J963" s="408"/>
      <c r="K963" s="408"/>
      <c r="L963" s="408"/>
      <c r="M963" s="118"/>
      <c r="N963" s="435"/>
      <c r="O963" s="435"/>
      <c r="P963" s="435"/>
      <c r="Q963" s="435"/>
      <c r="R963" s="435"/>
      <c r="S963" s="435"/>
      <c r="T963" s="435"/>
      <c r="U963" s="435"/>
      <c r="V963" s="435"/>
      <c r="W963" s="463"/>
      <c r="X963" s="435"/>
      <c r="Y963" s="435"/>
      <c r="Z963" s="435"/>
      <c r="AA963" s="435"/>
      <c r="AB963" s="435"/>
      <c r="AC963" s="408"/>
      <c r="AD963" s="4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</row>
    <row r="964" spans="1:46" ht="15.75" customHeight="1">
      <c r="A964" s="110"/>
      <c r="B964" s="110"/>
      <c r="C964" s="110"/>
      <c r="D964" s="118"/>
      <c r="E964" s="118"/>
      <c r="F964" s="118"/>
      <c r="G964" s="408"/>
      <c r="H964" s="408"/>
      <c r="I964" s="408"/>
      <c r="J964" s="408"/>
      <c r="K964" s="408"/>
      <c r="L964" s="408"/>
      <c r="M964" s="118"/>
      <c r="N964" s="435"/>
      <c r="O964" s="435"/>
      <c r="P964" s="435"/>
      <c r="Q964" s="435"/>
      <c r="R964" s="435"/>
      <c r="S964" s="435"/>
      <c r="T964" s="435"/>
      <c r="U964" s="435"/>
      <c r="V964" s="435"/>
      <c r="W964" s="463"/>
      <c r="X964" s="435"/>
      <c r="Y964" s="435"/>
      <c r="Z964" s="435"/>
      <c r="AA964" s="435"/>
      <c r="AB964" s="435"/>
      <c r="AC964" s="408"/>
      <c r="AD964" s="4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</row>
    <row r="965" spans="1:46" ht="15.75" customHeight="1">
      <c r="A965" s="110"/>
      <c r="B965" s="110"/>
      <c r="C965" s="110"/>
      <c r="D965" s="118"/>
      <c r="E965" s="118"/>
      <c r="F965" s="118"/>
      <c r="G965" s="408"/>
      <c r="H965" s="408"/>
      <c r="I965" s="408"/>
      <c r="J965" s="408"/>
      <c r="K965" s="408"/>
      <c r="L965" s="408"/>
      <c r="M965" s="118"/>
      <c r="N965" s="435"/>
      <c r="O965" s="435"/>
      <c r="P965" s="435"/>
      <c r="Q965" s="435"/>
      <c r="R965" s="435"/>
      <c r="S965" s="435"/>
      <c r="T965" s="435"/>
      <c r="U965" s="435"/>
      <c r="V965" s="435"/>
      <c r="W965" s="463"/>
      <c r="X965" s="435"/>
      <c r="Y965" s="435"/>
      <c r="Z965" s="435"/>
      <c r="AA965" s="435"/>
      <c r="AB965" s="435"/>
      <c r="AC965" s="408"/>
      <c r="AD965" s="4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</row>
    <row r="966" spans="1:46" ht="15.75" customHeight="1">
      <c r="A966" s="110"/>
      <c r="B966" s="110"/>
      <c r="C966" s="110"/>
      <c r="D966" s="118"/>
      <c r="E966" s="118"/>
      <c r="F966" s="118"/>
      <c r="G966" s="408"/>
      <c r="H966" s="408"/>
      <c r="I966" s="408"/>
      <c r="J966" s="408"/>
      <c r="K966" s="408"/>
      <c r="L966" s="408"/>
      <c r="M966" s="118"/>
      <c r="N966" s="435"/>
      <c r="O966" s="435"/>
      <c r="P966" s="435"/>
      <c r="Q966" s="435"/>
      <c r="R966" s="435"/>
      <c r="S966" s="435"/>
      <c r="T966" s="435"/>
      <c r="U966" s="435"/>
      <c r="V966" s="435"/>
      <c r="W966" s="463"/>
      <c r="X966" s="435"/>
      <c r="Y966" s="435"/>
      <c r="Z966" s="435"/>
      <c r="AA966" s="435"/>
      <c r="AB966" s="435"/>
      <c r="AC966" s="408"/>
      <c r="AD966" s="4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</row>
    <row r="967" spans="1:46" ht="15.75" customHeight="1">
      <c r="A967" s="110"/>
      <c r="B967" s="110"/>
      <c r="C967" s="110"/>
      <c r="D967" s="118"/>
      <c r="E967" s="118"/>
      <c r="F967" s="118"/>
      <c r="G967" s="408"/>
      <c r="H967" s="408"/>
      <c r="I967" s="408"/>
      <c r="J967" s="408"/>
      <c r="K967" s="408"/>
      <c r="L967" s="408"/>
      <c r="M967" s="118"/>
      <c r="N967" s="435"/>
      <c r="O967" s="435"/>
      <c r="P967" s="435"/>
      <c r="Q967" s="435"/>
      <c r="R967" s="435"/>
      <c r="S967" s="435"/>
      <c r="T967" s="435"/>
      <c r="U967" s="435"/>
      <c r="V967" s="435"/>
      <c r="W967" s="463"/>
      <c r="X967" s="435"/>
      <c r="Y967" s="435"/>
      <c r="Z967" s="435"/>
      <c r="AA967" s="435"/>
      <c r="AB967" s="435"/>
      <c r="AC967" s="408"/>
      <c r="AD967" s="4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</row>
    <row r="968" spans="1:46" ht="15.75" customHeight="1">
      <c r="A968" s="110"/>
      <c r="B968" s="110"/>
      <c r="C968" s="110"/>
      <c r="D968" s="118"/>
      <c r="E968" s="118"/>
      <c r="F968" s="118"/>
      <c r="G968" s="408"/>
      <c r="H968" s="408"/>
      <c r="I968" s="408"/>
      <c r="J968" s="408"/>
      <c r="K968" s="408"/>
      <c r="L968" s="408"/>
      <c r="M968" s="118"/>
      <c r="N968" s="435"/>
      <c r="O968" s="435"/>
      <c r="P968" s="435"/>
      <c r="Q968" s="435"/>
      <c r="R968" s="435"/>
      <c r="S968" s="435"/>
      <c r="T968" s="435"/>
      <c r="U968" s="435"/>
      <c r="V968" s="435"/>
      <c r="W968" s="463"/>
      <c r="X968" s="435"/>
      <c r="Y968" s="435"/>
      <c r="Z968" s="435"/>
      <c r="AA968" s="435"/>
      <c r="AB968" s="435"/>
      <c r="AC968" s="408"/>
      <c r="AD968" s="4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</row>
    <row r="969" spans="1:46" ht="15.75" customHeight="1">
      <c r="A969" s="110"/>
      <c r="B969" s="110"/>
      <c r="C969" s="110"/>
      <c r="D969" s="118"/>
      <c r="E969" s="118"/>
      <c r="F969" s="118"/>
      <c r="G969" s="408"/>
      <c r="H969" s="408"/>
      <c r="I969" s="408"/>
      <c r="J969" s="408"/>
      <c r="K969" s="408"/>
      <c r="L969" s="408"/>
      <c r="M969" s="118"/>
      <c r="N969" s="435"/>
      <c r="O969" s="435"/>
      <c r="P969" s="435"/>
      <c r="Q969" s="435"/>
      <c r="R969" s="435"/>
      <c r="S969" s="435"/>
      <c r="T969" s="435"/>
      <c r="U969" s="435"/>
      <c r="V969" s="435"/>
      <c r="W969" s="463"/>
      <c r="X969" s="435"/>
      <c r="Y969" s="435"/>
      <c r="Z969" s="435"/>
      <c r="AA969" s="435"/>
      <c r="AB969" s="435"/>
      <c r="AC969" s="408"/>
      <c r="AD969" s="4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</row>
    <row r="970" spans="1:46" ht="15.75" customHeight="1">
      <c r="A970" s="110"/>
      <c r="B970" s="110"/>
      <c r="C970" s="110"/>
      <c r="D970" s="118"/>
      <c r="E970" s="118"/>
      <c r="F970" s="118"/>
      <c r="G970" s="408"/>
      <c r="H970" s="408"/>
      <c r="I970" s="408"/>
      <c r="J970" s="408"/>
      <c r="K970" s="408"/>
      <c r="L970" s="408"/>
      <c r="M970" s="118"/>
      <c r="N970" s="435"/>
      <c r="O970" s="435"/>
      <c r="P970" s="435"/>
      <c r="Q970" s="435"/>
      <c r="R970" s="435"/>
      <c r="S970" s="435"/>
      <c r="T970" s="435"/>
      <c r="U970" s="435"/>
      <c r="V970" s="435"/>
      <c r="W970" s="463"/>
      <c r="X970" s="435"/>
      <c r="Y970" s="435"/>
      <c r="Z970" s="435"/>
      <c r="AA970" s="435"/>
      <c r="AB970" s="435"/>
      <c r="AC970" s="408"/>
      <c r="AD970" s="4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</row>
    <row r="971" spans="1:46" ht="15.75" customHeight="1">
      <c r="A971" s="110"/>
      <c r="B971" s="110"/>
      <c r="C971" s="110"/>
      <c r="D971" s="118"/>
      <c r="E971" s="118"/>
      <c r="F971" s="118"/>
      <c r="G971" s="408"/>
      <c r="H971" s="408"/>
      <c r="I971" s="408"/>
      <c r="J971" s="408"/>
      <c r="K971" s="408"/>
      <c r="L971" s="408"/>
      <c r="M971" s="118"/>
      <c r="N971" s="435"/>
      <c r="O971" s="435"/>
      <c r="P971" s="435"/>
      <c r="Q971" s="435"/>
      <c r="R971" s="435"/>
      <c r="S971" s="435"/>
      <c r="T971" s="435"/>
      <c r="U971" s="435"/>
      <c r="V971" s="435"/>
      <c r="W971" s="463"/>
      <c r="X971" s="435"/>
      <c r="Y971" s="435"/>
      <c r="Z971" s="435"/>
      <c r="AA971" s="435"/>
      <c r="AB971" s="435"/>
      <c r="AC971" s="408"/>
      <c r="AD971" s="4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</row>
    <row r="972" spans="1:46" ht="15.75" customHeight="1">
      <c r="A972" s="110"/>
      <c r="B972" s="110"/>
      <c r="C972" s="110"/>
      <c r="D972" s="118"/>
      <c r="E972" s="118"/>
      <c r="F972" s="118"/>
      <c r="G972" s="408"/>
      <c r="H972" s="408"/>
      <c r="I972" s="408"/>
      <c r="J972" s="408"/>
      <c r="K972" s="408"/>
      <c r="L972" s="408"/>
      <c r="M972" s="118"/>
      <c r="N972" s="435"/>
      <c r="O972" s="435"/>
      <c r="P972" s="435"/>
      <c r="Q972" s="435"/>
      <c r="R972" s="435"/>
      <c r="S972" s="435"/>
      <c r="T972" s="435"/>
      <c r="U972" s="435"/>
      <c r="V972" s="435"/>
      <c r="W972" s="463"/>
      <c r="X972" s="435"/>
      <c r="Y972" s="435"/>
      <c r="Z972" s="435"/>
      <c r="AA972" s="435"/>
      <c r="AB972" s="435"/>
      <c r="AC972" s="408"/>
      <c r="AD972" s="4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</row>
    <row r="973" spans="1:46" ht="15.75" customHeight="1">
      <c r="A973" s="110"/>
      <c r="B973" s="110"/>
      <c r="C973" s="110"/>
      <c r="D973" s="118"/>
      <c r="E973" s="118"/>
      <c r="F973" s="118"/>
      <c r="G973" s="408"/>
      <c r="H973" s="408"/>
      <c r="I973" s="408"/>
      <c r="J973" s="408"/>
      <c r="K973" s="408"/>
      <c r="L973" s="408"/>
      <c r="M973" s="118"/>
      <c r="N973" s="435"/>
      <c r="O973" s="435"/>
      <c r="P973" s="435"/>
      <c r="Q973" s="435"/>
      <c r="R973" s="435"/>
      <c r="S973" s="435"/>
      <c r="T973" s="435"/>
      <c r="U973" s="435"/>
      <c r="V973" s="435"/>
      <c r="W973" s="463"/>
      <c r="X973" s="435"/>
      <c r="Y973" s="435"/>
      <c r="Z973" s="435"/>
      <c r="AA973" s="435"/>
      <c r="AB973" s="435"/>
      <c r="AC973" s="408"/>
      <c r="AD973" s="4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</row>
    <row r="974" spans="1:46" ht="15.75" customHeight="1">
      <c r="A974" s="110"/>
      <c r="B974" s="110"/>
      <c r="C974" s="110"/>
      <c r="D974" s="118"/>
      <c r="E974" s="118"/>
      <c r="F974" s="118"/>
      <c r="G974" s="408"/>
      <c r="H974" s="408"/>
      <c r="I974" s="408"/>
      <c r="J974" s="408"/>
      <c r="K974" s="408"/>
      <c r="L974" s="408"/>
      <c r="M974" s="118"/>
      <c r="N974" s="435"/>
      <c r="O974" s="435"/>
      <c r="P974" s="435"/>
      <c r="Q974" s="435"/>
      <c r="R974" s="435"/>
      <c r="S974" s="435"/>
      <c r="T974" s="435"/>
      <c r="U974" s="435"/>
      <c r="V974" s="435"/>
      <c r="W974" s="463"/>
      <c r="X974" s="435"/>
      <c r="Y974" s="435"/>
      <c r="Z974" s="435"/>
      <c r="AA974" s="435"/>
      <c r="AB974" s="435"/>
      <c r="AC974" s="408"/>
      <c r="AD974" s="4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</row>
    <row r="975" spans="1:46" ht="15.75" customHeight="1">
      <c r="A975" s="110"/>
      <c r="B975" s="110"/>
      <c r="C975" s="110"/>
      <c r="D975" s="118"/>
      <c r="E975" s="118"/>
      <c r="F975" s="118"/>
      <c r="G975" s="408"/>
      <c r="H975" s="408"/>
      <c r="I975" s="408"/>
      <c r="J975" s="408"/>
      <c r="K975" s="408"/>
      <c r="L975" s="408"/>
      <c r="M975" s="118"/>
      <c r="N975" s="435"/>
      <c r="O975" s="435"/>
      <c r="P975" s="435"/>
      <c r="Q975" s="435"/>
      <c r="R975" s="435"/>
      <c r="S975" s="435"/>
      <c r="T975" s="435"/>
      <c r="U975" s="435"/>
      <c r="V975" s="435"/>
      <c r="W975" s="463"/>
      <c r="X975" s="435"/>
      <c r="Y975" s="435"/>
      <c r="Z975" s="435"/>
      <c r="AA975" s="435"/>
      <c r="AB975" s="435"/>
      <c r="AC975" s="408"/>
      <c r="AD975" s="4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</row>
    <row r="976" spans="1:46" ht="15.75" customHeight="1">
      <c r="A976" s="110"/>
      <c r="B976" s="110"/>
      <c r="C976" s="110"/>
      <c r="D976" s="118"/>
      <c r="E976" s="118"/>
      <c r="F976" s="118"/>
      <c r="G976" s="408"/>
      <c r="H976" s="408"/>
      <c r="I976" s="408"/>
      <c r="J976" s="408"/>
      <c r="K976" s="408"/>
      <c r="L976" s="408"/>
      <c r="M976" s="118"/>
      <c r="N976" s="435"/>
      <c r="O976" s="435"/>
      <c r="P976" s="435"/>
      <c r="Q976" s="435"/>
      <c r="R976" s="435"/>
      <c r="S976" s="435"/>
      <c r="T976" s="435"/>
      <c r="U976" s="435"/>
      <c r="V976" s="435"/>
      <c r="W976" s="463"/>
      <c r="X976" s="435"/>
      <c r="Y976" s="435"/>
      <c r="Z976" s="435"/>
      <c r="AA976" s="435"/>
      <c r="AB976" s="435"/>
      <c r="AC976" s="408"/>
      <c r="AD976" s="4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</row>
    <row r="977" spans="1:46" ht="15.75" customHeight="1">
      <c r="A977" s="110"/>
      <c r="B977" s="110"/>
      <c r="C977" s="110"/>
      <c r="D977" s="118"/>
      <c r="E977" s="118"/>
      <c r="F977" s="118"/>
      <c r="G977" s="408"/>
      <c r="H977" s="408"/>
      <c r="I977" s="408"/>
      <c r="J977" s="408"/>
      <c r="K977" s="408"/>
      <c r="L977" s="408"/>
      <c r="M977" s="118"/>
      <c r="N977" s="435"/>
      <c r="O977" s="435"/>
      <c r="P977" s="435"/>
      <c r="Q977" s="435"/>
      <c r="R977" s="435"/>
      <c r="S977" s="435"/>
      <c r="T977" s="435"/>
      <c r="U977" s="435"/>
      <c r="V977" s="435"/>
      <c r="W977" s="463"/>
      <c r="X977" s="435"/>
      <c r="Y977" s="435"/>
      <c r="Z977" s="435"/>
      <c r="AA977" s="435"/>
      <c r="AB977" s="435"/>
      <c r="AC977" s="408"/>
      <c r="AD977" s="4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</row>
    <row r="978" spans="1:46" ht="15.75" customHeight="1">
      <c r="A978" s="110"/>
      <c r="B978" s="110"/>
      <c r="C978" s="110"/>
      <c r="D978" s="118"/>
      <c r="E978" s="118"/>
      <c r="F978" s="118"/>
      <c r="G978" s="408"/>
      <c r="H978" s="408"/>
      <c r="I978" s="408"/>
      <c r="J978" s="408"/>
      <c r="K978" s="408"/>
      <c r="L978" s="408"/>
      <c r="M978" s="118"/>
      <c r="N978" s="435"/>
      <c r="O978" s="435"/>
      <c r="P978" s="435"/>
      <c r="Q978" s="435"/>
      <c r="R978" s="435"/>
      <c r="S978" s="435"/>
      <c r="T978" s="435"/>
      <c r="U978" s="435"/>
      <c r="V978" s="435"/>
      <c r="W978" s="463"/>
      <c r="X978" s="435"/>
      <c r="Y978" s="435"/>
      <c r="Z978" s="435"/>
      <c r="AA978" s="435"/>
      <c r="AB978" s="435"/>
      <c r="AC978" s="408"/>
      <c r="AD978" s="4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</row>
    <row r="979" spans="1:46" ht="15.75" customHeight="1">
      <c r="A979" s="110"/>
      <c r="B979" s="110"/>
      <c r="C979" s="110"/>
      <c r="D979" s="118"/>
      <c r="E979" s="118"/>
      <c r="F979" s="118"/>
      <c r="G979" s="408"/>
      <c r="H979" s="408"/>
      <c r="I979" s="408"/>
      <c r="J979" s="408"/>
      <c r="K979" s="408"/>
      <c r="L979" s="408"/>
      <c r="M979" s="118"/>
      <c r="N979" s="435"/>
      <c r="O979" s="435"/>
      <c r="P979" s="435"/>
      <c r="Q979" s="435"/>
      <c r="R979" s="435"/>
      <c r="S979" s="435"/>
      <c r="T979" s="435"/>
      <c r="U979" s="435"/>
      <c r="V979" s="435"/>
      <c r="W979" s="463"/>
      <c r="X979" s="435"/>
      <c r="Y979" s="435"/>
      <c r="Z979" s="435"/>
      <c r="AA979" s="435"/>
      <c r="AB979" s="435"/>
      <c r="AC979" s="408"/>
      <c r="AD979" s="4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</row>
    <row r="980" spans="1:46" ht="15.75" customHeight="1">
      <c r="A980" s="110"/>
      <c r="B980" s="110"/>
      <c r="C980" s="110"/>
      <c r="D980" s="118"/>
      <c r="E980" s="118"/>
      <c r="F980" s="118"/>
      <c r="G980" s="408"/>
      <c r="H980" s="408"/>
      <c r="I980" s="408"/>
      <c r="J980" s="408"/>
      <c r="K980" s="408"/>
      <c r="L980" s="408"/>
      <c r="M980" s="118"/>
      <c r="N980" s="435"/>
      <c r="O980" s="435"/>
      <c r="P980" s="435"/>
      <c r="Q980" s="435"/>
      <c r="R980" s="435"/>
      <c r="S980" s="435"/>
      <c r="T980" s="435"/>
      <c r="U980" s="435"/>
      <c r="V980" s="435"/>
      <c r="W980" s="463"/>
      <c r="X980" s="435"/>
      <c r="Y980" s="435"/>
      <c r="Z980" s="435"/>
      <c r="AA980" s="435"/>
      <c r="AB980" s="435"/>
      <c r="AC980" s="408"/>
      <c r="AD980" s="4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</row>
    <row r="981" spans="1:46" ht="15.75" customHeight="1">
      <c r="A981" s="110"/>
      <c r="B981" s="110"/>
      <c r="C981" s="110"/>
      <c r="D981" s="118"/>
      <c r="E981" s="118"/>
      <c r="F981" s="118"/>
      <c r="G981" s="408"/>
      <c r="H981" s="408"/>
      <c r="I981" s="408"/>
      <c r="J981" s="408"/>
      <c r="K981" s="408"/>
      <c r="L981" s="408"/>
      <c r="M981" s="118"/>
      <c r="N981" s="435"/>
      <c r="O981" s="435"/>
      <c r="P981" s="435"/>
      <c r="Q981" s="435"/>
      <c r="R981" s="435"/>
      <c r="S981" s="435"/>
      <c r="T981" s="435"/>
      <c r="U981" s="435"/>
      <c r="V981" s="435"/>
      <c r="W981" s="463"/>
      <c r="X981" s="435"/>
      <c r="Y981" s="435"/>
      <c r="Z981" s="435"/>
      <c r="AA981" s="435"/>
      <c r="AB981" s="435"/>
      <c r="AC981" s="408"/>
      <c r="AD981" s="4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</row>
    <row r="982" spans="1:46" ht="15.75" customHeight="1">
      <c r="A982" s="110"/>
      <c r="B982" s="110"/>
      <c r="C982" s="110"/>
      <c r="D982" s="118"/>
      <c r="E982" s="118"/>
      <c r="F982" s="118"/>
      <c r="G982" s="408"/>
      <c r="H982" s="408"/>
      <c r="I982" s="408"/>
      <c r="J982" s="408"/>
      <c r="K982" s="408"/>
      <c r="L982" s="408"/>
      <c r="M982" s="118"/>
      <c r="N982" s="435"/>
      <c r="O982" s="435"/>
      <c r="P982" s="435"/>
      <c r="Q982" s="435"/>
      <c r="R982" s="435"/>
      <c r="S982" s="435"/>
      <c r="T982" s="435"/>
      <c r="U982" s="435"/>
      <c r="V982" s="435"/>
      <c r="W982" s="463"/>
      <c r="X982" s="435"/>
      <c r="Y982" s="435"/>
      <c r="Z982" s="435"/>
      <c r="AA982" s="435"/>
      <c r="AB982" s="435"/>
      <c r="AC982" s="408"/>
      <c r="AD982" s="4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</row>
    <row r="983" spans="1:46" ht="15.75" customHeight="1">
      <c r="A983" s="110"/>
      <c r="B983" s="110"/>
      <c r="C983" s="110"/>
      <c r="D983" s="118"/>
      <c r="E983" s="118"/>
      <c r="F983" s="118"/>
      <c r="G983" s="408"/>
      <c r="H983" s="408"/>
      <c r="I983" s="408"/>
      <c r="J983" s="408"/>
      <c r="K983" s="408"/>
      <c r="L983" s="408"/>
      <c r="M983" s="118"/>
      <c r="N983" s="435"/>
      <c r="O983" s="435"/>
      <c r="P983" s="435"/>
      <c r="Q983" s="435"/>
      <c r="R983" s="435"/>
      <c r="S983" s="435"/>
      <c r="T983" s="435"/>
      <c r="U983" s="435"/>
      <c r="V983" s="435"/>
      <c r="W983" s="463"/>
      <c r="X983" s="435"/>
      <c r="Y983" s="435"/>
      <c r="Z983" s="435"/>
      <c r="AA983" s="435"/>
      <c r="AB983" s="435"/>
      <c r="AC983" s="408"/>
      <c r="AD983" s="4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</row>
    <row r="984" spans="1:46" ht="15.75" customHeight="1">
      <c r="A984" s="110"/>
      <c r="B984" s="110"/>
      <c r="C984" s="110"/>
      <c r="D984" s="118"/>
      <c r="E984" s="118"/>
      <c r="F984" s="118"/>
      <c r="G984" s="408"/>
      <c r="H984" s="408"/>
      <c r="I984" s="408"/>
      <c r="J984" s="408"/>
      <c r="K984" s="408"/>
      <c r="L984" s="408"/>
      <c r="M984" s="118"/>
      <c r="N984" s="435"/>
      <c r="O984" s="435"/>
      <c r="P984" s="435"/>
      <c r="Q984" s="435"/>
      <c r="R984" s="435"/>
      <c r="S984" s="435"/>
      <c r="T984" s="435"/>
      <c r="U984" s="435"/>
      <c r="V984" s="435"/>
      <c r="W984" s="463"/>
      <c r="X984" s="435"/>
      <c r="Y984" s="435"/>
      <c r="Z984" s="435"/>
      <c r="AA984" s="435"/>
      <c r="AB984" s="435"/>
      <c r="AC984" s="408"/>
      <c r="AD984" s="4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</row>
    <row r="985" spans="1:46" ht="15.75" customHeight="1">
      <c r="A985" s="110"/>
      <c r="B985" s="110"/>
      <c r="C985" s="110"/>
      <c r="D985" s="118"/>
      <c r="E985" s="118"/>
      <c r="F985" s="118"/>
      <c r="G985" s="408"/>
      <c r="H985" s="408"/>
      <c r="I985" s="408"/>
      <c r="J985" s="408"/>
      <c r="K985" s="408"/>
      <c r="L985" s="408"/>
      <c r="M985" s="118"/>
      <c r="N985" s="435"/>
      <c r="O985" s="435"/>
      <c r="P985" s="435"/>
      <c r="Q985" s="435"/>
      <c r="R985" s="435"/>
      <c r="S985" s="435"/>
      <c r="T985" s="435"/>
      <c r="U985" s="435"/>
      <c r="V985" s="435"/>
      <c r="W985" s="463"/>
      <c r="X985" s="435"/>
      <c r="Y985" s="435"/>
      <c r="Z985" s="435"/>
      <c r="AA985" s="435"/>
      <c r="AB985" s="435"/>
      <c r="AC985" s="408"/>
      <c r="AD985" s="4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</row>
    <row r="986" spans="1:46" ht="15.75" customHeight="1">
      <c r="A986" s="110"/>
      <c r="B986" s="110"/>
      <c r="C986" s="110"/>
      <c r="D986" s="118"/>
      <c r="E986" s="118"/>
      <c r="F986" s="118"/>
      <c r="G986" s="408"/>
      <c r="H986" s="408"/>
      <c r="I986" s="408"/>
      <c r="J986" s="408"/>
      <c r="K986" s="408"/>
      <c r="L986" s="408"/>
      <c r="M986" s="118"/>
      <c r="N986" s="435"/>
      <c r="O986" s="435"/>
      <c r="P986" s="435"/>
      <c r="Q986" s="435"/>
      <c r="R986" s="435"/>
      <c r="S986" s="435"/>
      <c r="T986" s="435"/>
      <c r="U986" s="435"/>
      <c r="V986" s="435"/>
      <c r="W986" s="463"/>
      <c r="X986" s="435"/>
      <c r="Y986" s="435"/>
      <c r="Z986" s="435"/>
      <c r="AA986" s="435"/>
      <c r="AB986" s="435"/>
      <c r="AC986" s="408"/>
      <c r="AD986" s="4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</row>
    <row r="987" spans="1:46" ht="15.75" customHeight="1">
      <c r="A987" s="110"/>
      <c r="B987" s="110"/>
      <c r="C987" s="110"/>
      <c r="D987" s="118"/>
      <c r="E987" s="118"/>
      <c r="F987" s="118"/>
      <c r="G987" s="408"/>
      <c r="H987" s="408"/>
      <c r="I987" s="408"/>
      <c r="J987" s="408"/>
      <c r="K987" s="408"/>
      <c r="L987" s="408"/>
      <c r="M987" s="118"/>
      <c r="N987" s="435"/>
      <c r="O987" s="435"/>
      <c r="P987" s="435"/>
      <c r="Q987" s="435"/>
      <c r="R987" s="435"/>
      <c r="S987" s="435"/>
      <c r="T987" s="435"/>
      <c r="U987" s="435"/>
      <c r="V987" s="435"/>
      <c r="W987" s="463"/>
      <c r="X987" s="435"/>
      <c r="Y987" s="435"/>
      <c r="Z987" s="435"/>
      <c r="AA987" s="435"/>
      <c r="AB987" s="435"/>
      <c r="AC987" s="408"/>
      <c r="AD987" s="4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</row>
    <row r="988" spans="1:46" ht="15.75" customHeight="1">
      <c r="A988" s="110"/>
      <c r="B988" s="110"/>
      <c r="C988" s="110"/>
      <c r="D988" s="118"/>
      <c r="E988" s="118"/>
      <c r="F988" s="118"/>
      <c r="G988" s="408"/>
      <c r="H988" s="408"/>
      <c r="I988" s="408"/>
      <c r="J988" s="408"/>
      <c r="K988" s="408"/>
      <c r="L988" s="408"/>
      <c r="M988" s="118"/>
      <c r="N988" s="435"/>
      <c r="O988" s="435"/>
      <c r="P988" s="435"/>
      <c r="Q988" s="435"/>
      <c r="R988" s="435"/>
      <c r="S988" s="435"/>
      <c r="T988" s="435"/>
      <c r="U988" s="435"/>
      <c r="V988" s="435"/>
      <c r="W988" s="463"/>
      <c r="X988" s="435"/>
      <c r="Y988" s="435"/>
      <c r="Z988" s="435"/>
      <c r="AA988" s="435"/>
      <c r="AB988" s="435"/>
      <c r="AC988" s="408"/>
      <c r="AD988" s="4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</row>
    <row r="989" spans="1:46" ht="15.75" customHeight="1">
      <c r="A989" s="110"/>
      <c r="B989" s="110"/>
      <c r="C989" s="110"/>
      <c r="D989" s="118"/>
      <c r="E989" s="118"/>
      <c r="F989" s="118"/>
      <c r="G989" s="408"/>
      <c r="H989" s="408"/>
      <c r="I989" s="408"/>
      <c r="J989" s="408"/>
      <c r="K989" s="408"/>
      <c r="L989" s="408"/>
      <c r="M989" s="118"/>
      <c r="N989" s="435"/>
      <c r="O989" s="435"/>
      <c r="P989" s="435"/>
      <c r="Q989" s="435"/>
      <c r="R989" s="435"/>
      <c r="S989" s="435"/>
      <c r="T989" s="435"/>
      <c r="U989" s="435"/>
      <c r="V989" s="435"/>
      <c r="W989" s="463"/>
      <c r="X989" s="435"/>
      <c r="Y989" s="435"/>
      <c r="Z989" s="435"/>
      <c r="AA989" s="435"/>
      <c r="AB989" s="435"/>
      <c r="AC989" s="408"/>
      <c r="AD989" s="4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</row>
    <row r="990" spans="1:46" ht="15.75" customHeight="1">
      <c r="A990" s="110"/>
      <c r="B990" s="110"/>
      <c r="C990" s="110"/>
      <c r="D990" s="118"/>
      <c r="E990" s="118"/>
      <c r="F990" s="118"/>
      <c r="G990" s="408"/>
      <c r="H990" s="408"/>
      <c r="I990" s="408"/>
      <c r="J990" s="408"/>
      <c r="K990" s="408"/>
      <c r="L990" s="408"/>
      <c r="M990" s="118"/>
      <c r="N990" s="435"/>
      <c r="O990" s="435"/>
      <c r="P990" s="435"/>
      <c r="Q990" s="435"/>
      <c r="R990" s="435"/>
      <c r="S990" s="435"/>
      <c r="T990" s="435"/>
      <c r="U990" s="435"/>
      <c r="V990" s="435"/>
      <c r="W990" s="463"/>
      <c r="X990" s="435"/>
      <c r="Y990" s="435"/>
      <c r="Z990" s="435"/>
      <c r="AA990" s="435"/>
      <c r="AB990" s="435"/>
      <c r="AC990" s="408"/>
      <c r="AD990" s="4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</row>
    <row r="991" spans="1:46" ht="15.75" customHeight="1">
      <c r="A991" s="110"/>
      <c r="B991" s="110"/>
      <c r="C991" s="110"/>
      <c r="D991" s="118"/>
      <c r="E991" s="118"/>
      <c r="F991" s="118"/>
      <c r="G991" s="408"/>
      <c r="H991" s="408"/>
      <c r="I991" s="408"/>
      <c r="J991" s="408"/>
      <c r="K991" s="408"/>
      <c r="L991" s="408"/>
      <c r="M991" s="118"/>
      <c r="N991" s="435"/>
      <c r="O991" s="435"/>
      <c r="P991" s="435"/>
      <c r="Q991" s="435"/>
      <c r="R991" s="435"/>
      <c r="S991" s="435"/>
      <c r="T991" s="435"/>
      <c r="U991" s="435"/>
      <c r="V991" s="435"/>
      <c r="W991" s="463"/>
      <c r="X991" s="435"/>
      <c r="Y991" s="435"/>
      <c r="Z991" s="435"/>
      <c r="AA991" s="435"/>
      <c r="AB991" s="435"/>
      <c r="AC991" s="408"/>
      <c r="AD991" s="4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</row>
    <row r="992" spans="1:46" ht="15.75" customHeight="1">
      <c r="A992" s="110"/>
      <c r="B992" s="110"/>
      <c r="C992" s="110"/>
      <c r="D992" s="118"/>
      <c r="E992" s="118"/>
      <c r="F992" s="118"/>
      <c r="G992" s="408"/>
      <c r="H992" s="408"/>
      <c r="I992" s="408"/>
      <c r="J992" s="408"/>
      <c r="K992" s="408"/>
      <c r="L992" s="408"/>
      <c r="M992" s="118"/>
      <c r="N992" s="435"/>
      <c r="O992" s="435"/>
      <c r="P992" s="435"/>
      <c r="Q992" s="435"/>
      <c r="R992" s="435"/>
      <c r="S992" s="435"/>
      <c r="T992" s="435"/>
      <c r="U992" s="435"/>
      <c r="V992" s="435"/>
      <c r="W992" s="463"/>
      <c r="X992" s="435"/>
      <c r="Y992" s="435"/>
      <c r="Z992" s="435"/>
      <c r="AA992" s="435"/>
      <c r="AB992" s="435"/>
      <c r="AC992" s="408"/>
      <c r="AD992" s="4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</row>
    <row r="993" spans="1:46" ht="15.75" customHeight="1">
      <c r="A993" s="110"/>
      <c r="B993" s="110"/>
      <c r="C993" s="110"/>
      <c r="D993" s="118"/>
      <c r="E993" s="118"/>
      <c r="F993" s="118"/>
      <c r="G993" s="408"/>
      <c r="H993" s="408"/>
      <c r="I993" s="408"/>
      <c r="J993" s="408"/>
      <c r="K993" s="408"/>
      <c r="L993" s="408"/>
      <c r="M993" s="118"/>
      <c r="N993" s="435"/>
      <c r="O993" s="435"/>
      <c r="P993" s="435"/>
      <c r="Q993" s="435"/>
      <c r="R993" s="435"/>
      <c r="S993" s="435"/>
      <c r="T993" s="435"/>
      <c r="U993" s="435"/>
      <c r="V993" s="435"/>
      <c r="W993" s="463"/>
      <c r="X993" s="435"/>
      <c r="Y993" s="435"/>
      <c r="Z993" s="435"/>
      <c r="AA993" s="435"/>
      <c r="AB993" s="435"/>
      <c r="AC993" s="408"/>
      <c r="AD993" s="4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</row>
    <row r="994" spans="1:46" ht="15.75" customHeight="1">
      <c r="A994" s="110"/>
      <c r="B994" s="110"/>
      <c r="C994" s="110"/>
      <c r="D994" s="118"/>
      <c r="E994" s="118"/>
      <c r="F994" s="118"/>
      <c r="G994" s="408"/>
      <c r="H994" s="408"/>
      <c r="I994" s="408"/>
      <c r="J994" s="408"/>
      <c r="K994" s="408"/>
      <c r="L994" s="408"/>
      <c r="M994" s="118"/>
      <c r="N994" s="435"/>
      <c r="O994" s="435"/>
      <c r="P994" s="435"/>
      <c r="Q994" s="435"/>
      <c r="R994" s="435"/>
      <c r="S994" s="435"/>
      <c r="T994" s="435"/>
      <c r="U994" s="435"/>
      <c r="V994" s="435"/>
      <c r="W994" s="463"/>
      <c r="X994" s="435"/>
      <c r="Y994" s="435"/>
      <c r="Z994" s="435"/>
      <c r="AA994" s="435"/>
      <c r="AB994" s="435"/>
      <c r="AC994" s="408"/>
      <c r="AD994" s="4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</row>
    <row r="995" spans="1:46" ht="15.75" customHeight="1">
      <c r="A995" s="110"/>
      <c r="B995" s="110"/>
      <c r="C995" s="110"/>
      <c r="D995" s="118"/>
      <c r="E995" s="118"/>
      <c r="F995" s="118"/>
      <c r="G995" s="408"/>
      <c r="H995" s="408"/>
      <c r="I995" s="408"/>
      <c r="J995" s="408"/>
      <c r="K995" s="408"/>
      <c r="L995" s="408"/>
      <c r="M995" s="118"/>
      <c r="N995" s="435"/>
      <c r="O995" s="435"/>
      <c r="P995" s="435"/>
      <c r="Q995" s="435"/>
      <c r="R995" s="435"/>
      <c r="S995" s="435"/>
      <c r="T995" s="435"/>
      <c r="U995" s="435"/>
      <c r="V995" s="435"/>
      <c r="W995" s="463"/>
      <c r="X995" s="435"/>
      <c r="Y995" s="435"/>
      <c r="Z995" s="435"/>
      <c r="AA995" s="435"/>
      <c r="AB995" s="435"/>
      <c r="AC995" s="408"/>
      <c r="AD995" s="4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</row>
    <row r="996" spans="1:46" ht="15.75" customHeight="1">
      <c r="A996" s="110"/>
      <c r="B996" s="110"/>
      <c r="C996" s="110"/>
      <c r="D996" s="118"/>
      <c r="E996" s="118"/>
      <c r="F996" s="118"/>
      <c r="G996" s="408"/>
      <c r="H996" s="408"/>
      <c r="I996" s="408"/>
      <c r="J996" s="408"/>
      <c r="K996" s="408"/>
      <c r="L996" s="408"/>
      <c r="M996" s="118"/>
      <c r="N996" s="435"/>
      <c r="O996" s="435"/>
      <c r="P996" s="435"/>
      <c r="Q996" s="435"/>
      <c r="R996" s="435"/>
      <c r="S996" s="435"/>
      <c r="T996" s="435"/>
      <c r="U996" s="435"/>
      <c r="V996" s="435"/>
      <c r="W996" s="463"/>
      <c r="X996" s="435"/>
      <c r="Y996" s="435"/>
      <c r="Z996" s="435"/>
      <c r="AA996" s="435"/>
      <c r="AB996" s="435"/>
      <c r="AC996" s="408"/>
      <c r="AD996" s="4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</row>
    <row r="997" spans="1:46" ht="15.75" customHeight="1">
      <c r="A997" s="110"/>
      <c r="B997" s="110"/>
      <c r="C997" s="110"/>
      <c r="D997" s="118"/>
      <c r="E997" s="118"/>
      <c r="F997" s="118"/>
      <c r="G997" s="408"/>
      <c r="H997" s="408"/>
      <c r="I997" s="408"/>
      <c r="J997" s="408"/>
      <c r="K997" s="408"/>
      <c r="L997" s="408"/>
      <c r="M997" s="118"/>
      <c r="N997" s="435"/>
      <c r="O997" s="435"/>
      <c r="P997" s="435"/>
      <c r="Q997" s="435"/>
      <c r="R997" s="435"/>
      <c r="S997" s="435"/>
      <c r="T997" s="435"/>
      <c r="U997" s="435"/>
      <c r="V997" s="435"/>
      <c r="W997" s="463"/>
      <c r="X997" s="435"/>
      <c r="Y997" s="435"/>
      <c r="Z997" s="435"/>
      <c r="AA997" s="435"/>
      <c r="AB997" s="435"/>
      <c r="AC997" s="408"/>
      <c r="AD997" s="4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</row>
    <row r="998" spans="1:46" ht="15.75" customHeight="1">
      <c r="A998" s="110"/>
      <c r="B998" s="110"/>
      <c r="C998" s="110"/>
      <c r="D998" s="118"/>
      <c r="E998" s="118"/>
      <c r="F998" s="118"/>
      <c r="G998" s="408"/>
      <c r="H998" s="408"/>
      <c r="I998" s="408"/>
      <c r="J998" s="408"/>
      <c r="K998" s="408"/>
      <c r="L998" s="408"/>
      <c r="M998" s="118"/>
      <c r="N998" s="435"/>
      <c r="O998" s="435"/>
      <c r="P998" s="435"/>
      <c r="Q998" s="435"/>
      <c r="R998" s="435"/>
      <c r="S998" s="435"/>
      <c r="T998" s="435"/>
      <c r="U998" s="435"/>
      <c r="V998" s="435"/>
      <c r="W998" s="463"/>
      <c r="X998" s="435"/>
      <c r="Y998" s="435"/>
      <c r="Z998" s="435"/>
      <c r="AA998" s="435"/>
      <c r="AB998" s="435"/>
      <c r="AC998" s="408"/>
      <c r="AD998" s="4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</row>
    <row r="999" spans="1:46" ht="15.75" customHeight="1">
      <c r="A999" s="110"/>
      <c r="B999" s="110"/>
      <c r="C999" s="110"/>
      <c r="D999" s="118"/>
      <c r="E999" s="118"/>
      <c r="F999" s="118"/>
      <c r="G999" s="408"/>
      <c r="H999" s="408"/>
      <c r="I999" s="408"/>
      <c r="J999" s="408"/>
      <c r="K999" s="408"/>
      <c r="L999" s="408"/>
      <c r="M999" s="118"/>
      <c r="N999" s="435"/>
      <c r="O999" s="435"/>
      <c r="P999" s="435"/>
      <c r="Q999" s="435"/>
      <c r="R999" s="435"/>
      <c r="S999" s="435"/>
      <c r="T999" s="435"/>
      <c r="U999" s="435"/>
      <c r="V999" s="435"/>
      <c r="W999" s="463"/>
      <c r="X999" s="435"/>
      <c r="Y999" s="435"/>
      <c r="Z999" s="435"/>
      <c r="AA999" s="435"/>
      <c r="AB999" s="435"/>
      <c r="AC999" s="408"/>
      <c r="AD999" s="4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</row>
    <row r="1000" spans="1:46" ht="15.75" customHeight="1">
      <c r="A1000" s="110"/>
      <c r="B1000" s="110"/>
      <c r="C1000" s="110"/>
      <c r="D1000" s="118"/>
      <c r="E1000" s="118"/>
      <c r="F1000" s="118"/>
      <c r="G1000" s="408"/>
      <c r="H1000" s="408"/>
      <c r="I1000" s="408"/>
      <c r="J1000" s="408"/>
      <c r="K1000" s="408"/>
      <c r="L1000" s="408"/>
      <c r="M1000" s="118"/>
      <c r="N1000" s="435"/>
      <c r="O1000" s="435"/>
      <c r="P1000" s="435"/>
      <c r="Q1000" s="435"/>
      <c r="R1000" s="435"/>
      <c r="S1000" s="435"/>
      <c r="T1000" s="435"/>
      <c r="U1000" s="435"/>
      <c r="V1000" s="435"/>
      <c r="W1000" s="463"/>
      <c r="X1000" s="435"/>
      <c r="Y1000" s="435"/>
      <c r="Z1000" s="435"/>
      <c r="AA1000" s="435"/>
      <c r="AB1000" s="435"/>
      <c r="AC1000" s="408"/>
      <c r="AD1000" s="4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</row>
  </sheetData>
  <mergeCells count="14">
    <mergeCell ref="Z3:AA4"/>
    <mergeCell ref="AB3:AC4"/>
    <mergeCell ref="B3:C4"/>
    <mergeCell ref="D3:E4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1006"/>
  <sheetViews>
    <sheetView showGridLines="0"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1.7109375" customWidth="1"/>
    <col min="2" max="2" width="6.5703125" customWidth="1"/>
    <col min="3" max="3" width="40.85546875" customWidth="1"/>
    <col min="4" max="4" width="14.140625" customWidth="1"/>
    <col min="5" max="5" width="15" customWidth="1"/>
    <col min="6" max="6" width="14.42578125" customWidth="1"/>
    <col min="7" max="7" width="14" customWidth="1"/>
    <col min="8" max="10" width="15" customWidth="1"/>
    <col min="11" max="11" width="12.5703125" customWidth="1"/>
    <col min="12" max="12" width="12.85546875" customWidth="1"/>
    <col min="13" max="15" width="11.7109375" customWidth="1"/>
    <col min="16" max="27" width="14.42578125" customWidth="1"/>
  </cols>
  <sheetData>
    <row r="1" spans="1:27" ht="15" customHeight="1">
      <c r="A1" s="110"/>
      <c r="B1" s="427"/>
      <c r="C1" s="477" t="str">
        <f>BS!C1</f>
        <v>BALANCE SHEET</v>
      </c>
      <c r="D1" s="110"/>
      <c r="E1" s="110"/>
      <c r="F1" s="344"/>
      <c r="G1" s="344"/>
      <c r="H1" s="344"/>
      <c r="I1" s="99"/>
      <c r="J1" s="344"/>
      <c r="K1" s="344"/>
      <c r="L1" s="110"/>
      <c r="M1" s="110"/>
      <c r="N1" s="329"/>
      <c r="O1" s="329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 spans="1:27" ht="15" customHeight="1">
      <c r="A2" s="110"/>
      <c r="B2" s="427"/>
      <c r="C2" s="478" t="str">
        <f>TB!B2</f>
        <v>PT TAMAN BINTANG BALI</v>
      </c>
      <c r="D2" s="110"/>
      <c r="E2" s="110"/>
      <c r="F2" s="344"/>
      <c r="G2" s="344"/>
      <c r="H2" s="344"/>
      <c r="I2" s="99"/>
      <c r="J2" s="344"/>
      <c r="K2" s="344"/>
      <c r="L2" s="110"/>
      <c r="M2" s="110"/>
      <c r="N2" s="329"/>
      <c r="O2" s="329"/>
      <c r="P2" s="1"/>
      <c r="Q2" s="1"/>
      <c r="R2" s="1"/>
      <c r="S2" s="1"/>
      <c r="T2" s="1"/>
      <c r="U2" s="4"/>
      <c r="V2" s="4"/>
      <c r="W2" s="4"/>
      <c r="X2" s="4"/>
      <c r="Y2" s="4"/>
      <c r="Z2" s="4"/>
      <c r="AA2" s="4"/>
    </row>
    <row r="3" spans="1:27">
      <c r="A3" s="4"/>
      <c r="B3" s="504" t="s">
        <v>1</v>
      </c>
      <c r="C3" s="490"/>
      <c r="D3" s="488">
        <v>2020</v>
      </c>
      <c r="E3" s="488">
        <v>2021</v>
      </c>
      <c r="F3" s="488">
        <v>2022</v>
      </c>
      <c r="G3" s="488">
        <v>2023</v>
      </c>
      <c r="H3" s="488">
        <v>2024</v>
      </c>
      <c r="I3" s="488">
        <v>2025</v>
      </c>
      <c r="J3" s="488">
        <v>2026</v>
      </c>
      <c r="K3" s="344"/>
      <c r="L3" s="110"/>
      <c r="M3" s="110"/>
      <c r="N3" s="329"/>
      <c r="O3" s="329"/>
      <c r="P3" s="1"/>
      <c r="Q3" s="1"/>
      <c r="R3" s="1"/>
      <c r="S3" s="1"/>
      <c r="T3" s="1"/>
      <c r="U3" s="4"/>
      <c r="V3" s="4"/>
      <c r="W3" s="4"/>
      <c r="X3" s="4"/>
      <c r="Y3" s="4"/>
      <c r="Z3" s="4"/>
      <c r="AA3" s="4"/>
    </row>
    <row r="4" spans="1:27">
      <c r="A4" s="4"/>
      <c r="B4" s="491"/>
      <c r="C4" s="480"/>
      <c r="D4" s="486"/>
      <c r="E4" s="486"/>
      <c r="F4" s="486"/>
      <c r="G4" s="486"/>
      <c r="H4" s="486"/>
      <c r="I4" s="486"/>
      <c r="J4" s="486"/>
      <c r="K4" s="344"/>
      <c r="L4" s="110"/>
      <c r="M4" s="110"/>
      <c r="N4" s="329"/>
      <c r="O4" s="329"/>
      <c r="P4" s="1"/>
      <c r="Q4" s="1"/>
      <c r="R4" s="1"/>
      <c r="S4" s="1"/>
      <c r="T4" s="1"/>
      <c r="U4" s="4"/>
      <c r="V4" s="4"/>
      <c r="W4" s="4"/>
      <c r="X4" s="4"/>
      <c r="Y4" s="4"/>
      <c r="Z4" s="4"/>
      <c r="AA4" s="4"/>
    </row>
    <row r="5" spans="1:27" ht="13.5" customHeight="1">
      <c r="A5" s="351"/>
      <c r="B5" s="429" t="s">
        <v>3947</v>
      </c>
      <c r="C5" s="430" t="s">
        <v>3948</v>
      </c>
      <c r="D5" s="417"/>
      <c r="E5" s="417"/>
      <c r="F5" s="417"/>
      <c r="G5" s="417"/>
      <c r="H5" s="417"/>
      <c r="I5" s="170"/>
      <c r="J5" s="417"/>
      <c r="K5" s="344"/>
      <c r="L5" s="110"/>
      <c r="M5" s="110"/>
      <c r="N5" s="329"/>
      <c r="O5" s="329"/>
      <c r="P5" s="1"/>
      <c r="Q5" s="1"/>
      <c r="R5" s="1"/>
      <c r="S5" s="1"/>
      <c r="T5" s="1"/>
      <c r="U5" s="4"/>
      <c r="V5" s="4"/>
      <c r="W5" s="4"/>
      <c r="X5" s="4"/>
      <c r="Y5" s="4"/>
      <c r="Z5" s="4"/>
      <c r="AA5" s="4"/>
    </row>
    <row r="6" spans="1:27" ht="13.5" customHeight="1">
      <c r="A6" s="351"/>
      <c r="B6" s="431" t="s">
        <v>3949</v>
      </c>
      <c r="C6" s="22" t="s">
        <v>3950</v>
      </c>
      <c r="D6" s="338"/>
      <c r="E6" s="338"/>
      <c r="F6" s="338"/>
      <c r="G6" s="338"/>
      <c r="H6" s="338"/>
      <c r="I6" s="341"/>
      <c r="J6" s="338"/>
      <c r="K6" s="344"/>
      <c r="L6" s="110"/>
      <c r="M6" s="110"/>
      <c r="N6" s="329"/>
      <c r="O6" s="329"/>
      <c r="P6" s="1"/>
      <c r="Q6" s="1"/>
      <c r="R6" s="1"/>
      <c r="S6" s="1"/>
      <c r="T6" s="1"/>
      <c r="U6" s="4"/>
      <c r="V6" s="4"/>
      <c r="W6" s="4"/>
      <c r="X6" s="4"/>
      <c r="Y6" s="4"/>
      <c r="Z6" s="4"/>
      <c r="AA6" s="4"/>
    </row>
    <row r="7" spans="1:27" ht="13.5" customHeight="1">
      <c r="A7" s="110"/>
      <c r="B7" s="431" t="s">
        <v>3951</v>
      </c>
      <c r="C7" s="22" t="s">
        <v>3952</v>
      </c>
      <c r="D7" s="338">
        <f t="shared" ref="D7:J7" si="0">SUM(D8:D9)</f>
        <v>9082541.5000000894</v>
      </c>
      <c r="E7" s="338">
        <f t="shared" si="0"/>
        <v>73595939.799999997</v>
      </c>
      <c r="F7" s="338">
        <f t="shared" si="0"/>
        <v>324589148</v>
      </c>
      <c r="G7" s="338">
        <f t="shared" si="0"/>
        <v>185096902</v>
      </c>
      <c r="H7" s="338">
        <f t="shared" si="0"/>
        <v>113303266</v>
      </c>
      <c r="I7" s="338">
        <f t="shared" si="0"/>
        <v>47680765</v>
      </c>
      <c r="J7" s="338">
        <f t="shared" si="0"/>
        <v>21152433</v>
      </c>
      <c r="K7" s="330"/>
      <c r="L7" s="388"/>
      <c r="M7" s="110"/>
      <c r="N7" s="329"/>
      <c r="O7" s="329"/>
      <c r="P7" s="1"/>
      <c r="Q7" s="1"/>
      <c r="R7" s="1"/>
      <c r="S7" s="1"/>
      <c r="T7" s="1"/>
      <c r="U7" s="4"/>
      <c r="V7" s="4"/>
      <c r="W7" s="4"/>
      <c r="X7" s="4"/>
      <c r="Y7" s="4"/>
      <c r="Z7" s="4"/>
      <c r="AA7" s="4"/>
    </row>
    <row r="8" spans="1:27" ht="13.5" customHeight="1">
      <c r="A8" s="110"/>
      <c r="B8" s="68" t="s">
        <v>1745</v>
      </c>
      <c r="C8" s="340" t="s">
        <v>3953</v>
      </c>
      <c r="D8" s="341">
        <v>4082538.5000000894</v>
      </c>
      <c r="E8" s="341">
        <v>69095939.799999997</v>
      </c>
      <c r="F8" s="341">
        <v>320089148</v>
      </c>
      <c r="G8" s="341">
        <v>180596902</v>
      </c>
      <c r="H8" s="341">
        <v>108803266</v>
      </c>
      <c r="I8" s="407">
        <v>43180765</v>
      </c>
      <c r="J8" s="341">
        <f>BS!D9</f>
        <v>16652433</v>
      </c>
      <c r="K8" s="330"/>
      <c r="L8" s="388"/>
      <c r="M8" s="110"/>
      <c r="N8" s="329"/>
      <c r="O8" s="329"/>
      <c r="P8" s="1"/>
      <c r="Q8" s="1"/>
      <c r="R8" s="1"/>
      <c r="S8" s="1"/>
      <c r="T8" s="1"/>
      <c r="U8" s="4"/>
      <c r="V8" s="4"/>
      <c r="W8" s="4"/>
      <c r="X8" s="4"/>
      <c r="Y8" s="4"/>
      <c r="Z8" s="4"/>
      <c r="AA8" s="4"/>
    </row>
    <row r="9" spans="1:27" ht="13.5" customHeight="1">
      <c r="A9" s="110"/>
      <c r="B9" s="68" t="s">
        <v>39</v>
      </c>
      <c r="C9" s="340" t="s">
        <v>3955</v>
      </c>
      <c r="D9" s="341">
        <v>5000003</v>
      </c>
      <c r="E9" s="341">
        <v>4500000</v>
      </c>
      <c r="F9" s="341">
        <v>4500000</v>
      </c>
      <c r="G9" s="341">
        <v>4500000</v>
      </c>
      <c r="H9" s="341">
        <v>4500000</v>
      </c>
      <c r="I9" s="407">
        <v>4500000</v>
      </c>
      <c r="J9" s="341">
        <f>BS!D10</f>
        <v>4500000</v>
      </c>
      <c r="K9" s="330"/>
      <c r="L9" s="388"/>
      <c r="M9" s="110"/>
      <c r="N9" s="329"/>
      <c r="O9" s="329"/>
      <c r="P9" s="1"/>
      <c r="Q9" s="1"/>
      <c r="R9" s="1"/>
      <c r="S9" s="1"/>
      <c r="T9" s="1"/>
      <c r="U9" s="4"/>
      <c r="V9" s="4"/>
      <c r="W9" s="4"/>
      <c r="X9" s="4"/>
      <c r="Y9" s="4"/>
      <c r="Z9" s="4"/>
      <c r="AA9" s="4"/>
    </row>
    <row r="10" spans="1:27" ht="13.5" customHeight="1">
      <c r="A10" s="110"/>
      <c r="B10" s="68"/>
      <c r="C10" s="340"/>
      <c r="D10" s="341"/>
      <c r="E10" s="341"/>
      <c r="F10" s="341"/>
      <c r="G10" s="341"/>
      <c r="H10" s="341"/>
      <c r="I10" s="341"/>
      <c r="J10" s="341"/>
      <c r="K10" s="330"/>
      <c r="L10" s="388"/>
      <c r="M10" s="110"/>
      <c r="N10" s="329"/>
      <c r="O10" s="329"/>
      <c r="P10" s="1"/>
      <c r="Q10" s="1"/>
      <c r="R10" s="1"/>
      <c r="S10" s="1"/>
      <c r="T10" s="1"/>
      <c r="U10" s="4"/>
      <c r="V10" s="4"/>
      <c r="W10" s="4"/>
      <c r="X10" s="4"/>
      <c r="Y10" s="4"/>
      <c r="Z10" s="4"/>
      <c r="AA10" s="4"/>
    </row>
    <row r="11" spans="1:27" ht="13.5" customHeight="1">
      <c r="A11" s="351"/>
      <c r="B11" s="431" t="s">
        <v>3956</v>
      </c>
      <c r="C11" s="22" t="s">
        <v>3957</v>
      </c>
      <c r="D11" s="338">
        <f t="shared" ref="D11:H11" si="1">SUM(D12:D20)</f>
        <v>7861268.9788680281</v>
      </c>
      <c r="E11" s="338">
        <f t="shared" si="1"/>
        <v>33714542.091000035</v>
      </c>
      <c r="F11" s="338">
        <f t="shared" si="1"/>
        <v>128207215.01299995</v>
      </c>
      <c r="G11" s="338">
        <f t="shared" si="1"/>
        <v>505432656.33999991</v>
      </c>
      <c r="H11" s="338">
        <f t="shared" si="1"/>
        <v>505365271</v>
      </c>
      <c r="I11" s="338">
        <f t="shared" ref="I11:J11" si="2">SUM(I12:I21)</f>
        <v>441481350</v>
      </c>
      <c r="J11" s="338">
        <f t="shared" si="2"/>
        <v>323053459.82200086</v>
      </c>
      <c r="K11" s="330"/>
      <c r="L11" s="388"/>
      <c r="M11" s="110"/>
      <c r="N11" s="329"/>
      <c r="O11" s="329"/>
      <c r="P11" s="1"/>
      <c r="Q11" s="1"/>
      <c r="R11" s="1"/>
      <c r="S11" s="1"/>
      <c r="T11" s="1"/>
      <c r="U11" s="4"/>
      <c r="V11" s="4"/>
      <c r="W11" s="4"/>
      <c r="X11" s="4"/>
      <c r="Y11" s="4"/>
      <c r="Z11" s="4"/>
      <c r="AA11" s="4"/>
    </row>
    <row r="12" spans="1:27" ht="13.5" customHeight="1">
      <c r="A12" s="110"/>
      <c r="B12" s="68" t="s">
        <v>3958</v>
      </c>
      <c r="C12" s="340" t="s">
        <v>3959</v>
      </c>
      <c r="D12" s="341">
        <v>90122.812868058681</v>
      </c>
      <c r="E12" s="341">
        <v>0</v>
      </c>
      <c r="F12" s="341">
        <v>1000000</v>
      </c>
      <c r="G12" s="341">
        <v>1000000</v>
      </c>
      <c r="H12" s="341" t="s">
        <v>3828</v>
      </c>
      <c r="I12" s="341" t="s">
        <v>3828</v>
      </c>
      <c r="J12" s="341">
        <f>BS!D13</f>
        <v>0</v>
      </c>
      <c r="K12" s="330"/>
      <c r="L12" s="388"/>
      <c r="M12" s="110"/>
      <c r="N12" s="329"/>
      <c r="O12" s="329"/>
      <c r="P12" s="1"/>
      <c r="Q12" s="1"/>
      <c r="R12" s="1"/>
      <c r="S12" s="1"/>
      <c r="T12" s="1"/>
      <c r="U12" s="4"/>
      <c r="V12" s="4"/>
      <c r="W12" s="4"/>
      <c r="X12" s="4"/>
      <c r="Y12" s="4"/>
      <c r="Z12" s="4"/>
      <c r="AA12" s="4"/>
    </row>
    <row r="13" spans="1:27" ht="13.5" customHeight="1">
      <c r="A13" s="110"/>
      <c r="B13" s="68" t="s">
        <v>229</v>
      </c>
      <c r="C13" s="340" t="str">
        <f>TB!C14</f>
        <v>Mandiri TBB USD</v>
      </c>
      <c r="D13" s="341">
        <v>499102.70599994063</v>
      </c>
      <c r="E13" s="341">
        <v>0</v>
      </c>
      <c r="F13" s="341">
        <v>4065406.8299999833</v>
      </c>
      <c r="G13" s="341">
        <v>6132176</v>
      </c>
      <c r="H13" s="341">
        <v>1317292</v>
      </c>
      <c r="I13" s="407">
        <v>675979</v>
      </c>
      <c r="J13" s="341">
        <f>BS!D14</f>
        <v>9432186</v>
      </c>
      <c r="K13" s="330"/>
      <c r="L13" s="388"/>
      <c r="M13" s="110"/>
      <c r="N13" s="329"/>
      <c r="O13" s="329"/>
      <c r="P13" s="1"/>
      <c r="Q13" s="1"/>
      <c r="R13" s="1"/>
      <c r="S13" s="1"/>
      <c r="T13" s="1"/>
      <c r="U13" s="4"/>
      <c r="V13" s="4"/>
      <c r="W13" s="4"/>
      <c r="X13" s="4"/>
      <c r="Y13" s="4"/>
      <c r="Z13" s="4"/>
      <c r="AA13" s="4"/>
    </row>
    <row r="14" spans="1:27" ht="13.5" customHeight="1">
      <c r="A14" s="110"/>
      <c r="B14" s="68" t="s">
        <v>158</v>
      </c>
      <c r="C14" s="340" t="s">
        <v>5455</v>
      </c>
      <c r="D14" s="341">
        <v>1972421.2099999934</v>
      </c>
      <c r="E14" s="341">
        <v>1280228.6899999902</v>
      </c>
      <c r="F14" s="341">
        <v>14565314.085000038</v>
      </c>
      <c r="G14" s="341">
        <v>166068148.8599999</v>
      </c>
      <c r="H14" s="341">
        <v>177508334</v>
      </c>
      <c r="I14" s="407">
        <v>221631</v>
      </c>
      <c r="J14" s="341">
        <f>BS!D15</f>
        <v>1443616.928000927</v>
      </c>
      <c r="K14" s="330"/>
      <c r="L14" s="388"/>
      <c r="M14" s="110"/>
      <c r="N14" s="329"/>
      <c r="O14" s="329"/>
      <c r="P14" s="1"/>
      <c r="Q14" s="1"/>
      <c r="R14" s="1"/>
      <c r="S14" s="1"/>
      <c r="T14" s="1"/>
      <c r="U14" s="4"/>
      <c r="V14" s="4"/>
      <c r="W14" s="4"/>
      <c r="X14" s="4"/>
      <c r="Y14" s="4"/>
      <c r="Z14" s="4"/>
      <c r="AA14" s="4"/>
    </row>
    <row r="15" spans="1:27" ht="13.5" customHeight="1">
      <c r="A15" s="110"/>
      <c r="B15" s="68" t="s">
        <v>172</v>
      </c>
      <c r="C15" s="340" t="s">
        <v>3962</v>
      </c>
      <c r="D15" s="341">
        <v>0</v>
      </c>
      <c r="E15" s="341">
        <v>6089608</v>
      </c>
      <c r="F15" s="341">
        <v>789608</v>
      </c>
      <c r="G15" s="341">
        <v>807324</v>
      </c>
      <c r="H15" s="341">
        <v>4998009</v>
      </c>
      <c r="I15" s="407">
        <v>9087041</v>
      </c>
      <c r="J15" s="341">
        <f>BS!D16</f>
        <v>349918.0019999966</v>
      </c>
      <c r="K15" s="330"/>
      <c r="L15" s="388"/>
      <c r="M15" s="110"/>
      <c r="N15" s="329"/>
      <c r="O15" s="329"/>
      <c r="P15" s="1"/>
      <c r="Q15" s="1"/>
      <c r="R15" s="1"/>
      <c r="S15" s="1"/>
      <c r="T15" s="1"/>
      <c r="U15" s="4"/>
      <c r="V15" s="4"/>
      <c r="W15" s="4"/>
      <c r="X15" s="4"/>
      <c r="Y15" s="4"/>
      <c r="Z15" s="4"/>
      <c r="AA15" s="4"/>
    </row>
    <row r="16" spans="1:27" ht="13.5" customHeight="1">
      <c r="A16" s="110"/>
      <c r="B16" s="68" t="s">
        <v>219</v>
      </c>
      <c r="C16" s="340" t="s">
        <v>3963</v>
      </c>
      <c r="D16" s="341">
        <v>1080473.08</v>
      </c>
      <c r="E16" s="341">
        <v>5567977</v>
      </c>
      <c r="F16" s="341">
        <v>1420800</v>
      </c>
      <c r="G16" s="341">
        <v>3330953</v>
      </c>
      <c r="H16" s="341" t="s">
        <v>3828</v>
      </c>
      <c r="I16" s="407">
        <v>106732367</v>
      </c>
      <c r="J16" s="341">
        <f>BS!D17</f>
        <v>1025127</v>
      </c>
      <c r="K16" s="330"/>
      <c r="L16" s="388"/>
      <c r="M16" s="110"/>
      <c r="N16" s="329"/>
      <c r="O16" s="329"/>
      <c r="P16" s="1"/>
      <c r="Q16" s="1"/>
      <c r="R16" s="1"/>
      <c r="S16" s="1"/>
      <c r="T16" s="1"/>
      <c r="U16" s="4"/>
      <c r="V16" s="4"/>
      <c r="W16" s="4"/>
      <c r="X16" s="4"/>
      <c r="Y16" s="4"/>
      <c r="Z16" s="4"/>
      <c r="AA16" s="4"/>
    </row>
    <row r="17" spans="1:27" ht="13.5" customHeight="1">
      <c r="A17" s="110"/>
      <c r="B17" s="68" t="s">
        <v>122</v>
      </c>
      <c r="C17" s="340" t="str">
        <f>BS!C18</f>
        <v>Cimb Niaga TBB</v>
      </c>
      <c r="D17" s="341">
        <v>2332095.09</v>
      </c>
      <c r="E17" s="341">
        <v>6452358.3700000001</v>
      </c>
      <c r="F17" s="341">
        <v>18935673.360000014</v>
      </c>
      <c r="G17" s="341">
        <v>1501142</v>
      </c>
      <c r="H17" s="341">
        <v>2065079</v>
      </c>
      <c r="I17" s="407">
        <v>12863493</v>
      </c>
      <c r="J17" s="341">
        <f>BS!D18</f>
        <v>1055233</v>
      </c>
      <c r="K17" s="330"/>
      <c r="L17" s="388"/>
      <c r="M17" s="110"/>
      <c r="N17" s="329"/>
      <c r="O17" s="329"/>
      <c r="P17" s="1"/>
      <c r="Q17" s="1"/>
      <c r="R17" s="1"/>
      <c r="S17" s="1"/>
      <c r="T17" s="1"/>
      <c r="U17" s="4"/>
      <c r="V17" s="4"/>
      <c r="W17" s="4"/>
      <c r="X17" s="4"/>
      <c r="Y17" s="4"/>
      <c r="Z17" s="4"/>
      <c r="AA17" s="4"/>
    </row>
    <row r="18" spans="1:27" ht="13.5" customHeight="1">
      <c r="A18" s="110"/>
      <c r="B18" s="68" t="s">
        <v>130</v>
      </c>
      <c r="C18" s="340" t="s">
        <v>3965</v>
      </c>
      <c r="D18" s="341">
        <v>1887054.0800000355</v>
      </c>
      <c r="E18" s="341">
        <v>14324370.031000048</v>
      </c>
      <c r="F18" s="341">
        <v>87430412.737999916</v>
      </c>
      <c r="G18" s="341">
        <v>103204797.48000002</v>
      </c>
      <c r="H18" s="341">
        <v>53171413</v>
      </c>
      <c r="I18" s="407">
        <v>14725081</v>
      </c>
      <c r="J18" s="341">
        <f>BS!D19</f>
        <v>407132.89199995995</v>
      </c>
      <c r="K18" s="330"/>
      <c r="L18" s="388"/>
      <c r="M18" s="110"/>
      <c r="N18" s="329"/>
      <c r="O18" s="329"/>
      <c r="P18" s="1"/>
      <c r="Q18" s="1"/>
      <c r="R18" s="1"/>
      <c r="S18" s="1"/>
      <c r="T18" s="1"/>
      <c r="U18" s="4"/>
      <c r="V18" s="4"/>
      <c r="W18" s="4"/>
      <c r="X18" s="4"/>
      <c r="Y18" s="4"/>
      <c r="Z18" s="4"/>
      <c r="AA18" s="4"/>
    </row>
    <row r="19" spans="1:27" ht="13.5" customHeight="1">
      <c r="A19" s="110"/>
      <c r="B19" s="68" t="s">
        <v>3966</v>
      </c>
      <c r="C19" s="340" t="s">
        <v>3967</v>
      </c>
      <c r="D19" s="338"/>
      <c r="E19" s="338"/>
      <c r="F19" s="338"/>
      <c r="G19" s="341">
        <v>313670</v>
      </c>
      <c r="H19" s="341" t="s">
        <v>3828</v>
      </c>
      <c r="I19" s="341" t="s">
        <v>3828</v>
      </c>
      <c r="J19" s="341">
        <f>BS!D20</f>
        <v>0</v>
      </c>
      <c r="K19" s="330"/>
      <c r="L19" s="388"/>
      <c r="M19" s="110"/>
      <c r="N19" s="329"/>
      <c r="O19" s="329"/>
      <c r="P19" s="1"/>
      <c r="Q19" s="1"/>
      <c r="R19" s="1"/>
      <c r="S19" s="1"/>
      <c r="T19" s="1"/>
      <c r="U19" s="4"/>
      <c r="V19" s="4"/>
      <c r="W19" s="4"/>
      <c r="X19" s="4"/>
      <c r="Y19" s="4"/>
      <c r="Z19" s="4"/>
      <c r="AA19" s="4"/>
    </row>
    <row r="20" spans="1:27" ht="13.5" customHeight="1">
      <c r="A20" s="110"/>
      <c r="B20" s="68" t="str">
        <f>TB!B21</f>
        <v>1-1129</v>
      </c>
      <c r="C20" s="340" t="str">
        <f>TB!C21</f>
        <v>STARXP</v>
      </c>
      <c r="D20" s="338"/>
      <c r="E20" s="338"/>
      <c r="F20" s="338"/>
      <c r="G20" s="341">
        <v>223074445</v>
      </c>
      <c r="H20" s="341">
        <v>266305144</v>
      </c>
      <c r="I20" s="407">
        <v>296813971</v>
      </c>
      <c r="J20" s="341">
        <f>BS!D21</f>
        <v>309340246</v>
      </c>
      <c r="K20" s="330"/>
      <c r="L20" s="388"/>
      <c r="M20" s="110"/>
      <c r="N20" s="329"/>
      <c r="O20" s="329"/>
      <c r="P20" s="1"/>
      <c r="Q20" s="1"/>
      <c r="R20" s="1"/>
      <c r="S20" s="1"/>
      <c r="T20" s="1"/>
      <c r="U20" s="4"/>
      <c r="V20" s="4"/>
      <c r="W20" s="4"/>
      <c r="X20" s="4"/>
      <c r="Y20" s="4"/>
      <c r="Z20" s="4"/>
      <c r="AA20" s="4"/>
    </row>
    <row r="21" spans="1:27" ht="13.5" customHeight="1">
      <c r="A21" s="110"/>
      <c r="B21" s="68" t="s">
        <v>3969</v>
      </c>
      <c r="C21" s="340" t="s">
        <v>3970</v>
      </c>
      <c r="D21" s="338"/>
      <c r="E21" s="338"/>
      <c r="F21" s="338"/>
      <c r="G21" s="338"/>
      <c r="H21" s="341">
        <v>361787</v>
      </c>
      <c r="I21" s="407">
        <v>361787</v>
      </c>
      <c r="J21" s="341">
        <f>BS!D22</f>
        <v>0</v>
      </c>
      <c r="K21" s="330"/>
      <c r="L21" s="388"/>
      <c r="M21" s="110"/>
      <c r="N21" s="329"/>
      <c r="O21" s="329"/>
      <c r="P21" s="1"/>
      <c r="Q21" s="1"/>
      <c r="R21" s="1"/>
      <c r="S21" s="1"/>
      <c r="T21" s="1"/>
      <c r="U21" s="4"/>
      <c r="V21" s="4"/>
      <c r="W21" s="4"/>
      <c r="X21" s="4"/>
      <c r="Y21" s="4"/>
      <c r="Z21" s="4"/>
      <c r="AA21" s="4"/>
    </row>
    <row r="22" spans="1:27" ht="13.5" customHeight="1">
      <c r="A22" s="110"/>
      <c r="B22" s="431" t="s">
        <v>3971</v>
      </c>
      <c r="C22" s="22" t="s">
        <v>3972</v>
      </c>
      <c r="D22" s="338">
        <f t="shared" ref="D22:J22" si="3">D11+D7</f>
        <v>16943810.478868119</v>
      </c>
      <c r="E22" s="338">
        <f t="shared" si="3"/>
        <v>107310481.89100003</v>
      </c>
      <c r="F22" s="338">
        <f t="shared" si="3"/>
        <v>452796363.01299995</v>
      </c>
      <c r="G22" s="338">
        <f t="shared" si="3"/>
        <v>690529558.33999991</v>
      </c>
      <c r="H22" s="338">
        <f t="shared" si="3"/>
        <v>618668537</v>
      </c>
      <c r="I22" s="338">
        <f t="shared" si="3"/>
        <v>489162115</v>
      </c>
      <c r="J22" s="338">
        <f t="shared" si="3"/>
        <v>344205892.82200086</v>
      </c>
      <c r="K22" s="330"/>
      <c r="L22" s="388"/>
      <c r="M22" s="110"/>
      <c r="N22" s="329"/>
      <c r="O22" s="329"/>
      <c r="P22" s="1"/>
      <c r="Q22" s="1"/>
      <c r="R22" s="1"/>
      <c r="S22" s="1"/>
      <c r="T22" s="1"/>
      <c r="U22" s="4"/>
      <c r="V22" s="4"/>
      <c r="W22" s="4"/>
      <c r="X22" s="4"/>
      <c r="Y22" s="4"/>
      <c r="Z22" s="4"/>
      <c r="AA22" s="4"/>
    </row>
    <row r="23" spans="1:27" ht="13.5" customHeight="1">
      <c r="A23" s="110"/>
      <c r="B23" s="68"/>
      <c r="C23" s="340"/>
      <c r="D23" s="341"/>
      <c r="E23" s="341"/>
      <c r="F23" s="341"/>
      <c r="G23" s="341"/>
      <c r="H23" s="341"/>
      <c r="I23" s="341"/>
      <c r="J23" s="341"/>
      <c r="K23" s="330"/>
      <c r="L23" s="388"/>
      <c r="M23" s="110"/>
      <c r="N23" s="329"/>
      <c r="O23" s="329"/>
      <c r="P23" s="1"/>
      <c r="Q23" s="1"/>
      <c r="R23" s="1"/>
      <c r="S23" s="1"/>
      <c r="T23" s="1"/>
      <c r="U23" s="4"/>
      <c r="V23" s="4"/>
      <c r="W23" s="4"/>
      <c r="X23" s="4"/>
      <c r="Y23" s="4"/>
      <c r="Z23" s="4"/>
      <c r="AA23" s="4"/>
    </row>
    <row r="24" spans="1:27" ht="13.5" customHeight="1">
      <c r="A24" s="351"/>
      <c r="B24" s="431" t="s">
        <v>3973</v>
      </c>
      <c r="C24" s="22" t="s">
        <v>3974</v>
      </c>
      <c r="D24" s="338">
        <f t="shared" ref="D24:J24" si="4">SUM(D25:D27)</f>
        <v>65110545.403494529</v>
      </c>
      <c r="E24" s="338">
        <f t="shared" si="4"/>
        <v>93893184.063450038</v>
      </c>
      <c r="F24" s="338">
        <f t="shared" si="4"/>
        <v>78130576</v>
      </c>
      <c r="G24" s="338">
        <f t="shared" si="4"/>
        <v>267151937</v>
      </c>
      <c r="H24" s="338">
        <f t="shared" si="4"/>
        <v>144344915</v>
      </c>
      <c r="I24" s="338">
        <f t="shared" si="4"/>
        <v>148545513</v>
      </c>
      <c r="J24" s="338">
        <f t="shared" si="4"/>
        <v>107355431</v>
      </c>
      <c r="K24" s="330"/>
      <c r="L24" s="388"/>
      <c r="M24" s="110"/>
      <c r="N24" s="329"/>
      <c r="O24" s="329"/>
      <c r="P24" s="1"/>
      <c r="Q24" s="1"/>
      <c r="R24" s="1"/>
      <c r="S24" s="1"/>
      <c r="T24" s="1"/>
      <c r="U24" s="4"/>
      <c r="V24" s="4"/>
      <c r="W24" s="4"/>
      <c r="X24" s="4"/>
      <c r="Y24" s="4"/>
      <c r="Z24" s="4"/>
      <c r="AA24" s="4"/>
    </row>
    <row r="25" spans="1:27" ht="13.5" customHeight="1">
      <c r="A25" s="110"/>
      <c r="B25" s="68" t="s">
        <v>3975</v>
      </c>
      <c r="C25" s="340" t="s">
        <v>3976</v>
      </c>
      <c r="D25" s="341">
        <v>0</v>
      </c>
      <c r="E25" s="341">
        <v>0</v>
      </c>
      <c r="F25" s="341">
        <v>0</v>
      </c>
      <c r="G25" s="341">
        <v>0</v>
      </c>
      <c r="H25" s="341" t="s">
        <v>3828</v>
      </c>
      <c r="I25" s="341" t="s">
        <v>3828</v>
      </c>
      <c r="J25" s="341">
        <f>TB!Y26-TB!Z26</f>
        <v>0</v>
      </c>
      <c r="K25" s="330"/>
      <c r="L25" s="388"/>
      <c r="M25" s="110"/>
      <c r="N25" s="329"/>
      <c r="O25" s="329"/>
      <c r="P25" s="1"/>
      <c r="Q25" s="1"/>
      <c r="R25" s="1"/>
      <c r="S25" s="1"/>
      <c r="T25" s="1"/>
      <c r="U25" s="4"/>
      <c r="V25" s="4"/>
      <c r="W25" s="4"/>
      <c r="X25" s="4"/>
      <c r="Y25" s="4"/>
      <c r="Z25" s="4"/>
      <c r="AA25" s="4"/>
    </row>
    <row r="26" spans="1:27" ht="13.5" customHeight="1">
      <c r="A26" s="110"/>
      <c r="B26" s="68" t="s">
        <v>63</v>
      </c>
      <c r="C26" s="340" t="s">
        <v>3977</v>
      </c>
      <c r="D26" s="341">
        <v>49460544.774923101</v>
      </c>
      <c r="E26" s="341">
        <v>60801539.834878609</v>
      </c>
      <c r="F26" s="341">
        <v>73630583</v>
      </c>
      <c r="G26" s="341">
        <v>236663292</v>
      </c>
      <c r="H26" s="341">
        <v>106890987</v>
      </c>
      <c r="I26" s="407">
        <v>104558049</v>
      </c>
      <c r="J26" s="341">
        <f>BS!D27</f>
        <v>80934978</v>
      </c>
      <c r="K26" s="330"/>
      <c r="L26" s="388"/>
      <c r="M26" s="110"/>
      <c r="N26" s="329"/>
      <c r="O26" s="329"/>
      <c r="P26" s="1"/>
      <c r="Q26" s="1"/>
      <c r="R26" s="1"/>
      <c r="S26" s="1"/>
      <c r="T26" s="1"/>
      <c r="U26" s="4"/>
      <c r="V26" s="4"/>
      <c r="W26" s="4"/>
      <c r="X26" s="4"/>
      <c r="Y26" s="4"/>
      <c r="Z26" s="4"/>
      <c r="AA26" s="4"/>
    </row>
    <row r="27" spans="1:27" ht="13.5" customHeight="1">
      <c r="A27" s="110"/>
      <c r="B27" s="68" t="s">
        <v>1573</v>
      </c>
      <c r="C27" s="340" t="s">
        <v>3978</v>
      </c>
      <c r="D27" s="341">
        <v>15650000.628571428</v>
      </c>
      <c r="E27" s="341">
        <v>33091644.22857143</v>
      </c>
      <c r="F27" s="341">
        <v>4499993</v>
      </c>
      <c r="G27" s="341">
        <v>30488645</v>
      </c>
      <c r="H27" s="341">
        <v>37453928</v>
      </c>
      <c r="I27" s="407">
        <v>43987464</v>
      </c>
      <c r="J27" s="341">
        <f>BS!D28</f>
        <v>26420453</v>
      </c>
      <c r="K27" s="330"/>
      <c r="L27" s="388"/>
      <c r="M27" s="110"/>
      <c r="N27" s="329"/>
      <c r="O27" s="329"/>
      <c r="P27" s="1"/>
      <c r="Q27" s="1"/>
      <c r="R27" s="1"/>
      <c r="S27" s="1"/>
      <c r="T27" s="1"/>
      <c r="U27" s="4"/>
      <c r="V27" s="4"/>
      <c r="W27" s="4"/>
      <c r="X27" s="4"/>
      <c r="Y27" s="4"/>
      <c r="Z27" s="4"/>
      <c r="AA27" s="4"/>
    </row>
    <row r="28" spans="1:27" ht="13.5" customHeight="1">
      <c r="A28" s="110"/>
      <c r="B28" s="68"/>
      <c r="C28" s="340"/>
      <c r="D28" s="341"/>
      <c r="E28" s="341"/>
      <c r="F28" s="341"/>
      <c r="G28" s="341"/>
      <c r="H28" s="341"/>
      <c r="I28" s="341"/>
      <c r="J28" s="341"/>
      <c r="K28" s="330"/>
      <c r="L28" s="388"/>
      <c r="M28" s="110"/>
      <c r="N28" s="329"/>
      <c r="O28" s="329"/>
      <c r="P28" s="1"/>
      <c r="Q28" s="1"/>
      <c r="R28" s="1"/>
      <c r="S28" s="1"/>
      <c r="T28" s="1"/>
      <c r="U28" s="4"/>
      <c r="V28" s="4"/>
      <c r="W28" s="4"/>
      <c r="X28" s="4"/>
      <c r="Y28" s="4"/>
      <c r="Z28" s="4"/>
      <c r="AA28" s="4"/>
    </row>
    <row r="29" spans="1:27" ht="13.5" customHeight="1">
      <c r="A29" s="351"/>
      <c r="B29" s="431" t="s">
        <v>3979</v>
      </c>
      <c r="C29" s="22" t="s">
        <v>3980</v>
      </c>
      <c r="D29" s="338">
        <f t="shared" ref="D29:H29" si="5">SUM(D30:D36)</f>
        <v>7724651</v>
      </c>
      <c r="E29" s="338">
        <f t="shared" si="5"/>
        <v>179800639.5</v>
      </c>
      <c r="F29" s="338">
        <f t="shared" si="5"/>
        <v>299785862</v>
      </c>
      <c r="G29" s="338">
        <f t="shared" si="5"/>
        <v>406585619</v>
      </c>
      <c r="H29" s="338">
        <f t="shared" si="5"/>
        <v>467616287</v>
      </c>
      <c r="I29" s="338">
        <f t="shared" ref="I29:J29" si="6">SUM(I30:I37)</f>
        <v>361473099</v>
      </c>
      <c r="J29" s="338">
        <f t="shared" si="6"/>
        <v>64703821</v>
      </c>
      <c r="K29" s="330"/>
      <c r="L29" s="388"/>
      <c r="M29" s="110"/>
      <c r="N29" s="329"/>
      <c r="O29" s="329"/>
      <c r="P29" s="1"/>
      <c r="Q29" s="1"/>
      <c r="R29" s="1"/>
      <c r="S29" s="1"/>
      <c r="T29" s="1"/>
      <c r="U29" s="4"/>
      <c r="V29" s="4"/>
      <c r="W29" s="4"/>
      <c r="X29" s="4"/>
      <c r="Y29" s="4"/>
      <c r="Z29" s="4"/>
      <c r="AA29" s="4"/>
    </row>
    <row r="30" spans="1:27" ht="13.5" customHeight="1">
      <c r="A30" s="110"/>
      <c r="B30" s="68" t="s">
        <v>69</v>
      </c>
      <c r="C30" s="328" t="s">
        <v>3981</v>
      </c>
      <c r="D30" s="341">
        <v>0</v>
      </c>
      <c r="E30" s="341">
        <v>0</v>
      </c>
      <c r="F30" s="341">
        <v>0</v>
      </c>
      <c r="G30" s="341">
        <v>0</v>
      </c>
      <c r="H30" s="341">
        <v>120000</v>
      </c>
      <c r="I30" s="341" t="s">
        <v>3828</v>
      </c>
      <c r="J30" s="341">
        <f>BS!D31</f>
        <v>0</v>
      </c>
      <c r="K30" s="330"/>
      <c r="L30" s="388"/>
      <c r="M30" s="110"/>
      <c r="N30" s="329"/>
      <c r="O30" s="329"/>
      <c r="P30" s="1"/>
      <c r="Q30" s="1"/>
      <c r="R30" s="1"/>
      <c r="S30" s="1"/>
      <c r="T30" s="1"/>
      <c r="U30" s="4"/>
      <c r="V30" s="4"/>
      <c r="W30" s="4"/>
      <c r="X30" s="4"/>
      <c r="Y30" s="4"/>
      <c r="Z30" s="4"/>
      <c r="AA30" s="4"/>
    </row>
    <row r="31" spans="1:27" ht="13.5" customHeight="1">
      <c r="A31" s="110"/>
      <c r="B31" s="68" t="s">
        <v>3982</v>
      </c>
      <c r="C31" s="328" t="s">
        <v>3983</v>
      </c>
      <c r="D31" s="341">
        <v>0</v>
      </c>
      <c r="E31" s="341">
        <v>0</v>
      </c>
      <c r="F31" s="341">
        <v>0</v>
      </c>
      <c r="G31" s="341">
        <v>0</v>
      </c>
      <c r="H31" s="341" t="s">
        <v>3828</v>
      </c>
      <c r="I31" s="341" t="s">
        <v>3828</v>
      </c>
      <c r="J31" s="341">
        <f>BS!D32</f>
        <v>0</v>
      </c>
      <c r="K31" s="330"/>
      <c r="L31" s="388"/>
      <c r="M31" s="110"/>
      <c r="N31" s="329"/>
      <c r="O31" s="329"/>
      <c r="P31" s="1"/>
      <c r="Q31" s="1"/>
      <c r="R31" s="1"/>
      <c r="S31" s="1"/>
      <c r="T31" s="1"/>
      <c r="U31" s="4"/>
      <c r="V31" s="4"/>
      <c r="W31" s="4"/>
      <c r="X31" s="4"/>
      <c r="Y31" s="4"/>
      <c r="Z31" s="4"/>
      <c r="AA31" s="4"/>
    </row>
    <row r="32" spans="1:27" ht="13.5" customHeight="1">
      <c r="A32" s="110"/>
      <c r="B32" s="68" t="s">
        <v>48</v>
      </c>
      <c r="C32" s="328" t="s">
        <v>3984</v>
      </c>
      <c r="D32" s="341">
        <v>0</v>
      </c>
      <c r="E32" s="341">
        <v>84109839.5</v>
      </c>
      <c r="F32" s="341">
        <v>61471999</v>
      </c>
      <c r="G32" s="341">
        <v>273676271</v>
      </c>
      <c r="H32" s="341">
        <v>320934132</v>
      </c>
      <c r="I32" s="407">
        <v>242112735</v>
      </c>
      <c r="J32" s="341">
        <f>BS!D33</f>
        <v>57780551</v>
      </c>
      <c r="K32" s="330"/>
      <c r="L32" s="388"/>
      <c r="M32" s="110"/>
      <c r="N32" s="329"/>
      <c r="O32" s="329"/>
      <c r="P32" s="1"/>
      <c r="Q32" s="1"/>
      <c r="R32" s="1"/>
      <c r="S32" s="1"/>
      <c r="T32" s="1"/>
      <c r="U32" s="4"/>
      <c r="V32" s="4"/>
      <c r="W32" s="4"/>
      <c r="X32" s="4"/>
      <c r="Y32" s="4"/>
      <c r="Z32" s="4"/>
      <c r="AA32" s="4"/>
    </row>
    <row r="33" spans="1:27" ht="13.5" customHeight="1">
      <c r="A33" s="110"/>
      <c r="B33" s="68" t="s">
        <v>58</v>
      </c>
      <c r="C33" s="328" t="s">
        <v>3985</v>
      </c>
      <c r="D33" s="341">
        <v>0</v>
      </c>
      <c r="E33" s="341">
        <v>0</v>
      </c>
      <c r="F33" s="341">
        <v>0</v>
      </c>
      <c r="G33" s="341">
        <v>0</v>
      </c>
      <c r="H33" s="341">
        <v>74938750</v>
      </c>
      <c r="I33" s="407">
        <v>27585905</v>
      </c>
      <c r="J33" s="341">
        <f>BS!D34</f>
        <v>0</v>
      </c>
      <c r="K33" s="330"/>
      <c r="L33" s="388"/>
      <c r="M33" s="110"/>
      <c r="N33" s="329"/>
      <c r="O33" s="329"/>
      <c r="P33" s="1"/>
      <c r="Q33" s="1"/>
      <c r="R33" s="1"/>
      <c r="S33" s="1"/>
      <c r="T33" s="1"/>
      <c r="U33" s="4"/>
      <c r="V33" s="4"/>
      <c r="W33" s="4"/>
      <c r="X33" s="4"/>
      <c r="Y33" s="4"/>
      <c r="Z33" s="4"/>
      <c r="AA33" s="4"/>
    </row>
    <row r="34" spans="1:27" ht="13.5" customHeight="1">
      <c r="A34" s="110"/>
      <c r="B34" s="68" t="s">
        <v>67</v>
      </c>
      <c r="C34" s="328" t="s">
        <v>3986</v>
      </c>
      <c r="D34" s="341">
        <v>235400</v>
      </c>
      <c r="E34" s="341">
        <v>262900</v>
      </c>
      <c r="F34" s="341">
        <v>366000</v>
      </c>
      <c r="G34" s="341">
        <v>200400</v>
      </c>
      <c r="H34" s="341">
        <v>590000</v>
      </c>
      <c r="I34" s="341" t="s">
        <v>3828</v>
      </c>
      <c r="J34" s="341">
        <f>BS!D35</f>
        <v>143750</v>
      </c>
      <c r="K34" s="330"/>
      <c r="L34" s="388"/>
      <c r="M34" s="110"/>
      <c r="N34" s="329"/>
      <c r="O34" s="329"/>
      <c r="P34" s="1"/>
      <c r="Q34" s="1"/>
      <c r="R34" s="1"/>
      <c r="S34" s="1"/>
      <c r="T34" s="1"/>
      <c r="U34" s="4"/>
      <c r="V34" s="4"/>
      <c r="W34" s="4"/>
      <c r="X34" s="4"/>
      <c r="Y34" s="4"/>
      <c r="Z34" s="4"/>
      <c r="AA34" s="4"/>
    </row>
    <row r="35" spans="1:27" ht="13.5" customHeight="1">
      <c r="A35" s="110"/>
      <c r="B35" s="68" t="s">
        <v>45</v>
      </c>
      <c r="C35" s="328" t="s">
        <v>3987</v>
      </c>
      <c r="D35" s="341">
        <v>2071520</v>
      </c>
      <c r="E35" s="341">
        <v>14103991</v>
      </c>
      <c r="F35" s="341">
        <v>35370485</v>
      </c>
      <c r="G35" s="341">
        <v>17469934</v>
      </c>
      <c r="H35" s="341">
        <v>488455</v>
      </c>
      <c r="I35" s="407">
        <v>18983625</v>
      </c>
      <c r="J35" s="341">
        <f>BS!D36</f>
        <v>0</v>
      </c>
      <c r="K35" s="330"/>
      <c r="L35" s="388"/>
      <c r="M35" s="110"/>
      <c r="N35" s="329"/>
      <c r="O35" s="329"/>
      <c r="P35" s="1"/>
      <c r="Q35" s="1"/>
      <c r="R35" s="1"/>
      <c r="S35" s="1"/>
      <c r="T35" s="1"/>
      <c r="U35" s="4"/>
      <c r="V35" s="4"/>
      <c r="W35" s="4"/>
      <c r="X35" s="4"/>
      <c r="Y35" s="4"/>
      <c r="Z35" s="4"/>
      <c r="AA35" s="4"/>
    </row>
    <row r="36" spans="1:27" ht="13.5" customHeight="1">
      <c r="A36" s="110"/>
      <c r="B36" s="15" t="s">
        <v>42</v>
      </c>
      <c r="C36" s="328" t="s">
        <v>3988</v>
      </c>
      <c r="D36" s="341">
        <v>5417731</v>
      </c>
      <c r="E36" s="341">
        <v>81323909</v>
      </c>
      <c r="F36" s="341">
        <v>202577378</v>
      </c>
      <c r="G36" s="341">
        <v>115239014</v>
      </c>
      <c r="H36" s="341">
        <v>70544950</v>
      </c>
      <c r="I36" s="407">
        <v>72790834</v>
      </c>
      <c r="J36" s="341">
        <f>BS!D37</f>
        <v>6779520</v>
      </c>
      <c r="K36" s="330"/>
      <c r="L36" s="388"/>
      <c r="M36" s="110"/>
      <c r="N36" s="329"/>
      <c r="O36" s="329"/>
      <c r="P36" s="1"/>
      <c r="Q36" s="1"/>
      <c r="R36" s="1"/>
      <c r="S36" s="1"/>
      <c r="T36" s="1"/>
      <c r="U36" s="4"/>
      <c r="V36" s="4"/>
      <c r="W36" s="4"/>
      <c r="X36" s="4"/>
      <c r="Y36" s="4"/>
      <c r="Z36" s="4"/>
      <c r="AA36" s="4"/>
    </row>
    <row r="37" spans="1:27" ht="13.5" customHeight="1">
      <c r="A37" s="110"/>
      <c r="B37" s="178" t="s">
        <v>3989</v>
      </c>
      <c r="C37" s="340" t="s">
        <v>3968</v>
      </c>
      <c r="D37" s="338"/>
      <c r="E37" s="338"/>
      <c r="F37" s="338"/>
      <c r="G37" s="338"/>
      <c r="H37" s="341"/>
      <c r="I37" s="341" t="s">
        <v>3828</v>
      </c>
      <c r="J37" s="341">
        <f>BS!D38</f>
        <v>0</v>
      </c>
      <c r="K37" s="330"/>
      <c r="L37" s="388"/>
      <c r="M37" s="110"/>
      <c r="N37" s="329"/>
      <c r="O37" s="329"/>
      <c r="P37" s="1"/>
      <c r="Q37" s="1"/>
      <c r="R37" s="1"/>
      <c r="S37" s="1"/>
      <c r="T37" s="1"/>
      <c r="U37" s="4"/>
      <c r="V37" s="4"/>
      <c r="W37" s="4"/>
      <c r="X37" s="4"/>
      <c r="Y37" s="4"/>
      <c r="Z37" s="4"/>
      <c r="AA37" s="4"/>
    </row>
    <row r="38" spans="1:27" ht="13.5" customHeight="1">
      <c r="A38" s="110"/>
      <c r="B38" s="431" t="s">
        <v>3990</v>
      </c>
      <c r="C38" s="22" t="s">
        <v>3991</v>
      </c>
      <c r="D38" s="338">
        <v>0</v>
      </c>
      <c r="E38" s="338">
        <v>0</v>
      </c>
      <c r="F38" s="338">
        <v>0</v>
      </c>
      <c r="G38" s="338">
        <v>0</v>
      </c>
      <c r="H38" s="338"/>
      <c r="I38" s="338">
        <f t="shared" ref="I38:J38" si="7">SUM(I39)</f>
        <v>16342223532</v>
      </c>
      <c r="J38" s="338">
        <f t="shared" si="7"/>
        <v>18751704656</v>
      </c>
      <c r="K38" s="330"/>
      <c r="L38" s="388"/>
      <c r="M38" s="110"/>
      <c r="N38" s="329"/>
      <c r="O38" s="329"/>
      <c r="P38" s="1"/>
      <c r="Q38" s="1"/>
      <c r="R38" s="1"/>
      <c r="S38" s="1"/>
      <c r="T38" s="1"/>
      <c r="U38" s="4"/>
      <c r="V38" s="4"/>
      <c r="W38" s="4"/>
      <c r="X38" s="4"/>
      <c r="Y38" s="4"/>
      <c r="Z38" s="4"/>
      <c r="AA38" s="4"/>
    </row>
    <row r="39" spans="1:27" ht="13.5" customHeight="1">
      <c r="A39" s="110"/>
      <c r="B39" s="68" t="s">
        <v>175</v>
      </c>
      <c r="C39" s="340" t="str">
        <f>TB!C40</f>
        <v xml:space="preserve">Intercompany Receivable – Treasury StarPOINTS </v>
      </c>
      <c r="D39" s="341">
        <v>0</v>
      </c>
      <c r="E39" s="341">
        <v>0</v>
      </c>
      <c r="F39" s="341">
        <v>0</v>
      </c>
      <c r="G39" s="341">
        <v>0</v>
      </c>
      <c r="H39" s="341"/>
      <c r="I39" s="407">
        <v>16342223532</v>
      </c>
      <c r="J39" s="341">
        <f>BS!D40</f>
        <v>18751704656</v>
      </c>
      <c r="K39" s="330"/>
      <c r="L39" s="388"/>
      <c r="M39" s="110"/>
      <c r="N39" s="329"/>
      <c r="O39" s="329"/>
      <c r="P39" s="1"/>
      <c r="Q39" s="1"/>
      <c r="R39" s="1"/>
      <c r="S39" s="1"/>
      <c r="T39" s="1"/>
      <c r="U39" s="4"/>
      <c r="V39" s="4"/>
      <c r="W39" s="4"/>
      <c r="X39" s="4"/>
      <c r="Y39" s="4"/>
      <c r="Z39" s="4"/>
      <c r="AA39" s="4"/>
    </row>
    <row r="40" spans="1:27" ht="13.5" customHeight="1">
      <c r="A40" s="110"/>
      <c r="B40" s="431" t="s">
        <v>3993</v>
      </c>
      <c r="C40" s="22" t="s">
        <v>3994</v>
      </c>
      <c r="D40" s="338">
        <f t="shared" ref="D40:J40" si="8">D38+D29+D24</f>
        <v>72835196.403494537</v>
      </c>
      <c r="E40" s="338">
        <f t="shared" si="8"/>
        <v>273693823.56345004</v>
      </c>
      <c r="F40" s="338">
        <f t="shared" si="8"/>
        <v>377916438</v>
      </c>
      <c r="G40" s="338">
        <f t="shared" si="8"/>
        <v>673737556</v>
      </c>
      <c r="H40" s="338">
        <f t="shared" si="8"/>
        <v>611961202</v>
      </c>
      <c r="I40" s="338">
        <f t="shared" si="8"/>
        <v>16852242144</v>
      </c>
      <c r="J40" s="338">
        <f t="shared" si="8"/>
        <v>18923763908</v>
      </c>
      <c r="K40" s="330"/>
      <c r="L40" s="388"/>
      <c r="M40" s="110"/>
      <c r="N40" s="329"/>
      <c r="O40" s="329"/>
      <c r="P40" s="1"/>
      <c r="Q40" s="1"/>
      <c r="R40" s="1"/>
      <c r="S40" s="1"/>
      <c r="T40" s="1"/>
      <c r="U40" s="4"/>
      <c r="V40" s="4"/>
      <c r="W40" s="4"/>
      <c r="X40" s="4"/>
      <c r="Y40" s="4"/>
      <c r="Z40" s="4"/>
      <c r="AA40" s="4"/>
    </row>
    <row r="41" spans="1:27" ht="13.5" customHeight="1">
      <c r="A41" s="110"/>
      <c r="B41" s="68"/>
      <c r="C41" s="340"/>
      <c r="D41" s="341"/>
      <c r="E41" s="341"/>
      <c r="F41" s="341"/>
      <c r="G41" s="341"/>
      <c r="H41" s="341"/>
      <c r="I41" s="341"/>
      <c r="J41" s="341"/>
      <c r="K41" s="330"/>
      <c r="L41" s="388"/>
      <c r="M41" s="110"/>
      <c r="N41" s="329"/>
      <c r="O41" s="329"/>
      <c r="P41" s="1"/>
      <c r="Q41" s="1"/>
      <c r="R41" s="1"/>
      <c r="S41" s="1"/>
      <c r="T41" s="1"/>
      <c r="U41" s="4"/>
      <c r="V41" s="4"/>
      <c r="W41" s="4"/>
      <c r="X41" s="4"/>
      <c r="Y41" s="4"/>
      <c r="Z41" s="4"/>
      <c r="AA41" s="4"/>
    </row>
    <row r="42" spans="1:27" ht="13.5" customHeight="1">
      <c r="A42" s="351"/>
      <c r="B42" s="431" t="s">
        <v>3818</v>
      </c>
      <c r="C42" s="22" t="s">
        <v>3819</v>
      </c>
      <c r="D42" s="338"/>
      <c r="E42" s="338"/>
      <c r="F42" s="338"/>
      <c r="G42" s="338"/>
      <c r="H42" s="338"/>
      <c r="I42" s="341"/>
      <c r="J42" s="338"/>
      <c r="K42" s="330"/>
      <c r="L42" s="388"/>
      <c r="M42" s="110"/>
      <c r="N42" s="329"/>
      <c r="O42" s="329"/>
      <c r="P42" s="1"/>
      <c r="Q42" s="1"/>
      <c r="R42" s="1"/>
      <c r="S42" s="1"/>
      <c r="T42" s="1"/>
      <c r="U42" s="4"/>
      <c r="V42" s="4"/>
      <c r="W42" s="4"/>
      <c r="X42" s="4"/>
      <c r="Y42" s="4"/>
      <c r="Z42" s="4"/>
      <c r="AA42" s="4"/>
    </row>
    <row r="43" spans="1:27" ht="13.5" customHeight="1">
      <c r="A43" s="110"/>
      <c r="B43" s="68" t="s">
        <v>3621</v>
      </c>
      <c r="C43" s="340" t="s">
        <v>3820</v>
      </c>
      <c r="D43" s="341">
        <v>4930369.3199120592</v>
      </c>
      <c r="E43" s="341">
        <v>5518722.2683058884</v>
      </c>
      <c r="F43" s="341">
        <v>14925066.18121732</v>
      </c>
      <c r="G43" s="341">
        <v>23716445.150337726</v>
      </c>
      <c r="H43" s="341">
        <v>24895718</v>
      </c>
      <c r="I43" s="407">
        <v>36396011</v>
      </c>
      <c r="J43" s="341">
        <f>BS!D44</f>
        <v>45808208.406244531</v>
      </c>
      <c r="K43" s="330"/>
      <c r="L43" s="388"/>
      <c r="M43" s="110"/>
      <c r="N43" s="329"/>
      <c r="O43" s="329"/>
      <c r="P43" s="1"/>
      <c r="Q43" s="1"/>
      <c r="R43" s="1"/>
      <c r="S43" s="1"/>
      <c r="T43" s="1"/>
      <c r="U43" s="4"/>
      <c r="V43" s="4"/>
      <c r="W43" s="4"/>
      <c r="X43" s="4"/>
      <c r="Y43" s="4"/>
      <c r="Z43" s="4"/>
      <c r="AA43" s="4"/>
    </row>
    <row r="44" spans="1:27" ht="13.5" customHeight="1">
      <c r="A44" s="110"/>
      <c r="B44" s="68" t="s">
        <v>3623</v>
      </c>
      <c r="C44" s="340" t="s">
        <v>5418</v>
      </c>
      <c r="D44" s="341">
        <v>272449975.43562502</v>
      </c>
      <c r="E44" s="341">
        <v>269744776.59416747</v>
      </c>
      <c r="F44" s="341">
        <v>618769997.71116877</v>
      </c>
      <c r="G44" s="341">
        <v>788968550.66805506</v>
      </c>
      <c r="H44" s="341">
        <v>575232316</v>
      </c>
      <c r="I44" s="407">
        <v>536961403</v>
      </c>
      <c r="J44" s="341">
        <f>BS!D45</f>
        <v>659559404.27843189</v>
      </c>
      <c r="K44" s="330"/>
      <c r="L44" s="388"/>
      <c r="M44" s="110"/>
      <c r="N44" s="329"/>
      <c r="O44" s="329"/>
      <c r="P44" s="1"/>
      <c r="Q44" s="1"/>
      <c r="R44" s="1"/>
      <c r="S44" s="1"/>
      <c r="T44" s="1"/>
      <c r="U44" s="4"/>
      <c r="V44" s="4"/>
      <c r="W44" s="4"/>
      <c r="X44" s="4"/>
      <c r="Y44" s="4"/>
      <c r="Z44" s="4"/>
      <c r="AA44" s="4"/>
    </row>
    <row r="45" spans="1:27" ht="13.5" customHeight="1">
      <c r="A45" s="110"/>
      <c r="B45" s="68" t="s">
        <v>3625</v>
      </c>
      <c r="C45" s="340" t="s">
        <v>5419</v>
      </c>
      <c r="D45" s="341">
        <v>1309982.0429150236</v>
      </c>
      <c r="E45" s="341">
        <v>1215486.0588222835</v>
      </c>
      <c r="F45" s="341">
        <v>3512020.8028334966</v>
      </c>
      <c r="G45" s="341">
        <v>2935936.8398624253</v>
      </c>
      <c r="H45" s="341">
        <v>1710210</v>
      </c>
      <c r="I45" s="407">
        <v>1221751</v>
      </c>
      <c r="J45" s="341">
        <f>BS!D46</f>
        <v>3140526.1181818182</v>
      </c>
      <c r="K45" s="330"/>
      <c r="L45" s="388"/>
      <c r="M45" s="110"/>
      <c r="N45" s="329"/>
      <c r="O45" s="329"/>
      <c r="P45" s="329"/>
      <c r="Q45" s="329"/>
      <c r="R45" s="329"/>
      <c r="S45" s="329"/>
      <c r="T45" s="329"/>
      <c r="U45" s="110"/>
      <c r="V45" s="110"/>
      <c r="W45" s="110"/>
      <c r="X45" s="110"/>
      <c r="Y45" s="110"/>
      <c r="Z45" s="110"/>
      <c r="AA45" s="110"/>
    </row>
    <row r="46" spans="1:27" ht="13.5" customHeight="1">
      <c r="A46" s="110"/>
      <c r="B46" s="68" t="s">
        <v>3627</v>
      </c>
      <c r="C46" s="340" t="s">
        <v>5420</v>
      </c>
      <c r="D46" s="341">
        <v>774212.99361394648</v>
      </c>
      <c r="E46" s="341">
        <v>1455595.8558985097</v>
      </c>
      <c r="F46" s="341">
        <v>905144.70273966528</v>
      </c>
      <c r="G46" s="341">
        <v>1797519</v>
      </c>
      <c r="H46" s="341">
        <v>4889163</v>
      </c>
      <c r="I46" s="407">
        <v>4044067</v>
      </c>
      <c r="J46" s="341">
        <f>BS!D47</f>
        <v>1594328.423491329</v>
      </c>
      <c r="K46" s="330"/>
      <c r="L46" s="388"/>
      <c r="M46" s="110"/>
      <c r="N46" s="329"/>
      <c r="O46" s="329"/>
      <c r="P46" s="329"/>
      <c r="Q46" s="329"/>
      <c r="R46" s="329"/>
      <c r="S46" s="329"/>
      <c r="T46" s="329"/>
      <c r="U46" s="110"/>
      <c r="V46" s="110"/>
      <c r="W46" s="110"/>
      <c r="X46" s="110"/>
      <c r="Y46" s="110"/>
      <c r="Z46" s="110"/>
      <c r="AA46" s="110"/>
    </row>
    <row r="47" spans="1:27" ht="13.5" customHeight="1">
      <c r="A47" s="110"/>
      <c r="B47" s="68" t="s">
        <v>5093</v>
      </c>
      <c r="C47" s="340" t="s">
        <v>5094</v>
      </c>
      <c r="D47" s="341">
        <v>60000000</v>
      </c>
      <c r="E47" s="341">
        <v>60000000</v>
      </c>
      <c r="F47" s="341">
        <v>60000000</v>
      </c>
      <c r="G47" s="341">
        <v>60000000</v>
      </c>
      <c r="H47" s="341">
        <v>60000000</v>
      </c>
      <c r="I47" s="407">
        <v>60000000</v>
      </c>
      <c r="J47" s="341">
        <f>BS!D48</f>
        <v>60000000</v>
      </c>
      <c r="K47" s="330"/>
      <c r="L47" s="388"/>
      <c r="M47" s="110"/>
      <c r="N47" s="329"/>
      <c r="O47" s="329"/>
      <c r="P47" s="1"/>
      <c r="Q47" s="1"/>
      <c r="R47" s="1"/>
      <c r="S47" s="1"/>
      <c r="T47" s="1"/>
      <c r="U47" s="4"/>
      <c r="V47" s="4"/>
      <c r="W47" s="4"/>
      <c r="X47" s="4"/>
      <c r="Y47" s="4"/>
      <c r="Z47" s="4"/>
      <c r="AA47" s="4"/>
    </row>
    <row r="48" spans="1:27" ht="13.5" customHeight="1">
      <c r="A48" s="110"/>
      <c r="B48" s="68" t="s">
        <v>3629</v>
      </c>
      <c r="C48" s="340" t="s">
        <v>3630</v>
      </c>
      <c r="D48" s="341">
        <v>11665000</v>
      </c>
      <c r="E48" s="341">
        <v>6889900</v>
      </c>
      <c r="F48" s="341">
        <v>1554250</v>
      </c>
      <c r="G48" s="341">
        <v>1554250</v>
      </c>
      <c r="H48" s="341" t="s">
        <v>3828</v>
      </c>
      <c r="I48" s="341" t="s">
        <v>3828</v>
      </c>
      <c r="J48" s="341">
        <f>BS!D49</f>
        <v>0</v>
      </c>
      <c r="K48" s="330"/>
      <c r="L48" s="388"/>
      <c r="M48" s="110"/>
      <c r="N48" s="329"/>
      <c r="O48" s="329"/>
      <c r="P48" s="1"/>
      <c r="Q48" s="1"/>
      <c r="R48" s="1"/>
      <c r="S48" s="1"/>
      <c r="T48" s="1"/>
      <c r="U48" s="4"/>
      <c r="V48" s="4"/>
      <c r="W48" s="4"/>
      <c r="X48" s="4"/>
      <c r="Y48" s="4"/>
      <c r="Z48" s="4"/>
      <c r="AA48" s="4"/>
    </row>
    <row r="49" spans="1:27" ht="13.5" customHeight="1">
      <c r="A49" s="110"/>
      <c r="B49" s="431" t="s">
        <v>5095</v>
      </c>
      <c r="C49" s="22" t="s">
        <v>5096</v>
      </c>
      <c r="D49" s="338">
        <f t="shared" ref="D49:J49" si="9">SUM(D43:D48)</f>
        <v>351129539.7920661</v>
      </c>
      <c r="E49" s="338">
        <f t="shared" si="9"/>
        <v>344824480.77719414</v>
      </c>
      <c r="F49" s="338">
        <f t="shared" si="9"/>
        <v>699666479.39795923</v>
      </c>
      <c r="G49" s="338">
        <f t="shared" si="9"/>
        <v>878972701.65825522</v>
      </c>
      <c r="H49" s="338">
        <f t="shared" si="9"/>
        <v>666727407</v>
      </c>
      <c r="I49" s="338">
        <f t="shared" si="9"/>
        <v>638623232</v>
      </c>
      <c r="J49" s="338">
        <f t="shared" si="9"/>
        <v>770102467.22634959</v>
      </c>
      <c r="K49" s="330"/>
      <c r="L49" s="388"/>
      <c r="M49" s="110"/>
      <c r="N49" s="329"/>
      <c r="O49" s="329"/>
      <c r="P49" s="1"/>
      <c r="Q49" s="1"/>
      <c r="R49" s="1"/>
      <c r="S49" s="1"/>
      <c r="T49" s="1"/>
      <c r="U49" s="4"/>
      <c r="V49" s="4"/>
      <c r="W49" s="4"/>
      <c r="X49" s="4"/>
      <c r="Y49" s="4"/>
      <c r="Z49" s="4"/>
      <c r="AA49" s="4"/>
    </row>
    <row r="50" spans="1:27" ht="13.5" customHeight="1">
      <c r="A50" s="110"/>
      <c r="B50" s="68"/>
      <c r="C50" s="340"/>
      <c r="D50" s="341"/>
      <c r="E50" s="341"/>
      <c r="F50" s="341"/>
      <c r="G50" s="341"/>
      <c r="H50" s="341"/>
      <c r="I50" s="341"/>
      <c r="J50" s="341"/>
      <c r="K50" s="330"/>
      <c r="L50" s="388"/>
      <c r="M50" s="110"/>
      <c r="N50" s="329"/>
      <c r="O50" s="329"/>
      <c r="P50" s="1"/>
      <c r="Q50" s="1"/>
      <c r="R50" s="1"/>
      <c r="S50" s="1"/>
      <c r="T50" s="1"/>
      <c r="U50" s="4"/>
      <c r="V50" s="4"/>
      <c r="W50" s="4"/>
      <c r="X50" s="4"/>
      <c r="Y50" s="4"/>
      <c r="Z50" s="4"/>
      <c r="AA50" s="4"/>
    </row>
    <row r="51" spans="1:27" ht="13.5" customHeight="1">
      <c r="A51" s="351"/>
      <c r="B51" s="431" t="s">
        <v>5097</v>
      </c>
      <c r="C51" s="22" t="s">
        <v>5098</v>
      </c>
      <c r="D51" s="338"/>
      <c r="E51" s="338"/>
      <c r="F51" s="338"/>
      <c r="G51" s="338"/>
      <c r="H51" s="338"/>
      <c r="I51" s="341"/>
      <c r="J51" s="338"/>
      <c r="K51" s="330"/>
      <c r="L51" s="388"/>
      <c r="M51" s="110"/>
      <c r="N51" s="329"/>
      <c r="O51" s="329"/>
      <c r="P51" s="1"/>
      <c r="Q51" s="1"/>
      <c r="R51" s="1"/>
      <c r="S51" s="1"/>
      <c r="T51" s="1"/>
      <c r="U51" s="4"/>
      <c r="V51" s="4"/>
      <c r="W51" s="4"/>
      <c r="X51" s="4"/>
      <c r="Y51" s="4"/>
      <c r="Z51" s="4"/>
      <c r="AA51" s="4"/>
    </row>
    <row r="52" spans="1:27" ht="13.5" customHeight="1">
      <c r="A52" s="110"/>
      <c r="B52" s="68" t="s">
        <v>5099</v>
      </c>
      <c r="C52" s="340" t="s">
        <v>5100</v>
      </c>
      <c r="D52" s="341">
        <v>0</v>
      </c>
      <c r="E52" s="341">
        <v>0</v>
      </c>
      <c r="F52" s="341">
        <v>0</v>
      </c>
      <c r="G52" s="341">
        <v>0</v>
      </c>
      <c r="H52" s="341" t="s">
        <v>3828</v>
      </c>
      <c r="I52" s="341" t="s">
        <v>3828</v>
      </c>
      <c r="J52" s="341">
        <f>BS!D53</f>
        <v>0</v>
      </c>
      <c r="K52" s="330"/>
      <c r="L52" s="388"/>
      <c r="M52" s="110"/>
      <c r="N52" s="329"/>
      <c r="O52" s="329"/>
      <c r="P52" s="1"/>
      <c r="Q52" s="1"/>
      <c r="R52" s="1"/>
      <c r="S52" s="1"/>
      <c r="T52" s="1"/>
      <c r="U52" s="4"/>
      <c r="V52" s="4"/>
      <c r="W52" s="4"/>
      <c r="X52" s="4"/>
      <c r="Y52" s="4"/>
      <c r="Z52" s="4"/>
      <c r="AA52" s="4"/>
    </row>
    <row r="53" spans="1:27" ht="13.5" customHeight="1">
      <c r="A53" s="110"/>
      <c r="B53" s="68" t="s">
        <v>5101</v>
      </c>
      <c r="C53" s="340" t="s">
        <v>5102</v>
      </c>
      <c r="D53" s="341">
        <v>750000</v>
      </c>
      <c r="E53" s="341">
        <v>0</v>
      </c>
      <c r="F53" s="341">
        <v>0</v>
      </c>
      <c r="G53" s="341">
        <v>5447611</v>
      </c>
      <c r="H53" s="341">
        <v>2000000</v>
      </c>
      <c r="I53" s="407">
        <v>7300000</v>
      </c>
      <c r="J53" s="341">
        <f>BS!D54</f>
        <v>29082000</v>
      </c>
      <c r="K53" s="330"/>
      <c r="L53" s="388"/>
      <c r="M53" s="110"/>
      <c r="N53" s="329"/>
      <c r="O53" s="329"/>
      <c r="P53" s="1"/>
      <c r="Q53" s="1"/>
      <c r="R53" s="1"/>
      <c r="S53" s="1"/>
      <c r="T53" s="1"/>
      <c r="U53" s="4"/>
      <c r="V53" s="4"/>
      <c r="W53" s="4"/>
      <c r="X53" s="4"/>
      <c r="Y53" s="4"/>
      <c r="Z53" s="4"/>
      <c r="AA53" s="4"/>
    </row>
    <row r="54" spans="1:27" ht="13.5" customHeight="1">
      <c r="A54" s="110"/>
      <c r="B54" s="68" t="s">
        <v>1219</v>
      </c>
      <c r="C54" s="340" t="s">
        <v>5103</v>
      </c>
      <c r="D54" s="341">
        <v>97500000</v>
      </c>
      <c r="E54" s="341">
        <v>209260135</v>
      </c>
      <c r="F54" s="341">
        <v>47029428</v>
      </c>
      <c r="G54" s="341">
        <v>0</v>
      </c>
      <c r="H54" s="341" t="s">
        <v>3828</v>
      </c>
      <c r="I54" s="407">
        <v>1100000000</v>
      </c>
      <c r="J54" s="341">
        <f>BS!D55</f>
        <v>1500000000</v>
      </c>
      <c r="K54" s="330"/>
      <c r="L54" s="388"/>
      <c r="M54" s="110"/>
      <c r="N54" s="329"/>
      <c r="O54" s="329"/>
      <c r="P54" s="1"/>
      <c r="Q54" s="1"/>
      <c r="R54" s="1"/>
      <c r="S54" s="1"/>
      <c r="T54" s="1"/>
      <c r="U54" s="4"/>
      <c r="V54" s="4"/>
      <c r="W54" s="4"/>
      <c r="X54" s="4"/>
      <c r="Y54" s="4"/>
      <c r="Z54" s="4"/>
      <c r="AA54" s="4"/>
    </row>
    <row r="55" spans="1:27" ht="13.5" customHeight="1">
      <c r="A55" s="110"/>
      <c r="B55" s="68" t="s">
        <v>5104</v>
      </c>
      <c r="C55" s="340" t="s">
        <v>5105</v>
      </c>
      <c r="D55" s="341">
        <v>0</v>
      </c>
      <c r="E55" s="341">
        <v>0</v>
      </c>
      <c r="F55" s="341">
        <v>0</v>
      </c>
      <c r="G55" s="341">
        <v>0</v>
      </c>
      <c r="H55" s="341" t="s">
        <v>3828</v>
      </c>
      <c r="I55" s="341" t="s">
        <v>3828</v>
      </c>
      <c r="J55" s="341">
        <f>BS!D56</f>
        <v>0</v>
      </c>
      <c r="K55" s="330"/>
      <c r="L55" s="388"/>
      <c r="M55" s="110"/>
      <c r="N55" s="329"/>
      <c r="O55" s="329"/>
      <c r="P55" s="1"/>
      <c r="Q55" s="1"/>
      <c r="R55" s="1"/>
      <c r="S55" s="1"/>
      <c r="T55" s="1"/>
      <c r="U55" s="4"/>
      <c r="V55" s="4"/>
      <c r="W55" s="4"/>
      <c r="X55" s="4"/>
      <c r="Y55" s="4"/>
      <c r="Z55" s="4"/>
      <c r="AA55" s="4"/>
    </row>
    <row r="56" spans="1:27" ht="13.5" customHeight="1">
      <c r="A56" s="110"/>
      <c r="B56" s="68" t="s">
        <v>5106</v>
      </c>
      <c r="C56" s="340" t="s">
        <v>5107</v>
      </c>
      <c r="D56" s="341">
        <v>0</v>
      </c>
      <c r="E56" s="341">
        <v>0</v>
      </c>
      <c r="F56" s="341">
        <v>0</v>
      </c>
      <c r="G56" s="341">
        <v>0</v>
      </c>
      <c r="H56" s="341" t="s">
        <v>3828</v>
      </c>
      <c r="I56" s="341" t="s">
        <v>3828</v>
      </c>
      <c r="J56" s="341">
        <f>BS!D57</f>
        <v>0</v>
      </c>
      <c r="K56" s="330"/>
      <c r="L56" s="388"/>
      <c r="M56" s="110"/>
      <c r="N56" s="329"/>
      <c r="O56" s="329"/>
      <c r="P56" s="1"/>
      <c r="Q56" s="1"/>
      <c r="R56" s="1"/>
      <c r="S56" s="1"/>
      <c r="T56" s="1"/>
      <c r="U56" s="4"/>
      <c r="V56" s="4"/>
      <c r="W56" s="4"/>
      <c r="X56" s="4"/>
      <c r="Y56" s="4"/>
      <c r="Z56" s="4"/>
      <c r="AA56" s="4"/>
    </row>
    <row r="57" spans="1:27" ht="13.5" customHeight="1">
      <c r="A57" s="110"/>
      <c r="B57" s="68" t="s">
        <v>5108</v>
      </c>
      <c r="C57" s="340" t="s">
        <v>5109</v>
      </c>
      <c r="D57" s="341">
        <v>0</v>
      </c>
      <c r="E57" s="341">
        <v>0</v>
      </c>
      <c r="F57" s="341">
        <v>0</v>
      </c>
      <c r="G57" s="341">
        <v>0</v>
      </c>
      <c r="H57" s="341" t="s">
        <v>3828</v>
      </c>
      <c r="I57" s="341" t="s">
        <v>3828</v>
      </c>
      <c r="J57" s="341">
        <f>BS!D58</f>
        <v>0</v>
      </c>
      <c r="K57" s="330"/>
      <c r="L57" s="388"/>
      <c r="M57" s="110"/>
      <c r="N57" s="329"/>
      <c r="O57" s="329"/>
      <c r="P57" s="1"/>
      <c r="Q57" s="1"/>
      <c r="R57" s="1"/>
      <c r="S57" s="1"/>
      <c r="T57" s="1"/>
      <c r="U57" s="4"/>
      <c r="V57" s="4"/>
      <c r="W57" s="4"/>
      <c r="X57" s="4"/>
      <c r="Y57" s="4"/>
      <c r="Z57" s="4"/>
      <c r="AA57" s="4"/>
    </row>
    <row r="58" spans="1:27" ht="13.5" customHeight="1">
      <c r="A58" s="110"/>
      <c r="B58" s="68" t="s">
        <v>1712</v>
      </c>
      <c r="C58" s="340" t="s">
        <v>5110</v>
      </c>
      <c r="D58" s="341">
        <v>0</v>
      </c>
      <c r="E58" s="341">
        <v>0</v>
      </c>
      <c r="F58" s="341">
        <v>0</v>
      </c>
      <c r="G58" s="341">
        <v>1110000</v>
      </c>
      <c r="H58" s="341">
        <v>2220000</v>
      </c>
      <c r="I58" s="407">
        <v>4440000</v>
      </c>
      <c r="J58" s="341">
        <f>BS!D59</f>
        <v>4440000</v>
      </c>
      <c r="K58" s="330"/>
      <c r="L58" s="388"/>
      <c r="M58" s="110"/>
      <c r="N58" s="329"/>
      <c r="O58" s="329"/>
      <c r="P58" s="1"/>
      <c r="Q58" s="1"/>
      <c r="R58" s="1"/>
      <c r="S58" s="1"/>
      <c r="T58" s="1"/>
      <c r="U58" s="4"/>
      <c r="V58" s="4"/>
      <c r="W58" s="4"/>
      <c r="X58" s="4"/>
      <c r="Y58" s="4"/>
      <c r="Z58" s="4"/>
      <c r="AA58" s="4"/>
    </row>
    <row r="59" spans="1:27" ht="13.5" customHeight="1">
      <c r="A59" s="110"/>
      <c r="B59" s="68" t="s">
        <v>5111</v>
      </c>
      <c r="C59" s="340" t="s">
        <v>5112</v>
      </c>
      <c r="D59" s="341">
        <v>0</v>
      </c>
      <c r="E59" s="341">
        <v>0</v>
      </c>
      <c r="F59" s="341">
        <v>0</v>
      </c>
      <c r="G59" s="341">
        <v>0</v>
      </c>
      <c r="H59" s="341" t="s">
        <v>3828</v>
      </c>
      <c r="I59" s="341" t="s">
        <v>3828</v>
      </c>
      <c r="J59" s="341">
        <f>BS!D60</f>
        <v>0</v>
      </c>
      <c r="K59" s="330"/>
      <c r="L59" s="388"/>
      <c r="M59" s="110"/>
      <c r="N59" s="329"/>
      <c r="O59" s="329"/>
      <c r="P59" s="1"/>
      <c r="Q59" s="1"/>
      <c r="R59" s="1"/>
      <c r="S59" s="1"/>
      <c r="T59" s="1"/>
      <c r="U59" s="4"/>
      <c r="V59" s="4"/>
      <c r="W59" s="4"/>
      <c r="X59" s="4"/>
      <c r="Y59" s="4"/>
      <c r="Z59" s="4"/>
      <c r="AA59" s="4"/>
    </row>
    <row r="60" spans="1:27" ht="13.5" customHeight="1">
      <c r="A60" s="110"/>
      <c r="B60" s="68" t="s">
        <v>3687</v>
      </c>
      <c r="C60" s="340" t="s">
        <v>3688</v>
      </c>
      <c r="D60" s="341">
        <v>360000</v>
      </c>
      <c r="E60" s="341">
        <v>1150000</v>
      </c>
      <c r="F60" s="341">
        <v>429920</v>
      </c>
      <c r="G60" s="341">
        <v>0</v>
      </c>
      <c r="H60" s="341">
        <v>-1</v>
      </c>
      <c r="I60" s="341" t="s">
        <v>3828</v>
      </c>
      <c r="J60" s="341">
        <f>BS!D61</f>
        <v>156129983</v>
      </c>
      <c r="K60" s="330"/>
      <c r="L60" s="388"/>
      <c r="M60" s="110"/>
      <c r="N60" s="329"/>
      <c r="O60" s="329"/>
      <c r="P60" s="1"/>
      <c r="Q60" s="1"/>
      <c r="R60" s="1"/>
      <c r="S60" s="1"/>
      <c r="T60" s="1"/>
      <c r="U60" s="4"/>
      <c r="V60" s="4"/>
      <c r="W60" s="4"/>
      <c r="X60" s="4"/>
      <c r="Y60" s="4"/>
      <c r="Z60" s="4"/>
      <c r="AA60" s="4"/>
    </row>
    <row r="61" spans="1:27" ht="13.5" customHeight="1">
      <c r="A61" s="110"/>
      <c r="B61" s="68" t="s">
        <v>140</v>
      </c>
      <c r="C61" s="340" t="s">
        <v>3659</v>
      </c>
      <c r="D61" s="341">
        <v>1469930</v>
      </c>
      <c r="E61" s="341">
        <v>0</v>
      </c>
      <c r="F61" s="341">
        <v>68781200</v>
      </c>
      <c r="G61" s="341">
        <v>0</v>
      </c>
      <c r="H61" s="341">
        <v>165154299</v>
      </c>
      <c r="I61" s="407">
        <v>97960777</v>
      </c>
      <c r="J61" s="341">
        <f>BS!D62</f>
        <v>57568115</v>
      </c>
      <c r="K61" s="330"/>
      <c r="L61" s="388"/>
      <c r="M61" s="110"/>
      <c r="N61" s="329"/>
      <c r="O61" s="329"/>
      <c r="P61" s="1"/>
      <c r="Q61" s="1"/>
      <c r="R61" s="1"/>
      <c r="S61" s="1"/>
      <c r="T61" s="1"/>
      <c r="U61" s="4"/>
      <c r="V61" s="4"/>
      <c r="W61" s="4"/>
      <c r="X61" s="4"/>
      <c r="Y61" s="4"/>
      <c r="Z61" s="4"/>
      <c r="AA61" s="4"/>
    </row>
    <row r="62" spans="1:27" ht="13.5" customHeight="1">
      <c r="A62" s="110"/>
      <c r="B62" s="431" t="s">
        <v>5113</v>
      </c>
      <c r="C62" s="22" t="s">
        <v>5114</v>
      </c>
      <c r="D62" s="338">
        <f t="shared" ref="D62:J62" si="10">SUM(D52:D61)</f>
        <v>100079930</v>
      </c>
      <c r="E62" s="338">
        <f t="shared" si="10"/>
        <v>210410135</v>
      </c>
      <c r="F62" s="338">
        <f t="shared" si="10"/>
        <v>116240548</v>
      </c>
      <c r="G62" s="338">
        <f t="shared" si="10"/>
        <v>6557611</v>
      </c>
      <c r="H62" s="338">
        <f t="shared" si="10"/>
        <v>169374298</v>
      </c>
      <c r="I62" s="338">
        <f t="shared" si="10"/>
        <v>1209700777</v>
      </c>
      <c r="J62" s="338">
        <f t="shared" si="10"/>
        <v>1747220098</v>
      </c>
      <c r="K62" s="330"/>
      <c r="L62" s="388"/>
      <c r="M62" s="110"/>
      <c r="N62" s="329"/>
      <c r="O62" s="329"/>
      <c r="P62" s="1"/>
      <c r="Q62" s="1"/>
      <c r="R62" s="1"/>
      <c r="S62" s="1"/>
      <c r="T62" s="1"/>
      <c r="U62" s="4"/>
      <c r="V62" s="4"/>
      <c r="W62" s="4"/>
      <c r="X62" s="4"/>
      <c r="Y62" s="4"/>
      <c r="Z62" s="4"/>
      <c r="AA62" s="4"/>
    </row>
    <row r="63" spans="1:27" ht="13.5" customHeight="1">
      <c r="A63" s="110"/>
      <c r="B63" s="68"/>
      <c r="C63" s="340"/>
      <c r="D63" s="341"/>
      <c r="E63" s="341"/>
      <c r="F63" s="341"/>
      <c r="G63" s="341"/>
      <c r="H63" s="341"/>
      <c r="I63" s="341"/>
      <c r="J63" s="341"/>
      <c r="K63" s="330"/>
      <c r="L63" s="388"/>
      <c r="M63" s="110"/>
      <c r="N63" s="329"/>
      <c r="O63" s="329"/>
      <c r="P63" s="1"/>
      <c r="Q63" s="1"/>
      <c r="R63" s="1"/>
      <c r="S63" s="1"/>
      <c r="T63" s="1"/>
      <c r="U63" s="4"/>
      <c r="V63" s="4"/>
      <c r="W63" s="4"/>
      <c r="X63" s="4"/>
      <c r="Y63" s="4"/>
      <c r="Z63" s="4"/>
      <c r="AA63" s="4"/>
    </row>
    <row r="64" spans="1:27" ht="13.5" customHeight="1">
      <c r="A64" s="351"/>
      <c r="B64" s="431" t="s">
        <v>5115</v>
      </c>
      <c r="C64" s="22" t="s">
        <v>5116</v>
      </c>
      <c r="D64" s="338"/>
      <c r="E64" s="338"/>
      <c r="F64" s="338"/>
      <c r="G64" s="338"/>
      <c r="H64" s="338"/>
      <c r="I64" s="341"/>
      <c r="J64" s="338"/>
      <c r="K64" s="330"/>
      <c r="L64" s="388"/>
      <c r="M64" s="110"/>
      <c r="N64" s="329"/>
      <c r="O64" s="329"/>
      <c r="P64" s="1"/>
      <c r="Q64" s="1"/>
      <c r="R64" s="1"/>
      <c r="S64" s="1"/>
      <c r="T64" s="1"/>
      <c r="U64" s="4"/>
      <c r="V64" s="4"/>
      <c r="W64" s="4"/>
      <c r="X64" s="4"/>
      <c r="Y64" s="4"/>
      <c r="Z64" s="4"/>
      <c r="AA64" s="4"/>
    </row>
    <row r="65" spans="1:27" ht="13.5" customHeight="1">
      <c r="A65" s="110"/>
      <c r="B65" s="68" t="s">
        <v>5117</v>
      </c>
      <c r="C65" s="340" t="s">
        <v>5118</v>
      </c>
      <c r="D65" s="341">
        <v>0</v>
      </c>
      <c r="E65" s="341">
        <v>0</v>
      </c>
      <c r="F65" s="341">
        <v>0</v>
      </c>
      <c r="G65" s="341">
        <v>0</v>
      </c>
      <c r="H65" s="123"/>
      <c r="I65" s="341"/>
      <c r="J65" s="341">
        <f>BS!D66</f>
        <v>0</v>
      </c>
      <c r="K65" s="330"/>
      <c r="L65" s="388"/>
      <c r="M65" s="110"/>
      <c r="N65" s="329"/>
      <c r="O65" s="329"/>
      <c r="P65" s="1"/>
      <c r="Q65" s="1"/>
      <c r="R65" s="1"/>
      <c r="S65" s="1"/>
      <c r="T65" s="1"/>
      <c r="U65" s="4"/>
      <c r="V65" s="4"/>
      <c r="W65" s="4"/>
      <c r="X65" s="4"/>
      <c r="Y65" s="4"/>
      <c r="Z65" s="4"/>
      <c r="AA65" s="4"/>
    </row>
    <row r="66" spans="1:27" ht="13.5" customHeight="1">
      <c r="A66" s="110"/>
      <c r="B66" s="68" t="s">
        <v>5119</v>
      </c>
      <c r="C66" s="340" t="s">
        <v>5120</v>
      </c>
      <c r="D66" s="341">
        <v>0</v>
      </c>
      <c r="E66" s="341">
        <v>0</v>
      </c>
      <c r="F66" s="341">
        <v>0</v>
      </c>
      <c r="G66" s="341">
        <v>0</v>
      </c>
      <c r="H66" s="123"/>
      <c r="I66" s="341"/>
      <c r="J66" s="341">
        <f>BS!D67</f>
        <v>0</v>
      </c>
      <c r="K66" s="330"/>
      <c r="L66" s="388"/>
      <c r="M66" s="110"/>
      <c r="N66" s="329"/>
      <c r="O66" s="329"/>
      <c r="P66" s="1"/>
      <c r="Q66" s="1"/>
      <c r="R66" s="1"/>
      <c r="S66" s="1"/>
      <c r="T66" s="1"/>
      <c r="U66" s="4"/>
      <c r="V66" s="4"/>
      <c r="W66" s="4"/>
      <c r="X66" s="4"/>
      <c r="Y66" s="4"/>
      <c r="Z66" s="4"/>
      <c r="AA66" s="4"/>
    </row>
    <row r="67" spans="1:27" ht="13.5" customHeight="1">
      <c r="A67" s="110"/>
      <c r="B67" s="68" t="s">
        <v>5121</v>
      </c>
      <c r="C67" s="340" t="s">
        <v>5122</v>
      </c>
      <c r="D67" s="341">
        <v>0</v>
      </c>
      <c r="E67" s="341">
        <v>0</v>
      </c>
      <c r="F67" s="341">
        <v>0</v>
      </c>
      <c r="G67" s="341">
        <v>0</v>
      </c>
      <c r="H67" s="123"/>
      <c r="I67" s="341"/>
      <c r="J67" s="341">
        <f>BS!D68</f>
        <v>0</v>
      </c>
      <c r="K67" s="330"/>
      <c r="L67" s="388"/>
      <c r="M67" s="110"/>
      <c r="N67" s="329"/>
      <c r="O67" s="329"/>
      <c r="P67" s="1"/>
      <c r="Q67" s="1"/>
      <c r="R67" s="1"/>
      <c r="S67" s="1"/>
      <c r="T67" s="1"/>
      <c r="U67" s="4"/>
      <c r="V67" s="4"/>
      <c r="W67" s="4"/>
      <c r="X67" s="4"/>
      <c r="Y67" s="4"/>
      <c r="Z67" s="4"/>
      <c r="AA67" s="4"/>
    </row>
    <row r="68" spans="1:27" ht="13.5" customHeight="1">
      <c r="A68" s="110"/>
      <c r="B68" s="68" t="s">
        <v>5123</v>
      </c>
      <c r="C68" s="340" t="s">
        <v>5124</v>
      </c>
      <c r="D68" s="341">
        <v>0</v>
      </c>
      <c r="E68" s="341">
        <v>0</v>
      </c>
      <c r="F68" s="341">
        <v>0</v>
      </c>
      <c r="G68" s="341">
        <v>0</v>
      </c>
      <c r="H68" s="123"/>
      <c r="I68" s="341"/>
      <c r="J68" s="341">
        <f>BS!D69</f>
        <v>0</v>
      </c>
      <c r="K68" s="330"/>
      <c r="L68" s="388"/>
      <c r="M68" s="110"/>
      <c r="N68" s="329"/>
      <c r="O68" s="329"/>
      <c r="P68" s="1"/>
      <c r="Q68" s="1"/>
      <c r="R68" s="1"/>
      <c r="S68" s="1"/>
      <c r="T68" s="1"/>
      <c r="U68" s="4"/>
      <c r="V68" s="4"/>
      <c r="W68" s="4"/>
      <c r="X68" s="4"/>
      <c r="Y68" s="4"/>
      <c r="Z68" s="4"/>
      <c r="AA68" s="4"/>
    </row>
    <row r="69" spans="1:27" ht="13.5" customHeight="1">
      <c r="A69" s="110"/>
      <c r="B69" s="431" t="s">
        <v>5125</v>
      </c>
      <c r="C69" s="22" t="s">
        <v>5126</v>
      </c>
      <c r="D69" s="341">
        <v>0</v>
      </c>
      <c r="E69" s="341">
        <v>0</v>
      </c>
      <c r="F69" s="341">
        <v>0</v>
      </c>
      <c r="G69" s="341">
        <v>0</v>
      </c>
      <c r="H69" s="123"/>
      <c r="I69" s="341"/>
      <c r="J69" s="341">
        <f>SUM(J65:J68)</f>
        <v>0</v>
      </c>
      <c r="K69" s="330"/>
      <c r="L69" s="388"/>
      <c r="M69" s="110"/>
      <c r="N69" s="329"/>
      <c r="O69" s="329"/>
      <c r="P69" s="1"/>
      <c r="Q69" s="1"/>
      <c r="R69" s="1"/>
      <c r="S69" s="1"/>
      <c r="T69" s="1"/>
      <c r="U69" s="4"/>
      <c r="V69" s="4"/>
      <c r="W69" s="4"/>
      <c r="X69" s="4"/>
      <c r="Y69" s="4"/>
      <c r="Z69" s="4"/>
      <c r="AA69" s="4"/>
    </row>
    <row r="70" spans="1:27" ht="13.5" customHeight="1">
      <c r="A70" s="110"/>
      <c r="B70" s="68"/>
      <c r="C70" s="22"/>
      <c r="D70" s="341"/>
      <c r="E70" s="341"/>
      <c r="F70" s="341"/>
      <c r="G70" s="341"/>
      <c r="H70" s="341"/>
      <c r="I70" s="341"/>
      <c r="J70" s="341"/>
      <c r="K70" s="330"/>
      <c r="L70" s="388"/>
      <c r="M70" s="110"/>
      <c r="N70" s="329"/>
      <c r="O70" s="329"/>
      <c r="P70" s="1"/>
      <c r="Q70" s="1"/>
      <c r="R70" s="1"/>
      <c r="S70" s="1"/>
      <c r="T70" s="1"/>
      <c r="U70" s="4"/>
      <c r="V70" s="4"/>
      <c r="W70" s="4"/>
      <c r="X70" s="4"/>
      <c r="Y70" s="4"/>
      <c r="Z70" s="4"/>
      <c r="AA70" s="4"/>
    </row>
    <row r="71" spans="1:27" ht="13.5" customHeight="1">
      <c r="A71" s="110"/>
      <c r="B71" s="431" t="s">
        <v>5127</v>
      </c>
      <c r="C71" s="22" t="s">
        <v>5128</v>
      </c>
      <c r="D71" s="338">
        <f t="shared" ref="D71:J71" si="11">D69+D62+D49+D40+D22</f>
        <v>540988476.6744287</v>
      </c>
      <c r="E71" s="338">
        <f t="shared" si="11"/>
        <v>936238921.23164415</v>
      </c>
      <c r="F71" s="338">
        <f t="shared" si="11"/>
        <v>1646619828.4109592</v>
      </c>
      <c r="G71" s="338">
        <f t="shared" si="11"/>
        <v>2249797426.9982548</v>
      </c>
      <c r="H71" s="338">
        <f t="shared" si="11"/>
        <v>2066731444</v>
      </c>
      <c r="I71" s="338">
        <f t="shared" si="11"/>
        <v>19189728268</v>
      </c>
      <c r="J71" s="338">
        <f t="shared" si="11"/>
        <v>21785292366.048351</v>
      </c>
      <c r="K71" s="330"/>
      <c r="L71" s="388"/>
      <c r="M71" s="110"/>
      <c r="N71" s="329"/>
      <c r="O71" s="329"/>
      <c r="P71" s="1"/>
      <c r="Q71" s="1"/>
      <c r="R71" s="1"/>
      <c r="S71" s="1"/>
      <c r="T71" s="1"/>
      <c r="U71" s="4"/>
      <c r="V71" s="4"/>
      <c r="W71" s="4"/>
      <c r="X71" s="4"/>
      <c r="Y71" s="4"/>
      <c r="Z71" s="4"/>
      <c r="AA71" s="4"/>
    </row>
    <row r="72" spans="1:27" ht="13.5" customHeight="1">
      <c r="A72" s="110"/>
      <c r="B72" s="68"/>
      <c r="C72" s="340"/>
      <c r="D72" s="341"/>
      <c r="E72" s="341"/>
      <c r="F72" s="341"/>
      <c r="G72" s="341"/>
      <c r="H72" s="341"/>
      <c r="I72" s="341"/>
      <c r="J72" s="341"/>
      <c r="K72" s="330"/>
      <c r="L72" s="388"/>
      <c r="M72" s="110"/>
      <c r="N72" s="329"/>
      <c r="O72" s="329"/>
      <c r="P72" s="1"/>
      <c r="Q72" s="1"/>
      <c r="R72" s="1"/>
      <c r="S72" s="1"/>
      <c r="T72" s="1"/>
      <c r="U72" s="4"/>
      <c r="V72" s="4"/>
      <c r="W72" s="4"/>
      <c r="X72" s="4"/>
      <c r="Y72" s="4"/>
      <c r="Z72" s="4"/>
      <c r="AA72" s="4"/>
    </row>
    <row r="73" spans="1:27" ht="13.5" customHeight="1">
      <c r="A73" s="110"/>
      <c r="B73" s="431" t="s">
        <v>5129</v>
      </c>
      <c r="C73" s="22" t="s">
        <v>5130</v>
      </c>
      <c r="D73" s="341"/>
      <c r="E73" s="341"/>
      <c r="F73" s="341"/>
      <c r="G73" s="341"/>
      <c r="H73" s="341"/>
      <c r="I73" s="341"/>
      <c r="J73" s="341"/>
      <c r="K73" s="330"/>
      <c r="L73" s="388"/>
      <c r="M73" s="110"/>
      <c r="N73" s="329"/>
      <c r="O73" s="329"/>
      <c r="P73" s="1"/>
      <c r="Q73" s="1"/>
      <c r="R73" s="1"/>
      <c r="S73" s="1"/>
      <c r="T73" s="1"/>
      <c r="U73" s="4"/>
      <c r="V73" s="4"/>
      <c r="W73" s="4"/>
      <c r="X73" s="4"/>
      <c r="Y73" s="4"/>
      <c r="Z73" s="4"/>
      <c r="AA73" s="4"/>
    </row>
    <row r="74" spans="1:27" ht="13.5" customHeight="1">
      <c r="A74" s="351"/>
      <c r="B74" s="431" t="s">
        <v>5131</v>
      </c>
      <c r="C74" s="22" t="s">
        <v>5132</v>
      </c>
      <c r="D74" s="338"/>
      <c r="E74" s="338"/>
      <c r="F74" s="338"/>
      <c r="G74" s="338"/>
      <c r="H74" s="338"/>
      <c r="I74" s="341"/>
      <c r="J74" s="338"/>
      <c r="K74" s="330"/>
      <c r="L74" s="388"/>
      <c r="M74" s="110"/>
      <c r="N74" s="329"/>
      <c r="O74" s="329"/>
      <c r="P74" s="1"/>
      <c r="Q74" s="1"/>
      <c r="R74" s="1"/>
      <c r="S74" s="1"/>
      <c r="T74" s="1"/>
      <c r="U74" s="4"/>
      <c r="V74" s="4"/>
      <c r="W74" s="4"/>
      <c r="X74" s="4"/>
      <c r="Y74" s="4"/>
      <c r="Z74" s="4"/>
      <c r="AA74" s="4"/>
    </row>
    <row r="75" spans="1:27" ht="13.5" customHeight="1">
      <c r="A75" s="351"/>
      <c r="B75" s="431" t="s">
        <v>5133</v>
      </c>
      <c r="C75" s="418" t="s">
        <v>5134</v>
      </c>
      <c r="D75" s="338"/>
      <c r="E75" s="338"/>
      <c r="F75" s="338"/>
      <c r="G75" s="338"/>
      <c r="H75" s="338"/>
      <c r="I75" s="341"/>
      <c r="J75" s="338"/>
      <c r="K75" s="330"/>
      <c r="L75" s="388"/>
      <c r="M75" s="110"/>
      <c r="N75" s="329"/>
      <c r="O75" s="329"/>
      <c r="P75" s="1"/>
      <c r="Q75" s="1"/>
      <c r="R75" s="1"/>
      <c r="S75" s="1"/>
      <c r="T75" s="1"/>
      <c r="U75" s="4"/>
      <c r="V75" s="4"/>
      <c r="W75" s="4"/>
      <c r="X75" s="4"/>
      <c r="Y75" s="4"/>
      <c r="Z75" s="4"/>
      <c r="AA75" s="4"/>
    </row>
    <row r="76" spans="1:27" ht="13.5" customHeight="1">
      <c r="A76" s="110"/>
      <c r="B76" s="68" t="s">
        <v>5135</v>
      </c>
      <c r="C76" s="390" t="s">
        <v>5136</v>
      </c>
      <c r="D76" s="341">
        <v>13000000000</v>
      </c>
      <c r="E76" s="341">
        <v>13000000000</v>
      </c>
      <c r="F76" s="341">
        <v>9030000000</v>
      </c>
      <c r="G76" s="341">
        <v>7683791126</v>
      </c>
      <c r="H76" s="341">
        <v>10023791126</v>
      </c>
      <c r="I76" s="407">
        <v>10023791126</v>
      </c>
      <c r="J76" s="341">
        <f>BS!D77</f>
        <v>10023791126</v>
      </c>
      <c r="K76" s="296"/>
      <c r="L76" s="296"/>
      <c r="M76" s="110"/>
      <c r="N76" s="329"/>
      <c r="O76" s="329"/>
      <c r="P76" s="1"/>
      <c r="Q76" s="1"/>
      <c r="R76" s="1"/>
      <c r="S76" s="1"/>
      <c r="T76" s="1"/>
      <c r="U76" s="4"/>
      <c r="V76" s="4"/>
      <c r="W76" s="4"/>
      <c r="X76" s="4"/>
      <c r="Y76" s="4"/>
      <c r="Z76" s="4"/>
      <c r="AA76" s="4"/>
    </row>
    <row r="77" spans="1:27" ht="13.5" customHeight="1">
      <c r="A77" s="110"/>
      <c r="B77" s="68" t="s">
        <v>5137</v>
      </c>
      <c r="C77" s="390" t="s">
        <v>5138</v>
      </c>
      <c r="D77" s="341">
        <v>2681953133.25</v>
      </c>
      <c r="E77" s="341">
        <v>2883389682.25</v>
      </c>
      <c r="F77" s="341">
        <v>3296852283</v>
      </c>
      <c r="G77" s="341">
        <v>3357227138</v>
      </c>
      <c r="H77" s="341">
        <v>3461237018</v>
      </c>
      <c r="I77" s="407">
        <v>3498061818</v>
      </c>
      <c r="J77" s="341">
        <f>BS!D78</f>
        <v>3498061818</v>
      </c>
      <c r="K77" s="330"/>
      <c r="L77" s="388"/>
      <c r="M77" s="110"/>
      <c r="N77" s="329"/>
      <c r="O77" s="329"/>
      <c r="P77" s="1"/>
      <c r="Q77" s="1"/>
      <c r="R77" s="1"/>
      <c r="S77" s="1"/>
      <c r="T77" s="1"/>
      <c r="U77" s="4"/>
      <c r="V77" s="4"/>
      <c r="W77" s="4"/>
      <c r="X77" s="4"/>
      <c r="Y77" s="4"/>
      <c r="Z77" s="4"/>
      <c r="AA77" s="4"/>
    </row>
    <row r="78" spans="1:27" ht="13.5" customHeight="1">
      <c r="A78" s="110"/>
      <c r="B78" s="68" t="s">
        <v>3156</v>
      </c>
      <c r="C78" s="390" t="s">
        <v>5139</v>
      </c>
      <c r="D78" s="341">
        <v>3752011393</v>
      </c>
      <c r="E78" s="341">
        <v>4566869754</v>
      </c>
      <c r="F78" s="341">
        <v>4980681410</v>
      </c>
      <c r="G78" s="341">
        <v>5418979883</v>
      </c>
      <c r="H78" s="341">
        <v>5707950438</v>
      </c>
      <c r="I78" s="407">
        <v>6193854199</v>
      </c>
      <c r="J78" s="341">
        <f>BS!D79</f>
        <v>6202169449</v>
      </c>
      <c r="K78" s="330"/>
      <c r="L78" s="388"/>
      <c r="M78" s="110"/>
      <c r="N78" s="329"/>
      <c r="O78" s="329"/>
      <c r="P78" s="1"/>
      <c r="Q78" s="1"/>
      <c r="R78" s="1"/>
      <c r="S78" s="1"/>
      <c r="T78" s="1"/>
      <c r="U78" s="4"/>
      <c r="V78" s="4"/>
      <c r="W78" s="4"/>
      <c r="X78" s="4"/>
      <c r="Y78" s="4"/>
      <c r="Z78" s="4"/>
      <c r="AA78" s="4"/>
    </row>
    <row r="79" spans="1:27" ht="13.5" customHeight="1">
      <c r="A79" s="110"/>
      <c r="B79" s="68" t="s">
        <v>5140</v>
      </c>
      <c r="C79" s="390" t="s">
        <v>5141</v>
      </c>
      <c r="D79" s="341">
        <v>702997260</v>
      </c>
      <c r="E79" s="341">
        <v>746890680</v>
      </c>
      <c r="F79" s="341">
        <v>961118810</v>
      </c>
      <c r="G79" s="341">
        <v>1052209500</v>
      </c>
      <c r="H79" s="341">
        <v>1096663250</v>
      </c>
      <c r="I79" s="407">
        <v>1119929840</v>
      </c>
      <c r="J79" s="341">
        <f>BS!D80</f>
        <v>1128029840</v>
      </c>
      <c r="K79" s="330"/>
      <c r="L79" s="388"/>
      <c r="M79" s="110"/>
      <c r="N79" s="329"/>
      <c r="O79" s="329"/>
      <c r="P79" s="1"/>
      <c r="Q79" s="1"/>
      <c r="R79" s="1"/>
      <c r="S79" s="1"/>
      <c r="T79" s="1"/>
      <c r="U79" s="4"/>
      <c r="V79" s="4"/>
      <c r="W79" s="4"/>
      <c r="X79" s="4"/>
      <c r="Y79" s="4"/>
      <c r="Z79" s="4"/>
      <c r="AA79" s="4"/>
    </row>
    <row r="80" spans="1:27" ht="13.5" customHeight="1">
      <c r="A80" s="110"/>
      <c r="B80" s="68" t="s">
        <v>5142</v>
      </c>
      <c r="C80" s="390" t="s">
        <v>5143</v>
      </c>
      <c r="D80" s="341">
        <v>70000000</v>
      </c>
      <c r="E80" s="341">
        <v>70000000</v>
      </c>
      <c r="F80" s="341">
        <v>70000000</v>
      </c>
      <c r="G80" s="341">
        <v>70000000</v>
      </c>
      <c r="H80" s="341">
        <v>70000000</v>
      </c>
      <c r="I80" s="407">
        <v>70000000</v>
      </c>
      <c r="J80" s="341">
        <f>BS!D81</f>
        <v>70000000</v>
      </c>
      <c r="K80" s="330"/>
      <c r="L80" s="388"/>
      <c r="M80" s="110"/>
      <c r="N80" s="329"/>
      <c r="O80" s="329"/>
      <c r="P80" s="1"/>
      <c r="Q80" s="1"/>
      <c r="R80" s="1"/>
      <c r="S80" s="1"/>
      <c r="T80" s="1"/>
      <c r="U80" s="4"/>
      <c r="V80" s="4"/>
      <c r="W80" s="4"/>
      <c r="X80" s="4"/>
      <c r="Y80" s="4"/>
      <c r="Z80" s="4"/>
      <c r="AA80" s="4"/>
    </row>
    <row r="81" spans="1:27" ht="13.5" customHeight="1">
      <c r="A81" s="110"/>
      <c r="B81" s="68" t="s">
        <v>5144</v>
      </c>
      <c r="C81" s="390" t="s">
        <v>5145</v>
      </c>
      <c r="D81" s="341">
        <v>228000000</v>
      </c>
      <c r="E81" s="341">
        <v>228000000</v>
      </c>
      <c r="F81" s="341">
        <v>228000000</v>
      </c>
      <c r="G81" s="341">
        <v>228000000</v>
      </c>
      <c r="H81" s="341">
        <v>228000000</v>
      </c>
      <c r="I81" s="407">
        <v>228000000</v>
      </c>
      <c r="J81" s="341">
        <f>BS!D82</f>
        <v>228000000</v>
      </c>
      <c r="K81" s="330"/>
      <c r="L81" s="388"/>
      <c r="M81" s="110"/>
      <c r="N81" s="329"/>
      <c r="O81" s="329"/>
      <c r="P81" s="1"/>
      <c r="Q81" s="1"/>
      <c r="R81" s="1"/>
      <c r="S81" s="1"/>
      <c r="T81" s="1"/>
      <c r="U81" s="4"/>
      <c r="V81" s="4"/>
      <c r="W81" s="4"/>
      <c r="X81" s="4"/>
      <c r="Y81" s="4"/>
      <c r="Z81" s="4"/>
      <c r="AA81" s="4"/>
    </row>
    <row r="82" spans="1:27" ht="13.5" customHeight="1">
      <c r="A82" s="110"/>
      <c r="B82" s="68" t="s">
        <v>5146</v>
      </c>
      <c r="C82" s="390" t="s">
        <v>5147</v>
      </c>
      <c r="D82" s="341">
        <v>285325000</v>
      </c>
      <c r="E82" s="341">
        <v>285325000</v>
      </c>
      <c r="F82" s="341">
        <v>285325000</v>
      </c>
      <c r="G82" s="341">
        <v>285325000</v>
      </c>
      <c r="H82" s="341">
        <v>287209750</v>
      </c>
      <c r="I82" s="407">
        <v>287209750</v>
      </c>
      <c r="J82" s="341">
        <f>BS!D83</f>
        <v>287209750</v>
      </c>
      <c r="K82" s="330"/>
      <c r="L82" s="388"/>
      <c r="M82" s="110"/>
      <c r="N82" s="329"/>
      <c r="O82" s="329"/>
      <c r="P82" s="1"/>
      <c r="Q82" s="1"/>
      <c r="R82" s="1"/>
      <c r="S82" s="1"/>
      <c r="T82" s="1"/>
      <c r="U82" s="4"/>
      <c r="V82" s="4"/>
      <c r="W82" s="4"/>
      <c r="X82" s="4"/>
      <c r="Y82" s="4"/>
      <c r="Z82" s="4"/>
      <c r="AA82" s="4"/>
    </row>
    <row r="83" spans="1:27" ht="13.5" customHeight="1">
      <c r="A83" s="110"/>
      <c r="B83" s="68" t="s">
        <v>5148</v>
      </c>
      <c r="C83" s="390" t="s">
        <v>5149</v>
      </c>
      <c r="D83" s="341">
        <v>163425000</v>
      </c>
      <c r="E83" s="341">
        <v>163425000</v>
      </c>
      <c r="F83" s="341">
        <v>557145000</v>
      </c>
      <c r="G83" s="341">
        <v>557145000</v>
      </c>
      <c r="H83" s="341">
        <v>557145000</v>
      </c>
      <c r="I83" s="407">
        <v>557145000</v>
      </c>
      <c r="J83" s="341">
        <f>BS!D84</f>
        <v>557145000</v>
      </c>
      <c r="K83" s="330"/>
      <c r="L83" s="388"/>
      <c r="M83" s="110"/>
      <c r="N83" s="329"/>
      <c r="O83" s="329"/>
      <c r="P83" s="329"/>
      <c r="Q83" s="329"/>
      <c r="R83" s="329"/>
      <c r="S83" s="329"/>
      <c r="T83" s="329"/>
      <c r="U83" s="110"/>
      <c r="V83" s="110"/>
      <c r="W83" s="110"/>
      <c r="X83" s="110"/>
      <c r="Y83" s="110"/>
      <c r="Z83" s="110"/>
      <c r="AA83" s="110"/>
    </row>
    <row r="84" spans="1:27" ht="13.5" customHeight="1">
      <c r="A84" s="351"/>
      <c r="B84" s="431" t="s">
        <v>5150</v>
      </c>
      <c r="C84" s="418" t="s">
        <v>5151</v>
      </c>
      <c r="D84" s="338">
        <f t="shared" ref="D84:J84" si="12">SUM(D75:D83)</f>
        <v>20883711786.25</v>
      </c>
      <c r="E84" s="338">
        <f t="shared" si="12"/>
        <v>21943900116.25</v>
      </c>
      <c r="F84" s="338">
        <f t="shared" si="12"/>
        <v>19409122503</v>
      </c>
      <c r="G84" s="338">
        <f t="shared" si="12"/>
        <v>18652677647</v>
      </c>
      <c r="H84" s="338">
        <f t="shared" si="12"/>
        <v>21431996582</v>
      </c>
      <c r="I84" s="338">
        <f t="shared" si="12"/>
        <v>21977991733</v>
      </c>
      <c r="J84" s="338">
        <f t="shared" si="12"/>
        <v>21994406983</v>
      </c>
      <c r="K84" s="330"/>
      <c r="L84" s="388"/>
      <c r="M84" s="110"/>
      <c r="N84" s="329"/>
      <c r="O84" s="329"/>
      <c r="P84" s="1"/>
      <c r="Q84" s="1"/>
      <c r="R84" s="1"/>
      <c r="S84" s="1"/>
      <c r="T84" s="1"/>
      <c r="U84" s="4"/>
      <c r="V84" s="4"/>
      <c r="W84" s="4"/>
      <c r="X84" s="4"/>
      <c r="Y84" s="4"/>
      <c r="Z84" s="4"/>
      <c r="AA84" s="4"/>
    </row>
    <row r="85" spans="1:27" ht="13.5" customHeight="1">
      <c r="A85" s="351"/>
      <c r="B85" s="431" t="s">
        <v>5152</v>
      </c>
      <c r="C85" s="418" t="s">
        <v>5153</v>
      </c>
      <c r="D85" s="338"/>
      <c r="E85" s="338"/>
      <c r="F85" s="338"/>
      <c r="G85" s="338"/>
      <c r="H85" s="338"/>
      <c r="I85" s="341"/>
      <c r="J85" s="338"/>
      <c r="K85" s="330"/>
      <c r="L85" s="388"/>
      <c r="M85" s="110"/>
      <c r="N85" s="329"/>
      <c r="O85" s="329"/>
      <c r="P85" s="1"/>
      <c r="Q85" s="1"/>
      <c r="R85" s="1"/>
      <c r="S85" s="1"/>
      <c r="T85" s="1"/>
      <c r="U85" s="4"/>
      <c r="V85" s="4"/>
      <c r="W85" s="4"/>
      <c r="X85" s="4"/>
      <c r="Y85" s="4"/>
      <c r="Z85" s="4"/>
      <c r="AA85" s="4"/>
    </row>
    <row r="86" spans="1:27" ht="13.5" customHeight="1">
      <c r="A86" s="110"/>
      <c r="B86" s="68" t="s">
        <v>3596</v>
      </c>
      <c r="C86" s="390" t="s">
        <v>5154</v>
      </c>
      <c r="D86" s="341">
        <v>-1841666666.3333325</v>
      </c>
      <c r="E86" s="341">
        <v>-3141666666.333334</v>
      </c>
      <c r="F86" s="341">
        <v>-278041126</v>
      </c>
      <c r="G86" s="341">
        <v>-1181041126</v>
      </c>
      <c r="H86" s="341">
        <v>-2474041126</v>
      </c>
      <c r="I86" s="407">
        <v>-4157041126</v>
      </c>
      <c r="J86" s="341">
        <f>BS!D87</f>
        <v>-4998541126</v>
      </c>
      <c r="K86" s="330"/>
      <c r="L86" s="388"/>
      <c r="M86" s="110"/>
      <c r="N86" s="329"/>
      <c r="O86" s="329"/>
      <c r="P86" s="1"/>
      <c r="Q86" s="1"/>
      <c r="R86" s="1"/>
      <c r="S86" s="1"/>
      <c r="T86" s="1"/>
      <c r="U86" s="4"/>
      <c r="V86" s="4"/>
      <c r="W86" s="4"/>
      <c r="X86" s="4"/>
      <c r="Y86" s="4"/>
      <c r="Z86" s="4"/>
      <c r="AA86" s="4"/>
    </row>
    <row r="87" spans="1:27" ht="13.5" customHeight="1">
      <c r="A87" s="110"/>
      <c r="B87" s="68" t="s">
        <v>3598</v>
      </c>
      <c r="C87" s="390" t="s">
        <v>3599</v>
      </c>
      <c r="D87" s="341">
        <v>-1655372727.0875003</v>
      </c>
      <c r="E87" s="341">
        <v>-2209451933.9041677</v>
      </c>
      <c r="F87" s="341">
        <v>-2665772846</v>
      </c>
      <c r="G87" s="341">
        <v>-2870035218</v>
      </c>
      <c r="H87" s="341">
        <v>-3059019034</v>
      </c>
      <c r="I87" s="407">
        <v>-3242834483</v>
      </c>
      <c r="J87" s="341">
        <f>BS!D88</f>
        <v>-3321450973.2166667</v>
      </c>
      <c r="K87" s="330"/>
      <c r="L87" s="388"/>
      <c r="M87" s="110"/>
      <c r="N87" s="329"/>
      <c r="O87" s="329"/>
      <c r="P87" s="1"/>
      <c r="Q87" s="1"/>
      <c r="R87" s="1"/>
      <c r="S87" s="1"/>
      <c r="T87" s="1"/>
      <c r="U87" s="4"/>
      <c r="V87" s="4"/>
      <c r="W87" s="4"/>
      <c r="X87" s="4"/>
      <c r="Y87" s="4"/>
      <c r="Z87" s="4"/>
      <c r="AA87" s="4"/>
    </row>
    <row r="88" spans="1:27" ht="13.5" customHeight="1">
      <c r="A88" s="110"/>
      <c r="B88" s="68" t="s">
        <v>3600</v>
      </c>
      <c r="C88" s="390" t="s">
        <v>3601</v>
      </c>
      <c r="D88" s="341">
        <v>-2797021595.9549999</v>
      </c>
      <c r="E88" s="341">
        <v>-3519958634.5800014</v>
      </c>
      <c r="F88" s="341">
        <v>-4020068167</v>
      </c>
      <c r="G88" s="341">
        <v>-3033394900</v>
      </c>
      <c r="H88" s="341">
        <v>-3473368535</v>
      </c>
      <c r="I88" s="407">
        <v>-3996057598</v>
      </c>
      <c r="J88" s="341">
        <f>BS!D89</f>
        <v>-4194231367.3958335</v>
      </c>
      <c r="K88" s="330"/>
      <c r="L88" s="388"/>
      <c r="M88" s="110"/>
      <c r="N88" s="329"/>
      <c r="O88" s="329"/>
      <c r="P88" s="1"/>
      <c r="Q88" s="1"/>
      <c r="R88" s="1"/>
      <c r="S88" s="1"/>
      <c r="T88" s="1"/>
      <c r="U88" s="4"/>
      <c r="V88" s="4"/>
      <c r="W88" s="4"/>
      <c r="X88" s="4"/>
      <c r="Y88" s="4"/>
      <c r="Z88" s="4"/>
      <c r="AA88" s="4"/>
    </row>
    <row r="89" spans="1:27" ht="13.5" customHeight="1">
      <c r="A89" s="110"/>
      <c r="B89" s="68" t="s">
        <v>3602</v>
      </c>
      <c r="C89" s="390" t="s">
        <v>3603</v>
      </c>
      <c r="D89" s="341">
        <v>-464819791.20833349</v>
      </c>
      <c r="E89" s="341">
        <v>-603763677.45833361</v>
      </c>
      <c r="F89" s="341">
        <v>-693653388</v>
      </c>
      <c r="G89" s="341">
        <v>-790984655</v>
      </c>
      <c r="H89" s="341">
        <v>-889613073</v>
      </c>
      <c r="I89" s="407">
        <v>-992782423</v>
      </c>
      <c r="J89" s="341">
        <f>BS!D90</f>
        <v>-1039970999.6666666</v>
      </c>
      <c r="K89" s="330"/>
      <c r="L89" s="388"/>
      <c r="M89" s="110"/>
      <c r="N89" s="329"/>
      <c r="O89" s="329"/>
      <c r="P89" s="1"/>
      <c r="Q89" s="1"/>
      <c r="R89" s="1"/>
      <c r="S89" s="1"/>
      <c r="T89" s="1"/>
      <c r="U89" s="4"/>
      <c r="V89" s="4"/>
      <c r="W89" s="4"/>
      <c r="X89" s="4"/>
      <c r="Y89" s="4"/>
      <c r="Z89" s="4"/>
      <c r="AA89" s="4"/>
    </row>
    <row r="90" spans="1:27" ht="13.5" customHeight="1">
      <c r="A90" s="110"/>
      <c r="B90" s="68" t="s">
        <v>5155</v>
      </c>
      <c r="C90" s="390" t="s">
        <v>5156</v>
      </c>
      <c r="D90" s="341">
        <v>-49937501.333333269</v>
      </c>
      <c r="E90" s="341">
        <v>-62500001.333333239</v>
      </c>
      <c r="F90" s="341">
        <v>-70000002</v>
      </c>
      <c r="G90" s="341">
        <v>-70000002</v>
      </c>
      <c r="H90" s="341">
        <v>-70000002</v>
      </c>
      <c r="I90" s="407">
        <v>-70000002</v>
      </c>
      <c r="J90" s="341">
        <f>BS!D91</f>
        <v>-70000002</v>
      </c>
      <c r="K90" s="330"/>
      <c r="L90" s="388"/>
      <c r="M90" s="110"/>
      <c r="N90" s="329"/>
      <c r="O90" s="329"/>
      <c r="P90" s="1"/>
      <c r="Q90" s="1"/>
      <c r="R90" s="1"/>
      <c r="S90" s="1"/>
      <c r="T90" s="1"/>
      <c r="U90" s="4"/>
      <c r="V90" s="4"/>
      <c r="W90" s="4"/>
      <c r="X90" s="4"/>
      <c r="Y90" s="4"/>
      <c r="Z90" s="4"/>
      <c r="AA90" s="4"/>
    </row>
    <row r="91" spans="1:27" ht="13.5" customHeight="1">
      <c r="A91" s="110"/>
      <c r="B91" s="68" t="s">
        <v>3604</v>
      </c>
      <c r="C91" s="390" t="s">
        <v>3605</v>
      </c>
      <c r="D91" s="341">
        <v>-28550000</v>
      </c>
      <c r="E91" s="341">
        <v>-51350000</v>
      </c>
      <c r="F91" s="341">
        <v>-74150000</v>
      </c>
      <c r="G91" s="341">
        <v>-96950000</v>
      </c>
      <c r="H91" s="341">
        <v>-119750000</v>
      </c>
      <c r="I91" s="407">
        <v>-142550000</v>
      </c>
      <c r="J91" s="341">
        <f>BS!D92</f>
        <v>-153950000</v>
      </c>
      <c r="K91" s="330"/>
      <c r="L91" s="388"/>
      <c r="M91" s="110"/>
      <c r="N91" s="329"/>
      <c r="O91" s="329"/>
      <c r="P91" s="1"/>
      <c r="Q91" s="1"/>
      <c r="R91" s="1"/>
      <c r="S91" s="1"/>
      <c r="T91" s="1"/>
      <c r="U91" s="4"/>
      <c r="V91" s="4"/>
      <c r="W91" s="4"/>
      <c r="X91" s="4"/>
      <c r="Y91" s="4"/>
      <c r="Z91" s="4"/>
      <c r="AA91" s="4"/>
    </row>
    <row r="92" spans="1:27" ht="13.5" customHeight="1">
      <c r="A92" s="110"/>
      <c r="B92" s="68" t="s">
        <v>3606</v>
      </c>
      <c r="C92" s="390" t="s">
        <v>3607</v>
      </c>
      <c r="D92" s="341">
        <v>-173991454.66666678</v>
      </c>
      <c r="E92" s="341">
        <v>-223523954.6666669</v>
      </c>
      <c r="F92" s="341">
        <v>-252056453</v>
      </c>
      <c r="G92" s="341">
        <v>-259588949</v>
      </c>
      <c r="H92" s="341">
        <v>-267325627</v>
      </c>
      <c r="I92" s="407">
        <v>-275078018</v>
      </c>
      <c r="J92" s="341">
        <f>BS!D93</f>
        <v>-278938507.58333331</v>
      </c>
      <c r="K92" s="330"/>
      <c r="L92" s="388"/>
      <c r="M92" s="110"/>
      <c r="N92" s="329"/>
      <c r="O92" s="329"/>
      <c r="P92" s="1"/>
      <c r="Q92" s="1"/>
      <c r="R92" s="1"/>
      <c r="S92" s="1"/>
      <c r="T92" s="1"/>
      <c r="U92" s="4"/>
      <c r="V92" s="4"/>
      <c r="W92" s="4"/>
      <c r="X92" s="4"/>
      <c r="Y92" s="4"/>
      <c r="Z92" s="4"/>
      <c r="AA92" s="4"/>
    </row>
    <row r="93" spans="1:27" ht="13.5" customHeight="1">
      <c r="A93" s="110"/>
      <c r="B93" s="68" t="s">
        <v>3608</v>
      </c>
      <c r="C93" s="390" t="s">
        <v>3609</v>
      </c>
      <c r="D93" s="341">
        <v>-19049583.333333328</v>
      </c>
      <c r="E93" s="341">
        <v>-35392083.333333328</v>
      </c>
      <c r="F93" s="341">
        <v>-64858583</v>
      </c>
      <c r="G93" s="341">
        <v>-120573083</v>
      </c>
      <c r="H93" s="341">
        <v>-176287583</v>
      </c>
      <c r="I93" s="407">
        <v>-232002083</v>
      </c>
      <c r="J93" s="341">
        <f>BS!D94</f>
        <v>-259859333</v>
      </c>
      <c r="K93" s="330"/>
      <c r="L93" s="388"/>
      <c r="M93" s="110"/>
      <c r="N93" s="329"/>
      <c r="O93" s="329"/>
      <c r="P93" s="329"/>
      <c r="Q93" s="329"/>
      <c r="R93" s="329"/>
      <c r="S93" s="329"/>
      <c r="T93" s="329"/>
      <c r="U93" s="110"/>
      <c r="V93" s="110"/>
      <c r="W93" s="110"/>
      <c r="X93" s="110"/>
      <c r="Y93" s="110"/>
      <c r="Z93" s="110"/>
      <c r="AA93" s="110"/>
    </row>
    <row r="94" spans="1:27" ht="13.5" customHeight="1">
      <c r="A94" s="351"/>
      <c r="B94" s="431" t="s">
        <v>5157</v>
      </c>
      <c r="C94" s="418" t="s">
        <v>5158</v>
      </c>
      <c r="D94" s="338">
        <f t="shared" ref="D94:J94" si="13">SUM(D86:D93)</f>
        <v>-7030409319.9174986</v>
      </c>
      <c r="E94" s="338">
        <f t="shared" si="13"/>
        <v>-9847606951.6091709</v>
      </c>
      <c r="F94" s="338">
        <f t="shared" si="13"/>
        <v>-8118600565</v>
      </c>
      <c r="G94" s="338">
        <f t="shared" si="13"/>
        <v>-8422567933</v>
      </c>
      <c r="H94" s="338">
        <f t="shared" si="13"/>
        <v>-10529404980</v>
      </c>
      <c r="I94" s="405">
        <f t="shared" si="13"/>
        <v>-13108345733</v>
      </c>
      <c r="J94" s="338">
        <f t="shared" si="13"/>
        <v>-14316942308.862501</v>
      </c>
      <c r="K94" s="330"/>
      <c r="L94" s="388"/>
      <c r="M94" s="110"/>
      <c r="N94" s="329"/>
      <c r="O94" s="329"/>
      <c r="P94" s="1"/>
      <c r="Q94" s="1"/>
      <c r="R94" s="1"/>
      <c r="S94" s="1"/>
      <c r="T94" s="1"/>
      <c r="U94" s="4"/>
      <c r="V94" s="4"/>
      <c r="W94" s="4"/>
      <c r="X94" s="4"/>
      <c r="Y94" s="4"/>
      <c r="Z94" s="4"/>
      <c r="AA94" s="4"/>
    </row>
    <row r="95" spans="1:27" ht="13.5" customHeight="1">
      <c r="A95" s="110"/>
      <c r="B95" s="68"/>
      <c r="C95" s="390"/>
      <c r="D95" s="341"/>
      <c r="E95" s="341"/>
      <c r="F95" s="341"/>
      <c r="G95" s="341"/>
      <c r="H95" s="341"/>
      <c r="I95" s="341"/>
      <c r="J95" s="341"/>
      <c r="K95" s="330"/>
      <c r="L95" s="388"/>
      <c r="M95" s="110"/>
      <c r="N95" s="329"/>
      <c r="O95" s="329"/>
      <c r="P95" s="1"/>
      <c r="Q95" s="1"/>
      <c r="R95" s="1"/>
      <c r="S95" s="1"/>
      <c r="T95" s="1"/>
      <c r="U95" s="4"/>
      <c r="V95" s="4"/>
      <c r="W95" s="4"/>
      <c r="X95" s="4"/>
      <c r="Y95" s="4"/>
      <c r="Z95" s="4"/>
      <c r="AA95" s="4"/>
    </row>
    <row r="96" spans="1:27" ht="13.5" customHeight="1">
      <c r="A96" s="351"/>
      <c r="B96" s="431" t="s">
        <v>5159</v>
      </c>
      <c r="C96" s="22" t="s">
        <v>5160</v>
      </c>
      <c r="D96" s="338"/>
      <c r="E96" s="338"/>
      <c r="F96" s="338"/>
      <c r="G96" s="338"/>
      <c r="H96" s="338"/>
      <c r="I96" s="341"/>
      <c r="J96" s="338"/>
      <c r="K96" s="330"/>
      <c r="L96" s="388"/>
      <c r="M96" s="110"/>
      <c r="N96" s="329"/>
      <c r="O96" s="329"/>
      <c r="P96" s="1"/>
      <c r="Q96" s="1"/>
      <c r="R96" s="1"/>
      <c r="S96" s="1"/>
      <c r="T96" s="1"/>
      <c r="U96" s="4"/>
      <c r="V96" s="4"/>
      <c r="W96" s="4"/>
      <c r="X96" s="4"/>
      <c r="Y96" s="4"/>
      <c r="Z96" s="4"/>
      <c r="AA96" s="4"/>
    </row>
    <row r="97" spans="1:27" ht="13.5" customHeight="1">
      <c r="A97" s="110"/>
      <c r="B97" s="68" t="s">
        <v>5161</v>
      </c>
      <c r="C97" s="340" t="s">
        <v>5160</v>
      </c>
      <c r="D97" s="341">
        <v>275389400</v>
      </c>
      <c r="E97" s="341">
        <v>275389400</v>
      </c>
      <c r="F97" s="341">
        <v>275389400</v>
      </c>
      <c r="G97" s="341">
        <v>275389400</v>
      </c>
      <c r="H97" s="341">
        <v>275389400</v>
      </c>
      <c r="I97" s="407">
        <v>275389400</v>
      </c>
      <c r="J97" s="341">
        <f>BS!D98</f>
        <v>275389400</v>
      </c>
      <c r="K97" s="330"/>
      <c r="L97" s="388"/>
      <c r="M97" s="110"/>
      <c r="N97" s="329"/>
      <c r="O97" s="329"/>
      <c r="P97" s="1"/>
      <c r="Q97" s="1"/>
      <c r="R97" s="1"/>
      <c r="S97" s="1"/>
      <c r="T97" s="1"/>
      <c r="U97" s="4"/>
      <c r="V97" s="4"/>
      <c r="W97" s="4"/>
      <c r="X97" s="4"/>
      <c r="Y97" s="4"/>
      <c r="Z97" s="4"/>
      <c r="AA97" s="4"/>
    </row>
    <row r="98" spans="1:27" ht="13.5" customHeight="1">
      <c r="A98" s="110"/>
      <c r="B98" s="68" t="s">
        <v>5162</v>
      </c>
      <c r="C98" s="340" t="s">
        <v>5163</v>
      </c>
      <c r="D98" s="341">
        <v>0</v>
      </c>
      <c r="E98" s="341">
        <v>0</v>
      </c>
      <c r="F98" s="341">
        <v>0</v>
      </c>
      <c r="G98" s="341">
        <v>0</v>
      </c>
      <c r="H98" s="341" t="s">
        <v>3828</v>
      </c>
      <c r="I98" s="341" t="s">
        <v>3828</v>
      </c>
      <c r="J98" s="341">
        <f>BS!D99</f>
        <v>0</v>
      </c>
      <c r="K98" s="330"/>
      <c r="L98" s="388"/>
      <c r="M98" s="110"/>
      <c r="N98" s="329"/>
      <c r="O98" s="329"/>
      <c r="P98" s="1"/>
      <c r="Q98" s="1"/>
      <c r="R98" s="1"/>
      <c r="S98" s="1"/>
      <c r="T98" s="1"/>
      <c r="U98" s="4"/>
      <c r="V98" s="4"/>
      <c r="W98" s="4"/>
      <c r="X98" s="4"/>
      <c r="Y98" s="4"/>
      <c r="Z98" s="4"/>
      <c r="AA98" s="4"/>
    </row>
    <row r="99" spans="1:27" ht="13.5" customHeight="1">
      <c r="A99" s="110"/>
      <c r="B99" s="68" t="s">
        <v>5164</v>
      </c>
      <c r="C99" s="22" t="s">
        <v>5165</v>
      </c>
      <c r="D99" s="338">
        <f t="shared" ref="D99:J99" si="14">SUM(D97:D98)</f>
        <v>275389400</v>
      </c>
      <c r="E99" s="338">
        <f t="shared" si="14"/>
        <v>275389400</v>
      </c>
      <c r="F99" s="338">
        <f t="shared" si="14"/>
        <v>275389400</v>
      </c>
      <c r="G99" s="338">
        <f t="shared" si="14"/>
        <v>275389400</v>
      </c>
      <c r="H99" s="338">
        <f t="shared" si="14"/>
        <v>275389400</v>
      </c>
      <c r="I99" s="338">
        <f t="shared" si="14"/>
        <v>275389400</v>
      </c>
      <c r="J99" s="338">
        <f t="shared" si="14"/>
        <v>275389400</v>
      </c>
      <c r="K99" s="330"/>
      <c r="L99" s="388"/>
      <c r="M99" s="110"/>
      <c r="N99" s="329"/>
      <c r="O99" s="329"/>
      <c r="P99" s="1"/>
      <c r="Q99" s="1"/>
      <c r="R99" s="1"/>
      <c r="S99" s="1"/>
      <c r="T99" s="1"/>
      <c r="U99" s="4"/>
      <c r="V99" s="4"/>
      <c r="W99" s="4"/>
      <c r="X99" s="4"/>
      <c r="Y99" s="4"/>
      <c r="Z99" s="4"/>
      <c r="AA99" s="4"/>
    </row>
    <row r="100" spans="1:27" ht="13.5" customHeight="1">
      <c r="A100" s="110"/>
      <c r="B100" s="68"/>
      <c r="C100" s="22"/>
      <c r="D100" s="341"/>
      <c r="E100" s="341"/>
      <c r="F100" s="341"/>
      <c r="G100" s="341"/>
      <c r="H100" s="341"/>
      <c r="I100" s="341"/>
      <c r="J100" s="341"/>
      <c r="K100" s="330"/>
      <c r="L100" s="388"/>
      <c r="M100" s="110"/>
      <c r="N100" s="329"/>
      <c r="O100" s="329"/>
      <c r="P100" s="1"/>
      <c r="Q100" s="1"/>
      <c r="R100" s="1"/>
      <c r="S100" s="1"/>
      <c r="T100" s="1"/>
      <c r="U100" s="4"/>
      <c r="V100" s="4"/>
      <c r="W100" s="4"/>
      <c r="X100" s="4"/>
      <c r="Y100" s="4"/>
      <c r="Z100" s="4"/>
      <c r="AA100" s="4"/>
    </row>
    <row r="101" spans="1:27" ht="13.5" customHeight="1">
      <c r="A101" s="110"/>
      <c r="B101" s="68" t="s">
        <v>5166</v>
      </c>
      <c r="C101" s="22" t="s">
        <v>5167</v>
      </c>
      <c r="D101" s="338">
        <f t="shared" ref="D101:J101" si="15">D99+D94+D84</f>
        <v>14128691866.3325</v>
      </c>
      <c r="E101" s="338">
        <f t="shared" si="15"/>
        <v>12371682564.640829</v>
      </c>
      <c r="F101" s="338">
        <f t="shared" si="15"/>
        <v>11565911338</v>
      </c>
      <c r="G101" s="338">
        <f t="shared" si="15"/>
        <v>10505499114</v>
      </c>
      <c r="H101" s="338">
        <f t="shared" si="15"/>
        <v>11177981002</v>
      </c>
      <c r="I101" s="338">
        <f t="shared" si="15"/>
        <v>9145035400</v>
      </c>
      <c r="J101" s="338">
        <f t="shared" si="15"/>
        <v>7952854074.1374989</v>
      </c>
      <c r="K101" s="330"/>
      <c r="L101" s="388"/>
      <c r="M101" s="110"/>
      <c r="N101" s="329"/>
      <c r="O101" s="329"/>
      <c r="P101" s="1"/>
      <c r="Q101" s="1"/>
      <c r="R101" s="1"/>
      <c r="S101" s="1"/>
      <c r="T101" s="1"/>
      <c r="U101" s="4"/>
      <c r="V101" s="4"/>
      <c r="W101" s="4"/>
      <c r="X101" s="4"/>
      <c r="Y101" s="4"/>
      <c r="Z101" s="4"/>
      <c r="AA101" s="4"/>
    </row>
    <row r="102" spans="1:27" ht="13.5" customHeight="1">
      <c r="A102" s="110"/>
      <c r="B102" s="68"/>
      <c r="C102" s="22"/>
      <c r="D102" s="338"/>
      <c r="E102" s="338"/>
      <c r="F102" s="338"/>
      <c r="G102" s="338"/>
      <c r="H102" s="338"/>
      <c r="I102" s="338"/>
      <c r="J102" s="338"/>
      <c r="K102" s="330"/>
      <c r="L102" s="388"/>
      <c r="M102" s="110"/>
      <c r="N102" s="329"/>
      <c r="O102" s="329"/>
      <c r="P102" s="1"/>
      <c r="Q102" s="1"/>
      <c r="R102" s="1"/>
      <c r="S102" s="1"/>
      <c r="T102" s="1"/>
      <c r="U102" s="4"/>
      <c r="V102" s="4"/>
      <c r="W102" s="4"/>
      <c r="X102" s="4"/>
      <c r="Y102" s="4"/>
      <c r="Z102" s="4"/>
      <c r="AA102" s="4"/>
    </row>
    <row r="103" spans="1:27" ht="13.5" customHeight="1">
      <c r="A103" s="110"/>
      <c r="B103" s="68" t="s">
        <v>5168</v>
      </c>
      <c r="C103" s="22" t="s">
        <v>5169</v>
      </c>
      <c r="D103" s="338">
        <f t="shared" ref="D103:J103" si="16">D101+D71</f>
        <v>14669680343.006929</v>
      </c>
      <c r="E103" s="338">
        <f t="shared" si="16"/>
        <v>13307921485.872473</v>
      </c>
      <c r="F103" s="338">
        <f t="shared" si="16"/>
        <v>13212531166.410959</v>
      </c>
      <c r="G103" s="338">
        <f t="shared" si="16"/>
        <v>12755296540.998255</v>
      </c>
      <c r="H103" s="338">
        <f t="shared" si="16"/>
        <v>13244712446</v>
      </c>
      <c r="I103" s="338">
        <f t="shared" si="16"/>
        <v>28334763668</v>
      </c>
      <c r="J103" s="338">
        <f t="shared" si="16"/>
        <v>29738146440.185852</v>
      </c>
      <c r="K103" s="330"/>
      <c r="L103" s="388"/>
      <c r="M103" s="110"/>
      <c r="N103" s="329"/>
      <c r="O103" s="329"/>
      <c r="P103" s="1"/>
      <c r="Q103" s="1"/>
      <c r="R103" s="1"/>
      <c r="S103" s="1"/>
      <c r="T103" s="1"/>
      <c r="U103" s="4"/>
      <c r="V103" s="4"/>
      <c r="W103" s="4"/>
      <c r="X103" s="4"/>
      <c r="Y103" s="4"/>
      <c r="Z103" s="4"/>
      <c r="AA103" s="4"/>
    </row>
    <row r="104" spans="1:27" ht="13.5" customHeight="1">
      <c r="A104" s="110"/>
      <c r="B104" s="68"/>
      <c r="C104" s="390"/>
      <c r="D104" s="341"/>
      <c r="E104" s="341"/>
      <c r="F104" s="341"/>
      <c r="G104" s="341"/>
      <c r="H104" s="341"/>
      <c r="I104" s="341"/>
      <c r="J104" s="341"/>
      <c r="K104" s="330"/>
      <c r="L104" s="388"/>
      <c r="M104" s="110"/>
      <c r="N104" s="329"/>
      <c r="O104" s="329"/>
      <c r="P104" s="1"/>
      <c r="Q104" s="1"/>
      <c r="R104" s="1"/>
      <c r="S104" s="1"/>
      <c r="T104" s="1"/>
      <c r="U104" s="4"/>
      <c r="V104" s="4"/>
      <c r="W104" s="4"/>
      <c r="X104" s="4"/>
      <c r="Y104" s="4"/>
      <c r="Z104" s="4"/>
      <c r="AA104" s="4"/>
    </row>
    <row r="105" spans="1:27" ht="13.5" customHeight="1">
      <c r="A105" s="351"/>
      <c r="B105" s="431" t="s">
        <v>5170</v>
      </c>
      <c r="C105" s="418" t="s">
        <v>5171</v>
      </c>
      <c r="D105" s="338"/>
      <c r="E105" s="338"/>
      <c r="F105" s="338"/>
      <c r="G105" s="338"/>
      <c r="H105" s="338"/>
      <c r="I105" s="341"/>
      <c r="J105" s="338"/>
      <c r="K105" s="330"/>
      <c r="L105" s="388"/>
      <c r="M105" s="110"/>
      <c r="N105" s="329"/>
      <c r="O105" s="329"/>
      <c r="P105" s="1"/>
      <c r="Q105" s="1"/>
      <c r="R105" s="1"/>
      <c r="S105" s="1"/>
      <c r="T105" s="1"/>
      <c r="U105" s="4"/>
      <c r="V105" s="4"/>
      <c r="W105" s="4"/>
      <c r="X105" s="4"/>
      <c r="Y105" s="4"/>
      <c r="Z105" s="4"/>
      <c r="AA105" s="4"/>
    </row>
    <row r="106" spans="1:27" ht="13.5" customHeight="1">
      <c r="A106" s="351"/>
      <c r="B106" s="431" t="s">
        <v>5172</v>
      </c>
      <c r="C106" s="418" t="s">
        <v>5173</v>
      </c>
      <c r="D106" s="338"/>
      <c r="E106" s="338"/>
      <c r="F106" s="338"/>
      <c r="G106" s="338"/>
      <c r="H106" s="338"/>
      <c r="I106" s="341"/>
      <c r="J106" s="338"/>
      <c r="K106" s="330"/>
      <c r="L106" s="388"/>
      <c r="M106" s="110"/>
      <c r="N106" s="329"/>
      <c r="O106" s="329"/>
      <c r="P106" s="1"/>
      <c r="Q106" s="1"/>
      <c r="R106" s="1"/>
      <c r="S106" s="1"/>
      <c r="T106" s="1"/>
      <c r="U106" s="4"/>
      <c r="V106" s="4"/>
      <c r="W106" s="4"/>
      <c r="X106" s="4"/>
      <c r="Y106" s="4"/>
      <c r="Z106" s="4"/>
      <c r="AA106" s="4"/>
    </row>
    <row r="107" spans="1:27" ht="13.5" customHeight="1">
      <c r="A107" s="110"/>
      <c r="B107" s="68" t="s">
        <v>5174</v>
      </c>
      <c r="C107" s="340" t="s">
        <v>5175</v>
      </c>
      <c r="D107" s="341">
        <v>107250000</v>
      </c>
      <c r="E107" s="341">
        <v>107250000</v>
      </c>
      <c r="F107" s="341">
        <v>107250000</v>
      </c>
      <c r="G107" s="341">
        <v>107250000</v>
      </c>
      <c r="H107" s="341">
        <v>107250000</v>
      </c>
      <c r="I107" s="407">
        <v>107250000</v>
      </c>
      <c r="J107" s="341">
        <f>BS!D108</f>
        <v>107250000</v>
      </c>
      <c r="K107" s="330"/>
      <c r="L107" s="388"/>
      <c r="M107" s="110"/>
      <c r="N107" s="329"/>
      <c r="O107" s="329"/>
      <c r="P107" s="1"/>
      <c r="Q107" s="1"/>
      <c r="R107" s="1"/>
      <c r="S107" s="1"/>
      <c r="T107" s="1"/>
      <c r="U107" s="4"/>
      <c r="V107" s="4"/>
      <c r="W107" s="4"/>
      <c r="X107" s="4"/>
      <c r="Y107" s="4"/>
      <c r="Z107" s="4"/>
      <c r="AA107" s="4"/>
    </row>
    <row r="108" spans="1:27" ht="13.5" customHeight="1">
      <c r="A108" s="110"/>
      <c r="B108" s="68" t="s">
        <v>285</v>
      </c>
      <c r="C108" s="340" t="s">
        <v>5176</v>
      </c>
      <c r="D108" s="341">
        <v>133412753.95000005</v>
      </c>
      <c r="E108" s="341">
        <v>205097194.43966669</v>
      </c>
      <c r="F108" s="341">
        <v>727329035.60000002</v>
      </c>
      <c r="G108" s="341">
        <v>819112397.48000002</v>
      </c>
      <c r="H108" s="341">
        <v>1489094444</v>
      </c>
      <c r="I108" s="407">
        <v>1506841871</v>
      </c>
      <c r="J108" s="341">
        <f>BS!D109</f>
        <v>1769508988.1600001</v>
      </c>
      <c r="K108" s="330"/>
      <c r="L108" s="388"/>
      <c r="M108" s="110"/>
      <c r="N108" s="329"/>
      <c r="O108" s="329"/>
      <c r="P108" s="1"/>
      <c r="Q108" s="1"/>
      <c r="R108" s="1"/>
      <c r="S108" s="1"/>
      <c r="T108" s="1"/>
      <c r="U108" s="4"/>
      <c r="V108" s="4"/>
      <c r="W108" s="4"/>
      <c r="X108" s="4"/>
      <c r="Y108" s="4"/>
      <c r="Z108" s="4"/>
      <c r="AA108" s="4"/>
    </row>
    <row r="109" spans="1:27" ht="13.5" customHeight="1">
      <c r="A109" s="110"/>
      <c r="B109" s="431"/>
      <c r="C109" s="22"/>
      <c r="D109" s="338"/>
      <c r="E109" s="338"/>
      <c r="F109" s="338"/>
      <c r="G109" s="338"/>
      <c r="H109" s="338"/>
      <c r="I109" s="341"/>
      <c r="J109" s="338"/>
      <c r="K109" s="330"/>
      <c r="L109" s="388"/>
      <c r="M109" s="110"/>
      <c r="N109" s="329"/>
      <c r="O109" s="329"/>
      <c r="P109" s="1"/>
      <c r="Q109" s="1"/>
      <c r="R109" s="1"/>
      <c r="S109" s="1"/>
      <c r="T109" s="1"/>
      <c r="U109" s="4"/>
      <c r="V109" s="4"/>
      <c r="W109" s="4"/>
      <c r="X109" s="4"/>
      <c r="Y109" s="4"/>
      <c r="Z109" s="4"/>
      <c r="AA109" s="4"/>
    </row>
    <row r="110" spans="1:27" ht="13.5" customHeight="1">
      <c r="A110" s="351"/>
      <c r="B110" s="431" t="s">
        <v>5177</v>
      </c>
      <c r="C110" s="418" t="s">
        <v>5178</v>
      </c>
      <c r="D110" s="338">
        <f t="shared" ref="D110:J110" si="17">SUM(D107:D108)</f>
        <v>240662753.95000005</v>
      </c>
      <c r="E110" s="338">
        <f t="shared" si="17"/>
        <v>312347194.43966669</v>
      </c>
      <c r="F110" s="338">
        <f t="shared" si="17"/>
        <v>834579035.60000002</v>
      </c>
      <c r="G110" s="338">
        <f t="shared" si="17"/>
        <v>926362397.48000002</v>
      </c>
      <c r="H110" s="338">
        <f t="shared" si="17"/>
        <v>1596344444</v>
      </c>
      <c r="I110" s="338">
        <f t="shared" si="17"/>
        <v>1614091871</v>
      </c>
      <c r="J110" s="338">
        <f t="shared" si="17"/>
        <v>1876758988.1600001</v>
      </c>
      <c r="K110" s="330"/>
      <c r="L110" s="388"/>
      <c r="M110" s="110"/>
      <c r="N110" s="329"/>
      <c r="O110" s="329"/>
      <c r="P110" s="1"/>
      <c r="Q110" s="1"/>
      <c r="R110" s="1"/>
      <c r="S110" s="1"/>
      <c r="T110" s="1"/>
      <c r="U110" s="4"/>
      <c r="V110" s="4"/>
      <c r="W110" s="4"/>
      <c r="X110" s="4"/>
      <c r="Y110" s="4"/>
      <c r="Z110" s="4"/>
      <c r="AA110" s="4"/>
    </row>
    <row r="111" spans="1:27" ht="13.5" customHeight="1">
      <c r="A111" s="110"/>
      <c r="B111" s="68"/>
      <c r="C111" s="390"/>
      <c r="D111" s="341"/>
      <c r="E111" s="341"/>
      <c r="F111" s="341"/>
      <c r="G111" s="341"/>
      <c r="H111" s="341"/>
      <c r="I111" s="341"/>
      <c r="J111" s="341"/>
      <c r="K111" s="330"/>
      <c r="L111" s="388"/>
      <c r="M111" s="110"/>
      <c r="N111" s="329"/>
      <c r="O111" s="329"/>
      <c r="P111" s="1"/>
      <c r="Q111" s="1"/>
      <c r="R111" s="1"/>
      <c r="S111" s="1"/>
      <c r="T111" s="1"/>
      <c r="U111" s="4"/>
      <c r="V111" s="4"/>
      <c r="W111" s="4"/>
      <c r="X111" s="4"/>
      <c r="Y111" s="4"/>
      <c r="Z111" s="4"/>
      <c r="AA111" s="4"/>
    </row>
    <row r="112" spans="1:27" ht="13.5" customHeight="1">
      <c r="A112" s="351"/>
      <c r="B112" s="431" t="s">
        <v>5179</v>
      </c>
      <c r="C112" s="418" t="s">
        <v>5180</v>
      </c>
      <c r="D112" s="338"/>
      <c r="E112" s="338"/>
      <c r="F112" s="338"/>
      <c r="G112" s="338"/>
      <c r="H112" s="338"/>
      <c r="I112" s="341"/>
      <c r="J112" s="338"/>
      <c r="K112" s="330"/>
      <c r="L112" s="388"/>
      <c r="M112" s="110"/>
      <c r="N112" s="329"/>
      <c r="O112" s="329"/>
      <c r="P112" s="1"/>
      <c r="Q112" s="1"/>
      <c r="R112" s="1"/>
      <c r="S112" s="1"/>
      <c r="T112" s="1"/>
      <c r="U112" s="4"/>
      <c r="V112" s="4"/>
      <c r="W112" s="4"/>
      <c r="X112" s="4"/>
      <c r="Y112" s="4"/>
      <c r="Z112" s="4"/>
      <c r="AA112" s="4"/>
    </row>
    <row r="113" spans="1:27" ht="13.5" customHeight="1">
      <c r="A113" s="110"/>
      <c r="B113" s="68" t="str">
        <f>BS!B114</f>
        <v>2-2101</v>
      </c>
      <c r="C113" s="390" t="str">
        <f>BS!C114</f>
        <v>Salaries payable</v>
      </c>
      <c r="D113" s="341">
        <v>8260092.118482694</v>
      </c>
      <c r="E113" s="341">
        <v>92.118482694029808</v>
      </c>
      <c r="F113" s="341">
        <v>0</v>
      </c>
      <c r="G113" s="341">
        <v>0</v>
      </c>
      <c r="H113" s="341">
        <v>8333332</v>
      </c>
      <c r="I113" s="341" t="s">
        <v>3828</v>
      </c>
      <c r="J113" s="341">
        <f>BS!D114</f>
        <v>4</v>
      </c>
      <c r="K113" s="330"/>
      <c r="L113" s="388"/>
      <c r="M113" s="110"/>
      <c r="N113" s="329"/>
      <c r="O113" s="329"/>
      <c r="P113" s="1"/>
      <c r="Q113" s="1"/>
      <c r="R113" s="1"/>
      <c r="S113" s="1"/>
      <c r="T113" s="1"/>
      <c r="U113" s="4"/>
      <c r="V113" s="4"/>
      <c r="W113" s="4"/>
      <c r="X113" s="4"/>
      <c r="Y113" s="4"/>
      <c r="Z113" s="4"/>
      <c r="AA113" s="4"/>
    </row>
    <row r="114" spans="1:27" ht="13.5" customHeight="1">
      <c r="A114" s="110"/>
      <c r="B114" s="68" t="str">
        <f>BS!B115</f>
        <v>2-2102</v>
      </c>
      <c r="C114" s="390" t="str">
        <f>BS!C115</f>
        <v>Accrued THR/Bonus</v>
      </c>
      <c r="D114" s="341">
        <v>0</v>
      </c>
      <c r="E114" s="341">
        <v>0</v>
      </c>
      <c r="F114" s="341">
        <v>0</v>
      </c>
      <c r="G114" s="341">
        <v>0</v>
      </c>
      <c r="H114" s="341" t="s">
        <v>3828</v>
      </c>
      <c r="I114" s="341" t="s">
        <v>3828</v>
      </c>
      <c r="J114" s="341">
        <f>BS!D115</f>
        <v>37802011</v>
      </c>
      <c r="K114" s="330"/>
      <c r="L114" s="388"/>
      <c r="M114" s="110"/>
      <c r="N114" s="329"/>
      <c r="O114" s="329"/>
      <c r="P114" s="1"/>
      <c r="Q114" s="1"/>
      <c r="R114" s="1"/>
      <c r="S114" s="1"/>
      <c r="T114" s="1"/>
      <c r="U114" s="4"/>
      <c r="V114" s="4"/>
      <c r="W114" s="4"/>
      <c r="X114" s="4"/>
      <c r="Y114" s="4"/>
      <c r="Z114" s="4"/>
      <c r="AA114" s="4"/>
    </row>
    <row r="115" spans="1:27" ht="13.5" customHeight="1">
      <c r="A115" s="110"/>
      <c r="B115" s="68" t="str">
        <f>BS!B116</f>
        <v>2-2103</v>
      </c>
      <c r="C115" s="390" t="str">
        <f>BS!C116</f>
        <v>Employee Allowance Payable</v>
      </c>
      <c r="D115" s="341">
        <v>0</v>
      </c>
      <c r="E115" s="341">
        <v>0</v>
      </c>
      <c r="F115" s="341">
        <v>0</v>
      </c>
      <c r="G115" s="341">
        <v>0</v>
      </c>
      <c r="H115" s="341" t="s">
        <v>3828</v>
      </c>
      <c r="I115" s="341" t="s">
        <v>3828</v>
      </c>
      <c r="J115" s="341">
        <f>BS!D116</f>
        <v>0</v>
      </c>
      <c r="K115" s="330"/>
      <c r="L115" s="388"/>
      <c r="M115" s="110"/>
      <c r="N115" s="329"/>
      <c r="O115" s="329"/>
      <c r="P115" s="1"/>
      <c r="Q115" s="1"/>
      <c r="R115" s="1"/>
      <c r="S115" s="1"/>
      <c r="T115" s="1"/>
      <c r="U115" s="4"/>
      <c r="V115" s="4"/>
      <c r="W115" s="4"/>
      <c r="X115" s="4"/>
      <c r="Y115" s="4"/>
      <c r="Z115" s="4"/>
      <c r="AA115" s="4"/>
    </row>
    <row r="116" spans="1:27" ht="13.5" customHeight="1">
      <c r="A116" s="110"/>
      <c r="B116" s="68" t="str">
        <f>BS!B117</f>
        <v>2-2104</v>
      </c>
      <c r="C116" s="390" t="str">
        <f>BS!C117</f>
        <v>Jamsostek Payable</v>
      </c>
      <c r="D116" s="341">
        <v>10380499</v>
      </c>
      <c r="E116" s="341">
        <v>5075280</v>
      </c>
      <c r="F116" s="341">
        <v>11817669</v>
      </c>
      <c r="G116" s="341">
        <v>27138318</v>
      </c>
      <c r="H116" s="341">
        <v>33111177</v>
      </c>
      <c r="I116" s="407">
        <v>35315609</v>
      </c>
      <c r="J116" s="341">
        <f>BS!D117</f>
        <v>76031446</v>
      </c>
      <c r="K116" s="330"/>
      <c r="L116" s="388"/>
      <c r="M116" s="110"/>
      <c r="N116" s="329"/>
      <c r="O116" s="329"/>
      <c r="P116" s="1"/>
      <c r="Q116" s="1"/>
      <c r="R116" s="1"/>
      <c r="S116" s="1"/>
      <c r="T116" s="1"/>
      <c r="U116" s="4"/>
      <c r="V116" s="4"/>
      <c r="W116" s="4"/>
      <c r="X116" s="4"/>
      <c r="Y116" s="4"/>
      <c r="Z116" s="4"/>
      <c r="AA116" s="4"/>
    </row>
    <row r="117" spans="1:27" ht="13.5" customHeight="1">
      <c r="A117" s="110"/>
      <c r="B117" s="68" t="str">
        <f>BS!B118</f>
        <v>2-2105</v>
      </c>
      <c r="C117" s="390" t="str">
        <f>BS!C118</f>
        <v>Customer Deposit</v>
      </c>
      <c r="D117" s="341">
        <v>0</v>
      </c>
      <c r="E117" s="341">
        <v>0</v>
      </c>
      <c r="F117" s="341">
        <v>4586250</v>
      </c>
      <c r="G117" s="341">
        <v>23111136</v>
      </c>
      <c r="H117" s="341">
        <v>49905504</v>
      </c>
      <c r="I117" s="407">
        <v>30459686</v>
      </c>
      <c r="J117" s="341">
        <f>BS!D118</f>
        <v>55731833</v>
      </c>
      <c r="K117" s="330"/>
      <c r="L117" s="388"/>
      <c r="M117" s="110"/>
      <c r="N117" s="329"/>
      <c r="O117" s="329"/>
      <c r="P117" s="1"/>
      <c r="Q117" s="1"/>
      <c r="R117" s="1"/>
      <c r="S117" s="1"/>
      <c r="T117" s="1"/>
      <c r="U117" s="4"/>
      <c r="V117" s="4"/>
      <c r="W117" s="4"/>
      <c r="X117" s="4"/>
      <c r="Y117" s="4"/>
      <c r="Z117" s="4"/>
      <c r="AA117" s="4"/>
    </row>
    <row r="118" spans="1:27" ht="13.5" customHeight="1">
      <c r="A118" s="110"/>
      <c r="B118" s="68" t="str">
        <f>BS!B119</f>
        <v>2-2106</v>
      </c>
      <c r="C118" s="390" t="str">
        <f>BS!C119</f>
        <v>Service Charge Payable</v>
      </c>
      <c r="D118" s="341">
        <v>63597625.300000004</v>
      </c>
      <c r="E118" s="341">
        <v>65425553.650433332</v>
      </c>
      <c r="F118" s="341">
        <v>158482319</v>
      </c>
      <c r="G118" s="341">
        <v>202988347</v>
      </c>
      <c r="H118" s="341">
        <v>211461605</v>
      </c>
      <c r="I118" s="407">
        <v>178929005</v>
      </c>
      <c r="J118" s="341">
        <f>BS!D119</f>
        <v>134522723.97000003</v>
      </c>
      <c r="K118" s="330"/>
      <c r="L118" s="388"/>
      <c r="M118" s="110"/>
      <c r="N118" s="329"/>
      <c r="O118" s="329"/>
      <c r="P118" s="1"/>
      <c r="Q118" s="1"/>
      <c r="R118" s="1"/>
      <c r="S118" s="1"/>
      <c r="T118" s="1"/>
      <c r="U118" s="4"/>
      <c r="V118" s="4"/>
      <c r="W118" s="4"/>
      <c r="X118" s="4"/>
      <c r="Y118" s="4"/>
      <c r="Z118" s="4"/>
      <c r="AA118" s="4"/>
    </row>
    <row r="119" spans="1:27" ht="13.5" customHeight="1">
      <c r="A119" s="110"/>
      <c r="B119" s="68" t="str">
        <f>BS!B120</f>
        <v>2-2107</v>
      </c>
      <c r="C119" s="390" t="str">
        <f>BS!C120</f>
        <v>Accrued Employee Welfare Payable</v>
      </c>
      <c r="D119" s="341">
        <v>391842707.71045995</v>
      </c>
      <c r="E119" s="341">
        <v>440539764.33845985</v>
      </c>
      <c r="F119" s="341">
        <v>655195113.20000005</v>
      </c>
      <c r="G119" s="341">
        <v>941756423</v>
      </c>
      <c r="H119" s="341">
        <v>1343381774</v>
      </c>
      <c r="I119" s="407">
        <v>1695890242</v>
      </c>
      <c r="J119" s="341">
        <f>BS!D120</f>
        <v>1853943088</v>
      </c>
      <c r="K119" s="330"/>
      <c r="L119" s="388"/>
      <c r="M119" s="110"/>
      <c r="N119" s="329"/>
      <c r="O119" s="329"/>
      <c r="P119" s="1"/>
      <c r="Q119" s="1"/>
      <c r="R119" s="1"/>
      <c r="S119" s="1"/>
      <c r="T119" s="1"/>
      <c r="U119" s="4"/>
      <c r="V119" s="4"/>
      <c r="W119" s="4"/>
      <c r="X119" s="4"/>
      <c r="Y119" s="4"/>
      <c r="Z119" s="4"/>
      <c r="AA119" s="4"/>
    </row>
    <row r="120" spans="1:27" ht="13.5" customHeight="1">
      <c r="A120" s="110"/>
      <c r="B120" s="68" t="str">
        <f>BS!B121</f>
        <v>2-2108</v>
      </c>
      <c r="C120" s="390" t="str">
        <f>BS!C121</f>
        <v>Marketing &amp; Entertainment Fee payable</v>
      </c>
      <c r="D120" s="341">
        <v>78356465.953999996</v>
      </c>
      <c r="E120" s="341">
        <v>364721169.75399995</v>
      </c>
      <c r="F120" s="341">
        <v>42158490</v>
      </c>
      <c r="G120" s="341">
        <v>17158490</v>
      </c>
      <c r="H120" s="341">
        <v>17158490</v>
      </c>
      <c r="I120" s="341" t="s">
        <v>3828</v>
      </c>
      <c r="J120" s="341">
        <f>BS!D121</f>
        <v>0</v>
      </c>
      <c r="K120" s="330"/>
      <c r="L120" s="388"/>
      <c r="M120" s="110"/>
      <c r="N120" s="329"/>
      <c r="O120" s="329"/>
      <c r="P120" s="1"/>
      <c r="Q120" s="1"/>
      <c r="R120" s="1"/>
      <c r="S120" s="1"/>
      <c r="T120" s="1"/>
      <c r="U120" s="4"/>
      <c r="V120" s="4"/>
      <c r="W120" s="4"/>
      <c r="X120" s="4"/>
      <c r="Y120" s="4"/>
      <c r="Z120" s="4"/>
      <c r="AA120" s="4"/>
    </row>
    <row r="121" spans="1:27" ht="13.5" customHeight="1">
      <c r="A121" s="110"/>
      <c r="B121" s="68" t="str">
        <f>BS!B122</f>
        <v>2-2109</v>
      </c>
      <c r="C121" s="390" t="str">
        <f>BS!C122</f>
        <v>Finance payble</v>
      </c>
      <c r="D121" s="341">
        <v>0</v>
      </c>
      <c r="E121" s="341">
        <v>0</v>
      </c>
      <c r="F121" s="341">
        <v>0</v>
      </c>
      <c r="G121" s="341">
        <v>0</v>
      </c>
      <c r="H121" s="341">
        <v>3391939842</v>
      </c>
      <c r="I121" s="341" t="s">
        <v>3828</v>
      </c>
      <c r="J121" s="341">
        <f>BS!D122</f>
        <v>0</v>
      </c>
      <c r="K121" s="330"/>
      <c r="L121" s="388"/>
      <c r="M121" s="110"/>
      <c r="N121" s="329"/>
      <c r="O121" s="329"/>
      <c r="P121" s="1"/>
      <c r="Q121" s="1"/>
      <c r="R121" s="1"/>
      <c r="S121" s="1"/>
      <c r="T121" s="1"/>
      <c r="U121" s="4"/>
      <c r="V121" s="4"/>
      <c r="W121" s="4"/>
      <c r="X121" s="4"/>
      <c r="Y121" s="4"/>
      <c r="Z121" s="4"/>
      <c r="AA121" s="4"/>
    </row>
    <row r="122" spans="1:27" ht="13.5" customHeight="1">
      <c r="A122" s="110"/>
      <c r="B122" s="68" t="str">
        <f>BS!B123</f>
        <v>2-2110</v>
      </c>
      <c r="C122" s="390" t="str">
        <f>BS!C123</f>
        <v>Guest Typing Charges Payable to Staff</v>
      </c>
      <c r="D122" s="341">
        <v>3786497.3252887568</v>
      </c>
      <c r="E122" s="341">
        <v>4275675.3252887568</v>
      </c>
      <c r="F122" s="341">
        <v>11434200</v>
      </c>
      <c r="G122" s="341">
        <v>20667320</v>
      </c>
      <c r="H122" s="341">
        <v>26476685</v>
      </c>
      <c r="I122" s="407">
        <v>62690274</v>
      </c>
      <c r="J122" s="341">
        <f>BS!D123</f>
        <v>63775501.458000004</v>
      </c>
      <c r="K122" s="330"/>
      <c r="L122" s="388"/>
      <c r="M122" s="110"/>
      <c r="N122" s="329"/>
      <c r="O122" s="329"/>
      <c r="P122" s="1"/>
      <c r="Q122" s="1"/>
      <c r="R122" s="1"/>
      <c r="S122" s="1"/>
      <c r="T122" s="1"/>
      <c r="U122" s="4"/>
      <c r="V122" s="4"/>
      <c r="W122" s="4"/>
      <c r="X122" s="4"/>
      <c r="Y122" s="4"/>
      <c r="Z122" s="4"/>
      <c r="AA122" s="4"/>
    </row>
    <row r="123" spans="1:27" ht="13.5" customHeight="1">
      <c r="A123" s="110"/>
      <c r="B123" s="68" t="str">
        <f>BS!B124</f>
        <v>2-2111</v>
      </c>
      <c r="C123" s="390" t="str">
        <f>BS!C124</f>
        <v>BPJS Kesehatan Payable</v>
      </c>
      <c r="D123" s="341">
        <v>6535000</v>
      </c>
      <c r="E123" s="341">
        <v>631000</v>
      </c>
      <c r="F123" s="341">
        <v>2252052</v>
      </c>
      <c r="G123" s="341">
        <v>3768880</v>
      </c>
      <c r="H123" s="341" t="s">
        <v>3828</v>
      </c>
      <c r="I123" s="341" t="s">
        <v>3828</v>
      </c>
      <c r="J123" s="341">
        <f>BS!D124</f>
        <v>0</v>
      </c>
      <c r="K123" s="330"/>
      <c r="L123" s="388"/>
      <c r="M123" s="110"/>
      <c r="N123" s="329"/>
      <c r="O123" s="329"/>
      <c r="P123" s="1"/>
      <c r="Q123" s="1"/>
      <c r="R123" s="1"/>
      <c r="S123" s="1"/>
      <c r="T123" s="1"/>
      <c r="U123" s="4"/>
      <c r="V123" s="4"/>
      <c r="W123" s="4"/>
      <c r="X123" s="4"/>
      <c r="Y123" s="4"/>
      <c r="Z123" s="4"/>
      <c r="AA123" s="4"/>
    </row>
    <row r="124" spans="1:27" ht="13.5" customHeight="1">
      <c r="A124" s="110"/>
      <c r="B124" s="68" t="str">
        <f>BS!B125</f>
        <v>2-2112</v>
      </c>
      <c r="C124" s="390" t="str">
        <f>BS!C125</f>
        <v>Accrued rent payable</v>
      </c>
      <c r="D124" s="341">
        <v>8544808151</v>
      </c>
      <c r="E124" s="341">
        <v>8544808151</v>
      </c>
      <c r="F124" s="341">
        <v>7470000000</v>
      </c>
      <c r="G124" s="341">
        <v>-470000000</v>
      </c>
      <c r="H124" s="341" t="s">
        <v>3828</v>
      </c>
      <c r="I124" s="341" t="s">
        <v>3828</v>
      </c>
      <c r="J124" s="341">
        <f>BS!D125</f>
        <v>0</v>
      </c>
      <c r="K124" s="330"/>
      <c r="L124" s="388"/>
      <c r="M124" s="110"/>
      <c r="N124" s="329"/>
      <c r="O124" s="329"/>
      <c r="P124" s="1"/>
      <c r="Q124" s="1"/>
      <c r="R124" s="1"/>
      <c r="S124" s="1"/>
      <c r="T124" s="1"/>
      <c r="U124" s="4"/>
      <c r="V124" s="4"/>
      <c r="W124" s="4"/>
      <c r="X124" s="4"/>
      <c r="Y124" s="4"/>
      <c r="Z124" s="4"/>
      <c r="AA124" s="4"/>
    </row>
    <row r="125" spans="1:27" ht="13.5" customHeight="1">
      <c r="A125" s="110"/>
      <c r="B125" s="68" t="s">
        <v>5197</v>
      </c>
      <c r="C125" s="418" t="s">
        <v>5198</v>
      </c>
      <c r="D125" s="338">
        <f t="shared" ref="D125:J125" si="18">SUM(D113:D124)</f>
        <v>9107567038.4082317</v>
      </c>
      <c r="E125" s="338">
        <f t="shared" si="18"/>
        <v>9425476686.1866646</v>
      </c>
      <c r="F125" s="338">
        <f t="shared" si="18"/>
        <v>8355926093.1999998</v>
      </c>
      <c r="G125" s="338">
        <f t="shared" si="18"/>
        <v>766588914</v>
      </c>
      <c r="H125" s="338">
        <f t="shared" si="18"/>
        <v>5081768409</v>
      </c>
      <c r="I125" s="338">
        <f t="shared" si="18"/>
        <v>2003284816</v>
      </c>
      <c r="J125" s="338">
        <f t="shared" si="18"/>
        <v>2221806607.4280005</v>
      </c>
      <c r="K125" s="330"/>
      <c r="L125" s="388"/>
      <c r="M125" s="110"/>
      <c r="N125" s="329"/>
      <c r="O125" s="329"/>
      <c r="P125" s="1"/>
      <c r="Q125" s="1"/>
      <c r="R125" s="1"/>
      <c r="S125" s="1"/>
      <c r="T125" s="1"/>
      <c r="U125" s="4"/>
      <c r="V125" s="4"/>
      <c r="W125" s="4"/>
      <c r="X125" s="4"/>
      <c r="Y125" s="4"/>
      <c r="Z125" s="4"/>
      <c r="AA125" s="4"/>
    </row>
    <row r="126" spans="1:27" ht="13.5" customHeight="1">
      <c r="A126" s="110"/>
      <c r="B126" s="68"/>
      <c r="C126" s="390"/>
      <c r="D126" s="341"/>
      <c r="E126" s="341"/>
      <c r="F126" s="341"/>
      <c r="G126" s="341"/>
      <c r="H126" s="341"/>
      <c r="I126" s="341"/>
      <c r="J126" s="341"/>
      <c r="K126" s="330"/>
      <c r="L126" s="388"/>
      <c r="M126" s="110"/>
      <c r="N126" s="329"/>
      <c r="O126" s="329"/>
      <c r="P126" s="1"/>
      <c r="Q126" s="1"/>
      <c r="R126" s="1"/>
      <c r="S126" s="1"/>
      <c r="T126" s="1"/>
      <c r="U126" s="4"/>
      <c r="V126" s="4"/>
      <c r="W126" s="4"/>
      <c r="X126" s="4"/>
      <c r="Y126" s="4"/>
      <c r="Z126" s="4"/>
      <c r="AA126" s="4"/>
    </row>
    <row r="127" spans="1:27" ht="13.5" customHeight="1">
      <c r="A127" s="351"/>
      <c r="B127" s="431" t="s">
        <v>5199</v>
      </c>
      <c r="C127" s="418" t="s">
        <v>5200</v>
      </c>
      <c r="D127" s="338"/>
      <c r="E127" s="338"/>
      <c r="F127" s="338"/>
      <c r="G127" s="338"/>
      <c r="H127" s="338"/>
      <c r="I127" s="341"/>
      <c r="J127" s="338"/>
      <c r="K127" s="330"/>
      <c r="L127" s="388"/>
      <c r="M127" s="110"/>
      <c r="N127" s="329"/>
      <c r="O127" s="329"/>
      <c r="P127" s="1"/>
      <c r="Q127" s="1"/>
      <c r="R127" s="1"/>
      <c r="S127" s="1"/>
      <c r="T127" s="1"/>
      <c r="U127" s="4"/>
      <c r="V127" s="4"/>
      <c r="W127" s="4"/>
      <c r="X127" s="4"/>
      <c r="Y127" s="4"/>
      <c r="Z127" s="4"/>
      <c r="AA127" s="4"/>
    </row>
    <row r="128" spans="1:27" ht="13.5" customHeight="1">
      <c r="A128" s="110"/>
      <c r="B128" s="68" t="s">
        <v>36</v>
      </c>
      <c r="C128" s="340" t="s">
        <v>5201</v>
      </c>
      <c r="D128" s="341">
        <v>30463139</v>
      </c>
      <c r="E128" s="341">
        <v>100123634</v>
      </c>
      <c r="F128" s="341">
        <v>242251837</v>
      </c>
      <c r="G128" s="341">
        <v>310282212</v>
      </c>
      <c r="H128" s="341">
        <v>323234196</v>
      </c>
      <c r="I128" s="407">
        <v>273505769</v>
      </c>
      <c r="J128" s="341">
        <f>BS!D129</f>
        <v>858664489.597</v>
      </c>
      <c r="K128" s="330"/>
      <c r="L128" s="388"/>
      <c r="M128" s="110"/>
      <c r="N128" s="329"/>
      <c r="O128" s="329"/>
      <c r="P128" s="1"/>
      <c r="Q128" s="1"/>
      <c r="R128" s="1"/>
      <c r="S128" s="1"/>
      <c r="T128" s="1"/>
      <c r="U128" s="4"/>
      <c r="V128" s="4"/>
      <c r="W128" s="4"/>
      <c r="X128" s="4"/>
      <c r="Y128" s="4"/>
      <c r="Z128" s="4"/>
      <c r="AA128" s="4"/>
    </row>
    <row r="129" spans="1:27" ht="13.5" customHeight="1">
      <c r="A129" s="110"/>
      <c r="B129" s="68" t="s">
        <v>812</v>
      </c>
      <c r="C129" s="340" t="s">
        <v>1577</v>
      </c>
      <c r="D129" s="341">
        <v>0</v>
      </c>
      <c r="E129" s="341">
        <v>110834</v>
      </c>
      <c r="F129" s="341">
        <v>735300</v>
      </c>
      <c r="G129" s="341">
        <v>1625541</v>
      </c>
      <c r="H129" s="341">
        <v>2537530</v>
      </c>
      <c r="I129" s="407">
        <v>1194378</v>
      </c>
      <c r="J129" s="341">
        <f>BS!D130</f>
        <v>3824852.44</v>
      </c>
      <c r="K129" s="330"/>
      <c r="L129" s="388"/>
      <c r="M129" s="110"/>
      <c r="N129" s="329"/>
      <c r="O129" s="329"/>
      <c r="P129" s="1"/>
      <c r="Q129" s="1"/>
      <c r="R129" s="1"/>
      <c r="S129" s="1"/>
      <c r="T129" s="1"/>
      <c r="U129" s="4"/>
      <c r="V129" s="4"/>
      <c r="W129" s="4"/>
      <c r="X129" s="4"/>
      <c r="Y129" s="4"/>
      <c r="Z129" s="4"/>
      <c r="AA129" s="4"/>
    </row>
    <row r="130" spans="1:27" ht="13.5" customHeight="1">
      <c r="A130" s="110"/>
      <c r="B130" s="68" t="s">
        <v>5202</v>
      </c>
      <c r="C130" s="340" t="s">
        <v>5203</v>
      </c>
      <c r="D130" s="341">
        <v>0</v>
      </c>
      <c r="E130" s="341">
        <v>0</v>
      </c>
      <c r="F130" s="341">
        <v>0</v>
      </c>
      <c r="G130" s="341">
        <v>0</v>
      </c>
      <c r="H130" s="341" t="s">
        <v>3828</v>
      </c>
      <c r="I130" s="341" t="s">
        <v>3828</v>
      </c>
      <c r="J130" s="341">
        <f>BS!D131</f>
        <v>0</v>
      </c>
      <c r="K130" s="330"/>
      <c r="L130" s="388"/>
      <c r="M130" s="110"/>
      <c r="N130" s="329"/>
      <c r="O130" s="329"/>
      <c r="P130" s="1"/>
      <c r="Q130" s="1"/>
      <c r="R130" s="1"/>
      <c r="S130" s="1"/>
      <c r="T130" s="1"/>
      <c r="U130" s="4"/>
      <c r="V130" s="4"/>
      <c r="W130" s="4"/>
      <c r="X130" s="4"/>
      <c r="Y130" s="4"/>
      <c r="Z130" s="4"/>
      <c r="AA130" s="4"/>
    </row>
    <row r="131" spans="1:27" ht="13.5" customHeight="1">
      <c r="A131" s="110"/>
      <c r="B131" s="68" t="s">
        <v>5204</v>
      </c>
      <c r="C131" s="340" t="s">
        <v>5205</v>
      </c>
      <c r="D131" s="341">
        <v>0</v>
      </c>
      <c r="E131" s="341">
        <v>0</v>
      </c>
      <c r="F131" s="341">
        <v>0</v>
      </c>
      <c r="G131" s="341">
        <v>0</v>
      </c>
      <c r="H131" s="341" t="s">
        <v>3828</v>
      </c>
      <c r="I131" s="341" t="s">
        <v>3828</v>
      </c>
      <c r="J131" s="341">
        <f>BS!D132</f>
        <v>0</v>
      </c>
      <c r="K131" s="330"/>
      <c r="L131" s="388"/>
      <c r="M131" s="110"/>
      <c r="N131" s="329"/>
      <c r="O131" s="329"/>
      <c r="P131" s="1"/>
      <c r="Q131" s="1"/>
      <c r="R131" s="1"/>
      <c r="S131" s="1"/>
      <c r="T131" s="1"/>
      <c r="U131" s="4"/>
      <c r="V131" s="4"/>
      <c r="W131" s="4"/>
      <c r="X131" s="4"/>
      <c r="Y131" s="4"/>
      <c r="Z131" s="4"/>
      <c r="AA131" s="4"/>
    </row>
    <row r="132" spans="1:27" ht="13.5" customHeight="1">
      <c r="A132" s="110"/>
      <c r="B132" s="68" t="s">
        <v>5206</v>
      </c>
      <c r="C132" s="340" t="s">
        <v>5207</v>
      </c>
      <c r="D132" s="341">
        <v>0</v>
      </c>
      <c r="E132" s="341">
        <v>0</v>
      </c>
      <c r="F132" s="341">
        <v>0</v>
      </c>
      <c r="G132" s="341">
        <v>0</v>
      </c>
      <c r="H132" s="341" t="s">
        <v>3828</v>
      </c>
      <c r="I132" s="341" t="s">
        <v>3828</v>
      </c>
      <c r="J132" s="341">
        <f>BS!D133</f>
        <v>0</v>
      </c>
      <c r="K132" s="330"/>
      <c r="L132" s="388"/>
      <c r="M132" s="110"/>
      <c r="N132" s="329"/>
      <c r="O132" s="329"/>
      <c r="P132" s="1"/>
      <c r="Q132" s="1"/>
      <c r="R132" s="1"/>
      <c r="S132" s="1"/>
      <c r="T132" s="1"/>
      <c r="U132" s="4"/>
      <c r="V132" s="4"/>
      <c r="W132" s="4"/>
      <c r="X132" s="4"/>
      <c r="Y132" s="4"/>
      <c r="Z132" s="4"/>
      <c r="AA132" s="4"/>
    </row>
    <row r="133" spans="1:27" ht="13.5" customHeight="1">
      <c r="A133" s="110"/>
      <c r="B133" s="68" t="s">
        <v>5208</v>
      </c>
      <c r="C133" s="340" t="s">
        <v>5421</v>
      </c>
      <c r="D133" s="341">
        <v>0</v>
      </c>
      <c r="E133" s="341">
        <v>0</v>
      </c>
      <c r="F133" s="341">
        <v>0</v>
      </c>
      <c r="G133" s="341">
        <v>0</v>
      </c>
      <c r="H133" s="341" t="s">
        <v>3828</v>
      </c>
      <c r="I133" s="341" t="s">
        <v>3828</v>
      </c>
      <c r="J133" s="341">
        <f>BS!D134</f>
        <v>0</v>
      </c>
      <c r="K133" s="330"/>
      <c r="L133" s="388"/>
      <c r="M133" s="110"/>
      <c r="N133" s="329"/>
      <c r="O133" s="329"/>
      <c r="P133" s="1"/>
      <c r="Q133" s="1"/>
      <c r="R133" s="1"/>
      <c r="S133" s="1"/>
      <c r="T133" s="1"/>
      <c r="U133" s="4"/>
      <c r="V133" s="4"/>
      <c r="W133" s="4"/>
      <c r="X133" s="4"/>
      <c r="Y133" s="4"/>
      <c r="Z133" s="4"/>
      <c r="AA133" s="4"/>
    </row>
    <row r="134" spans="1:27" ht="13.5" customHeight="1">
      <c r="A134" s="351"/>
      <c r="B134" s="431" t="s">
        <v>5210</v>
      </c>
      <c r="C134" s="418" t="s">
        <v>5211</v>
      </c>
      <c r="D134" s="338">
        <f t="shared" ref="D134:J134" si="19">SUM(D128:D133)</f>
        <v>30463139</v>
      </c>
      <c r="E134" s="338">
        <f t="shared" si="19"/>
        <v>100234468</v>
      </c>
      <c r="F134" s="338">
        <f t="shared" si="19"/>
        <v>242987137</v>
      </c>
      <c r="G134" s="338">
        <f t="shared" si="19"/>
        <v>311907753</v>
      </c>
      <c r="H134" s="338">
        <f t="shared" si="19"/>
        <v>325771726</v>
      </c>
      <c r="I134" s="338">
        <f t="shared" si="19"/>
        <v>274700147</v>
      </c>
      <c r="J134" s="338">
        <f t="shared" si="19"/>
        <v>862489342.03700006</v>
      </c>
      <c r="K134" s="330"/>
      <c r="L134" s="388"/>
      <c r="M134" s="110"/>
      <c r="N134" s="329"/>
      <c r="O134" s="329"/>
      <c r="P134" s="1"/>
      <c r="Q134" s="1"/>
      <c r="R134" s="1"/>
      <c r="S134" s="1"/>
      <c r="T134" s="1"/>
      <c r="U134" s="4"/>
      <c r="V134" s="4"/>
      <c r="W134" s="4"/>
      <c r="X134" s="4"/>
      <c r="Y134" s="4"/>
      <c r="Z134" s="4"/>
      <c r="AA134" s="4"/>
    </row>
    <row r="135" spans="1:27" ht="13.5" customHeight="1">
      <c r="A135" s="110"/>
      <c r="B135" s="68"/>
      <c r="C135" s="390"/>
      <c r="D135" s="341"/>
      <c r="E135" s="341"/>
      <c r="F135" s="341"/>
      <c r="G135" s="341"/>
      <c r="H135" s="341"/>
      <c r="I135" s="341"/>
      <c r="J135" s="341"/>
      <c r="K135" s="330"/>
      <c r="L135" s="388"/>
      <c r="M135" s="110"/>
      <c r="N135" s="329"/>
      <c r="O135" s="329"/>
      <c r="P135" s="1"/>
      <c r="Q135" s="1"/>
      <c r="R135" s="1"/>
      <c r="S135" s="1"/>
      <c r="T135" s="1"/>
      <c r="U135" s="4"/>
      <c r="V135" s="4"/>
      <c r="W135" s="4"/>
      <c r="X135" s="4"/>
      <c r="Y135" s="4"/>
      <c r="Z135" s="4"/>
      <c r="AA135" s="4"/>
    </row>
    <row r="136" spans="1:27" ht="13.5" customHeight="1">
      <c r="A136" s="351"/>
      <c r="B136" s="431" t="s">
        <v>5212</v>
      </c>
      <c r="C136" s="418" t="s">
        <v>5213</v>
      </c>
      <c r="D136" s="338"/>
      <c r="E136" s="338"/>
      <c r="F136" s="338"/>
      <c r="G136" s="338"/>
      <c r="H136" s="338"/>
      <c r="I136" s="341"/>
      <c r="J136" s="338"/>
      <c r="K136" s="330"/>
      <c r="L136" s="388"/>
      <c r="M136" s="110"/>
      <c r="N136" s="329"/>
      <c r="O136" s="329"/>
      <c r="P136" s="1"/>
      <c r="Q136" s="1"/>
      <c r="R136" s="1"/>
      <c r="S136" s="1"/>
      <c r="T136" s="1"/>
      <c r="U136" s="4"/>
      <c r="V136" s="4"/>
      <c r="W136" s="4"/>
      <c r="X136" s="4"/>
      <c r="Y136" s="4"/>
      <c r="Z136" s="4"/>
      <c r="AA136" s="4"/>
    </row>
    <row r="137" spans="1:27" ht="13.5" customHeight="1">
      <c r="A137" s="110"/>
      <c r="B137" s="68" t="s">
        <v>5214</v>
      </c>
      <c r="C137" s="340" t="str">
        <f>BS!C138</f>
        <v>Shareholders Loans - Graham Bristow</v>
      </c>
      <c r="D137" s="341">
        <v>3436971913</v>
      </c>
      <c r="E137" s="341">
        <v>4885262965</v>
      </c>
      <c r="F137" s="341">
        <v>1321963609</v>
      </c>
      <c r="G137" s="341">
        <v>3339158614</v>
      </c>
      <c r="H137" s="341">
        <v>-1992966866</v>
      </c>
      <c r="I137" s="407">
        <v>3459658614</v>
      </c>
      <c r="J137" s="341">
        <f>BS!D138</f>
        <v>3290258713</v>
      </c>
      <c r="K137" s="330"/>
      <c r="L137" s="388"/>
      <c r="M137" s="110"/>
      <c r="N137" s="329"/>
      <c r="O137" s="329"/>
      <c r="P137" s="1"/>
      <c r="Q137" s="1"/>
      <c r="R137" s="1"/>
      <c r="S137" s="1"/>
      <c r="T137" s="1"/>
      <c r="U137" s="4"/>
      <c r="V137" s="4"/>
      <c r="W137" s="4"/>
      <c r="X137" s="4"/>
      <c r="Y137" s="4"/>
      <c r="Z137" s="4"/>
      <c r="AA137" s="4"/>
    </row>
    <row r="138" spans="1:27" ht="13.5" customHeight="1">
      <c r="A138" s="351"/>
      <c r="B138" s="406" t="s">
        <v>1729</v>
      </c>
      <c r="C138" s="340" t="str">
        <f>BS!C139</f>
        <v>Shareholders Loans - William</v>
      </c>
      <c r="D138" s="341">
        <v>2896220733.4173765</v>
      </c>
      <c r="E138" s="341">
        <v>3105004155.4482765</v>
      </c>
      <c r="F138" s="341">
        <v>3797959556</v>
      </c>
      <c r="G138" s="341">
        <v>3744539354</v>
      </c>
      <c r="H138" s="341">
        <v>3234230546</v>
      </c>
      <c r="I138" s="407">
        <v>2799019481</v>
      </c>
      <c r="J138" s="341">
        <f>BS!D139</f>
        <v>2655393667</v>
      </c>
      <c r="K138" s="330"/>
      <c r="L138" s="388"/>
      <c r="M138" s="110"/>
      <c r="N138" s="329"/>
      <c r="O138" s="329"/>
      <c r="P138" s="1"/>
      <c r="Q138" s="1"/>
      <c r="R138" s="1"/>
      <c r="S138" s="1"/>
      <c r="T138" s="1"/>
      <c r="U138" s="4"/>
      <c r="V138" s="4"/>
      <c r="W138" s="4"/>
      <c r="X138" s="4"/>
      <c r="Y138" s="4"/>
      <c r="Z138" s="4"/>
      <c r="AA138" s="4"/>
    </row>
    <row r="139" spans="1:27" ht="13.5" customHeight="1">
      <c r="A139" s="351"/>
      <c r="B139" s="68" t="s">
        <v>5216</v>
      </c>
      <c r="C139" s="340" t="str">
        <f>BS!C140</f>
        <v>Rosalita</v>
      </c>
      <c r="D139" s="341">
        <v>0</v>
      </c>
      <c r="E139" s="341">
        <v>0</v>
      </c>
      <c r="F139" s="341">
        <v>-1856822113</v>
      </c>
      <c r="G139" s="341">
        <v>-2276592183</v>
      </c>
      <c r="H139" s="341">
        <v>-1908909769</v>
      </c>
      <c r="I139" s="341" t="s">
        <v>3828</v>
      </c>
      <c r="J139" s="341">
        <f>BS!D140</f>
        <v>0</v>
      </c>
      <c r="K139" s="330"/>
      <c r="L139" s="388"/>
      <c r="M139" s="110"/>
      <c r="N139" s="329"/>
      <c r="O139" s="329"/>
      <c r="P139" s="1"/>
      <c r="Q139" s="1"/>
      <c r="R139" s="1"/>
      <c r="S139" s="1"/>
      <c r="T139" s="1"/>
      <c r="U139" s="4"/>
      <c r="V139" s="4"/>
      <c r="W139" s="4"/>
      <c r="X139" s="4"/>
      <c r="Y139" s="4"/>
      <c r="Z139" s="4"/>
      <c r="AA139" s="4"/>
    </row>
    <row r="140" spans="1:27" ht="13.5" customHeight="1">
      <c r="A140" s="351"/>
      <c r="B140" s="68" t="str">
        <f>BS!B141</f>
        <v>2-4104</v>
      </c>
      <c r="C140" s="340" t="str">
        <f>BS!C141</f>
        <v>Zeki</v>
      </c>
      <c r="D140" s="338"/>
      <c r="E140" s="338"/>
      <c r="F140" s="341">
        <v>1463285887</v>
      </c>
      <c r="G140" s="341">
        <v>1470385887</v>
      </c>
      <c r="H140" s="341">
        <v>771046887</v>
      </c>
      <c r="I140" s="407">
        <v>771046887</v>
      </c>
      <c r="J140" s="341">
        <f>BS!D141</f>
        <v>771046887</v>
      </c>
      <c r="K140" s="330"/>
      <c r="L140" s="388"/>
      <c r="M140" s="110"/>
      <c r="N140" s="329"/>
      <c r="O140" s="329"/>
      <c r="P140" s="1"/>
      <c r="Q140" s="1"/>
      <c r="R140" s="1"/>
      <c r="S140" s="1"/>
      <c r="T140" s="1"/>
      <c r="U140" s="4"/>
      <c r="V140" s="4"/>
      <c r="W140" s="4"/>
      <c r="X140" s="4"/>
      <c r="Y140" s="4"/>
      <c r="Z140" s="4"/>
      <c r="AA140" s="4"/>
    </row>
    <row r="141" spans="1:27" ht="13.5" customHeight="1">
      <c r="A141" s="351"/>
      <c r="B141" s="68" t="str">
        <f>BS!B142</f>
        <v>2-4105</v>
      </c>
      <c r="C141" s="340" t="str">
        <f>BS!C142</f>
        <v>THE SOCIAL</v>
      </c>
      <c r="D141" s="338"/>
      <c r="E141" s="338"/>
      <c r="F141" s="338"/>
      <c r="G141" s="338"/>
      <c r="H141" s="341">
        <v>-4304414286</v>
      </c>
      <c r="I141" s="341" t="s">
        <v>3828</v>
      </c>
      <c r="J141" s="341">
        <f>BS!D142</f>
        <v>0</v>
      </c>
      <c r="K141" s="330"/>
      <c r="L141" s="388"/>
      <c r="M141" s="110"/>
      <c r="N141" s="329"/>
      <c r="O141" s="329"/>
      <c r="P141" s="1"/>
      <c r="Q141" s="1"/>
      <c r="R141" s="1"/>
      <c r="S141" s="1"/>
      <c r="T141" s="1"/>
      <c r="U141" s="4"/>
      <c r="V141" s="4"/>
      <c r="W141" s="4"/>
      <c r="X141" s="4"/>
      <c r="Y141" s="4"/>
      <c r="Z141" s="4"/>
      <c r="AA141" s="4"/>
    </row>
    <row r="142" spans="1:27" ht="13.5" customHeight="1">
      <c r="A142" s="351"/>
      <c r="B142" s="68" t="str">
        <f>BS!B143</f>
        <v>2-4106</v>
      </c>
      <c r="C142" s="340" t="str">
        <f>BS!C143</f>
        <v>Intercompany Payable – PT Star Hospitality Bali</v>
      </c>
      <c r="D142" s="338"/>
      <c r="E142" s="338"/>
      <c r="F142" s="338"/>
      <c r="G142" s="338"/>
      <c r="H142" s="338"/>
      <c r="I142" s="407">
        <v>2963613916</v>
      </c>
      <c r="J142" s="341">
        <f>BS!D143</f>
        <v>4414627927.7142859</v>
      </c>
      <c r="K142" s="330"/>
      <c r="L142" s="388"/>
      <c r="M142" s="110"/>
      <c r="N142" s="329"/>
      <c r="O142" s="329"/>
      <c r="P142" s="1"/>
      <c r="Q142" s="1"/>
      <c r="R142" s="1"/>
      <c r="S142" s="1"/>
      <c r="T142" s="1"/>
      <c r="U142" s="4"/>
      <c r="V142" s="4"/>
      <c r="W142" s="4"/>
      <c r="X142" s="4"/>
      <c r="Y142" s="4"/>
      <c r="Z142" s="4"/>
      <c r="AA142" s="4"/>
    </row>
    <row r="143" spans="1:27" ht="13.5" customHeight="1">
      <c r="A143" s="351"/>
      <c r="B143" s="68" t="s">
        <v>5223</v>
      </c>
      <c r="C143" s="418" t="s">
        <v>5224</v>
      </c>
      <c r="D143" s="338">
        <f t="shared" ref="D143:F143" si="20">SUM(D137:D140)</f>
        <v>6333192646.4173765</v>
      </c>
      <c r="E143" s="338">
        <f t="shared" si="20"/>
        <v>7990267120.4482765</v>
      </c>
      <c r="F143" s="338">
        <f t="shared" si="20"/>
        <v>4726386939</v>
      </c>
      <c r="G143" s="338">
        <f t="shared" ref="G143:H143" si="21">SUM(G137:G141)</f>
        <v>6277491672</v>
      </c>
      <c r="H143" s="338">
        <f t="shared" si="21"/>
        <v>-4201013488</v>
      </c>
      <c r="I143" s="338">
        <f t="shared" ref="I143:J143" si="22">SUM(I137:I142)</f>
        <v>9993338898</v>
      </c>
      <c r="J143" s="338">
        <f t="shared" si="22"/>
        <v>11131327194.714287</v>
      </c>
      <c r="K143" s="330"/>
      <c r="L143" s="388"/>
      <c r="M143" s="110"/>
      <c r="N143" s="329"/>
      <c r="O143" s="329"/>
      <c r="P143" s="1"/>
      <c r="Q143" s="1"/>
      <c r="R143" s="1"/>
      <c r="S143" s="1"/>
      <c r="T143" s="1"/>
      <c r="U143" s="4"/>
      <c r="V143" s="4"/>
      <c r="W143" s="4"/>
      <c r="X143" s="4"/>
      <c r="Y143" s="4"/>
      <c r="Z143" s="4"/>
      <c r="AA143" s="4"/>
    </row>
    <row r="144" spans="1:27" ht="13.5" customHeight="1">
      <c r="A144" s="110"/>
      <c r="B144" s="68"/>
      <c r="C144" s="390"/>
      <c r="D144" s="338"/>
      <c r="E144" s="338"/>
      <c r="F144" s="338"/>
      <c r="G144" s="338"/>
      <c r="H144" s="338"/>
      <c r="I144" s="338"/>
      <c r="J144" s="338"/>
      <c r="K144" s="330"/>
      <c r="L144" s="388"/>
      <c r="M144" s="110"/>
      <c r="N144" s="329"/>
      <c r="O144" s="329"/>
      <c r="P144" s="1"/>
      <c r="Q144" s="1"/>
      <c r="R144" s="1"/>
      <c r="S144" s="1"/>
      <c r="T144" s="1"/>
      <c r="U144" s="4"/>
      <c r="V144" s="4"/>
      <c r="W144" s="4"/>
      <c r="X144" s="4"/>
      <c r="Y144" s="4"/>
      <c r="Z144" s="4"/>
      <c r="AA144" s="4"/>
    </row>
    <row r="145" spans="1:27" ht="13.5" customHeight="1">
      <c r="A145" s="110"/>
      <c r="B145" s="431" t="s">
        <v>5225</v>
      </c>
      <c r="C145" s="418" t="s">
        <v>5226</v>
      </c>
      <c r="D145" s="338">
        <f t="shared" ref="D145:J145" si="23">D143+D134+D125+D110</f>
        <v>15711885577.775608</v>
      </c>
      <c r="E145" s="338">
        <f t="shared" si="23"/>
        <v>17828325469.074608</v>
      </c>
      <c r="F145" s="338">
        <f t="shared" si="23"/>
        <v>14159879204.800001</v>
      </c>
      <c r="G145" s="338">
        <f t="shared" si="23"/>
        <v>8282350736.4799995</v>
      </c>
      <c r="H145" s="338">
        <f t="shared" si="23"/>
        <v>2802871091</v>
      </c>
      <c r="I145" s="338">
        <f t="shared" si="23"/>
        <v>13885415732</v>
      </c>
      <c r="J145" s="338">
        <f t="shared" si="23"/>
        <v>16092382132.339287</v>
      </c>
      <c r="K145" s="330"/>
      <c r="L145" s="388"/>
      <c r="M145" s="110"/>
      <c r="N145" s="329"/>
      <c r="O145" s="329"/>
      <c r="P145" s="1"/>
      <c r="Q145" s="1"/>
      <c r="R145" s="1"/>
      <c r="S145" s="1"/>
      <c r="T145" s="1"/>
      <c r="U145" s="4"/>
      <c r="V145" s="4"/>
      <c r="W145" s="4"/>
      <c r="X145" s="4"/>
      <c r="Y145" s="4"/>
      <c r="Z145" s="4"/>
      <c r="AA145" s="4"/>
    </row>
    <row r="146" spans="1:27" ht="13.5" customHeight="1">
      <c r="A146" s="110"/>
      <c r="B146" s="68"/>
      <c r="C146" s="390"/>
      <c r="D146" s="341"/>
      <c r="E146" s="341"/>
      <c r="F146" s="341"/>
      <c r="G146" s="341"/>
      <c r="H146" s="341"/>
      <c r="I146" s="341"/>
      <c r="J146" s="341"/>
      <c r="K146" s="330"/>
      <c r="L146" s="388"/>
      <c r="M146" s="110"/>
      <c r="N146" s="329"/>
      <c r="O146" s="329"/>
      <c r="P146" s="1"/>
      <c r="Q146" s="1"/>
      <c r="R146" s="1"/>
      <c r="S146" s="1"/>
      <c r="T146" s="1"/>
      <c r="U146" s="4"/>
      <c r="V146" s="4"/>
      <c r="W146" s="4"/>
      <c r="X146" s="4"/>
      <c r="Y146" s="4"/>
      <c r="Z146" s="4"/>
      <c r="AA146" s="4"/>
    </row>
    <row r="147" spans="1:27" ht="13.5" customHeight="1">
      <c r="A147" s="351"/>
      <c r="B147" s="431" t="s">
        <v>5227</v>
      </c>
      <c r="C147" s="418" t="s">
        <v>5228</v>
      </c>
      <c r="D147" s="338"/>
      <c r="E147" s="338"/>
      <c r="F147" s="338"/>
      <c r="G147" s="338"/>
      <c r="H147" s="338"/>
      <c r="I147" s="341"/>
      <c r="J147" s="338"/>
      <c r="K147" s="330"/>
      <c r="L147" s="388"/>
      <c r="M147" s="110"/>
      <c r="N147" s="329"/>
      <c r="O147" s="329"/>
      <c r="P147" s="1"/>
      <c r="Q147" s="1"/>
      <c r="R147" s="1"/>
      <c r="S147" s="1"/>
      <c r="T147" s="1"/>
      <c r="U147" s="4"/>
      <c r="V147" s="4"/>
      <c r="W147" s="4"/>
      <c r="X147" s="4"/>
      <c r="Y147" s="4"/>
      <c r="Z147" s="4"/>
      <c r="AA147" s="4"/>
    </row>
    <row r="148" spans="1:27" ht="13.5" customHeight="1">
      <c r="A148" s="110"/>
      <c r="B148" s="68" t="s">
        <v>5229</v>
      </c>
      <c r="C148" s="390" t="s">
        <v>5230</v>
      </c>
      <c r="D148" s="341">
        <v>0</v>
      </c>
      <c r="E148" s="341">
        <v>0</v>
      </c>
      <c r="F148" s="341">
        <v>0</v>
      </c>
      <c r="G148" s="341">
        <v>0</v>
      </c>
      <c r="H148" s="341" t="s">
        <v>3828</v>
      </c>
      <c r="I148" s="341" t="s">
        <v>3828</v>
      </c>
      <c r="J148" s="341">
        <f>BS!D149</f>
        <v>0</v>
      </c>
      <c r="K148" s="330"/>
      <c r="L148" s="388"/>
      <c r="M148" s="110"/>
      <c r="N148" s="329"/>
      <c r="O148" s="329"/>
      <c r="P148" s="1"/>
      <c r="Q148" s="1"/>
      <c r="R148" s="1"/>
      <c r="S148" s="1"/>
      <c r="T148" s="1"/>
      <c r="U148" s="4"/>
      <c r="V148" s="4"/>
      <c r="W148" s="4"/>
      <c r="X148" s="4"/>
      <c r="Y148" s="4"/>
      <c r="Z148" s="4"/>
      <c r="AA148" s="4"/>
    </row>
    <row r="149" spans="1:27" ht="13.5" customHeight="1">
      <c r="A149" s="110"/>
      <c r="B149" s="68" t="s">
        <v>5231</v>
      </c>
      <c r="C149" s="390" t="s">
        <v>5232</v>
      </c>
      <c r="D149" s="341">
        <v>0</v>
      </c>
      <c r="E149" s="341">
        <v>0</v>
      </c>
      <c r="F149" s="341">
        <v>0</v>
      </c>
      <c r="G149" s="341">
        <v>0</v>
      </c>
      <c r="H149" s="341" t="s">
        <v>3828</v>
      </c>
      <c r="I149" s="341" t="s">
        <v>3828</v>
      </c>
      <c r="J149" s="341">
        <f>BS!D150</f>
        <v>0</v>
      </c>
      <c r="K149" s="330"/>
      <c r="L149" s="388"/>
      <c r="M149" s="110"/>
      <c r="N149" s="329"/>
      <c r="O149" s="329"/>
      <c r="P149" s="1"/>
      <c r="Q149" s="1"/>
      <c r="R149" s="1"/>
      <c r="S149" s="1"/>
      <c r="T149" s="1"/>
      <c r="U149" s="4"/>
      <c r="V149" s="4"/>
      <c r="W149" s="4"/>
      <c r="X149" s="4"/>
      <c r="Y149" s="4"/>
      <c r="Z149" s="4"/>
      <c r="AA149" s="4"/>
    </row>
    <row r="150" spans="1:27" ht="13.5" customHeight="1">
      <c r="A150" s="110"/>
      <c r="B150" s="68" t="s">
        <v>5233</v>
      </c>
      <c r="C150" s="390" t="s">
        <v>5234</v>
      </c>
      <c r="D150" s="341">
        <v>-353382481.38741857</v>
      </c>
      <c r="E150" s="341">
        <v>62354585.042242616</v>
      </c>
      <c r="F150" s="341">
        <v>635939677.57395935</v>
      </c>
      <c r="G150" s="341">
        <v>893926520.51825511</v>
      </c>
      <c r="H150" s="341">
        <v>760018066</v>
      </c>
      <c r="I150" s="407">
        <v>411377598</v>
      </c>
      <c r="J150" s="341">
        <f>BS!D151</f>
        <v>-104182314.535936</v>
      </c>
      <c r="K150" s="330"/>
      <c r="L150" s="388"/>
      <c r="M150" s="110"/>
      <c r="N150" s="329"/>
      <c r="O150" s="329"/>
      <c r="P150" s="1"/>
      <c r="Q150" s="1"/>
      <c r="R150" s="1"/>
      <c r="S150" s="1"/>
      <c r="T150" s="1"/>
      <c r="U150" s="4"/>
      <c r="V150" s="4"/>
      <c r="W150" s="4"/>
      <c r="X150" s="4"/>
      <c r="Y150" s="4"/>
      <c r="Z150" s="4"/>
      <c r="AA150" s="4"/>
    </row>
    <row r="151" spans="1:27" ht="13.5" customHeight="1">
      <c r="A151" s="110"/>
      <c r="B151" s="68" t="s">
        <v>5235</v>
      </c>
      <c r="C151" s="390" t="s">
        <v>5236</v>
      </c>
      <c r="D151" s="341">
        <v>-1688822754</v>
      </c>
      <c r="E151" s="341">
        <v>-5582758568.4513798</v>
      </c>
      <c r="F151" s="341">
        <v>-2583287716</v>
      </c>
      <c r="G151" s="341">
        <v>2579019284</v>
      </c>
      <c r="H151" s="341">
        <v>8682185073</v>
      </c>
      <c r="I151" s="407">
        <v>13037970338</v>
      </c>
      <c r="J151" s="341">
        <f>BS!D152</f>
        <v>12749946622</v>
      </c>
      <c r="K151" s="330"/>
      <c r="L151" s="388"/>
      <c r="M151" s="110"/>
      <c r="N151" s="329"/>
      <c r="O151" s="329"/>
      <c r="P151" s="1"/>
      <c r="Q151" s="1"/>
      <c r="R151" s="1"/>
      <c r="S151" s="1"/>
      <c r="T151" s="1"/>
      <c r="U151" s="4"/>
      <c r="V151" s="4"/>
      <c r="W151" s="4"/>
      <c r="X151" s="4"/>
      <c r="Y151" s="4"/>
      <c r="Z151" s="4"/>
      <c r="AA151" s="4"/>
    </row>
    <row r="152" spans="1:27" ht="13.5" customHeight="1">
      <c r="A152" s="110"/>
      <c r="B152" s="68" t="s">
        <v>5237</v>
      </c>
      <c r="C152" s="390" t="s">
        <v>5238</v>
      </c>
      <c r="D152" s="341">
        <v>0</v>
      </c>
      <c r="E152" s="341">
        <v>0</v>
      </c>
      <c r="F152" s="341">
        <v>0</v>
      </c>
      <c r="G152" s="341">
        <v>0</v>
      </c>
      <c r="H152" s="341" t="s">
        <v>3828</v>
      </c>
      <c r="I152" s="341"/>
      <c r="J152" s="341">
        <f>BS!D153</f>
        <v>0</v>
      </c>
      <c r="K152" s="330"/>
      <c r="L152" s="388"/>
      <c r="M152" s="110"/>
      <c r="N152" s="329"/>
      <c r="O152" s="329"/>
      <c r="P152" s="1"/>
      <c r="Q152" s="1"/>
      <c r="R152" s="1"/>
      <c r="S152" s="1"/>
      <c r="T152" s="1"/>
      <c r="U152" s="4"/>
      <c r="V152" s="4"/>
      <c r="W152" s="4"/>
      <c r="X152" s="4"/>
      <c r="Y152" s="4"/>
      <c r="Z152" s="4"/>
      <c r="AA152" s="4"/>
    </row>
    <row r="153" spans="1:27" ht="13.5" customHeight="1">
      <c r="A153" s="110"/>
      <c r="B153" s="68" t="s">
        <v>5239</v>
      </c>
      <c r="C153" s="390" t="s">
        <v>5240</v>
      </c>
      <c r="D153" s="341">
        <v>0</v>
      </c>
      <c r="E153" s="341">
        <v>0</v>
      </c>
      <c r="F153" s="341">
        <v>0</v>
      </c>
      <c r="G153" s="341">
        <v>0</v>
      </c>
      <c r="H153" s="341" t="s">
        <v>3828</v>
      </c>
      <c r="I153" s="341"/>
      <c r="J153" s="341">
        <f>BS!D154</f>
        <v>0</v>
      </c>
      <c r="K153" s="330"/>
      <c r="L153" s="388"/>
      <c r="M153" s="110"/>
      <c r="N153" s="329"/>
      <c r="O153" s="329"/>
      <c r="P153" s="1"/>
      <c r="Q153" s="1"/>
      <c r="R153" s="1"/>
      <c r="S153" s="1"/>
      <c r="T153" s="1"/>
      <c r="U153" s="4"/>
      <c r="V153" s="4"/>
      <c r="W153" s="4"/>
      <c r="X153" s="4"/>
      <c r="Y153" s="4"/>
      <c r="Z153" s="4"/>
      <c r="AA153" s="4"/>
    </row>
    <row r="154" spans="1:27" ht="13.5" customHeight="1">
      <c r="A154" s="110"/>
      <c r="B154" s="68" t="s">
        <v>5241</v>
      </c>
      <c r="C154" s="390" t="s">
        <v>5242</v>
      </c>
      <c r="D154" s="341">
        <v>0</v>
      </c>
      <c r="E154" s="341">
        <v>0</v>
      </c>
      <c r="F154" s="341">
        <v>0</v>
      </c>
      <c r="G154" s="341">
        <v>0</v>
      </c>
      <c r="H154" s="341" t="s">
        <v>3828</v>
      </c>
      <c r="I154" s="341"/>
      <c r="J154" s="341">
        <f>BS!D155</f>
        <v>0</v>
      </c>
      <c r="K154" s="330"/>
      <c r="L154" s="388"/>
      <c r="M154" s="110"/>
      <c r="N154" s="329"/>
      <c r="O154" s="329"/>
      <c r="P154" s="1"/>
      <c r="Q154" s="1"/>
      <c r="R154" s="1"/>
      <c r="S154" s="1"/>
      <c r="T154" s="1"/>
      <c r="U154" s="4"/>
      <c r="V154" s="4"/>
      <c r="W154" s="4"/>
      <c r="X154" s="4"/>
      <c r="Y154" s="4"/>
      <c r="Z154" s="4"/>
      <c r="AA154" s="4"/>
    </row>
    <row r="155" spans="1:27" ht="13.5" customHeight="1">
      <c r="A155" s="110"/>
      <c r="B155" s="68"/>
      <c r="C155" s="390"/>
      <c r="D155" s="341"/>
      <c r="E155" s="341"/>
      <c r="F155" s="341"/>
      <c r="G155" s="341"/>
      <c r="H155" s="341"/>
      <c r="I155" s="341"/>
      <c r="J155" s="341"/>
      <c r="K155" s="330"/>
      <c r="L155" s="388"/>
      <c r="M155" s="110"/>
      <c r="N155" s="329"/>
      <c r="O155" s="329"/>
      <c r="P155" s="1"/>
      <c r="Q155" s="1"/>
      <c r="R155" s="1"/>
      <c r="S155" s="1"/>
      <c r="T155" s="1"/>
      <c r="U155" s="4"/>
      <c r="V155" s="4"/>
      <c r="W155" s="4"/>
      <c r="X155" s="4"/>
      <c r="Y155" s="4"/>
      <c r="Z155" s="4"/>
      <c r="AA155" s="4"/>
    </row>
    <row r="156" spans="1:27" ht="13.5" customHeight="1">
      <c r="A156" s="351"/>
      <c r="B156" s="431" t="s">
        <v>5243</v>
      </c>
      <c r="C156" s="418" t="s">
        <v>5244</v>
      </c>
      <c r="D156" s="338">
        <f t="shared" ref="D156:J156" si="24">SUM(D157:D159)</f>
        <v>1000000000</v>
      </c>
      <c r="E156" s="338">
        <f t="shared" si="24"/>
        <v>1000000000</v>
      </c>
      <c r="F156" s="338">
        <f t="shared" si="24"/>
        <v>1000000000</v>
      </c>
      <c r="G156" s="338">
        <f t="shared" si="24"/>
        <v>1000000000</v>
      </c>
      <c r="H156" s="338">
        <f t="shared" si="24"/>
        <v>1000000000</v>
      </c>
      <c r="I156" s="338">
        <f t="shared" si="24"/>
        <v>1000000000</v>
      </c>
      <c r="J156" s="338">
        <f t="shared" si="24"/>
        <v>1000000000</v>
      </c>
      <c r="K156" s="330"/>
      <c r="L156" s="388"/>
      <c r="M156" s="110"/>
      <c r="N156" s="329"/>
      <c r="O156" s="329"/>
      <c r="P156" s="1"/>
      <c r="Q156" s="1"/>
      <c r="R156" s="1"/>
      <c r="S156" s="1"/>
      <c r="T156" s="1"/>
      <c r="U156" s="4"/>
      <c r="V156" s="4"/>
      <c r="W156" s="4"/>
      <c r="X156" s="4"/>
      <c r="Y156" s="4"/>
      <c r="Z156" s="4"/>
      <c r="AA156" s="4"/>
    </row>
    <row r="157" spans="1:27" ht="13.5" customHeight="1">
      <c r="A157" s="110"/>
      <c r="B157" s="68" t="s">
        <v>5245</v>
      </c>
      <c r="C157" s="340" t="s">
        <v>5246</v>
      </c>
      <c r="D157" s="341">
        <v>500000000</v>
      </c>
      <c r="E157" s="341">
        <v>500000000</v>
      </c>
      <c r="F157" s="341">
        <v>500000000</v>
      </c>
      <c r="G157" s="341">
        <v>500000000</v>
      </c>
      <c r="H157" s="341">
        <v>500000000</v>
      </c>
      <c r="I157" s="407">
        <v>500000000</v>
      </c>
      <c r="J157" s="341">
        <f>BS!D158</f>
        <v>500000000</v>
      </c>
      <c r="K157" s="330"/>
      <c r="L157" s="388"/>
      <c r="M157" s="110"/>
      <c r="N157" s="329"/>
      <c r="O157" s="329"/>
      <c r="P157" s="1"/>
      <c r="Q157" s="1"/>
      <c r="R157" s="1"/>
      <c r="S157" s="1"/>
      <c r="T157" s="1"/>
      <c r="U157" s="4"/>
      <c r="V157" s="4"/>
      <c r="W157" s="4"/>
      <c r="X157" s="4"/>
      <c r="Y157" s="4"/>
      <c r="Z157" s="4"/>
      <c r="AA157" s="4"/>
    </row>
    <row r="158" spans="1:27" ht="13.5" customHeight="1">
      <c r="A158" s="110"/>
      <c r="B158" s="68" t="s">
        <v>5247</v>
      </c>
      <c r="C158" s="340" t="s">
        <v>5248</v>
      </c>
      <c r="D158" s="341">
        <v>500000000</v>
      </c>
      <c r="E158" s="341">
        <v>500000000</v>
      </c>
      <c r="F158" s="341">
        <v>500000000</v>
      </c>
      <c r="G158" s="341">
        <v>500000000</v>
      </c>
      <c r="H158" s="341">
        <v>500000000</v>
      </c>
      <c r="I158" s="407">
        <v>500000000</v>
      </c>
      <c r="J158" s="341">
        <f>BS!D159</f>
        <v>500000000</v>
      </c>
      <c r="K158" s="330"/>
      <c r="L158" s="388"/>
      <c r="M158" s="110"/>
      <c r="N158" s="329"/>
      <c r="O158" s="329"/>
      <c r="P158" s="1"/>
      <c r="Q158" s="1"/>
      <c r="R158" s="1"/>
      <c r="S158" s="1"/>
      <c r="T158" s="1"/>
      <c r="U158" s="4"/>
      <c r="V158" s="4"/>
      <c r="W158" s="4"/>
      <c r="X158" s="4"/>
      <c r="Y158" s="4"/>
      <c r="Z158" s="4"/>
      <c r="AA158" s="4"/>
    </row>
    <row r="159" spans="1:27" ht="13.5" customHeight="1">
      <c r="A159" s="110"/>
      <c r="B159" s="68" t="s">
        <v>5249</v>
      </c>
      <c r="C159" s="340"/>
      <c r="D159" s="341">
        <v>0</v>
      </c>
      <c r="E159" s="341">
        <v>0</v>
      </c>
      <c r="F159" s="341">
        <v>0</v>
      </c>
      <c r="G159" s="341">
        <v>0</v>
      </c>
      <c r="H159" s="341" t="s">
        <v>3828</v>
      </c>
      <c r="I159" s="341"/>
      <c r="J159" s="341">
        <f>TB!Z916-TB!Y916</f>
        <v>0</v>
      </c>
      <c r="K159" s="330"/>
      <c r="L159" s="388"/>
      <c r="M159" s="110"/>
      <c r="N159" s="329"/>
      <c r="O159" s="329"/>
      <c r="P159" s="1"/>
      <c r="Q159" s="1"/>
      <c r="R159" s="1"/>
      <c r="S159" s="1"/>
      <c r="T159" s="1"/>
      <c r="U159" s="4"/>
      <c r="V159" s="4"/>
      <c r="W159" s="4"/>
      <c r="X159" s="4"/>
      <c r="Y159" s="4"/>
      <c r="Z159" s="4"/>
      <c r="AA159" s="4"/>
    </row>
    <row r="160" spans="1:27" ht="13.5" customHeight="1">
      <c r="A160" s="110"/>
      <c r="B160" s="431" t="s">
        <v>5250</v>
      </c>
      <c r="C160" s="418" t="s">
        <v>5251</v>
      </c>
      <c r="D160" s="338">
        <f t="shared" ref="D160:J160" si="25">SUM(D148:D154)+D156</f>
        <v>-1042205235.3874185</v>
      </c>
      <c r="E160" s="338">
        <f t="shared" si="25"/>
        <v>-4520403983.4091368</v>
      </c>
      <c r="F160" s="338">
        <f t="shared" si="25"/>
        <v>-947348038.42604065</v>
      </c>
      <c r="G160" s="338">
        <f t="shared" si="25"/>
        <v>4472945804.5182552</v>
      </c>
      <c r="H160" s="338">
        <f t="shared" si="25"/>
        <v>10442203139</v>
      </c>
      <c r="I160" s="338">
        <f t="shared" si="25"/>
        <v>14449347936</v>
      </c>
      <c r="J160" s="338">
        <f t="shared" si="25"/>
        <v>13645764307.464064</v>
      </c>
      <c r="K160" s="330"/>
      <c r="L160" s="388"/>
      <c r="M160" s="110"/>
      <c r="N160" s="329"/>
      <c r="O160" s="329"/>
      <c r="P160" s="1"/>
      <c r="Q160" s="1"/>
      <c r="R160" s="1"/>
      <c r="S160" s="1"/>
      <c r="T160" s="1"/>
      <c r="U160" s="4"/>
      <c r="V160" s="4"/>
      <c r="W160" s="4"/>
      <c r="X160" s="4"/>
      <c r="Y160" s="4"/>
      <c r="Z160" s="4"/>
      <c r="AA160" s="4"/>
    </row>
    <row r="161" spans="1:27" ht="13.5" customHeight="1">
      <c r="A161" s="110"/>
      <c r="B161" s="123"/>
      <c r="C161" s="390"/>
      <c r="D161" s="341"/>
      <c r="E161" s="341"/>
      <c r="F161" s="341"/>
      <c r="G161" s="341"/>
      <c r="H161" s="341"/>
      <c r="I161" s="341"/>
      <c r="J161" s="341"/>
      <c r="K161" s="330"/>
      <c r="L161" s="388"/>
      <c r="M161" s="110"/>
      <c r="N161" s="329"/>
      <c r="O161" s="329"/>
      <c r="P161" s="1"/>
      <c r="Q161" s="1"/>
      <c r="R161" s="1"/>
      <c r="S161" s="1"/>
      <c r="T161" s="1"/>
      <c r="U161" s="4"/>
      <c r="V161" s="4"/>
      <c r="W161" s="4"/>
      <c r="X161" s="4"/>
      <c r="Y161" s="4"/>
      <c r="Z161" s="4"/>
      <c r="AA161" s="4"/>
    </row>
    <row r="162" spans="1:27" ht="13.5" customHeight="1">
      <c r="A162" s="110"/>
      <c r="B162" s="432"/>
      <c r="C162" s="398"/>
      <c r="D162" s="374"/>
      <c r="E162" s="374"/>
      <c r="F162" s="374"/>
      <c r="G162" s="374"/>
      <c r="H162" s="374"/>
      <c r="I162" s="374"/>
      <c r="J162" s="374"/>
      <c r="K162" s="330"/>
      <c r="L162" s="388"/>
      <c r="M162" s="110"/>
      <c r="N162" s="329"/>
      <c r="O162" s="329"/>
      <c r="P162" s="1"/>
      <c r="Q162" s="1"/>
      <c r="R162" s="1"/>
      <c r="S162" s="1"/>
      <c r="T162" s="1"/>
      <c r="U162" s="4"/>
      <c r="V162" s="4"/>
      <c r="W162" s="4"/>
      <c r="X162" s="4"/>
      <c r="Y162" s="4"/>
      <c r="Z162" s="4"/>
      <c r="AA162" s="4"/>
    </row>
    <row r="163" spans="1:27" ht="13.5" customHeight="1">
      <c r="A163" s="110"/>
      <c r="B163" s="433"/>
      <c r="C163" s="401"/>
      <c r="D163" s="434">
        <f t="shared" ref="D163:G163" si="26">D103-D145-D160</f>
        <v>0.61873984336853027</v>
      </c>
      <c r="E163" s="434">
        <f t="shared" si="26"/>
        <v>0.20700168609619141</v>
      </c>
      <c r="F163" s="434">
        <f t="shared" si="26"/>
        <v>3.6998748779296875E-2</v>
      </c>
      <c r="G163" s="434">
        <f t="shared" si="26"/>
        <v>0</v>
      </c>
      <c r="H163" s="434">
        <v>0</v>
      </c>
      <c r="I163" s="434">
        <f t="shared" ref="I163:J163" si="27">I103-I145-I160</f>
        <v>0</v>
      </c>
      <c r="J163" s="434">
        <f t="shared" si="27"/>
        <v>0.38250160217285156</v>
      </c>
      <c r="K163" s="330"/>
      <c r="L163" s="388"/>
      <c r="M163" s="110"/>
      <c r="N163" s="329"/>
      <c r="O163" s="329"/>
      <c r="P163" s="1"/>
      <c r="Q163" s="1"/>
      <c r="R163" s="1"/>
      <c r="S163" s="1"/>
      <c r="T163" s="1"/>
      <c r="U163" s="4"/>
      <c r="V163" s="4"/>
      <c r="W163" s="4"/>
      <c r="X163" s="4"/>
      <c r="Y163" s="4"/>
      <c r="Z163" s="4"/>
      <c r="AA163" s="4"/>
    </row>
    <row r="164" spans="1:27" ht="15" customHeight="1">
      <c r="A164" s="110"/>
      <c r="B164" s="103"/>
      <c r="C164" s="4"/>
      <c r="D164" s="110"/>
      <c r="E164" s="110"/>
      <c r="F164" s="110"/>
      <c r="G164" s="110"/>
      <c r="H164" s="110"/>
      <c r="I164" s="4"/>
      <c r="J164" s="110"/>
      <c r="K164" s="110"/>
      <c r="L164" s="110"/>
      <c r="M164" s="110"/>
      <c r="N164" s="329"/>
      <c r="O164" s="329"/>
      <c r="P164" s="1"/>
      <c r="Q164" s="1"/>
      <c r="R164" s="1"/>
      <c r="S164" s="1"/>
      <c r="T164" s="1"/>
      <c r="U164" s="4"/>
      <c r="V164" s="4"/>
      <c r="W164" s="4"/>
      <c r="X164" s="4"/>
      <c r="Y164" s="4"/>
      <c r="Z164" s="4"/>
      <c r="AA164" s="4"/>
    </row>
    <row r="165" spans="1:27" ht="15" customHeight="1">
      <c r="A165" s="110"/>
      <c r="B165" s="103"/>
      <c r="C165" s="4"/>
      <c r="D165" s="110"/>
      <c r="E165" s="110"/>
      <c r="F165" s="110"/>
      <c r="G165" s="110"/>
      <c r="H165" s="110"/>
      <c r="I165" s="4"/>
      <c r="J165" s="110"/>
      <c r="K165" s="110"/>
      <c r="L165" s="110"/>
      <c r="M165" s="110"/>
      <c r="N165" s="329"/>
      <c r="O165" s="329"/>
      <c r="P165" s="1"/>
      <c r="Q165" s="1"/>
      <c r="R165" s="1"/>
      <c r="S165" s="1"/>
      <c r="T165" s="1"/>
      <c r="U165" s="4"/>
      <c r="V165" s="4"/>
      <c r="W165" s="4"/>
      <c r="X165" s="4"/>
      <c r="Y165" s="4"/>
      <c r="Z165" s="4"/>
      <c r="AA165" s="4"/>
    </row>
    <row r="166" spans="1:27" ht="15" customHeight="1">
      <c r="A166" s="110"/>
      <c r="B166" s="103"/>
      <c r="C166" s="4"/>
      <c r="D166" s="110"/>
      <c r="E166" s="110"/>
      <c r="F166" s="110"/>
      <c r="G166" s="110"/>
      <c r="H166" s="110"/>
      <c r="I166" s="4"/>
      <c r="J166" s="110"/>
      <c r="K166" s="110"/>
      <c r="L166" s="110"/>
      <c r="M166" s="110"/>
      <c r="N166" s="329"/>
      <c r="O166" s="329"/>
      <c r="P166" s="1"/>
      <c r="Q166" s="1"/>
      <c r="R166" s="1"/>
      <c r="S166" s="1"/>
      <c r="T166" s="1"/>
      <c r="U166" s="4"/>
      <c r="V166" s="4"/>
      <c r="W166" s="4"/>
      <c r="X166" s="4"/>
      <c r="Y166" s="4"/>
      <c r="Z166" s="4"/>
      <c r="AA166" s="4"/>
    </row>
    <row r="167" spans="1:27" ht="15" customHeight="1">
      <c r="A167" s="110"/>
      <c r="B167" s="103"/>
      <c r="C167" s="4"/>
      <c r="D167" s="110"/>
      <c r="E167" s="110"/>
      <c r="F167" s="110"/>
      <c r="G167" s="110"/>
      <c r="H167" s="110"/>
      <c r="I167" s="4"/>
      <c r="J167" s="110"/>
      <c r="K167" s="110"/>
      <c r="L167" s="110"/>
      <c r="M167" s="110"/>
      <c r="N167" s="329"/>
      <c r="O167" s="329"/>
      <c r="P167" s="1"/>
      <c r="Q167" s="1"/>
      <c r="R167" s="1"/>
      <c r="S167" s="1"/>
      <c r="T167" s="1"/>
      <c r="U167" s="4"/>
      <c r="V167" s="4"/>
      <c r="W167" s="4"/>
      <c r="X167" s="4"/>
      <c r="Y167" s="4"/>
      <c r="Z167" s="4"/>
      <c r="AA167" s="4"/>
    </row>
    <row r="168" spans="1:27" ht="15" customHeight="1">
      <c r="A168" s="110"/>
      <c r="B168" s="103"/>
      <c r="C168" s="4"/>
      <c r="D168" s="120"/>
      <c r="E168" s="120"/>
      <c r="F168" s="120"/>
      <c r="G168" s="120"/>
      <c r="H168" s="120"/>
      <c r="I168" s="79"/>
      <c r="J168" s="120"/>
      <c r="K168" s="120"/>
      <c r="L168" s="110"/>
      <c r="M168" s="110"/>
      <c r="N168" s="329"/>
      <c r="O168" s="329"/>
      <c r="P168" s="1"/>
      <c r="Q168" s="1"/>
      <c r="R168" s="1"/>
      <c r="S168" s="1"/>
      <c r="T168" s="1"/>
      <c r="U168" s="4"/>
      <c r="V168" s="4"/>
      <c r="W168" s="4"/>
      <c r="X168" s="4"/>
      <c r="Y168" s="4"/>
      <c r="Z168" s="4"/>
      <c r="AA168" s="4"/>
    </row>
    <row r="169" spans="1:27" ht="15" customHeight="1">
      <c r="A169" s="110"/>
      <c r="B169" s="103"/>
      <c r="C169" s="4"/>
      <c r="D169" s="110"/>
      <c r="E169" s="110"/>
      <c r="F169" s="110"/>
      <c r="G169" s="110"/>
      <c r="H169" s="110"/>
      <c r="I169" s="4"/>
      <c r="J169" s="110"/>
      <c r="K169" s="110"/>
      <c r="L169" s="110"/>
      <c r="M169" s="110"/>
      <c r="N169" s="329"/>
      <c r="O169" s="329"/>
      <c r="P169" s="1"/>
      <c r="Q169" s="1"/>
      <c r="R169" s="1"/>
      <c r="S169" s="1"/>
      <c r="T169" s="1"/>
      <c r="U169" s="4"/>
      <c r="V169" s="4"/>
      <c r="W169" s="4"/>
      <c r="X169" s="4"/>
      <c r="Y169" s="4"/>
      <c r="Z169" s="4"/>
      <c r="AA169" s="4"/>
    </row>
    <row r="170" spans="1:27" ht="15" customHeight="1">
      <c r="A170" s="110"/>
      <c r="B170" s="103"/>
      <c r="C170" s="4"/>
      <c r="D170" s="110"/>
      <c r="E170" s="110"/>
      <c r="F170" s="110"/>
      <c r="G170" s="110"/>
      <c r="H170" s="110"/>
      <c r="I170" s="4"/>
      <c r="J170" s="110"/>
      <c r="K170" s="110"/>
      <c r="L170" s="110"/>
      <c r="M170" s="110"/>
      <c r="N170" s="329"/>
      <c r="O170" s="329"/>
      <c r="P170" s="1"/>
      <c r="Q170" s="1"/>
      <c r="R170" s="1"/>
      <c r="S170" s="1"/>
      <c r="T170" s="1"/>
      <c r="U170" s="4"/>
      <c r="V170" s="4"/>
      <c r="W170" s="4"/>
      <c r="X170" s="4"/>
      <c r="Y170" s="4"/>
      <c r="Z170" s="4"/>
      <c r="AA170" s="4"/>
    </row>
    <row r="171" spans="1:27" ht="15" customHeight="1">
      <c r="A171" s="110"/>
      <c r="B171" s="103"/>
      <c r="C171" s="4"/>
      <c r="D171" s="120"/>
      <c r="E171" s="120"/>
      <c r="F171" s="120"/>
      <c r="G171" s="120"/>
      <c r="H171" s="120"/>
      <c r="I171" s="79"/>
      <c r="J171" s="120"/>
      <c r="K171" s="120"/>
      <c r="L171" s="110"/>
      <c r="M171" s="110"/>
      <c r="N171" s="329"/>
      <c r="O171" s="329"/>
      <c r="P171" s="1"/>
      <c r="Q171" s="1"/>
      <c r="R171" s="1"/>
      <c r="S171" s="1"/>
      <c r="T171" s="1"/>
      <c r="U171" s="4"/>
      <c r="V171" s="4"/>
      <c r="W171" s="4"/>
      <c r="X171" s="4"/>
      <c r="Y171" s="4"/>
      <c r="Z171" s="4"/>
      <c r="AA171" s="4"/>
    </row>
    <row r="172" spans="1:27" ht="15" customHeight="1">
      <c r="A172" s="110"/>
      <c r="B172" s="103"/>
      <c r="C172" s="4"/>
      <c r="D172" s="110"/>
      <c r="E172" s="110"/>
      <c r="F172" s="110"/>
      <c r="G172" s="110"/>
      <c r="H172" s="110"/>
      <c r="I172" s="4"/>
      <c r="J172" s="110"/>
      <c r="K172" s="110"/>
      <c r="L172" s="110"/>
      <c r="M172" s="110"/>
      <c r="N172" s="329"/>
      <c r="O172" s="329"/>
      <c r="P172" s="1"/>
      <c r="Q172" s="1"/>
      <c r="R172" s="1"/>
      <c r="S172" s="1"/>
      <c r="T172" s="1"/>
      <c r="U172" s="4"/>
      <c r="V172" s="4"/>
      <c r="W172" s="4"/>
      <c r="X172" s="4"/>
      <c r="Y172" s="4"/>
      <c r="Z172" s="4"/>
      <c r="AA172" s="4"/>
    </row>
    <row r="173" spans="1:27" ht="15" customHeight="1">
      <c r="A173" s="110"/>
      <c r="B173" s="427"/>
      <c r="C173" s="110"/>
      <c r="D173" s="110"/>
      <c r="E173" s="110"/>
      <c r="F173" s="110"/>
      <c r="G173" s="110"/>
      <c r="H173" s="110"/>
      <c r="I173" s="4"/>
      <c r="J173" s="110"/>
      <c r="K173" s="110"/>
      <c r="L173" s="110"/>
      <c r="M173" s="110"/>
      <c r="N173" s="329"/>
      <c r="O173" s="329"/>
      <c r="P173" s="1"/>
      <c r="Q173" s="1"/>
      <c r="R173" s="1"/>
      <c r="S173" s="1"/>
      <c r="T173" s="1"/>
      <c r="U173" s="4"/>
      <c r="V173" s="4"/>
      <c r="W173" s="4"/>
      <c r="X173" s="4"/>
      <c r="Y173" s="4"/>
      <c r="Z173" s="4"/>
      <c r="AA173" s="4"/>
    </row>
    <row r="174" spans="1:27" ht="15" customHeight="1">
      <c r="A174" s="110"/>
      <c r="B174" s="427"/>
      <c r="C174" s="110"/>
      <c r="D174" s="110"/>
      <c r="E174" s="110"/>
      <c r="F174" s="110"/>
      <c r="G174" s="110"/>
      <c r="H174" s="110"/>
      <c r="I174" s="4"/>
      <c r="J174" s="110"/>
      <c r="K174" s="110"/>
      <c r="L174" s="110"/>
      <c r="M174" s="110"/>
      <c r="N174" s="329"/>
      <c r="O174" s="329"/>
      <c r="P174" s="1"/>
      <c r="Q174" s="1"/>
      <c r="R174" s="1"/>
      <c r="S174" s="1"/>
      <c r="T174" s="1"/>
      <c r="U174" s="4"/>
      <c r="V174" s="4"/>
      <c r="W174" s="4"/>
      <c r="X174" s="4"/>
      <c r="Y174" s="4"/>
      <c r="Z174" s="4"/>
      <c r="AA174" s="4"/>
    </row>
    <row r="175" spans="1:27" ht="15" customHeight="1">
      <c r="A175" s="110"/>
      <c r="B175" s="427"/>
      <c r="C175" s="110"/>
      <c r="D175" s="110"/>
      <c r="E175" s="110"/>
      <c r="F175" s="110"/>
      <c r="G175" s="110"/>
      <c r="H175" s="110"/>
      <c r="I175" s="4"/>
      <c r="J175" s="110"/>
      <c r="K175" s="110"/>
      <c r="L175" s="110"/>
      <c r="M175" s="110"/>
      <c r="N175" s="329"/>
      <c r="O175" s="329"/>
      <c r="P175" s="1"/>
      <c r="Q175" s="1"/>
      <c r="R175" s="1"/>
      <c r="S175" s="1"/>
      <c r="T175" s="1"/>
      <c r="U175" s="4"/>
      <c r="V175" s="4"/>
      <c r="W175" s="4"/>
      <c r="X175" s="4"/>
      <c r="Y175" s="4"/>
      <c r="Z175" s="4"/>
      <c r="AA175" s="4"/>
    </row>
    <row r="176" spans="1:27" ht="15" customHeight="1">
      <c r="A176" s="110"/>
      <c r="B176" s="427"/>
      <c r="C176" s="110"/>
      <c r="D176" s="110"/>
      <c r="E176" s="110"/>
      <c r="F176" s="110"/>
      <c r="G176" s="110"/>
      <c r="H176" s="110"/>
      <c r="I176" s="4"/>
      <c r="J176" s="110"/>
      <c r="K176" s="110"/>
      <c r="L176" s="110"/>
      <c r="M176" s="110"/>
      <c r="N176" s="329"/>
      <c r="O176" s="329"/>
      <c r="P176" s="1"/>
      <c r="Q176" s="1"/>
      <c r="R176" s="1"/>
      <c r="S176" s="1"/>
      <c r="T176" s="1"/>
      <c r="U176" s="4"/>
      <c r="V176" s="4"/>
      <c r="W176" s="4"/>
      <c r="X176" s="4"/>
      <c r="Y176" s="4"/>
      <c r="Z176" s="4"/>
      <c r="AA176" s="4"/>
    </row>
    <row r="177" spans="1:27" ht="15" customHeight="1">
      <c r="A177" s="110"/>
      <c r="B177" s="427"/>
      <c r="C177" s="110"/>
      <c r="D177" s="110"/>
      <c r="E177" s="110"/>
      <c r="F177" s="110"/>
      <c r="G177" s="110"/>
      <c r="H177" s="110"/>
      <c r="I177" s="4"/>
      <c r="J177" s="110"/>
      <c r="K177" s="110"/>
      <c r="L177" s="110"/>
      <c r="M177" s="110"/>
      <c r="N177" s="329"/>
      <c r="O177" s="329"/>
      <c r="P177" s="1"/>
      <c r="Q177" s="1"/>
      <c r="R177" s="1"/>
      <c r="S177" s="1"/>
      <c r="T177" s="1"/>
      <c r="U177" s="4"/>
      <c r="V177" s="4"/>
      <c r="W177" s="4"/>
      <c r="X177" s="4"/>
      <c r="Y177" s="4"/>
      <c r="Z177" s="4"/>
      <c r="AA177" s="4"/>
    </row>
    <row r="178" spans="1:27" ht="15" customHeight="1">
      <c r="A178" s="110"/>
      <c r="B178" s="427"/>
      <c r="C178" s="110"/>
      <c r="D178" s="110"/>
      <c r="E178" s="110"/>
      <c r="F178" s="110"/>
      <c r="G178" s="110"/>
      <c r="H178" s="110"/>
      <c r="I178" s="4"/>
      <c r="J178" s="110"/>
      <c r="K178" s="110"/>
      <c r="L178" s="110"/>
      <c r="M178" s="110"/>
      <c r="N178" s="329"/>
      <c r="O178" s="329"/>
      <c r="P178" s="1"/>
      <c r="Q178" s="1"/>
      <c r="R178" s="1"/>
      <c r="S178" s="1"/>
      <c r="T178" s="1"/>
      <c r="U178" s="4"/>
      <c r="V178" s="4"/>
      <c r="W178" s="4"/>
      <c r="X178" s="4"/>
      <c r="Y178" s="4"/>
      <c r="Z178" s="4"/>
      <c r="AA178" s="4"/>
    </row>
    <row r="179" spans="1:27" ht="15" customHeight="1">
      <c r="A179" s="110"/>
      <c r="B179" s="427"/>
      <c r="C179" s="110"/>
      <c r="D179" s="110"/>
      <c r="E179" s="110"/>
      <c r="F179" s="110"/>
      <c r="G179" s="110"/>
      <c r="H179" s="110"/>
      <c r="I179" s="4"/>
      <c r="J179" s="110"/>
      <c r="K179" s="110"/>
      <c r="L179" s="110"/>
      <c r="M179" s="110"/>
      <c r="N179" s="329"/>
      <c r="O179" s="329"/>
      <c r="P179" s="1"/>
      <c r="Q179" s="1"/>
      <c r="R179" s="1"/>
      <c r="S179" s="1"/>
      <c r="T179" s="1"/>
      <c r="U179" s="4"/>
      <c r="V179" s="4"/>
      <c r="W179" s="4"/>
      <c r="X179" s="4"/>
      <c r="Y179" s="4"/>
      <c r="Z179" s="4"/>
      <c r="AA179" s="4"/>
    </row>
    <row r="180" spans="1:27" ht="15" customHeight="1">
      <c r="A180" s="110"/>
      <c r="B180" s="427"/>
      <c r="C180" s="110"/>
      <c r="D180" s="110"/>
      <c r="E180" s="110"/>
      <c r="F180" s="110"/>
      <c r="G180" s="110"/>
      <c r="H180" s="110"/>
      <c r="I180" s="4"/>
      <c r="J180" s="110"/>
      <c r="K180" s="110"/>
      <c r="L180" s="110"/>
      <c r="M180" s="110"/>
      <c r="N180" s="329"/>
      <c r="O180" s="329"/>
      <c r="P180" s="1"/>
      <c r="Q180" s="1"/>
      <c r="R180" s="1"/>
      <c r="S180" s="1"/>
      <c r="T180" s="1"/>
      <c r="U180" s="4"/>
      <c r="V180" s="4"/>
      <c r="W180" s="4"/>
      <c r="X180" s="4"/>
      <c r="Y180" s="4"/>
      <c r="Z180" s="4"/>
      <c r="AA180" s="4"/>
    </row>
    <row r="181" spans="1:27" ht="15" customHeight="1">
      <c r="A181" s="110"/>
      <c r="B181" s="427"/>
      <c r="C181" s="110"/>
      <c r="D181" s="110"/>
      <c r="E181" s="110"/>
      <c r="F181" s="110"/>
      <c r="G181" s="110"/>
      <c r="H181" s="110"/>
      <c r="I181" s="4"/>
      <c r="J181" s="110"/>
      <c r="K181" s="110"/>
      <c r="L181" s="110"/>
      <c r="M181" s="110"/>
      <c r="N181" s="329"/>
      <c r="O181" s="329"/>
      <c r="P181" s="1"/>
      <c r="Q181" s="1"/>
      <c r="R181" s="1"/>
      <c r="S181" s="1"/>
      <c r="T181" s="1"/>
      <c r="U181" s="4"/>
      <c r="V181" s="4"/>
      <c r="W181" s="4"/>
      <c r="X181" s="4"/>
      <c r="Y181" s="4"/>
      <c r="Z181" s="4"/>
      <c r="AA181" s="4"/>
    </row>
    <row r="182" spans="1:27" ht="15" customHeight="1">
      <c r="A182" s="110"/>
      <c r="B182" s="427"/>
      <c r="C182" s="110"/>
      <c r="D182" s="110"/>
      <c r="E182" s="110"/>
      <c r="F182" s="110"/>
      <c r="G182" s="110"/>
      <c r="H182" s="110"/>
      <c r="I182" s="4"/>
      <c r="J182" s="110"/>
      <c r="K182" s="110"/>
      <c r="L182" s="110"/>
      <c r="M182" s="110"/>
      <c r="N182" s="329"/>
      <c r="O182" s="329"/>
      <c r="P182" s="1"/>
      <c r="Q182" s="1"/>
      <c r="R182" s="1"/>
      <c r="S182" s="1"/>
      <c r="T182" s="1"/>
      <c r="U182" s="4"/>
      <c r="V182" s="4"/>
      <c r="W182" s="4"/>
      <c r="X182" s="4"/>
      <c r="Y182" s="4"/>
      <c r="Z182" s="4"/>
      <c r="AA182" s="4"/>
    </row>
    <row r="183" spans="1:27" ht="15" customHeight="1">
      <c r="A183" s="110"/>
      <c r="B183" s="427"/>
      <c r="C183" s="110"/>
      <c r="D183" s="110"/>
      <c r="E183" s="110"/>
      <c r="F183" s="110"/>
      <c r="G183" s="110"/>
      <c r="H183" s="110"/>
      <c r="I183" s="4"/>
      <c r="J183" s="110"/>
      <c r="K183" s="110"/>
      <c r="L183" s="110"/>
      <c r="M183" s="110"/>
      <c r="N183" s="329"/>
      <c r="O183" s="329"/>
      <c r="P183" s="1"/>
      <c r="Q183" s="1"/>
      <c r="R183" s="1"/>
      <c r="S183" s="1"/>
      <c r="T183" s="1"/>
      <c r="U183" s="4"/>
      <c r="V183" s="4"/>
      <c r="W183" s="4"/>
      <c r="X183" s="4"/>
      <c r="Y183" s="4"/>
      <c r="Z183" s="4"/>
      <c r="AA183" s="4"/>
    </row>
    <row r="184" spans="1:27" ht="15" customHeight="1">
      <c r="A184" s="110"/>
      <c r="B184" s="427"/>
      <c r="C184" s="110"/>
      <c r="D184" s="110"/>
      <c r="E184" s="110"/>
      <c r="F184" s="110"/>
      <c r="G184" s="110"/>
      <c r="H184" s="110"/>
      <c r="I184" s="4"/>
      <c r="J184" s="110"/>
      <c r="K184" s="110"/>
      <c r="L184" s="110"/>
      <c r="M184" s="110"/>
      <c r="N184" s="329"/>
      <c r="O184" s="329"/>
      <c r="P184" s="1"/>
      <c r="Q184" s="1"/>
      <c r="R184" s="1"/>
      <c r="S184" s="1"/>
      <c r="T184" s="1"/>
      <c r="U184" s="4"/>
      <c r="V184" s="4"/>
      <c r="W184" s="4"/>
      <c r="X184" s="4"/>
      <c r="Y184" s="4"/>
      <c r="Z184" s="4"/>
      <c r="AA184" s="4"/>
    </row>
    <row r="185" spans="1:27" ht="15" customHeight="1">
      <c r="A185" s="110"/>
      <c r="B185" s="427"/>
      <c r="C185" s="110"/>
      <c r="D185" s="110"/>
      <c r="E185" s="110"/>
      <c r="F185" s="110"/>
      <c r="G185" s="110"/>
      <c r="H185" s="110"/>
      <c r="I185" s="4"/>
      <c r="J185" s="110"/>
      <c r="K185" s="344"/>
      <c r="L185" s="110"/>
      <c r="M185" s="110"/>
      <c r="N185" s="329"/>
      <c r="O185" s="329"/>
      <c r="P185" s="1"/>
      <c r="Q185" s="1"/>
      <c r="R185" s="1"/>
      <c r="S185" s="1"/>
      <c r="T185" s="1"/>
      <c r="U185" s="4"/>
      <c r="V185" s="4"/>
      <c r="W185" s="4"/>
      <c r="X185" s="4"/>
      <c r="Y185" s="4"/>
      <c r="Z185" s="4"/>
      <c r="AA185" s="4"/>
    </row>
    <row r="186" spans="1:27" ht="15" customHeight="1">
      <c r="A186" s="110"/>
      <c r="B186" s="427"/>
      <c r="C186" s="110"/>
      <c r="D186" s="110"/>
      <c r="E186" s="110"/>
      <c r="F186" s="110"/>
      <c r="G186" s="110"/>
      <c r="H186" s="110"/>
      <c r="I186" s="4"/>
      <c r="J186" s="110"/>
      <c r="K186" s="344"/>
      <c r="L186" s="110"/>
      <c r="M186" s="110"/>
      <c r="N186" s="329"/>
      <c r="O186" s="329"/>
      <c r="P186" s="1"/>
      <c r="Q186" s="1"/>
      <c r="R186" s="1"/>
      <c r="S186" s="1"/>
      <c r="T186" s="1"/>
      <c r="U186" s="4"/>
      <c r="V186" s="4"/>
      <c r="W186" s="4"/>
      <c r="X186" s="4"/>
      <c r="Y186" s="4"/>
      <c r="Z186" s="4"/>
      <c r="AA186" s="4"/>
    </row>
    <row r="187" spans="1:27" ht="15" customHeight="1">
      <c r="A187" s="110"/>
      <c r="B187" s="427"/>
      <c r="C187" s="110"/>
      <c r="D187" s="110"/>
      <c r="E187" s="110"/>
      <c r="F187" s="110"/>
      <c r="G187" s="110"/>
      <c r="H187" s="110"/>
      <c r="I187" s="4"/>
      <c r="J187" s="110"/>
      <c r="K187" s="344"/>
      <c r="L187" s="110"/>
      <c r="M187" s="110"/>
      <c r="N187" s="329"/>
      <c r="O187" s="329"/>
      <c r="P187" s="1"/>
      <c r="Q187" s="1"/>
      <c r="R187" s="1"/>
      <c r="S187" s="1"/>
      <c r="T187" s="1"/>
      <c r="U187" s="4"/>
      <c r="V187" s="4"/>
      <c r="W187" s="4"/>
      <c r="X187" s="4"/>
      <c r="Y187" s="4"/>
      <c r="Z187" s="4"/>
      <c r="AA187" s="4"/>
    </row>
    <row r="188" spans="1:27" ht="15" customHeight="1">
      <c r="A188" s="110"/>
      <c r="B188" s="427"/>
      <c r="C188" s="110"/>
      <c r="D188" s="110"/>
      <c r="E188" s="110"/>
      <c r="F188" s="110"/>
      <c r="G188" s="110"/>
      <c r="H188" s="110"/>
      <c r="I188" s="4"/>
      <c r="J188" s="110"/>
      <c r="K188" s="344"/>
      <c r="L188" s="110"/>
      <c r="M188" s="110"/>
      <c r="N188" s="329"/>
      <c r="O188" s="329"/>
      <c r="P188" s="1"/>
      <c r="Q188" s="1"/>
      <c r="R188" s="1"/>
      <c r="S188" s="1"/>
      <c r="T188" s="1"/>
      <c r="U188" s="4"/>
      <c r="V188" s="4"/>
      <c r="W188" s="4"/>
      <c r="X188" s="4"/>
      <c r="Y188" s="4"/>
      <c r="Z188" s="4"/>
      <c r="AA188" s="4"/>
    </row>
    <row r="189" spans="1:27" ht="15" customHeight="1">
      <c r="A189" s="110"/>
      <c r="B189" s="427"/>
      <c r="C189" s="110"/>
      <c r="D189" s="110"/>
      <c r="E189" s="110"/>
      <c r="F189" s="110"/>
      <c r="G189" s="110"/>
      <c r="H189" s="110"/>
      <c r="I189" s="4"/>
      <c r="J189" s="110"/>
      <c r="K189" s="344"/>
      <c r="L189" s="110"/>
      <c r="M189" s="110"/>
      <c r="N189" s="329"/>
      <c r="O189" s="329"/>
      <c r="P189" s="1"/>
      <c r="Q189" s="1"/>
      <c r="R189" s="1"/>
      <c r="S189" s="1"/>
      <c r="T189" s="1"/>
      <c r="U189" s="4"/>
      <c r="V189" s="4"/>
      <c r="W189" s="4"/>
      <c r="X189" s="4"/>
      <c r="Y189" s="4"/>
      <c r="Z189" s="4"/>
      <c r="AA189" s="4"/>
    </row>
    <row r="190" spans="1:27" ht="15" customHeight="1">
      <c r="A190" s="110"/>
      <c r="B190" s="427"/>
      <c r="C190" s="110"/>
      <c r="D190" s="110"/>
      <c r="E190" s="110"/>
      <c r="F190" s="110"/>
      <c r="G190" s="110"/>
      <c r="H190" s="110"/>
      <c r="I190" s="4"/>
      <c r="J190" s="110"/>
      <c r="K190" s="344"/>
      <c r="L190" s="110"/>
      <c r="M190" s="110"/>
      <c r="N190" s="329"/>
      <c r="O190" s="329"/>
      <c r="P190" s="1"/>
      <c r="Q190" s="1"/>
      <c r="R190" s="1"/>
      <c r="S190" s="1"/>
      <c r="T190" s="1"/>
      <c r="U190" s="4"/>
      <c r="V190" s="4"/>
      <c r="W190" s="4"/>
      <c r="X190" s="4"/>
      <c r="Y190" s="4"/>
      <c r="Z190" s="4"/>
      <c r="AA190" s="4"/>
    </row>
    <row r="191" spans="1:27" ht="15" customHeight="1">
      <c r="A191" s="110"/>
      <c r="B191" s="427"/>
      <c r="C191" s="110"/>
      <c r="D191" s="110"/>
      <c r="E191" s="110"/>
      <c r="F191" s="110"/>
      <c r="G191" s="110"/>
      <c r="H191" s="110"/>
      <c r="I191" s="4"/>
      <c r="J191" s="110"/>
      <c r="K191" s="344"/>
      <c r="L191" s="110"/>
      <c r="M191" s="110"/>
      <c r="N191" s="329"/>
      <c r="O191" s="329"/>
      <c r="P191" s="1"/>
      <c r="Q191" s="1"/>
      <c r="R191" s="1"/>
      <c r="S191" s="1"/>
      <c r="T191" s="1"/>
      <c r="U191" s="4"/>
      <c r="V191" s="4"/>
      <c r="W191" s="4"/>
      <c r="X191" s="4"/>
      <c r="Y191" s="4"/>
      <c r="Z191" s="4"/>
      <c r="AA191" s="4"/>
    </row>
    <row r="192" spans="1:27" ht="15" customHeight="1">
      <c r="A192" s="110"/>
      <c r="B192" s="427"/>
      <c r="C192" s="110"/>
      <c r="D192" s="110"/>
      <c r="E192" s="110"/>
      <c r="F192" s="110"/>
      <c r="G192" s="110"/>
      <c r="H192" s="110"/>
      <c r="I192" s="4"/>
      <c r="J192" s="110"/>
      <c r="K192" s="344"/>
      <c r="L192" s="110"/>
      <c r="M192" s="110"/>
      <c r="N192" s="329"/>
      <c r="O192" s="329"/>
      <c r="P192" s="1"/>
      <c r="Q192" s="1"/>
      <c r="R192" s="1"/>
      <c r="S192" s="1"/>
      <c r="T192" s="1"/>
      <c r="U192" s="4"/>
      <c r="V192" s="4"/>
      <c r="W192" s="4"/>
      <c r="X192" s="4"/>
      <c r="Y192" s="4"/>
      <c r="Z192" s="4"/>
      <c r="AA192" s="4"/>
    </row>
    <row r="193" spans="1:27" ht="15" customHeight="1">
      <c r="A193" s="110"/>
      <c r="B193" s="427"/>
      <c r="C193" s="110"/>
      <c r="D193" s="110"/>
      <c r="E193" s="110"/>
      <c r="F193" s="110"/>
      <c r="G193" s="110"/>
      <c r="H193" s="110"/>
      <c r="I193" s="4"/>
      <c r="J193" s="110"/>
      <c r="K193" s="344"/>
      <c r="L193" s="110"/>
      <c r="M193" s="110"/>
      <c r="N193" s="329"/>
      <c r="O193" s="329"/>
      <c r="P193" s="1"/>
      <c r="Q193" s="1"/>
      <c r="R193" s="1"/>
      <c r="S193" s="1"/>
      <c r="T193" s="1"/>
      <c r="U193" s="4"/>
      <c r="V193" s="4"/>
      <c r="W193" s="4"/>
      <c r="X193" s="4"/>
      <c r="Y193" s="4"/>
      <c r="Z193" s="4"/>
      <c r="AA193" s="4"/>
    </row>
    <row r="194" spans="1:27" ht="15" customHeight="1">
      <c r="A194" s="110"/>
      <c r="B194" s="427"/>
      <c r="C194" s="110"/>
      <c r="D194" s="110"/>
      <c r="E194" s="110"/>
      <c r="F194" s="110"/>
      <c r="G194" s="110"/>
      <c r="H194" s="110"/>
      <c r="I194" s="4"/>
      <c r="J194" s="110"/>
      <c r="K194" s="344"/>
      <c r="L194" s="110"/>
      <c r="M194" s="110"/>
      <c r="N194" s="329"/>
      <c r="O194" s="329"/>
      <c r="P194" s="1"/>
      <c r="Q194" s="1"/>
      <c r="R194" s="1"/>
      <c r="S194" s="1"/>
      <c r="T194" s="1"/>
      <c r="U194" s="4"/>
      <c r="V194" s="4"/>
      <c r="W194" s="4"/>
      <c r="X194" s="4"/>
      <c r="Y194" s="4"/>
      <c r="Z194" s="4"/>
      <c r="AA194" s="4"/>
    </row>
    <row r="195" spans="1:27" ht="15" customHeight="1">
      <c r="A195" s="110"/>
      <c r="B195" s="427"/>
      <c r="C195" s="110"/>
      <c r="D195" s="110"/>
      <c r="E195" s="110"/>
      <c r="F195" s="110"/>
      <c r="G195" s="110"/>
      <c r="H195" s="110"/>
      <c r="I195" s="4"/>
      <c r="J195" s="110"/>
      <c r="K195" s="344"/>
      <c r="L195" s="110"/>
      <c r="M195" s="110"/>
      <c r="N195" s="329"/>
      <c r="O195" s="329"/>
      <c r="P195" s="1"/>
      <c r="Q195" s="1"/>
      <c r="R195" s="1"/>
      <c r="S195" s="1"/>
      <c r="T195" s="1"/>
      <c r="U195" s="4"/>
      <c r="V195" s="4"/>
      <c r="W195" s="4"/>
      <c r="X195" s="4"/>
      <c r="Y195" s="4"/>
      <c r="Z195" s="4"/>
      <c r="AA195" s="4"/>
    </row>
    <row r="196" spans="1:27" ht="15" customHeight="1">
      <c r="A196" s="110"/>
      <c r="B196" s="427"/>
      <c r="C196" s="110"/>
      <c r="D196" s="110"/>
      <c r="E196" s="110"/>
      <c r="F196" s="110"/>
      <c r="G196" s="110"/>
      <c r="H196" s="110"/>
      <c r="I196" s="4"/>
      <c r="J196" s="110"/>
      <c r="K196" s="344"/>
      <c r="L196" s="110"/>
      <c r="M196" s="110"/>
      <c r="N196" s="329"/>
      <c r="O196" s="329"/>
      <c r="P196" s="1"/>
      <c r="Q196" s="1"/>
      <c r="R196" s="1"/>
      <c r="S196" s="1"/>
      <c r="T196" s="1"/>
      <c r="U196" s="4"/>
      <c r="V196" s="4"/>
      <c r="W196" s="4"/>
      <c r="X196" s="4"/>
      <c r="Y196" s="4"/>
      <c r="Z196" s="4"/>
      <c r="AA196" s="4"/>
    </row>
    <row r="197" spans="1:27" ht="15" customHeight="1">
      <c r="A197" s="110"/>
      <c r="B197" s="427"/>
      <c r="C197" s="110"/>
      <c r="D197" s="110"/>
      <c r="E197" s="110"/>
      <c r="F197" s="110"/>
      <c r="G197" s="110"/>
      <c r="H197" s="110"/>
      <c r="I197" s="4"/>
      <c r="J197" s="110"/>
      <c r="K197" s="344"/>
      <c r="L197" s="110"/>
      <c r="M197" s="110"/>
      <c r="N197" s="329"/>
      <c r="O197" s="329"/>
      <c r="P197" s="1"/>
      <c r="Q197" s="1"/>
      <c r="R197" s="1"/>
      <c r="S197" s="1"/>
      <c r="T197" s="1"/>
      <c r="U197" s="4"/>
      <c r="V197" s="4"/>
      <c r="W197" s="4"/>
      <c r="X197" s="4"/>
      <c r="Y197" s="4"/>
      <c r="Z197" s="4"/>
      <c r="AA197" s="4"/>
    </row>
    <row r="198" spans="1:27" ht="15" customHeight="1">
      <c r="A198" s="110"/>
      <c r="B198" s="427"/>
      <c r="C198" s="110"/>
      <c r="D198" s="110"/>
      <c r="E198" s="110"/>
      <c r="F198" s="110"/>
      <c r="G198" s="110"/>
      <c r="H198" s="110"/>
      <c r="I198" s="4"/>
      <c r="J198" s="110"/>
      <c r="K198" s="344"/>
      <c r="L198" s="110"/>
      <c r="M198" s="110"/>
      <c r="N198" s="329"/>
      <c r="O198" s="329"/>
      <c r="P198" s="1"/>
      <c r="Q198" s="1"/>
      <c r="R198" s="1"/>
      <c r="S198" s="1"/>
      <c r="T198" s="1"/>
      <c r="U198" s="4"/>
      <c r="V198" s="4"/>
      <c r="W198" s="4"/>
      <c r="X198" s="4"/>
      <c r="Y198" s="4"/>
      <c r="Z198" s="4"/>
      <c r="AA198" s="4"/>
    </row>
    <row r="199" spans="1:27" ht="15" customHeight="1">
      <c r="A199" s="110"/>
      <c r="B199" s="427"/>
      <c r="C199" s="110"/>
      <c r="D199" s="110"/>
      <c r="E199" s="110"/>
      <c r="F199" s="110"/>
      <c r="G199" s="110"/>
      <c r="H199" s="110"/>
      <c r="I199" s="4"/>
      <c r="J199" s="110"/>
      <c r="K199" s="344"/>
      <c r="L199" s="110"/>
      <c r="M199" s="110"/>
      <c r="N199" s="329"/>
      <c r="O199" s="329"/>
      <c r="P199" s="1"/>
      <c r="Q199" s="1"/>
      <c r="R199" s="1"/>
      <c r="S199" s="1"/>
      <c r="T199" s="1"/>
      <c r="U199" s="4"/>
      <c r="V199" s="4"/>
      <c r="W199" s="4"/>
      <c r="X199" s="4"/>
      <c r="Y199" s="4"/>
      <c r="Z199" s="4"/>
      <c r="AA199" s="4"/>
    </row>
    <row r="200" spans="1:27" ht="15" customHeight="1">
      <c r="A200" s="110"/>
      <c r="B200" s="427"/>
      <c r="C200" s="110"/>
      <c r="D200" s="110"/>
      <c r="E200" s="110"/>
      <c r="F200" s="110"/>
      <c r="G200" s="110"/>
      <c r="H200" s="110"/>
      <c r="I200" s="4"/>
      <c r="J200" s="110"/>
      <c r="K200" s="344"/>
      <c r="L200" s="110"/>
      <c r="M200" s="110"/>
      <c r="N200" s="329"/>
      <c r="O200" s="329"/>
      <c r="P200" s="1"/>
      <c r="Q200" s="1"/>
      <c r="R200" s="1"/>
      <c r="S200" s="1"/>
      <c r="T200" s="1"/>
      <c r="U200" s="4"/>
      <c r="V200" s="4"/>
      <c r="W200" s="4"/>
      <c r="X200" s="4"/>
      <c r="Y200" s="4"/>
      <c r="Z200" s="4"/>
      <c r="AA200" s="4"/>
    </row>
    <row r="201" spans="1:27" ht="15" customHeight="1">
      <c r="A201" s="110"/>
      <c r="B201" s="427"/>
      <c r="C201" s="110"/>
      <c r="D201" s="110"/>
      <c r="E201" s="110"/>
      <c r="F201" s="110"/>
      <c r="G201" s="110"/>
      <c r="H201" s="110"/>
      <c r="I201" s="4"/>
      <c r="J201" s="110"/>
      <c r="K201" s="344"/>
      <c r="L201" s="110"/>
      <c r="M201" s="110"/>
      <c r="N201" s="329"/>
      <c r="O201" s="329"/>
      <c r="P201" s="1"/>
      <c r="Q201" s="1"/>
      <c r="R201" s="1"/>
      <c r="S201" s="1"/>
      <c r="T201" s="1"/>
      <c r="U201" s="4"/>
      <c r="V201" s="4"/>
      <c r="W201" s="4"/>
      <c r="X201" s="4"/>
      <c r="Y201" s="4"/>
      <c r="Z201" s="4"/>
      <c r="AA201" s="4"/>
    </row>
    <row r="202" spans="1:27" ht="15" customHeight="1">
      <c r="A202" s="110"/>
      <c r="B202" s="427"/>
      <c r="C202" s="110"/>
      <c r="D202" s="110"/>
      <c r="E202" s="110"/>
      <c r="F202" s="110"/>
      <c r="G202" s="110"/>
      <c r="H202" s="110"/>
      <c r="I202" s="4"/>
      <c r="J202" s="110"/>
      <c r="K202" s="344"/>
      <c r="L202" s="110"/>
      <c r="M202" s="110"/>
      <c r="N202" s="329"/>
      <c r="O202" s="329"/>
      <c r="P202" s="1"/>
      <c r="Q202" s="1"/>
      <c r="R202" s="1"/>
      <c r="S202" s="1"/>
      <c r="T202" s="1"/>
      <c r="U202" s="4"/>
      <c r="V202" s="4"/>
      <c r="W202" s="4"/>
      <c r="X202" s="4"/>
      <c r="Y202" s="4"/>
      <c r="Z202" s="4"/>
      <c r="AA202" s="4"/>
    </row>
    <row r="203" spans="1:27" ht="15" customHeight="1">
      <c r="A203" s="110"/>
      <c r="B203" s="427"/>
      <c r="C203" s="110"/>
      <c r="D203" s="110"/>
      <c r="E203" s="110"/>
      <c r="F203" s="110"/>
      <c r="G203" s="110"/>
      <c r="H203" s="110"/>
      <c r="I203" s="4"/>
      <c r="J203" s="110"/>
      <c r="K203" s="344"/>
      <c r="L203" s="110"/>
      <c r="M203" s="110"/>
      <c r="N203" s="329"/>
      <c r="O203" s="329"/>
      <c r="P203" s="1"/>
      <c r="Q203" s="1"/>
      <c r="R203" s="1"/>
      <c r="S203" s="1"/>
      <c r="T203" s="1"/>
      <c r="U203" s="4"/>
      <c r="V203" s="4"/>
      <c r="W203" s="4"/>
      <c r="X203" s="4"/>
      <c r="Y203" s="4"/>
      <c r="Z203" s="4"/>
      <c r="AA203" s="4"/>
    </row>
    <row r="204" spans="1:27" ht="15" customHeight="1">
      <c r="A204" s="110"/>
      <c r="B204" s="427"/>
      <c r="C204" s="110"/>
      <c r="D204" s="110"/>
      <c r="E204" s="110"/>
      <c r="F204" s="110"/>
      <c r="G204" s="110"/>
      <c r="H204" s="110"/>
      <c r="I204" s="4"/>
      <c r="J204" s="110"/>
      <c r="K204" s="344"/>
      <c r="L204" s="110"/>
      <c r="M204" s="110"/>
      <c r="N204" s="329"/>
      <c r="O204" s="329"/>
      <c r="P204" s="1"/>
      <c r="Q204" s="1"/>
      <c r="R204" s="1"/>
      <c r="S204" s="1"/>
      <c r="T204" s="1"/>
      <c r="U204" s="4"/>
      <c r="V204" s="4"/>
      <c r="W204" s="4"/>
      <c r="X204" s="4"/>
      <c r="Y204" s="4"/>
      <c r="Z204" s="4"/>
      <c r="AA204" s="4"/>
    </row>
    <row r="205" spans="1:27" ht="15" customHeight="1">
      <c r="A205" s="110"/>
      <c r="B205" s="427"/>
      <c r="C205" s="110"/>
      <c r="D205" s="110"/>
      <c r="E205" s="110"/>
      <c r="F205" s="110"/>
      <c r="G205" s="110"/>
      <c r="H205" s="110"/>
      <c r="I205" s="4"/>
      <c r="J205" s="110"/>
      <c r="K205" s="344"/>
      <c r="L205" s="110"/>
      <c r="M205" s="110"/>
      <c r="N205" s="329"/>
      <c r="O205" s="329"/>
      <c r="P205" s="1"/>
      <c r="Q205" s="1"/>
      <c r="R205" s="1"/>
      <c r="S205" s="1"/>
      <c r="T205" s="1"/>
      <c r="U205" s="4"/>
      <c r="V205" s="4"/>
      <c r="W205" s="4"/>
      <c r="X205" s="4"/>
      <c r="Y205" s="4"/>
      <c r="Z205" s="4"/>
      <c r="AA205" s="4"/>
    </row>
    <row r="206" spans="1:27" ht="15" customHeight="1">
      <c r="A206" s="110"/>
      <c r="B206" s="427"/>
      <c r="C206" s="110"/>
      <c r="D206" s="110"/>
      <c r="E206" s="110"/>
      <c r="F206" s="110"/>
      <c r="G206" s="110"/>
      <c r="H206" s="110"/>
      <c r="I206" s="4"/>
      <c r="J206" s="110"/>
      <c r="K206" s="344"/>
      <c r="L206" s="110"/>
      <c r="M206" s="110"/>
      <c r="N206" s="329"/>
      <c r="O206" s="329"/>
      <c r="P206" s="1"/>
      <c r="Q206" s="1"/>
      <c r="R206" s="1"/>
      <c r="S206" s="1"/>
      <c r="T206" s="1"/>
      <c r="U206" s="4"/>
      <c r="V206" s="4"/>
      <c r="W206" s="4"/>
      <c r="X206" s="4"/>
      <c r="Y206" s="4"/>
      <c r="Z206" s="4"/>
      <c r="AA206" s="4"/>
    </row>
    <row r="207" spans="1:27" ht="15" customHeight="1">
      <c r="A207" s="110"/>
      <c r="B207" s="427"/>
      <c r="C207" s="110"/>
      <c r="D207" s="110"/>
      <c r="E207" s="110"/>
      <c r="F207" s="110"/>
      <c r="G207" s="110"/>
      <c r="H207" s="110"/>
      <c r="I207" s="4"/>
      <c r="J207" s="110"/>
      <c r="K207" s="344"/>
      <c r="L207" s="110"/>
      <c r="M207" s="110"/>
      <c r="N207" s="329"/>
      <c r="O207" s="329"/>
      <c r="P207" s="1"/>
      <c r="Q207" s="1"/>
      <c r="R207" s="1"/>
      <c r="S207" s="1"/>
      <c r="T207" s="1"/>
      <c r="U207" s="4"/>
      <c r="V207" s="4"/>
      <c r="W207" s="4"/>
      <c r="X207" s="4"/>
      <c r="Y207" s="4"/>
      <c r="Z207" s="4"/>
      <c r="AA207" s="4"/>
    </row>
    <row r="208" spans="1:27" ht="15" customHeight="1">
      <c r="A208" s="110"/>
      <c r="B208" s="427"/>
      <c r="C208" s="110"/>
      <c r="D208" s="110"/>
      <c r="E208" s="110"/>
      <c r="F208" s="110"/>
      <c r="G208" s="110"/>
      <c r="H208" s="110"/>
      <c r="I208" s="4"/>
      <c r="J208" s="110"/>
      <c r="K208" s="344"/>
      <c r="L208" s="110"/>
      <c r="M208" s="110"/>
      <c r="N208" s="329"/>
      <c r="O208" s="329"/>
      <c r="P208" s="1"/>
      <c r="Q208" s="1"/>
      <c r="R208" s="1"/>
      <c r="S208" s="1"/>
      <c r="T208" s="1"/>
      <c r="U208" s="4"/>
      <c r="V208" s="4"/>
      <c r="W208" s="4"/>
      <c r="X208" s="4"/>
      <c r="Y208" s="4"/>
      <c r="Z208" s="4"/>
      <c r="AA208" s="4"/>
    </row>
    <row r="209" spans="1:27" ht="15" customHeight="1">
      <c r="A209" s="110"/>
      <c r="B209" s="427"/>
      <c r="C209" s="110"/>
      <c r="D209" s="110"/>
      <c r="E209" s="110"/>
      <c r="F209" s="110"/>
      <c r="G209" s="110"/>
      <c r="H209" s="110"/>
      <c r="I209" s="4"/>
      <c r="J209" s="110"/>
      <c r="K209" s="344"/>
      <c r="L209" s="110"/>
      <c r="M209" s="110"/>
      <c r="N209" s="329"/>
      <c r="O209" s="329"/>
      <c r="P209" s="1"/>
      <c r="Q209" s="1"/>
      <c r="R209" s="1"/>
      <c r="S209" s="1"/>
      <c r="T209" s="1"/>
      <c r="U209" s="4"/>
      <c r="V209" s="4"/>
      <c r="W209" s="4"/>
      <c r="X209" s="4"/>
      <c r="Y209" s="4"/>
      <c r="Z209" s="4"/>
      <c r="AA209" s="4"/>
    </row>
    <row r="210" spans="1:27" ht="15" customHeight="1">
      <c r="A210" s="110"/>
      <c r="B210" s="427"/>
      <c r="C210" s="110"/>
      <c r="D210" s="110"/>
      <c r="E210" s="110"/>
      <c r="F210" s="110"/>
      <c r="G210" s="110"/>
      <c r="H210" s="110"/>
      <c r="I210" s="4"/>
      <c r="J210" s="110"/>
      <c r="K210" s="344"/>
      <c r="L210" s="110"/>
      <c r="M210" s="110"/>
      <c r="N210" s="329"/>
      <c r="O210" s="329"/>
      <c r="P210" s="1"/>
      <c r="Q210" s="1"/>
      <c r="R210" s="1"/>
      <c r="S210" s="1"/>
      <c r="T210" s="1"/>
      <c r="U210" s="4"/>
      <c r="V210" s="4"/>
      <c r="W210" s="4"/>
      <c r="X210" s="4"/>
      <c r="Y210" s="4"/>
      <c r="Z210" s="4"/>
      <c r="AA210" s="4"/>
    </row>
    <row r="211" spans="1:27" ht="15" customHeight="1">
      <c r="A211" s="110"/>
      <c r="B211" s="427"/>
      <c r="C211" s="110"/>
      <c r="D211" s="110"/>
      <c r="E211" s="110"/>
      <c r="F211" s="344"/>
      <c r="G211" s="344"/>
      <c r="H211" s="344"/>
      <c r="I211" s="99"/>
      <c r="J211" s="344"/>
      <c r="K211" s="344"/>
      <c r="L211" s="110"/>
      <c r="M211" s="110"/>
      <c r="N211" s="329"/>
      <c r="O211" s="329"/>
      <c r="P211" s="1"/>
      <c r="Q211" s="1"/>
      <c r="R211" s="1"/>
      <c r="S211" s="1"/>
      <c r="T211" s="1"/>
      <c r="U211" s="4"/>
      <c r="V211" s="4"/>
      <c r="W211" s="4"/>
      <c r="X211" s="4"/>
      <c r="Y211" s="4"/>
      <c r="Z211" s="4"/>
      <c r="AA211" s="4"/>
    </row>
    <row r="212" spans="1:27" ht="15" customHeight="1">
      <c r="A212" s="110"/>
      <c r="B212" s="427"/>
      <c r="C212" s="110"/>
      <c r="D212" s="110"/>
      <c r="E212" s="110"/>
      <c r="F212" s="344"/>
      <c r="G212" s="344"/>
      <c r="H212" s="344"/>
      <c r="I212" s="99"/>
      <c r="J212" s="344"/>
      <c r="K212" s="344"/>
      <c r="L212" s="110"/>
      <c r="M212" s="110"/>
      <c r="N212" s="329"/>
      <c r="O212" s="329"/>
      <c r="P212" s="1"/>
      <c r="Q212" s="1"/>
      <c r="R212" s="1"/>
      <c r="S212" s="1"/>
      <c r="T212" s="1"/>
      <c r="U212" s="4"/>
      <c r="V212" s="4"/>
      <c r="W212" s="4"/>
      <c r="X212" s="4"/>
      <c r="Y212" s="4"/>
      <c r="Z212" s="4"/>
      <c r="AA212" s="4"/>
    </row>
    <row r="213" spans="1:27" ht="15" customHeight="1">
      <c r="A213" s="110"/>
      <c r="B213" s="427"/>
      <c r="C213" s="110"/>
      <c r="D213" s="110"/>
      <c r="E213" s="110"/>
      <c r="F213" s="344"/>
      <c r="G213" s="344"/>
      <c r="H213" s="344"/>
      <c r="I213" s="99"/>
      <c r="J213" s="344"/>
      <c r="K213" s="344"/>
      <c r="L213" s="110"/>
      <c r="M213" s="110"/>
      <c r="N213" s="329"/>
      <c r="O213" s="329"/>
      <c r="P213" s="1"/>
      <c r="Q213" s="1"/>
      <c r="R213" s="1"/>
      <c r="S213" s="1"/>
      <c r="T213" s="1"/>
      <c r="U213" s="4"/>
      <c r="V213" s="4"/>
      <c r="W213" s="4"/>
      <c r="X213" s="4"/>
      <c r="Y213" s="4"/>
      <c r="Z213" s="4"/>
      <c r="AA213" s="4"/>
    </row>
    <row r="214" spans="1:27" ht="15" customHeight="1">
      <c r="A214" s="110"/>
      <c r="B214" s="427"/>
      <c r="C214" s="110"/>
      <c r="D214" s="110"/>
      <c r="E214" s="110"/>
      <c r="F214" s="344"/>
      <c r="G214" s="344"/>
      <c r="H214" s="344"/>
      <c r="I214" s="99"/>
      <c r="J214" s="344"/>
      <c r="K214" s="344"/>
      <c r="L214" s="110"/>
      <c r="M214" s="110"/>
      <c r="N214" s="329"/>
      <c r="O214" s="329"/>
      <c r="P214" s="1"/>
      <c r="Q214" s="1"/>
      <c r="R214" s="1"/>
      <c r="S214" s="1"/>
      <c r="T214" s="1"/>
      <c r="U214" s="4"/>
      <c r="V214" s="4"/>
      <c r="W214" s="4"/>
      <c r="X214" s="4"/>
      <c r="Y214" s="4"/>
      <c r="Z214" s="4"/>
      <c r="AA214" s="4"/>
    </row>
    <row r="215" spans="1:27" ht="15" customHeight="1">
      <c r="A215" s="110"/>
      <c r="B215" s="427"/>
      <c r="C215" s="110"/>
      <c r="D215" s="110"/>
      <c r="E215" s="110"/>
      <c r="F215" s="344"/>
      <c r="G215" s="344"/>
      <c r="H215" s="344"/>
      <c r="I215" s="99"/>
      <c r="J215" s="344"/>
      <c r="K215" s="344"/>
      <c r="L215" s="110"/>
      <c r="M215" s="110"/>
      <c r="N215" s="329"/>
      <c r="O215" s="329"/>
      <c r="P215" s="1"/>
      <c r="Q215" s="1"/>
      <c r="R215" s="1"/>
      <c r="S215" s="1"/>
      <c r="T215" s="1"/>
      <c r="U215" s="4"/>
      <c r="V215" s="4"/>
      <c r="W215" s="4"/>
      <c r="X215" s="4"/>
      <c r="Y215" s="4"/>
      <c r="Z215" s="4"/>
      <c r="AA215" s="4"/>
    </row>
    <row r="216" spans="1:27" ht="15" customHeight="1">
      <c r="A216" s="110"/>
      <c r="B216" s="427"/>
      <c r="C216" s="110"/>
      <c r="D216" s="110"/>
      <c r="E216" s="110"/>
      <c r="F216" s="344"/>
      <c r="G216" s="344"/>
      <c r="H216" s="344"/>
      <c r="I216" s="99"/>
      <c r="J216" s="344"/>
      <c r="K216" s="344"/>
      <c r="L216" s="110"/>
      <c r="M216" s="110"/>
      <c r="N216" s="329"/>
      <c r="O216" s="329"/>
      <c r="P216" s="1"/>
      <c r="Q216" s="1"/>
      <c r="R216" s="1"/>
      <c r="S216" s="1"/>
      <c r="T216" s="1"/>
      <c r="U216" s="4"/>
      <c r="V216" s="4"/>
      <c r="W216" s="4"/>
      <c r="X216" s="4"/>
      <c r="Y216" s="4"/>
      <c r="Z216" s="4"/>
      <c r="AA216" s="4"/>
    </row>
    <row r="217" spans="1:27" ht="15" customHeight="1">
      <c r="A217" s="110"/>
      <c r="B217" s="427"/>
      <c r="C217" s="110"/>
      <c r="D217" s="110"/>
      <c r="E217" s="110"/>
      <c r="F217" s="344"/>
      <c r="G217" s="344"/>
      <c r="H217" s="344"/>
      <c r="I217" s="99"/>
      <c r="J217" s="344"/>
      <c r="K217" s="344"/>
      <c r="L217" s="110"/>
      <c r="M217" s="110"/>
      <c r="N217" s="329"/>
      <c r="O217" s="329"/>
      <c r="P217" s="1"/>
      <c r="Q217" s="1"/>
      <c r="R217" s="1"/>
      <c r="S217" s="1"/>
      <c r="T217" s="1"/>
      <c r="U217" s="4"/>
      <c r="V217" s="4"/>
      <c r="W217" s="4"/>
      <c r="X217" s="4"/>
      <c r="Y217" s="4"/>
      <c r="Z217" s="4"/>
      <c r="AA217" s="4"/>
    </row>
    <row r="218" spans="1:27" ht="15" customHeight="1">
      <c r="A218" s="110"/>
      <c r="B218" s="427"/>
      <c r="C218" s="110"/>
      <c r="D218" s="110"/>
      <c r="E218" s="110"/>
      <c r="F218" s="344"/>
      <c r="G218" s="344"/>
      <c r="H218" s="344"/>
      <c r="I218" s="99"/>
      <c r="J218" s="344"/>
      <c r="K218" s="344"/>
      <c r="L218" s="110"/>
      <c r="M218" s="110"/>
      <c r="N218" s="329"/>
      <c r="O218" s="329"/>
      <c r="P218" s="1"/>
      <c r="Q218" s="1"/>
      <c r="R218" s="1"/>
      <c r="S218" s="1"/>
      <c r="T218" s="1"/>
      <c r="U218" s="4"/>
      <c r="V218" s="4"/>
      <c r="W218" s="4"/>
      <c r="X218" s="4"/>
      <c r="Y218" s="4"/>
      <c r="Z218" s="4"/>
      <c r="AA218" s="4"/>
    </row>
    <row r="219" spans="1:27" ht="15" customHeight="1">
      <c r="A219" s="110"/>
      <c r="B219" s="427"/>
      <c r="C219" s="110"/>
      <c r="D219" s="110"/>
      <c r="E219" s="110"/>
      <c r="F219" s="344"/>
      <c r="G219" s="344"/>
      <c r="H219" s="344"/>
      <c r="I219" s="99"/>
      <c r="J219" s="344"/>
      <c r="K219" s="344"/>
      <c r="L219" s="110"/>
      <c r="M219" s="110"/>
      <c r="N219" s="329"/>
      <c r="O219" s="329"/>
      <c r="P219" s="1"/>
      <c r="Q219" s="1"/>
      <c r="R219" s="1"/>
      <c r="S219" s="1"/>
      <c r="T219" s="1"/>
      <c r="U219" s="4"/>
      <c r="V219" s="4"/>
      <c r="W219" s="4"/>
      <c r="X219" s="4"/>
      <c r="Y219" s="4"/>
      <c r="Z219" s="4"/>
      <c r="AA219" s="4"/>
    </row>
    <row r="220" spans="1:27" ht="15" customHeight="1">
      <c r="A220" s="110"/>
      <c r="B220" s="427"/>
      <c r="C220" s="110"/>
      <c r="D220" s="110"/>
      <c r="E220" s="110"/>
      <c r="F220" s="344"/>
      <c r="G220" s="344"/>
      <c r="H220" s="344"/>
      <c r="I220" s="99"/>
      <c r="J220" s="344"/>
      <c r="K220" s="344"/>
      <c r="L220" s="110"/>
      <c r="M220" s="110"/>
      <c r="N220" s="329"/>
      <c r="O220" s="329"/>
      <c r="P220" s="1"/>
      <c r="Q220" s="1"/>
      <c r="R220" s="1"/>
      <c r="S220" s="1"/>
      <c r="T220" s="1"/>
      <c r="U220" s="4"/>
      <c r="V220" s="4"/>
      <c r="W220" s="4"/>
      <c r="X220" s="4"/>
      <c r="Y220" s="4"/>
      <c r="Z220" s="4"/>
      <c r="AA220" s="4"/>
    </row>
    <row r="221" spans="1:27" ht="15" customHeight="1">
      <c r="A221" s="110"/>
      <c r="B221" s="427"/>
      <c r="C221" s="110"/>
      <c r="D221" s="110"/>
      <c r="E221" s="110"/>
      <c r="F221" s="344"/>
      <c r="G221" s="344"/>
      <c r="H221" s="344"/>
      <c r="I221" s="99"/>
      <c r="J221" s="344"/>
      <c r="K221" s="344"/>
      <c r="L221" s="110"/>
      <c r="M221" s="110"/>
      <c r="N221" s="329"/>
      <c r="O221" s="329"/>
      <c r="P221" s="1"/>
      <c r="Q221" s="1"/>
      <c r="R221" s="1"/>
      <c r="S221" s="1"/>
      <c r="T221" s="1"/>
      <c r="U221" s="4"/>
      <c r="V221" s="4"/>
      <c r="W221" s="4"/>
      <c r="X221" s="4"/>
      <c r="Y221" s="4"/>
      <c r="Z221" s="4"/>
      <c r="AA221" s="4"/>
    </row>
    <row r="222" spans="1:27" ht="15" customHeight="1">
      <c r="A222" s="110"/>
      <c r="B222" s="427"/>
      <c r="C222" s="110"/>
      <c r="D222" s="110"/>
      <c r="E222" s="110"/>
      <c r="F222" s="344"/>
      <c r="G222" s="344"/>
      <c r="H222" s="344"/>
      <c r="I222" s="99"/>
      <c r="J222" s="344"/>
      <c r="K222" s="344"/>
      <c r="L222" s="110"/>
      <c r="M222" s="110"/>
      <c r="N222" s="329"/>
      <c r="O222" s="329"/>
      <c r="P222" s="1"/>
      <c r="Q222" s="1"/>
      <c r="R222" s="1"/>
      <c r="S222" s="1"/>
      <c r="T222" s="1"/>
      <c r="U222" s="4"/>
      <c r="V222" s="4"/>
      <c r="W222" s="4"/>
      <c r="X222" s="4"/>
      <c r="Y222" s="4"/>
      <c r="Z222" s="4"/>
      <c r="AA222" s="4"/>
    </row>
    <row r="223" spans="1:27" ht="15" customHeight="1">
      <c r="A223" s="110"/>
      <c r="B223" s="427"/>
      <c r="C223" s="110"/>
      <c r="D223" s="110"/>
      <c r="E223" s="110"/>
      <c r="F223" s="344"/>
      <c r="G223" s="344"/>
      <c r="H223" s="344"/>
      <c r="I223" s="99"/>
      <c r="J223" s="344"/>
      <c r="K223" s="344"/>
      <c r="L223" s="110"/>
      <c r="M223" s="110"/>
      <c r="N223" s="329"/>
      <c r="O223" s="329"/>
      <c r="P223" s="1"/>
      <c r="Q223" s="1"/>
      <c r="R223" s="1"/>
      <c r="S223" s="1"/>
      <c r="T223" s="1"/>
      <c r="U223" s="4"/>
      <c r="V223" s="4"/>
      <c r="W223" s="4"/>
      <c r="X223" s="4"/>
      <c r="Y223" s="4"/>
      <c r="Z223" s="4"/>
      <c r="AA223" s="4"/>
    </row>
    <row r="224" spans="1:27" ht="15" customHeight="1">
      <c r="A224" s="110"/>
      <c r="B224" s="427"/>
      <c r="C224" s="110"/>
      <c r="D224" s="110"/>
      <c r="E224" s="110"/>
      <c r="F224" s="344"/>
      <c r="G224" s="344"/>
      <c r="H224" s="344"/>
      <c r="I224" s="99"/>
      <c r="J224" s="344"/>
      <c r="K224" s="344"/>
      <c r="L224" s="110"/>
      <c r="M224" s="110"/>
      <c r="N224" s="329"/>
      <c r="O224" s="329"/>
      <c r="P224" s="1"/>
      <c r="Q224" s="1"/>
      <c r="R224" s="1"/>
      <c r="S224" s="1"/>
      <c r="T224" s="1"/>
      <c r="U224" s="4"/>
      <c r="V224" s="4"/>
      <c r="W224" s="4"/>
      <c r="X224" s="4"/>
      <c r="Y224" s="4"/>
      <c r="Z224" s="4"/>
      <c r="AA224" s="4"/>
    </row>
    <row r="225" spans="1:27" ht="15" customHeight="1">
      <c r="A225" s="110"/>
      <c r="B225" s="427"/>
      <c r="C225" s="110"/>
      <c r="D225" s="110"/>
      <c r="E225" s="110"/>
      <c r="F225" s="344"/>
      <c r="G225" s="344"/>
      <c r="H225" s="344"/>
      <c r="I225" s="99"/>
      <c r="J225" s="344"/>
      <c r="K225" s="344"/>
      <c r="L225" s="110"/>
      <c r="M225" s="110"/>
      <c r="N225" s="329"/>
      <c r="O225" s="329"/>
      <c r="P225" s="1"/>
      <c r="Q225" s="1"/>
      <c r="R225" s="1"/>
      <c r="S225" s="1"/>
      <c r="T225" s="1"/>
      <c r="U225" s="4"/>
      <c r="V225" s="4"/>
      <c r="W225" s="4"/>
      <c r="X225" s="4"/>
      <c r="Y225" s="4"/>
      <c r="Z225" s="4"/>
      <c r="AA225" s="4"/>
    </row>
    <row r="226" spans="1:27" ht="15" customHeight="1">
      <c r="A226" s="110"/>
      <c r="B226" s="427"/>
      <c r="C226" s="110"/>
      <c r="D226" s="110"/>
      <c r="E226" s="110"/>
      <c r="F226" s="344"/>
      <c r="G226" s="344"/>
      <c r="H226" s="344"/>
      <c r="I226" s="99"/>
      <c r="J226" s="344"/>
      <c r="K226" s="344"/>
      <c r="L226" s="110"/>
      <c r="M226" s="110"/>
      <c r="N226" s="329"/>
      <c r="O226" s="329"/>
      <c r="P226" s="1"/>
      <c r="Q226" s="1"/>
      <c r="R226" s="1"/>
      <c r="S226" s="1"/>
      <c r="T226" s="1"/>
      <c r="U226" s="4"/>
      <c r="V226" s="4"/>
      <c r="W226" s="4"/>
      <c r="X226" s="4"/>
      <c r="Y226" s="4"/>
      <c r="Z226" s="4"/>
      <c r="AA226" s="4"/>
    </row>
    <row r="227" spans="1:27" ht="15" customHeight="1">
      <c r="A227" s="110"/>
      <c r="B227" s="427"/>
      <c r="C227" s="110"/>
      <c r="D227" s="110"/>
      <c r="E227" s="110"/>
      <c r="F227" s="344"/>
      <c r="G227" s="344"/>
      <c r="H227" s="344"/>
      <c r="I227" s="99"/>
      <c r="J227" s="344"/>
      <c r="K227" s="344"/>
      <c r="L227" s="110"/>
      <c r="M227" s="110"/>
      <c r="N227" s="329"/>
      <c r="O227" s="329"/>
      <c r="P227" s="1"/>
      <c r="Q227" s="1"/>
      <c r="R227" s="1"/>
      <c r="S227" s="1"/>
      <c r="T227" s="1"/>
      <c r="U227" s="4"/>
      <c r="V227" s="4"/>
      <c r="W227" s="4"/>
      <c r="X227" s="4"/>
      <c r="Y227" s="4"/>
      <c r="Z227" s="4"/>
      <c r="AA227" s="4"/>
    </row>
    <row r="228" spans="1:27" ht="15" customHeight="1">
      <c r="A228" s="110"/>
      <c r="B228" s="427"/>
      <c r="C228" s="110"/>
      <c r="D228" s="110"/>
      <c r="E228" s="110"/>
      <c r="F228" s="344"/>
      <c r="G228" s="344"/>
      <c r="H228" s="344"/>
      <c r="I228" s="99"/>
      <c r="J228" s="344"/>
      <c r="K228" s="344"/>
      <c r="L228" s="110"/>
      <c r="M228" s="110"/>
      <c r="N228" s="329"/>
      <c r="O228" s="329"/>
      <c r="P228" s="1"/>
      <c r="Q228" s="1"/>
      <c r="R228" s="1"/>
      <c r="S228" s="1"/>
      <c r="T228" s="1"/>
      <c r="U228" s="4"/>
      <c r="V228" s="4"/>
      <c r="W228" s="4"/>
      <c r="X228" s="4"/>
      <c r="Y228" s="4"/>
      <c r="Z228" s="4"/>
      <c r="AA228" s="4"/>
    </row>
    <row r="229" spans="1:27" ht="15" customHeight="1">
      <c r="A229" s="110"/>
      <c r="B229" s="427"/>
      <c r="C229" s="110"/>
      <c r="D229" s="110"/>
      <c r="E229" s="110"/>
      <c r="F229" s="344"/>
      <c r="G229" s="344"/>
      <c r="H229" s="344"/>
      <c r="I229" s="99"/>
      <c r="J229" s="344"/>
      <c r="K229" s="344"/>
      <c r="L229" s="110"/>
      <c r="M229" s="110"/>
      <c r="N229" s="329"/>
      <c r="O229" s="329"/>
      <c r="P229" s="1"/>
      <c r="Q229" s="1"/>
      <c r="R229" s="1"/>
      <c r="S229" s="1"/>
      <c r="T229" s="1"/>
      <c r="U229" s="4"/>
      <c r="V229" s="4"/>
      <c r="W229" s="4"/>
      <c r="X229" s="4"/>
      <c r="Y229" s="4"/>
      <c r="Z229" s="4"/>
      <c r="AA229" s="4"/>
    </row>
    <row r="230" spans="1:27" ht="15" customHeight="1">
      <c r="A230" s="110"/>
      <c r="B230" s="427"/>
      <c r="C230" s="110"/>
      <c r="D230" s="110"/>
      <c r="E230" s="110"/>
      <c r="F230" s="344"/>
      <c r="G230" s="344"/>
      <c r="H230" s="344"/>
      <c r="I230" s="99"/>
      <c r="J230" s="344"/>
      <c r="K230" s="344"/>
      <c r="L230" s="110"/>
      <c r="M230" s="110"/>
      <c r="N230" s="329"/>
      <c r="O230" s="329"/>
      <c r="P230" s="1"/>
      <c r="Q230" s="1"/>
      <c r="R230" s="1"/>
      <c r="S230" s="1"/>
      <c r="T230" s="1"/>
      <c r="U230" s="4"/>
      <c r="V230" s="4"/>
      <c r="W230" s="4"/>
      <c r="X230" s="4"/>
      <c r="Y230" s="4"/>
      <c r="Z230" s="4"/>
      <c r="AA230" s="4"/>
    </row>
    <row r="231" spans="1:27" ht="15" customHeight="1">
      <c r="A231" s="110"/>
      <c r="B231" s="427"/>
      <c r="C231" s="110"/>
      <c r="D231" s="110"/>
      <c r="E231" s="110"/>
      <c r="F231" s="344"/>
      <c r="G231" s="344"/>
      <c r="H231" s="344"/>
      <c r="I231" s="99"/>
      <c r="J231" s="344"/>
      <c r="K231" s="344"/>
      <c r="L231" s="110"/>
      <c r="M231" s="110"/>
      <c r="N231" s="329"/>
      <c r="O231" s="329"/>
      <c r="P231" s="1"/>
      <c r="Q231" s="1"/>
      <c r="R231" s="1"/>
      <c r="S231" s="1"/>
      <c r="T231" s="1"/>
      <c r="U231" s="4"/>
      <c r="V231" s="4"/>
      <c r="W231" s="4"/>
      <c r="X231" s="4"/>
      <c r="Y231" s="4"/>
      <c r="Z231" s="4"/>
      <c r="AA231" s="4"/>
    </row>
    <row r="232" spans="1:27" ht="15" customHeight="1">
      <c r="A232" s="110"/>
      <c r="B232" s="427"/>
      <c r="C232" s="110"/>
      <c r="D232" s="110"/>
      <c r="E232" s="110"/>
      <c r="F232" s="344"/>
      <c r="G232" s="344"/>
      <c r="H232" s="344"/>
      <c r="I232" s="99"/>
      <c r="J232" s="344"/>
      <c r="K232" s="344"/>
      <c r="L232" s="110"/>
      <c r="M232" s="110"/>
      <c r="N232" s="329"/>
      <c r="O232" s="329"/>
      <c r="P232" s="1"/>
      <c r="Q232" s="1"/>
      <c r="R232" s="1"/>
      <c r="S232" s="1"/>
      <c r="T232" s="1"/>
      <c r="U232" s="4"/>
      <c r="V232" s="4"/>
      <c r="W232" s="4"/>
      <c r="X232" s="4"/>
      <c r="Y232" s="4"/>
      <c r="Z232" s="4"/>
      <c r="AA232" s="4"/>
    </row>
    <row r="233" spans="1:27" ht="15" customHeight="1">
      <c r="A233" s="110"/>
      <c r="B233" s="427"/>
      <c r="C233" s="110"/>
      <c r="D233" s="110"/>
      <c r="E233" s="110"/>
      <c r="F233" s="344"/>
      <c r="G233" s="344"/>
      <c r="H233" s="344"/>
      <c r="I233" s="99"/>
      <c r="J233" s="344"/>
      <c r="K233" s="344"/>
      <c r="L233" s="110"/>
      <c r="M233" s="110"/>
      <c r="N233" s="329"/>
      <c r="O233" s="329"/>
      <c r="P233" s="1"/>
      <c r="Q233" s="1"/>
      <c r="R233" s="1"/>
      <c r="S233" s="1"/>
      <c r="T233" s="1"/>
      <c r="U233" s="4"/>
      <c r="V233" s="4"/>
      <c r="W233" s="4"/>
      <c r="X233" s="4"/>
      <c r="Y233" s="4"/>
      <c r="Z233" s="4"/>
      <c r="AA233" s="4"/>
    </row>
    <row r="234" spans="1:27" ht="15" customHeight="1">
      <c r="A234" s="110"/>
      <c r="B234" s="427"/>
      <c r="C234" s="110"/>
      <c r="D234" s="110"/>
      <c r="E234" s="110"/>
      <c r="F234" s="344"/>
      <c r="G234" s="344"/>
      <c r="H234" s="344"/>
      <c r="I234" s="99"/>
      <c r="J234" s="344"/>
      <c r="K234" s="344"/>
      <c r="L234" s="110"/>
      <c r="M234" s="110"/>
      <c r="N234" s="329"/>
      <c r="O234" s="329"/>
      <c r="P234" s="1"/>
      <c r="Q234" s="1"/>
      <c r="R234" s="1"/>
      <c r="S234" s="1"/>
      <c r="T234" s="1"/>
      <c r="U234" s="4"/>
      <c r="V234" s="4"/>
      <c r="W234" s="4"/>
      <c r="X234" s="4"/>
      <c r="Y234" s="4"/>
      <c r="Z234" s="4"/>
      <c r="AA234" s="4"/>
    </row>
    <row r="235" spans="1:27" ht="15" customHeight="1">
      <c r="A235" s="110"/>
      <c r="B235" s="427"/>
      <c r="C235" s="110"/>
      <c r="D235" s="110"/>
      <c r="E235" s="110"/>
      <c r="F235" s="344"/>
      <c r="G235" s="344"/>
      <c r="H235" s="344"/>
      <c r="I235" s="99"/>
      <c r="J235" s="344"/>
      <c r="K235" s="344"/>
      <c r="L235" s="110"/>
      <c r="M235" s="110"/>
      <c r="N235" s="329"/>
      <c r="O235" s="329"/>
      <c r="P235" s="1"/>
      <c r="Q235" s="1"/>
      <c r="R235" s="1"/>
      <c r="S235" s="1"/>
      <c r="T235" s="1"/>
      <c r="U235" s="4"/>
      <c r="V235" s="4"/>
      <c r="W235" s="4"/>
      <c r="X235" s="4"/>
      <c r="Y235" s="4"/>
      <c r="Z235" s="4"/>
      <c r="AA235" s="4"/>
    </row>
    <row r="236" spans="1:27" ht="15" customHeight="1">
      <c r="A236" s="110"/>
      <c r="B236" s="427"/>
      <c r="C236" s="110"/>
      <c r="D236" s="110"/>
      <c r="E236" s="110"/>
      <c r="F236" s="344"/>
      <c r="G236" s="344"/>
      <c r="H236" s="344"/>
      <c r="I236" s="99"/>
      <c r="J236" s="344"/>
      <c r="K236" s="344"/>
      <c r="L236" s="110"/>
      <c r="M236" s="110"/>
      <c r="N236" s="329"/>
      <c r="O236" s="329"/>
      <c r="P236" s="1"/>
      <c r="Q236" s="1"/>
      <c r="R236" s="1"/>
      <c r="S236" s="1"/>
      <c r="T236" s="1"/>
      <c r="U236" s="4"/>
      <c r="V236" s="4"/>
      <c r="W236" s="4"/>
      <c r="X236" s="4"/>
      <c r="Y236" s="4"/>
      <c r="Z236" s="4"/>
      <c r="AA236" s="4"/>
    </row>
    <row r="237" spans="1:27" ht="15" customHeight="1">
      <c r="A237" s="110"/>
      <c r="B237" s="427"/>
      <c r="C237" s="110"/>
      <c r="D237" s="110"/>
      <c r="E237" s="110"/>
      <c r="F237" s="344"/>
      <c r="G237" s="344"/>
      <c r="H237" s="344"/>
      <c r="I237" s="99"/>
      <c r="J237" s="344"/>
      <c r="K237" s="344"/>
      <c r="L237" s="110"/>
      <c r="M237" s="110"/>
      <c r="N237" s="329"/>
      <c r="O237" s="329"/>
      <c r="P237" s="1"/>
      <c r="Q237" s="1"/>
      <c r="R237" s="1"/>
      <c r="S237" s="1"/>
      <c r="T237" s="1"/>
      <c r="U237" s="4"/>
      <c r="V237" s="4"/>
      <c r="W237" s="4"/>
      <c r="X237" s="4"/>
      <c r="Y237" s="4"/>
      <c r="Z237" s="4"/>
      <c r="AA237" s="4"/>
    </row>
    <row r="238" spans="1:27" ht="15" customHeight="1">
      <c r="A238" s="110"/>
      <c r="B238" s="427"/>
      <c r="C238" s="110"/>
      <c r="D238" s="110"/>
      <c r="E238" s="110"/>
      <c r="F238" s="344"/>
      <c r="G238" s="344"/>
      <c r="H238" s="344"/>
      <c r="I238" s="99"/>
      <c r="J238" s="344"/>
      <c r="K238" s="344"/>
      <c r="L238" s="110"/>
      <c r="M238" s="110"/>
      <c r="N238" s="329"/>
      <c r="O238" s="329"/>
      <c r="P238" s="1"/>
      <c r="Q238" s="1"/>
      <c r="R238" s="1"/>
      <c r="S238" s="1"/>
      <c r="T238" s="1"/>
      <c r="U238" s="4"/>
      <c r="V238" s="4"/>
      <c r="W238" s="4"/>
      <c r="X238" s="4"/>
      <c r="Y238" s="4"/>
      <c r="Z238" s="4"/>
      <c r="AA238" s="4"/>
    </row>
    <row r="239" spans="1:27" ht="15" customHeight="1">
      <c r="A239" s="110"/>
      <c r="B239" s="427"/>
      <c r="C239" s="110"/>
      <c r="D239" s="110"/>
      <c r="E239" s="110"/>
      <c r="F239" s="344"/>
      <c r="G239" s="344"/>
      <c r="H239" s="344"/>
      <c r="I239" s="99"/>
      <c r="J239" s="344"/>
      <c r="K239" s="344"/>
      <c r="L239" s="110"/>
      <c r="M239" s="110"/>
      <c r="N239" s="329"/>
      <c r="O239" s="329"/>
      <c r="P239" s="1"/>
      <c r="Q239" s="1"/>
      <c r="R239" s="1"/>
      <c r="S239" s="1"/>
      <c r="T239" s="1"/>
      <c r="U239" s="4"/>
      <c r="V239" s="4"/>
      <c r="W239" s="4"/>
      <c r="X239" s="4"/>
      <c r="Y239" s="4"/>
      <c r="Z239" s="4"/>
      <c r="AA239" s="4"/>
    </row>
    <row r="240" spans="1:27" ht="15" customHeight="1">
      <c r="A240" s="110"/>
      <c r="B240" s="427"/>
      <c r="C240" s="110"/>
      <c r="D240" s="110"/>
      <c r="E240" s="110"/>
      <c r="F240" s="344"/>
      <c r="G240" s="344"/>
      <c r="H240" s="344"/>
      <c r="I240" s="99"/>
      <c r="J240" s="344"/>
      <c r="K240" s="344"/>
      <c r="L240" s="110"/>
      <c r="M240" s="110"/>
      <c r="N240" s="329"/>
      <c r="O240" s="329"/>
      <c r="P240" s="1"/>
      <c r="Q240" s="1"/>
      <c r="R240" s="1"/>
      <c r="S240" s="1"/>
      <c r="T240" s="1"/>
      <c r="U240" s="4"/>
      <c r="V240" s="4"/>
      <c r="W240" s="4"/>
      <c r="X240" s="4"/>
      <c r="Y240" s="4"/>
      <c r="Z240" s="4"/>
      <c r="AA240" s="4"/>
    </row>
    <row r="241" spans="1:27" ht="15" customHeight="1">
      <c r="A241" s="110"/>
      <c r="B241" s="427"/>
      <c r="C241" s="110"/>
      <c r="D241" s="110"/>
      <c r="E241" s="110"/>
      <c r="F241" s="344"/>
      <c r="G241" s="344"/>
      <c r="H241" s="344"/>
      <c r="I241" s="99"/>
      <c r="J241" s="344"/>
      <c r="K241" s="344"/>
      <c r="L241" s="110"/>
      <c r="M241" s="110"/>
      <c r="N241" s="329"/>
      <c r="O241" s="329"/>
      <c r="P241" s="1"/>
      <c r="Q241" s="1"/>
      <c r="R241" s="1"/>
      <c r="S241" s="1"/>
      <c r="T241" s="1"/>
      <c r="U241" s="4"/>
      <c r="V241" s="4"/>
      <c r="W241" s="4"/>
      <c r="X241" s="4"/>
      <c r="Y241" s="4"/>
      <c r="Z241" s="4"/>
      <c r="AA241" s="4"/>
    </row>
    <row r="242" spans="1:27" ht="15" customHeight="1">
      <c r="A242" s="110"/>
      <c r="B242" s="427"/>
      <c r="C242" s="110"/>
      <c r="D242" s="110"/>
      <c r="E242" s="110"/>
      <c r="F242" s="344"/>
      <c r="G242" s="344"/>
      <c r="H242" s="344"/>
      <c r="I242" s="99"/>
      <c r="J242" s="344"/>
      <c r="K242" s="344"/>
      <c r="L242" s="110"/>
      <c r="M242" s="110"/>
      <c r="N242" s="329"/>
      <c r="O242" s="329"/>
      <c r="P242" s="1"/>
      <c r="Q242" s="1"/>
      <c r="R242" s="1"/>
      <c r="S242" s="1"/>
      <c r="T242" s="1"/>
      <c r="U242" s="4"/>
      <c r="V242" s="4"/>
      <c r="W242" s="4"/>
      <c r="X242" s="4"/>
      <c r="Y242" s="4"/>
      <c r="Z242" s="4"/>
      <c r="AA242" s="4"/>
    </row>
    <row r="243" spans="1:27" ht="15" customHeight="1">
      <c r="A243" s="110"/>
      <c r="B243" s="427"/>
      <c r="C243" s="110"/>
      <c r="D243" s="110"/>
      <c r="E243" s="110"/>
      <c r="F243" s="344"/>
      <c r="G243" s="344"/>
      <c r="H243" s="344"/>
      <c r="I243" s="99"/>
      <c r="J243" s="344"/>
      <c r="K243" s="344"/>
      <c r="L243" s="110"/>
      <c r="M243" s="110"/>
      <c r="N243" s="329"/>
      <c r="O243" s="329"/>
      <c r="P243" s="1"/>
      <c r="Q243" s="1"/>
      <c r="R243" s="1"/>
      <c r="S243" s="1"/>
      <c r="T243" s="1"/>
      <c r="U243" s="4"/>
      <c r="V243" s="4"/>
      <c r="W243" s="4"/>
      <c r="X243" s="4"/>
      <c r="Y243" s="4"/>
      <c r="Z243" s="4"/>
      <c r="AA243" s="4"/>
    </row>
    <row r="244" spans="1:27" ht="15" customHeight="1">
      <c r="A244" s="110"/>
      <c r="B244" s="427"/>
      <c r="C244" s="110"/>
      <c r="D244" s="110"/>
      <c r="E244" s="110"/>
      <c r="F244" s="344"/>
      <c r="G244" s="344"/>
      <c r="H244" s="344"/>
      <c r="I244" s="99"/>
      <c r="J244" s="344"/>
      <c r="K244" s="344"/>
      <c r="L244" s="110"/>
      <c r="M244" s="110"/>
      <c r="N244" s="329"/>
      <c r="O244" s="329"/>
      <c r="P244" s="1"/>
      <c r="Q244" s="1"/>
      <c r="R244" s="1"/>
      <c r="S244" s="1"/>
      <c r="T244" s="1"/>
      <c r="U244" s="4"/>
      <c r="V244" s="4"/>
      <c r="W244" s="4"/>
      <c r="X244" s="4"/>
      <c r="Y244" s="4"/>
      <c r="Z244" s="4"/>
      <c r="AA244" s="4"/>
    </row>
    <row r="245" spans="1:27" ht="15" customHeight="1">
      <c r="A245" s="110"/>
      <c r="B245" s="427"/>
      <c r="C245" s="110"/>
      <c r="D245" s="110"/>
      <c r="E245" s="110"/>
      <c r="F245" s="344"/>
      <c r="G245" s="344"/>
      <c r="H245" s="344"/>
      <c r="I245" s="99"/>
      <c r="J245" s="344"/>
      <c r="K245" s="344"/>
      <c r="L245" s="110"/>
      <c r="M245" s="110"/>
      <c r="N245" s="329"/>
      <c r="O245" s="329"/>
      <c r="P245" s="1"/>
      <c r="Q245" s="1"/>
      <c r="R245" s="1"/>
      <c r="S245" s="1"/>
      <c r="T245" s="1"/>
      <c r="U245" s="4"/>
      <c r="V245" s="4"/>
      <c r="W245" s="4"/>
      <c r="X245" s="4"/>
      <c r="Y245" s="4"/>
      <c r="Z245" s="4"/>
      <c r="AA245" s="4"/>
    </row>
    <row r="246" spans="1:27" ht="15" customHeight="1">
      <c r="A246" s="110"/>
      <c r="B246" s="427"/>
      <c r="C246" s="110"/>
      <c r="D246" s="110"/>
      <c r="E246" s="110"/>
      <c r="F246" s="344"/>
      <c r="G246" s="344"/>
      <c r="H246" s="344"/>
      <c r="I246" s="99"/>
      <c r="J246" s="344"/>
      <c r="K246" s="344"/>
      <c r="L246" s="110"/>
      <c r="M246" s="110"/>
      <c r="N246" s="329"/>
      <c r="O246" s="329"/>
      <c r="P246" s="1"/>
      <c r="Q246" s="1"/>
      <c r="R246" s="1"/>
      <c r="S246" s="1"/>
      <c r="T246" s="1"/>
      <c r="U246" s="4"/>
      <c r="V246" s="4"/>
      <c r="W246" s="4"/>
      <c r="X246" s="4"/>
      <c r="Y246" s="4"/>
      <c r="Z246" s="4"/>
      <c r="AA246" s="4"/>
    </row>
    <row r="247" spans="1:27" ht="15" customHeight="1">
      <c r="A247" s="110"/>
      <c r="B247" s="427"/>
      <c r="C247" s="110"/>
      <c r="D247" s="110"/>
      <c r="E247" s="110"/>
      <c r="F247" s="344"/>
      <c r="G247" s="344"/>
      <c r="H247" s="344"/>
      <c r="I247" s="99"/>
      <c r="J247" s="344"/>
      <c r="K247" s="344"/>
      <c r="L247" s="110"/>
      <c r="M247" s="110"/>
      <c r="N247" s="329"/>
      <c r="O247" s="329"/>
      <c r="P247" s="1"/>
      <c r="Q247" s="1"/>
      <c r="R247" s="1"/>
      <c r="S247" s="1"/>
      <c r="T247" s="1"/>
      <c r="U247" s="4"/>
      <c r="V247" s="4"/>
      <c r="W247" s="4"/>
      <c r="X247" s="4"/>
      <c r="Y247" s="4"/>
      <c r="Z247" s="4"/>
      <c r="AA247" s="4"/>
    </row>
    <row r="248" spans="1:27" ht="15" customHeight="1">
      <c r="A248" s="110"/>
      <c r="B248" s="427"/>
      <c r="C248" s="110"/>
      <c r="D248" s="110"/>
      <c r="E248" s="110"/>
      <c r="F248" s="344"/>
      <c r="G248" s="344"/>
      <c r="H248" s="344"/>
      <c r="I248" s="99"/>
      <c r="J248" s="344"/>
      <c r="K248" s="344"/>
      <c r="L248" s="110"/>
      <c r="M248" s="110"/>
      <c r="N248" s="329"/>
      <c r="O248" s="329"/>
      <c r="P248" s="1"/>
      <c r="Q248" s="1"/>
      <c r="R248" s="1"/>
      <c r="S248" s="1"/>
      <c r="T248" s="1"/>
      <c r="U248" s="4"/>
      <c r="V248" s="4"/>
      <c r="W248" s="4"/>
      <c r="X248" s="4"/>
      <c r="Y248" s="4"/>
      <c r="Z248" s="4"/>
      <c r="AA248" s="4"/>
    </row>
    <row r="249" spans="1:27" ht="15" customHeight="1">
      <c r="A249" s="110"/>
      <c r="B249" s="427"/>
      <c r="C249" s="110"/>
      <c r="D249" s="110"/>
      <c r="E249" s="110"/>
      <c r="F249" s="344"/>
      <c r="G249" s="344"/>
      <c r="H249" s="344"/>
      <c r="I249" s="99"/>
      <c r="J249" s="344"/>
      <c r="K249" s="344"/>
      <c r="L249" s="110"/>
      <c r="M249" s="110"/>
      <c r="N249" s="329"/>
      <c r="O249" s="329"/>
      <c r="P249" s="1"/>
      <c r="Q249" s="1"/>
      <c r="R249" s="1"/>
      <c r="S249" s="1"/>
      <c r="T249" s="1"/>
      <c r="U249" s="4"/>
      <c r="V249" s="4"/>
      <c r="W249" s="4"/>
      <c r="X249" s="4"/>
      <c r="Y249" s="4"/>
      <c r="Z249" s="4"/>
      <c r="AA249" s="4"/>
    </row>
    <row r="250" spans="1:27" ht="15" customHeight="1">
      <c r="A250" s="110"/>
      <c r="B250" s="427"/>
      <c r="C250" s="110"/>
      <c r="D250" s="110"/>
      <c r="E250" s="110"/>
      <c r="F250" s="344"/>
      <c r="G250" s="344"/>
      <c r="H250" s="344"/>
      <c r="I250" s="99"/>
      <c r="J250" s="344"/>
      <c r="K250" s="344"/>
      <c r="L250" s="110"/>
      <c r="M250" s="110"/>
      <c r="N250" s="329"/>
      <c r="O250" s="329"/>
      <c r="P250" s="1"/>
      <c r="Q250" s="1"/>
      <c r="R250" s="1"/>
      <c r="S250" s="1"/>
      <c r="T250" s="1"/>
      <c r="U250" s="4"/>
      <c r="V250" s="4"/>
      <c r="W250" s="4"/>
      <c r="X250" s="4"/>
      <c r="Y250" s="4"/>
      <c r="Z250" s="4"/>
      <c r="AA250" s="4"/>
    </row>
    <row r="251" spans="1:27" ht="15" customHeight="1">
      <c r="A251" s="110"/>
      <c r="B251" s="427"/>
      <c r="C251" s="110"/>
      <c r="D251" s="110"/>
      <c r="E251" s="110"/>
      <c r="F251" s="110"/>
      <c r="G251" s="110"/>
      <c r="H251" s="110"/>
      <c r="I251" s="4"/>
      <c r="J251" s="110"/>
      <c r="K251" s="344"/>
      <c r="L251" s="110"/>
      <c r="M251" s="110"/>
      <c r="N251" s="329"/>
      <c r="O251" s="329"/>
      <c r="P251" s="1"/>
      <c r="Q251" s="1"/>
      <c r="R251" s="1"/>
      <c r="S251" s="1"/>
      <c r="T251" s="1"/>
      <c r="U251" s="4"/>
      <c r="V251" s="4"/>
      <c r="W251" s="4"/>
      <c r="X251" s="4"/>
      <c r="Y251" s="4"/>
      <c r="Z251" s="4"/>
      <c r="AA251" s="4"/>
    </row>
    <row r="252" spans="1:27" ht="15" customHeight="1">
      <c r="A252" s="4"/>
      <c r="B252" s="103"/>
      <c r="C252" s="4"/>
      <c r="D252" s="4"/>
      <c r="E252" s="4"/>
      <c r="F252" s="4"/>
      <c r="G252" s="4"/>
      <c r="H252" s="4"/>
      <c r="I252" s="4"/>
      <c r="J252" s="4"/>
      <c r="K252" s="99"/>
      <c r="L252" s="4"/>
      <c r="M252" s="4"/>
      <c r="N252" s="1"/>
      <c r="O252" s="1"/>
      <c r="P252" s="1"/>
      <c r="Q252" s="1"/>
      <c r="R252" s="1"/>
      <c r="S252" s="1"/>
      <c r="T252" s="1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103"/>
      <c r="C253" s="4"/>
      <c r="D253" s="4"/>
      <c r="E253" s="4"/>
      <c r="F253" s="4"/>
      <c r="G253" s="4"/>
      <c r="H253" s="4"/>
      <c r="I253" s="4"/>
      <c r="J253" s="4"/>
      <c r="K253" s="99"/>
      <c r="L253" s="4"/>
      <c r="M253" s="4"/>
      <c r="N253" s="1"/>
      <c r="O253" s="1"/>
      <c r="P253" s="1"/>
      <c r="Q253" s="1"/>
      <c r="R253" s="1"/>
      <c r="S253" s="1"/>
      <c r="T253" s="1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103"/>
      <c r="C254" s="4"/>
      <c r="D254" s="4"/>
      <c r="E254" s="4"/>
      <c r="F254" s="4"/>
      <c r="G254" s="4"/>
      <c r="H254" s="4"/>
      <c r="I254" s="4"/>
      <c r="J254" s="4"/>
      <c r="K254" s="99"/>
      <c r="L254" s="4"/>
      <c r="M254" s="4"/>
      <c r="N254" s="1"/>
      <c r="O254" s="1"/>
      <c r="P254" s="1"/>
      <c r="Q254" s="1"/>
      <c r="R254" s="1"/>
      <c r="S254" s="1"/>
      <c r="T254" s="1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103"/>
      <c r="C255" s="4"/>
      <c r="D255" s="4"/>
      <c r="E255" s="4"/>
      <c r="F255" s="4"/>
      <c r="G255" s="4"/>
      <c r="H255" s="4"/>
      <c r="I255" s="4"/>
      <c r="J255" s="4"/>
      <c r="K255" s="99"/>
      <c r="L255" s="4"/>
      <c r="M255" s="4"/>
      <c r="N255" s="1"/>
      <c r="O255" s="1"/>
      <c r="P255" s="1"/>
      <c r="Q255" s="1"/>
      <c r="R255" s="1"/>
      <c r="S255" s="1"/>
      <c r="T255" s="1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103"/>
      <c r="C256" s="4"/>
      <c r="D256" s="4"/>
      <c r="E256" s="4"/>
      <c r="F256" s="4"/>
      <c r="G256" s="4"/>
      <c r="H256" s="4"/>
      <c r="I256" s="4"/>
      <c r="J256" s="4"/>
      <c r="K256" s="99"/>
      <c r="L256" s="4"/>
      <c r="M256" s="4"/>
      <c r="N256" s="1"/>
      <c r="O256" s="1"/>
      <c r="P256" s="1"/>
      <c r="Q256" s="1"/>
      <c r="R256" s="1"/>
      <c r="S256" s="1"/>
      <c r="T256" s="1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103"/>
      <c r="C257" s="4"/>
      <c r="D257" s="4"/>
      <c r="E257" s="4"/>
      <c r="F257" s="4"/>
      <c r="G257" s="4"/>
      <c r="H257" s="4"/>
      <c r="I257" s="4"/>
      <c r="J257" s="4"/>
      <c r="K257" s="99"/>
      <c r="L257" s="4"/>
      <c r="M257" s="4"/>
      <c r="N257" s="1"/>
      <c r="O257" s="1"/>
      <c r="P257" s="1"/>
      <c r="Q257" s="1"/>
      <c r="R257" s="1"/>
      <c r="S257" s="1"/>
      <c r="T257" s="1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103"/>
      <c r="C258" s="4"/>
      <c r="D258" s="4"/>
      <c r="E258" s="4"/>
      <c r="F258" s="4"/>
      <c r="G258" s="4"/>
      <c r="H258" s="4"/>
      <c r="I258" s="4"/>
      <c r="J258" s="4"/>
      <c r="K258" s="99"/>
      <c r="L258" s="4"/>
      <c r="M258" s="4"/>
      <c r="N258" s="1"/>
      <c r="O258" s="1"/>
      <c r="P258" s="1"/>
      <c r="Q258" s="1"/>
      <c r="R258" s="1"/>
      <c r="S258" s="1"/>
      <c r="T258" s="1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103"/>
      <c r="C259" s="4"/>
      <c r="D259" s="4"/>
      <c r="E259" s="4"/>
      <c r="F259" s="4"/>
      <c r="G259" s="4"/>
      <c r="H259" s="4"/>
      <c r="I259" s="4"/>
      <c r="J259" s="4"/>
      <c r="K259" s="99"/>
      <c r="L259" s="4"/>
      <c r="M259" s="4"/>
      <c r="N259" s="1"/>
      <c r="O259" s="1"/>
      <c r="P259" s="1"/>
      <c r="Q259" s="1"/>
      <c r="R259" s="1"/>
      <c r="S259" s="1"/>
      <c r="T259" s="1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103"/>
      <c r="C260" s="4"/>
      <c r="D260" s="4"/>
      <c r="E260" s="4"/>
      <c r="F260" s="4"/>
      <c r="G260" s="4"/>
      <c r="H260" s="4"/>
      <c r="I260" s="4"/>
      <c r="J260" s="4"/>
      <c r="K260" s="99"/>
      <c r="L260" s="4"/>
      <c r="M260" s="4"/>
      <c r="N260" s="1"/>
      <c r="O260" s="1"/>
      <c r="P260" s="1"/>
      <c r="Q260" s="1"/>
      <c r="R260" s="1"/>
      <c r="S260" s="1"/>
      <c r="T260" s="1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103"/>
      <c r="C261" s="4"/>
      <c r="D261" s="4"/>
      <c r="E261" s="4"/>
      <c r="F261" s="4"/>
      <c r="G261" s="4"/>
      <c r="H261" s="4"/>
      <c r="I261" s="4"/>
      <c r="J261" s="4"/>
      <c r="K261" s="99"/>
      <c r="L261" s="4"/>
      <c r="M261" s="4"/>
      <c r="N261" s="1"/>
      <c r="O261" s="1"/>
      <c r="P261" s="1"/>
      <c r="Q261" s="1"/>
      <c r="R261" s="1"/>
      <c r="S261" s="1"/>
      <c r="T261" s="1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103"/>
      <c r="C262" s="4"/>
      <c r="D262" s="4"/>
      <c r="E262" s="4"/>
      <c r="F262" s="4"/>
      <c r="G262" s="4"/>
      <c r="H262" s="4"/>
      <c r="I262" s="4"/>
      <c r="J262" s="4"/>
      <c r="K262" s="99"/>
      <c r="L262" s="4"/>
      <c r="M262" s="4"/>
      <c r="N262" s="1"/>
      <c r="O262" s="1"/>
      <c r="P262" s="1"/>
      <c r="Q262" s="1"/>
      <c r="R262" s="1"/>
      <c r="S262" s="1"/>
      <c r="T262" s="1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103"/>
      <c r="C263" s="4"/>
      <c r="D263" s="4"/>
      <c r="E263" s="4"/>
      <c r="F263" s="4"/>
      <c r="G263" s="4"/>
      <c r="H263" s="4"/>
      <c r="I263" s="4"/>
      <c r="J263" s="4"/>
      <c r="K263" s="99"/>
      <c r="L263" s="4"/>
      <c r="M263" s="4"/>
      <c r="N263" s="1"/>
      <c r="O263" s="1"/>
      <c r="P263" s="1"/>
      <c r="Q263" s="1"/>
      <c r="R263" s="1"/>
      <c r="S263" s="1"/>
      <c r="T263" s="1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103"/>
      <c r="C264" s="4"/>
      <c r="D264" s="4"/>
      <c r="E264" s="4"/>
      <c r="F264" s="4"/>
      <c r="G264" s="4"/>
      <c r="H264" s="4"/>
      <c r="I264" s="4"/>
      <c r="J264" s="4"/>
      <c r="K264" s="99"/>
      <c r="L264" s="4"/>
      <c r="M264" s="4"/>
      <c r="N264" s="1"/>
      <c r="O264" s="1"/>
      <c r="P264" s="1"/>
      <c r="Q264" s="1"/>
      <c r="R264" s="1"/>
      <c r="S264" s="1"/>
      <c r="T264" s="1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103"/>
      <c r="C265" s="4"/>
      <c r="D265" s="4"/>
      <c r="E265" s="4"/>
      <c r="F265" s="4"/>
      <c r="G265" s="4"/>
      <c r="H265" s="4"/>
      <c r="I265" s="4"/>
      <c r="J265" s="4"/>
      <c r="K265" s="99"/>
      <c r="L265" s="4"/>
      <c r="M265" s="4"/>
      <c r="N265" s="1"/>
      <c r="O265" s="1"/>
      <c r="P265" s="1"/>
      <c r="Q265" s="1"/>
      <c r="R265" s="1"/>
      <c r="S265" s="1"/>
      <c r="T265" s="1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103"/>
      <c r="C266" s="4"/>
      <c r="D266" s="4"/>
      <c r="E266" s="4"/>
      <c r="F266" s="4"/>
      <c r="G266" s="4"/>
      <c r="H266" s="4"/>
      <c r="I266" s="4"/>
      <c r="J266" s="4"/>
      <c r="K266" s="99"/>
      <c r="L266" s="4"/>
      <c r="M266" s="4"/>
      <c r="N266" s="1"/>
      <c r="O266" s="1"/>
      <c r="P266" s="1"/>
      <c r="Q266" s="1"/>
      <c r="R266" s="1"/>
      <c r="S266" s="1"/>
      <c r="T266" s="1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103"/>
      <c r="C267" s="4"/>
      <c r="D267" s="4"/>
      <c r="E267" s="4"/>
      <c r="F267" s="4"/>
      <c r="G267" s="4"/>
      <c r="H267" s="4"/>
      <c r="I267" s="4"/>
      <c r="J267" s="4"/>
      <c r="K267" s="99"/>
      <c r="L267" s="4"/>
      <c r="M267" s="4"/>
      <c r="N267" s="1"/>
      <c r="O267" s="1"/>
      <c r="P267" s="1"/>
      <c r="Q267" s="1"/>
      <c r="R267" s="1"/>
      <c r="S267" s="1"/>
      <c r="T267" s="1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103"/>
      <c r="C268" s="4"/>
      <c r="D268" s="4"/>
      <c r="E268" s="4"/>
      <c r="F268" s="4"/>
      <c r="G268" s="4"/>
      <c r="H268" s="4"/>
      <c r="I268" s="4"/>
      <c r="J268" s="4"/>
      <c r="K268" s="99"/>
      <c r="L268" s="4"/>
      <c r="M268" s="4"/>
      <c r="N268" s="1"/>
      <c r="O268" s="1"/>
      <c r="P268" s="1"/>
      <c r="Q268" s="1"/>
      <c r="R268" s="1"/>
      <c r="S268" s="1"/>
      <c r="T268" s="1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103"/>
      <c r="C269" s="4"/>
      <c r="D269" s="4"/>
      <c r="E269" s="4"/>
      <c r="F269" s="4"/>
      <c r="G269" s="4"/>
      <c r="H269" s="4"/>
      <c r="I269" s="4"/>
      <c r="J269" s="4"/>
      <c r="K269" s="99"/>
      <c r="L269" s="4"/>
      <c r="M269" s="4"/>
      <c r="N269" s="1"/>
      <c r="O269" s="1"/>
      <c r="P269" s="1"/>
      <c r="Q269" s="1"/>
      <c r="R269" s="1"/>
      <c r="S269" s="1"/>
      <c r="T269" s="1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103"/>
      <c r="C270" s="4"/>
      <c r="D270" s="4"/>
      <c r="E270" s="4"/>
      <c r="F270" s="4"/>
      <c r="G270" s="4"/>
      <c r="H270" s="4"/>
      <c r="I270" s="4"/>
      <c r="J270" s="4"/>
      <c r="K270" s="99"/>
      <c r="L270" s="4"/>
      <c r="M270" s="4"/>
      <c r="N270" s="1"/>
      <c r="O270" s="1"/>
      <c r="P270" s="1"/>
      <c r="Q270" s="1"/>
      <c r="R270" s="1"/>
      <c r="S270" s="1"/>
      <c r="T270" s="1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103"/>
      <c r="C271" s="4"/>
      <c r="D271" s="4"/>
      <c r="E271" s="4"/>
      <c r="F271" s="4"/>
      <c r="G271" s="4"/>
      <c r="H271" s="4"/>
      <c r="I271" s="4"/>
      <c r="J271" s="4"/>
      <c r="K271" s="99"/>
      <c r="L271" s="4"/>
      <c r="M271" s="4"/>
      <c r="N271" s="1"/>
      <c r="O271" s="1"/>
      <c r="P271" s="1"/>
      <c r="Q271" s="1"/>
      <c r="R271" s="1"/>
      <c r="S271" s="1"/>
      <c r="T271" s="1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103"/>
      <c r="C272" s="4"/>
      <c r="D272" s="4"/>
      <c r="E272" s="4"/>
      <c r="F272" s="4"/>
      <c r="G272" s="4"/>
      <c r="H272" s="4"/>
      <c r="I272" s="4"/>
      <c r="J272" s="4"/>
      <c r="K272" s="99"/>
      <c r="L272" s="4"/>
      <c r="M272" s="4"/>
      <c r="N272" s="1"/>
      <c r="O272" s="1"/>
      <c r="P272" s="1"/>
      <c r="Q272" s="1"/>
      <c r="R272" s="1"/>
      <c r="S272" s="1"/>
      <c r="T272" s="1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103"/>
      <c r="C273" s="4"/>
      <c r="D273" s="4"/>
      <c r="E273" s="4"/>
      <c r="F273" s="4"/>
      <c r="G273" s="4"/>
      <c r="H273" s="4"/>
      <c r="I273" s="4"/>
      <c r="J273" s="4"/>
      <c r="K273" s="99"/>
      <c r="L273" s="4"/>
      <c r="M273" s="4"/>
      <c r="N273" s="1"/>
      <c r="O273" s="1"/>
      <c r="P273" s="1"/>
      <c r="Q273" s="1"/>
      <c r="R273" s="1"/>
      <c r="S273" s="1"/>
      <c r="T273" s="1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103"/>
      <c r="C274" s="4"/>
      <c r="D274" s="4"/>
      <c r="E274" s="4"/>
      <c r="F274" s="4"/>
      <c r="G274" s="4"/>
      <c r="H274" s="4"/>
      <c r="I274" s="4"/>
      <c r="J274" s="4"/>
      <c r="K274" s="99"/>
      <c r="L274" s="4"/>
      <c r="M274" s="4"/>
      <c r="N274" s="1"/>
      <c r="O274" s="1"/>
      <c r="P274" s="1"/>
      <c r="Q274" s="1"/>
      <c r="R274" s="1"/>
      <c r="S274" s="1"/>
      <c r="T274" s="1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103"/>
      <c r="C275" s="4"/>
      <c r="D275" s="4"/>
      <c r="E275" s="4"/>
      <c r="F275" s="4"/>
      <c r="G275" s="4"/>
      <c r="H275" s="4"/>
      <c r="I275" s="4"/>
      <c r="J275" s="4"/>
      <c r="K275" s="99"/>
      <c r="L275" s="4"/>
      <c r="M275" s="4"/>
      <c r="N275" s="1"/>
      <c r="O275" s="1"/>
      <c r="P275" s="1"/>
      <c r="Q275" s="1"/>
      <c r="R275" s="1"/>
      <c r="S275" s="1"/>
      <c r="T275" s="1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103"/>
      <c r="C276" s="4"/>
      <c r="D276" s="4"/>
      <c r="E276" s="4"/>
      <c r="F276" s="4"/>
      <c r="G276" s="4"/>
      <c r="H276" s="4"/>
      <c r="I276" s="4"/>
      <c r="J276" s="4"/>
      <c r="K276" s="99"/>
      <c r="L276" s="4"/>
      <c r="M276" s="4"/>
      <c r="N276" s="1"/>
      <c r="O276" s="1"/>
      <c r="P276" s="1"/>
      <c r="Q276" s="1"/>
      <c r="R276" s="1"/>
      <c r="S276" s="1"/>
      <c r="T276" s="1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103"/>
      <c r="C277" s="4"/>
      <c r="D277" s="4"/>
      <c r="E277" s="4"/>
      <c r="F277" s="4"/>
      <c r="G277" s="4"/>
      <c r="H277" s="4"/>
      <c r="I277" s="4"/>
      <c r="J277" s="4"/>
      <c r="K277" s="99"/>
      <c r="L277" s="4"/>
      <c r="M277" s="4"/>
      <c r="N277" s="1"/>
      <c r="O277" s="1"/>
      <c r="P277" s="1"/>
      <c r="Q277" s="1"/>
      <c r="R277" s="1"/>
      <c r="S277" s="1"/>
      <c r="T277" s="1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103"/>
      <c r="C278" s="4"/>
      <c r="D278" s="4"/>
      <c r="E278" s="4"/>
      <c r="F278" s="4"/>
      <c r="G278" s="4"/>
      <c r="H278" s="4"/>
      <c r="I278" s="4"/>
      <c r="J278" s="4"/>
      <c r="K278" s="99"/>
      <c r="L278" s="4"/>
      <c r="M278" s="4"/>
      <c r="N278" s="1"/>
      <c r="O278" s="1"/>
      <c r="P278" s="1"/>
      <c r="Q278" s="1"/>
      <c r="R278" s="1"/>
      <c r="S278" s="1"/>
      <c r="T278" s="1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103"/>
      <c r="C279" s="4"/>
      <c r="D279" s="4"/>
      <c r="E279" s="4"/>
      <c r="F279" s="4"/>
      <c r="G279" s="4"/>
      <c r="H279" s="4"/>
      <c r="I279" s="4"/>
      <c r="J279" s="4"/>
      <c r="K279" s="99"/>
      <c r="L279" s="4"/>
      <c r="M279" s="4"/>
      <c r="N279" s="1"/>
      <c r="O279" s="1"/>
      <c r="P279" s="1"/>
      <c r="Q279" s="1"/>
      <c r="R279" s="1"/>
      <c r="S279" s="1"/>
      <c r="T279" s="1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103"/>
      <c r="C280" s="4"/>
      <c r="D280" s="4"/>
      <c r="E280" s="4"/>
      <c r="F280" s="4"/>
      <c r="G280" s="4"/>
      <c r="H280" s="4"/>
      <c r="I280" s="4"/>
      <c r="J280" s="4"/>
      <c r="K280" s="99"/>
      <c r="L280" s="4"/>
      <c r="M280" s="4"/>
      <c r="N280" s="1"/>
      <c r="O280" s="1"/>
      <c r="P280" s="1"/>
      <c r="Q280" s="1"/>
      <c r="R280" s="1"/>
      <c r="S280" s="1"/>
      <c r="T280" s="1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103"/>
      <c r="C281" s="4"/>
      <c r="D281" s="4"/>
      <c r="E281" s="4"/>
      <c r="F281" s="4"/>
      <c r="G281" s="4"/>
      <c r="H281" s="4"/>
      <c r="I281" s="4"/>
      <c r="J281" s="4"/>
      <c r="K281" s="99"/>
      <c r="L281" s="4"/>
      <c r="M281" s="4"/>
      <c r="N281" s="1"/>
      <c r="O281" s="1"/>
      <c r="P281" s="1"/>
      <c r="Q281" s="1"/>
      <c r="R281" s="1"/>
      <c r="S281" s="1"/>
      <c r="T281" s="1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103"/>
      <c r="C282" s="4"/>
      <c r="D282" s="4"/>
      <c r="E282" s="4"/>
      <c r="F282" s="4"/>
      <c r="G282" s="4"/>
      <c r="H282" s="4"/>
      <c r="I282" s="4"/>
      <c r="J282" s="4"/>
      <c r="K282" s="99"/>
      <c r="L282" s="4"/>
      <c r="M282" s="4"/>
      <c r="N282" s="1"/>
      <c r="O282" s="1"/>
      <c r="P282" s="1"/>
      <c r="Q282" s="1"/>
      <c r="R282" s="1"/>
      <c r="S282" s="1"/>
      <c r="T282" s="1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103"/>
      <c r="C283" s="4"/>
      <c r="D283" s="4"/>
      <c r="E283" s="4"/>
      <c r="F283" s="4"/>
      <c r="G283" s="4"/>
      <c r="H283" s="4"/>
      <c r="I283" s="4"/>
      <c r="J283" s="4"/>
      <c r="K283" s="99"/>
      <c r="L283" s="4"/>
      <c r="M283" s="4"/>
      <c r="N283" s="1"/>
      <c r="O283" s="1"/>
      <c r="P283" s="1"/>
      <c r="Q283" s="1"/>
      <c r="R283" s="1"/>
      <c r="S283" s="1"/>
      <c r="T283" s="1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103"/>
      <c r="C284" s="4"/>
      <c r="D284" s="4"/>
      <c r="E284" s="4"/>
      <c r="F284" s="4"/>
      <c r="G284" s="4"/>
      <c r="H284" s="4"/>
      <c r="I284" s="4"/>
      <c r="J284" s="4"/>
      <c r="K284" s="99"/>
      <c r="L284" s="4"/>
      <c r="M284" s="4"/>
      <c r="N284" s="1"/>
      <c r="O284" s="1"/>
      <c r="P284" s="1"/>
      <c r="Q284" s="1"/>
      <c r="R284" s="1"/>
      <c r="S284" s="1"/>
      <c r="T284" s="1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103"/>
      <c r="C285" s="4"/>
      <c r="D285" s="4"/>
      <c r="E285" s="4"/>
      <c r="F285" s="4"/>
      <c r="G285" s="4"/>
      <c r="H285" s="4"/>
      <c r="I285" s="4"/>
      <c r="J285" s="4"/>
      <c r="K285" s="99"/>
      <c r="L285" s="4"/>
      <c r="M285" s="4"/>
      <c r="N285" s="1"/>
      <c r="O285" s="1"/>
      <c r="P285" s="1"/>
      <c r="Q285" s="1"/>
      <c r="R285" s="1"/>
      <c r="S285" s="1"/>
      <c r="T285" s="1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103"/>
      <c r="C286" s="4"/>
      <c r="D286" s="4"/>
      <c r="E286" s="4"/>
      <c r="F286" s="4"/>
      <c r="G286" s="4"/>
      <c r="H286" s="4"/>
      <c r="I286" s="4"/>
      <c r="J286" s="4"/>
      <c r="K286" s="99"/>
      <c r="L286" s="4"/>
      <c r="M286" s="4"/>
      <c r="N286" s="1"/>
      <c r="O286" s="1"/>
      <c r="P286" s="1"/>
      <c r="Q286" s="1"/>
      <c r="R286" s="1"/>
      <c r="S286" s="1"/>
      <c r="T286" s="1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103"/>
      <c r="C287" s="4"/>
      <c r="D287" s="4"/>
      <c r="E287" s="4"/>
      <c r="F287" s="4"/>
      <c r="G287" s="4"/>
      <c r="H287" s="4"/>
      <c r="I287" s="4"/>
      <c r="J287" s="4"/>
      <c r="K287" s="99"/>
      <c r="L287" s="4"/>
      <c r="M287" s="4"/>
      <c r="N287" s="1"/>
      <c r="O287" s="1"/>
      <c r="P287" s="1"/>
      <c r="Q287" s="1"/>
      <c r="R287" s="1"/>
      <c r="S287" s="1"/>
      <c r="T287" s="1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103"/>
      <c r="C288" s="4"/>
      <c r="D288" s="4"/>
      <c r="E288" s="4"/>
      <c r="F288" s="4"/>
      <c r="G288" s="4"/>
      <c r="H288" s="4"/>
      <c r="I288" s="4"/>
      <c r="J288" s="4"/>
      <c r="K288" s="99"/>
      <c r="L288" s="4"/>
      <c r="M288" s="4"/>
      <c r="N288" s="1"/>
      <c r="O288" s="1"/>
      <c r="P288" s="1"/>
      <c r="Q288" s="1"/>
      <c r="R288" s="1"/>
      <c r="S288" s="1"/>
      <c r="T288" s="1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103"/>
      <c r="C289" s="4"/>
      <c r="D289" s="4"/>
      <c r="E289" s="4"/>
      <c r="F289" s="4"/>
      <c r="G289" s="4"/>
      <c r="H289" s="4"/>
      <c r="I289" s="4"/>
      <c r="J289" s="4"/>
      <c r="K289" s="99"/>
      <c r="L289" s="4"/>
      <c r="M289" s="4"/>
      <c r="N289" s="1"/>
      <c r="O289" s="1"/>
      <c r="P289" s="1"/>
      <c r="Q289" s="1"/>
      <c r="R289" s="1"/>
      <c r="S289" s="1"/>
      <c r="T289" s="1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103"/>
      <c r="C290" s="4"/>
      <c r="D290" s="4"/>
      <c r="E290" s="4"/>
      <c r="F290" s="4"/>
      <c r="G290" s="4"/>
      <c r="H290" s="4"/>
      <c r="I290" s="4"/>
      <c r="J290" s="4"/>
      <c r="K290" s="99"/>
      <c r="L290" s="4"/>
      <c r="M290" s="4"/>
      <c r="N290" s="1"/>
      <c r="O290" s="1"/>
      <c r="P290" s="1"/>
      <c r="Q290" s="1"/>
      <c r="R290" s="1"/>
      <c r="S290" s="1"/>
      <c r="T290" s="1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103"/>
      <c r="C291" s="4"/>
      <c r="D291" s="4"/>
      <c r="E291" s="4"/>
      <c r="F291" s="4"/>
      <c r="G291" s="4"/>
      <c r="H291" s="4"/>
      <c r="I291" s="4"/>
      <c r="J291" s="4"/>
      <c r="K291" s="99"/>
      <c r="L291" s="4"/>
      <c r="M291" s="4"/>
      <c r="N291" s="1"/>
      <c r="O291" s="1"/>
      <c r="P291" s="1"/>
      <c r="Q291" s="1"/>
      <c r="R291" s="1"/>
      <c r="S291" s="1"/>
      <c r="T291" s="1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103"/>
      <c r="C292" s="4"/>
      <c r="D292" s="4"/>
      <c r="E292" s="4"/>
      <c r="F292" s="4"/>
      <c r="G292" s="4"/>
      <c r="H292" s="4"/>
      <c r="I292" s="4"/>
      <c r="J292" s="4"/>
      <c r="K292" s="99"/>
      <c r="L292" s="4"/>
      <c r="M292" s="4"/>
      <c r="N292" s="1"/>
      <c r="O292" s="1"/>
      <c r="P292" s="1"/>
      <c r="Q292" s="1"/>
      <c r="R292" s="1"/>
      <c r="S292" s="1"/>
      <c r="T292" s="1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103"/>
      <c r="C293" s="4"/>
      <c r="D293" s="4"/>
      <c r="E293" s="4"/>
      <c r="F293" s="4"/>
      <c r="G293" s="4"/>
      <c r="H293" s="4"/>
      <c r="I293" s="4"/>
      <c r="J293" s="4"/>
      <c r="K293" s="99"/>
      <c r="L293" s="4"/>
      <c r="M293" s="4"/>
      <c r="N293" s="1"/>
      <c r="O293" s="1"/>
      <c r="P293" s="1"/>
      <c r="Q293" s="1"/>
      <c r="R293" s="1"/>
      <c r="S293" s="1"/>
      <c r="T293" s="1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103"/>
      <c r="C294" s="4"/>
      <c r="D294" s="4"/>
      <c r="E294" s="4"/>
      <c r="F294" s="4"/>
      <c r="G294" s="4"/>
      <c r="H294" s="4"/>
      <c r="I294" s="4"/>
      <c r="J294" s="4"/>
      <c r="K294" s="99"/>
      <c r="L294" s="4"/>
      <c r="M294" s="4"/>
      <c r="N294" s="1"/>
      <c r="O294" s="1"/>
      <c r="P294" s="1"/>
      <c r="Q294" s="1"/>
      <c r="R294" s="1"/>
      <c r="S294" s="1"/>
      <c r="T294" s="1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103"/>
      <c r="C295" s="4"/>
      <c r="D295" s="4"/>
      <c r="E295" s="4"/>
      <c r="F295" s="4"/>
      <c r="G295" s="4"/>
      <c r="H295" s="4"/>
      <c r="I295" s="4"/>
      <c r="J295" s="4"/>
      <c r="K295" s="99"/>
      <c r="L295" s="4"/>
      <c r="M295" s="4"/>
      <c r="N295" s="1"/>
      <c r="O295" s="1"/>
      <c r="P295" s="1"/>
      <c r="Q295" s="1"/>
      <c r="R295" s="1"/>
      <c r="S295" s="1"/>
      <c r="T295" s="1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103"/>
      <c r="C296" s="4"/>
      <c r="D296" s="4"/>
      <c r="E296" s="4"/>
      <c r="F296" s="4"/>
      <c r="G296" s="4"/>
      <c r="H296" s="4"/>
      <c r="I296" s="4"/>
      <c r="J296" s="4"/>
      <c r="K296" s="99"/>
      <c r="L296" s="4"/>
      <c r="M296" s="4"/>
      <c r="N296" s="1"/>
      <c r="O296" s="1"/>
      <c r="P296" s="1"/>
      <c r="Q296" s="1"/>
      <c r="R296" s="1"/>
      <c r="S296" s="1"/>
      <c r="T296" s="1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103"/>
      <c r="C297" s="4"/>
      <c r="D297" s="4"/>
      <c r="E297" s="4"/>
      <c r="F297" s="4"/>
      <c r="G297" s="4"/>
      <c r="H297" s="4"/>
      <c r="I297" s="4"/>
      <c r="J297" s="4"/>
      <c r="K297" s="99"/>
      <c r="L297" s="4"/>
      <c r="M297" s="4"/>
      <c r="N297" s="1"/>
      <c r="O297" s="1"/>
      <c r="P297" s="1"/>
      <c r="Q297" s="1"/>
      <c r="R297" s="1"/>
      <c r="S297" s="1"/>
      <c r="T297" s="1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103"/>
      <c r="C298" s="4"/>
      <c r="D298" s="4"/>
      <c r="E298" s="4"/>
      <c r="F298" s="4"/>
      <c r="G298" s="4"/>
      <c r="H298" s="4"/>
      <c r="I298" s="4"/>
      <c r="J298" s="4"/>
      <c r="K298" s="99"/>
      <c r="L298" s="4"/>
      <c r="M298" s="4"/>
      <c r="N298" s="1"/>
      <c r="O298" s="1"/>
      <c r="P298" s="1"/>
      <c r="Q298" s="1"/>
      <c r="R298" s="1"/>
      <c r="S298" s="1"/>
      <c r="T298" s="1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103"/>
      <c r="C299" s="4"/>
      <c r="D299" s="4"/>
      <c r="E299" s="4"/>
      <c r="F299" s="4"/>
      <c r="G299" s="4"/>
      <c r="H299" s="4"/>
      <c r="I299" s="4"/>
      <c r="J299" s="4"/>
      <c r="K299" s="99"/>
      <c r="L299" s="4"/>
      <c r="M299" s="4"/>
      <c r="N299" s="1"/>
      <c r="O299" s="1"/>
      <c r="P299" s="1"/>
      <c r="Q299" s="1"/>
      <c r="R299" s="1"/>
      <c r="S299" s="1"/>
      <c r="T299" s="1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103"/>
      <c r="C300" s="4"/>
      <c r="D300" s="4"/>
      <c r="E300" s="4"/>
      <c r="F300" s="4"/>
      <c r="G300" s="4"/>
      <c r="H300" s="4"/>
      <c r="I300" s="4"/>
      <c r="J300" s="4"/>
      <c r="K300" s="99"/>
      <c r="L300" s="4"/>
      <c r="M300" s="4"/>
      <c r="N300" s="1"/>
      <c r="O300" s="1"/>
      <c r="P300" s="1"/>
      <c r="Q300" s="1"/>
      <c r="R300" s="1"/>
      <c r="S300" s="1"/>
      <c r="T300" s="1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103"/>
      <c r="C301" s="4"/>
      <c r="D301" s="4"/>
      <c r="E301" s="4"/>
      <c r="F301" s="4"/>
      <c r="G301" s="4"/>
      <c r="H301" s="4"/>
      <c r="I301" s="4"/>
      <c r="J301" s="4"/>
      <c r="K301" s="99"/>
      <c r="L301" s="4"/>
      <c r="M301" s="4"/>
      <c r="N301" s="1"/>
      <c r="O301" s="1"/>
      <c r="P301" s="1"/>
      <c r="Q301" s="1"/>
      <c r="R301" s="1"/>
      <c r="S301" s="1"/>
      <c r="T301" s="1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103"/>
      <c r="C302" s="4"/>
      <c r="D302" s="4"/>
      <c r="E302" s="4"/>
      <c r="F302" s="4"/>
      <c r="G302" s="4"/>
      <c r="H302" s="4"/>
      <c r="I302" s="4"/>
      <c r="J302" s="4"/>
      <c r="K302" s="99"/>
      <c r="L302" s="4"/>
      <c r="M302" s="4"/>
      <c r="N302" s="1"/>
      <c r="O302" s="1"/>
      <c r="P302" s="1"/>
      <c r="Q302" s="1"/>
      <c r="R302" s="1"/>
      <c r="S302" s="1"/>
      <c r="T302" s="1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103"/>
      <c r="C303" s="4"/>
      <c r="D303" s="4"/>
      <c r="E303" s="4"/>
      <c r="F303" s="4"/>
      <c r="G303" s="4"/>
      <c r="H303" s="4"/>
      <c r="I303" s="4"/>
      <c r="J303" s="4"/>
      <c r="K303" s="99"/>
      <c r="L303" s="4"/>
      <c r="M303" s="4"/>
      <c r="N303" s="1"/>
      <c r="O303" s="1"/>
      <c r="P303" s="1"/>
      <c r="Q303" s="1"/>
      <c r="R303" s="1"/>
      <c r="S303" s="1"/>
      <c r="T303" s="1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103"/>
      <c r="C304" s="4"/>
      <c r="D304" s="4"/>
      <c r="E304" s="4"/>
      <c r="F304" s="4"/>
      <c r="G304" s="4"/>
      <c r="H304" s="4"/>
      <c r="I304" s="4"/>
      <c r="J304" s="4"/>
      <c r="K304" s="99"/>
      <c r="L304" s="4"/>
      <c r="M304" s="4"/>
      <c r="N304" s="1"/>
      <c r="O304" s="1"/>
      <c r="P304" s="1"/>
      <c r="Q304" s="1"/>
      <c r="R304" s="1"/>
      <c r="S304" s="1"/>
      <c r="T304" s="1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103"/>
      <c r="C305" s="4"/>
      <c r="D305" s="4"/>
      <c r="E305" s="4"/>
      <c r="F305" s="4"/>
      <c r="G305" s="4"/>
      <c r="H305" s="4"/>
      <c r="I305" s="4"/>
      <c r="J305" s="4"/>
      <c r="K305" s="99"/>
      <c r="L305" s="4"/>
      <c r="M305" s="4"/>
      <c r="N305" s="1"/>
      <c r="O305" s="1"/>
      <c r="P305" s="1"/>
      <c r="Q305" s="1"/>
      <c r="R305" s="1"/>
      <c r="S305" s="1"/>
      <c r="T305" s="1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103"/>
      <c r="C306" s="4"/>
      <c r="D306" s="4"/>
      <c r="E306" s="4"/>
      <c r="F306" s="4"/>
      <c r="G306" s="4"/>
      <c r="H306" s="4"/>
      <c r="I306" s="4"/>
      <c r="J306" s="4"/>
      <c r="K306" s="99"/>
      <c r="L306" s="4"/>
      <c r="M306" s="4"/>
      <c r="N306" s="1"/>
      <c r="O306" s="1"/>
      <c r="P306" s="1"/>
      <c r="Q306" s="1"/>
      <c r="R306" s="1"/>
      <c r="S306" s="1"/>
      <c r="T306" s="1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103"/>
      <c r="C307" s="4"/>
      <c r="D307" s="4"/>
      <c r="E307" s="4"/>
      <c r="F307" s="4"/>
      <c r="G307" s="4"/>
      <c r="H307" s="4"/>
      <c r="I307" s="4"/>
      <c r="J307" s="4"/>
      <c r="K307" s="99"/>
      <c r="L307" s="4"/>
      <c r="M307" s="4"/>
      <c r="N307" s="1"/>
      <c r="O307" s="1"/>
      <c r="P307" s="1"/>
      <c r="Q307" s="1"/>
      <c r="R307" s="1"/>
      <c r="S307" s="1"/>
      <c r="T307" s="1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103"/>
      <c r="C308" s="4"/>
      <c r="D308" s="4"/>
      <c r="E308" s="4"/>
      <c r="F308" s="4"/>
      <c r="G308" s="4"/>
      <c r="H308" s="4"/>
      <c r="I308" s="4"/>
      <c r="J308" s="4"/>
      <c r="K308" s="99"/>
      <c r="L308" s="4"/>
      <c r="M308" s="4"/>
      <c r="N308" s="1"/>
      <c r="O308" s="1"/>
      <c r="P308" s="1"/>
      <c r="Q308" s="1"/>
      <c r="R308" s="1"/>
      <c r="S308" s="1"/>
      <c r="T308" s="1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103"/>
      <c r="C309" s="4"/>
      <c r="D309" s="4"/>
      <c r="E309" s="4"/>
      <c r="F309" s="4"/>
      <c r="G309" s="4"/>
      <c r="H309" s="4"/>
      <c r="I309" s="4"/>
      <c r="J309" s="4"/>
      <c r="K309" s="99"/>
      <c r="L309" s="4"/>
      <c r="M309" s="4"/>
      <c r="N309" s="1"/>
      <c r="O309" s="1"/>
      <c r="P309" s="1"/>
      <c r="Q309" s="1"/>
      <c r="R309" s="1"/>
      <c r="S309" s="1"/>
      <c r="T309" s="1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103"/>
      <c r="C310" s="4"/>
      <c r="D310" s="4"/>
      <c r="E310" s="4"/>
      <c r="F310" s="4"/>
      <c r="G310" s="4"/>
      <c r="H310" s="4"/>
      <c r="I310" s="4"/>
      <c r="J310" s="4"/>
      <c r="K310" s="99"/>
      <c r="L310" s="4"/>
      <c r="M310" s="4"/>
      <c r="N310" s="1"/>
      <c r="O310" s="1"/>
      <c r="P310" s="1"/>
      <c r="Q310" s="1"/>
      <c r="R310" s="1"/>
      <c r="S310" s="1"/>
      <c r="T310" s="1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103"/>
      <c r="C311" s="4"/>
      <c r="D311" s="4"/>
      <c r="E311" s="4"/>
      <c r="F311" s="4"/>
      <c r="G311" s="4"/>
      <c r="H311" s="4"/>
      <c r="I311" s="4"/>
      <c r="J311" s="4"/>
      <c r="K311" s="99"/>
      <c r="L311" s="4"/>
      <c r="M311" s="4"/>
      <c r="N311" s="1"/>
      <c r="O311" s="1"/>
      <c r="P311" s="1"/>
      <c r="Q311" s="1"/>
      <c r="R311" s="1"/>
      <c r="S311" s="1"/>
      <c r="T311" s="1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103"/>
      <c r="C312" s="4"/>
      <c r="D312" s="4"/>
      <c r="E312" s="4"/>
      <c r="F312" s="4"/>
      <c r="G312" s="4"/>
      <c r="H312" s="4"/>
      <c r="I312" s="4"/>
      <c r="J312" s="4"/>
      <c r="K312" s="99"/>
      <c r="L312" s="4"/>
      <c r="M312" s="4"/>
      <c r="N312" s="1"/>
      <c r="O312" s="1"/>
      <c r="P312" s="1"/>
      <c r="Q312" s="1"/>
      <c r="R312" s="1"/>
      <c r="S312" s="1"/>
      <c r="T312" s="1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103"/>
      <c r="C313" s="4"/>
      <c r="D313" s="4"/>
      <c r="E313" s="4"/>
      <c r="F313" s="4"/>
      <c r="G313" s="4"/>
      <c r="H313" s="4"/>
      <c r="I313" s="4"/>
      <c r="J313" s="4"/>
      <c r="K313" s="99"/>
      <c r="L313" s="4"/>
      <c r="M313" s="4"/>
      <c r="N313" s="1"/>
      <c r="O313" s="1"/>
      <c r="P313" s="1"/>
      <c r="Q313" s="1"/>
      <c r="R313" s="1"/>
      <c r="S313" s="1"/>
      <c r="T313" s="1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103"/>
      <c r="C314" s="4"/>
      <c r="D314" s="4"/>
      <c r="E314" s="4"/>
      <c r="F314" s="4"/>
      <c r="G314" s="4"/>
      <c r="H314" s="4"/>
      <c r="I314" s="4"/>
      <c r="J314" s="4"/>
      <c r="K314" s="99"/>
      <c r="L314" s="4"/>
      <c r="M314" s="4"/>
      <c r="N314" s="1"/>
      <c r="O314" s="1"/>
      <c r="P314" s="1"/>
      <c r="Q314" s="1"/>
      <c r="R314" s="1"/>
      <c r="S314" s="1"/>
      <c r="T314" s="1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103"/>
      <c r="C315" s="4"/>
      <c r="D315" s="4"/>
      <c r="E315" s="4"/>
      <c r="F315" s="4"/>
      <c r="G315" s="4"/>
      <c r="H315" s="4"/>
      <c r="I315" s="4"/>
      <c r="J315" s="4"/>
      <c r="K315" s="99"/>
      <c r="L315" s="4"/>
      <c r="M315" s="4"/>
      <c r="N315" s="1"/>
      <c r="O315" s="1"/>
      <c r="P315" s="1"/>
      <c r="Q315" s="1"/>
      <c r="R315" s="1"/>
      <c r="S315" s="1"/>
      <c r="T315" s="1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103"/>
      <c r="C316" s="4"/>
      <c r="D316" s="4"/>
      <c r="E316" s="4"/>
      <c r="F316" s="4"/>
      <c r="G316" s="4"/>
      <c r="H316" s="4"/>
      <c r="I316" s="4"/>
      <c r="J316" s="4"/>
      <c r="K316" s="99"/>
      <c r="L316" s="4"/>
      <c r="M316" s="4"/>
      <c r="N316" s="1"/>
      <c r="O316" s="1"/>
      <c r="P316" s="1"/>
      <c r="Q316" s="1"/>
      <c r="R316" s="1"/>
      <c r="S316" s="1"/>
      <c r="T316" s="1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103"/>
      <c r="C317" s="4"/>
      <c r="D317" s="4"/>
      <c r="E317" s="4"/>
      <c r="F317" s="4"/>
      <c r="G317" s="4"/>
      <c r="H317" s="4"/>
      <c r="I317" s="4"/>
      <c r="J317" s="4"/>
      <c r="K317" s="99"/>
      <c r="L317" s="4"/>
      <c r="M317" s="4"/>
      <c r="N317" s="1"/>
      <c r="O317" s="1"/>
      <c r="P317" s="1"/>
      <c r="Q317" s="1"/>
      <c r="R317" s="1"/>
      <c r="S317" s="1"/>
      <c r="T317" s="1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103"/>
      <c r="C318" s="4"/>
      <c r="D318" s="4"/>
      <c r="E318" s="4"/>
      <c r="F318" s="4"/>
      <c r="G318" s="4"/>
      <c r="H318" s="4"/>
      <c r="I318" s="4"/>
      <c r="J318" s="4"/>
      <c r="K318" s="99"/>
      <c r="L318" s="4"/>
      <c r="M318" s="4"/>
      <c r="N318" s="1"/>
      <c r="O318" s="1"/>
      <c r="P318" s="1"/>
      <c r="Q318" s="1"/>
      <c r="R318" s="1"/>
      <c r="S318" s="1"/>
      <c r="T318" s="1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103"/>
      <c r="C319" s="4"/>
      <c r="D319" s="4"/>
      <c r="E319" s="4"/>
      <c r="F319" s="4"/>
      <c r="G319" s="4"/>
      <c r="H319" s="4"/>
      <c r="I319" s="4"/>
      <c r="J319" s="4"/>
      <c r="K319" s="99"/>
      <c r="L319" s="4"/>
      <c r="M319" s="4"/>
      <c r="N319" s="1"/>
      <c r="O319" s="1"/>
      <c r="P319" s="1"/>
      <c r="Q319" s="1"/>
      <c r="R319" s="1"/>
      <c r="S319" s="1"/>
      <c r="T319" s="1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103"/>
      <c r="C320" s="4"/>
      <c r="D320" s="4"/>
      <c r="E320" s="4"/>
      <c r="F320" s="4"/>
      <c r="G320" s="4"/>
      <c r="H320" s="4"/>
      <c r="I320" s="4"/>
      <c r="J320" s="4"/>
      <c r="K320" s="99"/>
      <c r="L320" s="4"/>
      <c r="M320" s="4"/>
      <c r="N320" s="1"/>
      <c r="O320" s="1"/>
      <c r="P320" s="1"/>
      <c r="Q320" s="1"/>
      <c r="R320" s="1"/>
      <c r="S320" s="1"/>
      <c r="T320" s="1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103"/>
      <c r="C321" s="4"/>
      <c r="D321" s="4"/>
      <c r="E321" s="4"/>
      <c r="F321" s="4"/>
      <c r="G321" s="4"/>
      <c r="H321" s="4"/>
      <c r="I321" s="4"/>
      <c r="J321" s="4"/>
      <c r="K321" s="99"/>
      <c r="L321" s="4"/>
      <c r="M321" s="4"/>
      <c r="N321" s="1"/>
      <c r="O321" s="1"/>
      <c r="P321" s="1"/>
      <c r="Q321" s="1"/>
      <c r="R321" s="1"/>
      <c r="S321" s="1"/>
      <c r="T321" s="1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103"/>
      <c r="C322" s="4"/>
      <c r="D322" s="4"/>
      <c r="E322" s="4"/>
      <c r="F322" s="4"/>
      <c r="G322" s="4"/>
      <c r="H322" s="4"/>
      <c r="I322" s="4"/>
      <c r="J322" s="4"/>
      <c r="K322" s="99"/>
      <c r="L322" s="4"/>
      <c r="M322" s="4"/>
      <c r="N322" s="1"/>
      <c r="O322" s="1"/>
      <c r="P322" s="1"/>
      <c r="Q322" s="1"/>
      <c r="R322" s="1"/>
      <c r="S322" s="1"/>
      <c r="T322" s="1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103"/>
      <c r="C323" s="4"/>
      <c r="D323" s="4"/>
      <c r="E323" s="4"/>
      <c r="F323" s="4"/>
      <c r="G323" s="4"/>
      <c r="H323" s="4"/>
      <c r="I323" s="4"/>
      <c r="J323" s="4"/>
      <c r="K323" s="99"/>
      <c r="L323" s="4"/>
      <c r="M323" s="4"/>
      <c r="N323" s="1"/>
      <c r="O323" s="1"/>
      <c r="P323" s="1"/>
      <c r="Q323" s="1"/>
      <c r="R323" s="1"/>
      <c r="S323" s="1"/>
      <c r="T323" s="1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103"/>
      <c r="C324" s="4"/>
      <c r="D324" s="4"/>
      <c r="E324" s="4"/>
      <c r="F324" s="4"/>
      <c r="G324" s="4"/>
      <c r="H324" s="4"/>
      <c r="I324" s="4"/>
      <c r="J324" s="4"/>
      <c r="K324" s="99"/>
      <c r="L324" s="4"/>
      <c r="M324" s="4"/>
      <c r="N324" s="1"/>
      <c r="O324" s="1"/>
      <c r="P324" s="1"/>
      <c r="Q324" s="1"/>
      <c r="R324" s="1"/>
      <c r="S324" s="1"/>
      <c r="T324" s="1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103"/>
      <c r="C325" s="4"/>
      <c r="D325" s="4"/>
      <c r="E325" s="4"/>
      <c r="F325" s="4"/>
      <c r="G325" s="4"/>
      <c r="H325" s="4"/>
      <c r="I325" s="4"/>
      <c r="J325" s="4"/>
      <c r="K325" s="99"/>
      <c r="L325" s="4"/>
      <c r="M325" s="4"/>
      <c r="N325" s="1"/>
      <c r="O325" s="1"/>
      <c r="P325" s="1"/>
      <c r="Q325" s="1"/>
      <c r="R325" s="1"/>
      <c r="S325" s="1"/>
      <c r="T325" s="1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103"/>
      <c r="C326" s="4"/>
      <c r="D326" s="4"/>
      <c r="E326" s="4"/>
      <c r="F326" s="4"/>
      <c r="G326" s="4"/>
      <c r="H326" s="4"/>
      <c r="I326" s="4"/>
      <c r="J326" s="4"/>
      <c r="K326" s="99"/>
      <c r="L326" s="4"/>
      <c r="M326" s="4"/>
      <c r="N326" s="1"/>
      <c r="O326" s="1"/>
      <c r="P326" s="1"/>
      <c r="Q326" s="1"/>
      <c r="R326" s="1"/>
      <c r="S326" s="1"/>
      <c r="T326" s="1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103"/>
      <c r="C327" s="4"/>
      <c r="D327" s="4"/>
      <c r="E327" s="4"/>
      <c r="F327" s="4"/>
      <c r="G327" s="4"/>
      <c r="H327" s="4"/>
      <c r="I327" s="4"/>
      <c r="J327" s="4"/>
      <c r="K327" s="99"/>
      <c r="L327" s="4"/>
      <c r="M327" s="4"/>
      <c r="N327" s="1"/>
      <c r="O327" s="1"/>
      <c r="P327" s="1"/>
      <c r="Q327" s="1"/>
      <c r="R327" s="1"/>
      <c r="S327" s="1"/>
      <c r="T327" s="1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103"/>
      <c r="C328" s="4"/>
      <c r="D328" s="4"/>
      <c r="E328" s="4"/>
      <c r="F328" s="4"/>
      <c r="G328" s="4"/>
      <c r="H328" s="4"/>
      <c r="I328" s="4"/>
      <c r="J328" s="4"/>
      <c r="K328" s="99"/>
      <c r="L328" s="4"/>
      <c r="M328" s="4"/>
      <c r="N328" s="1"/>
      <c r="O328" s="1"/>
      <c r="P328" s="1"/>
      <c r="Q328" s="1"/>
      <c r="R328" s="1"/>
      <c r="S328" s="1"/>
      <c r="T328" s="1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103"/>
      <c r="C329" s="4"/>
      <c r="D329" s="4"/>
      <c r="E329" s="4"/>
      <c r="F329" s="4"/>
      <c r="G329" s="4"/>
      <c r="H329" s="4"/>
      <c r="I329" s="4"/>
      <c r="J329" s="4"/>
      <c r="K329" s="99"/>
      <c r="L329" s="4"/>
      <c r="M329" s="4"/>
      <c r="N329" s="1"/>
      <c r="O329" s="1"/>
      <c r="P329" s="1"/>
      <c r="Q329" s="1"/>
      <c r="R329" s="1"/>
      <c r="S329" s="1"/>
      <c r="T329" s="1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103"/>
      <c r="C330" s="4"/>
      <c r="D330" s="4"/>
      <c r="E330" s="4"/>
      <c r="F330" s="4"/>
      <c r="G330" s="4"/>
      <c r="H330" s="4"/>
      <c r="I330" s="4"/>
      <c r="J330" s="4"/>
      <c r="K330" s="99"/>
      <c r="L330" s="4"/>
      <c r="M330" s="4"/>
      <c r="N330" s="1"/>
      <c r="O330" s="1"/>
      <c r="P330" s="1"/>
      <c r="Q330" s="1"/>
      <c r="R330" s="1"/>
      <c r="S330" s="1"/>
      <c r="T330" s="1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103"/>
      <c r="C331" s="4"/>
      <c r="D331" s="4"/>
      <c r="E331" s="4"/>
      <c r="F331" s="4"/>
      <c r="G331" s="4"/>
      <c r="H331" s="4"/>
      <c r="I331" s="4"/>
      <c r="J331" s="4"/>
      <c r="K331" s="99"/>
      <c r="L331" s="4"/>
      <c r="M331" s="4"/>
      <c r="N331" s="1"/>
      <c r="O331" s="1"/>
      <c r="P331" s="1"/>
      <c r="Q331" s="1"/>
      <c r="R331" s="1"/>
      <c r="S331" s="1"/>
      <c r="T331" s="1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103"/>
      <c r="C332" s="4"/>
      <c r="D332" s="4"/>
      <c r="E332" s="4"/>
      <c r="F332" s="4"/>
      <c r="G332" s="4"/>
      <c r="H332" s="4"/>
      <c r="I332" s="4"/>
      <c r="J332" s="4"/>
      <c r="K332" s="99"/>
      <c r="L332" s="4"/>
      <c r="M332" s="4"/>
      <c r="N332" s="1"/>
      <c r="O332" s="1"/>
      <c r="P332" s="1"/>
      <c r="Q332" s="1"/>
      <c r="R332" s="1"/>
      <c r="S332" s="1"/>
      <c r="T332" s="1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103"/>
      <c r="C333" s="4"/>
      <c r="D333" s="4"/>
      <c r="E333" s="4"/>
      <c r="F333" s="4"/>
      <c r="G333" s="4"/>
      <c r="H333" s="4"/>
      <c r="I333" s="4"/>
      <c r="J333" s="4"/>
      <c r="K333" s="99"/>
      <c r="L333" s="4"/>
      <c r="M333" s="4"/>
      <c r="N333" s="1"/>
      <c r="O333" s="1"/>
      <c r="P333" s="1"/>
      <c r="Q333" s="1"/>
      <c r="R333" s="1"/>
      <c r="S333" s="1"/>
      <c r="T333" s="1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103"/>
      <c r="C334" s="4"/>
      <c r="D334" s="4"/>
      <c r="E334" s="4"/>
      <c r="F334" s="4"/>
      <c r="G334" s="4"/>
      <c r="H334" s="4"/>
      <c r="I334" s="4"/>
      <c r="J334" s="4"/>
      <c r="K334" s="99"/>
      <c r="L334" s="4"/>
      <c r="M334" s="4"/>
      <c r="N334" s="1"/>
      <c r="O334" s="1"/>
      <c r="P334" s="1"/>
      <c r="Q334" s="1"/>
      <c r="R334" s="1"/>
      <c r="S334" s="1"/>
      <c r="T334" s="1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103"/>
      <c r="C335" s="4"/>
      <c r="D335" s="4"/>
      <c r="E335" s="4"/>
      <c r="F335" s="4"/>
      <c r="G335" s="4"/>
      <c r="H335" s="4"/>
      <c r="I335" s="4"/>
      <c r="J335" s="4"/>
      <c r="K335" s="99"/>
      <c r="L335" s="4"/>
      <c r="M335" s="4"/>
      <c r="N335" s="1"/>
      <c r="O335" s="1"/>
      <c r="P335" s="1"/>
      <c r="Q335" s="1"/>
      <c r="R335" s="1"/>
      <c r="S335" s="1"/>
      <c r="T335" s="1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103"/>
      <c r="C336" s="4"/>
      <c r="D336" s="4"/>
      <c r="E336" s="4"/>
      <c r="F336" s="4"/>
      <c r="G336" s="4"/>
      <c r="H336" s="4"/>
      <c r="I336" s="4"/>
      <c r="J336" s="4"/>
      <c r="K336" s="99"/>
      <c r="L336" s="4"/>
      <c r="M336" s="4"/>
      <c r="N336" s="1"/>
      <c r="O336" s="1"/>
      <c r="P336" s="1"/>
      <c r="Q336" s="1"/>
      <c r="R336" s="1"/>
      <c r="S336" s="1"/>
      <c r="T336" s="1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103"/>
      <c r="C337" s="4"/>
      <c r="D337" s="4"/>
      <c r="E337" s="4"/>
      <c r="F337" s="4"/>
      <c r="G337" s="4"/>
      <c r="H337" s="4"/>
      <c r="I337" s="4"/>
      <c r="J337" s="4"/>
      <c r="K337" s="99"/>
      <c r="L337" s="4"/>
      <c r="M337" s="4"/>
      <c r="N337" s="1"/>
      <c r="O337" s="1"/>
      <c r="P337" s="1"/>
      <c r="Q337" s="1"/>
      <c r="R337" s="1"/>
      <c r="S337" s="1"/>
      <c r="T337" s="1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103"/>
      <c r="C338" s="4"/>
      <c r="D338" s="4"/>
      <c r="E338" s="4"/>
      <c r="F338" s="4"/>
      <c r="G338" s="4"/>
      <c r="H338" s="4"/>
      <c r="I338" s="4"/>
      <c r="J338" s="4"/>
      <c r="K338" s="99"/>
      <c r="L338" s="4"/>
      <c r="M338" s="4"/>
      <c r="N338" s="1"/>
      <c r="O338" s="1"/>
      <c r="P338" s="1"/>
      <c r="Q338" s="1"/>
      <c r="R338" s="1"/>
      <c r="S338" s="1"/>
      <c r="T338" s="1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103"/>
      <c r="C339" s="4"/>
      <c r="D339" s="4"/>
      <c r="E339" s="4"/>
      <c r="F339" s="4"/>
      <c r="G339" s="4"/>
      <c r="H339" s="4"/>
      <c r="I339" s="4"/>
      <c r="J339" s="4"/>
      <c r="K339" s="99"/>
      <c r="L339" s="4"/>
      <c r="M339" s="4"/>
      <c r="N339" s="1"/>
      <c r="O339" s="1"/>
      <c r="P339" s="1"/>
      <c r="Q339" s="1"/>
      <c r="R339" s="1"/>
      <c r="S339" s="1"/>
      <c r="T339" s="1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103"/>
      <c r="C340" s="4"/>
      <c r="D340" s="4"/>
      <c r="E340" s="4"/>
      <c r="F340" s="4"/>
      <c r="G340" s="4"/>
      <c r="H340" s="4"/>
      <c r="I340" s="4"/>
      <c r="J340" s="4"/>
      <c r="K340" s="99"/>
      <c r="L340" s="4"/>
      <c r="M340" s="4"/>
      <c r="N340" s="1"/>
      <c r="O340" s="1"/>
      <c r="P340" s="1"/>
      <c r="Q340" s="1"/>
      <c r="R340" s="1"/>
      <c r="S340" s="1"/>
      <c r="T340" s="1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103"/>
      <c r="C341" s="4"/>
      <c r="D341" s="4"/>
      <c r="E341" s="4"/>
      <c r="F341" s="4"/>
      <c r="G341" s="4"/>
      <c r="H341" s="4"/>
      <c r="I341" s="4"/>
      <c r="J341" s="4"/>
      <c r="K341" s="99"/>
      <c r="L341" s="4"/>
      <c r="M341" s="4"/>
      <c r="N341" s="1"/>
      <c r="O341" s="1"/>
      <c r="P341" s="1"/>
      <c r="Q341" s="1"/>
      <c r="R341" s="1"/>
      <c r="S341" s="1"/>
      <c r="T341" s="1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103"/>
      <c r="C342" s="4"/>
      <c r="D342" s="4"/>
      <c r="E342" s="4"/>
      <c r="F342" s="4"/>
      <c r="G342" s="4"/>
      <c r="H342" s="4"/>
      <c r="I342" s="4"/>
      <c r="J342" s="4"/>
      <c r="K342" s="99"/>
      <c r="L342" s="4"/>
      <c r="M342" s="4"/>
      <c r="N342" s="1"/>
      <c r="O342" s="1"/>
      <c r="P342" s="1"/>
      <c r="Q342" s="1"/>
      <c r="R342" s="1"/>
      <c r="S342" s="1"/>
      <c r="T342" s="1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103"/>
      <c r="C343" s="4"/>
      <c r="D343" s="4"/>
      <c r="E343" s="4"/>
      <c r="F343" s="4"/>
      <c r="G343" s="4"/>
      <c r="H343" s="4"/>
      <c r="I343" s="4"/>
      <c r="J343" s="4"/>
      <c r="K343" s="99"/>
      <c r="L343" s="4"/>
      <c r="M343" s="4"/>
      <c r="N343" s="1"/>
      <c r="O343" s="1"/>
      <c r="P343" s="1"/>
      <c r="Q343" s="1"/>
      <c r="R343" s="1"/>
      <c r="S343" s="1"/>
      <c r="T343" s="1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103"/>
      <c r="C344" s="4"/>
      <c r="D344" s="4"/>
      <c r="E344" s="4"/>
      <c r="F344" s="4"/>
      <c r="G344" s="4"/>
      <c r="H344" s="4"/>
      <c r="I344" s="4"/>
      <c r="J344" s="4"/>
      <c r="K344" s="99"/>
      <c r="L344" s="4"/>
      <c r="M344" s="4"/>
      <c r="N344" s="1"/>
      <c r="O344" s="1"/>
      <c r="P344" s="1"/>
      <c r="Q344" s="1"/>
      <c r="R344" s="1"/>
      <c r="S344" s="1"/>
      <c r="T344" s="1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103"/>
      <c r="C345" s="4"/>
      <c r="D345" s="4"/>
      <c r="E345" s="4"/>
      <c r="F345" s="4"/>
      <c r="G345" s="4"/>
      <c r="H345" s="4"/>
      <c r="I345" s="4"/>
      <c r="J345" s="4"/>
      <c r="K345" s="99"/>
      <c r="L345" s="4"/>
      <c r="M345" s="4"/>
      <c r="N345" s="1"/>
      <c r="O345" s="1"/>
      <c r="P345" s="1"/>
      <c r="Q345" s="1"/>
      <c r="R345" s="1"/>
      <c r="S345" s="1"/>
      <c r="T345" s="1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103"/>
      <c r="C346" s="4"/>
      <c r="D346" s="4"/>
      <c r="E346" s="4"/>
      <c r="F346" s="4"/>
      <c r="G346" s="4"/>
      <c r="H346" s="4"/>
      <c r="I346" s="4"/>
      <c r="J346" s="4"/>
      <c r="K346" s="99"/>
      <c r="L346" s="4"/>
      <c r="M346" s="4"/>
      <c r="N346" s="1"/>
      <c r="O346" s="1"/>
      <c r="P346" s="1"/>
      <c r="Q346" s="1"/>
      <c r="R346" s="1"/>
      <c r="S346" s="1"/>
      <c r="T346" s="1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103"/>
      <c r="C347" s="4"/>
      <c r="D347" s="4"/>
      <c r="E347" s="4"/>
      <c r="F347" s="4"/>
      <c r="G347" s="4"/>
      <c r="H347" s="4"/>
      <c r="I347" s="4"/>
      <c r="J347" s="4"/>
      <c r="K347" s="99"/>
      <c r="L347" s="4"/>
      <c r="M347" s="4"/>
      <c r="N347" s="1"/>
      <c r="O347" s="1"/>
      <c r="P347" s="1"/>
      <c r="Q347" s="1"/>
      <c r="R347" s="1"/>
      <c r="S347" s="1"/>
      <c r="T347" s="1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103"/>
      <c r="C348" s="4"/>
      <c r="D348" s="4"/>
      <c r="E348" s="4"/>
      <c r="F348" s="4"/>
      <c r="G348" s="4"/>
      <c r="H348" s="4"/>
      <c r="I348" s="4"/>
      <c r="J348" s="4"/>
      <c r="K348" s="99"/>
      <c r="L348" s="4"/>
      <c r="M348" s="4"/>
      <c r="N348" s="1"/>
      <c r="O348" s="1"/>
      <c r="P348" s="1"/>
      <c r="Q348" s="1"/>
      <c r="R348" s="1"/>
      <c r="S348" s="1"/>
      <c r="T348" s="1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103"/>
      <c r="C349" s="4"/>
      <c r="D349" s="4"/>
      <c r="E349" s="4"/>
      <c r="F349" s="4"/>
      <c r="G349" s="4"/>
      <c r="H349" s="4"/>
      <c r="I349" s="4"/>
      <c r="J349" s="4"/>
      <c r="K349" s="99"/>
      <c r="L349" s="4"/>
      <c r="M349" s="4"/>
      <c r="N349" s="1"/>
      <c r="O349" s="1"/>
      <c r="P349" s="1"/>
      <c r="Q349" s="1"/>
      <c r="R349" s="1"/>
      <c r="S349" s="1"/>
      <c r="T349" s="1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103"/>
      <c r="C350" s="4"/>
      <c r="D350" s="4"/>
      <c r="E350" s="4"/>
      <c r="F350" s="4"/>
      <c r="G350" s="4"/>
      <c r="H350" s="4"/>
      <c r="I350" s="4"/>
      <c r="J350" s="4"/>
      <c r="K350" s="99"/>
      <c r="L350" s="4"/>
      <c r="M350" s="4"/>
      <c r="N350" s="1"/>
      <c r="O350" s="1"/>
      <c r="P350" s="1"/>
      <c r="Q350" s="1"/>
      <c r="R350" s="1"/>
      <c r="S350" s="1"/>
      <c r="T350" s="1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103"/>
      <c r="C351" s="4"/>
      <c r="D351" s="4"/>
      <c r="E351" s="4"/>
      <c r="F351" s="4"/>
      <c r="G351" s="4"/>
      <c r="H351" s="4"/>
      <c r="I351" s="4"/>
      <c r="J351" s="4"/>
      <c r="K351" s="99"/>
      <c r="L351" s="4"/>
      <c r="M351" s="4"/>
      <c r="N351" s="1"/>
      <c r="O351" s="1"/>
      <c r="P351" s="1"/>
      <c r="Q351" s="1"/>
      <c r="R351" s="1"/>
      <c r="S351" s="1"/>
      <c r="T351" s="1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103"/>
      <c r="C352" s="4"/>
      <c r="D352" s="4"/>
      <c r="E352" s="4"/>
      <c r="F352" s="4"/>
      <c r="G352" s="4"/>
      <c r="H352" s="4"/>
      <c r="I352" s="4"/>
      <c r="J352" s="4"/>
      <c r="K352" s="99"/>
      <c r="L352" s="4"/>
      <c r="M352" s="4"/>
      <c r="N352" s="1"/>
      <c r="O352" s="1"/>
      <c r="P352" s="1"/>
      <c r="Q352" s="1"/>
      <c r="R352" s="1"/>
      <c r="S352" s="1"/>
      <c r="T352" s="1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103"/>
      <c r="C353" s="4"/>
      <c r="D353" s="4"/>
      <c r="E353" s="4"/>
      <c r="F353" s="4"/>
      <c r="G353" s="4"/>
      <c r="H353" s="4"/>
      <c r="I353" s="4"/>
      <c r="J353" s="4"/>
      <c r="K353" s="99"/>
      <c r="L353" s="4"/>
      <c r="M353" s="4"/>
      <c r="N353" s="1"/>
      <c r="O353" s="1"/>
      <c r="P353" s="1"/>
      <c r="Q353" s="1"/>
      <c r="R353" s="1"/>
      <c r="S353" s="1"/>
      <c r="T353" s="1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103"/>
      <c r="C354" s="4"/>
      <c r="D354" s="4"/>
      <c r="E354" s="4"/>
      <c r="F354" s="4"/>
      <c r="G354" s="4"/>
      <c r="H354" s="4"/>
      <c r="I354" s="4"/>
      <c r="J354" s="4"/>
      <c r="K354" s="99"/>
      <c r="L354" s="4"/>
      <c r="M354" s="4"/>
      <c r="N354" s="1"/>
      <c r="O354" s="1"/>
      <c r="P354" s="1"/>
      <c r="Q354" s="1"/>
      <c r="R354" s="1"/>
      <c r="S354" s="1"/>
      <c r="T354" s="1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103"/>
      <c r="C355" s="4"/>
      <c r="D355" s="4"/>
      <c r="E355" s="4"/>
      <c r="F355" s="4"/>
      <c r="G355" s="4"/>
      <c r="H355" s="4"/>
      <c r="I355" s="4"/>
      <c r="J355" s="4"/>
      <c r="K355" s="99"/>
      <c r="L355" s="4"/>
      <c r="M355" s="4"/>
      <c r="N355" s="1"/>
      <c r="O355" s="1"/>
      <c r="P355" s="1"/>
      <c r="Q355" s="1"/>
      <c r="R355" s="1"/>
      <c r="S355" s="1"/>
      <c r="T355" s="1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103"/>
      <c r="C356" s="4"/>
      <c r="D356" s="4"/>
      <c r="E356" s="4"/>
      <c r="F356" s="4"/>
      <c r="G356" s="4"/>
      <c r="H356" s="4"/>
      <c r="I356" s="4"/>
      <c r="J356" s="4"/>
      <c r="K356" s="99"/>
      <c r="L356" s="4"/>
      <c r="M356" s="4"/>
      <c r="N356" s="1"/>
      <c r="O356" s="1"/>
      <c r="P356" s="1"/>
      <c r="Q356" s="1"/>
      <c r="R356" s="1"/>
      <c r="S356" s="1"/>
      <c r="T356" s="1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103"/>
      <c r="C357" s="4"/>
      <c r="D357" s="4"/>
      <c r="E357" s="4"/>
      <c r="F357" s="4"/>
      <c r="G357" s="4"/>
      <c r="H357" s="4"/>
      <c r="I357" s="4"/>
      <c r="J357" s="4"/>
      <c r="K357" s="99"/>
      <c r="L357" s="4"/>
      <c r="M357" s="4"/>
      <c r="N357" s="1"/>
      <c r="O357" s="1"/>
      <c r="P357" s="1"/>
      <c r="Q357" s="1"/>
      <c r="R357" s="1"/>
      <c r="S357" s="1"/>
      <c r="T357" s="1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103"/>
      <c r="C358" s="4"/>
      <c r="D358" s="4"/>
      <c r="E358" s="4"/>
      <c r="F358" s="4"/>
      <c r="G358" s="4"/>
      <c r="H358" s="4"/>
      <c r="I358" s="4"/>
      <c r="J358" s="4"/>
      <c r="K358" s="99"/>
      <c r="L358" s="4"/>
      <c r="M358" s="4"/>
      <c r="N358" s="1"/>
      <c r="O358" s="1"/>
      <c r="P358" s="1"/>
      <c r="Q358" s="1"/>
      <c r="R358" s="1"/>
      <c r="S358" s="1"/>
      <c r="T358" s="1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103"/>
      <c r="C359" s="4"/>
      <c r="D359" s="4"/>
      <c r="E359" s="4"/>
      <c r="F359" s="4"/>
      <c r="G359" s="4"/>
      <c r="H359" s="4"/>
      <c r="I359" s="4"/>
      <c r="J359" s="4"/>
      <c r="K359" s="99"/>
      <c r="L359" s="4"/>
      <c r="M359" s="4"/>
      <c r="N359" s="1"/>
      <c r="O359" s="1"/>
      <c r="P359" s="1"/>
      <c r="Q359" s="1"/>
      <c r="R359" s="1"/>
      <c r="S359" s="1"/>
      <c r="T359" s="1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103"/>
      <c r="C360" s="4"/>
      <c r="D360" s="4"/>
      <c r="E360" s="4"/>
      <c r="F360" s="4"/>
      <c r="G360" s="4"/>
      <c r="H360" s="4"/>
      <c r="I360" s="4"/>
      <c r="J360" s="4"/>
      <c r="K360" s="99"/>
      <c r="L360" s="4"/>
      <c r="M360" s="4"/>
      <c r="N360" s="1"/>
      <c r="O360" s="1"/>
      <c r="P360" s="1"/>
      <c r="Q360" s="1"/>
      <c r="R360" s="1"/>
      <c r="S360" s="1"/>
      <c r="T360" s="1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103"/>
      <c r="C361" s="4"/>
      <c r="D361" s="4"/>
      <c r="E361" s="4"/>
      <c r="F361" s="4"/>
      <c r="G361" s="4"/>
      <c r="H361" s="4"/>
      <c r="I361" s="4"/>
      <c r="J361" s="4"/>
      <c r="K361" s="99"/>
      <c r="L361" s="4"/>
      <c r="M361" s="4"/>
      <c r="N361" s="1"/>
      <c r="O361" s="1"/>
      <c r="P361" s="1"/>
      <c r="Q361" s="1"/>
      <c r="R361" s="1"/>
      <c r="S361" s="1"/>
      <c r="T361" s="1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103"/>
      <c r="C362" s="4"/>
      <c r="D362" s="4"/>
      <c r="E362" s="4"/>
      <c r="F362" s="4"/>
      <c r="G362" s="4"/>
      <c r="H362" s="4"/>
      <c r="I362" s="4"/>
      <c r="J362" s="4"/>
      <c r="K362" s="99"/>
      <c r="L362" s="4"/>
      <c r="M362" s="4"/>
      <c r="N362" s="1"/>
      <c r="O362" s="1"/>
      <c r="P362" s="1"/>
      <c r="Q362" s="1"/>
      <c r="R362" s="1"/>
      <c r="S362" s="1"/>
      <c r="T362" s="1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103"/>
      <c r="C363" s="4"/>
      <c r="D363" s="4"/>
      <c r="E363" s="4"/>
      <c r="F363" s="4"/>
      <c r="G363" s="4"/>
      <c r="H363" s="4"/>
      <c r="I363" s="4"/>
      <c r="J363" s="4"/>
      <c r="K363" s="99"/>
      <c r="L363" s="4"/>
      <c r="M363" s="4"/>
      <c r="N363" s="1"/>
      <c r="O363" s="1"/>
      <c r="P363" s="1"/>
      <c r="Q363" s="1"/>
      <c r="R363" s="1"/>
      <c r="S363" s="1"/>
      <c r="T363" s="1"/>
      <c r="U363" s="4"/>
      <c r="V363" s="4"/>
      <c r="W363" s="4"/>
      <c r="X363" s="4"/>
      <c r="Y363" s="4"/>
      <c r="Z363" s="4"/>
      <c r="AA363" s="4"/>
    </row>
    <row r="364" spans="1:27" ht="15.75" customHeight="1">
      <c r="A364" s="110"/>
      <c r="B364" s="427"/>
      <c r="C364" s="110"/>
      <c r="D364" s="110"/>
      <c r="E364" s="110"/>
      <c r="F364" s="110"/>
      <c r="G364" s="110"/>
      <c r="H364" s="110"/>
      <c r="I364" s="4"/>
      <c r="J364" s="110"/>
      <c r="K364" s="344"/>
      <c r="L364" s="110"/>
      <c r="M364" s="110"/>
      <c r="N364" s="329"/>
      <c r="O364" s="329"/>
      <c r="P364" s="329"/>
      <c r="Q364" s="329"/>
      <c r="R364" s="329"/>
      <c r="S364" s="329"/>
      <c r="T364" s="329"/>
      <c r="U364" s="110"/>
      <c r="V364" s="110"/>
      <c r="W364" s="110"/>
      <c r="X364" s="110"/>
      <c r="Y364" s="110"/>
      <c r="Z364" s="110"/>
      <c r="AA364" s="110"/>
    </row>
    <row r="365" spans="1:27" ht="15.75" customHeight="1">
      <c r="A365" s="110"/>
      <c r="B365" s="427"/>
      <c r="C365" s="110"/>
      <c r="D365" s="110"/>
      <c r="E365" s="110"/>
      <c r="F365" s="110"/>
      <c r="G365" s="110"/>
      <c r="H365" s="110"/>
      <c r="I365" s="4"/>
      <c r="J365" s="110"/>
      <c r="K365" s="344"/>
      <c r="L365" s="110"/>
      <c r="M365" s="110"/>
      <c r="N365" s="329"/>
      <c r="O365" s="329"/>
      <c r="P365" s="329"/>
      <c r="Q365" s="329"/>
      <c r="R365" s="329"/>
      <c r="S365" s="329"/>
      <c r="T365" s="329"/>
      <c r="U365" s="110"/>
      <c r="V365" s="110"/>
      <c r="W365" s="110"/>
      <c r="X365" s="110"/>
      <c r="Y365" s="110"/>
      <c r="Z365" s="110"/>
      <c r="AA365" s="110"/>
    </row>
    <row r="366" spans="1:27" ht="15.75" customHeight="1">
      <c r="A366" s="110"/>
      <c r="B366" s="427"/>
      <c r="C366" s="110"/>
      <c r="D366" s="110"/>
      <c r="E366" s="110"/>
      <c r="F366" s="110"/>
      <c r="G366" s="110"/>
      <c r="H366" s="110"/>
      <c r="I366" s="4"/>
      <c r="J366" s="110"/>
      <c r="K366" s="344"/>
      <c r="L366" s="110"/>
      <c r="M366" s="110"/>
      <c r="N366" s="329"/>
      <c r="O366" s="329"/>
      <c r="P366" s="329"/>
      <c r="Q366" s="329"/>
      <c r="R366" s="329"/>
      <c r="S366" s="329"/>
      <c r="T366" s="329"/>
      <c r="U366" s="110"/>
      <c r="V366" s="110"/>
      <c r="W366" s="110"/>
      <c r="X366" s="110"/>
      <c r="Y366" s="110"/>
      <c r="Z366" s="110"/>
      <c r="AA366" s="110"/>
    </row>
    <row r="367" spans="1:27" ht="15.75" customHeight="1">
      <c r="A367" s="110"/>
      <c r="B367" s="427"/>
      <c r="C367" s="110"/>
      <c r="D367" s="110"/>
      <c r="E367" s="110"/>
      <c r="F367" s="110"/>
      <c r="G367" s="110"/>
      <c r="H367" s="110"/>
      <c r="I367" s="4"/>
      <c r="J367" s="110"/>
      <c r="K367" s="344"/>
      <c r="L367" s="110"/>
      <c r="M367" s="110"/>
      <c r="N367" s="329"/>
      <c r="O367" s="329"/>
      <c r="P367" s="329"/>
      <c r="Q367" s="329"/>
      <c r="R367" s="329"/>
      <c r="S367" s="329"/>
      <c r="T367" s="329"/>
      <c r="U367" s="110"/>
      <c r="V367" s="110"/>
      <c r="W367" s="110"/>
      <c r="X367" s="110"/>
      <c r="Y367" s="110"/>
      <c r="Z367" s="110"/>
      <c r="AA367" s="110"/>
    </row>
    <row r="368" spans="1:27" ht="15.75" customHeight="1">
      <c r="A368" s="110"/>
      <c r="B368" s="427"/>
      <c r="C368" s="110"/>
      <c r="D368" s="110"/>
      <c r="E368" s="110"/>
      <c r="F368" s="110"/>
      <c r="G368" s="110"/>
      <c r="H368" s="110"/>
      <c r="I368" s="4"/>
      <c r="J368" s="110"/>
      <c r="K368" s="344"/>
      <c r="L368" s="110"/>
      <c r="M368" s="110"/>
      <c r="N368" s="329"/>
      <c r="O368" s="329"/>
      <c r="P368" s="329"/>
      <c r="Q368" s="329"/>
      <c r="R368" s="329"/>
      <c r="S368" s="329"/>
      <c r="T368" s="329"/>
      <c r="U368" s="110"/>
      <c r="V368" s="110"/>
      <c r="W368" s="110"/>
      <c r="X368" s="110"/>
      <c r="Y368" s="110"/>
      <c r="Z368" s="110"/>
      <c r="AA368" s="110"/>
    </row>
    <row r="369" spans="1:27" ht="15.75" customHeight="1">
      <c r="A369" s="110"/>
      <c r="B369" s="427"/>
      <c r="C369" s="110"/>
      <c r="D369" s="110"/>
      <c r="E369" s="110"/>
      <c r="F369" s="110"/>
      <c r="G369" s="110"/>
      <c r="H369" s="110"/>
      <c r="I369" s="4"/>
      <c r="J369" s="110"/>
      <c r="K369" s="344"/>
      <c r="L369" s="110"/>
      <c r="M369" s="110"/>
      <c r="N369" s="329"/>
      <c r="O369" s="329"/>
      <c r="P369" s="329"/>
      <c r="Q369" s="329"/>
      <c r="R369" s="329"/>
      <c r="S369" s="329"/>
      <c r="T369" s="329"/>
      <c r="U369" s="110"/>
      <c r="V369" s="110"/>
      <c r="W369" s="110"/>
      <c r="X369" s="110"/>
      <c r="Y369" s="110"/>
      <c r="Z369" s="110"/>
      <c r="AA369" s="110"/>
    </row>
    <row r="370" spans="1:27" ht="15.75" customHeight="1">
      <c r="A370" s="110"/>
      <c r="B370" s="427"/>
      <c r="C370" s="110"/>
      <c r="D370" s="110"/>
      <c r="E370" s="110"/>
      <c r="F370" s="110"/>
      <c r="G370" s="110"/>
      <c r="H370" s="110"/>
      <c r="I370" s="4"/>
      <c r="J370" s="110"/>
      <c r="K370" s="344"/>
      <c r="L370" s="110"/>
      <c r="M370" s="110"/>
      <c r="N370" s="329"/>
      <c r="O370" s="329"/>
      <c r="P370" s="329"/>
      <c r="Q370" s="329"/>
      <c r="R370" s="329"/>
      <c r="S370" s="329"/>
      <c r="T370" s="329"/>
      <c r="U370" s="110"/>
      <c r="V370" s="110"/>
      <c r="W370" s="110"/>
      <c r="X370" s="110"/>
      <c r="Y370" s="110"/>
      <c r="Z370" s="110"/>
      <c r="AA370" s="110"/>
    </row>
    <row r="371" spans="1:27" ht="15.75" customHeight="1">
      <c r="A371" s="110"/>
      <c r="B371" s="427"/>
      <c r="C371" s="110"/>
      <c r="D371" s="110"/>
      <c r="E371" s="110"/>
      <c r="F371" s="110"/>
      <c r="G371" s="110"/>
      <c r="H371" s="110"/>
      <c r="I371" s="4"/>
      <c r="J371" s="110"/>
      <c r="K371" s="344"/>
      <c r="L371" s="110"/>
      <c r="M371" s="110"/>
      <c r="N371" s="329"/>
      <c r="O371" s="329"/>
      <c r="P371" s="329"/>
      <c r="Q371" s="329"/>
      <c r="R371" s="329"/>
      <c r="S371" s="329"/>
      <c r="T371" s="329"/>
      <c r="U371" s="110"/>
      <c r="V371" s="110"/>
      <c r="W371" s="110"/>
      <c r="X371" s="110"/>
      <c r="Y371" s="110"/>
      <c r="Z371" s="110"/>
      <c r="AA371" s="110"/>
    </row>
    <row r="372" spans="1:27" ht="15.75" customHeight="1">
      <c r="A372" s="110"/>
      <c r="B372" s="427"/>
      <c r="C372" s="110"/>
      <c r="D372" s="110"/>
      <c r="E372" s="110"/>
      <c r="F372" s="110"/>
      <c r="G372" s="110"/>
      <c r="H372" s="110"/>
      <c r="I372" s="4"/>
      <c r="J372" s="110"/>
      <c r="K372" s="344"/>
      <c r="L372" s="110"/>
      <c r="M372" s="110"/>
      <c r="N372" s="329"/>
      <c r="O372" s="329"/>
      <c r="P372" s="329"/>
      <c r="Q372" s="329"/>
      <c r="R372" s="329"/>
      <c r="S372" s="329"/>
      <c r="T372" s="329"/>
      <c r="U372" s="110"/>
      <c r="V372" s="110"/>
      <c r="W372" s="110"/>
      <c r="X372" s="110"/>
      <c r="Y372" s="110"/>
      <c r="Z372" s="110"/>
      <c r="AA372" s="110"/>
    </row>
    <row r="373" spans="1:27" ht="15.75" customHeight="1">
      <c r="A373" s="110"/>
      <c r="B373" s="427"/>
      <c r="C373" s="110"/>
      <c r="D373" s="110"/>
      <c r="E373" s="110"/>
      <c r="F373" s="110"/>
      <c r="G373" s="110"/>
      <c r="H373" s="110"/>
      <c r="I373" s="4"/>
      <c r="J373" s="110"/>
      <c r="K373" s="344"/>
      <c r="L373" s="110"/>
      <c r="M373" s="110"/>
      <c r="N373" s="329"/>
      <c r="O373" s="329"/>
      <c r="P373" s="329"/>
      <c r="Q373" s="329"/>
      <c r="R373" s="329"/>
      <c r="S373" s="329"/>
      <c r="T373" s="329"/>
      <c r="U373" s="110"/>
      <c r="V373" s="110"/>
      <c r="W373" s="110"/>
      <c r="X373" s="110"/>
      <c r="Y373" s="110"/>
      <c r="Z373" s="110"/>
      <c r="AA373" s="110"/>
    </row>
    <row r="374" spans="1:27" ht="15.75" customHeight="1">
      <c r="A374" s="110"/>
      <c r="B374" s="427"/>
      <c r="C374" s="110"/>
      <c r="D374" s="110"/>
      <c r="E374" s="110"/>
      <c r="F374" s="110"/>
      <c r="G374" s="110"/>
      <c r="H374" s="110"/>
      <c r="I374" s="4"/>
      <c r="J374" s="110"/>
      <c r="K374" s="344"/>
      <c r="L374" s="110"/>
      <c r="M374" s="110"/>
      <c r="N374" s="329"/>
      <c r="O374" s="329"/>
      <c r="P374" s="329"/>
      <c r="Q374" s="329"/>
      <c r="R374" s="329"/>
      <c r="S374" s="329"/>
      <c r="T374" s="329"/>
      <c r="U374" s="110"/>
      <c r="V374" s="110"/>
      <c r="W374" s="110"/>
      <c r="X374" s="110"/>
      <c r="Y374" s="110"/>
      <c r="Z374" s="110"/>
      <c r="AA374" s="110"/>
    </row>
    <row r="375" spans="1:27" ht="15.75" customHeight="1">
      <c r="A375" s="110"/>
      <c r="B375" s="427"/>
      <c r="C375" s="110"/>
      <c r="D375" s="110"/>
      <c r="E375" s="110"/>
      <c r="F375" s="110"/>
      <c r="G375" s="110"/>
      <c r="H375" s="110"/>
      <c r="I375" s="4"/>
      <c r="J375" s="110"/>
      <c r="K375" s="344"/>
      <c r="L375" s="110"/>
      <c r="M375" s="110"/>
      <c r="N375" s="329"/>
      <c r="O375" s="329"/>
      <c r="P375" s="329"/>
      <c r="Q375" s="329"/>
      <c r="R375" s="329"/>
      <c r="S375" s="329"/>
      <c r="T375" s="329"/>
      <c r="U375" s="110"/>
      <c r="V375" s="110"/>
      <c r="W375" s="110"/>
      <c r="X375" s="110"/>
      <c r="Y375" s="110"/>
      <c r="Z375" s="110"/>
      <c r="AA375" s="110"/>
    </row>
    <row r="376" spans="1:27" ht="15.75" customHeight="1">
      <c r="A376" s="110"/>
      <c r="B376" s="427"/>
      <c r="C376" s="110"/>
      <c r="D376" s="110"/>
      <c r="E376" s="110"/>
      <c r="F376" s="110"/>
      <c r="G376" s="110"/>
      <c r="H376" s="110"/>
      <c r="I376" s="4"/>
      <c r="J376" s="110"/>
      <c r="K376" s="344"/>
      <c r="L376" s="110"/>
      <c r="M376" s="110"/>
      <c r="N376" s="329"/>
      <c r="O376" s="329"/>
      <c r="P376" s="329"/>
      <c r="Q376" s="329"/>
      <c r="R376" s="329"/>
      <c r="S376" s="329"/>
      <c r="T376" s="329"/>
      <c r="U376" s="110"/>
      <c r="V376" s="110"/>
      <c r="W376" s="110"/>
      <c r="X376" s="110"/>
      <c r="Y376" s="110"/>
      <c r="Z376" s="110"/>
      <c r="AA376" s="110"/>
    </row>
    <row r="377" spans="1:27" ht="15.75" customHeight="1">
      <c r="A377" s="110"/>
      <c r="B377" s="427"/>
      <c r="C377" s="110"/>
      <c r="D377" s="110"/>
      <c r="E377" s="110"/>
      <c r="F377" s="110"/>
      <c r="G377" s="110"/>
      <c r="H377" s="110"/>
      <c r="I377" s="4"/>
      <c r="J377" s="110"/>
      <c r="K377" s="344"/>
      <c r="L377" s="110"/>
      <c r="M377" s="110"/>
      <c r="N377" s="329"/>
      <c r="O377" s="329"/>
      <c r="P377" s="329"/>
      <c r="Q377" s="329"/>
      <c r="R377" s="329"/>
      <c r="S377" s="329"/>
      <c r="T377" s="329"/>
      <c r="U377" s="110"/>
      <c r="V377" s="110"/>
      <c r="W377" s="110"/>
      <c r="X377" s="110"/>
      <c r="Y377" s="110"/>
      <c r="Z377" s="110"/>
      <c r="AA377" s="110"/>
    </row>
    <row r="378" spans="1:27" ht="15.75" customHeight="1">
      <c r="A378" s="110"/>
      <c r="B378" s="427"/>
      <c r="C378" s="110"/>
      <c r="D378" s="110"/>
      <c r="E378" s="110"/>
      <c r="F378" s="110"/>
      <c r="G378" s="110"/>
      <c r="H378" s="110"/>
      <c r="I378" s="4"/>
      <c r="J378" s="110"/>
      <c r="K378" s="344"/>
      <c r="L378" s="110"/>
      <c r="M378" s="110"/>
      <c r="N378" s="329"/>
      <c r="O378" s="329"/>
      <c r="P378" s="329"/>
      <c r="Q378" s="329"/>
      <c r="R378" s="329"/>
      <c r="S378" s="329"/>
      <c r="T378" s="329"/>
      <c r="U378" s="110"/>
      <c r="V378" s="110"/>
      <c r="W378" s="110"/>
      <c r="X378" s="110"/>
      <c r="Y378" s="110"/>
      <c r="Z378" s="110"/>
      <c r="AA378" s="110"/>
    </row>
    <row r="379" spans="1:27" ht="15.75" customHeight="1">
      <c r="A379" s="110"/>
      <c r="B379" s="427"/>
      <c r="C379" s="110"/>
      <c r="D379" s="110"/>
      <c r="E379" s="110"/>
      <c r="F379" s="110"/>
      <c r="G379" s="110"/>
      <c r="H379" s="110"/>
      <c r="I379" s="4"/>
      <c r="J379" s="110"/>
      <c r="K379" s="344"/>
      <c r="L379" s="110"/>
      <c r="M379" s="110"/>
      <c r="N379" s="329"/>
      <c r="O379" s="329"/>
      <c r="P379" s="329"/>
      <c r="Q379" s="329"/>
      <c r="R379" s="329"/>
      <c r="S379" s="329"/>
      <c r="T379" s="329"/>
      <c r="U379" s="110"/>
      <c r="V379" s="110"/>
      <c r="W379" s="110"/>
      <c r="X379" s="110"/>
      <c r="Y379" s="110"/>
      <c r="Z379" s="110"/>
      <c r="AA379" s="110"/>
    </row>
    <row r="380" spans="1:27" ht="15.75" customHeight="1">
      <c r="A380" s="110"/>
      <c r="B380" s="427"/>
      <c r="C380" s="110"/>
      <c r="D380" s="110"/>
      <c r="E380" s="110"/>
      <c r="F380" s="110"/>
      <c r="G380" s="110"/>
      <c r="H380" s="110"/>
      <c r="I380" s="4"/>
      <c r="J380" s="110"/>
      <c r="K380" s="344"/>
      <c r="L380" s="110"/>
      <c r="M380" s="110"/>
      <c r="N380" s="329"/>
      <c r="O380" s="329"/>
      <c r="P380" s="329"/>
      <c r="Q380" s="329"/>
      <c r="R380" s="329"/>
      <c r="S380" s="329"/>
      <c r="T380" s="329"/>
      <c r="U380" s="110"/>
      <c r="V380" s="110"/>
      <c r="W380" s="110"/>
      <c r="X380" s="110"/>
      <c r="Y380" s="110"/>
      <c r="Z380" s="110"/>
      <c r="AA380" s="110"/>
    </row>
    <row r="381" spans="1:27" ht="15.75" customHeight="1">
      <c r="A381" s="110"/>
      <c r="B381" s="427"/>
      <c r="C381" s="110"/>
      <c r="D381" s="110"/>
      <c r="E381" s="110"/>
      <c r="F381" s="110"/>
      <c r="G381" s="110"/>
      <c r="H381" s="110"/>
      <c r="I381" s="4"/>
      <c r="J381" s="110"/>
      <c r="K381" s="344"/>
      <c r="L381" s="110"/>
      <c r="M381" s="110"/>
      <c r="N381" s="329"/>
      <c r="O381" s="329"/>
      <c r="P381" s="329"/>
      <c r="Q381" s="329"/>
      <c r="R381" s="329"/>
      <c r="S381" s="329"/>
      <c r="T381" s="329"/>
      <c r="U381" s="110"/>
      <c r="V381" s="110"/>
      <c r="W381" s="110"/>
      <c r="X381" s="110"/>
      <c r="Y381" s="110"/>
      <c r="Z381" s="110"/>
      <c r="AA381" s="110"/>
    </row>
    <row r="382" spans="1:27" ht="15.75" customHeight="1">
      <c r="A382" s="110"/>
      <c r="B382" s="427"/>
      <c r="C382" s="110"/>
      <c r="D382" s="110"/>
      <c r="E382" s="110"/>
      <c r="F382" s="110"/>
      <c r="G382" s="110"/>
      <c r="H382" s="110"/>
      <c r="I382" s="4"/>
      <c r="J382" s="110"/>
      <c r="K382" s="344"/>
      <c r="L382" s="110"/>
      <c r="M382" s="110"/>
      <c r="N382" s="329"/>
      <c r="O382" s="329"/>
      <c r="P382" s="329"/>
      <c r="Q382" s="329"/>
      <c r="R382" s="329"/>
      <c r="S382" s="329"/>
      <c r="T382" s="329"/>
      <c r="U382" s="110"/>
      <c r="V382" s="110"/>
      <c r="W382" s="110"/>
      <c r="X382" s="110"/>
      <c r="Y382" s="110"/>
      <c r="Z382" s="110"/>
      <c r="AA382" s="110"/>
    </row>
    <row r="383" spans="1:27" ht="15.75" customHeight="1">
      <c r="A383" s="110"/>
      <c r="B383" s="427"/>
      <c r="C383" s="110"/>
      <c r="D383" s="110"/>
      <c r="E383" s="110"/>
      <c r="F383" s="110"/>
      <c r="G383" s="110"/>
      <c r="H383" s="110"/>
      <c r="I383" s="4"/>
      <c r="J383" s="110"/>
      <c r="K383" s="344"/>
      <c r="L383" s="110"/>
      <c r="M383" s="110"/>
      <c r="N383" s="329"/>
      <c r="O383" s="329"/>
      <c r="P383" s="329"/>
      <c r="Q383" s="329"/>
      <c r="R383" s="329"/>
      <c r="S383" s="329"/>
      <c r="T383" s="329"/>
      <c r="U383" s="110"/>
      <c r="V383" s="110"/>
      <c r="W383" s="110"/>
      <c r="X383" s="110"/>
      <c r="Y383" s="110"/>
      <c r="Z383" s="110"/>
      <c r="AA383" s="110"/>
    </row>
    <row r="384" spans="1:27" ht="15.75" customHeight="1">
      <c r="A384" s="110"/>
      <c r="B384" s="427"/>
      <c r="C384" s="110"/>
      <c r="D384" s="110"/>
      <c r="E384" s="110"/>
      <c r="F384" s="110"/>
      <c r="G384" s="110"/>
      <c r="H384" s="110"/>
      <c r="I384" s="4"/>
      <c r="J384" s="110"/>
      <c r="K384" s="344"/>
      <c r="L384" s="110"/>
      <c r="M384" s="110"/>
      <c r="N384" s="329"/>
      <c r="O384" s="329"/>
      <c r="P384" s="329"/>
      <c r="Q384" s="329"/>
      <c r="R384" s="329"/>
      <c r="S384" s="329"/>
      <c r="T384" s="329"/>
      <c r="U384" s="110"/>
      <c r="V384" s="110"/>
      <c r="W384" s="110"/>
      <c r="X384" s="110"/>
      <c r="Y384" s="110"/>
      <c r="Z384" s="110"/>
      <c r="AA384" s="110"/>
    </row>
    <row r="385" spans="1:27" ht="15.75" customHeight="1">
      <c r="A385" s="110"/>
      <c r="B385" s="427"/>
      <c r="C385" s="110"/>
      <c r="D385" s="110"/>
      <c r="E385" s="110"/>
      <c r="F385" s="110"/>
      <c r="G385" s="110"/>
      <c r="H385" s="110"/>
      <c r="I385" s="4"/>
      <c r="J385" s="110"/>
      <c r="K385" s="344"/>
      <c r="L385" s="110"/>
      <c r="M385" s="110"/>
      <c r="N385" s="329"/>
      <c r="O385" s="329"/>
      <c r="P385" s="329"/>
      <c r="Q385" s="329"/>
      <c r="R385" s="329"/>
      <c r="S385" s="329"/>
      <c r="T385" s="329"/>
      <c r="U385" s="110"/>
      <c r="V385" s="110"/>
      <c r="W385" s="110"/>
      <c r="X385" s="110"/>
      <c r="Y385" s="110"/>
      <c r="Z385" s="110"/>
      <c r="AA385" s="110"/>
    </row>
    <row r="386" spans="1:27" ht="15.75" customHeight="1">
      <c r="A386" s="110"/>
      <c r="B386" s="427"/>
      <c r="C386" s="110"/>
      <c r="D386" s="110"/>
      <c r="E386" s="110"/>
      <c r="F386" s="110"/>
      <c r="G386" s="110"/>
      <c r="H386" s="110"/>
      <c r="I386" s="4"/>
      <c r="J386" s="110"/>
      <c r="K386" s="344"/>
      <c r="L386" s="110"/>
      <c r="M386" s="110"/>
      <c r="N386" s="329"/>
      <c r="O386" s="329"/>
      <c r="P386" s="329"/>
      <c r="Q386" s="329"/>
      <c r="R386" s="329"/>
      <c r="S386" s="329"/>
      <c r="T386" s="329"/>
      <c r="U386" s="110"/>
      <c r="V386" s="110"/>
      <c r="W386" s="110"/>
      <c r="X386" s="110"/>
      <c r="Y386" s="110"/>
      <c r="Z386" s="110"/>
      <c r="AA386" s="110"/>
    </row>
    <row r="387" spans="1:27" ht="15.75" customHeight="1">
      <c r="A387" s="110"/>
      <c r="B387" s="427"/>
      <c r="C387" s="110"/>
      <c r="D387" s="110"/>
      <c r="E387" s="110"/>
      <c r="F387" s="110"/>
      <c r="G387" s="110"/>
      <c r="H387" s="110"/>
      <c r="I387" s="4"/>
      <c r="J387" s="110"/>
      <c r="K387" s="344"/>
      <c r="L387" s="110"/>
      <c r="M387" s="110"/>
      <c r="N387" s="329"/>
      <c r="O387" s="329"/>
      <c r="P387" s="329"/>
      <c r="Q387" s="329"/>
      <c r="R387" s="329"/>
      <c r="S387" s="329"/>
      <c r="T387" s="329"/>
      <c r="U387" s="110"/>
      <c r="V387" s="110"/>
      <c r="W387" s="110"/>
      <c r="X387" s="110"/>
      <c r="Y387" s="110"/>
      <c r="Z387" s="110"/>
      <c r="AA387" s="110"/>
    </row>
    <row r="388" spans="1:27" ht="15.75" customHeight="1">
      <c r="A388" s="110"/>
      <c r="B388" s="427"/>
      <c r="C388" s="110"/>
      <c r="D388" s="110"/>
      <c r="E388" s="110"/>
      <c r="F388" s="110"/>
      <c r="G388" s="110"/>
      <c r="H388" s="110"/>
      <c r="I388" s="4"/>
      <c r="J388" s="110"/>
      <c r="K388" s="344"/>
      <c r="L388" s="110"/>
      <c r="M388" s="110"/>
      <c r="N388" s="329"/>
      <c r="O388" s="329"/>
      <c r="P388" s="329"/>
      <c r="Q388" s="329"/>
      <c r="R388" s="329"/>
      <c r="S388" s="329"/>
      <c r="T388" s="329"/>
      <c r="U388" s="110"/>
      <c r="V388" s="110"/>
      <c r="W388" s="110"/>
      <c r="X388" s="110"/>
      <c r="Y388" s="110"/>
      <c r="Z388" s="110"/>
      <c r="AA388" s="110"/>
    </row>
    <row r="389" spans="1:27" ht="15.75" customHeight="1">
      <c r="A389" s="110"/>
      <c r="B389" s="427"/>
      <c r="C389" s="110"/>
      <c r="D389" s="110"/>
      <c r="E389" s="110"/>
      <c r="F389" s="110"/>
      <c r="G389" s="110"/>
      <c r="H389" s="110"/>
      <c r="I389" s="4"/>
      <c r="J389" s="110"/>
      <c r="K389" s="344"/>
      <c r="L389" s="110"/>
      <c r="M389" s="110"/>
      <c r="N389" s="329"/>
      <c r="O389" s="329"/>
      <c r="P389" s="329"/>
      <c r="Q389" s="329"/>
      <c r="R389" s="329"/>
      <c r="S389" s="329"/>
      <c r="T389" s="329"/>
      <c r="U389" s="110"/>
      <c r="V389" s="110"/>
      <c r="W389" s="110"/>
      <c r="X389" s="110"/>
      <c r="Y389" s="110"/>
      <c r="Z389" s="110"/>
      <c r="AA389" s="110"/>
    </row>
    <row r="390" spans="1:27" ht="15.75" customHeight="1">
      <c r="A390" s="110"/>
      <c r="B390" s="427"/>
      <c r="C390" s="110"/>
      <c r="D390" s="110"/>
      <c r="E390" s="110"/>
      <c r="F390" s="110"/>
      <c r="G390" s="110"/>
      <c r="H390" s="110"/>
      <c r="I390" s="4"/>
      <c r="J390" s="110"/>
      <c r="K390" s="344"/>
      <c r="L390" s="110"/>
      <c r="M390" s="110"/>
      <c r="N390" s="329"/>
      <c r="O390" s="329"/>
      <c r="P390" s="329"/>
      <c r="Q390" s="329"/>
      <c r="R390" s="329"/>
      <c r="S390" s="329"/>
      <c r="T390" s="329"/>
      <c r="U390" s="110"/>
      <c r="V390" s="110"/>
      <c r="W390" s="110"/>
      <c r="X390" s="110"/>
      <c r="Y390" s="110"/>
      <c r="Z390" s="110"/>
      <c r="AA390" s="110"/>
    </row>
    <row r="391" spans="1:27" ht="15.75" customHeight="1">
      <c r="A391" s="110"/>
      <c r="B391" s="427"/>
      <c r="C391" s="110"/>
      <c r="D391" s="110"/>
      <c r="E391" s="110"/>
      <c r="F391" s="110"/>
      <c r="G391" s="110"/>
      <c r="H391" s="110"/>
      <c r="I391" s="4"/>
      <c r="J391" s="110"/>
      <c r="K391" s="344"/>
      <c r="L391" s="110"/>
      <c r="M391" s="110"/>
      <c r="N391" s="329"/>
      <c r="O391" s="329"/>
      <c r="P391" s="329"/>
      <c r="Q391" s="329"/>
      <c r="R391" s="329"/>
      <c r="S391" s="329"/>
      <c r="T391" s="329"/>
      <c r="U391" s="110"/>
      <c r="V391" s="110"/>
      <c r="W391" s="110"/>
      <c r="X391" s="110"/>
      <c r="Y391" s="110"/>
      <c r="Z391" s="110"/>
      <c r="AA391" s="110"/>
    </row>
    <row r="392" spans="1:27" ht="15.75" customHeight="1">
      <c r="A392" s="110"/>
      <c r="B392" s="427"/>
      <c r="C392" s="110"/>
      <c r="D392" s="110"/>
      <c r="E392" s="110"/>
      <c r="F392" s="110"/>
      <c r="G392" s="110"/>
      <c r="H392" s="110"/>
      <c r="I392" s="4"/>
      <c r="J392" s="110"/>
      <c r="K392" s="344"/>
      <c r="L392" s="110"/>
      <c r="M392" s="110"/>
      <c r="N392" s="329"/>
      <c r="O392" s="329"/>
      <c r="P392" s="329"/>
      <c r="Q392" s="329"/>
      <c r="R392" s="329"/>
      <c r="S392" s="329"/>
      <c r="T392" s="329"/>
      <c r="U392" s="110"/>
      <c r="V392" s="110"/>
      <c r="W392" s="110"/>
      <c r="X392" s="110"/>
      <c r="Y392" s="110"/>
      <c r="Z392" s="110"/>
      <c r="AA392" s="110"/>
    </row>
    <row r="393" spans="1:27" ht="15.75" customHeight="1">
      <c r="A393" s="110"/>
      <c r="B393" s="427"/>
      <c r="C393" s="110"/>
      <c r="D393" s="110"/>
      <c r="E393" s="110"/>
      <c r="F393" s="110"/>
      <c r="G393" s="110"/>
      <c r="H393" s="110"/>
      <c r="I393" s="4"/>
      <c r="J393" s="110"/>
      <c r="K393" s="344"/>
      <c r="L393" s="110"/>
      <c r="M393" s="110"/>
      <c r="N393" s="329"/>
      <c r="O393" s="329"/>
      <c r="P393" s="329"/>
      <c r="Q393" s="329"/>
      <c r="R393" s="329"/>
      <c r="S393" s="329"/>
      <c r="T393" s="329"/>
      <c r="U393" s="110"/>
      <c r="V393" s="110"/>
      <c r="W393" s="110"/>
      <c r="X393" s="110"/>
      <c r="Y393" s="110"/>
      <c r="Z393" s="110"/>
      <c r="AA393" s="110"/>
    </row>
    <row r="394" spans="1:27" ht="15.75" customHeight="1">
      <c r="A394" s="110"/>
      <c r="B394" s="427"/>
      <c r="C394" s="110"/>
      <c r="D394" s="110"/>
      <c r="E394" s="110"/>
      <c r="F394" s="110"/>
      <c r="G394" s="110"/>
      <c r="H394" s="110"/>
      <c r="I394" s="4"/>
      <c r="J394" s="110"/>
      <c r="K394" s="344"/>
      <c r="L394" s="110"/>
      <c r="M394" s="110"/>
      <c r="N394" s="329"/>
      <c r="O394" s="329"/>
      <c r="P394" s="329"/>
      <c r="Q394" s="329"/>
      <c r="R394" s="329"/>
      <c r="S394" s="329"/>
      <c r="T394" s="329"/>
      <c r="U394" s="110"/>
      <c r="V394" s="110"/>
      <c r="W394" s="110"/>
      <c r="X394" s="110"/>
      <c r="Y394" s="110"/>
      <c r="Z394" s="110"/>
      <c r="AA394" s="110"/>
    </row>
    <row r="395" spans="1:27" ht="15.75" customHeight="1">
      <c r="A395" s="110"/>
      <c r="B395" s="427"/>
      <c r="C395" s="110"/>
      <c r="D395" s="110"/>
      <c r="E395" s="110"/>
      <c r="F395" s="110"/>
      <c r="G395" s="110"/>
      <c r="H395" s="110"/>
      <c r="I395" s="4"/>
      <c r="J395" s="110"/>
      <c r="K395" s="344"/>
      <c r="L395" s="110"/>
      <c r="M395" s="110"/>
      <c r="N395" s="329"/>
      <c r="O395" s="329"/>
      <c r="P395" s="329"/>
      <c r="Q395" s="329"/>
      <c r="R395" s="329"/>
      <c r="S395" s="329"/>
      <c r="T395" s="329"/>
      <c r="U395" s="110"/>
      <c r="V395" s="110"/>
      <c r="W395" s="110"/>
      <c r="X395" s="110"/>
      <c r="Y395" s="110"/>
      <c r="Z395" s="110"/>
      <c r="AA395" s="110"/>
    </row>
    <row r="396" spans="1:27" ht="15.75" customHeight="1">
      <c r="A396" s="110"/>
      <c r="B396" s="427"/>
      <c r="C396" s="110"/>
      <c r="D396" s="110"/>
      <c r="E396" s="110"/>
      <c r="F396" s="110"/>
      <c r="G396" s="110"/>
      <c r="H396" s="110"/>
      <c r="I396" s="4"/>
      <c r="J396" s="110"/>
      <c r="K396" s="344"/>
      <c r="L396" s="110"/>
      <c r="M396" s="110"/>
      <c r="N396" s="329"/>
      <c r="O396" s="329"/>
      <c r="P396" s="329"/>
      <c r="Q396" s="329"/>
      <c r="R396" s="329"/>
      <c r="S396" s="329"/>
      <c r="T396" s="329"/>
      <c r="U396" s="110"/>
      <c r="V396" s="110"/>
      <c r="W396" s="110"/>
      <c r="X396" s="110"/>
      <c r="Y396" s="110"/>
      <c r="Z396" s="110"/>
      <c r="AA396" s="110"/>
    </row>
    <row r="397" spans="1:27" ht="15.75" customHeight="1">
      <c r="A397" s="110"/>
      <c r="B397" s="427"/>
      <c r="C397" s="110"/>
      <c r="D397" s="110"/>
      <c r="E397" s="110"/>
      <c r="F397" s="110"/>
      <c r="G397" s="110"/>
      <c r="H397" s="110"/>
      <c r="I397" s="4"/>
      <c r="J397" s="110"/>
      <c r="K397" s="344"/>
      <c r="L397" s="110"/>
      <c r="M397" s="110"/>
      <c r="N397" s="329"/>
      <c r="O397" s="329"/>
      <c r="P397" s="329"/>
      <c r="Q397" s="329"/>
      <c r="R397" s="329"/>
      <c r="S397" s="329"/>
      <c r="T397" s="329"/>
      <c r="U397" s="110"/>
      <c r="V397" s="110"/>
      <c r="W397" s="110"/>
      <c r="X397" s="110"/>
      <c r="Y397" s="110"/>
      <c r="Z397" s="110"/>
      <c r="AA397" s="110"/>
    </row>
    <row r="398" spans="1:27" ht="15.75" customHeight="1">
      <c r="A398" s="110"/>
      <c r="B398" s="427"/>
      <c r="C398" s="110"/>
      <c r="D398" s="110"/>
      <c r="E398" s="110"/>
      <c r="F398" s="110"/>
      <c r="G398" s="110"/>
      <c r="H398" s="110"/>
      <c r="I398" s="4"/>
      <c r="J398" s="110"/>
      <c r="K398" s="344"/>
      <c r="L398" s="110"/>
      <c r="M398" s="110"/>
      <c r="N398" s="329"/>
      <c r="O398" s="329"/>
      <c r="P398" s="329"/>
      <c r="Q398" s="329"/>
      <c r="R398" s="329"/>
      <c r="S398" s="329"/>
      <c r="T398" s="329"/>
      <c r="U398" s="110"/>
      <c r="V398" s="110"/>
      <c r="W398" s="110"/>
      <c r="X398" s="110"/>
      <c r="Y398" s="110"/>
      <c r="Z398" s="110"/>
      <c r="AA398" s="110"/>
    </row>
    <row r="399" spans="1:27" ht="15.75" customHeight="1">
      <c r="A399" s="110"/>
      <c r="B399" s="427"/>
      <c r="C399" s="110"/>
      <c r="D399" s="110"/>
      <c r="E399" s="110"/>
      <c r="F399" s="110"/>
      <c r="G399" s="110"/>
      <c r="H399" s="110"/>
      <c r="I399" s="4"/>
      <c r="J399" s="110"/>
      <c r="K399" s="344"/>
      <c r="L399" s="110"/>
      <c r="M399" s="110"/>
      <c r="N399" s="329"/>
      <c r="O399" s="329"/>
      <c r="P399" s="329"/>
      <c r="Q399" s="329"/>
      <c r="R399" s="329"/>
      <c r="S399" s="329"/>
      <c r="T399" s="329"/>
      <c r="U399" s="110"/>
      <c r="V399" s="110"/>
      <c r="W399" s="110"/>
      <c r="X399" s="110"/>
      <c r="Y399" s="110"/>
      <c r="Z399" s="110"/>
      <c r="AA399" s="110"/>
    </row>
    <row r="400" spans="1:27" ht="15.75" customHeight="1">
      <c r="A400" s="110"/>
      <c r="B400" s="427"/>
      <c r="C400" s="110"/>
      <c r="D400" s="110"/>
      <c r="E400" s="110"/>
      <c r="F400" s="110"/>
      <c r="G400" s="110"/>
      <c r="H400" s="110"/>
      <c r="I400" s="4"/>
      <c r="J400" s="110"/>
      <c r="K400" s="344"/>
      <c r="L400" s="110"/>
      <c r="M400" s="110"/>
      <c r="N400" s="329"/>
      <c r="O400" s="329"/>
      <c r="P400" s="329"/>
      <c r="Q400" s="329"/>
      <c r="R400" s="329"/>
      <c r="S400" s="329"/>
      <c r="T400" s="329"/>
      <c r="U400" s="110"/>
      <c r="V400" s="110"/>
      <c r="W400" s="110"/>
      <c r="X400" s="110"/>
      <c r="Y400" s="110"/>
      <c r="Z400" s="110"/>
      <c r="AA400" s="110"/>
    </row>
    <row r="401" spans="1:27" ht="15.75" customHeight="1">
      <c r="A401" s="110"/>
      <c r="B401" s="427"/>
      <c r="C401" s="110"/>
      <c r="D401" s="110"/>
      <c r="E401" s="110"/>
      <c r="F401" s="110"/>
      <c r="G401" s="110"/>
      <c r="H401" s="110"/>
      <c r="I401" s="4"/>
      <c r="J401" s="110"/>
      <c r="K401" s="344"/>
      <c r="L401" s="110"/>
      <c r="M401" s="110"/>
      <c r="N401" s="329"/>
      <c r="O401" s="329"/>
      <c r="P401" s="329"/>
      <c r="Q401" s="329"/>
      <c r="R401" s="329"/>
      <c r="S401" s="329"/>
      <c r="T401" s="329"/>
      <c r="U401" s="110"/>
      <c r="V401" s="110"/>
      <c r="W401" s="110"/>
      <c r="X401" s="110"/>
      <c r="Y401" s="110"/>
      <c r="Z401" s="110"/>
      <c r="AA401" s="110"/>
    </row>
    <row r="402" spans="1:27" ht="15.75" customHeight="1">
      <c r="A402" s="110"/>
      <c r="B402" s="427"/>
      <c r="C402" s="110"/>
      <c r="D402" s="110"/>
      <c r="E402" s="110"/>
      <c r="F402" s="110"/>
      <c r="G402" s="110"/>
      <c r="H402" s="110"/>
      <c r="I402" s="4"/>
      <c r="J402" s="110"/>
      <c r="K402" s="344"/>
      <c r="L402" s="110"/>
      <c r="M402" s="110"/>
      <c r="N402" s="329"/>
      <c r="O402" s="329"/>
      <c r="P402" s="329"/>
      <c r="Q402" s="329"/>
      <c r="R402" s="329"/>
      <c r="S402" s="329"/>
      <c r="T402" s="329"/>
      <c r="U402" s="110"/>
      <c r="V402" s="110"/>
      <c r="W402" s="110"/>
      <c r="X402" s="110"/>
      <c r="Y402" s="110"/>
      <c r="Z402" s="110"/>
      <c r="AA402" s="110"/>
    </row>
    <row r="403" spans="1:27" ht="15.75" customHeight="1">
      <c r="A403" s="110"/>
      <c r="B403" s="427"/>
      <c r="C403" s="110"/>
      <c r="D403" s="110"/>
      <c r="E403" s="110"/>
      <c r="F403" s="110"/>
      <c r="G403" s="110"/>
      <c r="H403" s="110"/>
      <c r="I403" s="4"/>
      <c r="J403" s="110"/>
      <c r="K403" s="344"/>
      <c r="L403" s="110"/>
      <c r="M403" s="110"/>
      <c r="N403" s="329"/>
      <c r="O403" s="329"/>
      <c r="P403" s="329"/>
      <c r="Q403" s="329"/>
      <c r="R403" s="329"/>
      <c r="S403" s="329"/>
      <c r="T403" s="329"/>
      <c r="U403" s="110"/>
      <c r="V403" s="110"/>
      <c r="W403" s="110"/>
      <c r="X403" s="110"/>
      <c r="Y403" s="110"/>
      <c r="Z403" s="110"/>
      <c r="AA403" s="110"/>
    </row>
    <row r="404" spans="1:27" ht="15.75" customHeight="1">
      <c r="A404" s="110"/>
      <c r="B404" s="427"/>
      <c r="C404" s="110"/>
      <c r="D404" s="110"/>
      <c r="E404" s="110"/>
      <c r="F404" s="110"/>
      <c r="G404" s="110"/>
      <c r="H404" s="110"/>
      <c r="I404" s="4"/>
      <c r="J404" s="110"/>
      <c r="K404" s="344"/>
      <c r="L404" s="110"/>
      <c r="M404" s="110"/>
      <c r="N404" s="329"/>
      <c r="O404" s="329"/>
      <c r="P404" s="329"/>
      <c r="Q404" s="329"/>
      <c r="R404" s="329"/>
      <c r="S404" s="329"/>
      <c r="T404" s="329"/>
      <c r="U404" s="110"/>
      <c r="V404" s="110"/>
      <c r="W404" s="110"/>
      <c r="X404" s="110"/>
      <c r="Y404" s="110"/>
      <c r="Z404" s="110"/>
      <c r="AA404" s="110"/>
    </row>
    <row r="405" spans="1:27" ht="15.75" customHeight="1">
      <c r="A405" s="110"/>
      <c r="B405" s="427"/>
      <c r="C405" s="110"/>
      <c r="D405" s="110"/>
      <c r="E405" s="110"/>
      <c r="F405" s="110"/>
      <c r="G405" s="110"/>
      <c r="H405" s="110"/>
      <c r="I405" s="4"/>
      <c r="J405" s="110"/>
      <c r="K405" s="344"/>
      <c r="L405" s="110"/>
      <c r="M405" s="110"/>
      <c r="N405" s="329"/>
      <c r="O405" s="329"/>
      <c r="P405" s="329"/>
      <c r="Q405" s="329"/>
      <c r="R405" s="329"/>
      <c r="S405" s="329"/>
      <c r="T405" s="329"/>
      <c r="U405" s="110"/>
      <c r="V405" s="110"/>
      <c r="W405" s="110"/>
      <c r="X405" s="110"/>
      <c r="Y405" s="110"/>
      <c r="Z405" s="110"/>
      <c r="AA405" s="110"/>
    </row>
    <row r="406" spans="1:27" ht="15.75" customHeight="1">
      <c r="A406" s="110"/>
      <c r="B406" s="427"/>
      <c r="C406" s="110"/>
      <c r="D406" s="110"/>
      <c r="E406" s="110"/>
      <c r="F406" s="110"/>
      <c r="G406" s="110"/>
      <c r="H406" s="110"/>
      <c r="I406" s="4"/>
      <c r="J406" s="110"/>
      <c r="K406" s="344"/>
      <c r="L406" s="110"/>
      <c r="M406" s="110"/>
      <c r="N406" s="329"/>
      <c r="O406" s="329"/>
      <c r="P406" s="329"/>
      <c r="Q406" s="329"/>
      <c r="R406" s="329"/>
      <c r="S406" s="329"/>
      <c r="T406" s="329"/>
      <c r="U406" s="110"/>
      <c r="V406" s="110"/>
      <c r="W406" s="110"/>
      <c r="X406" s="110"/>
      <c r="Y406" s="110"/>
      <c r="Z406" s="110"/>
      <c r="AA406" s="110"/>
    </row>
    <row r="407" spans="1:27" ht="15.75" customHeight="1">
      <c r="A407" s="110"/>
      <c r="B407" s="427"/>
      <c r="C407" s="110"/>
      <c r="D407" s="110"/>
      <c r="E407" s="110"/>
      <c r="F407" s="110"/>
      <c r="G407" s="110"/>
      <c r="H407" s="110"/>
      <c r="I407" s="4"/>
      <c r="J407" s="110"/>
      <c r="K407" s="344"/>
      <c r="L407" s="110"/>
      <c r="M407" s="110"/>
      <c r="N407" s="329"/>
      <c r="O407" s="329"/>
      <c r="P407" s="329"/>
      <c r="Q407" s="329"/>
      <c r="R407" s="329"/>
      <c r="S407" s="329"/>
      <c r="T407" s="329"/>
      <c r="U407" s="110"/>
      <c r="V407" s="110"/>
      <c r="W407" s="110"/>
      <c r="X407" s="110"/>
      <c r="Y407" s="110"/>
      <c r="Z407" s="110"/>
      <c r="AA407" s="110"/>
    </row>
    <row r="408" spans="1:27" ht="15.75" customHeight="1">
      <c r="A408" s="110"/>
      <c r="B408" s="427"/>
      <c r="C408" s="110"/>
      <c r="D408" s="110"/>
      <c r="E408" s="110"/>
      <c r="F408" s="110"/>
      <c r="G408" s="110"/>
      <c r="H408" s="110"/>
      <c r="I408" s="4"/>
      <c r="J408" s="110"/>
      <c r="K408" s="344"/>
      <c r="L408" s="110"/>
      <c r="M408" s="110"/>
      <c r="N408" s="329"/>
      <c r="O408" s="329"/>
      <c r="P408" s="329"/>
      <c r="Q408" s="329"/>
      <c r="R408" s="329"/>
      <c r="S408" s="329"/>
      <c r="T408" s="329"/>
      <c r="U408" s="110"/>
      <c r="V408" s="110"/>
      <c r="W408" s="110"/>
      <c r="X408" s="110"/>
      <c r="Y408" s="110"/>
      <c r="Z408" s="110"/>
      <c r="AA408" s="110"/>
    </row>
    <row r="409" spans="1:27" ht="15.75" customHeight="1">
      <c r="A409" s="110"/>
      <c r="B409" s="427"/>
      <c r="C409" s="110"/>
      <c r="D409" s="110"/>
      <c r="E409" s="110"/>
      <c r="F409" s="110"/>
      <c r="G409" s="110"/>
      <c r="H409" s="110"/>
      <c r="I409" s="4"/>
      <c r="J409" s="110"/>
      <c r="K409" s="344"/>
      <c r="L409" s="110"/>
      <c r="M409" s="110"/>
      <c r="N409" s="329"/>
      <c r="O409" s="329"/>
      <c r="P409" s="329"/>
      <c r="Q409" s="329"/>
      <c r="R409" s="329"/>
      <c r="S409" s="329"/>
      <c r="T409" s="329"/>
      <c r="U409" s="110"/>
      <c r="V409" s="110"/>
      <c r="W409" s="110"/>
      <c r="X409" s="110"/>
      <c r="Y409" s="110"/>
      <c r="Z409" s="110"/>
      <c r="AA409" s="110"/>
    </row>
    <row r="410" spans="1:27" ht="15.75" customHeight="1">
      <c r="A410" s="110"/>
      <c r="B410" s="427"/>
      <c r="C410" s="110"/>
      <c r="D410" s="110"/>
      <c r="E410" s="110"/>
      <c r="F410" s="110"/>
      <c r="G410" s="110"/>
      <c r="H410" s="110"/>
      <c r="I410" s="4"/>
      <c r="J410" s="110"/>
      <c r="K410" s="344"/>
      <c r="L410" s="110"/>
      <c r="M410" s="110"/>
      <c r="N410" s="329"/>
      <c r="O410" s="329"/>
      <c r="P410" s="329"/>
      <c r="Q410" s="329"/>
      <c r="R410" s="329"/>
      <c r="S410" s="329"/>
      <c r="T410" s="329"/>
      <c r="U410" s="110"/>
      <c r="V410" s="110"/>
      <c r="W410" s="110"/>
      <c r="X410" s="110"/>
      <c r="Y410" s="110"/>
      <c r="Z410" s="110"/>
      <c r="AA410" s="110"/>
    </row>
    <row r="411" spans="1:27" ht="15.75" customHeight="1">
      <c r="A411" s="110"/>
      <c r="B411" s="427"/>
      <c r="C411" s="110"/>
      <c r="D411" s="110"/>
      <c r="E411" s="110"/>
      <c r="F411" s="110"/>
      <c r="G411" s="110"/>
      <c r="H411" s="110"/>
      <c r="I411" s="4"/>
      <c r="J411" s="110"/>
      <c r="K411" s="344"/>
      <c r="L411" s="110"/>
      <c r="M411" s="110"/>
      <c r="N411" s="329"/>
      <c r="O411" s="329"/>
      <c r="P411" s="329"/>
      <c r="Q411" s="329"/>
      <c r="R411" s="329"/>
      <c r="S411" s="329"/>
      <c r="T411" s="329"/>
      <c r="U411" s="110"/>
      <c r="V411" s="110"/>
      <c r="W411" s="110"/>
      <c r="X411" s="110"/>
      <c r="Y411" s="110"/>
      <c r="Z411" s="110"/>
      <c r="AA411" s="110"/>
    </row>
    <row r="412" spans="1:27" ht="15.75" customHeight="1">
      <c r="A412" s="110"/>
      <c r="B412" s="427"/>
      <c r="C412" s="110"/>
      <c r="D412" s="110"/>
      <c r="E412" s="110"/>
      <c r="F412" s="110"/>
      <c r="G412" s="110"/>
      <c r="H412" s="110"/>
      <c r="I412" s="4"/>
      <c r="J412" s="110"/>
      <c r="K412" s="344"/>
      <c r="L412" s="110"/>
      <c r="M412" s="110"/>
      <c r="N412" s="329"/>
      <c r="O412" s="329"/>
      <c r="P412" s="329"/>
      <c r="Q412" s="329"/>
      <c r="R412" s="329"/>
      <c r="S412" s="329"/>
      <c r="T412" s="329"/>
      <c r="U412" s="110"/>
      <c r="V412" s="110"/>
      <c r="W412" s="110"/>
      <c r="X412" s="110"/>
      <c r="Y412" s="110"/>
      <c r="Z412" s="110"/>
      <c r="AA412" s="110"/>
    </row>
    <row r="413" spans="1:27" ht="15.75" customHeight="1">
      <c r="A413" s="110"/>
      <c r="B413" s="427"/>
      <c r="C413" s="110"/>
      <c r="D413" s="110"/>
      <c r="E413" s="110"/>
      <c r="F413" s="110"/>
      <c r="G413" s="110"/>
      <c r="H413" s="110"/>
      <c r="I413" s="4"/>
      <c r="J413" s="110"/>
      <c r="K413" s="344"/>
      <c r="L413" s="110"/>
      <c r="M413" s="110"/>
      <c r="N413" s="329"/>
      <c r="O413" s="329"/>
      <c r="P413" s="329"/>
      <c r="Q413" s="329"/>
      <c r="R413" s="329"/>
      <c r="S413" s="329"/>
      <c r="T413" s="329"/>
      <c r="U413" s="110"/>
      <c r="V413" s="110"/>
      <c r="W413" s="110"/>
      <c r="X413" s="110"/>
      <c r="Y413" s="110"/>
      <c r="Z413" s="110"/>
      <c r="AA413" s="110"/>
    </row>
    <row r="414" spans="1:27" ht="15.75" customHeight="1">
      <c r="A414" s="110"/>
      <c r="B414" s="427"/>
      <c r="C414" s="110"/>
      <c r="D414" s="110"/>
      <c r="E414" s="110"/>
      <c r="F414" s="110"/>
      <c r="G414" s="110"/>
      <c r="H414" s="110"/>
      <c r="I414" s="4"/>
      <c r="J414" s="110"/>
      <c r="K414" s="344"/>
      <c r="L414" s="110"/>
      <c r="M414" s="110"/>
      <c r="N414" s="329"/>
      <c r="O414" s="329"/>
      <c r="P414" s="329"/>
      <c r="Q414" s="329"/>
      <c r="R414" s="329"/>
      <c r="S414" s="329"/>
      <c r="T414" s="329"/>
      <c r="U414" s="110"/>
      <c r="V414" s="110"/>
      <c r="W414" s="110"/>
      <c r="X414" s="110"/>
      <c r="Y414" s="110"/>
      <c r="Z414" s="110"/>
      <c r="AA414" s="110"/>
    </row>
    <row r="415" spans="1:27" ht="15.75" customHeight="1">
      <c r="A415" s="110"/>
      <c r="B415" s="427"/>
      <c r="C415" s="110"/>
      <c r="D415" s="110"/>
      <c r="E415" s="110"/>
      <c r="F415" s="110"/>
      <c r="G415" s="110"/>
      <c r="H415" s="110"/>
      <c r="I415" s="4"/>
      <c r="J415" s="110"/>
      <c r="K415" s="344"/>
      <c r="L415" s="110"/>
      <c r="M415" s="110"/>
      <c r="N415" s="329"/>
      <c r="O415" s="329"/>
      <c r="P415" s="329"/>
      <c r="Q415" s="329"/>
      <c r="R415" s="329"/>
      <c r="S415" s="329"/>
      <c r="T415" s="329"/>
      <c r="U415" s="110"/>
      <c r="V415" s="110"/>
      <c r="W415" s="110"/>
      <c r="X415" s="110"/>
      <c r="Y415" s="110"/>
      <c r="Z415" s="110"/>
      <c r="AA415" s="110"/>
    </row>
    <row r="416" spans="1:27" ht="15.75" customHeight="1">
      <c r="A416" s="110"/>
      <c r="B416" s="427"/>
      <c r="C416" s="110"/>
      <c r="D416" s="110"/>
      <c r="E416" s="110"/>
      <c r="F416" s="110"/>
      <c r="G416" s="110"/>
      <c r="H416" s="110"/>
      <c r="I416" s="4"/>
      <c r="J416" s="110"/>
      <c r="K416" s="344"/>
      <c r="L416" s="110"/>
      <c r="M416" s="110"/>
      <c r="N416" s="329"/>
      <c r="O416" s="329"/>
      <c r="P416" s="329"/>
      <c r="Q416" s="329"/>
      <c r="R416" s="329"/>
      <c r="S416" s="329"/>
      <c r="T416" s="329"/>
      <c r="U416" s="110"/>
      <c r="V416" s="110"/>
      <c r="W416" s="110"/>
      <c r="X416" s="110"/>
      <c r="Y416" s="110"/>
      <c r="Z416" s="110"/>
      <c r="AA416" s="110"/>
    </row>
    <row r="417" spans="1:27" ht="15.75" customHeight="1">
      <c r="A417" s="110"/>
      <c r="B417" s="427"/>
      <c r="C417" s="110"/>
      <c r="D417" s="110"/>
      <c r="E417" s="110"/>
      <c r="F417" s="110"/>
      <c r="G417" s="110"/>
      <c r="H417" s="110"/>
      <c r="I417" s="4"/>
      <c r="J417" s="110"/>
      <c r="K417" s="344"/>
      <c r="L417" s="110"/>
      <c r="M417" s="110"/>
      <c r="N417" s="329"/>
      <c r="O417" s="329"/>
      <c r="P417" s="329"/>
      <c r="Q417" s="329"/>
      <c r="R417" s="329"/>
      <c r="S417" s="329"/>
      <c r="T417" s="329"/>
      <c r="U417" s="110"/>
      <c r="V417" s="110"/>
      <c r="W417" s="110"/>
      <c r="X417" s="110"/>
      <c r="Y417" s="110"/>
      <c r="Z417" s="110"/>
      <c r="AA417" s="110"/>
    </row>
    <row r="418" spans="1:27" ht="15.75" customHeight="1">
      <c r="A418" s="110"/>
      <c r="B418" s="427"/>
      <c r="C418" s="110"/>
      <c r="D418" s="110"/>
      <c r="E418" s="110"/>
      <c r="F418" s="110"/>
      <c r="G418" s="110"/>
      <c r="H418" s="110"/>
      <c r="I418" s="4"/>
      <c r="J418" s="110"/>
      <c r="K418" s="344"/>
      <c r="L418" s="110"/>
      <c r="M418" s="110"/>
      <c r="N418" s="329"/>
      <c r="O418" s="329"/>
      <c r="P418" s="329"/>
      <c r="Q418" s="329"/>
      <c r="R418" s="329"/>
      <c r="S418" s="329"/>
      <c r="T418" s="329"/>
      <c r="U418" s="110"/>
      <c r="V418" s="110"/>
      <c r="W418" s="110"/>
      <c r="X418" s="110"/>
      <c r="Y418" s="110"/>
      <c r="Z418" s="110"/>
      <c r="AA418" s="110"/>
    </row>
    <row r="419" spans="1:27" ht="15.75" customHeight="1">
      <c r="A419" s="110"/>
      <c r="B419" s="427"/>
      <c r="C419" s="110"/>
      <c r="D419" s="110"/>
      <c r="E419" s="110"/>
      <c r="F419" s="110"/>
      <c r="G419" s="110"/>
      <c r="H419" s="110"/>
      <c r="I419" s="4"/>
      <c r="J419" s="110"/>
      <c r="K419" s="344"/>
      <c r="L419" s="110"/>
      <c r="M419" s="110"/>
      <c r="N419" s="329"/>
      <c r="O419" s="329"/>
      <c r="P419" s="329"/>
      <c r="Q419" s="329"/>
      <c r="R419" s="329"/>
      <c r="S419" s="329"/>
      <c r="T419" s="329"/>
      <c r="U419" s="110"/>
      <c r="V419" s="110"/>
      <c r="W419" s="110"/>
      <c r="X419" s="110"/>
      <c r="Y419" s="110"/>
      <c r="Z419" s="110"/>
      <c r="AA419" s="110"/>
    </row>
    <row r="420" spans="1:27" ht="15.75" customHeight="1">
      <c r="A420" s="110"/>
      <c r="B420" s="427"/>
      <c r="C420" s="110"/>
      <c r="D420" s="110"/>
      <c r="E420" s="110"/>
      <c r="F420" s="110"/>
      <c r="G420" s="110"/>
      <c r="H420" s="110"/>
      <c r="I420" s="4"/>
      <c r="J420" s="110"/>
      <c r="K420" s="344"/>
      <c r="L420" s="110"/>
      <c r="M420" s="110"/>
      <c r="N420" s="329"/>
      <c r="O420" s="329"/>
      <c r="P420" s="329"/>
      <c r="Q420" s="329"/>
      <c r="R420" s="329"/>
      <c r="S420" s="329"/>
      <c r="T420" s="329"/>
      <c r="U420" s="110"/>
      <c r="V420" s="110"/>
      <c r="W420" s="110"/>
      <c r="X420" s="110"/>
      <c r="Y420" s="110"/>
      <c r="Z420" s="110"/>
      <c r="AA420" s="110"/>
    </row>
    <row r="421" spans="1:27" ht="15.75" customHeight="1">
      <c r="A421" s="110"/>
      <c r="B421" s="427"/>
      <c r="C421" s="110"/>
      <c r="D421" s="110"/>
      <c r="E421" s="110"/>
      <c r="F421" s="110"/>
      <c r="G421" s="110"/>
      <c r="H421" s="110"/>
      <c r="I421" s="4"/>
      <c r="J421" s="110"/>
      <c r="K421" s="344"/>
      <c r="L421" s="110"/>
      <c r="M421" s="110"/>
      <c r="N421" s="329"/>
      <c r="O421" s="329"/>
      <c r="P421" s="329"/>
      <c r="Q421" s="329"/>
      <c r="R421" s="329"/>
      <c r="S421" s="329"/>
      <c r="T421" s="329"/>
      <c r="U421" s="110"/>
      <c r="V421" s="110"/>
      <c r="W421" s="110"/>
      <c r="X421" s="110"/>
      <c r="Y421" s="110"/>
      <c r="Z421" s="110"/>
      <c r="AA421" s="110"/>
    </row>
    <row r="422" spans="1:27" ht="15.75" customHeight="1">
      <c r="A422" s="110"/>
      <c r="B422" s="427"/>
      <c r="C422" s="110"/>
      <c r="D422" s="110"/>
      <c r="E422" s="110"/>
      <c r="F422" s="110"/>
      <c r="G422" s="110"/>
      <c r="H422" s="110"/>
      <c r="I422" s="4"/>
      <c r="J422" s="110"/>
      <c r="K422" s="344"/>
      <c r="L422" s="110"/>
      <c r="M422" s="110"/>
      <c r="N422" s="329"/>
      <c r="O422" s="329"/>
      <c r="P422" s="329"/>
      <c r="Q422" s="329"/>
      <c r="R422" s="329"/>
      <c r="S422" s="329"/>
      <c r="T422" s="329"/>
      <c r="U422" s="110"/>
      <c r="V422" s="110"/>
      <c r="W422" s="110"/>
      <c r="X422" s="110"/>
      <c r="Y422" s="110"/>
      <c r="Z422" s="110"/>
      <c r="AA422" s="110"/>
    </row>
    <row r="423" spans="1:27" ht="15.75" customHeight="1">
      <c r="A423" s="110"/>
      <c r="B423" s="427"/>
      <c r="C423" s="110"/>
      <c r="D423" s="110"/>
      <c r="E423" s="110"/>
      <c r="F423" s="110"/>
      <c r="G423" s="110"/>
      <c r="H423" s="110"/>
      <c r="I423" s="4"/>
      <c r="J423" s="110"/>
      <c r="K423" s="344"/>
      <c r="L423" s="110"/>
      <c r="M423" s="110"/>
      <c r="N423" s="329"/>
      <c r="O423" s="329"/>
      <c r="P423" s="329"/>
      <c r="Q423" s="329"/>
      <c r="R423" s="329"/>
      <c r="S423" s="329"/>
      <c r="T423" s="329"/>
      <c r="U423" s="110"/>
      <c r="V423" s="110"/>
      <c r="W423" s="110"/>
      <c r="X423" s="110"/>
      <c r="Y423" s="110"/>
      <c r="Z423" s="110"/>
      <c r="AA423" s="110"/>
    </row>
    <row r="424" spans="1:27" ht="15.75" customHeight="1">
      <c r="A424" s="110"/>
      <c r="B424" s="427"/>
      <c r="C424" s="110"/>
      <c r="D424" s="110"/>
      <c r="E424" s="110"/>
      <c r="F424" s="110"/>
      <c r="G424" s="110"/>
      <c r="H424" s="110"/>
      <c r="I424" s="4"/>
      <c r="J424" s="110"/>
      <c r="K424" s="344"/>
      <c r="L424" s="110"/>
      <c r="M424" s="110"/>
      <c r="N424" s="329"/>
      <c r="O424" s="329"/>
      <c r="P424" s="329"/>
      <c r="Q424" s="329"/>
      <c r="R424" s="329"/>
      <c r="S424" s="329"/>
      <c r="T424" s="329"/>
      <c r="U424" s="110"/>
      <c r="V424" s="110"/>
      <c r="W424" s="110"/>
      <c r="X424" s="110"/>
      <c r="Y424" s="110"/>
      <c r="Z424" s="110"/>
      <c r="AA424" s="110"/>
    </row>
    <row r="425" spans="1:27" ht="15.75" customHeight="1">
      <c r="A425" s="110"/>
      <c r="B425" s="427"/>
      <c r="C425" s="110"/>
      <c r="D425" s="110"/>
      <c r="E425" s="110"/>
      <c r="F425" s="110"/>
      <c r="G425" s="110"/>
      <c r="H425" s="110"/>
      <c r="I425" s="4"/>
      <c r="J425" s="110"/>
      <c r="K425" s="344"/>
      <c r="L425" s="110"/>
      <c r="M425" s="110"/>
      <c r="N425" s="329"/>
      <c r="O425" s="329"/>
      <c r="P425" s="329"/>
      <c r="Q425" s="329"/>
      <c r="R425" s="329"/>
      <c r="S425" s="329"/>
      <c r="T425" s="329"/>
      <c r="U425" s="110"/>
      <c r="V425" s="110"/>
      <c r="W425" s="110"/>
      <c r="X425" s="110"/>
      <c r="Y425" s="110"/>
      <c r="Z425" s="110"/>
      <c r="AA425" s="110"/>
    </row>
    <row r="426" spans="1:27" ht="15.75" customHeight="1">
      <c r="A426" s="110"/>
      <c r="B426" s="427"/>
      <c r="C426" s="110"/>
      <c r="D426" s="110"/>
      <c r="E426" s="110"/>
      <c r="F426" s="110"/>
      <c r="G426" s="110"/>
      <c r="H426" s="110"/>
      <c r="I426" s="4"/>
      <c r="J426" s="110"/>
      <c r="K426" s="344"/>
      <c r="L426" s="110"/>
      <c r="M426" s="110"/>
      <c r="N426" s="329"/>
      <c r="O426" s="329"/>
      <c r="P426" s="329"/>
      <c r="Q426" s="329"/>
      <c r="R426" s="329"/>
      <c r="S426" s="329"/>
      <c r="T426" s="329"/>
      <c r="U426" s="110"/>
      <c r="V426" s="110"/>
      <c r="W426" s="110"/>
      <c r="X426" s="110"/>
      <c r="Y426" s="110"/>
      <c r="Z426" s="110"/>
      <c r="AA426" s="110"/>
    </row>
    <row r="427" spans="1:27" ht="15.75" customHeight="1">
      <c r="A427" s="110"/>
      <c r="B427" s="427"/>
      <c r="C427" s="110"/>
      <c r="D427" s="110"/>
      <c r="E427" s="110"/>
      <c r="F427" s="110"/>
      <c r="G427" s="110"/>
      <c r="H427" s="110"/>
      <c r="I427" s="4"/>
      <c r="J427" s="110"/>
      <c r="K427" s="344"/>
      <c r="L427" s="110"/>
      <c r="M427" s="110"/>
      <c r="N427" s="329"/>
      <c r="O427" s="329"/>
      <c r="P427" s="329"/>
      <c r="Q427" s="329"/>
      <c r="R427" s="329"/>
      <c r="S427" s="329"/>
      <c r="T427" s="329"/>
      <c r="U427" s="110"/>
      <c r="V427" s="110"/>
      <c r="W427" s="110"/>
      <c r="X427" s="110"/>
      <c r="Y427" s="110"/>
      <c r="Z427" s="110"/>
      <c r="AA427" s="110"/>
    </row>
    <row r="428" spans="1:27" ht="15.75" customHeight="1">
      <c r="A428" s="110"/>
      <c r="B428" s="427"/>
      <c r="C428" s="110"/>
      <c r="D428" s="110"/>
      <c r="E428" s="110"/>
      <c r="F428" s="110"/>
      <c r="G428" s="110"/>
      <c r="H428" s="110"/>
      <c r="I428" s="4"/>
      <c r="J428" s="110"/>
      <c r="K428" s="344"/>
      <c r="L428" s="110"/>
      <c r="M428" s="110"/>
      <c r="N428" s="329"/>
      <c r="O428" s="329"/>
      <c r="P428" s="329"/>
      <c r="Q428" s="329"/>
      <c r="R428" s="329"/>
      <c r="S428" s="329"/>
      <c r="T428" s="329"/>
      <c r="U428" s="110"/>
      <c r="V428" s="110"/>
      <c r="W428" s="110"/>
      <c r="X428" s="110"/>
      <c r="Y428" s="110"/>
      <c r="Z428" s="110"/>
      <c r="AA428" s="110"/>
    </row>
    <row r="429" spans="1:27" ht="15.75" customHeight="1">
      <c r="A429" s="110"/>
      <c r="B429" s="427"/>
      <c r="C429" s="110"/>
      <c r="D429" s="110"/>
      <c r="E429" s="110"/>
      <c r="F429" s="110"/>
      <c r="G429" s="110"/>
      <c r="H429" s="110"/>
      <c r="I429" s="4"/>
      <c r="J429" s="110"/>
      <c r="K429" s="344"/>
      <c r="L429" s="110"/>
      <c r="M429" s="110"/>
      <c r="N429" s="329"/>
      <c r="O429" s="329"/>
      <c r="P429" s="329"/>
      <c r="Q429" s="329"/>
      <c r="R429" s="329"/>
      <c r="S429" s="329"/>
      <c r="T429" s="329"/>
      <c r="U429" s="110"/>
      <c r="V429" s="110"/>
      <c r="W429" s="110"/>
      <c r="X429" s="110"/>
      <c r="Y429" s="110"/>
      <c r="Z429" s="110"/>
      <c r="AA429" s="110"/>
    </row>
    <row r="430" spans="1:27" ht="15.75" customHeight="1">
      <c r="A430" s="110"/>
      <c r="B430" s="427"/>
      <c r="C430" s="110"/>
      <c r="D430" s="110"/>
      <c r="E430" s="110"/>
      <c r="F430" s="110"/>
      <c r="G430" s="110"/>
      <c r="H430" s="110"/>
      <c r="I430" s="4"/>
      <c r="J430" s="110"/>
      <c r="K430" s="344"/>
      <c r="L430" s="110"/>
      <c r="M430" s="110"/>
      <c r="N430" s="329"/>
      <c r="O430" s="329"/>
      <c r="P430" s="329"/>
      <c r="Q430" s="329"/>
      <c r="R430" s="329"/>
      <c r="S430" s="329"/>
      <c r="T430" s="329"/>
      <c r="U430" s="110"/>
      <c r="V430" s="110"/>
      <c r="W430" s="110"/>
      <c r="X430" s="110"/>
      <c r="Y430" s="110"/>
      <c r="Z430" s="110"/>
      <c r="AA430" s="110"/>
    </row>
    <row r="431" spans="1:27" ht="15.75" customHeight="1">
      <c r="A431" s="110"/>
      <c r="B431" s="427"/>
      <c r="C431" s="110"/>
      <c r="D431" s="110"/>
      <c r="E431" s="110"/>
      <c r="F431" s="110"/>
      <c r="G431" s="110"/>
      <c r="H431" s="110"/>
      <c r="I431" s="4"/>
      <c r="J431" s="110"/>
      <c r="K431" s="344"/>
      <c r="L431" s="110"/>
      <c r="M431" s="110"/>
      <c r="N431" s="329"/>
      <c r="O431" s="329"/>
      <c r="P431" s="329"/>
      <c r="Q431" s="329"/>
      <c r="R431" s="329"/>
      <c r="S431" s="329"/>
      <c r="T431" s="329"/>
      <c r="U431" s="110"/>
      <c r="V431" s="110"/>
      <c r="W431" s="110"/>
      <c r="X431" s="110"/>
      <c r="Y431" s="110"/>
      <c r="Z431" s="110"/>
      <c r="AA431" s="110"/>
    </row>
    <row r="432" spans="1:27" ht="15.75" customHeight="1">
      <c r="A432" s="110"/>
      <c r="B432" s="427"/>
      <c r="C432" s="110"/>
      <c r="D432" s="110"/>
      <c r="E432" s="110"/>
      <c r="F432" s="110"/>
      <c r="G432" s="110"/>
      <c r="H432" s="110"/>
      <c r="I432" s="4"/>
      <c r="J432" s="110"/>
      <c r="K432" s="344"/>
      <c r="L432" s="110"/>
      <c r="M432" s="110"/>
      <c r="N432" s="329"/>
      <c r="O432" s="329"/>
      <c r="P432" s="329"/>
      <c r="Q432" s="329"/>
      <c r="R432" s="329"/>
      <c r="S432" s="329"/>
      <c r="T432" s="329"/>
      <c r="U432" s="110"/>
      <c r="V432" s="110"/>
      <c r="W432" s="110"/>
      <c r="X432" s="110"/>
      <c r="Y432" s="110"/>
      <c r="Z432" s="110"/>
      <c r="AA432" s="110"/>
    </row>
    <row r="433" spans="1:27" ht="15.75" customHeight="1">
      <c r="A433" s="110"/>
      <c r="B433" s="427"/>
      <c r="C433" s="110"/>
      <c r="D433" s="110"/>
      <c r="E433" s="110"/>
      <c r="F433" s="110"/>
      <c r="G433" s="110"/>
      <c r="H433" s="110"/>
      <c r="I433" s="4"/>
      <c r="J433" s="110"/>
      <c r="K433" s="344"/>
      <c r="L433" s="110"/>
      <c r="M433" s="110"/>
      <c r="N433" s="329"/>
      <c r="O433" s="329"/>
      <c r="P433" s="329"/>
      <c r="Q433" s="329"/>
      <c r="R433" s="329"/>
      <c r="S433" s="329"/>
      <c r="T433" s="329"/>
      <c r="U433" s="110"/>
      <c r="V433" s="110"/>
      <c r="W433" s="110"/>
      <c r="X433" s="110"/>
      <c r="Y433" s="110"/>
      <c r="Z433" s="110"/>
      <c r="AA433" s="110"/>
    </row>
    <row r="434" spans="1:27" ht="15.75" customHeight="1">
      <c r="A434" s="110"/>
      <c r="B434" s="427"/>
      <c r="C434" s="110"/>
      <c r="D434" s="110"/>
      <c r="E434" s="110"/>
      <c r="F434" s="110"/>
      <c r="G434" s="110"/>
      <c r="H434" s="110"/>
      <c r="I434" s="4"/>
      <c r="J434" s="110"/>
      <c r="K434" s="344"/>
      <c r="L434" s="110"/>
      <c r="M434" s="110"/>
      <c r="N434" s="329"/>
      <c r="O434" s="329"/>
      <c r="P434" s="329"/>
      <c r="Q434" s="329"/>
      <c r="R434" s="329"/>
      <c r="S434" s="329"/>
      <c r="T434" s="329"/>
      <c r="U434" s="110"/>
      <c r="V434" s="110"/>
      <c r="W434" s="110"/>
      <c r="X434" s="110"/>
      <c r="Y434" s="110"/>
      <c r="Z434" s="110"/>
      <c r="AA434" s="110"/>
    </row>
    <row r="435" spans="1:27" ht="15.75" customHeight="1">
      <c r="A435" s="110"/>
      <c r="B435" s="427"/>
      <c r="C435" s="110"/>
      <c r="D435" s="110"/>
      <c r="E435" s="110"/>
      <c r="F435" s="110"/>
      <c r="G435" s="110"/>
      <c r="H435" s="110"/>
      <c r="I435" s="4"/>
      <c r="J435" s="110"/>
      <c r="K435" s="344"/>
      <c r="L435" s="110"/>
      <c r="M435" s="110"/>
      <c r="N435" s="329"/>
      <c r="O435" s="329"/>
      <c r="P435" s="329"/>
      <c r="Q435" s="329"/>
      <c r="R435" s="329"/>
      <c r="S435" s="329"/>
      <c r="T435" s="329"/>
      <c r="U435" s="110"/>
      <c r="V435" s="110"/>
      <c r="W435" s="110"/>
      <c r="X435" s="110"/>
      <c r="Y435" s="110"/>
      <c r="Z435" s="110"/>
      <c r="AA435" s="110"/>
    </row>
    <row r="436" spans="1:27" ht="15.75" customHeight="1">
      <c r="A436" s="110"/>
      <c r="B436" s="427"/>
      <c r="C436" s="110"/>
      <c r="D436" s="110"/>
      <c r="E436" s="110"/>
      <c r="F436" s="110"/>
      <c r="G436" s="110"/>
      <c r="H436" s="110"/>
      <c r="I436" s="4"/>
      <c r="J436" s="110"/>
      <c r="K436" s="344"/>
      <c r="L436" s="110"/>
      <c r="M436" s="110"/>
      <c r="N436" s="329"/>
      <c r="O436" s="329"/>
      <c r="P436" s="329"/>
      <c r="Q436" s="329"/>
      <c r="R436" s="329"/>
      <c r="S436" s="329"/>
      <c r="T436" s="329"/>
      <c r="U436" s="110"/>
      <c r="V436" s="110"/>
      <c r="W436" s="110"/>
      <c r="X436" s="110"/>
      <c r="Y436" s="110"/>
      <c r="Z436" s="110"/>
      <c r="AA436" s="110"/>
    </row>
    <row r="437" spans="1:27" ht="15.75" customHeight="1">
      <c r="A437" s="110"/>
      <c r="B437" s="427"/>
      <c r="C437" s="110"/>
      <c r="D437" s="110"/>
      <c r="E437" s="110"/>
      <c r="F437" s="110"/>
      <c r="G437" s="110"/>
      <c r="H437" s="110"/>
      <c r="I437" s="4"/>
      <c r="J437" s="110"/>
      <c r="K437" s="344"/>
      <c r="L437" s="110"/>
      <c r="M437" s="110"/>
      <c r="N437" s="329"/>
      <c r="O437" s="329"/>
      <c r="P437" s="329"/>
      <c r="Q437" s="329"/>
      <c r="R437" s="329"/>
      <c r="S437" s="329"/>
      <c r="T437" s="329"/>
      <c r="U437" s="110"/>
      <c r="V437" s="110"/>
      <c r="W437" s="110"/>
      <c r="X437" s="110"/>
      <c r="Y437" s="110"/>
      <c r="Z437" s="110"/>
      <c r="AA437" s="110"/>
    </row>
    <row r="438" spans="1:27" ht="15.75" customHeight="1">
      <c r="A438" s="110"/>
      <c r="B438" s="427"/>
      <c r="C438" s="110"/>
      <c r="D438" s="110"/>
      <c r="E438" s="110"/>
      <c r="F438" s="110"/>
      <c r="G438" s="110"/>
      <c r="H438" s="110"/>
      <c r="I438" s="4"/>
      <c r="J438" s="110"/>
      <c r="K438" s="344"/>
      <c r="L438" s="110"/>
      <c r="M438" s="110"/>
      <c r="N438" s="329"/>
      <c r="O438" s="329"/>
      <c r="P438" s="329"/>
      <c r="Q438" s="329"/>
      <c r="R438" s="329"/>
      <c r="S438" s="329"/>
      <c r="T438" s="329"/>
      <c r="U438" s="110"/>
      <c r="V438" s="110"/>
      <c r="W438" s="110"/>
      <c r="X438" s="110"/>
      <c r="Y438" s="110"/>
      <c r="Z438" s="110"/>
      <c r="AA438" s="110"/>
    </row>
    <row r="439" spans="1:27" ht="15.75" customHeight="1">
      <c r="A439" s="110"/>
      <c r="B439" s="427"/>
      <c r="C439" s="110"/>
      <c r="D439" s="110"/>
      <c r="E439" s="110"/>
      <c r="F439" s="110"/>
      <c r="G439" s="110"/>
      <c r="H439" s="110"/>
      <c r="I439" s="4"/>
      <c r="J439" s="110"/>
      <c r="K439" s="344"/>
      <c r="L439" s="110"/>
      <c r="M439" s="110"/>
      <c r="N439" s="329"/>
      <c r="O439" s="329"/>
      <c r="P439" s="329"/>
      <c r="Q439" s="329"/>
      <c r="R439" s="329"/>
      <c r="S439" s="329"/>
      <c r="T439" s="329"/>
      <c r="U439" s="110"/>
      <c r="V439" s="110"/>
      <c r="W439" s="110"/>
      <c r="X439" s="110"/>
      <c r="Y439" s="110"/>
      <c r="Z439" s="110"/>
      <c r="AA439" s="110"/>
    </row>
    <row r="440" spans="1:27" ht="15.75" customHeight="1">
      <c r="A440" s="110"/>
      <c r="B440" s="427"/>
      <c r="C440" s="110"/>
      <c r="D440" s="110"/>
      <c r="E440" s="110"/>
      <c r="F440" s="110"/>
      <c r="G440" s="110"/>
      <c r="H440" s="110"/>
      <c r="I440" s="4"/>
      <c r="J440" s="110"/>
      <c r="K440" s="344"/>
      <c r="L440" s="110"/>
      <c r="M440" s="110"/>
      <c r="N440" s="329"/>
      <c r="O440" s="329"/>
      <c r="P440" s="329"/>
      <c r="Q440" s="329"/>
      <c r="R440" s="329"/>
      <c r="S440" s="329"/>
      <c r="T440" s="329"/>
      <c r="U440" s="110"/>
      <c r="V440" s="110"/>
      <c r="W440" s="110"/>
      <c r="X440" s="110"/>
      <c r="Y440" s="110"/>
      <c r="Z440" s="110"/>
      <c r="AA440" s="110"/>
    </row>
    <row r="441" spans="1:27" ht="15.75" customHeight="1">
      <c r="A441" s="110"/>
      <c r="B441" s="427"/>
      <c r="C441" s="110"/>
      <c r="D441" s="110"/>
      <c r="E441" s="110"/>
      <c r="F441" s="110"/>
      <c r="G441" s="110"/>
      <c r="H441" s="110"/>
      <c r="I441" s="4"/>
      <c r="J441" s="110"/>
      <c r="K441" s="344"/>
      <c r="L441" s="110"/>
      <c r="M441" s="110"/>
      <c r="N441" s="329"/>
      <c r="O441" s="329"/>
      <c r="P441" s="329"/>
      <c r="Q441" s="329"/>
      <c r="R441" s="329"/>
      <c r="S441" s="329"/>
      <c r="T441" s="329"/>
      <c r="U441" s="110"/>
      <c r="V441" s="110"/>
      <c r="W441" s="110"/>
      <c r="X441" s="110"/>
      <c r="Y441" s="110"/>
      <c r="Z441" s="110"/>
      <c r="AA441" s="110"/>
    </row>
    <row r="442" spans="1:27" ht="15.75" customHeight="1">
      <c r="A442" s="110"/>
      <c r="B442" s="427"/>
      <c r="C442" s="110"/>
      <c r="D442" s="110"/>
      <c r="E442" s="110"/>
      <c r="F442" s="110"/>
      <c r="G442" s="110"/>
      <c r="H442" s="110"/>
      <c r="I442" s="4"/>
      <c r="J442" s="110"/>
      <c r="K442" s="344"/>
      <c r="L442" s="110"/>
      <c r="M442" s="110"/>
      <c r="N442" s="329"/>
      <c r="O442" s="329"/>
      <c r="P442" s="329"/>
      <c r="Q442" s="329"/>
      <c r="R442" s="329"/>
      <c r="S442" s="329"/>
      <c r="T442" s="329"/>
      <c r="U442" s="110"/>
      <c r="V442" s="110"/>
      <c r="W442" s="110"/>
      <c r="X442" s="110"/>
      <c r="Y442" s="110"/>
      <c r="Z442" s="110"/>
      <c r="AA442" s="110"/>
    </row>
    <row r="443" spans="1:27" ht="15.75" customHeight="1">
      <c r="A443" s="110"/>
      <c r="B443" s="427"/>
      <c r="C443" s="110"/>
      <c r="D443" s="110"/>
      <c r="E443" s="110"/>
      <c r="F443" s="110"/>
      <c r="G443" s="110"/>
      <c r="H443" s="110"/>
      <c r="I443" s="4"/>
      <c r="J443" s="110"/>
      <c r="K443" s="344"/>
      <c r="L443" s="110"/>
      <c r="M443" s="110"/>
      <c r="N443" s="329"/>
      <c r="O443" s="329"/>
      <c r="P443" s="329"/>
      <c r="Q443" s="329"/>
      <c r="R443" s="329"/>
      <c r="S443" s="329"/>
      <c r="T443" s="329"/>
      <c r="U443" s="110"/>
      <c r="V443" s="110"/>
      <c r="W443" s="110"/>
      <c r="X443" s="110"/>
      <c r="Y443" s="110"/>
      <c r="Z443" s="110"/>
      <c r="AA443" s="110"/>
    </row>
    <row r="444" spans="1:27" ht="15.75" customHeight="1">
      <c r="A444" s="110"/>
      <c r="B444" s="427"/>
      <c r="C444" s="110"/>
      <c r="D444" s="110"/>
      <c r="E444" s="110"/>
      <c r="F444" s="110"/>
      <c r="G444" s="110"/>
      <c r="H444" s="110"/>
      <c r="I444" s="4"/>
      <c r="J444" s="110"/>
      <c r="K444" s="344"/>
      <c r="L444" s="110"/>
      <c r="M444" s="110"/>
      <c r="N444" s="329"/>
      <c r="O444" s="329"/>
      <c r="P444" s="329"/>
      <c r="Q444" s="329"/>
      <c r="R444" s="329"/>
      <c r="S444" s="329"/>
      <c r="T444" s="329"/>
      <c r="U444" s="110"/>
      <c r="V444" s="110"/>
      <c r="W444" s="110"/>
      <c r="X444" s="110"/>
      <c r="Y444" s="110"/>
      <c r="Z444" s="110"/>
      <c r="AA444" s="110"/>
    </row>
    <row r="445" spans="1:27" ht="15.75" customHeight="1">
      <c r="A445" s="110"/>
      <c r="B445" s="427"/>
      <c r="C445" s="110"/>
      <c r="D445" s="110"/>
      <c r="E445" s="110"/>
      <c r="F445" s="110"/>
      <c r="G445" s="110"/>
      <c r="H445" s="110"/>
      <c r="I445" s="4"/>
      <c r="J445" s="110"/>
      <c r="K445" s="344"/>
      <c r="L445" s="110"/>
      <c r="M445" s="110"/>
      <c r="N445" s="329"/>
      <c r="O445" s="329"/>
      <c r="P445" s="329"/>
      <c r="Q445" s="329"/>
      <c r="R445" s="329"/>
      <c r="S445" s="329"/>
      <c r="T445" s="329"/>
      <c r="U445" s="110"/>
      <c r="V445" s="110"/>
      <c r="W445" s="110"/>
      <c r="X445" s="110"/>
      <c r="Y445" s="110"/>
      <c r="Z445" s="110"/>
      <c r="AA445" s="110"/>
    </row>
    <row r="446" spans="1:27" ht="15.75" customHeight="1">
      <c r="A446" s="110"/>
      <c r="B446" s="427"/>
      <c r="C446" s="110"/>
      <c r="D446" s="110"/>
      <c r="E446" s="110"/>
      <c r="F446" s="110"/>
      <c r="G446" s="110"/>
      <c r="H446" s="110"/>
      <c r="I446" s="4"/>
      <c r="J446" s="110"/>
      <c r="K446" s="344"/>
      <c r="L446" s="110"/>
      <c r="M446" s="110"/>
      <c r="N446" s="329"/>
      <c r="O446" s="329"/>
      <c r="P446" s="329"/>
      <c r="Q446" s="329"/>
      <c r="R446" s="329"/>
      <c r="S446" s="329"/>
      <c r="T446" s="329"/>
      <c r="U446" s="110"/>
      <c r="V446" s="110"/>
      <c r="W446" s="110"/>
      <c r="X446" s="110"/>
      <c r="Y446" s="110"/>
      <c r="Z446" s="110"/>
      <c r="AA446" s="110"/>
    </row>
    <row r="447" spans="1:27" ht="15.75" customHeight="1">
      <c r="A447" s="110"/>
      <c r="B447" s="427"/>
      <c r="C447" s="110"/>
      <c r="D447" s="110"/>
      <c r="E447" s="110"/>
      <c r="F447" s="110"/>
      <c r="G447" s="110"/>
      <c r="H447" s="110"/>
      <c r="I447" s="4"/>
      <c r="J447" s="110"/>
      <c r="K447" s="344"/>
      <c r="L447" s="110"/>
      <c r="M447" s="110"/>
      <c r="N447" s="329"/>
      <c r="O447" s="329"/>
      <c r="P447" s="329"/>
      <c r="Q447" s="329"/>
      <c r="R447" s="329"/>
      <c r="S447" s="329"/>
      <c r="T447" s="329"/>
      <c r="U447" s="110"/>
      <c r="V447" s="110"/>
      <c r="W447" s="110"/>
      <c r="X447" s="110"/>
      <c r="Y447" s="110"/>
      <c r="Z447" s="110"/>
      <c r="AA447" s="110"/>
    </row>
    <row r="448" spans="1:27" ht="15.75" customHeight="1">
      <c r="A448" s="110"/>
      <c r="B448" s="427"/>
      <c r="C448" s="110"/>
      <c r="D448" s="110"/>
      <c r="E448" s="110"/>
      <c r="F448" s="110"/>
      <c r="G448" s="110"/>
      <c r="H448" s="110"/>
      <c r="I448" s="4"/>
      <c r="J448" s="110"/>
      <c r="K448" s="344"/>
      <c r="L448" s="110"/>
      <c r="M448" s="110"/>
      <c r="N448" s="329"/>
      <c r="O448" s="329"/>
      <c r="P448" s="329"/>
      <c r="Q448" s="329"/>
      <c r="R448" s="329"/>
      <c r="S448" s="329"/>
      <c r="T448" s="329"/>
      <c r="U448" s="110"/>
      <c r="V448" s="110"/>
      <c r="W448" s="110"/>
      <c r="X448" s="110"/>
      <c r="Y448" s="110"/>
      <c r="Z448" s="110"/>
      <c r="AA448" s="110"/>
    </row>
    <row r="449" spans="1:27" ht="15.75" customHeight="1">
      <c r="A449" s="110"/>
      <c r="B449" s="427"/>
      <c r="C449" s="110"/>
      <c r="D449" s="110"/>
      <c r="E449" s="110"/>
      <c r="F449" s="110"/>
      <c r="G449" s="110"/>
      <c r="H449" s="110"/>
      <c r="I449" s="4"/>
      <c r="J449" s="110"/>
      <c r="K449" s="344"/>
      <c r="L449" s="110"/>
      <c r="M449" s="110"/>
      <c r="N449" s="329"/>
      <c r="O449" s="329"/>
      <c r="P449" s="329"/>
      <c r="Q449" s="329"/>
      <c r="R449" s="329"/>
      <c r="S449" s="329"/>
      <c r="T449" s="329"/>
      <c r="U449" s="110"/>
      <c r="V449" s="110"/>
      <c r="W449" s="110"/>
      <c r="X449" s="110"/>
      <c r="Y449" s="110"/>
      <c r="Z449" s="110"/>
      <c r="AA449" s="110"/>
    </row>
    <row r="450" spans="1:27" ht="15.75" customHeight="1">
      <c r="A450" s="110"/>
      <c r="B450" s="427"/>
      <c r="C450" s="110"/>
      <c r="D450" s="110"/>
      <c r="E450" s="110"/>
      <c r="F450" s="110"/>
      <c r="G450" s="110"/>
      <c r="H450" s="110"/>
      <c r="I450" s="4"/>
      <c r="J450" s="110"/>
      <c r="K450" s="344"/>
      <c r="L450" s="110"/>
      <c r="M450" s="110"/>
      <c r="N450" s="329"/>
      <c r="O450" s="329"/>
      <c r="P450" s="329"/>
      <c r="Q450" s="329"/>
      <c r="R450" s="329"/>
      <c r="S450" s="329"/>
      <c r="T450" s="329"/>
      <c r="U450" s="110"/>
      <c r="V450" s="110"/>
      <c r="W450" s="110"/>
      <c r="X450" s="110"/>
      <c r="Y450" s="110"/>
      <c r="Z450" s="110"/>
      <c r="AA450" s="110"/>
    </row>
    <row r="451" spans="1:27" ht="15.75" customHeight="1">
      <c r="A451" s="110"/>
      <c r="B451" s="427"/>
      <c r="C451" s="110"/>
      <c r="D451" s="110"/>
      <c r="E451" s="110"/>
      <c r="F451" s="110"/>
      <c r="G451" s="110"/>
      <c r="H451" s="110"/>
      <c r="I451" s="4"/>
      <c r="J451" s="110"/>
      <c r="K451" s="344"/>
      <c r="L451" s="110"/>
      <c r="M451" s="110"/>
      <c r="N451" s="329"/>
      <c r="O451" s="329"/>
      <c r="P451" s="329"/>
      <c r="Q451" s="329"/>
      <c r="R451" s="329"/>
      <c r="S451" s="329"/>
      <c r="T451" s="329"/>
      <c r="U451" s="110"/>
      <c r="V451" s="110"/>
      <c r="W451" s="110"/>
      <c r="X451" s="110"/>
      <c r="Y451" s="110"/>
      <c r="Z451" s="110"/>
      <c r="AA451" s="110"/>
    </row>
    <row r="452" spans="1:27" ht="15.75" customHeight="1">
      <c r="A452" s="110"/>
      <c r="B452" s="427"/>
      <c r="C452" s="110"/>
      <c r="D452" s="110"/>
      <c r="E452" s="110"/>
      <c r="F452" s="110"/>
      <c r="G452" s="110"/>
      <c r="H452" s="110"/>
      <c r="I452" s="4"/>
      <c r="J452" s="110"/>
      <c r="K452" s="344"/>
      <c r="L452" s="110"/>
      <c r="M452" s="110"/>
      <c r="N452" s="329"/>
      <c r="O452" s="329"/>
      <c r="P452" s="329"/>
      <c r="Q452" s="329"/>
      <c r="R452" s="329"/>
      <c r="S452" s="329"/>
      <c r="T452" s="329"/>
      <c r="U452" s="110"/>
      <c r="V452" s="110"/>
      <c r="W452" s="110"/>
      <c r="X452" s="110"/>
      <c r="Y452" s="110"/>
      <c r="Z452" s="110"/>
      <c r="AA452" s="110"/>
    </row>
    <row r="453" spans="1:27" ht="15.75" customHeight="1">
      <c r="A453" s="110"/>
      <c r="B453" s="427"/>
      <c r="C453" s="110"/>
      <c r="D453" s="110"/>
      <c r="E453" s="110"/>
      <c r="F453" s="110"/>
      <c r="G453" s="110"/>
      <c r="H453" s="110"/>
      <c r="I453" s="4"/>
      <c r="J453" s="110"/>
      <c r="K453" s="344"/>
      <c r="L453" s="110"/>
      <c r="M453" s="110"/>
      <c r="N453" s="329"/>
      <c r="O453" s="329"/>
      <c r="P453" s="329"/>
      <c r="Q453" s="329"/>
      <c r="R453" s="329"/>
      <c r="S453" s="329"/>
      <c r="T453" s="329"/>
      <c r="U453" s="110"/>
      <c r="V453" s="110"/>
      <c r="W453" s="110"/>
      <c r="X453" s="110"/>
      <c r="Y453" s="110"/>
      <c r="Z453" s="110"/>
      <c r="AA453" s="110"/>
    </row>
    <row r="454" spans="1:27" ht="15.75" customHeight="1">
      <c r="A454" s="110"/>
      <c r="B454" s="427"/>
      <c r="C454" s="110"/>
      <c r="D454" s="110"/>
      <c r="E454" s="110"/>
      <c r="F454" s="110"/>
      <c r="G454" s="110"/>
      <c r="H454" s="110"/>
      <c r="I454" s="4"/>
      <c r="J454" s="110"/>
      <c r="K454" s="344"/>
      <c r="L454" s="110"/>
      <c r="M454" s="110"/>
      <c r="N454" s="329"/>
      <c r="O454" s="329"/>
      <c r="P454" s="329"/>
      <c r="Q454" s="329"/>
      <c r="R454" s="329"/>
      <c r="S454" s="329"/>
      <c r="T454" s="329"/>
      <c r="U454" s="110"/>
      <c r="V454" s="110"/>
      <c r="W454" s="110"/>
      <c r="X454" s="110"/>
      <c r="Y454" s="110"/>
      <c r="Z454" s="110"/>
      <c r="AA454" s="110"/>
    </row>
    <row r="455" spans="1:27" ht="15.75" customHeight="1">
      <c r="A455" s="110"/>
      <c r="B455" s="427"/>
      <c r="C455" s="110"/>
      <c r="D455" s="110"/>
      <c r="E455" s="110"/>
      <c r="F455" s="110"/>
      <c r="G455" s="110"/>
      <c r="H455" s="110"/>
      <c r="I455" s="4"/>
      <c r="J455" s="110"/>
      <c r="K455" s="344"/>
      <c r="L455" s="110"/>
      <c r="M455" s="110"/>
      <c r="N455" s="329"/>
      <c r="O455" s="329"/>
      <c r="P455" s="329"/>
      <c r="Q455" s="329"/>
      <c r="R455" s="329"/>
      <c r="S455" s="329"/>
      <c r="T455" s="329"/>
      <c r="U455" s="110"/>
      <c r="V455" s="110"/>
      <c r="W455" s="110"/>
      <c r="X455" s="110"/>
      <c r="Y455" s="110"/>
      <c r="Z455" s="110"/>
      <c r="AA455" s="110"/>
    </row>
    <row r="456" spans="1:27" ht="15.75" customHeight="1">
      <c r="A456" s="110"/>
      <c r="B456" s="427"/>
      <c r="C456" s="110"/>
      <c r="D456" s="110"/>
      <c r="E456" s="110"/>
      <c r="F456" s="110"/>
      <c r="G456" s="110"/>
      <c r="H456" s="110"/>
      <c r="I456" s="4"/>
      <c r="J456" s="110"/>
      <c r="K456" s="344"/>
      <c r="L456" s="110"/>
      <c r="M456" s="110"/>
      <c r="N456" s="329"/>
      <c r="O456" s="329"/>
      <c r="P456" s="329"/>
      <c r="Q456" s="329"/>
      <c r="R456" s="329"/>
      <c r="S456" s="329"/>
      <c r="T456" s="329"/>
      <c r="U456" s="110"/>
      <c r="V456" s="110"/>
      <c r="W456" s="110"/>
      <c r="X456" s="110"/>
      <c r="Y456" s="110"/>
      <c r="Z456" s="110"/>
      <c r="AA456" s="110"/>
    </row>
    <row r="457" spans="1:27" ht="15.75" customHeight="1">
      <c r="A457" s="110"/>
      <c r="B457" s="427"/>
      <c r="C457" s="110"/>
      <c r="D457" s="110"/>
      <c r="E457" s="110"/>
      <c r="F457" s="110"/>
      <c r="G457" s="110"/>
      <c r="H457" s="110"/>
      <c r="I457" s="4"/>
      <c r="J457" s="110"/>
      <c r="K457" s="344"/>
      <c r="L457" s="110"/>
      <c r="M457" s="110"/>
      <c r="N457" s="329"/>
      <c r="O457" s="329"/>
      <c r="P457" s="329"/>
      <c r="Q457" s="329"/>
      <c r="R457" s="329"/>
      <c r="S457" s="329"/>
      <c r="T457" s="329"/>
      <c r="U457" s="110"/>
      <c r="V457" s="110"/>
      <c r="W457" s="110"/>
      <c r="X457" s="110"/>
      <c r="Y457" s="110"/>
      <c r="Z457" s="110"/>
      <c r="AA457" s="110"/>
    </row>
    <row r="458" spans="1:27" ht="15.75" customHeight="1">
      <c r="A458" s="110"/>
      <c r="B458" s="427"/>
      <c r="C458" s="110"/>
      <c r="D458" s="110"/>
      <c r="E458" s="110"/>
      <c r="F458" s="110"/>
      <c r="G458" s="110"/>
      <c r="H458" s="110"/>
      <c r="I458" s="4"/>
      <c r="J458" s="110"/>
      <c r="K458" s="344"/>
      <c r="L458" s="110"/>
      <c r="M458" s="110"/>
      <c r="N458" s="329"/>
      <c r="O458" s="329"/>
      <c r="P458" s="329"/>
      <c r="Q458" s="329"/>
      <c r="R458" s="329"/>
      <c r="S458" s="329"/>
      <c r="T458" s="329"/>
      <c r="U458" s="110"/>
      <c r="V458" s="110"/>
      <c r="W458" s="110"/>
      <c r="X458" s="110"/>
      <c r="Y458" s="110"/>
      <c r="Z458" s="110"/>
      <c r="AA458" s="110"/>
    </row>
    <row r="459" spans="1:27" ht="15.75" customHeight="1">
      <c r="A459" s="110"/>
      <c r="B459" s="427"/>
      <c r="C459" s="110"/>
      <c r="D459" s="110"/>
      <c r="E459" s="110"/>
      <c r="F459" s="110"/>
      <c r="G459" s="110"/>
      <c r="H459" s="110"/>
      <c r="I459" s="4"/>
      <c r="J459" s="110"/>
      <c r="K459" s="344"/>
      <c r="L459" s="110"/>
      <c r="M459" s="110"/>
      <c r="N459" s="329"/>
      <c r="O459" s="329"/>
      <c r="P459" s="329"/>
      <c r="Q459" s="329"/>
      <c r="R459" s="329"/>
      <c r="S459" s="329"/>
      <c r="T459" s="329"/>
      <c r="U459" s="110"/>
      <c r="V459" s="110"/>
      <c r="W459" s="110"/>
      <c r="X459" s="110"/>
      <c r="Y459" s="110"/>
      <c r="Z459" s="110"/>
      <c r="AA459" s="110"/>
    </row>
    <row r="460" spans="1:27" ht="15.75" customHeight="1">
      <c r="A460" s="110"/>
      <c r="B460" s="427"/>
      <c r="C460" s="110"/>
      <c r="D460" s="110"/>
      <c r="E460" s="110"/>
      <c r="F460" s="110"/>
      <c r="G460" s="110"/>
      <c r="H460" s="110"/>
      <c r="I460" s="4"/>
      <c r="J460" s="110"/>
      <c r="K460" s="344"/>
      <c r="L460" s="110"/>
      <c r="M460" s="110"/>
      <c r="N460" s="329"/>
      <c r="O460" s="329"/>
      <c r="P460" s="329"/>
      <c r="Q460" s="329"/>
      <c r="R460" s="329"/>
      <c r="S460" s="329"/>
      <c r="T460" s="329"/>
      <c r="U460" s="110"/>
      <c r="V460" s="110"/>
      <c r="W460" s="110"/>
      <c r="X460" s="110"/>
      <c r="Y460" s="110"/>
      <c r="Z460" s="110"/>
      <c r="AA460" s="110"/>
    </row>
    <row r="461" spans="1:27" ht="15.75" customHeight="1">
      <c r="A461" s="110"/>
      <c r="B461" s="427"/>
      <c r="C461" s="110"/>
      <c r="D461" s="110"/>
      <c r="E461" s="110"/>
      <c r="F461" s="110"/>
      <c r="G461" s="110"/>
      <c r="H461" s="110"/>
      <c r="I461" s="4"/>
      <c r="J461" s="110"/>
      <c r="K461" s="344"/>
      <c r="L461" s="110"/>
      <c r="M461" s="110"/>
      <c r="N461" s="329"/>
      <c r="O461" s="329"/>
      <c r="P461" s="329"/>
      <c r="Q461" s="329"/>
      <c r="R461" s="329"/>
      <c r="S461" s="329"/>
      <c r="T461" s="329"/>
      <c r="U461" s="110"/>
      <c r="V461" s="110"/>
      <c r="W461" s="110"/>
      <c r="X461" s="110"/>
      <c r="Y461" s="110"/>
      <c r="Z461" s="110"/>
      <c r="AA461" s="110"/>
    </row>
    <row r="462" spans="1:27" ht="15.75" customHeight="1">
      <c r="A462" s="110"/>
      <c r="B462" s="427"/>
      <c r="C462" s="110"/>
      <c r="D462" s="110"/>
      <c r="E462" s="110"/>
      <c r="F462" s="110"/>
      <c r="G462" s="110"/>
      <c r="H462" s="110"/>
      <c r="I462" s="4"/>
      <c r="J462" s="110"/>
      <c r="K462" s="344"/>
      <c r="L462" s="110"/>
      <c r="M462" s="110"/>
      <c r="N462" s="329"/>
      <c r="O462" s="329"/>
      <c r="P462" s="329"/>
      <c r="Q462" s="329"/>
      <c r="R462" s="329"/>
      <c r="S462" s="329"/>
      <c r="T462" s="329"/>
      <c r="U462" s="110"/>
      <c r="V462" s="110"/>
      <c r="W462" s="110"/>
      <c r="X462" s="110"/>
      <c r="Y462" s="110"/>
      <c r="Z462" s="110"/>
      <c r="AA462" s="110"/>
    </row>
    <row r="463" spans="1:27" ht="15.75" customHeight="1">
      <c r="A463" s="110"/>
      <c r="B463" s="427"/>
      <c r="C463" s="110"/>
      <c r="D463" s="110"/>
      <c r="E463" s="110"/>
      <c r="F463" s="110"/>
      <c r="G463" s="110"/>
      <c r="H463" s="110"/>
      <c r="I463" s="4"/>
      <c r="J463" s="110"/>
      <c r="K463" s="344"/>
      <c r="L463" s="110"/>
      <c r="M463" s="110"/>
      <c r="N463" s="329"/>
      <c r="O463" s="329"/>
      <c r="P463" s="329"/>
      <c r="Q463" s="329"/>
      <c r="R463" s="329"/>
      <c r="S463" s="329"/>
      <c r="T463" s="329"/>
      <c r="U463" s="110"/>
      <c r="V463" s="110"/>
      <c r="W463" s="110"/>
      <c r="X463" s="110"/>
      <c r="Y463" s="110"/>
      <c r="Z463" s="110"/>
      <c r="AA463" s="110"/>
    </row>
    <row r="464" spans="1:27" ht="15.75" customHeight="1">
      <c r="A464" s="110"/>
      <c r="B464" s="427"/>
      <c r="C464" s="110"/>
      <c r="D464" s="110"/>
      <c r="E464" s="110"/>
      <c r="F464" s="110"/>
      <c r="G464" s="110"/>
      <c r="H464" s="110"/>
      <c r="I464" s="4"/>
      <c r="J464" s="110"/>
      <c r="K464" s="344"/>
      <c r="L464" s="110"/>
      <c r="M464" s="110"/>
      <c r="N464" s="329"/>
      <c r="O464" s="329"/>
      <c r="P464" s="329"/>
      <c r="Q464" s="329"/>
      <c r="R464" s="329"/>
      <c r="S464" s="329"/>
      <c r="T464" s="329"/>
      <c r="U464" s="110"/>
      <c r="V464" s="110"/>
      <c r="W464" s="110"/>
      <c r="X464" s="110"/>
      <c r="Y464" s="110"/>
      <c r="Z464" s="110"/>
      <c r="AA464" s="110"/>
    </row>
    <row r="465" spans="1:27" ht="15.75" customHeight="1">
      <c r="A465" s="110"/>
      <c r="B465" s="427"/>
      <c r="C465" s="110"/>
      <c r="D465" s="110"/>
      <c r="E465" s="110"/>
      <c r="F465" s="110"/>
      <c r="G465" s="110"/>
      <c r="H465" s="110"/>
      <c r="I465" s="4"/>
      <c r="J465" s="110"/>
      <c r="K465" s="344"/>
      <c r="L465" s="110"/>
      <c r="M465" s="110"/>
      <c r="N465" s="329"/>
      <c r="O465" s="329"/>
      <c r="P465" s="329"/>
      <c r="Q465" s="329"/>
      <c r="R465" s="329"/>
      <c r="S465" s="329"/>
      <c r="T465" s="329"/>
      <c r="U465" s="110"/>
      <c r="V465" s="110"/>
      <c r="W465" s="110"/>
      <c r="X465" s="110"/>
      <c r="Y465" s="110"/>
      <c r="Z465" s="110"/>
      <c r="AA465" s="110"/>
    </row>
    <row r="466" spans="1:27" ht="15.75" customHeight="1">
      <c r="A466" s="110"/>
      <c r="B466" s="427"/>
      <c r="C466" s="110"/>
      <c r="D466" s="110"/>
      <c r="E466" s="110"/>
      <c r="F466" s="110"/>
      <c r="G466" s="110"/>
      <c r="H466" s="110"/>
      <c r="I466" s="4"/>
      <c r="J466" s="110"/>
      <c r="K466" s="344"/>
      <c r="L466" s="110"/>
      <c r="M466" s="110"/>
      <c r="N466" s="329"/>
      <c r="O466" s="329"/>
      <c r="P466" s="329"/>
      <c r="Q466" s="329"/>
      <c r="R466" s="329"/>
      <c r="S466" s="329"/>
      <c r="T466" s="329"/>
      <c r="U466" s="110"/>
      <c r="V466" s="110"/>
      <c r="W466" s="110"/>
      <c r="X466" s="110"/>
      <c r="Y466" s="110"/>
      <c r="Z466" s="110"/>
      <c r="AA466" s="110"/>
    </row>
    <row r="467" spans="1:27" ht="15.75" customHeight="1">
      <c r="A467" s="110"/>
      <c r="B467" s="427"/>
      <c r="C467" s="110"/>
      <c r="D467" s="110"/>
      <c r="E467" s="110"/>
      <c r="F467" s="110"/>
      <c r="G467" s="110"/>
      <c r="H467" s="110"/>
      <c r="I467" s="4"/>
      <c r="J467" s="110"/>
      <c r="K467" s="344"/>
      <c r="L467" s="110"/>
      <c r="M467" s="110"/>
      <c r="N467" s="329"/>
      <c r="O467" s="329"/>
      <c r="P467" s="329"/>
      <c r="Q467" s="329"/>
      <c r="R467" s="329"/>
      <c r="S467" s="329"/>
      <c r="T467" s="329"/>
      <c r="U467" s="110"/>
      <c r="V467" s="110"/>
      <c r="W467" s="110"/>
      <c r="X467" s="110"/>
      <c r="Y467" s="110"/>
      <c r="Z467" s="110"/>
      <c r="AA467" s="110"/>
    </row>
    <row r="468" spans="1:27" ht="15.75" customHeight="1">
      <c r="A468" s="110"/>
      <c r="B468" s="427"/>
      <c r="C468" s="110"/>
      <c r="D468" s="110"/>
      <c r="E468" s="110"/>
      <c r="F468" s="110"/>
      <c r="G468" s="110"/>
      <c r="H468" s="110"/>
      <c r="I468" s="4"/>
      <c r="J468" s="110"/>
      <c r="K468" s="344"/>
      <c r="L468" s="110"/>
      <c r="M468" s="110"/>
      <c r="N468" s="329"/>
      <c r="O468" s="329"/>
      <c r="P468" s="329"/>
      <c r="Q468" s="329"/>
      <c r="R468" s="329"/>
      <c r="S468" s="329"/>
      <c r="T468" s="329"/>
      <c r="U468" s="110"/>
      <c r="V468" s="110"/>
      <c r="W468" s="110"/>
      <c r="X468" s="110"/>
      <c r="Y468" s="110"/>
      <c r="Z468" s="110"/>
      <c r="AA468" s="110"/>
    </row>
    <row r="469" spans="1:27" ht="15.75" customHeight="1">
      <c r="A469" s="110"/>
      <c r="B469" s="427"/>
      <c r="C469" s="110"/>
      <c r="D469" s="110"/>
      <c r="E469" s="110"/>
      <c r="F469" s="110"/>
      <c r="G469" s="110"/>
      <c r="H469" s="110"/>
      <c r="I469" s="4"/>
      <c r="J469" s="110"/>
      <c r="K469" s="344"/>
      <c r="L469" s="110"/>
      <c r="M469" s="110"/>
      <c r="N469" s="329"/>
      <c r="O469" s="329"/>
      <c r="P469" s="329"/>
      <c r="Q469" s="329"/>
      <c r="R469" s="329"/>
      <c r="S469" s="329"/>
      <c r="T469" s="329"/>
      <c r="U469" s="110"/>
      <c r="V469" s="110"/>
      <c r="W469" s="110"/>
      <c r="X469" s="110"/>
      <c r="Y469" s="110"/>
      <c r="Z469" s="110"/>
      <c r="AA469" s="110"/>
    </row>
    <row r="470" spans="1:27" ht="15.75" customHeight="1">
      <c r="A470" s="110"/>
      <c r="B470" s="427"/>
      <c r="C470" s="110"/>
      <c r="D470" s="110"/>
      <c r="E470" s="110"/>
      <c r="F470" s="110"/>
      <c r="G470" s="110"/>
      <c r="H470" s="110"/>
      <c r="I470" s="4"/>
      <c r="J470" s="110"/>
      <c r="K470" s="344"/>
      <c r="L470" s="110"/>
      <c r="M470" s="110"/>
      <c r="N470" s="329"/>
      <c r="O470" s="329"/>
      <c r="P470" s="329"/>
      <c r="Q470" s="329"/>
      <c r="R470" s="329"/>
      <c r="S470" s="329"/>
      <c r="T470" s="329"/>
      <c r="U470" s="110"/>
      <c r="V470" s="110"/>
      <c r="W470" s="110"/>
      <c r="X470" s="110"/>
      <c r="Y470" s="110"/>
      <c r="Z470" s="110"/>
      <c r="AA470" s="110"/>
    </row>
    <row r="471" spans="1:27" ht="15.75" customHeight="1">
      <c r="A471" s="110"/>
      <c r="B471" s="427"/>
      <c r="C471" s="110"/>
      <c r="D471" s="110"/>
      <c r="E471" s="110"/>
      <c r="F471" s="110"/>
      <c r="G471" s="110"/>
      <c r="H471" s="110"/>
      <c r="I471" s="4"/>
      <c r="J471" s="110"/>
      <c r="K471" s="344"/>
      <c r="L471" s="110"/>
      <c r="M471" s="110"/>
      <c r="N471" s="329"/>
      <c r="O471" s="329"/>
      <c r="P471" s="329"/>
      <c r="Q471" s="329"/>
      <c r="R471" s="329"/>
      <c r="S471" s="329"/>
      <c r="T471" s="329"/>
      <c r="U471" s="110"/>
      <c r="V471" s="110"/>
      <c r="W471" s="110"/>
      <c r="X471" s="110"/>
      <c r="Y471" s="110"/>
      <c r="Z471" s="110"/>
      <c r="AA471" s="110"/>
    </row>
    <row r="472" spans="1:27" ht="15.75" customHeight="1">
      <c r="A472" s="110"/>
      <c r="B472" s="427"/>
      <c r="C472" s="110"/>
      <c r="D472" s="110"/>
      <c r="E472" s="110"/>
      <c r="F472" s="110"/>
      <c r="G472" s="110"/>
      <c r="H472" s="110"/>
      <c r="I472" s="4"/>
      <c r="J472" s="110"/>
      <c r="K472" s="344"/>
      <c r="L472" s="110"/>
      <c r="M472" s="110"/>
      <c r="N472" s="329"/>
      <c r="O472" s="329"/>
      <c r="P472" s="329"/>
      <c r="Q472" s="329"/>
      <c r="R472" s="329"/>
      <c r="S472" s="329"/>
      <c r="T472" s="329"/>
      <c r="U472" s="110"/>
      <c r="V472" s="110"/>
      <c r="W472" s="110"/>
      <c r="X472" s="110"/>
      <c r="Y472" s="110"/>
      <c r="Z472" s="110"/>
      <c r="AA472" s="110"/>
    </row>
    <row r="473" spans="1:27" ht="15.75" customHeight="1">
      <c r="A473" s="110"/>
      <c r="B473" s="427"/>
      <c r="C473" s="110"/>
      <c r="D473" s="110"/>
      <c r="E473" s="110"/>
      <c r="F473" s="110"/>
      <c r="G473" s="110"/>
      <c r="H473" s="110"/>
      <c r="I473" s="4"/>
      <c r="J473" s="110"/>
      <c r="K473" s="344"/>
      <c r="L473" s="110"/>
      <c r="M473" s="110"/>
      <c r="N473" s="329"/>
      <c r="O473" s="329"/>
      <c r="P473" s="329"/>
      <c r="Q473" s="329"/>
      <c r="R473" s="329"/>
      <c r="S473" s="329"/>
      <c r="T473" s="329"/>
      <c r="U473" s="110"/>
      <c r="V473" s="110"/>
      <c r="W473" s="110"/>
      <c r="X473" s="110"/>
      <c r="Y473" s="110"/>
      <c r="Z473" s="110"/>
      <c r="AA473" s="110"/>
    </row>
    <row r="474" spans="1:27" ht="15.75" customHeight="1">
      <c r="A474" s="110"/>
      <c r="B474" s="427"/>
      <c r="C474" s="110"/>
      <c r="D474" s="110"/>
      <c r="E474" s="110"/>
      <c r="F474" s="110"/>
      <c r="G474" s="110"/>
      <c r="H474" s="110"/>
      <c r="I474" s="4"/>
      <c r="J474" s="110"/>
      <c r="K474" s="344"/>
      <c r="L474" s="110"/>
      <c r="M474" s="110"/>
      <c r="N474" s="329"/>
      <c r="O474" s="329"/>
      <c r="P474" s="329"/>
      <c r="Q474" s="329"/>
      <c r="R474" s="329"/>
      <c r="S474" s="329"/>
      <c r="T474" s="329"/>
      <c r="U474" s="110"/>
      <c r="V474" s="110"/>
      <c r="W474" s="110"/>
      <c r="X474" s="110"/>
      <c r="Y474" s="110"/>
      <c r="Z474" s="110"/>
      <c r="AA474" s="110"/>
    </row>
    <row r="475" spans="1:27" ht="15.75" customHeight="1">
      <c r="A475" s="110"/>
      <c r="B475" s="427"/>
      <c r="C475" s="110"/>
      <c r="D475" s="110"/>
      <c r="E475" s="110"/>
      <c r="F475" s="110"/>
      <c r="G475" s="110"/>
      <c r="H475" s="110"/>
      <c r="I475" s="4"/>
      <c r="J475" s="110"/>
      <c r="K475" s="344"/>
      <c r="L475" s="110"/>
      <c r="M475" s="110"/>
      <c r="N475" s="329"/>
      <c r="O475" s="329"/>
      <c r="P475" s="329"/>
      <c r="Q475" s="329"/>
      <c r="R475" s="329"/>
      <c r="S475" s="329"/>
      <c r="T475" s="329"/>
      <c r="U475" s="110"/>
      <c r="V475" s="110"/>
      <c r="W475" s="110"/>
      <c r="X475" s="110"/>
      <c r="Y475" s="110"/>
      <c r="Z475" s="110"/>
      <c r="AA475" s="110"/>
    </row>
    <row r="476" spans="1:27" ht="15.75" customHeight="1">
      <c r="A476" s="110"/>
      <c r="B476" s="427"/>
      <c r="C476" s="110"/>
      <c r="D476" s="110"/>
      <c r="E476" s="110"/>
      <c r="F476" s="110"/>
      <c r="G476" s="110"/>
      <c r="H476" s="110"/>
      <c r="I476" s="4"/>
      <c r="J476" s="110"/>
      <c r="K476" s="344"/>
      <c r="L476" s="110"/>
      <c r="M476" s="110"/>
      <c r="N476" s="329"/>
      <c r="O476" s="329"/>
      <c r="P476" s="329"/>
      <c r="Q476" s="329"/>
      <c r="R476" s="329"/>
      <c r="S476" s="329"/>
      <c r="T476" s="329"/>
      <c r="U476" s="110"/>
      <c r="V476" s="110"/>
      <c r="W476" s="110"/>
      <c r="X476" s="110"/>
      <c r="Y476" s="110"/>
      <c r="Z476" s="110"/>
      <c r="AA476" s="110"/>
    </row>
    <row r="477" spans="1:27" ht="15.75" customHeight="1">
      <c r="A477" s="110"/>
      <c r="B477" s="427"/>
      <c r="C477" s="110"/>
      <c r="D477" s="110"/>
      <c r="E477" s="110"/>
      <c r="F477" s="110"/>
      <c r="G477" s="110"/>
      <c r="H477" s="110"/>
      <c r="I477" s="4"/>
      <c r="J477" s="110"/>
      <c r="K477" s="344"/>
      <c r="L477" s="110"/>
      <c r="M477" s="110"/>
      <c r="N477" s="329"/>
      <c r="O477" s="329"/>
      <c r="P477" s="329"/>
      <c r="Q477" s="329"/>
      <c r="R477" s="329"/>
      <c r="S477" s="329"/>
      <c r="T477" s="329"/>
      <c r="U477" s="110"/>
      <c r="V477" s="110"/>
      <c r="W477" s="110"/>
      <c r="X477" s="110"/>
      <c r="Y477" s="110"/>
      <c r="Z477" s="110"/>
      <c r="AA477" s="110"/>
    </row>
    <row r="478" spans="1:27" ht="15.75" customHeight="1">
      <c r="A478" s="110"/>
      <c r="B478" s="427"/>
      <c r="C478" s="110"/>
      <c r="D478" s="110"/>
      <c r="E478" s="110"/>
      <c r="F478" s="110"/>
      <c r="G478" s="110"/>
      <c r="H478" s="110"/>
      <c r="I478" s="4"/>
      <c r="J478" s="110"/>
      <c r="K478" s="344"/>
      <c r="L478" s="110"/>
      <c r="M478" s="110"/>
      <c r="N478" s="329"/>
      <c r="O478" s="329"/>
      <c r="P478" s="329"/>
      <c r="Q478" s="329"/>
      <c r="R478" s="329"/>
      <c r="S478" s="329"/>
      <c r="T478" s="329"/>
      <c r="U478" s="110"/>
      <c r="V478" s="110"/>
      <c r="W478" s="110"/>
      <c r="X478" s="110"/>
      <c r="Y478" s="110"/>
      <c r="Z478" s="110"/>
      <c r="AA478" s="110"/>
    </row>
    <row r="479" spans="1:27" ht="15.75" customHeight="1">
      <c r="A479" s="110"/>
      <c r="B479" s="427"/>
      <c r="C479" s="110"/>
      <c r="D479" s="110"/>
      <c r="E479" s="110"/>
      <c r="F479" s="110"/>
      <c r="G479" s="110"/>
      <c r="H479" s="110"/>
      <c r="I479" s="4"/>
      <c r="J479" s="110"/>
      <c r="K479" s="344"/>
      <c r="L479" s="110"/>
      <c r="M479" s="110"/>
      <c r="N479" s="329"/>
      <c r="O479" s="329"/>
      <c r="P479" s="329"/>
      <c r="Q479" s="329"/>
      <c r="R479" s="329"/>
      <c r="S479" s="329"/>
      <c r="T479" s="329"/>
      <c r="U479" s="110"/>
      <c r="V479" s="110"/>
      <c r="W479" s="110"/>
      <c r="X479" s="110"/>
      <c r="Y479" s="110"/>
      <c r="Z479" s="110"/>
      <c r="AA479" s="110"/>
    </row>
    <row r="480" spans="1:27" ht="15.75" customHeight="1">
      <c r="A480" s="110"/>
      <c r="B480" s="427"/>
      <c r="C480" s="110"/>
      <c r="D480" s="110"/>
      <c r="E480" s="110"/>
      <c r="F480" s="110"/>
      <c r="G480" s="110"/>
      <c r="H480" s="110"/>
      <c r="I480" s="4"/>
      <c r="J480" s="110"/>
      <c r="K480" s="344"/>
      <c r="L480" s="110"/>
      <c r="M480" s="110"/>
      <c r="N480" s="329"/>
      <c r="O480" s="329"/>
      <c r="P480" s="329"/>
      <c r="Q480" s="329"/>
      <c r="R480" s="329"/>
      <c r="S480" s="329"/>
      <c r="T480" s="329"/>
      <c r="U480" s="110"/>
      <c r="V480" s="110"/>
      <c r="W480" s="110"/>
      <c r="X480" s="110"/>
      <c r="Y480" s="110"/>
      <c r="Z480" s="110"/>
      <c r="AA480" s="110"/>
    </row>
    <row r="481" spans="1:27" ht="15.75" customHeight="1">
      <c r="A481" s="110"/>
      <c r="B481" s="427"/>
      <c r="C481" s="110"/>
      <c r="D481" s="110"/>
      <c r="E481" s="110"/>
      <c r="F481" s="110"/>
      <c r="G481" s="110"/>
      <c r="H481" s="110"/>
      <c r="I481" s="4"/>
      <c r="J481" s="110"/>
      <c r="K481" s="344"/>
      <c r="L481" s="110"/>
      <c r="M481" s="110"/>
      <c r="N481" s="329"/>
      <c r="O481" s="329"/>
      <c r="P481" s="329"/>
      <c r="Q481" s="329"/>
      <c r="R481" s="329"/>
      <c r="S481" s="329"/>
      <c r="T481" s="329"/>
      <c r="U481" s="110"/>
      <c r="V481" s="110"/>
      <c r="W481" s="110"/>
      <c r="X481" s="110"/>
      <c r="Y481" s="110"/>
      <c r="Z481" s="110"/>
      <c r="AA481" s="110"/>
    </row>
    <row r="482" spans="1:27" ht="15.75" customHeight="1">
      <c r="A482" s="110"/>
      <c r="B482" s="427"/>
      <c r="C482" s="110"/>
      <c r="D482" s="110"/>
      <c r="E482" s="110"/>
      <c r="F482" s="110"/>
      <c r="G482" s="110"/>
      <c r="H482" s="110"/>
      <c r="I482" s="4"/>
      <c r="J482" s="110"/>
      <c r="K482" s="344"/>
      <c r="L482" s="110"/>
      <c r="M482" s="110"/>
      <c r="N482" s="329"/>
      <c r="O482" s="329"/>
      <c r="P482" s="329"/>
      <c r="Q482" s="329"/>
      <c r="R482" s="329"/>
      <c r="S482" s="329"/>
      <c r="T482" s="329"/>
      <c r="U482" s="110"/>
      <c r="V482" s="110"/>
      <c r="W482" s="110"/>
      <c r="X482" s="110"/>
      <c r="Y482" s="110"/>
      <c r="Z482" s="110"/>
      <c r="AA482" s="110"/>
    </row>
    <row r="483" spans="1:27" ht="15.75" customHeight="1">
      <c r="A483" s="110"/>
      <c r="B483" s="427"/>
      <c r="C483" s="110"/>
      <c r="D483" s="110"/>
      <c r="E483" s="110"/>
      <c r="F483" s="110"/>
      <c r="G483" s="110"/>
      <c r="H483" s="110"/>
      <c r="I483" s="4"/>
      <c r="J483" s="110"/>
      <c r="K483" s="344"/>
      <c r="L483" s="110"/>
      <c r="M483" s="110"/>
      <c r="N483" s="329"/>
      <c r="O483" s="329"/>
      <c r="P483" s="329"/>
      <c r="Q483" s="329"/>
      <c r="R483" s="329"/>
      <c r="S483" s="329"/>
      <c r="T483" s="329"/>
      <c r="U483" s="110"/>
      <c r="V483" s="110"/>
      <c r="W483" s="110"/>
      <c r="X483" s="110"/>
      <c r="Y483" s="110"/>
      <c r="Z483" s="110"/>
      <c r="AA483" s="110"/>
    </row>
    <row r="484" spans="1:27" ht="15.75" customHeight="1">
      <c r="A484" s="110"/>
      <c r="B484" s="427"/>
      <c r="C484" s="110"/>
      <c r="D484" s="110"/>
      <c r="E484" s="110"/>
      <c r="F484" s="110"/>
      <c r="G484" s="110"/>
      <c r="H484" s="110"/>
      <c r="I484" s="4"/>
      <c r="J484" s="110"/>
      <c r="K484" s="344"/>
      <c r="L484" s="110"/>
      <c r="M484" s="110"/>
      <c r="N484" s="329"/>
      <c r="O484" s="329"/>
      <c r="P484" s="329"/>
      <c r="Q484" s="329"/>
      <c r="R484" s="329"/>
      <c r="S484" s="329"/>
      <c r="T484" s="329"/>
      <c r="U484" s="110"/>
      <c r="V484" s="110"/>
      <c r="W484" s="110"/>
      <c r="X484" s="110"/>
      <c r="Y484" s="110"/>
      <c r="Z484" s="110"/>
      <c r="AA484" s="110"/>
    </row>
    <row r="485" spans="1:27" ht="15.75" customHeight="1">
      <c r="A485" s="110"/>
      <c r="B485" s="427"/>
      <c r="C485" s="110"/>
      <c r="D485" s="110"/>
      <c r="E485" s="110"/>
      <c r="F485" s="110"/>
      <c r="G485" s="110"/>
      <c r="H485" s="110"/>
      <c r="I485" s="4"/>
      <c r="J485" s="110"/>
      <c r="K485" s="344"/>
      <c r="L485" s="110"/>
      <c r="M485" s="110"/>
      <c r="N485" s="329"/>
      <c r="O485" s="329"/>
      <c r="P485" s="329"/>
      <c r="Q485" s="329"/>
      <c r="R485" s="329"/>
      <c r="S485" s="329"/>
      <c r="T485" s="329"/>
      <c r="U485" s="110"/>
      <c r="V485" s="110"/>
      <c r="W485" s="110"/>
      <c r="X485" s="110"/>
      <c r="Y485" s="110"/>
      <c r="Z485" s="110"/>
      <c r="AA485" s="110"/>
    </row>
    <row r="486" spans="1:27" ht="15.75" customHeight="1">
      <c r="A486" s="110"/>
      <c r="B486" s="427"/>
      <c r="C486" s="110"/>
      <c r="D486" s="110"/>
      <c r="E486" s="110"/>
      <c r="F486" s="110"/>
      <c r="G486" s="110"/>
      <c r="H486" s="110"/>
      <c r="I486" s="4"/>
      <c r="J486" s="110"/>
      <c r="K486" s="344"/>
      <c r="L486" s="110"/>
      <c r="M486" s="110"/>
      <c r="N486" s="329"/>
      <c r="O486" s="329"/>
      <c r="P486" s="329"/>
      <c r="Q486" s="329"/>
      <c r="R486" s="329"/>
      <c r="S486" s="329"/>
      <c r="T486" s="329"/>
      <c r="U486" s="110"/>
      <c r="V486" s="110"/>
      <c r="W486" s="110"/>
      <c r="X486" s="110"/>
      <c r="Y486" s="110"/>
      <c r="Z486" s="110"/>
      <c r="AA486" s="110"/>
    </row>
    <row r="487" spans="1:27" ht="15.75" customHeight="1">
      <c r="A487" s="110"/>
      <c r="B487" s="427"/>
      <c r="C487" s="110"/>
      <c r="D487" s="110"/>
      <c r="E487" s="110"/>
      <c r="F487" s="110"/>
      <c r="G487" s="110"/>
      <c r="H487" s="110"/>
      <c r="I487" s="4"/>
      <c r="J487" s="110"/>
      <c r="K487" s="344"/>
      <c r="L487" s="110"/>
      <c r="M487" s="110"/>
      <c r="N487" s="329"/>
      <c r="O487" s="329"/>
      <c r="P487" s="329"/>
      <c r="Q487" s="329"/>
      <c r="R487" s="329"/>
      <c r="S487" s="329"/>
      <c r="T487" s="329"/>
      <c r="U487" s="110"/>
      <c r="V487" s="110"/>
      <c r="W487" s="110"/>
      <c r="X487" s="110"/>
      <c r="Y487" s="110"/>
      <c r="Z487" s="110"/>
      <c r="AA487" s="110"/>
    </row>
    <row r="488" spans="1:27" ht="15.75" customHeight="1">
      <c r="A488" s="110"/>
      <c r="B488" s="427"/>
      <c r="C488" s="110"/>
      <c r="D488" s="110"/>
      <c r="E488" s="110"/>
      <c r="F488" s="110"/>
      <c r="G488" s="110"/>
      <c r="H488" s="110"/>
      <c r="I488" s="4"/>
      <c r="J488" s="110"/>
      <c r="K488" s="344"/>
      <c r="L488" s="110"/>
      <c r="M488" s="110"/>
      <c r="N488" s="329"/>
      <c r="O488" s="329"/>
      <c r="P488" s="329"/>
      <c r="Q488" s="329"/>
      <c r="R488" s="329"/>
      <c r="S488" s="329"/>
      <c r="T488" s="329"/>
      <c r="U488" s="110"/>
      <c r="V488" s="110"/>
      <c r="W488" s="110"/>
      <c r="X488" s="110"/>
      <c r="Y488" s="110"/>
      <c r="Z488" s="110"/>
      <c r="AA488" s="110"/>
    </row>
    <row r="489" spans="1:27" ht="15.75" customHeight="1">
      <c r="A489" s="110"/>
      <c r="B489" s="427"/>
      <c r="C489" s="110"/>
      <c r="D489" s="110"/>
      <c r="E489" s="110"/>
      <c r="F489" s="110"/>
      <c r="G489" s="110"/>
      <c r="H489" s="110"/>
      <c r="I489" s="4"/>
      <c r="J489" s="110"/>
      <c r="K489" s="344"/>
      <c r="L489" s="110"/>
      <c r="M489" s="110"/>
      <c r="N489" s="329"/>
      <c r="O489" s="329"/>
      <c r="P489" s="329"/>
      <c r="Q489" s="329"/>
      <c r="R489" s="329"/>
      <c r="S489" s="329"/>
      <c r="T489" s="329"/>
      <c r="U489" s="110"/>
      <c r="V489" s="110"/>
      <c r="W489" s="110"/>
      <c r="X489" s="110"/>
      <c r="Y489" s="110"/>
      <c r="Z489" s="110"/>
      <c r="AA489" s="110"/>
    </row>
    <row r="490" spans="1:27" ht="15.75" customHeight="1">
      <c r="A490" s="110"/>
      <c r="B490" s="427"/>
      <c r="C490" s="110"/>
      <c r="D490" s="110"/>
      <c r="E490" s="110"/>
      <c r="F490" s="110"/>
      <c r="G490" s="110"/>
      <c r="H490" s="110"/>
      <c r="I490" s="4"/>
      <c r="J490" s="110"/>
      <c r="K490" s="344"/>
      <c r="L490" s="110"/>
      <c r="M490" s="110"/>
      <c r="N490" s="329"/>
      <c r="O490" s="329"/>
      <c r="P490" s="329"/>
      <c r="Q490" s="329"/>
      <c r="R490" s="329"/>
      <c r="S490" s="329"/>
      <c r="T490" s="329"/>
      <c r="U490" s="110"/>
      <c r="V490" s="110"/>
      <c r="W490" s="110"/>
      <c r="X490" s="110"/>
      <c r="Y490" s="110"/>
      <c r="Z490" s="110"/>
      <c r="AA490" s="110"/>
    </row>
    <row r="491" spans="1:27" ht="15.75" customHeight="1">
      <c r="A491" s="110"/>
      <c r="B491" s="427"/>
      <c r="C491" s="110"/>
      <c r="D491" s="110"/>
      <c r="E491" s="110"/>
      <c r="F491" s="110"/>
      <c r="G491" s="110"/>
      <c r="H491" s="110"/>
      <c r="I491" s="4"/>
      <c r="J491" s="110"/>
      <c r="K491" s="344"/>
      <c r="L491" s="110"/>
      <c r="M491" s="110"/>
      <c r="N491" s="329"/>
      <c r="O491" s="329"/>
      <c r="P491" s="329"/>
      <c r="Q491" s="329"/>
      <c r="R491" s="329"/>
      <c r="S491" s="329"/>
      <c r="T491" s="329"/>
      <c r="U491" s="110"/>
      <c r="V491" s="110"/>
      <c r="W491" s="110"/>
      <c r="X491" s="110"/>
      <c r="Y491" s="110"/>
      <c r="Z491" s="110"/>
      <c r="AA491" s="110"/>
    </row>
    <row r="492" spans="1:27" ht="15.75" customHeight="1">
      <c r="A492" s="110"/>
      <c r="B492" s="427"/>
      <c r="C492" s="110"/>
      <c r="D492" s="110"/>
      <c r="E492" s="110"/>
      <c r="F492" s="110"/>
      <c r="G492" s="110"/>
      <c r="H492" s="110"/>
      <c r="I492" s="4"/>
      <c r="J492" s="110"/>
      <c r="K492" s="344"/>
      <c r="L492" s="110"/>
      <c r="M492" s="110"/>
      <c r="N492" s="329"/>
      <c r="O492" s="329"/>
      <c r="P492" s="329"/>
      <c r="Q492" s="329"/>
      <c r="R492" s="329"/>
      <c r="S492" s="329"/>
      <c r="T492" s="329"/>
      <c r="U492" s="110"/>
      <c r="V492" s="110"/>
      <c r="W492" s="110"/>
      <c r="X492" s="110"/>
      <c r="Y492" s="110"/>
      <c r="Z492" s="110"/>
      <c r="AA492" s="110"/>
    </row>
    <row r="493" spans="1:27" ht="15.75" customHeight="1">
      <c r="A493" s="110"/>
      <c r="B493" s="427"/>
      <c r="C493" s="110"/>
      <c r="D493" s="110"/>
      <c r="E493" s="110"/>
      <c r="F493" s="110"/>
      <c r="G493" s="110"/>
      <c r="H493" s="110"/>
      <c r="I493" s="4"/>
      <c r="J493" s="110"/>
      <c r="K493" s="344"/>
      <c r="L493" s="110"/>
      <c r="M493" s="110"/>
      <c r="N493" s="329"/>
      <c r="O493" s="329"/>
      <c r="P493" s="329"/>
      <c r="Q493" s="329"/>
      <c r="R493" s="329"/>
      <c r="S493" s="329"/>
      <c r="T493" s="329"/>
      <c r="U493" s="110"/>
      <c r="V493" s="110"/>
      <c r="W493" s="110"/>
      <c r="X493" s="110"/>
      <c r="Y493" s="110"/>
      <c r="Z493" s="110"/>
      <c r="AA493" s="110"/>
    </row>
    <row r="494" spans="1:27" ht="15.75" customHeight="1">
      <c r="A494" s="110"/>
      <c r="B494" s="427"/>
      <c r="C494" s="110"/>
      <c r="D494" s="110"/>
      <c r="E494" s="110"/>
      <c r="F494" s="110"/>
      <c r="G494" s="110"/>
      <c r="H494" s="110"/>
      <c r="I494" s="4"/>
      <c r="J494" s="110"/>
      <c r="K494" s="344"/>
      <c r="L494" s="110"/>
      <c r="M494" s="110"/>
      <c r="N494" s="329"/>
      <c r="O494" s="329"/>
      <c r="P494" s="329"/>
      <c r="Q494" s="329"/>
      <c r="R494" s="329"/>
      <c r="S494" s="329"/>
      <c r="T494" s="329"/>
      <c r="U494" s="110"/>
      <c r="V494" s="110"/>
      <c r="W494" s="110"/>
      <c r="X494" s="110"/>
      <c r="Y494" s="110"/>
      <c r="Z494" s="110"/>
      <c r="AA494" s="110"/>
    </row>
    <row r="495" spans="1:27" ht="15.75" customHeight="1">
      <c r="A495" s="110"/>
      <c r="B495" s="427"/>
      <c r="C495" s="110"/>
      <c r="D495" s="110"/>
      <c r="E495" s="110"/>
      <c r="F495" s="110"/>
      <c r="G495" s="110"/>
      <c r="H495" s="110"/>
      <c r="I495" s="4"/>
      <c r="J495" s="110"/>
      <c r="K495" s="344"/>
      <c r="L495" s="110"/>
      <c r="M495" s="110"/>
      <c r="N495" s="329"/>
      <c r="O495" s="329"/>
      <c r="P495" s="329"/>
      <c r="Q495" s="329"/>
      <c r="R495" s="329"/>
      <c r="S495" s="329"/>
      <c r="T495" s="329"/>
      <c r="U495" s="110"/>
      <c r="V495" s="110"/>
      <c r="W495" s="110"/>
      <c r="X495" s="110"/>
      <c r="Y495" s="110"/>
      <c r="Z495" s="110"/>
      <c r="AA495" s="110"/>
    </row>
    <row r="496" spans="1:27" ht="15.75" customHeight="1">
      <c r="A496" s="110"/>
      <c r="B496" s="427"/>
      <c r="C496" s="110"/>
      <c r="D496" s="110"/>
      <c r="E496" s="110"/>
      <c r="F496" s="110"/>
      <c r="G496" s="110"/>
      <c r="H496" s="110"/>
      <c r="I496" s="4"/>
      <c r="J496" s="110"/>
      <c r="K496" s="344"/>
      <c r="L496" s="110"/>
      <c r="M496" s="110"/>
      <c r="N496" s="329"/>
      <c r="O496" s="329"/>
      <c r="P496" s="329"/>
      <c r="Q496" s="329"/>
      <c r="R496" s="329"/>
      <c r="S496" s="329"/>
      <c r="T496" s="329"/>
      <c r="U496" s="110"/>
      <c r="V496" s="110"/>
      <c r="W496" s="110"/>
      <c r="X496" s="110"/>
      <c r="Y496" s="110"/>
      <c r="Z496" s="110"/>
      <c r="AA496" s="110"/>
    </row>
    <row r="497" spans="1:27" ht="15.75" customHeight="1">
      <c r="A497" s="110"/>
      <c r="B497" s="427"/>
      <c r="C497" s="110"/>
      <c r="D497" s="110"/>
      <c r="E497" s="110"/>
      <c r="F497" s="110"/>
      <c r="G497" s="110"/>
      <c r="H497" s="110"/>
      <c r="I497" s="4"/>
      <c r="J497" s="110"/>
      <c r="K497" s="344"/>
      <c r="L497" s="110"/>
      <c r="M497" s="110"/>
      <c r="N497" s="329"/>
      <c r="O497" s="329"/>
      <c r="P497" s="329"/>
      <c r="Q497" s="329"/>
      <c r="R497" s="329"/>
      <c r="S497" s="329"/>
      <c r="T497" s="329"/>
      <c r="U497" s="110"/>
      <c r="V497" s="110"/>
      <c r="W497" s="110"/>
      <c r="X497" s="110"/>
      <c r="Y497" s="110"/>
      <c r="Z497" s="110"/>
      <c r="AA497" s="110"/>
    </row>
    <row r="498" spans="1:27" ht="15.75" customHeight="1">
      <c r="A498" s="110"/>
      <c r="B498" s="427"/>
      <c r="C498" s="110"/>
      <c r="D498" s="110"/>
      <c r="E498" s="110"/>
      <c r="F498" s="110"/>
      <c r="G498" s="110"/>
      <c r="H498" s="110"/>
      <c r="I498" s="4"/>
      <c r="J498" s="110"/>
      <c r="K498" s="344"/>
      <c r="L498" s="110"/>
      <c r="M498" s="110"/>
      <c r="N498" s="329"/>
      <c r="O498" s="329"/>
      <c r="P498" s="329"/>
      <c r="Q498" s="329"/>
      <c r="R498" s="329"/>
      <c r="S498" s="329"/>
      <c r="T498" s="329"/>
      <c r="U498" s="110"/>
      <c r="V498" s="110"/>
      <c r="W498" s="110"/>
      <c r="X498" s="110"/>
      <c r="Y498" s="110"/>
      <c r="Z498" s="110"/>
      <c r="AA498" s="110"/>
    </row>
    <row r="499" spans="1:27" ht="15.75" customHeight="1">
      <c r="A499" s="110"/>
      <c r="B499" s="427"/>
      <c r="C499" s="110"/>
      <c r="D499" s="110"/>
      <c r="E499" s="110"/>
      <c r="F499" s="110"/>
      <c r="G499" s="110"/>
      <c r="H499" s="110"/>
      <c r="I499" s="4"/>
      <c r="J499" s="110"/>
      <c r="K499" s="344"/>
      <c r="L499" s="110"/>
      <c r="M499" s="110"/>
      <c r="N499" s="329"/>
      <c r="O499" s="329"/>
      <c r="P499" s="329"/>
      <c r="Q499" s="329"/>
      <c r="R499" s="329"/>
      <c r="S499" s="329"/>
      <c r="T499" s="329"/>
      <c r="U499" s="110"/>
      <c r="V499" s="110"/>
      <c r="W499" s="110"/>
      <c r="X499" s="110"/>
      <c r="Y499" s="110"/>
      <c r="Z499" s="110"/>
      <c r="AA499" s="110"/>
    </row>
    <row r="500" spans="1:27" ht="15.75" customHeight="1">
      <c r="A500" s="110"/>
      <c r="B500" s="427"/>
      <c r="C500" s="110"/>
      <c r="D500" s="110"/>
      <c r="E500" s="110"/>
      <c r="F500" s="110"/>
      <c r="G500" s="110"/>
      <c r="H500" s="110"/>
      <c r="I500" s="4"/>
      <c r="J500" s="110"/>
      <c r="K500" s="344"/>
      <c r="L500" s="110"/>
      <c r="M500" s="110"/>
      <c r="N500" s="329"/>
      <c r="O500" s="329"/>
      <c r="P500" s="329"/>
      <c r="Q500" s="329"/>
      <c r="R500" s="329"/>
      <c r="S500" s="329"/>
      <c r="T500" s="329"/>
      <c r="U500" s="110"/>
      <c r="V500" s="110"/>
      <c r="W500" s="110"/>
      <c r="X500" s="110"/>
      <c r="Y500" s="110"/>
      <c r="Z500" s="110"/>
      <c r="AA500" s="110"/>
    </row>
    <row r="501" spans="1:27" ht="15.75" customHeight="1">
      <c r="A501" s="110"/>
      <c r="B501" s="427"/>
      <c r="C501" s="110"/>
      <c r="D501" s="110"/>
      <c r="E501" s="110"/>
      <c r="F501" s="110"/>
      <c r="G501" s="110"/>
      <c r="H501" s="110"/>
      <c r="I501" s="4"/>
      <c r="J501" s="110"/>
      <c r="K501" s="344"/>
      <c r="L501" s="110"/>
      <c r="M501" s="110"/>
      <c r="N501" s="329"/>
      <c r="O501" s="329"/>
      <c r="P501" s="329"/>
      <c r="Q501" s="329"/>
      <c r="R501" s="329"/>
      <c r="S501" s="329"/>
      <c r="T501" s="329"/>
      <c r="U501" s="110"/>
      <c r="V501" s="110"/>
      <c r="W501" s="110"/>
      <c r="X501" s="110"/>
      <c r="Y501" s="110"/>
      <c r="Z501" s="110"/>
      <c r="AA501" s="110"/>
    </row>
    <row r="502" spans="1:27" ht="15.75" customHeight="1">
      <c r="A502" s="110"/>
      <c r="B502" s="427"/>
      <c r="C502" s="110"/>
      <c r="D502" s="110"/>
      <c r="E502" s="110"/>
      <c r="F502" s="110"/>
      <c r="G502" s="110"/>
      <c r="H502" s="110"/>
      <c r="I502" s="4"/>
      <c r="J502" s="110"/>
      <c r="K502" s="344"/>
      <c r="L502" s="110"/>
      <c r="M502" s="110"/>
      <c r="N502" s="329"/>
      <c r="O502" s="329"/>
      <c r="P502" s="329"/>
      <c r="Q502" s="329"/>
      <c r="R502" s="329"/>
      <c r="S502" s="329"/>
      <c r="T502" s="329"/>
      <c r="U502" s="110"/>
      <c r="V502" s="110"/>
      <c r="W502" s="110"/>
      <c r="X502" s="110"/>
      <c r="Y502" s="110"/>
      <c r="Z502" s="110"/>
      <c r="AA502" s="110"/>
    </row>
    <row r="503" spans="1:27" ht="15.75" customHeight="1">
      <c r="A503" s="110"/>
      <c r="B503" s="427"/>
      <c r="C503" s="110"/>
      <c r="D503" s="110"/>
      <c r="E503" s="110"/>
      <c r="F503" s="110"/>
      <c r="G503" s="110"/>
      <c r="H503" s="110"/>
      <c r="I503" s="4"/>
      <c r="J503" s="110"/>
      <c r="K503" s="344"/>
      <c r="L503" s="110"/>
      <c r="M503" s="110"/>
      <c r="N503" s="329"/>
      <c r="O503" s="329"/>
      <c r="P503" s="329"/>
      <c r="Q503" s="329"/>
      <c r="R503" s="329"/>
      <c r="S503" s="329"/>
      <c r="T503" s="329"/>
      <c r="U503" s="110"/>
      <c r="V503" s="110"/>
      <c r="W503" s="110"/>
      <c r="X503" s="110"/>
      <c r="Y503" s="110"/>
      <c r="Z503" s="110"/>
      <c r="AA503" s="110"/>
    </row>
    <row r="504" spans="1:27" ht="15.75" customHeight="1">
      <c r="A504" s="110"/>
      <c r="B504" s="427"/>
      <c r="C504" s="110"/>
      <c r="D504" s="110"/>
      <c r="E504" s="110"/>
      <c r="F504" s="110"/>
      <c r="G504" s="110"/>
      <c r="H504" s="110"/>
      <c r="I504" s="4"/>
      <c r="J504" s="110"/>
      <c r="K504" s="344"/>
      <c r="L504" s="110"/>
      <c r="M504" s="110"/>
      <c r="N504" s="329"/>
      <c r="O504" s="329"/>
      <c r="P504" s="329"/>
      <c r="Q504" s="329"/>
      <c r="R504" s="329"/>
      <c r="S504" s="329"/>
      <c r="T504" s="329"/>
      <c r="U504" s="110"/>
      <c r="V504" s="110"/>
      <c r="W504" s="110"/>
      <c r="X504" s="110"/>
      <c r="Y504" s="110"/>
      <c r="Z504" s="110"/>
      <c r="AA504" s="110"/>
    </row>
    <row r="505" spans="1:27" ht="15.75" customHeight="1">
      <c r="A505" s="110"/>
      <c r="B505" s="427"/>
      <c r="C505" s="110"/>
      <c r="D505" s="110"/>
      <c r="E505" s="110"/>
      <c r="F505" s="110"/>
      <c r="G505" s="110"/>
      <c r="H505" s="110"/>
      <c r="I505" s="4"/>
      <c r="J505" s="110"/>
      <c r="K505" s="344"/>
      <c r="L505" s="110"/>
      <c r="M505" s="110"/>
      <c r="N505" s="329"/>
      <c r="O505" s="329"/>
      <c r="P505" s="329"/>
      <c r="Q505" s="329"/>
      <c r="R505" s="329"/>
      <c r="S505" s="329"/>
      <c r="T505" s="329"/>
      <c r="U505" s="110"/>
      <c r="V505" s="110"/>
      <c r="W505" s="110"/>
      <c r="X505" s="110"/>
      <c r="Y505" s="110"/>
      <c r="Z505" s="110"/>
      <c r="AA505" s="110"/>
    </row>
    <row r="506" spans="1:27" ht="15.75" customHeight="1">
      <c r="A506" s="110"/>
      <c r="B506" s="427"/>
      <c r="C506" s="110"/>
      <c r="D506" s="110"/>
      <c r="E506" s="110"/>
      <c r="F506" s="110"/>
      <c r="G506" s="110"/>
      <c r="H506" s="110"/>
      <c r="I506" s="4"/>
      <c r="J506" s="110"/>
      <c r="K506" s="344"/>
      <c r="L506" s="110"/>
      <c r="M506" s="110"/>
      <c r="N506" s="329"/>
      <c r="O506" s="329"/>
      <c r="P506" s="329"/>
      <c r="Q506" s="329"/>
      <c r="R506" s="329"/>
      <c r="S506" s="329"/>
      <c r="T506" s="329"/>
      <c r="U506" s="110"/>
      <c r="V506" s="110"/>
      <c r="W506" s="110"/>
      <c r="X506" s="110"/>
      <c r="Y506" s="110"/>
      <c r="Z506" s="110"/>
      <c r="AA506" s="110"/>
    </row>
    <row r="507" spans="1:27" ht="15.75" customHeight="1">
      <c r="A507" s="110"/>
      <c r="B507" s="427"/>
      <c r="C507" s="110"/>
      <c r="D507" s="110"/>
      <c r="E507" s="110"/>
      <c r="F507" s="110"/>
      <c r="G507" s="110"/>
      <c r="H507" s="110"/>
      <c r="I507" s="4"/>
      <c r="J507" s="110"/>
      <c r="K507" s="344"/>
      <c r="L507" s="110"/>
      <c r="M507" s="110"/>
      <c r="N507" s="329"/>
      <c r="O507" s="329"/>
      <c r="P507" s="329"/>
      <c r="Q507" s="329"/>
      <c r="R507" s="329"/>
      <c r="S507" s="329"/>
      <c r="T507" s="329"/>
      <c r="U507" s="110"/>
      <c r="V507" s="110"/>
      <c r="W507" s="110"/>
      <c r="X507" s="110"/>
      <c r="Y507" s="110"/>
      <c r="Z507" s="110"/>
      <c r="AA507" s="110"/>
    </row>
    <row r="508" spans="1:27" ht="15.75" customHeight="1">
      <c r="A508" s="110"/>
      <c r="B508" s="427"/>
      <c r="C508" s="110"/>
      <c r="D508" s="110"/>
      <c r="E508" s="110"/>
      <c r="F508" s="110"/>
      <c r="G508" s="110"/>
      <c r="H508" s="110"/>
      <c r="I508" s="4"/>
      <c r="J508" s="110"/>
      <c r="K508" s="344"/>
      <c r="L508" s="110"/>
      <c r="M508" s="110"/>
      <c r="N508" s="329"/>
      <c r="O508" s="329"/>
      <c r="P508" s="329"/>
      <c r="Q508" s="329"/>
      <c r="R508" s="329"/>
      <c r="S508" s="329"/>
      <c r="T508" s="329"/>
      <c r="U508" s="110"/>
      <c r="V508" s="110"/>
      <c r="W508" s="110"/>
      <c r="X508" s="110"/>
      <c r="Y508" s="110"/>
      <c r="Z508" s="110"/>
      <c r="AA508" s="110"/>
    </row>
    <row r="509" spans="1:27" ht="15.75" customHeight="1">
      <c r="A509" s="110"/>
      <c r="B509" s="427"/>
      <c r="C509" s="110"/>
      <c r="D509" s="110"/>
      <c r="E509" s="110"/>
      <c r="F509" s="110"/>
      <c r="G509" s="110"/>
      <c r="H509" s="110"/>
      <c r="I509" s="4"/>
      <c r="J509" s="110"/>
      <c r="K509" s="344"/>
      <c r="L509" s="110"/>
      <c r="M509" s="110"/>
      <c r="N509" s="329"/>
      <c r="O509" s="329"/>
      <c r="P509" s="329"/>
      <c r="Q509" s="329"/>
      <c r="R509" s="329"/>
      <c r="S509" s="329"/>
      <c r="T509" s="329"/>
      <c r="U509" s="110"/>
      <c r="V509" s="110"/>
      <c r="W509" s="110"/>
      <c r="X509" s="110"/>
      <c r="Y509" s="110"/>
      <c r="Z509" s="110"/>
      <c r="AA509" s="110"/>
    </row>
    <row r="510" spans="1:27" ht="15.75" customHeight="1">
      <c r="A510" s="110"/>
      <c r="B510" s="427"/>
      <c r="C510" s="110"/>
      <c r="D510" s="110"/>
      <c r="E510" s="110"/>
      <c r="F510" s="110"/>
      <c r="G510" s="110"/>
      <c r="H510" s="110"/>
      <c r="I510" s="4"/>
      <c r="J510" s="110"/>
      <c r="K510" s="344"/>
      <c r="L510" s="110"/>
      <c r="M510" s="110"/>
      <c r="N510" s="329"/>
      <c r="O510" s="329"/>
      <c r="P510" s="329"/>
      <c r="Q510" s="329"/>
      <c r="R510" s="329"/>
      <c r="S510" s="329"/>
      <c r="T510" s="329"/>
      <c r="U510" s="110"/>
      <c r="V510" s="110"/>
      <c r="W510" s="110"/>
      <c r="X510" s="110"/>
      <c r="Y510" s="110"/>
      <c r="Z510" s="110"/>
      <c r="AA510" s="110"/>
    </row>
    <row r="511" spans="1:27" ht="15.75" customHeight="1">
      <c r="A511" s="110"/>
      <c r="B511" s="427"/>
      <c r="C511" s="110"/>
      <c r="D511" s="110"/>
      <c r="E511" s="110"/>
      <c r="F511" s="110"/>
      <c r="G511" s="110"/>
      <c r="H511" s="110"/>
      <c r="I511" s="4"/>
      <c r="J511" s="110"/>
      <c r="K511" s="344"/>
      <c r="L511" s="110"/>
      <c r="M511" s="110"/>
      <c r="N511" s="329"/>
      <c r="O511" s="329"/>
      <c r="P511" s="329"/>
      <c r="Q511" s="329"/>
      <c r="R511" s="329"/>
      <c r="S511" s="329"/>
      <c r="T511" s="329"/>
      <c r="U511" s="110"/>
      <c r="V511" s="110"/>
      <c r="W511" s="110"/>
      <c r="X511" s="110"/>
      <c r="Y511" s="110"/>
      <c r="Z511" s="110"/>
      <c r="AA511" s="110"/>
    </row>
    <row r="512" spans="1:27" ht="15.75" customHeight="1">
      <c r="A512" s="110"/>
      <c r="B512" s="427"/>
      <c r="C512" s="110"/>
      <c r="D512" s="110"/>
      <c r="E512" s="110"/>
      <c r="F512" s="110"/>
      <c r="G512" s="110"/>
      <c r="H512" s="110"/>
      <c r="I512" s="4"/>
      <c r="J512" s="110"/>
      <c r="K512" s="344"/>
      <c r="L512" s="110"/>
      <c r="M512" s="110"/>
      <c r="N512" s="329"/>
      <c r="O512" s="329"/>
      <c r="P512" s="329"/>
      <c r="Q512" s="329"/>
      <c r="R512" s="329"/>
      <c r="S512" s="329"/>
      <c r="T512" s="329"/>
      <c r="U512" s="110"/>
      <c r="V512" s="110"/>
      <c r="W512" s="110"/>
      <c r="X512" s="110"/>
      <c r="Y512" s="110"/>
      <c r="Z512" s="110"/>
      <c r="AA512" s="110"/>
    </row>
    <row r="513" spans="1:27" ht="15.75" customHeight="1">
      <c r="A513" s="110"/>
      <c r="B513" s="427"/>
      <c r="C513" s="110"/>
      <c r="D513" s="110"/>
      <c r="E513" s="110"/>
      <c r="F513" s="110"/>
      <c r="G513" s="110"/>
      <c r="H513" s="110"/>
      <c r="I513" s="4"/>
      <c r="J513" s="110"/>
      <c r="K513" s="344"/>
      <c r="L513" s="110"/>
      <c r="M513" s="110"/>
      <c r="N513" s="329"/>
      <c r="O513" s="329"/>
      <c r="P513" s="329"/>
      <c r="Q513" s="329"/>
      <c r="R513" s="329"/>
      <c r="S513" s="329"/>
      <c r="T513" s="329"/>
      <c r="U513" s="110"/>
      <c r="V513" s="110"/>
      <c r="W513" s="110"/>
      <c r="X513" s="110"/>
      <c r="Y513" s="110"/>
      <c r="Z513" s="110"/>
      <c r="AA513" s="110"/>
    </row>
    <row r="514" spans="1:27" ht="15.75" customHeight="1">
      <c r="A514" s="110"/>
      <c r="B514" s="427"/>
      <c r="C514" s="110"/>
      <c r="D514" s="110"/>
      <c r="E514" s="110"/>
      <c r="F514" s="110"/>
      <c r="G514" s="110"/>
      <c r="H514" s="110"/>
      <c r="I514" s="4"/>
      <c r="J514" s="110"/>
      <c r="K514" s="344"/>
      <c r="L514" s="110"/>
      <c r="M514" s="110"/>
      <c r="N514" s="329"/>
      <c r="O514" s="329"/>
      <c r="P514" s="329"/>
      <c r="Q514" s="329"/>
      <c r="R514" s="329"/>
      <c r="S514" s="329"/>
      <c r="T514" s="329"/>
      <c r="U514" s="110"/>
      <c r="V514" s="110"/>
      <c r="W514" s="110"/>
      <c r="X514" s="110"/>
      <c r="Y514" s="110"/>
      <c r="Z514" s="110"/>
      <c r="AA514" s="110"/>
    </row>
    <row r="515" spans="1:27" ht="15.75" customHeight="1">
      <c r="A515" s="110"/>
      <c r="B515" s="427"/>
      <c r="C515" s="110"/>
      <c r="D515" s="110"/>
      <c r="E515" s="110"/>
      <c r="F515" s="110"/>
      <c r="G515" s="110"/>
      <c r="H515" s="110"/>
      <c r="I515" s="4"/>
      <c r="J515" s="110"/>
      <c r="K515" s="344"/>
      <c r="L515" s="110"/>
      <c r="M515" s="110"/>
      <c r="N515" s="329"/>
      <c r="O515" s="329"/>
      <c r="P515" s="329"/>
      <c r="Q515" s="329"/>
      <c r="R515" s="329"/>
      <c r="S515" s="329"/>
      <c r="T515" s="329"/>
      <c r="U515" s="110"/>
      <c r="V515" s="110"/>
      <c r="W515" s="110"/>
      <c r="X515" s="110"/>
      <c r="Y515" s="110"/>
      <c r="Z515" s="110"/>
      <c r="AA515" s="110"/>
    </row>
    <row r="516" spans="1:27" ht="15.75" customHeight="1">
      <c r="A516" s="110"/>
      <c r="B516" s="427"/>
      <c r="C516" s="110"/>
      <c r="D516" s="110"/>
      <c r="E516" s="110"/>
      <c r="F516" s="110"/>
      <c r="G516" s="110"/>
      <c r="H516" s="110"/>
      <c r="I516" s="4"/>
      <c r="J516" s="110"/>
      <c r="K516" s="344"/>
      <c r="L516" s="110"/>
      <c r="M516" s="110"/>
      <c r="N516" s="329"/>
      <c r="O516" s="329"/>
      <c r="P516" s="329"/>
      <c r="Q516" s="329"/>
      <c r="R516" s="329"/>
      <c r="S516" s="329"/>
      <c r="T516" s="329"/>
      <c r="U516" s="110"/>
      <c r="V516" s="110"/>
      <c r="W516" s="110"/>
      <c r="X516" s="110"/>
      <c r="Y516" s="110"/>
      <c r="Z516" s="110"/>
      <c r="AA516" s="110"/>
    </row>
    <row r="517" spans="1:27" ht="15.75" customHeight="1">
      <c r="A517" s="110"/>
      <c r="B517" s="427"/>
      <c r="C517" s="110"/>
      <c r="D517" s="110"/>
      <c r="E517" s="110"/>
      <c r="F517" s="110"/>
      <c r="G517" s="110"/>
      <c r="H517" s="110"/>
      <c r="I517" s="4"/>
      <c r="J517" s="110"/>
      <c r="K517" s="344"/>
      <c r="L517" s="110"/>
      <c r="M517" s="110"/>
      <c r="N517" s="329"/>
      <c r="O517" s="329"/>
      <c r="P517" s="329"/>
      <c r="Q517" s="329"/>
      <c r="R517" s="329"/>
      <c r="S517" s="329"/>
      <c r="T517" s="329"/>
      <c r="U517" s="110"/>
      <c r="V517" s="110"/>
      <c r="W517" s="110"/>
      <c r="X517" s="110"/>
      <c r="Y517" s="110"/>
      <c r="Z517" s="110"/>
      <c r="AA517" s="110"/>
    </row>
    <row r="518" spans="1:27" ht="15.75" customHeight="1">
      <c r="A518" s="110"/>
      <c r="B518" s="427"/>
      <c r="C518" s="110"/>
      <c r="D518" s="110"/>
      <c r="E518" s="110"/>
      <c r="F518" s="110"/>
      <c r="G518" s="110"/>
      <c r="H518" s="110"/>
      <c r="I518" s="4"/>
      <c r="J518" s="110"/>
      <c r="K518" s="344"/>
      <c r="L518" s="110"/>
      <c r="M518" s="110"/>
      <c r="N518" s="329"/>
      <c r="O518" s="329"/>
      <c r="P518" s="329"/>
      <c r="Q518" s="329"/>
      <c r="R518" s="329"/>
      <c r="S518" s="329"/>
      <c r="T518" s="329"/>
      <c r="U518" s="110"/>
      <c r="V518" s="110"/>
      <c r="W518" s="110"/>
      <c r="X518" s="110"/>
      <c r="Y518" s="110"/>
      <c r="Z518" s="110"/>
      <c r="AA518" s="110"/>
    </row>
    <row r="519" spans="1:27" ht="15.75" customHeight="1">
      <c r="A519" s="110"/>
      <c r="B519" s="427"/>
      <c r="C519" s="110"/>
      <c r="D519" s="110"/>
      <c r="E519" s="110"/>
      <c r="F519" s="110"/>
      <c r="G519" s="110"/>
      <c r="H519" s="110"/>
      <c r="I519" s="4"/>
      <c r="J519" s="110"/>
      <c r="K519" s="344"/>
      <c r="L519" s="110"/>
      <c r="M519" s="110"/>
      <c r="N519" s="329"/>
      <c r="O519" s="329"/>
      <c r="P519" s="329"/>
      <c r="Q519" s="329"/>
      <c r="R519" s="329"/>
      <c r="S519" s="329"/>
      <c r="T519" s="329"/>
      <c r="U519" s="110"/>
      <c r="V519" s="110"/>
      <c r="W519" s="110"/>
      <c r="X519" s="110"/>
      <c r="Y519" s="110"/>
      <c r="Z519" s="110"/>
      <c r="AA519" s="110"/>
    </row>
    <row r="520" spans="1:27" ht="15.75" customHeight="1">
      <c r="A520" s="110"/>
      <c r="B520" s="427"/>
      <c r="C520" s="110"/>
      <c r="D520" s="110"/>
      <c r="E520" s="110"/>
      <c r="F520" s="110"/>
      <c r="G520" s="110"/>
      <c r="H520" s="110"/>
      <c r="I520" s="4"/>
      <c r="J520" s="110"/>
      <c r="K520" s="344"/>
      <c r="L520" s="110"/>
      <c r="M520" s="110"/>
      <c r="N520" s="329"/>
      <c r="O520" s="329"/>
      <c r="P520" s="329"/>
      <c r="Q520" s="329"/>
      <c r="R520" s="329"/>
      <c r="S520" s="329"/>
      <c r="T520" s="329"/>
      <c r="U520" s="110"/>
      <c r="V520" s="110"/>
      <c r="W520" s="110"/>
      <c r="X520" s="110"/>
      <c r="Y520" s="110"/>
      <c r="Z520" s="110"/>
      <c r="AA520" s="110"/>
    </row>
    <row r="521" spans="1:27" ht="15.75" customHeight="1">
      <c r="A521" s="110"/>
      <c r="B521" s="427"/>
      <c r="C521" s="110"/>
      <c r="D521" s="110"/>
      <c r="E521" s="110"/>
      <c r="F521" s="110"/>
      <c r="G521" s="110"/>
      <c r="H521" s="110"/>
      <c r="I521" s="4"/>
      <c r="J521" s="110"/>
      <c r="K521" s="344"/>
      <c r="L521" s="110"/>
      <c r="M521" s="110"/>
      <c r="N521" s="329"/>
      <c r="O521" s="329"/>
      <c r="P521" s="329"/>
      <c r="Q521" s="329"/>
      <c r="R521" s="329"/>
      <c r="S521" s="329"/>
      <c r="T521" s="329"/>
      <c r="U521" s="110"/>
      <c r="V521" s="110"/>
      <c r="W521" s="110"/>
      <c r="X521" s="110"/>
      <c r="Y521" s="110"/>
      <c r="Z521" s="110"/>
      <c r="AA521" s="110"/>
    </row>
    <row r="522" spans="1:27" ht="15.75" customHeight="1">
      <c r="A522" s="110"/>
      <c r="B522" s="427"/>
      <c r="C522" s="110"/>
      <c r="D522" s="110"/>
      <c r="E522" s="110"/>
      <c r="F522" s="110"/>
      <c r="G522" s="110"/>
      <c r="H522" s="110"/>
      <c r="I522" s="4"/>
      <c r="J522" s="110"/>
      <c r="K522" s="344"/>
      <c r="L522" s="110"/>
      <c r="M522" s="110"/>
      <c r="N522" s="329"/>
      <c r="O522" s="329"/>
      <c r="P522" s="329"/>
      <c r="Q522" s="329"/>
      <c r="R522" s="329"/>
      <c r="S522" s="329"/>
      <c r="T522" s="329"/>
      <c r="U522" s="110"/>
      <c r="V522" s="110"/>
      <c r="W522" s="110"/>
      <c r="X522" s="110"/>
      <c r="Y522" s="110"/>
      <c r="Z522" s="110"/>
      <c r="AA522" s="110"/>
    </row>
    <row r="523" spans="1:27" ht="15.75" customHeight="1">
      <c r="A523" s="110"/>
      <c r="B523" s="427"/>
      <c r="C523" s="110"/>
      <c r="D523" s="110"/>
      <c r="E523" s="110"/>
      <c r="F523" s="110"/>
      <c r="G523" s="110"/>
      <c r="H523" s="110"/>
      <c r="I523" s="4"/>
      <c r="J523" s="110"/>
      <c r="K523" s="344"/>
      <c r="L523" s="110"/>
      <c r="M523" s="110"/>
      <c r="N523" s="329"/>
      <c r="O523" s="329"/>
      <c r="P523" s="329"/>
      <c r="Q523" s="329"/>
      <c r="R523" s="329"/>
      <c r="S523" s="329"/>
      <c r="T523" s="329"/>
      <c r="U523" s="110"/>
      <c r="V523" s="110"/>
      <c r="W523" s="110"/>
      <c r="X523" s="110"/>
      <c r="Y523" s="110"/>
      <c r="Z523" s="110"/>
      <c r="AA523" s="110"/>
    </row>
    <row r="524" spans="1:27" ht="15.75" customHeight="1">
      <c r="A524" s="110"/>
      <c r="B524" s="427"/>
      <c r="C524" s="110"/>
      <c r="D524" s="110"/>
      <c r="E524" s="110"/>
      <c r="F524" s="110"/>
      <c r="G524" s="110"/>
      <c r="H524" s="110"/>
      <c r="I524" s="4"/>
      <c r="J524" s="110"/>
      <c r="K524" s="344"/>
      <c r="L524" s="110"/>
      <c r="M524" s="110"/>
      <c r="N524" s="329"/>
      <c r="O524" s="329"/>
      <c r="P524" s="329"/>
      <c r="Q524" s="329"/>
      <c r="R524" s="329"/>
      <c r="S524" s="329"/>
      <c r="T524" s="329"/>
      <c r="U524" s="110"/>
      <c r="V524" s="110"/>
      <c r="W524" s="110"/>
      <c r="X524" s="110"/>
      <c r="Y524" s="110"/>
      <c r="Z524" s="110"/>
      <c r="AA524" s="110"/>
    </row>
    <row r="525" spans="1:27" ht="15.75" customHeight="1">
      <c r="A525" s="110"/>
      <c r="B525" s="427"/>
      <c r="C525" s="110"/>
      <c r="D525" s="110"/>
      <c r="E525" s="110"/>
      <c r="F525" s="110"/>
      <c r="G525" s="110"/>
      <c r="H525" s="110"/>
      <c r="I525" s="4"/>
      <c r="J525" s="110"/>
      <c r="K525" s="344"/>
      <c r="L525" s="110"/>
      <c r="M525" s="110"/>
      <c r="N525" s="329"/>
      <c r="O525" s="329"/>
      <c r="P525" s="329"/>
      <c r="Q525" s="329"/>
      <c r="R525" s="329"/>
      <c r="S525" s="329"/>
      <c r="T525" s="329"/>
      <c r="U525" s="110"/>
      <c r="V525" s="110"/>
      <c r="W525" s="110"/>
      <c r="X525" s="110"/>
      <c r="Y525" s="110"/>
      <c r="Z525" s="110"/>
      <c r="AA525" s="110"/>
    </row>
    <row r="526" spans="1:27" ht="15.75" customHeight="1">
      <c r="A526" s="110"/>
      <c r="B526" s="427"/>
      <c r="C526" s="110"/>
      <c r="D526" s="110"/>
      <c r="E526" s="110"/>
      <c r="F526" s="110"/>
      <c r="G526" s="110"/>
      <c r="H526" s="110"/>
      <c r="I526" s="4"/>
      <c r="J526" s="110"/>
      <c r="K526" s="344"/>
      <c r="L526" s="110"/>
      <c r="M526" s="110"/>
      <c r="N526" s="329"/>
      <c r="O526" s="329"/>
      <c r="P526" s="329"/>
      <c r="Q526" s="329"/>
      <c r="R526" s="329"/>
      <c r="S526" s="329"/>
      <c r="T526" s="329"/>
      <c r="U526" s="110"/>
      <c r="V526" s="110"/>
      <c r="W526" s="110"/>
      <c r="X526" s="110"/>
      <c r="Y526" s="110"/>
      <c r="Z526" s="110"/>
      <c r="AA526" s="110"/>
    </row>
    <row r="527" spans="1:27" ht="15.75" customHeight="1">
      <c r="A527" s="110"/>
      <c r="B527" s="427"/>
      <c r="C527" s="110"/>
      <c r="D527" s="110"/>
      <c r="E527" s="110"/>
      <c r="F527" s="110"/>
      <c r="G527" s="110"/>
      <c r="H527" s="110"/>
      <c r="I527" s="4"/>
      <c r="J527" s="110"/>
      <c r="K527" s="344"/>
      <c r="L527" s="110"/>
      <c r="M527" s="110"/>
      <c r="N527" s="329"/>
      <c r="O527" s="329"/>
      <c r="P527" s="329"/>
      <c r="Q527" s="329"/>
      <c r="R527" s="329"/>
      <c r="S527" s="329"/>
      <c r="T527" s="329"/>
      <c r="U527" s="110"/>
      <c r="V527" s="110"/>
      <c r="W527" s="110"/>
      <c r="X527" s="110"/>
      <c r="Y527" s="110"/>
      <c r="Z527" s="110"/>
      <c r="AA527" s="110"/>
    </row>
    <row r="528" spans="1:27" ht="15.75" customHeight="1">
      <c r="A528" s="110"/>
      <c r="B528" s="427"/>
      <c r="C528" s="110"/>
      <c r="D528" s="110"/>
      <c r="E528" s="110"/>
      <c r="F528" s="110"/>
      <c r="G528" s="110"/>
      <c r="H528" s="110"/>
      <c r="I528" s="4"/>
      <c r="J528" s="110"/>
      <c r="K528" s="344"/>
      <c r="L528" s="110"/>
      <c r="M528" s="110"/>
      <c r="N528" s="329"/>
      <c r="O528" s="329"/>
      <c r="P528" s="329"/>
      <c r="Q528" s="329"/>
      <c r="R528" s="329"/>
      <c r="S528" s="329"/>
      <c r="T528" s="329"/>
      <c r="U528" s="110"/>
      <c r="V528" s="110"/>
      <c r="W528" s="110"/>
      <c r="X528" s="110"/>
      <c r="Y528" s="110"/>
      <c r="Z528" s="110"/>
      <c r="AA528" s="110"/>
    </row>
    <row r="529" spans="1:27" ht="15.75" customHeight="1">
      <c r="A529" s="110"/>
      <c r="B529" s="427"/>
      <c r="C529" s="110"/>
      <c r="D529" s="110"/>
      <c r="E529" s="110"/>
      <c r="F529" s="110"/>
      <c r="G529" s="110"/>
      <c r="H529" s="110"/>
      <c r="I529" s="4"/>
      <c r="J529" s="110"/>
      <c r="K529" s="344"/>
      <c r="L529" s="110"/>
      <c r="M529" s="110"/>
      <c r="N529" s="329"/>
      <c r="O529" s="329"/>
      <c r="P529" s="329"/>
      <c r="Q529" s="329"/>
      <c r="R529" s="329"/>
      <c r="S529" s="329"/>
      <c r="T529" s="329"/>
      <c r="U529" s="110"/>
      <c r="V529" s="110"/>
      <c r="W529" s="110"/>
      <c r="X529" s="110"/>
      <c r="Y529" s="110"/>
      <c r="Z529" s="110"/>
      <c r="AA529" s="110"/>
    </row>
    <row r="530" spans="1:27" ht="15.75" customHeight="1">
      <c r="A530" s="110"/>
      <c r="B530" s="427"/>
      <c r="C530" s="110"/>
      <c r="D530" s="110"/>
      <c r="E530" s="110"/>
      <c r="F530" s="110"/>
      <c r="G530" s="110"/>
      <c r="H530" s="110"/>
      <c r="I530" s="4"/>
      <c r="J530" s="110"/>
      <c r="K530" s="344"/>
      <c r="L530" s="110"/>
      <c r="M530" s="110"/>
      <c r="N530" s="329"/>
      <c r="O530" s="329"/>
      <c r="P530" s="329"/>
      <c r="Q530" s="329"/>
      <c r="R530" s="329"/>
      <c r="S530" s="329"/>
      <c r="T530" s="329"/>
      <c r="U530" s="110"/>
      <c r="V530" s="110"/>
      <c r="W530" s="110"/>
      <c r="X530" s="110"/>
      <c r="Y530" s="110"/>
      <c r="Z530" s="110"/>
      <c r="AA530" s="110"/>
    </row>
    <row r="531" spans="1:27" ht="15.75" customHeight="1">
      <c r="A531" s="110"/>
      <c r="B531" s="427"/>
      <c r="C531" s="110"/>
      <c r="D531" s="110"/>
      <c r="E531" s="110"/>
      <c r="F531" s="110"/>
      <c r="G531" s="110"/>
      <c r="H531" s="110"/>
      <c r="I531" s="4"/>
      <c r="J531" s="110"/>
      <c r="K531" s="344"/>
      <c r="L531" s="110"/>
      <c r="M531" s="110"/>
      <c r="N531" s="329"/>
      <c r="O531" s="329"/>
      <c r="P531" s="329"/>
      <c r="Q531" s="329"/>
      <c r="R531" s="329"/>
      <c r="S531" s="329"/>
      <c r="T531" s="329"/>
      <c r="U531" s="110"/>
      <c r="V531" s="110"/>
      <c r="W531" s="110"/>
      <c r="X531" s="110"/>
      <c r="Y531" s="110"/>
      <c r="Z531" s="110"/>
      <c r="AA531" s="110"/>
    </row>
    <row r="532" spans="1:27" ht="15.75" customHeight="1">
      <c r="A532" s="110"/>
      <c r="B532" s="427"/>
      <c r="C532" s="110"/>
      <c r="D532" s="110"/>
      <c r="E532" s="110"/>
      <c r="F532" s="110"/>
      <c r="G532" s="110"/>
      <c r="H532" s="110"/>
      <c r="I532" s="4"/>
      <c r="J532" s="110"/>
      <c r="K532" s="344"/>
      <c r="L532" s="110"/>
      <c r="M532" s="110"/>
      <c r="N532" s="329"/>
      <c r="O532" s="329"/>
      <c r="P532" s="329"/>
      <c r="Q532" s="329"/>
      <c r="R532" s="329"/>
      <c r="S532" s="329"/>
      <c r="T532" s="329"/>
      <c r="U532" s="110"/>
      <c r="V532" s="110"/>
      <c r="W532" s="110"/>
      <c r="X532" s="110"/>
      <c r="Y532" s="110"/>
      <c r="Z532" s="110"/>
      <c r="AA532" s="110"/>
    </row>
    <row r="533" spans="1:27" ht="15.75" customHeight="1">
      <c r="A533" s="110"/>
      <c r="B533" s="427"/>
      <c r="C533" s="110"/>
      <c r="D533" s="110"/>
      <c r="E533" s="110"/>
      <c r="F533" s="110"/>
      <c r="G533" s="110"/>
      <c r="H533" s="110"/>
      <c r="I533" s="4"/>
      <c r="J533" s="110"/>
      <c r="K533" s="344"/>
      <c r="L533" s="110"/>
      <c r="M533" s="110"/>
      <c r="N533" s="329"/>
      <c r="O533" s="329"/>
      <c r="P533" s="329"/>
      <c r="Q533" s="329"/>
      <c r="R533" s="329"/>
      <c r="S533" s="329"/>
      <c r="T533" s="329"/>
      <c r="U533" s="110"/>
      <c r="V533" s="110"/>
      <c r="W533" s="110"/>
      <c r="X533" s="110"/>
      <c r="Y533" s="110"/>
      <c r="Z533" s="110"/>
      <c r="AA533" s="110"/>
    </row>
    <row r="534" spans="1:27" ht="15.75" customHeight="1">
      <c r="A534" s="110"/>
      <c r="B534" s="427"/>
      <c r="C534" s="110"/>
      <c r="D534" s="110"/>
      <c r="E534" s="110"/>
      <c r="F534" s="110"/>
      <c r="G534" s="110"/>
      <c r="H534" s="110"/>
      <c r="I534" s="4"/>
      <c r="J534" s="110"/>
      <c r="K534" s="344"/>
      <c r="L534" s="110"/>
      <c r="M534" s="110"/>
      <c r="N534" s="329"/>
      <c r="O534" s="329"/>
      <c r="P534" s="329"/>
      <c r="Q534" s="329"/>
      <c r="R534" s="329"/>
      <c r="S534" s="329"/>
      <c r="T534" s="329"/>
      <c r="U534" s="110"/>
      <c r="V534" s="110"/>
      <c r="W534" s="110"/>
      <c r="X534" s="110"/>
      <c r="Y534" s="110"/>
      <c r="Z534" s="110"/>
      <c r="AA534" s="110"/>
    </row>
    <row r="535" spans="1:27" ht="15.75" customHeight="1">
      <c r="A535" s="110"/>
      <c r="B535" s="427"/>
      <c r="C535" s="110"/>
      <c r="D535" s="110"/>
      <c r="E535" s="110"/>
      <c r="F535" s="110"/>
      <c r="G535" s="110"/>
      <c r="H535" s="110"/>
      <c r="I535" s="4"/>
      <c r="J535" s="110"/>
      <c r="K535" s="344"/>
      <c r="L535" s="110"/>
      <c r="M535" s="110"/>
      <c r="N535" s="329"/>
      <c r="O535" s="329"/>
      <c r="P535" s="329"/>
      <c r="Q535" s="329"/>
      <c r="R535" s="329"/>
      <c r="S535" s="329"/>
      <c r="T535" s="329"/>
      <c r="U535" s="110"/>
      <c r="V535" s="110"/>
      <c r="W535" s="110"/>
      <c r="X535" s="110"/>
      <c r="Y535" s="110"/>
      <c r="Z535" s="110"/>
      <c r="AA535" s="110"/>
    </row>
    <row r="536" spans="1:27" ht="15.75" customHeight="1">
      <c r="A536" s="110"/>
      <c r="B536" s="427"/>
      <c r="C536" s="110"/>
      <c r="D536" s="110"/>
      <c r="E536" s="110"/>
      <c r="F536" s="110"/>
      <c r="G536" s="110"/>
      <c r="H536" s="110"/>
      <c r="I536" s="4"/>
      <c r="J536" s="110"/>
      <c r="K536" s="344"/>
      <c r="L536" s="110"/>
      <c r="M536" s="110"/>
      <c r="N536" s="329"/>
      <c r="O536" s="329"/>
      <c r="P536" s="329"/>
      <c r="Q536" s="329"/>
      <c r="R536" s="329"/>
      <c r="S536" s="329"/>
      <c r="T536" s="329"/>
      <c r="U536" s="110"/>
      <c r="V536" s="110"/>
      <c r="W536" s="110"/>
      <c r="X536" s="110"/>
      <c r="Y536" s="110"/>
      <c r="Z536" s="110"/>
      <c r="AA536" s="110"/>
    </row>
    <row r="537" spans="1:27" ht="15.75" customHeight="1">
      <c r="A537" s="110"/>
      <c r="B537" s="427"/>
      <c r="C537" s="110"/>
      <c r="D537" s="110"/>
      <c r="E537" s="110"/>
      <c r="F537" s="110"/>
      <c r="G537" s="110"/>
      <c r="H537" s="110"/>
      <c r="I537" s="4"/>
      <c r="J537" s="110"/>
      <c r="K537" s="344"/>
      <c r="L537" s="110"/>
      <c r="M537" s="110"/>
      <c r="N537" s="329"/>
      <c r="O537" s="329"/>
      <c r="P537" s="329"/>
      <c r="Q537" s="329"/>
      <c r="R537" s="329"/>
      <c r="S537" s="329"/>
      <c r="T537" s="329"/>
      <c r="U537" s="110"/>
      <c r="V537" s="110"/>
      <c r="W537" s="110"/>
      <c r="X537" s="110"/>
      <c r="Y537" s="110"/>
      <c r="Z537" s="110"/>
      <c r="AA537" s="110"/>
    </row>
    <row r="538" spans="1:27" ht="15.75" customHeight="1">
      <c r="A538" s="110"/>
      <c r="B538" s="427"/>
      <c r="C538" s="110"/>
      <c r="D538" s="110"/>
      <c r="E538" s="110"/>
      <c r="F538" s="110"/>
      <c r="G538" s="110"/>
      <c r="H538" s="110"/>
      <c r="I538" s="4"/>
      <c r="J538" s="110"/>
      <c r="K538" s="344"/>
      <c r="L538" s="110"/>
      <c r="M538" s="110"/>
      <c r="N538" s="329"/>
      <c r="O538" s="329"/>
      <c r="P538" s="329"/>
      <c r="Q538" s="329"/>
      <c r="R538" s="329"/>
      <c r="S538" s="329"/>
      <c r="T538" s="329"/>
      <c r="U538" s="110"/>
      <c r="V538" s="110"/>
      <c r="W538" s="110"/>
      <c r="X538" s="110"/>
      <c r="Y538" s="110"/>
      <c r="Z538" s="110"/>
      <c r="AA538" s="110"/>
    </row>
    <row r="539" spans="1:27" ht="15.75" customHeight="1">
      <c r="A539" s="110"/>
      <c r="B539" s="427"/>
      <c r="C539" s="110"/>
      <c r="D539" s="110"/>
      <c r="E539" s="110"/>
      <c r="F539" s="110"/>
      <c r="G539" s="110"/>
      <c r="H539" s="110"/>
      <c r="I539" s="4"/>
      <c r="J539" s="110"/>
      <c r="K539" s="344"/>
      <c r="L539" s="110"/>
      <c r="M539" s="110"/>
      <c r="N539" s="329"/>
      <c r="O539" s="329"/>
      <c r="P539" s="329"/>
      <c r="Q539" s="329"/>
      <c r="R539" s="329"/>
      <c r="S539" s="329"/>
      <c r="T539" s="329"/>
      <c r="U539" s="110"/>
      <c r="V539" s="110"/>
      <c r="W539" s="110"/>
      <c r="X539" s="110"/>
      <c r="Y539" s="110"/>
      <c r="Z539" s="110"/>
      <c r="AA539" s="110"/>
    </row>
    <row r="540" spans="1:27" ht="15.75" customHeight="1">
      <c r="A540" s="110"/>
      <c r="B540" s="427"/>
      <c r="C540" s="110"/>
      <c r="D540" s="110"/>
      <c r="E540" s="110"/>
      <c r="F540" s="110"/>
      <c r="G540" s="110"/>
      <c r="H540" s="110"/>
      <c r="I540" s="4"/>
      <c r="J540" s="110"/>
      <c r="K540" s="344"/>
      <c r="L540" s="110"/>
      <c r="M540" s="110"/>
      <c r="N540" s="329"/>
      <c r="O540" s="329"/>
      <c r="P540" s="329"/>
      <c r="Q540" s="329"/>
      <c r="R540" s="329"/>
      <c r="S540" s="329"/>
      <c r="T540" s="329"/>
      <c r="U540" s="110"/>
      <c r="V540" s="110"/>
      <c r="W540" s="110"/>
      <c r="X540" s="110"/>
      <c r="Y540" s="110"/>
      <c r="Z540" s="110"/>
      <c r="AA540" s="110"/>
    </row>
    <row r="541" spans="1:27" ht="15.75" customHeight="1">
      <c r="A541" s="110"/>
      <c r="B541" s="427"/>
      <c r="C541" s="110"/>
      <c r="D541" s="110"/>
      <c r="E541" s="110"/>
      <c r="F541" s="110"/>
      <c r="G541" s="110"/>
      <c r="H541" s="110"/>
      <c r="I541" s="4"/>
      <c r="J541" s="110"/>
      <c r="K541" s="344"/>
      <c r="L541" s="110"/>
      <c r="M541" s="110"/>
      <c r="N541" s="329"/>
      <c r="O541" s="329"/>
      <c r="P541" s="329"/>
      <c r="Q541" s="329"/>
      <c r="R541" s="329"/>
      <c r="S541" s="329"/>
      <c r="T541" s="329"/>
      <c r="U541" s="110"/>
      <c r="V541" s="110"/>
      <c r="W541" s="110"/>
      <c r="X541" s="110"/>
      <c r="Y541" s="110"/>
      <c r="Z541" s="110"/>
      <c r="AA541" s="110"/>
    </row>
    <row r="542" spans="1:27" ht="15.75" customHeight="1">
      <c r="A542" s="110"/>
      <c r="B542" s="427"/>
      <c r="C542" s="110"/>
      <c r="D542" s="110"/>
      <c r="E542" s="110"/>
      <c r="F542" s="110"/>
      <c r="G542" s="110"/>
      <c r="H542" s="110"/>
      <c r="I542" s="4"/>
      <c r="J542" s="110"/>
      <c r="K542" s="344"/>
      <c r="L542" s="110"/>
      <c r="M542" s="110"/>
      <c r="N542" s="329"/>
      <c r="O542" s="329"/>
      <c r="P542" s="329"/>
      <c r="Q542" s="329"/>
      <c r="R542" s="329"/>
      <c r="S542" s="329"/>
      <c r="T542" s="329"/>
      <c r="U542" s="110"/>
      <c r="V542" s="110"/>
      <c r="W542" s="110"/>
      <c r="X542" s="110"/>
      <c r="Y542" s="110"/>
      <c r="Z542" s="110"/>
      <c r="AA542" s="110"/>
    </row>
    <row r="543" spans="1:27" ht="15.75" customHeight="1">
      <c r="A543" s="110"/>
      <c r="B543" s="427"/>
      <c r="C543" s="110"/>
      <c r="D543" s="110"/>
      <c r="E543" s="110"/>
      <c r="F543" s="110"/>
      <c r="G543" s="110"/>
      <c r="H543" s="110"/>
      <c r="I543" s="4"/>
      <c r="J543" s="110"/>
      <c r="K543" s="344"/>
      <c r="L543" s="110"/>
      <c r="M543" s="110"/>
      <c r="N543" s="329"/>
      <c r="O543" s="329"/>
      <c r="P543" s="329"/>
      <c r="Q543" s="329"/>
      <c r="R543" s="329"/>
      <c r="S543" s="329"/>
      <c r="T543" s="329"/>
      <c r="U543" s="110"/>
      <c r="V543" s="110"/>
      <c r="W543" s="110"/>
      <c r="X543" s="110"/>
      <c r="Y543" s="110"/>
      <c r="Z543" s="110"/>
      <c r="AA543" s="110"/>
    </row>
    <row r="544" spans="1:27" ht="15.75" customHeight="1">
      <c r="A544" s="110"/>
      <c r="B544" s="427"/>
      <c r="C544" s="110"/>
      <c r="D544" s="110"/>
      <c r="E544" s="110"/>
      <c r="F544" s="110"/>
      <c r="G544" s="110"/>
      <c r="H544" s="110"/>
      <c r="I544" s="4"/>
      <c r="J544" s="110"/>
      <c r="K544" s="344"/>
      <c r="L544" s="110"/>
      <c r="M544" s="110"/>
      <c r="N544" s="329"/>
      <c r="O544" s="329"/>
      <c r="P544" s="329"/>
      <c r="Q544" s="329"/>
      <c r="R544" s="329"/>
      <c r="S544" s="329"/>
      <c r="T544" s="329"/>
      <c r="U544" s="110"/>
      <c r="V544" s="110"/>
      <c r="W544" s="110"/>
      <c r="X544" s="110"/>
      <c r="Y544" s="110"/>
      <c r="Z544" s="110"/>
      <c r="AA544" s="110"/>
    </row>
    <row r="545" spans="1:27" ht="15.75" customHeight="1">
      <c r="A545" s="110"/>
      <c r="B545" s="427"/>
      <c r="C545" s="110"/>
      <c r="D545" s="110"/>
      <c r="E545" s="110"/>
      <c r="F545" s="110"/>
      <c r="G545" s="110"/>
      <c r="H545" s="110"/>
      <c r="I545" s="4"/>
      <c r="J545" s="110"/>
      <c r="K545" s="344"/>
      <c r="L545" s="110"/>
      <c r="M545" s="110"/>
      <c r="N545" s="329"/>
      <c r="O545" s="329"/>
      <c r="P545" s="329"/>
      <c r="Q545" s="329"/>
      <c r="R545" s="329"/>
      <c r="S545" s="329"/>
      <c r="T545" s="329"/>
      <c r="U545" s="110"/>
      <c r="V545" s="110"/>
      <c r="W545" s="110"/>
      <c r="X545" s="110"/>
      <c r="Y545" s="110"/>
      <c r="Z545" s="110"/>
      <c r="AA545" s="110"/>
    </row>
    <row r="546" spans="1:27" ht="15.75" customHeight="1">
      <c r="A546" s="110"/>
      <c r="B546" s="427"/>
      <c r="C546" s="110"/>
      <c r="D546" s="110"/>
      <c r="E546" s="110"/>
      <c r="F546" s="110"/>
      <c r="G546" s="110"/>
      <c r="H546" s="110"/>
      <c r="I546" s="4"/>
      <c r="J546" s="110"/>
      <c r="K546" s="344"/>
      <c r="L546" s="110"/>
      <c r="M546" s="110"/>
      <c r="N546" s="329"/>
      <c r="O546" s="329"/>
      <c r="P546" s="329"/>
      <c r="Q546" s="329"/>
      <c r="R546" s="329"/>
      <c r="S546" s="329"/>
      <c r="T546" s="329"/>
      <c r="U546" s="110"/>
      <c r="V546" s="110"/>
      <c r="W546" s="110"/>
      <c r="X546" s="110"/>
      <c r="Y546" s="110"/>
      <c r="Z546" s="110"/>
      <c r="AA546" s="110"/>
    </row>
    <row r="547" spans="1:27" ht="15.75" customHeight="1">
      <c r="A547" s="110"/>
      <c r="B547" s="427"/>
      <c r="C547" s="110"/>
      <c r="D547" s="110"/>
      <c r="E547" s="110"/>
      <c r="F547" s="110"/>
      <c r="G547" s="110"/>
      <c r="H547" s="110"/>
      <c r="I547" s="4"/>
      <c r="J547" s="110"/>
      <c r="K547" s="344"/>
      <c r="L547" s="110"/>
      <c r="M547" s="110"/>
      <c r="N547" s="329"/>
      <c r="O547" s="329"/>
      <c r="P547" s="329"/>
      <c r="Q547" s="329"/>
      <c r="R547" s="329"/>
      <c r="S547" s="329"/>
      <c r="T547" s="329"/>
      <c r="U547" s="110"/>
      <c r="V547" s="110"/>
      <c r="W547" s="110"/>
      <c r="X547" s="110"/>
      <c r="Y547" s="110"/>
      <c r="Z547" s="110"/>
      <c r="AA547" s="110"/>
    </row>
    <row r="548" spans="1:27" ht="15.75" customHeight="1">
      <c r="A548" s="110"/>
      <c r="B548" s="427"/>
      <c r="C548" s="110"/>
      <c r="D548" s="110"/>
      <c r="E548" s="110"/>
      <c r="F548" s="110"/>
      <c r="G548" s="110"/>
      <c r="H548" s="110"/>
      <c r="I548" s="4"/>
      <c r="J548" s="110"/>
      <c r="K548" s="344"/>
      <c r="L548" s="110"/>
      <c r="M548" s="110"/>
      <c r="N548" s="329"/>
      <c r="O548" s="329"/>
      <c r="P548" s="329"/>
      <c r="Q548" s="329"/>
      <c r="R548" s="329"/>
      <c r="S548" s="329"/>
      <c r="T548" s="329"/>
      <c r="U548" s="110"/>
      <c r="V548" s="110"/>
      <c r="W548" s="110"/>
      <c r="X548" s="110"/>
      <c r="Y548" s="110"/>
      <c r="Z548" s="110"/>
      <c r="AA548" s="110"/>
    </row>
    <row r="549" spans="1:27" ht="15.75" customHeight="1">
      <c r="A549" s="110"/>
      <c r="B549" s="427"/>
      <c r="C549" s="110"/>
      <c r="D549" s="110"/>
      <c r="E549" s="110"/>
      <c r="F549" s="110"/>
      <c r="G549" s="110"/>
      <c r="H549" s="110"/>
      <c r="I549" s="4"/>
      <c r="J549" s="110"/>
      <c r="K549" s="344"/>
      <c r="L549" s="110"/>
      <c r="M549" s="110"/>
      <c r="N549" s="329"/>
      <c r="O549" s="329"/>
      <c r="P549" s="329"/>
      <c r="Q549" s="329"/>
      <c r="R549" s="329"/>
      <c r="S549" s="329"/>
      <c r="T549" s="329"/>
      <c r="U549" s="110"/>
      <c r="V549" s="110"/>
      <c r="W549" s="110"/>
      <c r="X549" s="110"/>
      <c r="Y549" s="110"/>
      <c r="Z549" s="110"/>
      <c r="AA549" s="110"/>
    </row>
    <row r="550" spans="1:27" ht="15.75" customHeight="1">
      <c r="A550" s="110"/>
      <c r="B550" s="427"/>
      <c r="C550" s="110"/>
      <c r="D550" s="110"/>
      <c r="E550" s="110"/>
      <c r="F550" s="110"/>
      <c r="G550" s="110"/>
      <c r="H550" s="110"/>
      <c r="I550" s="4"/>
      <c r="J550" s="110"/>
      <c r="K550" s="344"/>
      <c r="L550" s="110"/>
      <c r="M550" s="110"/>
      <c r="N550" s="329"/>
      <c r="O550" s="329"/>
      <c r="P550" s="329"/>
      <c r="Q550" s="329"/>
      <c r="R550" s="329"/>
      <c r="S550" s="329"/>
      <c r="T550" s="329"/>
      <c r="U550" s="110"/>
      <c r="V550" s="110"/>
      <c r="W550" s="110"/>
      <c r="X550" s="110"/>
      <c r="Y550" s="110"/>
      <c r="Z550" s="110"/>
      <c r="AA550" s="110"/>
    </row>
    <row r="551" spans="1:27" ht="15.75" customHeight="1">
      <c r="A551" s="110"/>
      <c r="B551" s="427"/>
      <c r="C551" s="110"/>
      <c r="D551" s="110"/>
      <c r="E551" s="110"/>
      <c r="F551" s="110"/>
      <c r="G551" s="110"/>
      <c r="H551" s="110"/>
      <c r="I551" s="4"/>
      <c r="J551" s="110"/>
      <c r="K551" s="344"/>
      <c r="L551" s="110"/>
      <c r="M551" s="110"/>
      <c r="N551" s="329"/>
      <c r="O551" s="329"/>
      <c r="P551" s="329"/>
      <c r="Q551" s="329"/>
      <c r="R551" s="329"/>
      <c r="S551" s="329"/>
      <c r="T551" s="329"/>
      <c r="U551" s="110"/>
      <c r="V551" s="110"/>
      <c r="W551" s="110"/>
      <c r="X551" s="110"/>
      <c r="Y551" s="110"/>
      <c r="Z551" s="110"/>
      <c r="AA551" s="110"/>
    </row>
    <row r="552" spans="1:27" ht="15.75" customHeight="1">
      <c r="A552" s="110"/>
      <c r="B552" s="427"/>
      <c r="C552" s="110"/>
      <c r="D552" s="110"/>
      <c r="E552" s="110"/>
      <c r="F552" s="110"/>
      <c r="G552" s="110"/>
      <c r="H552" s="110"/>
      <c r="I552" s="4"/>
      <c r="J552" s="110"/>
      <c r="K552" s="344"/>
      <c r="L552" s="110"/>
      <c r="M552" s="110"/>
      <c r="N552" s="329"/>
      <c r="O552" s="329"/>
      <c r="P552" s="329"/>
      <c r="Q552" s="329"/>
      <c r="R552" s="329"/>
      <c r="S552" s="329"/>
      <c r="T552" s="329"/>
      <c r="U552" s="110"/>
      <c r="V552" s="110"/>
      <c r="W552" s="110"/>
      <c r="X552" s="110"/>
      <c r="Y552" s="110"/>
      <c r="Z552" s="110"/>
      <c r="AA552" s="110"/>
    </row>
    <row r="553" spans="1:27" ht="15.75" customHeight="1">
      <c r="A553" s="110"/>
      <c r="B553" s="427"/>
      <c r="C553" s="110"/>
      <c r="D553" s="110"/>
      <c r="E553" s="110"/>
      <c r="F553" s="110"/>
      <c r="G553" s="110"/>
      <c r="H553" s="110"/>
      <c r="I553" s="4"/>
      <c r="J553" s="110"/>
      <c r="K553" s="344"/>
      <c r="L553" s="110"/>
      <c r="M553" s="110"/>
      <c r="N553" s="329"/>
      <c r="O553" s="329"/>
      <c r="P553" s="329"/>
      <c r="Q553" s="329"/>
      <c r="R553" s="329"/>
      <c r="S553" s="329"/>
      <c r="T553" s="329"/>
      <c r="U553" s="110"/>
      <c r="V553" s="110"/>
      <c r="W553" s="110"/>
      <c r="X553" s="110"/>
      <c r="Y553" s="110"/>
      <c r="Z553" s="110"/>
      <c r="AA553" s="110"/>
    </row>
    <row r="554" spans="1:27" ht="15.75" customHeight="1">
      <c r="A554" s="110"/>
      <c r="B554" s="427"/>
      <c r="C554" s="110"/>
      <c r="D554" s="110"/>
      <c r="E554" s="110"/>
      <c r="F554" s="110"/>
      <c r="G554" s="110"/>
      <c r="H554" s="110"/>
      <c r="I554" s="4"/>
      <c r="J554" s="110"/>
      <c r="K554" s="344"/>
      <c r="L554" s="110"/>
      <c r="M554" s="110"/>
      <c r="N554" s="329"/>
      <c r="O554" s="329"/>
      <c r="P554" s="329"/>
      <c r="Q554" s="329"/>
      <c r="R554" s="329"/>
      <c r="S554" s="329"/>
      <c r="T554" s="329"/>
      <c r="U554" s="110"/>
      <c r="V554" s="110"/>
      <c r="W554" s="110"/>
      <c r="X554" s="110"/>
      <c r="Y554" s="110"/>
      <c r="Z554" s="110"/>
      <c r="AA554" s="110"/>
    </row>
    <row r="555" spans="1:27" ht="15.75" customHeight="1">
      <c r="A555" s="110"/>
      <c r="B555" s="427"/>
      <c r="C555" s="110"/>
      <c r="D555" s="110"/>
      <c r="E555" s="110"/>
      <c r="F555" s="110"/>
      <c r="G555" s="110"/>
      <c r="H555" s="110"/>
      <c r="I555" s="4"/>
      <c r="J555" s="110"/>
      <c r="K555" s="344"/>
      <c r="L555" s="110"/>
      <c r="M555" s="110"/>
      <c r="N555" s="329"/>
      <c r="O555" s="329"/>
      <c r="P555" s="329"/>
      <c r="Q555" s="329"/>
      <c r="R555" s="329"/>
      <c r="S555" s="329"/>
      <c r="T555" s="329"/>
      <c r="U555" s="110"/>
      <c r="V555" s="110"/>
      <c r="W555" s="110"/>
      <c r="X555" s="110"/>
      <c r="Y555" s="110"/>
      <c r="Z555" s="110"/>
      <c r="AA555" s="110"/>
    </row>
    <row r="556" spans="1:27" ht="15.75" customHeight="1">
      <c r="A556" s="110"/>
      <c r="B556" s="427"/>
      <c r="C556" s="110"/>
      <c r="D556" s="110"/>
      <c r="E556" s="110"/>
      <c r="F556" s="110"/>
      <c r="G556" s="110"/>
      <c r="H556" s="110"/>
      <c r="I556" s="4"/>
      <c r="J556" s="110"/>
      <c r="K556" s="344"/>
      <c r="L556" s="110"/>
      <c r="M556" s="110"/>
      <c r="N556" s="329"/>
      <c r="O556" s="329"/>
      <c r="P556" s="329"/>
      <c r="Q556" s="329"/>
      <c r="R556" s="329"/>
      <c r="S556" s="329"/>
      <c r="T556" s="329"/>
      <c r="U556" s="110"/>
      <c r="V556" s="110"/>
      <c r="W556" s="110"/>
      <c r="X556" s="110"/>
      <c r="Y556" s="110"/>
      <c r="Z556" s="110"/>
      <c r="AA556" s="110"/>
    </row>
    <row r="557" spans="1:27" ht="15.75" customHeight="1">
      <c r="A557" s="110"/>
      <c r="B557" s="427"/>
      <c r="C557" s="110"/>
      <c r="D557" s="110"/>
      <c r="E557" s="110"/>
      <c r="F557" s="110"/>
      <c r="G557" s="110"/>
      <c r="H557" s="110"/>
      <c r="I557" s="4"/>
      <c r="J557" s="110"/>
      <c r="K557" s="344"/>
      <c r="L557" s="110"/>
      <c r="M557" s="110"/>
      <c r="N557" s="329"/>
      <c r="O557" s="329"/>
      <c r="P557" s="329"/>
      <c r="Q557" s="329"/>
      <c r="R557" s="329"/>
      <c r="S557" s="329"/>
      <c r="T557" s="329"/>
      <c r="U557" s="110"/>
      <c r="V557" s="110"/>
      <c r="W557" s="110"/>
      <c r="X557" s="110"/>
      <c r="Y557" s="110"/>
      <c r="Z557" s="110"/>
      <c r="AA557" s="110"/>
    </row>
    <row r="558" spans="1:27" ht="15.75" customHeight="1">
      <c r="A558" s="110"/>
      <c r="B558" s="427"/>
      <c r="C558" s="110"/>
      <c r="D558" s="110"/>
      <c r="E558" s="110"/>
      <c r="F558" s="110"/>
      <c r="G558" s="110"/>
      <c r="H558" s="110"/>
      <c r="I558" s="4"/>
      <c r="J558" s="110"/>
      <c r="K558" s="344"/>
      <c r="L558" s="110"/>
      <c r="M558" s="110"/>
      <c r="N558" s="329"/>
      <c r="O558" s="329"/>
      <c r="P558" s="329"/>
      <c r="Q558" s="329"/>
      <c r="R558" s="329"/>
      <c r="S558" s="329"/>
      <c r="T558" s="329"/>
      <c r="U558" s="110"/>
      <c r="V558" s="110"/>
      <c r="W558" s="110"/>
      <c r="X558" s="110"/>
      <c r="Y558" s="110"/>
      <c r="Z558" s="110"/>
      <c r="AA558" s="110"/>
    </row>
    <row r="559" spans="1:27" ht="15.75" customHeight="1">
      <c r="A559" s="110"/>
      <c r="B559" s="427"/>
      <c r="C559" s="110"/>
      <c r="D559" s="110"/>
      <c r="E559" s="110"/>
      <c r="F559" s="110"/>
      <c r="G559" s="110"/>
      <c r="H559" s="110"/>
      <c r="I559" s="4"/>
      <c r="J559" s="110"/>
      <c r="K559" s="344"/>
      <c r="L559" s="110"/>
      <c r="M559" s="110"/>
      <c r="N559" s="329"/>
      <c r="O559" s="329"/>
      <c r="P559" s="329"/>
      <c r="Q559" s="329"/>
      <c r="R559" s="329"/>
      <c r="S559" s="329"/>
      <c r="T559" s="329"/>
      <c r="U559" s="110"/>
      <c r="V559" s="110"/>
      <c r="W559" s="110"/>
      <c r="X559" s="110"/>
      <c r="Y559" s="110"/>
      <c r="Z559" s="110"/>
      <c r="AA559" s="110"/>
    </row>
    <row r="560" spans="1:27" ht="15.75" customHeight="1">
      <c r="A560" s="110"/>
      <c r="B560" s="427"/>
      <c r="C560" s="110"/>
      <c r="D560" s="110"/>
      <c r="E560" s="110"/>
      <c r="F560" s="110"/>
      <c r="G560" s="110"/>
      <c r="H560" s="110"/>
      <c r="I560" s="4"/>
      <c r="J560" s="110"/>
      <c r="K560" s="344"/>
      <c r="L560" s="110"/>
      <c r="M560" s="110"/>
      <c r="N560" s="329"/>
      <c r="O560" s="329"/>
      <c r="P560" s="329"/>
      <c r="Q560" s="329"/>
      <c r="R560" s="329"/>
      <c r="S560" s="329"/>
      <c r="T560" s="329"/>
      <c r="U560" s="110"/>
      <c r="V560" s="110"/>
      <c r="W560" s="110"/>
      <c r="X560" s="110"/>
      <c r="Y560" s="110"/>
      <c r="Z560" s="110"/>
      <c r="AA560" s="110"/>
    </row>
    <row r="561" spans="1:27" ht="15.75" customHeight="1">
      <c r="A561" s="110"/>
      <c r="B561" s="427"/>
      <c r="C561" s="110"/>
      <c r="D561" s="110"/>
      <c r="E561" s="110"/>
      <c r="F561" s="110"/>
      <c r="G561" s="110"/>
      <c r="H561" s="110"/>
      <c r="I561" s="4"/>
      <c r="J561" s="110"/>
      <c r="K561" s="344"/>
      <c r="L561" s="110"/>
      <c r="M561" s="110"/>
      <c r="N561" s="329"/>
      <c r="O561" s="329"/>
      <c r="P561" s="329"/>
      <c r="Q561" s="329"/>
      <c r="R561" s="329"/>
      <c r="S561" s="329"/>
      <c r="T561" s="329"/>
      <c r="U561" s="110"/>
      <c r="V561" s="110"/>
      <c r="W561" s="110"/>
      <c r="X561" s="110"/>
      <c r="Y561" s="110"/>
      <c r="Z561" s="110"/>
      <c r="AA561" s="110"/>
    </row>
    <row r="562" spans="1:27" ht="15.75" customHeight="1">
      <c r="A562" s="110"/>
      <c r="B562" s="427"/>
      <c r="C562" s="110"/>
      <c r="D562" s="110"/>
      <c r="E562" s="110"/>
      <c r="F562" s="110"/>
      <c r="G562" s="110"/>
      <c r="H562" s="110"/>
      <c r="I562" s="4"/>
      <c r="J562" s="110"/>
      <c r="K562" s="344"/>
      <c r="L562" s="110"/>
      <c r="M562" s="110"/>
      <c r="N562" s="329"/>
      <c r="O562" s="329"/>
      <c r="P562" s="329"/>
      <c r="Q562" s="329"/>
      <c r="R562" s="329"/>
      <c r="S562" s="329"/>
      <c r="T562" s="329"/>
      <c r="U562" s="110"/>
      <c r="V562" s="110"/>
      <c r="W562" s="110"/>
      <c r="X562" s="110"/>
      <c r="Y562" s="110"/>
      <c r="Z562" s="110"/>
      <c r="AA562" s="110"/>
    </row>
    <row r="563" spans="1:27" ht="15.75" customHeight="1">
      <c r="A563" s="110"/>
      <c r="B563" s="427"/>
      <c r="C563" s="110"/>
      <c r="D563" s="110"/>
      <c r="E563" s="110"/>
      <c r="F563" s="110"/>
      <c r="G563" s="110"/>
      <c r="H563" s="110"/>
      <c r="I563" s="4"/>
      <c r="J563" s="110"/>
      <c r="K563" s="344"/>
      <c r="L563" s="110"/>
      <c r="M563" s="110"/>
      <c r="N563" s="329"/>
      <c r="O563" s="329"/>
      <c r="P563" s="329"/>
      <c r="Q563" s="329"/>
      <c r="R563" s="329"/>
      <c r="S563" s="329"/>
      <c r="T563" s="329"/>
      <c r="U563" s="110"/>
      <c r="V563" s="110"/>
      <c r="W563" s="110"/>
      <c r="X563" s="110"/>
      <c r="Y563" s="110"/>
      <c r="Z563" s="110"/>
      <c r="AA563" s="110"/>
    </row>
    <row r="564" spans="1:27" ht="15.75" customHeight="1">
      <c r="A564" s="110"/>
      <c r="B564" s="427"/>
      <c r="C564" s="110"/>
      <c r="D564" s="110"/>
      <c r="E564" s="110"/>
      <c r="F564" s="110"/>
      <c r="G564" s="110"/>
      <c r="H564" s="110"/>
      <c r="I564" s="4"/>
      <c r="J564" s="110"/>
      <c r="K564" s="344"/>
      <c r="L564" s="110"/>
      <c r="M564" s="110"/>
      <c r="N564" s="329"/>
      <c r="O564" s="329"/>
      <c r="P564" s="329"/>
      <c r="Q564" s="329"/>
      <c r="R564" s="329"/>
      <c r="S564" s="329"/>
      <c r="T564" s="329"/>
      <c r="U564" s="110"/>
      <c r="V564" s="110"/>
      <c r="W564" s="110"/>
      <c r="X564" s="110"/>
      <c r="Y564" s="110"/>
      <c r="Z564" s="110"/>
      <c r="AA564" s="110"/>
    </row>
    <row r="565" spans="1:27" ht="15.75" customHeight="1">
      <c r="A565" s="110"/>
      <c r="B565" s="427"/>
      <c r="C565" s="110"/>
      <c r="D565" s="110"/>
      <c r="E565" s="110"/>
      <c r="F565" s="110"/>
      <c r="G565" s="110"/>
      <c r="H565" s="110"/>
      <c r="I565" s="4"/>
      <c r="J565" s="110"/>
      <c r="K565" s="344"/>
      <c r="L565" s="110"/>
      <c r="M565" s="110"/>
      <c r="N565" s="329"/>
      <c r="O565" s="329"/>
      <c r="P565" s="329"/>
      <c r="Q565" s="329"/>
      <c r="R565" s="329"/>
      <c r="S565" s="329"/>
      <c r="T565" s="329"/>
      <c r="U565" s="110"/>
      <c r="V565" s="110"/>
      <c r="W565" s="110"/>
      <c r="X565" s="110"/>
      <c r="Y565" s="110"/>
      <c r="Z565" s="110"/>
      <c r="AA565" s="110"/>
    </row>
    <row r="566" spans="1:27" ht="15.75" customHeight="1">
      <c r="A566" s="110"/>
      <c r="B566" s="427"/>
      <c r="C566" s="110"/>
      <c r="D566" s="110"/>
      <c r="E566" s="110"/>
      <c r="F566" s="110"/>
      <c r="G566" s="110"/>
      <c r="H566" s="110"/>
      <c r="I566" s="4"/>
      <c r="J566" s="110"/>
      <c r="K566" s="344"/>
      <c r="L566" s="110"/>
      <c r="M566" s="110"/>
      <c r="N566" s="329"/>
      <c r="O566" s="329"/>
      <c r="P566" s="329"/>
      <c r="Q566" s="329"/>
      <c r="R566" s="329"/>
      <c r="S566" s="329"/>
      <c r="T566" s="329"/>
      <c r="U566" s="110"/>
      <c r="V566" s="110"/>
      <c r="W566" s="110"/>
      <c r="X566" s="110"/>
      <c r="Y566" s="110"/>
      <c r="Z566" s="110"/>
      <c r="AA566" s="110"/>
    </row>
    <row r="567" spans="1:27" ht="15.75" customHeight="1">
      <c r="A567" s="110"/>
      <c r="B567" s="427"/>
      <c r="C567" s="110"/>
      <c r="D567" s="110"/>
      <c r="E567" s="110"/>
      <c r="F567" s="110"/>
      <c r="G567" s="110"/>
      <c r="H567" s="110"/>
      <c r="I567" s="4"/>
      <c r="J567" s="110"/>
      <c r="K567" s="344"/>
      <c r="L567" s="110"/>
      <c r="M567" s="110"/>
      <c r="N567" s="329"/>
      <c r="O567" s="329"/>
      <c r="P567" s="329"/>
      <c r="Q567" s="329"/>
      <c r="R567" s="329"/>
      <c r="S567" s="329"/>
      <c r="T567" s="329"/>
      <c r="U567" s="110"/>
      <c r="V567" s="110"/>
      <c r="W567" s="110"/>
      <c r="X567" s="110"/>
      <c r="Y567" s="110"/>
      <c r="Z567" s="110"/>
      <c r="AA567" s="110"/>
    </row>
    <row r="568" spans="1:27" ht="15.75" customHeight="1">
      <c r="A568" s="110"/>
      <c r="B568" s="427"/>
      <c r="C568" s="110"/>
      <c r="D568" s="110"/>
      <c r="E568" s="110"/>
      <c r="F568" s="110"/>
      <c r="G568" s="110"/>
      <c r="H568" s="110"/>
      <c r="I568" s="4"/>
      <c r="J568" s="110"/>
      <c r="K568" s="344"/>
      <c r="L568" s="110"/>
      <c r="M568" s="110"/>
      <c r="N568" s="329"/>
      <c r="O568" s="329"/>
      <c r="P568" s="329"/>
      <c r="Q568" s="329"/>
      <c r="R568" s="329"/>
      <c r="S568" s="329"/>
      <c r="T568" s="329"/>
      <c r="U568" s="110"/>
      <c r="V568" s="110"/>
      <c r="W568" s="110"/>
      <c r="X568" s="110"/>
      <c r="Y568" s="110"/>
      <c r="Z568" s="110"/>
      <c r="AA568" s="110"/>
    </row>
    <row r="569" spans="1:27" ht="15.75" customHeight="1">
      <c r="A569" s="110"/>
      <c r="B569" s="427"/>
      <c r="C569" s="110"/>
      <c r="D569" s="110"/>
      <c r="E569" s="110"/>
      <c r="F569" s="110"/>
      <c r="G569" s="110"/>
      <c r="H569" s="110"/>
      <c r="I569" s="4"/>
      <c r="J569" s="110"/>
      <c r="K569" s="344"/>
      <c r="L569" s="110"/>
      <c r="M569" s="110"/>
      <c r="N569" s="329"/>
      <c r="O569" s="329"/>
      <c r="P569" s="329"/>
      <c r="Q569" s="329"/>
      <c r="R569" s="329"/>
      <c r="S569" s="329"/>
      <c r="T569" s="329"/>
      <c r="U569" s="110"/>
      <c r="V569" s="110"/>
      <c r="W569" s="110"/>
      <c r="X569" s="110"/>
      <c r="Y569" s="110"/>
      <c r="Z569" s="110"/>
      <c r="AA569" s="110"/>
    </row>
    <row r="570" spans="1:27" ht="15.75" customHeight="1">
      <c r="A570" s="110"/>
      <c r="B570" s="427"/>
      <c r="C570" s="110"/>
      <c r="D570" s="110"/>
      <c r="E570" s="110"/>
      <c r="F570" s="110"/>
      <c r="G570" s="110"/>
      <c r="H570" s="110"/>
      <c r="I570" s="4"/>
      <c r="J570" s="110"/>
      <c r="K570" s="344"/>
      <c r="L570" s="110"/>
      <c r="M570" s="110"/>
      <c r="N570" s="329"/>
      <c r="O570" s="329"/>
      <c r="P570" s="329"/>
      <c r="Q570" s="329"/>
      <c r="R570" s="329"/>
      <c r="S570" s="329"/>
      <c r="T570" s="329"/>
      <c r="U570" s="110"/>
      <c r="V570" s="110"/>
      <c r="W570" s="110"/>
      <c r="X570" s="110"/>
      <c r="Y570" s="110"/>
      <c r="Z570" s="110"/>
      <c r="AA570" s="110"/>
    </row>
    <row r="571" spans="1:27" ht="15.75" customHeight="1">
      <c r="A571" s="110"/>
      <c r="B571" s="427"/>
      <c r="C571" s="110"/>
      <c r="D571" s="110"/>
      <c r="E571" s="110"/>
      <c r="F571" s="110"/>
      <c r="G571" s="110"/>
      <c r="H571" s="110"/>
      <c r="I571" s="4"/>
      <c r="J571" s="110"/>
      <c r="K571" s="344"/>
      <c r="L571" s="110"/>
      <c r="M571" s="110"/>
      <c r="N571" s="329"/>
      <c r="O571" s="329"/>
      <c r="P571" s="329"/>
      <c r="Q571" s="329"/>
      <c r="R571" s="329"/>
      <c r="S571" s="329"/>
      <c r="T571" s="329"/>
      <c r="U571" s="110"/>
      <c r="V571" s="110"/>
      <c r="W571" s="110"/>
      <c r="X571" s="110"/>
      <c r="Y571" s="110"/>
      <c r="Z571" s="110"/>
      <c r="AA571" s="110"/>
    </row>
    <row r="572" spans="1:27" ht="15.75" customHeight="1">
      <c r="A572" s="110"/>
      <c r="B572" s="427"/>
      <c r="C572" s="110"/>
      <c r="D572" s="110"/>
      <c r="E572" s="110"/>
      <c r="F572" s="110"/>
      <c r="G572" s="110"/>
      <c r="H572" s="110"/>
      <c r="I572" s="4"/>
      <c r="J572" s="110"/>
      <c r="K572" s="344"/>
      <c r="L572" s="110"/>
      <c r="M572" s="110"/>
      <c r="N572" s="329"/>
      <c r="O572" s="329"/>
      <c r="P572" s="329"/>
      <c r="Q572" s="329"/>
      <c r="R572" s="329"/>
      <c r="S572" s="329"/>
      <c r="T572" s="329"/>
      <c r="U572" s="110"/>
      <c r="V572" s="110"/>
      <c r="W572" s="110"/>
      <c r="X572" s="110"/>
      <c r="Y572" s="110"/>
      <c r="Z572" s="110"/>
      <c r="AA572" s="110"/>
    </row>
    <row r="573" spans="1:27" ht="15.75" customHeight="1">
      <c r="A573" s="110"/>
      <c r="B573" s="427"/>
      <c r="C573" s="110"/>
      <c r="D573" s="110"/>
      <c r="E573" s="110"/>
      <c r="F573" s="110"/>
      <c r="G573" s="110"/>
      <c r="H573" s="110"/>
      <c r="I573" s="4"/>
      <c r="J573" s="110"/>
      <c r="K573" s="344"/>
      <c r="L573" s="110"/>
      <c r="M573" s="110"/>
      <c r="N573" s="329"/>
      <c r="O573" s="329"/>
      <c r="P573" s="329"/>
      <c r="Q573" s="329"/>
      <c r="R573" s="329"/>
      <c r="S573" s="329"/>
      <c r="T573" s="329"/>
      <c r="U573" s="110"/>
      <c r="V573" s="110"/>
      <c r="W573" s="110"/>
      <c r="X573" s="110"/>
      <c r="Y573" s="110"/>
      <c r="Z573" s="110"/>
      <c r="AA573" s="110"/>
    </row>
    <row r="574" spans="1:27" ht="15.75" customHeight="1">
      <c r="A574" s="110"/>
      <c r="B574" s="427"/>
      <c r="C574" s="110"/>
      <c r="D574" s="110"/>
      <c r="E574" s="110"/>
      <c r="F574" s="110"/>
      <c r="G574" s="110"/>
      <c r="H574" s="110"/>
      <c r="I574" s="4"/>
      <c r="J574" s="110"/>
      <c r="K574" s="344"/>
      <c r="L574" s="110"/>
      <c r="M574" s="110"/>
      <c r="N574" s="329"/>
      <c r="O574" s="329"/>
      <c r="P574" s="329"/>
      <c r="Q574" s="329"/>
      <c r="R574" s="329"/>
      <c r="S574" s="329"/>
      <c r="T574" s="329"/>
      <c r="U574" s="110"/>
      <c r="V574" s="110"/>
      <c r="W574" s="110"/>
      <c r="X574" s="110"/>
      <c r="Y574" s="110"/>
      <c r="Z574" s="110"/>
      <c r="AA574" s="110"/>
    </row>
    <row r="575" spans="1:27" ht="15.75" customHeight="1">
      <c r="A575" s="110"/>
      <c r="B575" s="427"/>
      <c r="C575" s="110"/>
      <c r="D575" s="110"/>
      <c r="E575" s="110"/>
      <c r="F575" s="110"/>
      <c r="G575" s="110"/>
      <c r="H575" s="110"/>
      <c r="I575" s="4"/>
      <c r="J575" s="110"/>
      <c r="K575" s="344"/>
      <c r="L575" s="110"/>
      <c r="M575" s="110"/>
      <c r="N575" s="329"/>
      <c r="O575" s="329"/>
      <c r="P575" s="329"/>
      <c r="Q575" s="329"/>
      <c r="R575" s="329"/>
      <c r="S575" s="329"/>
      <c r="T575" s="329"/>
      <c r="U575" s="110"/>
      <c r="V575" s="110"/>
      <c r="W575" s="110"/>
      <c r="X575" s="110"/>
      <c r="Y575" s="110"/>
      <c r="Z575" s="110"/>
      <c r="AA575" s="110"/>
    </row>
    <row r="576" spans="1:27" ht="15.75" customHeight="1">
      <c r="A576" s="110"/>
      <c r="B576" s="427"/>
      <c r="C576" s="110"/>
      <c r="D576" s="110"/>
      <c r="E576" s="110"/>
      <c r="F576" s="110"/>
      <c r="G576" s="110"/>
      <c r="H576" s="110"/>
      <c r="I576" s="4"/>
      <c r="J576" s="110"/>
      <c r="K576" s="344"/>
      <c r="L576" s="110"/>
      <c r="M576" s="110"/>
      <c r="N576" s="329"/>
      <c r="O576" s="329"/>
      <c r="P576" s="329"/>
      <c r="Q576" s="329"/>
      <c r="R576" s="329"/>
      <c r="S576" s="329"/>
      <c r="T576" s="329"/>
      <c r="U576" s="110"/>
      <c r="V576" s="110"/>
      <c r="W576" s="110"/>
      <c r="X576" s="110"/>
      <c r="Y576" s="110"/>
      <c r="Z576" s="110"/>
      <c r="AA576" s="110"/>
    </row>
    <row r="577" spans="1:27" ht="15.75" customHeight="1">
      <c r="A577" s="110"/>
      <c r="B577" s="427"/>
      <c r="C577" s="110"/>
      <c r="D577" s="110"/>
      <c r="E577" s="110"/>
      <c r="F577" s="110"/>
      <c r="G577" s="110"/>
      <c r="H577" s="110"/>
      <c r="I577" s="4"/>
      <c r="J577" s="110"/>
      <c r="K577" s="344"/>
      <c r="L577" s="110"/>
      <c r="M577" s="110"/>
      <c r="N577" s="329"/>
      <c r="O577" s="329"/>
      <c r="P577" s="329"/>
      <c r="Q577" s="329"/>
      <c r="R577" s="329"/>
      <c r="S577" s="329"/>
      <c r="T577" s="329"/>
      <c r="U577" s="110"/>
      <c r="V577" s="110"/>
      <c r="W577" s="110"/>
      <c r="X577" s="110"/>
      <c r="Y577" s="110"/>
      <c r="Z577" s="110"/>
      <c r="AA577" s="110"/>
    </row>
    <row r="578" spans="1:27" ht="15.75" customHeight="1">
      <c r="A578" s="110"/>
      <c r="B578" s="427"/>
      <c r="C578" s="110"/>
      <c r="D578" s="110"/>
      <c r="E578" s="110"/>
      <c r="F578" s="110"/>
      <c r="G578" s="110"/>
      <c r="H578" s="110"/>
      <c r="I578" s="4"/>
      <c r="J578" s="110"/>
      <c r="K578" s="344"/>
      <c r="L578" s="110"/>
      <c r="M578" s="110"/>
      <c r="N578" s="329"/>
      <c r="O578" s="329"/>
      <c r="P578" s="329"/>
      <c r="Q578" s="329"/>
      <c r="R578" s="329"/>
      <c r="S578" s="329"/>
      <c r="T578" s="329"/>
      <c r="U578" s="110"/>
      <c r="V578" s="110"/>
      <c r="W578" s="110"/>
      <c r="X578" s="110"/>
      <c r="Y578" s="110"/>
      <c r="Z578" s="110"/>
      <c r="AA578" s="110"/>
    </row>
    <row r="579" spans="1:27" ht="15.75" customHeight="1">
      <c r="A579" s="110"/>
      <c r="B579" s="427"/>
      <c r="C579" s="110"/>
      <c r="D579" s="110"/>
      <c r="E579" s="110"/>
      <c r="F579" s="110"/>
      <c r="G579" s="110"/>
      <c r="H579" s="110"/>
      <c r="I579" s="4"/>
      <c r="J579" s="110"/>
      <c r="K579" s="344"/>
      <c r="L579" s="110"/>
      <c r="M579" s="110"/>
      <c r="N579" s="329"/>
      <c r="O579" s="329"/>
      <c r="P579" s="329"/>
      <c r="Q579" s="329"/>
      <c r="R579" s="329"/>
      <c r="S579" s="329"/>
      <c r="T579" s="329"/>
      <c r="U579" s="110"/>
      <c r="V579" s="110"/>
      <c r="W579" s="110"/>
      <c r="X579" s="110"/>
      <c r="Y579" s="110"/>
      <c r="Z579" s="110"/>
      <c r="AA579" s="110"/>
    </row>
    <row r="580" spans="1:27" ht="15.75" customHeight="1">
      <c r="A580" s="110"/>
      <c r="B580" s="427"/>
      <c r="C580" s="110"/>
      <c r="D580" s="110"/>
      <c r="E580" s="110"/>
      <c r="F580" s="110"/>
      <c r="G580" s="110"/>
      <c r="H580" s="110"/>
      <c r="I580" s="4"/>
      <c r="J580" s="110"/>
      <c r="K580" s="344"/>
      <c r="L580" s="110"/>
      <c r="M580" s="110"/>
      <c r="N580" s="329"/>
      <c r="O580" s="329"/>
      <c r="P580" s="329"/>
      <c r="Q580" s="329"/>
      <c r="R580" s="329"/>
      <c r="S580" s="329"/>
      <c r="T580" s="329"/>
      <c r="U580" s="110"/>
      <c r="V580" s="110"/>
      <c r="W580" s="110"/>
      <c r="X580" s="110"/>
      <c r="Y580" s="110"/>
      <c r="Z580" s="110"/>
      <c r="AA580" s="110"/>
    </row>
    <row r="581" spans="1:27" ht="15.75" customHeight="1">
      <c r="A581" s="110"/>
      <c r="B581" s="427"/>
      <c r="C581" s="110"/>
      <c r="D581" s="110"/>
      <c r="E581" s="110"/>
      <c r="F581" s="110"/>
      <c r="G581" s="110"/>
      <c r="H581" s="110"/>
      <c r="I581" s="4"/>
      <c r="J581" s="110"/>
      <c r="K581" s="344"/>
      <c r="L581" s="110"/>
      <c r="M581" s="110"/>
      <c r="N581" s="329"/>
      <c r="O581" s="329"/>
      <c r="P581" s="329"/>
      <c r="Q581" s="329"/>
      <c r="R581" s="329"/>
      <c r="S581" s="329"/>
      <c r="T581" s="329"/>
      <c r="U581" s="110"/>
      <c r="V581" s="110"/>
      <c r="W581" s="110"/>
      <c r="X581" s="110"/>
      <c r="Y581" s="110"/>
      <c r="Z581" s="110"/>
      <c r="AA581" s="110"/>
    </row>
    <row r="582" spans="1:27" ht="15.75" customHeight="1">
      <c r="A582" s="110"/>
      <c r="B582" s="427"/>
      <c r="C582" s="110"/>
      <c r="D582" s="110"/>
      <c r="E582" s="110"/>
      <c r="F582" s="110"/>
      <c r="G582" s="110"/>
      <c r="H582" s="110"/>
      <c r="I582" s="4"/>
      <c r="J582" s="110"/>
      <c r="K582" s="344"/>
      <c r="L582" s="110"/>
      <c r="M582" s="110"/>
      <c r="N582" s="329"/>
      <c r="O582" s="329"/>
      <c r="P582" s="329"/>
      <c r="Q582" s="329"/>
      <c r="R582" s="329"/>
      <c r="S582" s="329"/>
      <c r="T582" s="329"/>
      <c r="U582" s="110"/>
      <c r="V582" s="110"/>
      <c r="W582" s="110"/>
      <c r="X582" s="110"/>
      <c r="Y582" s="110"/>
      <c r="Z582" s="110"/>
      <c r="AA582" s="110"/>
    </row>
    <row r="583" spans="1:27" ht="15.75" customHeight="1">
      <c r="A583" s="110"/>
      <c r="B583" s="427"/>
      <c r="C583" s="110"/>
      <c r="D583" s="110"/>
      <c r="E583" s="110"/>
      <c r="F583" s="110"/>
      <c r="G583" s="110"/>
      <c r="H583" s="110"/>
      <c r="I583" s="4"/>
      <c r="J583" s="110"/>
      <c r="K583" s="344"/>
      <c r="L583" s="110"/>
      <c r="M583" s="110"/>
      <c r="N583" s="329"/>
      <c r="O583" s="329"/>
      <c r="P583" s="329"/>
      <c r="Q583" s="329"/>
      <c r="R583" s="329"/>
      <c r="S583" s="329"/>
      <c r="T583" s="329"/>
      <c r="U583" s="110"/>
      <c r="V583" s="110"/>
      <c r="W583" s="110"/>
      <c r="X583" s="110"/>
      <c r="Y583" s="110"/>
      <c r="Z583" s="110"/>
      <c r="AA583" s="110"/>
    </row>
    <row r="584" spans="1:27" ht="15.75" customHeight="1">
      <c r="A584" s="110"/>
      <c r="B584" s="427"/>
      <c r="C584" s="110"/>
      <c r="D584" s="110"/>
      <c r="E584" s="110"/>
      <c r="F584" s="110"/>
      <c r="G584" s="110"/>
      <c r="H584" s="110"/>
      <c r="I584" s="4"/>
      <c r="J584" s="110"/>
      <c r="K584" s="344"/>
      <c r="L584" s="110"/>
      <c r="M584" s="110"/>
      <c r="N584" s="329"/>
      <c r="O584" s="329"/>
      <c r="P584" s="329"/>
      <c r="Q584" s="329"/>
      <c r="R584" s="329"/>
      <c r="S584" s="329"/>
      <c r="T584" s="329"/>
      <c r="U584" s="110"/>
      <c r="V584" s="110"/>
      <c r="W584" s="110"/>
      <c r="X584" s="110"/>
      <c r="Y584" s="110"/>
      <c r="Z584" s="110"/>
      <c r="AA584" s="110"/>
    </row>
    <row r="585" spans="1:27" ht="15.75" customHeight="1">
      <c r="A585" s="110"/>
      <c r="B585" s="427"/>
      <c r="C585" s="110"/>
      <c r="D585" s="110"/>
      <c r="E585" s="110"/>
      <c r="F585" s="110"/>
      <c r="G585" s="110"/>
      <c r="H585" s="110"/>
      <c r="I585" s="4"/>
      <c r="J585" s="110"/>
      <c r="K585" s="344"/>
      <c r="L585" s="110"/>
      <c r="M585" s="110"/>
      <c r="N585" s="329"/>
      <c r="O585" s="329"/>
      <c r="P585" s="329"/>
      <c r="Q585" s="329"/>
      <c r="R585" s="329"/>
      <c r="S585" s="329"/>
      <c r="T585" s="329"/>
      <c r="U585" s="110"/>
      <c r="V585" s="110"/>
      <c r="W585" s="110"/>
      <c r="X585" s="110"/>
      <c r="Y585" s="110"/>
      <c r="Z585" s="110"/>
      <c r="AA585" s="110"/>
    </row>
    <row r="586" spans="1:27" ht="15.75" customHeight="1">
      <c r="A586" s="110"/>
      <c r="B586" s="427"/>
      <c r="C586" s="110"/>
      <c r="D586" s="110"/>
      <c r="E586" s="110"/>
      <c r="F586" s="110"/>
      <c r="G586" s="110"/>
      <c r="H586" s="110"/>
      <c r="I586" s="4"/>
      <c r="J586" s="110"/>
      <c r="K586" s="344"/>
      <c r="L586" s="110"/>
      <c r="M586" s="110"/>
      <c r="N586" s="329"/>
      <c r="O586" s="329"/>
      <c r="P586" s="329"/>
      <c r="Q586" s="329"/>
      <c r="R586" s="329"/>
      <c r="S586" s="329"/>
      <c r="T586" s="329"/>
      <c r="U586" s="110"/>
      <c r="V586" s="110"/>
      <c r="W586" s="110"/>
      <c r="X586" s="110"/>
      <c r="Y586" s="110"/>
      <c r="Z586" s="110"/>
      <c r="AA586" s="110"/>
    </row>
    <row r="587" spans="1:27" ht="15.75" customHeight="1">
      <c r="A587" s="110"/>
      <c r="B587" s="427"/>
      <c r="C587" s="110"/>
      <c r="D587" s="110"/>
      <c r="E587" s="110"/>
      <c r="F587" s="110"/>
      <c r="G587" s="110"/>
      <c r="H587" s="110"/>
      <c r="I587" s="4"/>
      <c r="J587" s="110"/>
      <c r="K587" s="344"/>
      <c r="L587" s="110"/>
      <c r="M587" s="110"/>
      <c r="N587" s="329"/>
      <c r="O587" s="329"/>
      <c r="P587" s="329"/>
      <c r="Q587" s="329"/>
      <c r="R587" s="329"/>
      <c r="S587" s="329"/>
      <c r="T587" s="329"/>
      <c r="U587" s="110"/>
      <c r="V587" s="110"/>
      <c r="W587" s="110"/>
      <c r="X587" s="110"/>
      <c r="Y587" s="110"/>
      <c r="Z587" s="110"/>
      <c r="AA587" s="110"/>
    </row>
    <row r="588" spans="1:27" ht="15.75" customHeight="1">
      <c r="A588" s="110"/>
      <c r="B588" s="427"/>
      <c r="C588" s="110"/>
      <c r="D588" s="110"/>
      <c r="E588" s="110"/>
      <c r="F588" s="110"/>
      <c r="G588" s="110"/>
      <c r="H588" s="110"/>
      <c r="I588" s="4"/>
      <c r="J588" s="110"/>
      <c r="K588" s="344"/>
      <c r="L588" s="110"/>
      <c r="M588" s="110"/>
      <c r="N588" s="329"/>
      <c r="O588" s="329"/>
      <c r="P588" s="329"/>
      <c r="Q588" s="329"/>
      <c r="R588" s="329"/>
      <c r="S588" s="329"/>
      <c r="T588" s="329"/>
      <c r="U588" s="110"/>
      <c r="V588" s="110"/>
      <c r="W588" s="110"/>
      <c r="X588" s="110"/>
      <c r="Y588" s="110"/>
      <c r="Z588" s="110"/>
      <c r="AA588" s="110"/>
    </row>
    <row r="589" spans="1:27" ht="15.75" customHeight="1">
      <c r="A589" s="110"/>
      <c r="B589" s="427"/>
      <c r="C589" s="110"/>
      <c r="D589" s="110"/>
      <c r="E589" s="110"/>
      <c r="F589" s="110"/>
      <c r="G589" s="110"/>
      <c r="H589" s="110"/>
      <c r="I589" s="4"/>
      <c r="J589" s="110"/>
      <c r="K589" s="344"/>
      <c r="L589" s="110"/>
      <c r="M589" s="110"/>
      <c r="N589" s="329"/>
      <c r="O589" s="329"/>
      <c r="P589" s="329"/>
      <c r="Q589" s="329"/>
      <c r="R589" s="329"/>
      <c r="S589" s="329"/>
      <c r="T589" s="329"/>
      <c r="U589" s="110"/>
      <c r="V589" s="110"/>
      <c r="W589" s="110"/>
      <c r="X589" s="110"/>
      <c r="Y589" s="110"/>
      <c r="Z589" s="110"/>
      <c r="AA589" s="110"/>
    </row>
    <row r="590" spans="1:27" ht="15.75" customHeight="1">
      <c r="A590" s="110"/>
      <c r="B590" s="427"/>
      <c r="C590" s="110"/>
      <c r="D590" s="110"/>
      <c r="E590" s="110"/>
      <c r="F590" s="110"/>
      <c r="G590" s="110"/>
      <c r="H590" s="110"/>
      <c r="I590" s="4"/>
      <c r="J590" s="110"/>
      <c r="K590" s="344"/>
      <c r="L590" s="110"/>
      <c r="M590" s="110"/>
      <c r="N590" s="329"/>
      <c r="O590" s="329"/>
      <c r="P590" s="329"/>
      <c r="Q590" s="329"/>
      <c r="R590" s="329"/>
      <c r="S590" s="329"/>
      <c r="T590" s="329"/>
      <c r="U590" s="110"/>
      <c r="V590" s="110"/>
      <c r="W590" s="110"/>
      <c r="X590" s="110"/>
      <c r="Y590" s="110"/>
      <c r="Z590" s="110"/>
      <c r="AA590" s="110"/>
    </row>
    <row r="591" spans="1:27" ht="15.75" customHeight="1">
      <c r="A591" s="110"/>
      <c r="B591" s="427"/>
      <c r="C591" s="110"/>
      <c r="D591" s="110"/>
      <c r="E591" s="110"/>
      <c r="F591" s="110"/>
      <c r="G591" s="110"/>
      <c r="H591" s="110"/>
      <c r="I591" s="4"/>
      <c r="J591" s="110"/>
      <c r="K591" s="344"/>
      <c r="L591" s="110"/>
      <c r="M591" s="110"/>
      <c r="N591" s="329"/>
      <c r="O591" s="329"/>
      <c r="P591" s="329"/>
      <c r="Q591" s="329"/>
      <c r="R591" s="329"/>
      <c r="S591" s="329"/>
      <c r="T591" s="329"/>
      <c r="U591" s="110"/>
      <c r="V591" s="110"/>
      <c r="W591" s="110"/>
      <c r="X591" s="110"/>
      <c r="Y591" s="110"/>
      <c r="Z591" s="110"/>
      <c r="AA591" s="110"/>
    </row>
    <row r="592" spans="1:27" ht="15.75" customHeight="1">
      <c r="A592" s="110"/>
      <c r="B592" s="427"/>
      <c r="C592" s="110"/>
      <c r="D592" s="110"/>
      <c r="E592" s="110"/>
      <c r="F592" s="110"/>
      <c r="G592" s="110"/>
      <c r="H592" s="110"/>
      <c r="I592" s="4"/>
      <c r="J592" s="110"/>
      <c r="K592" s="344"/>
      <c r="L592" s="110"/>
      <c r="M592" s="110"/>
      <c r="N592" s="329"/>
      <c r="O592" s="329"/>
      <c r="P592" s="329"/>
      <c r="Q592" s="329"/>
      <c r="R592" s="329"/>
      <c r="S592" s="329"/>
      <c r="T592" s="329"/>
      <c r="U592" s="110"/>
      <c r="V592" s="110"/>
      <c r="W592" s="110"/>
      <c r="X592" s="110"/>
      <c r="Y592" s="110"/>
      <c r="Z592" s="110"/>
      <c r="AA592" s="110"/>
    </row>
    <row r="593" spans="1:27" ht="15.75" customHeight="1">
      <c r="A593" s="110"/>
      <c r="B593" s="427"/>
      <c r="C593" s="110"/>
      <c r="D593" s="110"/>
      <c r="E593" s="110"/>
      <c r="F593" s="110"/>
      <c r="G593" s="110"/>
      <c r="H593" s="110"/>
      <c r="I593" s="4"/>
      <c r="J593" s="110"/>
      <c r="K593" s="344"/>
      <c r="L593" s="110"/>
      <c r="M593" s="110"/>
      <c r="N593" s="329"/>
      <c r="O593" s="329"/>
      <c r="P593" s="329"/>
      <c r="Q593" s="329"/>
      <c r="R593" s="329"/>
      <c r="S593" s="329"/>
      <c r="T593" s="329"/>
      <c r="U593" s="110"/>
      <c r="V593" s="110"/>
      <c r="W593" s="110"/>
      <c r="X593" s="110"/>
      <c r="Y593" s="110"/>
      <c r="Z593" s="110"/>
      <c r="AA593" s="110"/>
    </row>
    <row r="594" spans="1:27" ht="15.75" customHeight="1">
      <c r="A594" s="110"/>
      <c r="B594" s="427"/>
      <c r="C594" s="110"/>
      <c r="D594" s="110"/>
      <c r="E594" s="110"/>
      <c r="F594" s="110"/>
      <c r="G594" s="110"/>
      <c r="H594" s="110"/>
      <c r="I594" s="4"/>
      <c r="J594" s="110"/>
      <c r="K594" s="344"/>
      <c r="L594" s="110"/>
      <c r="M594" s="110"/>
      <c r="N594" s="329"/>
      <c r="O594" s="329"/>
      <c r="P594" s="329"/>
      <c r="Q594" s="329"/>
      <c r="R594" s="329"/>
      <c r="S594" s="329"/>
      <c r="T594" s="329"/>
      <c r="U594" s="110"/>
      <c r="V594" s="110"/>
      <c r="W594" s="110"/>
      <c r="X594" s="110"/>
      <c r="Y594" s="110"/>
      <c r="Z594" s="110"/>
      <c r="AA594" s="110"/>
    </row>
    <row r="595" spans="1:27" ht="15.75" customHeight="1">
      <c r="A595" s="110"/>
      <c r="B595" s="427"/>
      <c r="C595" s="110"/>
      <c r="D595" s="110"/>
      <c r="E595" s="110"/>
      <c r="F595" s="110"/>
      <c r="G595" s="110"/>
      <c r="H595" s="110"/>
      <c r="I595" s="4"/>
      <c r="J595" s="110"/>
      <c r="K595" s="344"/>
      <c r="L595" s="110"/>
      <c r="M595" s="110"/>
      <c r="N595" s="329"/>
      <c r="O595" s="329"/>
      <c r="P595" s="329"/>
      <c r="Q595" s="329"/>
      <c r="R595" s="329"/>
      <c r="S595" s="329"/>
      <c r="T595" s="329"/>
      <c r="U595" s="110"/>
      <c r="V595" s="110"/>
      <c r="W595" s="110"/>
      <c r="X595" s="110"/>
      <c r="Y595" s="110"/>
      <c r="Z595" s="110"/>
      <c r="AA595" s="110"/>
    </row>
    <row r="596" spans="1:27" ht="15.75" customHeight="1">
      <c r="A596" s="110"/>
      <c r="B596" s="427"/>
      <c r="C596" s="110"/>
      <c r="D596" s="110"/>
      <c r="E596" s="110"/>
      <c r="F596" s="110"/>
      <c r="G596" s="110"/>
      <c r="H596" s="110"/>
      <c r="I596" s="4"/>
      <c r="J596" s="110"/>
      <c r="K596" s="344"/>
      <c r="L596" s="110"/>
      <c r="M596" s="110"/>
      <c r="N596" s="329"/>
      <c r="O596" s="329"/>
      <c r="P596" s="329"/>
      <c r="Q596" s="329"/>
      <c r="R596" s="329"/>
      <c r="S596" s="329"/>
      <c r="T596" s="329"/>
      <c r="U596" s="110"/>
      <c r="V596" s="110"/>
      <c r="W596" s="110"/>
      <c r="X596" s="110"/>
      <c r="Y596" s="110"/>
      <c r="Z596" s="110"/>
      <c r="AA596" s="110"/>
    </row>
    <row r="597" spans="1:27" ht="15.75" customHeight="1">
      <c r="A597" s="110"/>
      <c r="B597" s="427"/>
      <c r="C597" s="110"/>
      <c r="D597" s="110"/>
      <c r="E597" s="110"/>
      <c r="F597" s="110"/>
      <c r="G597" s="110"/>
      <c r="H597" s="110"/>
      <c r="I597" s="4"/>
      <c r="J597" s="110"/>
      <c r="K597" s="344"/>
      <c r="L597" s="110"/>
      <c r="M597" s="110"/>
      <c r="N597" s="329"/>
      <c r="O597" s="329"/>
      <c r="P597" s="329"/>
      <c r="Q597" s="329"/>
      <c r="R597" s="329"/>
      <c r="S597" s="329"/>
      <c r="T597" s="329"/>
      <c r="U597" s="110"/>
      <c r="V597" s="110"/>
      <c r="W597" s="110"/>
      <c r="X597" s="110"/>
      <c r="Y597" s="110"/>
      <c r="Z597" s="110"/>
      <c r="AA597" s="110"/>
    </row>
    <row r="598" spans="1:27" ht="15.75" customHeight="1">
      <c r="A598" s="110"/>
      <c r="B598" s="427"/>
      <c r="C598" s="110"/>
      <c r="D598" s="110"/>
      <c r="E598" s="110"/>
      <c r="F598" s="110"/>
      <c r="G598" s="110"/>
      <c r="H598" s="110"/>
      <c r="I598" s="4"/>
      <c r="J598" s="110"/>
      <c r="K598" s="344"/>
      <c r="L598" s="110"/>
      <c r="M598" s="110"/>
      <c r="N598" s="329"/>
      <c r="O598" s="329"/>
      <c r="P598" s="329"/>
      <c r="Q598" s="329"/>
      <c r="R598" s="329"/>
      <c r="S598" s="329"/>
      <c r="T598" s="329"/>
      <c r="U598" s="110"/>
      <c r="V598" s="110"/>
      <c r="W598" s="110"/>
      <c r="X598" s="110"/>
      <c r="Y598" s="110"/>
      <c r="Z598" s="110"/>
      <c r="AA598" s="110"/>
    </row>
    <row r="599" spans="1:27" ht="15.75" customHeight="1">
      <c r="A599" s="110"/>
      <c r="B599" s="427"/>
      <c r="C599" s="110"/>
      <c r="D599" s="110"/>
      <c r="E599" s="110"/>
      <c r="F599" s="110"/>
      <c r="G599" s="110"/>
      <c r="H599" s="110"/>
      <c r="I599" s="4"/>
      <c r="J599" s="110"/>
      <c r="K599" s="344"/>
      <c r="L599" s="110"/>
      <c r="M599" s="110"/>
      <c r="N599" s="329"/>
      <c r="O599" s="329"/>
      <c r="P599" s="329"/>
      <c r="Q599" s="329"/>
      <c r="R599" s="329"/>
      <c r="S599" s="329"/>
      <c r="T599" s="329"/>
      <c r="U599" s="110"/>
      <c r="V599" s="110"/>
      <c r="W599" s="110"/>
      <c r="X599" s="110"/>
      <c r="Y599" s="110"/>
      <c r="Z599" s="110"/>
      <c r="AA599" s="110"/>
    </row>
    <row r="600" spans="1:27" ht="15.75" customHeight="1">
      <c r="A600" s="110"/>
      <c r="B600" s="427"/>
      <c r="C600" s="110"/>
      <c r="D600" s="110"/>
      <c r="E600" s="110"/>
      <c r="F600" s="110"/>
      <c r="G600" s="110"/>
      <c r="H600" s="110"/>
      <c r="I600" s="4"/>
      <c r="J600" s="110"/>
      <c r="K600" s="344"/>
      <c r="L600" s="110"/>
      <c r="M600" s="110"/>
      <c r="N600" s="329"/>
      <c r="O600" s="329"/>
      <c r="P600" s="329"/>
      <c r="Q600" s="329"/>
      <c r="R600" s="329"/>
      <c r="S600" s="329"/>
      <c r="T600" s="329"/>
      <c r="U600" s="110"/>
      <c r="V600" s="110"/>
      <c r="W600" s="110"/>
      <c r="X600" s="110"/>
      <c r="Y600" s="110"/>
      <c r="Z600" s="110"/>
      <c r="AA600" s="110"/>
    </row>
    <row r="601" spans="1:27" ht="15.75" customHeight="1">
      <c r="A601" s="110"/>
      <c r="B601" s="427"/>
      <c r="C601" s="110"/>
      <c r="D601" s="110"/>
      <c r="E601" s="110"/>
      <c r="F601" s="110"/>
      <c r="G601" s="110"/>
      <c r="H601" s="110"/>
      <c r="I601" s="4"/>
      <c r="J601" s="110"/>
      <c r="K601" s="344"/>
      <c r="L601" s="110"/>
      <c r="M601" s="110"/>
      <c r="N601" s="329"/>
      <c r="O601" s="329"/>
      <c r="P601" s="329"/>
      <c r="Q601" s="329"/>
      <c r="R601" s="329"/>
      <c r="S601" s="329"/>
      <c r="T601" s="329"/>
      <c r="U601" s="110"/>
      <c r="V601" s="110"/>
      <c r="W601" s="110"/>
      <c r="X601" s="110"/>
      <c r="Y601" s="110"/>
      <c r="Z601" s="110"/>
      <c r="AA601" s="110"/>
    </row>
    <row r="602" spans="1:27" ht="15.75" customHeight="1">
      <c r="A602" s="110"/>
      <c r="B602" s="427"/>
      <c r="C602" s="110"/>
      <c r="D602" s="110"/>
      <c r="E602" s="110"/>
      <c r="F602" s="110"/>
      <c r="G602" s="110"/>
      <c r="H602" s="110"/>
      <c r="I602" s="4"/>
      <c r="J602" s="110"/>
      <c r="K602" s="344"/>
      <c r="L602" s="110"/>
      <c r="M602" s="110"/>
      <c r="N602" s="329"/>
      <c r="O602" s="329"/>
      <c r="P602" s="329"/>
      <c r="Q602" s="329"/>
      <c r="R602" s="329"/>
      <c r="S602" s="329"/>
      <c r="T602" s="329"/>
      <c r="U602" s="110"/>
      <c r="V602" s="110"/>
      <c r="W602" s="110"/>
      <c r="X602" s="110"/>
      <c r="Y602" s="110"/>
      <c r="Z602" s="110"/>
      <c r="AA602" s="110"/>
    </row>
    <row r="603" spans="1:27" ht="15.75" customHeight="1">
      <c r="A603" s="110"/>
      <c r="B603" s="427"/>
      <c r="C603" s="110"/>
      <c r="D603" s="110"/>
      <c r="E603" s="110"/>
      <c r="F603" s="110"/>
      <c r="G603" s="110"/>
      <c r="H603" s="110"/>
      <c r="I603" s="4"/>
      <c r="J603" s="110"/>
      <c r="K603" s="344"/>
      <c r="L603" s="110"/>
      <c r="M603" s="110"/>
      <c r="N603" s="329"/>
      <c r="O603" s="329"/>
      <c r="P603" s="329"/>
      <c r="Q603" s="329"/>
      <c r="R603" s="329"/>
      <c r="S603" s="329"/>
      <c r="T603" s="329"/>
      <c r="U603" s="110"/>
      <c r="V603" s="110"/>
      <c r="W603" s="110"/>
      <c r="X603" s="110"/>
      <c r="Y603" s="110"/>
      <c r="Z603" s="110"/>
      <c r="AA603" s="110"/>
    </row>
    <row r="604" spans="1:27" ht="15.75" customHeight="1">
      <c r="A604" s="110"/>
      <c r="B604" s="427"/>
      <c r="C604" s="110"/>
      <c r="D604" s="110"/>
      <c r="E604" s="110"/>
      <c r="F604" s="110"/>
      <c r="G604" s="110"/>
      <c r="H604" s="110"/>
      <c r="I604" s="4"/>
      <c r="J604" s="110"/>
      <c r="K604" s="344"/>
      <c r="L604" s="110"/>
      <c r="M604" s="110"/>
      <c r="N604" s="329"/>
      <c r="O604" s="329"/>
      <c r="P604" s="329"/>
      <c r="Q604" s="329"/>
      <c r="R604" s="329"/>
      <c r="S604" s="329"/>
      <c r="T604" s="329"/>
      <c r="U604" s="110"/>
      <c r="V604" s="110"/>
      <c r="W604" s="110"/>
      <c r="X604" s="110"/>
      <c r="Y604" s="110"/>
      <c r="Z604" s="110"/>
      <c r="AA604" s="110"/>
    </row>
    <row r="605" spans="1:27" ht="15.75" customHeight="1">
      <c r="A605" s="110"/>
      <c r="B605" s="427"/>
      <c r="C605" s="110"/>
      <c r="D605" s="110"/>
      <c r="E605" s="110"/>
      <c r="F605" s="110"/>
      <c r="G605" s="110"/>
      <c r="H605" s="110"/>
      <c r="I605" s="4"/>
      <c r="J605" s="110"/>
      <c r="K605" s="344"/>
      <c r="L605" s="110"/>
      <c r="M605" s="110"/>
      <c r="N605" s="329"/>
      <c r="O605" s="329"/>
      <c r="P605" s="329"/>
      <c r="Q605" s="329"/>
      <c r="R605" s="329"/>
      <c r="S605" s="329"/>
      <c r="T605" s="329"/>
      <c r="U605" s="110"/>
      <c r="V605" s="110"/>
      <c r="W605" s="110"/>
      <c r="X605" s="110"/>
      <c r="Y605" s="110"/>
      <c r="Z605" s="110"/>
      <c r="AA605" s="110"/>
    </row>
    <row r="606" spans="1:27" ht="15.75" customHeight="1">
      <c r="A606" s="110"/>
      <c r="B606" s="427"/>
      <c r="C606" s="110"/>
      <c r="D606" s="110"/>
      <c r="E606" s="110"/>
      <c r="F606" s="110"/>
      <c r="G606" s="110"/>
      <c r="H606" s="110"/>
      <c r="I606" s="4"/>
      <c r="J606" s="110"/>
      <c r="K606" s="344"/>
      <c r="L606" s="110"/>
      <c r="M606" s="110"/>
      <c r="N606" s="329"/>
      <c r="O606" s="329"/>
      <c r="P606" s="329"/>
      <c r="Q606" s="329"/>
      <c r="R606" s="329"/>
      <c r="S606" s="329"/>
      <c r="T606" s="329"/>
      <c r="U606" s="110"/>
      <c r="V606" s="110"/>
      <c r="W606" s="110"/>
      <c r="X606" s="110"/>
      <c r="Y606" s="110"/>
      <c r="Z606" s="110"/>
      <c r="AA606" s="110"/>
    </row>
    <row r="607" spans="1:27" ht="15.75" customHeight="1">
      <c r="A607" s="110"/>
      <c r="B607" s="427"/>
      <c r="C607" s="110"/>
      <c r="D607" s="110"/>
      <c r="E607" s="110"/>
      <c r="F607" s="110"/>
      <c r="G607" s="110"/>
      <c r="H607" s="110"/>
      <c r="I607" s="4"/>
      <c r="J607" s="110"/>
      <c r="K607" s="344"/>
      <c r="L607" s="110"/>
      <c r="M607" s="110"/>
      <c r="N607" s="329"/>
      <c r="O607" s="329"/>
      <c r="P607" s="329"/>
      <c r="Q607" s="329"/>
      <c r="R607" s="329"/>
      <c r="S607" s="329"/>
      <c r="T607" s="329"/>
      <c r="U607" s="110"/>
      <c r="V607" s="110"/>
      <c r="W607" s="110"/>
      <c r="X607" s="110"/>
      <c r="Y607" s="110"/>
      <c r="Z607" s="110"/>
      <c r="AA607" s="110"/>
    </row>
    <row r="608" spans="1:27" ht="15.75" customHeight="1">
      <c r="A608" s="110"/>
      <c r="B608" s="427"/>
      <c r="C608" s="110"/>
      <c r="D608" s="110"/>
      <c r="E608" s="110"/>
      <c r="F608" s="110"/>
      <c r="G608" s="110"/>
      <c r="H608" s="110"/>
      <c r="I608" s="4"/>
      <c r="J608" s="110"/>
      <c r="K608" s="344"/>
      <c r="L608" s="110"/>
      <c r="M608" s="110"/>
      <c r="N608" s="329"/>
      <c r="O608" s="329"/>
      <c r="P608" s="329"/>
      <c r="Q608" s="329"/>
      <c r="R608" s="329"/>
      <c r="S608" s="329"/>
      <c r="T608" s="329"/>
      <c r="U608" s="110"/>
      <c r="V608" s="110"/>
      <c r="W608" s="110"/>
      <c r="X608" s="110"/>
      <c r="Y608" s="110"/>
      <c r="Z608" s="110"/>
      <c r="AA608" s="110"/>
    </row>
    <row r="609" spans="1:27" ht="15.75" customHeight="1">
      <c r="A609" s="110"/>
      <c r="B609" s="427"/>
      <c r="C609" s="110"/>
      <c r="D609" s="110"/>
      <c r="E609" s="110"/>
      <c r="F609" s="110"/>
      <c r="G609" s="110"/>
      <c r="H609" s="110"/>
      <c r="I609" s="4"/>
      <c r="J609" s="110"/>
      <c r="K609" s="344"/>
      <c r="L609" s="110"/>
      <c r="M609" s="110"/>
      <c r="N609" s="329"/>
      <c r="O609" s="329"/>
      <c r="P609" s="329"/>
      <c r="Q609" s="329"/>
      <c r="R609" s="329"/>
      <c r="S609" s="329"/>
      <c r="T609" s="329"/>
      <c r="U609" s="110"/>
      <c r="V609" s="110"/>
      <c r="W609" s="110"/>
      <c r="X609" s="110"/>
      <c r="Y609" s="110"/>
      <c r="Z609" s="110"/>
      <c r="AA609" s="110"/>
    </row>
    <row r="610" spans="1:27" ht="15.75" customHeight="1">
      <c r="A610" s="110"/>
      <c r="B610" s="427"/>
      <c r="C610" s="110"/>
      <c r="D610" s="110"/>
      <c r="E610" s="110"/>
      <c r="F610" s="110"/>
      <c r="G610" s="110"/>
      <c r="H610" s="110"/>
      <c r="I610" s="4"/>
      <c r="J610" s="110"/>
      <c r="K610" s="344"/>
      <c r="L610" s="110"/>
      <c r="M610" s="110"/>
      <c r="N610" s="329"/>
      <c r="O610" s="329"/>
      <c r="P610" s="329"/>
      <c r="Q610" s="329"/>
      <c r="R610" s="329"/>
      <c r="S610" s="329"/>
      <c r="T610" s="329"/>
      <c r="U610" s="110"/>
      <c r="V610" s="110"/>
      <c r="W610" s="110"/>
      <c r="X610" s="110"/>
      <c r="Y610" s="110"/>
      <c r="Z610" s="110"/>
      <c r="AA610" s="110"/>
    </row>
    <row r="611" spans="1:27" ht="15.75" customHeight="1">
      <c r="A611" s="110"/>
      <c r="B611" s="427"/>
      <c r="C611" s="110"/>
      <c r="D611" s="110"/>
      <c r="E611" s="110"/>
      <c r="F611" s="110"/>
      <c r="G611" s="110"/>
      <c r="H611" s="110"/>
      <c r="I611" s="4"/>
      <c r="J611" s="110"/>
      <c r="K611" s="344"/>
      <c r="L611" s="110"/>
      <c r="M611" s="110"/>
      <c r="N611" s="329"/>
      <c r="O611" s="329"/>
      <c r="P611" s="329"/>
      <c r="Q611" s="329"/>
      <c r="R611" s="329"/>
      <c r="S611" s="329"/>
      <c r="T611" s="329"/>
      <c r="U611" s="110"/>
      <c r="V611" s="110"/>
      <c r="W611" s="110"/>
      <c r="X611" s="110"/>
      <c r="Y611" s="110"/>
      <c r="Z611" s="110"/>
      <c r="AA611" s="110"/>
    </row>
    <row r="612" spans="1:27" ht="15.75" customHeight="1">
      <c r="A612" s="110"/>
      <c r="B612" s="427"/>
      <c r="C612" s="110"/>
      <c r="D612" s="110"/>
      <c r="E612" s="110"/>
      <c r="F612" s="110"/>
      <c r="G612" s="110"/>
      <c r="H612" s="110"/>
      <c r="I612" s="4"/>
      <c r="J612" s="110"/>
      <c r="K612" s="344"/>
      <c r="L612" s="110"/>
      <c r="M612" s="110"/>
      <c r="N612" s="329"/>
      <c r="O612" s="329"/>
      <c r="P612" s="329"/>
      <c r="Q612" s="329"/>
      <c r="R612" s="329"/>
      <c r="S612" s="329"/>
      <c r="T612" s="329"/>
      <c r="U612" s="110"/>
      <c r="V612" s="110"/>
      <c r="W612" s="110"/>
      <c r="X612" s="110"/>
      <c r="Y612" s="110"/>
      <c r="Z612" s="110"/>
      <c r="AA612" s="110"/>
    </row>
    <row r="613" spans="1:27" ht="15.75" customHeight="1">
      <c r="A613" s="110"/>
      <c r="B613" s="427"/>
      <c r="C613" s="110"/>
      <c r="D613" s="110"/>
      <c r="E613" s="110"/>
      <c r="F613" s="110"/>
      <c r="G613" s="110"/>
      <c r="H613" s="110"/>
      <c r="I613" s="4"/>
      <c r="J613" s="110"/>
      <c r="K613" s="344"/>
      <c r="L613" s="110"/>
      <c r="M613" s="110"/>
      <c r="N613" s="329"/>
      <c r="O613" s="329"/>
      <c r="P613" s="329"/>
      <c r="Q613" s="329"/>
      <c r="R613" s="329"/>
      <c r="S613" s="329"/>
      <c r="T613" s="329"/>
      <c r="U613" s="110"/>
      <c r="V613" s="110"/>
      <c r="W613" s="110"/>
      <c r="X613" s="110"/>
      <c r="Y613" s="110"/>
      <c r="Z613" s="110"/>
      <c r="AA613" s="110"/>
    </row>
    <row r="614" spans="1:27" ht="15.75" customHeight="1">
      <c r="A614" s="110"/>
      <c r="B614" s="427"/>
      <c r="C614" s="110"/>
      <c r="D614" s="110"/>
      <c r="E614" s="110"/>
      <c r="F614" s="110"/>
      <c r="G614" s="110"/>
      <c r="H614" s="110"/>
      <c r="I614" s="4"/>
      <c r="J614" s="110"/>
      <c r="K614" s="344"/>
      <c r="L614" s="110"/>
      <c r="M614" s="110"/>
      <c r="N614" s="329"/>
      <c r="O614" s="329"/>
      <c r="P614" s="329"/>
      <c r="Q614" s="329"/>
      <c r="R614" s="329"/>
      <c r="S614" s="329"/>
      <c r="T614" s="329"/>
      <c r="U614" s="110"/>
      <c r="V614" s="110"/>
      <c r="W614" s="110"/>
      <c r="X614" s="110"/>
      <c r="Y614" s="110"/>
      <c r="Z614" s="110"/>
      <c r="AA614" s="110"/>
    </row>
    <row r="615" spans="1:27" ht="15.75" customHeight="1">
      <c r="A615" s="110"/>
      <c r="B615" s="427"/>
      <c r="C615" s="110"/>
      <c r="D615" s="110"/>
      <c r="E615" s="110"/>
      <c r="F615" s="110"/>
      <c r="G615" s="110"/>
      <c r="H615" s="110"/>
      <c r="I615" s="4"/>
      <c r="J615" s="110"/>
      <c r="K615" s="344"/>
      <c r="L615" s="110"/>
      <c r="M615" s="110"/>
      <c r="N615" s="329"/>
      <c r="O615" s="329"/>
      <c r="P615" s="329"/>
      <c r="Q615" s="329"/>
      <c r="R615" s="329"/>
      <c r="S615" s="329"/>
      <c r="T615" s="329"/>
      <c r="U615" s="110"/>
      <c r="V615" s="110"/>
      <c r="W615" s="110"/>
      <c r="X615" s="110"/>
      <c r="Y615" s="110"/>
      <c r="Z615" s="110"/>
      <c r="AA615" s="110"/>
    </row>
    <row r="616" spans="1:27" ht="15.75" customHeight="1">
      <c r="A616" s="110"/>
      <c r="B616" s="427"/>
      <c r="C616" s="110"/>
      <c r="D616" s="110"/>
      <c r="E616" s="110"/>
      <c r="F616" s="110"/>
      <c r="G616" s="110"/>
      <c r="H616" s="110"/>
      <c r="I616" s="4"/>
      <c r="J616" s="110"/>
      <c r="K616" s="344"/>
      <c r="L616" s="110"/>
      <c r="M616" s="110"/>
      <c r="N616" s="329"/>
      <c r="O616" s="329"/>
      <c r="P616" s="329"/>
      <c r="Q616" s="329"/>
      <c r="R616" s="329"/>
      <c r="S616" s="329"/>
      <c r="T616" s="329"/>
      <c r="U616" s="110"/>
      <c r="V616" s="110"/>
      <c r="W616" s="110"/>
      <c r="X616" s="110"/>
      <c r="Y616" s="110"/>
      <c r="Z616" s="110"/>
      <c r="AA616" s="110"/>
    </row>
    <row r="617" spans="1:27" ht="15.75" customHeight="1">
      <c r="A617" s="110"/>
      <c r="B617" s="427"/>
      <c r="C617" s="110"/>
      <c r="D617" s="110"/>
      <c r="E617" s="110"/>
      <c r="F617" s="110"/>
      <c r="G617" s="110"/>
      <c r="H617" s="110"/>
      <c r="I617" s="4"/>
      <c r="J617" s="110"/>
      <c r="K617" s="344"/>
      <c r="L617" s="110"/>
      <c r="M617" s="110"/>
      <c r="N617" s="329"/>
      <c r="O617" s="329"/>
      <c r="P617" s="329"/>
      <c r="Q617" s="329"/>
      <c r="R617" s="329"/>
      <c r="S617" s="329"/>
      <c r="T617" s="329"/>
      <c r="U617" s="110"/>
      <c r="V617" s="110"/>
      <c r="W617" s="110"/>
      <c r="X617" s="110"/>
      <c r="Y617" s="110"/>
      <c r="Z617" s="110"/>
      <c r="AA617" s="110"/>
    </row>
    <row r="618" spans="1:27" ht="15.75" customHeight="1">
      <c r="A618" s="110"/>
      <c r="B618" s="427"/>
      <c r="C618" s="110"/>
      <c r="D618" s="110"/>
      <c r="E618" s="110"/>
      <c r="F618" s="110"/>
      <c r="G618" s="110"/>
      <c r="H618" s="110"/>
      <c r="I618" s="4"/>
      <c r="J618" s="110"/>
      <c r="K618" s="344"/>
      <c r="L618" s="110"/>
      <c r="M618" s="110"/>
      <c r="N618" s="329"/>
      <c r="O618" s="329"/>
      <c r="P618" s="329"/>
      <c r="Q618" s="329"/>
      <c r="R618" s="329"/>
      <c r="S618" s="329"/>
      <c r="T618" s="329"/>
      <c r="U618" s="110"/>
      <c r="V618" s="110"/>
      <c r="W618" s="110"/>
      <c r="X618" s="110"/>
      <c r="Y618" s="110"/>
      <c r="Z618" s="110"/>
      <c r="AA618" s="110"/>
    </row>
    <row r="619" spans="1:27" ht="15.75" customHeight="1">
      <c r="A619" s="110"/>
      <c r="B619" s="427"/>
      <c r="C619" s="110"/>
      <c r="D619" s="110"/>
      <c r="E619" s="110"/>
      <c r="F619" s="110"/>
      <c r="G619" s="110"/>
      <c r="H619" s="110"/>
      <c r="I619" s="4"/>
      <c r="J619" s="110"/>
      <c r="K619" s="344"/>
      <c r="L619" s="110"/>
      <c r="M619" s="110"/>
      <c r="N619" s="329"/>
      <c r="O619" s="329"/>
      <c r="P619" s="329"/>
      <c r="Q619" s="329"/>
      <c r="R619" s="329"/>
      <c r="S619" s="329"/>
      <c r="T619" s="329"/>
      <c r="U619" s="110"/>
      <c r="V619" s="110"/>
      <c r="W619" s="110"/>
      <c r="X619" s="110"/>
      <c r="Y619" s="110"/>
      <c r="Z619" s="110"/>
      <c r="AA619" s="110"/>
    </row>
    <row r="620" spans="1:27" ht="15.75" customHeight="1">
      <c r="A620" s="110"/>
      <c r="B620" s="427"/>
      <c r="C620" s="110"/>
      <c r="D620" s="110"/>
      <c r="E620" s="110"/>
      <c r="F620" s="110"/>
      <c r="G620" s="110"/>
      <c r="H620" s="110"/>
      <c r="I620" s="4"/>
      <c r="J620" s="110"/>
      <c r="K620" s="344"/>
      <c r="L620" s="110"/>
      <c r="M620" s="110"/>
      <c r="N620" s="329"/>
      <c r="O620" s="329"/>
      <c r="P620" s="329"/>
      <c r="Q620" s="329"/>
      <c r="R620" s="329"/>
      <c r="S620" s="329"/>
      <c r="T620" s="329"/>
      <c r="U620" s="110"/>
      <c r="V620" s="110"/>
      <c r="W620" s="110"/>
      <c r="X620" s="110"/>
      <c r="Y620" s="110"/>
      <c r="Z620" s="110"/>
      <c r="AA620" s="110"/>
    </row>
    <row r="621" spans="1:27" ht="15.75" customHeight="1">
      <c r="A621" s="110"/>
      <c r="B621" s="427"/>
      <c r="C621" s="110"/>
      <c r="D621" s="110"/>
      <c r="E621" s="110"/>
      <c r="F621" s="110"/>
      <c r="G621" s="110"/>
      <c r="H621" s="110"/>
      <c r="I621" s="4"/>
      <c r="J621" s="110"/>
      <c r="K621" s="344"/>
      <c r="L621" s="110"/>
      <c r="M621" s="110"/>
      <c r="N621" s="329"/>
      <c r="O621" s="329"/>
      <c r="P621" s="329"/>
      <c r="Q621" s="329"/>
      <c r="R621" s="329"/>
      <c r="S621" s="329"/>
      <c r="T621" s="329"/>
      <c r="U621" s="110"/>
      <c r="V621" s="110"/>
      <c r="W621" s="110"/>
      <c r="X621" s="110"/>
      <c r="Y621" s="110"/>
      <c r="Z621" s="110"/>
      <c r="AA621" s="110"/>
    </row>
    <row r="622" spans="1:27" ht="15.75" customHeight="1">
      <c r="A622" s="110"/>
      <c r="B622" s="427"/>
      <c r="C622" s="110"/>
      <c r="D622" s="110"/>
      <c r="E622" s="110"/>
      <c r="F622" s="110"/>
      <c r="G622" s="110"/>
      <c r="H622" s="110"/>
      <c r="I622" s="4"/>
      <c r="J622" s="110"/>
      <c r="K622" s="344"/>
      <c r="L622" s="110"/>
      <c r="M622" s="110"/>
      <c r="N622" s="329"/>
      <c r="O622" s="329"/>
      <c r="P622" s="329"/>
      <c r="Q622" s="329"/>
      <c r="R622" s="329"/>
      <c r="S622" s="329"/>
      <c r="T622" s="329"/>
      <c r="U622" s="110"/>
      <c r="V622" s="110"/>
      <c r="W622" s="110"/>
      <c r="X622" s="110"/>
      <c r="Y622" s="110"/>
      <c r="Z622" s="110"/>
      <c r="AA622" s="110"/>
    </row>
    <row r="623" spans="1:27" ht="15.75" customHeight="1">
      <c r="A623" s="110"/>
      <c r="B623" s="427"/>
      <c r="C623" s="110"/>
      <c r="D623" s="110"/>
      <c r="E623" s="110"/>
      <c r="F623" s="110"/>
      <c r="G623" s="110"/>
      <c r="H623" s="110"/>
      <c r="I623" s="4"/>
      <c r="J623" s="110"/>
      <c r="K623" s="344"/>
      <c r="L623" s="110"/>
      <c r="M623" s="110"/>
      <c r="N623" s="329"/>
      <c r="O623" s="329"/>
      <c r="P623" s="329"/>
      <c r="Q623" s="329"/>
      <c r="R623" s="329"/>
      <c r="S623" s="329"/>
      <c r="T623" s="329"/>
      <c r="U623" s="110"/>
      <c r="V623" s="110"/>
      <c r="W623" s="110"/>
      <c r="X623" s="110"/>
      <c r="Y623" s="110"/>
      <c r="Z623" s="110"/>
      <c r="AA623" s="110"/>
    </row>
    <row r="624" spans="1:27" ht="15.75" customHeight="1">
      <c r="A624" s="110"/>
      <c r="B624" s="427"/>
      <c r="C624" s="110"/>
      <c r="D624" s="110"/>
      <c r="E624" s="110"/>
      <c r="F624" s="110"/>
      <c r="G624" s="110"/>
      <c r="H624" s="110"/>
      <c r="I624" s="4"/>
      <c r="J624" s="110"/>
      <c r="K624" s="344"/>
      <c r="L624" s="110"/>
      <c r="M624" s="110"/>
      <c r="N624" s="329"/>
      <c r="O624" s="329"/>
      <c r="P624" s="329"/>
      <c r="Q624" s="329"/>
      <c r="R624" s="329"/>
      <c r="S624" s="329"/>
      <c r="T624" s="329"/>
      <c r="U624" s="110"/>
      <c r="V624" s="110"/>
      <c r="W624" s="110"/>
      <c r="X624" s="110"/>
      <c r="Y624" s="110"/>
      <c r="Z624" s="110"/>
      <c r="AA624" s="110"/>
    </row>
    <row r="625" spans="1:27" ht="15.75" customHeight="1">
      <c r="A625" s="110"/>
      <c r="B625" s="427"/>
      <c r="C625" s="110"/>
      <c r="D625" s="110"/>
      <c r="E625" s="110"/>
      <c r="F625" s="110"/>
      <c r="G625" s="110"/>
      <c r="H625" s="110"/>
      <c r="I625" s="4"/>
      <c r="J625" s="110"/>
      <c r="K625" s="344"/>
      <c r="L625" s="110"/>
      <c r="M625" s="110"/>
      <c r="N625" s="329"/>
      <c r="O625" s="329"/>
      <c r="P625" s="329"/>
      <c r="Q625" s="329"/>
      <c r="R625" s="329"/>
      <c r="S625" s="329"/>
      <c r="T625" s="329"/>
      <c r="U625" s="110"/>
      <c r="V625" s="110"/>
      <c r="W625" s="110"/>
      <c r="X625" s="110"/>
      <c r="Y625" s="110"/>
      <c r="Z625" s="110"/>
      <c r="AA625" s="110"/>
    </row>
    <row r="626" spans="1:27" ht="15.75" customHeight="1">
      <c r="A626" s="110"/>
      <c r="B626" s="427"/>
      <c r="C626" s="110"/>
      <c r="D626" s="110"/>
      <c r="E626" s="110"/>
      <c r="F626" s="110"/>
      <c r="G626" s="110"/>
      <c r="H626" s="110"/>
      <c r="I626" s="4"/>
      <c r="J626" s="110"/>
      <c r="K626" s="344"/>
      <c r="L626" s="110"/>
      <c r="M626" s="110"/>
      <c r="N626" s="329"/>
      <c r="O626" s="329"/>
      <c r="P626" s="329"/>
      <c r="Q626" s="329"/>
      <c r="R626" s="329"/>
      <c r="S626" s="329"/>
      <c r="T626" s="329"/>
      <c r="U626" s="110"/>
      <c r="V626" s="110"/>
      <c r="W626" s="110"/>
      <c r="X626" s="110"/>
      <c r="Y626" s="110"/>
      <c r="Z626" s="110"/>
      <c r="AA626" s="110"/>
    </row>
    <row r="627" spans="1:27" ht="15.75" customHeight="1">
      <c r="A627" s="110"/>
      <c r="B627" s="427"/>
      <c r="C627" s="110"/>
      <c r="D627" s="110"/>
      <c r="E627" s="110"/>
      <c r="F627" s="110"/>
      <c r="G627" s="110"/>
      <c r="H627" s="110"/>
      <c r="I627" s="4"/>
      <c r="J627" s="110"/>
      <c r="K627" s="344"/>
      <c r="L627" s="110"/>
      <c r="M627" s="110"/>
      <c r="N627" s="329"/>
      <c r="O627" s="329"/>
      <c r="P627" s="329"/>
      <c r="Q627" s="329"/>
      <c r="R627" s="329"/>
      <c r="S627" s="329"/>
      <c r="T627" s="329"/>
      <c r="U627" s="110"/>
      <c r="V627" s="110"/>
      <c r="W627" s="110"/>
      <c r="X627" s="110"/>
      <c r="Y627" s="110"/>
      <c r="Z627" s="110"/>
      <c r="AA627" s="110"/>
    </row>
    <row r="628" spans="1:27" ht="15.75" customHeight="1">
      <c r="A628" s="110"/>
      <c r="B628" s="427"/>
      <c r="C628" s="110"/>
      <c r="D628" s="110"/>
      <c r="E628" s="110"/>
      <c r="F628" s="110"/>
      <c r="G628" s="110"/>
      <c r="H628" s="110"/>
      <c r="I628" s="4"/>
      <c r="J628" s="110"/>
      <c r="K628" s="344"/>
      <c r="L628" s="110"/>
      <c r="M628" s="110"/>
      <c r="N628" s="329"/>
      <c r="O628" s="329"/>
      <c r="P628" s="329"/>
      <c r="Q628" s="329"/>
      <c r="R628" s="329"/>
      <c r="S628" s="329"/>
      <c r="T628" s="329"/>
      <c r="U628" s="110"/>
      <c r="V628" s="110"/>
      <c r="W628" s="110"/>
      <c r="X628" s="110"/>
      <c r="Y628" s="110"/>
      <c r="Z628" s="110"/>
      <c r="AA628" s="110"/>
    </row>
    <row r="629" spans="1:27" ht="15.75" customHeight="1">
      <c r="A629" s="110"/>
      <c r="B629" s="427"/>
      <c r="C629" s="110"/>
      <c r="D629" s="110"/>
      <c r="E629" s="110"/>
      <c r="F629" s="110"/>
      <c r="G629" s="110"/>
      <c r="H629" s="110"/>
      <c r="I629" s="4"/>
      <c r="J629" s="110"/>
      <c r="K629" s="344"/>
      <c r="L629" s="110"/>
      <c r="M629" s="110"/>
      <c r="N629" s="329"/>
      <c r="O629" s="329"/>
      <c r="P629" s="329"/>
      <c r="Q629" s="329"/>
      <c r="R629" s="329"/>
      <c r="S629" s="329"/>
      <c r="T629" s="329"/>
      <c r="U629" s="110"/>
      <c r="V629" s="110"/>
      <c r="W629" s="110"/>
      <c r="X629" s="110"/>
      <c r="Y629" s="110"/>
      <c r="Z629" s="110"/>
      <c r="AA629" s="110"/>
    </row>
    <row r="630" spans="1:27" ht="15.75" customHeight="1">
      <c r="A630" s="110"/>
      <c r="B630" s="427"/>
      <c r="C630" s="110"/>
      <c r="D630" s="110"/>
      <c r="E630" s="110"/>
      <c r="F630" s="110"/>
      <c r="G630" s="110"/>
      <c r="H630" s="110"/>
      <c r="I630" s="4"/>
      <c r="J630" s="110"/>
      <c r="K630" s="344"/>
      <c r="L630" s="110"/>
      <c r="M630" s="110"/>
      <c r="N630" s="329"/>
      <c r="O630" s="329"/>
      <c r="P630" s="329"/>
      <c r="Q630" s="329"/>
      <c r="R630" s="329"/>
      <c r="S630" s="329"/>
      <c r="T630" s="329"/>
      <c r="U630" s="110"/>
      <c r="V630" s="110"/>
      <c r="W630" s="110"/>
      <c r="X630" s="110"/>
      <c r="Y630" s="110"/>
      <c r="Z630" s="110"/>
      <c r="AA630" s="110"/>
    </row>
    <row r="631" spans="1:27" ht="15.75" customHeight="1">
      <c r="A631" s="110"/>
      <c r="B631" s="427"/>
      <c r="C631" s="110"/>
      <c r="D631" s="110"/>
      <c r="E631" s="110"/>
      <c r="F631" s="110"/>
      <c r="G631" s="110"/>
      <c r="H631" s="110"/>
      <c r="I631" s="4"/>
      <c r="J631" s="110"/>
      <c r="K631" s="344"/>
      <c r="L631" s="110"/>
      <c r="M631" s="110"/>
      <c r="N631" s="329"/>
      <c r="O631" s="329"/>
      <c r="P631" s="329"/>
      <c r="Q631" s="329"/>
      <c r="R631" s="329"/>
      <c r="S631" s="329"/>
      <c r="T631" s="329"/>
      <c r="U631" s="110"/>
      <c r="V631" s="110"/>
      <c r="W631" s="110"/>
      <c r="X631" s="110"/>
      <c r="Y631" s="110"/>
      <c r="Z631" s="110"/>
      <c r="AA631" s="110"/>
    </row>
    <row r="632" spans="1:27" ht="15.75" customHeight="1">
      <c r="A632" s="110"/>
      <c r="B632" s="427"/>
      <c r="C632" s="110"/>
      <c r="D632" s="110"/>
      <c r="E632" s="110"/>
      <c r="F632" s="110"/>
      <c r="G632" s="110"/>
      <c r="H632" s="110"/>
      <c r="I632" s="4"/>
      <c r="J632" s="110"/>
      <c r="K632" s="344"/>
      <c r="L632" s="110"/>
      <c r="M632" s="110"/>
      <c r="N632" s="329"/>
      <c r="O632" s="329"/>
      <c r="P632" s="329"/>
      <c r="Q632" s="329"/>
      <c r="R632" s="329"/>
      <c r="S632" s="329"/>
      <c r="T632" s="329"/>
      <c r="U632" s="110"/>
      <c r="V632" s="110"/>
      <c r="W632" s="110"/>
      <c r="X632" s="110"/>
      <c r="Y632" s="110"/>
      <c r="Z632" s="110"/>
      <c r="AA632" s="110"/>
    </row>
    <row r="633" spans="1:27" ht="15.75" customHeight="1">
      <c r="A633" s="110"/>
      <c r="B633" s="427"/>
      <c r="C633" s="110"/>
      <c r="D633" s="110"/>
      <c r="E633" s="110"/>
      <c r="F633" s="110"/>
      <c r="G633" s="110"/>
      <c r="H633" s="110"/>
      <c r="I633" s="4"/>
      <c r="J633" s="110"/>
      <c r="K633" s="344"/>
      <c r="L633" s="110"/>
      <c r="M633" s="110"/>
      <c r="N633" s="329"/>
      <c r="O633" s="329"/>
      <c r="P633" s="329"/>
      <c r="Q633" s="329"/>
      <c r="R633" s="329"/>
      <c r="S633" s="329"/>
      <c r="T633" s="329"/>
      <c r="U633" s="110"/>
      <c r="V633" s="110"/>
      <c r="W633" s="110"/>
      <c r="X633" s="110"/>
      <c r="Y633" s="110"/>
      <c r="Z633" s="110"/>
      <c r="AA633" s="110"/>
    </row>
    <row r="634" spans="1:27" ht="15.75" customHeight="1">
      <c r="A634" s="110"/>
      <c r="B634" s="427"/>
      <c r="C634" s="110"/>
      <c r="D634" s="110"/>
      <c r="E634" s="110"/>
      <c r="F634" s="110"/>
      <c r="G634" s="110"/>
      <c r="H634" s="110"/>
      <c r="I634" s="4"/>
      <c r="J634" s="110"/>
      <c r="K634" s="344"/>
      <c r="L634" s="110"/>
      <c r="M634" s="110"/>
      <c r="N634" s="329"/>
      <c r="O634" s="329"/>
      <c r="P634" s="329"/>
      <c r="Q634" s="329"/>
      <c r="R634" s="329"/>
      <c r="S634" s="329"/>
      <c r="T634" s="329"/>
      <c r="U634" s="110"/>
      <c r="V634" s="110"/>
      <c r="W634" s="110"/>
      <c r="X634" s="110"/>
      <c r="Y634" s="110"/>
      <c r="Z634" s="110"/>
      <c r="AA634" s="110"/>
    </row>
    <row r="635" spans="1:27" ht="15.75" customHeight="1">
      <c r="A635" s="110"/>
      <c r="B635" s="427"/>
      <c r="C635" s="110"/>
      <c r="D635" s="110"/>
      <c r="E635" s="110"/>
      <c r="F635" s="110"/>
      <c r="G635" s="110"/>
      <c r="H635" s="110"/>
      <c r="I635" s="4"/>
      <c r="J635" s="110"/>
      <c r="K635" s="344"/>
      <c r="L635" s="110"/>
      <c r="M635" s="110"/>
      <c r="N635" s="329"/>
      <c r="O635" s="329"/>
      <c r="P635" s="329"/>
      <c r="Q635" s="329"/>
      <c r="R635" s="329"/>
      <c r="S635" s="329"/>
      <c r="T635" s="329"/>
      <c r="U635" s="110"/>
      <c r="V635" s="110"/>
      <c r="W635" s="110"/>
      <c r="X635" s="110"/>
      <c r="Y635" s="110"/>
      <c r="Z635" s="110"/>
      <c r="AA635" s="110"/>
    </row>
    <row r="636" spans="1:27" ht="15.75" customHeight="1">
      <c r="A636" s="110"/>
      <c r="B636" s="427"/>
      <c r="C636" s="110"/>
      <c r="D636" s="110"/>
      <c r="E636" s="110"/>
      <c r="F636" s="110"/>
      <c r="G636" s="110"/>
      <c r="H636" s="110"/>
      <c r="I636" s="4"/>
      <c r="J636" s="110"/>
      <c r="K636" s="344"/>
      <c r="L636" s="110"/>
      <c r="M636" s="110"/>
      <c r="N636" s="329"/>
      <c r="O636" s="329"/>
      <c r="P636" s="329"/>
      <c r="Q636" s="329"/>
      <c r="R636" s="329"/>
      <c r="S636" s="329"/>
      <c r="T636" s="329"/>
      <c r="U636" s="110"/>
      <c r="V636" s="110"/>
      <c r="W636" s="110"/>
      <c r="X636" s="110"/>
      <c r="Y636" s="110"/>
      <c r="Z636" s="110"/>
      <c r="AA636" s="110"/>
    </row>
    <row r="637" spans="1:27" ht="15.75" customHeight="1">
      <c r="A637" s="110"/>
      <c r="B637" s="427"/>
      <c r="C637" s="110"/>
      <c r="D637" s="110"/>
      <c r="E637" s="110"/>
      <c r="F637" s="110"/>
      <c r="G637" s="110"/>
      <c r="H637" s="110"/>
      <c r="I637" s="4"/>
      <c r="J637" s="110"/>
      <c r="K637" s="344"/>
      <c r="L637" s="110"/>
      <c r="M637" s="110"/>
      <c r="N637" s="329"/>
      <c r="O637" s="329"/>
      <c r="P637" s="329"/>
      <c r="Q637" s="329"/>
      <c r="R637" s="329"/>
      <c r="S637" s="329"/>
      <c r="T637" s="329"/>
      <c r="U637" s="110"/>
      <c r="V637" s="110"/>
      <c r="W637" s="110"/>
      <c r="X637" s="110"/>
      <c r="Y637" s="110"/>
      <c r="Z637" s="110"/>
      <c r="AA637" s="110"/>
    </row>
    <row r="638" spans="1:27" ht="15.75" customHeight="1">
      <c r="A638" s="110"/>
      <c r="B638" s="427"/>
      <c r="C638" s="110"/>
      <c r="D638" s="110"/>
      <c r="E638" s="110"/>
      <c r="F638" s="110"/>
      <c r="G638" s="110"/>
      <c r="H638" s="110"/>
      <c r="I638" s="4"/>
      <c r="J638" s="110"/>
      <c r="K638" s="344"/>
      <c r="L638" s="110"/>
      <c r="M638" s="110"/>
      <c r="N638" s="329"/>
      <c r="O638" s="329"/>
      <c r="P638" s="329"/>
      <c r="Q638" s="329"/>
      <c r="R638" s="329"/>
      <c r="S638" s="329"/>
      <c r="T638" s="329"/>
      <c r="U638" s="110"/>
      <c r="V638" s="110"/>
      <c r="W638" s="110"/>
      <c r="X638" s="110"/>
      <c r="Y638" s="110"/>
      <c r="Z638" s="110"/>
      <c r="AA638" s="110"/>
    </row>
    <row r="639" spans="1:27" ht="15.75" customHeight="1">
      <c r="A639" s="110"/>
      <c r="B639" s="427"/>
      <c r="C639" s="110"/>
      <c r="D639" s="110"/>
      <c r="E639" s="110"/>
      <c r="F639" s="110"/>
      <c r="G639" s="110"/>
      <c r="H639" s="110"/>
      <c r="I639" s="4"/>
      <c r="J639" s="110"/>
      <c r="K639" s="344"/>
      <c r="L639" s="110"/>
      <c r="M639" s="110"/>
      <c r="N639" s="329"/>
      <c r="O639" s="329"/>
      <c r="P639" s="329"/>
      <c r="Q639" s="329"/>
      <c r="R639" s="329"/>
      <c r="S639" s="329"/>
      <c r="T639" s="329"/>
      <c r="U639" s="110"/>
      <c r="V639" s="110"/>
      <c r="W639" s="110"/>
      <c r="X639" s="110"/>
      <c r="Y639" s="110"/>
      <c r="Z639" s="110"/>
      <c r="AA639" s="110"/>
    </row>
    <row r="640" spans="1:27" ht="15.75" customHeight="1">
      <c r="A640" s="110"/>
      <c r="B640" s="427"/>
      <c r="C640" s="110"/>
      <c r="D640" s="110"/>
      <c r="E640" s="110"/>
      <c r="F640" s="110"/>
      <c r="G640" s="110"/>
      <c r="H640" s="110"/>
      <c r="I640" s="4"/>
      <c r="J640" s="110"/>
      <c r="K640" s="344"/>
      <c r="L640" s="110"/>
      <c r="M640" s="110"/>
      <c r="N640" s="329"/>
      <c r="O640" s="329"/>
      <c r="P640" s="329"/>
      <c r="Q640" s="329"/>
      <c r="R640" s="329"/>
      <c r="S640" s="329"/>
      <c r="T640" s="329"/>
      <c r="U640" s="110"/>
      <c r="V640" s="110"/>
      <c r="W640" s="110"/>
      <c r="X640" s="110"/>
      <c r="Y640" s="110"/>
      <c r="Z640" s="110"/>
      <c r="AA640" s="110"/>
    </row>
    <row r="641" spans="1:27" ht="15.75" customHeight="1">
      <c r="A641" s="110"/>
      <c r="B641" s="427"/>
      <c r="C641" s="110"/>
      <c r="D641" s="110"/>
      <c r="E641" s="110"/>
      <c r="F641" s="110"/>
      <c r="G641" s="110"/>
      <c r="H641" s="110"/>
      <c r="I641" s="4"/>
      <c r="J641" s="110"/>
      <c r="K641" s="344"/>
      <c r="L641" s="110"/>
      <c r="M641" s="110"/>
      <c r="N641" s="329"/>
      <c r="O641" s="329"/>
      <c r="P641" s="329"/>
      <c r="Q641" s="329"/>
      <c r="R641" s="329"/>
      <c r="S641" s="329"/>
      <c r="T641" s="329"/>
      <c r="U641" s="110"/>
      <c r="V641" s="110"/>
      <c r="W641" s="110"/>
      <c r="X641" s="110"/>
      <c r="Y641" s="110"/>
      <c r="Z641" s="110"/>
      <c r="AA641" s="110"/>
    </row>
    <row r="642" spans="1:27" ht="15.75" customHeight="1">
      <c r="A642" s="110"/>
      <c r="B642" s="427"/>
      <c r="C642" s="110"/>
      <c r="D642" s="110"/>
      <c r="E642" s="110"/>
      <c r="F642" s="110"/>
      <c r="G642" s="110"/>
      <c r="H642" s="110"/>
      <c r="I642" s="4"/>
      <c r="J642" s="110"/>
      <c r="K642" s="344"/>
      <c r="L642" s="110"/>
      <c r="M642" s="110"/>
      <c r="N642" s="329"/>
      <c r="O642" s="329"/>
      <c r="P642" s="329"/>
      <c r="Q642" s="329"/>
      <c r="R642" s="329"/>
      <c r="S642" s="329"/>
      <c r="T642" s="329"/>
      <c r="U642" s="110"/>
      <c r="V642" s="110"/>
      <c r="W642" s="110"/>
      <c r="X642" s="110"/>
      <c r="Y642" s="110"/>
      <c r="Z642" s="110"/>
      <c r="AA642" s="110"/>
    </row>
    <row r="643" spans="1:27" ht="15.75" customHeight="1">
      <c r="A643" s="110"/>
      <c r="B643" s="427"/>
      <c r="C643" s="110"/>
      <c r="D643" s="110"/>
      <c r="E643" s="110"/>
      <c r="F643" s="110"/>
      <c r="G643" s="110"/>
      <c r="H643" s="110"/>
      <c r="I643" s="4"/>
      <c r="J643" s="110"/>
      <c r="K643" s="344"/>
      <c r="L643" s="110"/>
      <c r="M643" s="110"/>
      <c r="N643" s="329"/>
      <c r="O643" s="329"/>
      <c r="P643" s="329"/>
      <c r="Q643" s="329"/>
      <c r="R643" s="329"/>
      <c r="S643" s="329"/>
      <c r="T643" s="329"/>
      <c r="U643" s="110"/>
      <c r="V643" s="110"/>
      <c r="W643" s="110"/>
      <c r="X643" s="110"/>
      <c r="Y643" s="110"/>
      <c r="Z643" s="110"/>
      <c r="AA643" s="110"/>
    </row>
    <row r="644" spans="1:27" ht="15.75" customHeight="1">
      <c r="A644" s="110"/>
      <c r="B644" s="427"/>
      <c r="C644" s="110"/>
      <c r="D644" s="110"/>
      <c r="E644" s="110"/>
      <c r="F644" s="110"/>
      <c r="G644" s="110"/>
      <c r="H644" s="110"/>
      <c r="I644" s="4"/>
      <c r="J644" s="110"/>
      <c r="K644" s="344"/>
      <c r="L644" s="110"/>
      <c r="M644" s="110"/>
      <c r="N644" s="329"/>
      <c r="O644" s="329"/>
      <c r="P644" s="329"/>
      <c r="Q644" s="329"/>
      <c r="R644" s="329"/>
      <c r="S644" s="329"/>
      <c r="T644" s="329"/>
      <c r="U644" s="110"/>
      <c r="V644" s="110"/>
      <c r="W644" s="110"/>
      <c r="X644" s="110"/>
      <c r="Y644" s="110"/>
      <c r="Z644" s="110"/>
      <c r="AA644" s="110"/>
    </row>
    <row r="645" spans="1:27" ht="15.75" customHeight="1">
      <c r="A645" s="110"/>
      <c r="B645" s="427"/>
      <c r="C645" s="110"/>
      <c r="D645" s="110"/>
      <c r="E645" s="110"/>
      <c r="F645" s="110"/>
      <c r="G645" s="110"/>
      <c r="H645" s="110"/>
      <c r="I645" s="4"/>
      <c r="J645" s="110"/>
      <c r="K645" s="344"/>
      <c r="L645" s="110"/>
      <c r="M645" s="110"/>
      <c r="N645" s="329"/>
      <c r="O645" s="329"/>
      <c r="P645" s="329"/>
      <c r="Q645" s="329"/>
      <c r="R645" s="329"/>
      <c r="S645" s="329"/>
      <c r="T645" s="329"/>
      <c r="U645" s="110"/>
      <c r="V645" s="110"/>
      <c r="W645" s="110"/>
      <c r="X645" s="110"/>
      <c r="Y645" s="110"/>
      <c r="Z645" s="110"/>
      <c r="AA645" s="110"/>
    </row>
    <row r="646" spans="1:27" ht="15.75" customHeight="1">
      <c r="A646" s="110"/>
      <c r="B646" s="427"/>
      <c r="C646" s="110"/>
      <c r="D646" s="110"/>
      <c r="E646" s="110"/>
      <c r="F646" s="110"/>
      <c r="G646" s="110"/>
      <c r="H646" s="110"/>
      <c r="I646" s="4"/>
      <c r="J646" s="110"/>
      <c r="K646" s="344"/>
      <c r="L646" s="110"/>
      <c r="M646" s="110"/>
      <c r="N646" s="329"/>
      <c r="O646" s="329"/>
      <c r="P646" s="329"/>
      <c r="Q646" s="329"/>
      <c r="R646" s="329"/>
      <c r="S646" s="329"/>
      <c r="T646" s="329"/>
      <c r="U646" s="110"/>
      <c r="V646" s="110"/>
      <c r="W646" s="110"/>
      <c r="X646" s="110"/>
      <c r="Y646" s="110"/>
      <c r="Z646" s="110"/>
      <c r="AA646" s="110"/>
    </row>
    <row r="647" spans="1:27" ht="15.75" customHeight="1">
      <c r="A647" s="110"/>
      <c r="B647" s="427"/>
      <c r="C647" s="110"/>
      <c r="D647" s="110"/>
      <c r="E647" s="110"/>
      <c r="F647" s="110"/>
      <c r="G647" s="110"/>
      <c r="H647" s="110"/>
      <c r="I647" s="4"/>
      <c r="J647" s="110"/>
      <c r="K647" s="344"/>
      <c r="L647" s="110"/>
      <c r="M647" s="110"/>
      <c r="N647" s="329"/>
      <c r="O647" s="329"/>
      <c r="P647" s="329"/>
      <c r="Q647" s="329"/>
      <c r="R647" s="329"/>
      <c r="S647" s="329"/>
      <c r="T647" s="329"/>
      <c r="U647" s="110"/>
      <c r="V647" s="110"/>
      <c r="W647" s="110"/>
      <c r="X647" s="110"/>
      <c r="Y647" s="110"/>
      <c r="Z647" s="110"/>
      <c r="AA647" s="110"/>
    </row>
    <row r="648" spans="1:27" ht="15.75" customHeight="1">
      <c r="A648" s="110"/>
      <c r="B648" s="427"/>
      <c r="C648" s="110"/>
      <c r="D648" s="110"/>
      <c r="E648" s="110"/>
      <c r="F648" s="110"/>
      <c r="G648" s="110"/>
      <c r="H648" s="110"/>
      <c r="I648" s="4"/>
      <c r="J648" s="110"/>
      <c r="K648" s="344"/>
      <c r="L648" s="110"/>
      <c r="M648" s="110"/>
      <c r="N648" s="329"/>
      <c r="O648" s="329"/>
      <c r="P648" s="329"/>
      <c r="Q648" s="329"/>
      <c r="R648" s="329"/>
      <c r="S648" s="329"/>
      <c r="T648" s="329"/>
      <c r="U648" s="110"/>
      <c r="V648" s="110"/>
      <c r="W648" s="110"/>
      <c r="X648" s="110"/>
      <c r="Y648" s="110"/>
      <c r="Z648" s="110"/>
      <c r="AA648" s="110"/>
    </row>
    <row r="649" spans="1:27" ht="15.75" customHeight="1">
      <c r="A649" s="110"/>
      <c r="B649" s="427"/>
      <c r="C649" s="110"/>
      <c r="D649" s="110"/>
      <c r="E649" s="110"/>
      <c r="F649" s="110"/>
      <c r="G649" s="110"/>
      <c r="H649" s="110"/>
      <c r="I649" s="4"/>
      <c r="J649" s="110"/>
      <c r="K649" s="344"/>
      <c r="L649" s="110"/>
      <c r="M649" s="110"/>
      <c r="N649" s="329"/>
      <c r="O649" s="329"/>
      <c r="P649" s="329"/>
      <c r="Q649" s="329"/>
      <c r="R649" s="329"/>
      <c r="S649" s="329"/>
      <c r="T649" s="329"/>
      <c r="U649" s="110"/>
      <c r="V649" s="110"/>
      <c r="W649" s="110"/>
      <c r="X649" s="110"/>
      <c r="Y649" s="110"/>
      <c r="Z649" s="110"/>
      <c r="AA649" s="110"/>
    </row>
    <row r="650" spans="1:27" ht="15.75" customHeight="1">
      <c r="A650" s="110"/>
      <c r="B650" s="427"/>
      <c r="C650" s="110"/>
      <c r="D650" s="110"/>
      <c r="E650" s="110"/>
      <c r="F650" s="110"/>
      <c r="G650" s="110"/>
      <c r="H650" s="110"/>
      <c r="I650" s="4"/>
      <c r="J650" s="110"/>
      <c r="K650" s="344"/>
      <c r="L650" s="110"/>
      <c r="M650" s="110"/>
      <c r="N650" s="329"/>
      <c r="O650" s="329"/>
      <c r="P650" s="329"/>
      <c r="Q650" s="329"/>
      <c r="R650" s="329"/>
      <c r="S650" s="329"/>
      <c r="T650" s="329"/>
      <c r="U650" s="110"/>
      <c r="V650" s="110"/>
      <c r="W650" s="110"/>
      <c r="X650" s="110"/>
      <c r="Y650" s="110"/>
      <c r="Z650" s="110"/>
      <c r="AA650" s="110"/>
    </row>
    <row r="651" spans="1:27" ht="15.75" customHeight="1">
      <c r="A651" s="110"/>
      <c r="B651" s="427"/>
      <c r="C651" s="110"/>
      <c r="D651" s="110"/>
      <c r="E651" s="110"/>
      <c r="F651" s="110"/>
      <c r="G651" s="110"/>
      <c r="H651" s="110"/>
      <c r="I651" s="4"/>
      <c r="J651" s="110"/>
      <c r="K651" s="344"/>
      <c r="L651" s="110"/>
      <c r="M651" s="110"/>
      <c r="N651" s="329"/>
      <c r="O651" s="329"/>
      <c r="P651" s="329"/>
      <c r="Q651" s="329"/>
      <c r="R651" s="329"/>
      <c r="S651" s="329"/>
      <c r="T651" s="329"/>
      <c r="U651" s="110"/>
      <c r="V651" s="110"/>
      <c r="W651" s="110"/>
      <c r="X651" s="110"/>
      <c r="Y651" s="110"/>
      <c r="Z651" s="110"/>
      <c r="AA651" s="110"/>
    </row>
    <row r="652" spans="1:27" ht="15.75" customHeight="1">
      <c r="A652" s="110"/>
      <c r="B652" s="427"/>
      <c r="C652" s="110"/>
      <c r="D652" s="110"/>
      <c r="E652" s="110"/>
      <c r="F652" s="110"/>
      <c r="G652" s="110"/>
      <c r="H652" s="110"/>
      <c r="I652" s="4"/>
      <c r="J652" s="110"/>
      <c r="K652" s="344"/>
      <c r="L652" s="110"/>
      <c r="M652" s="110"/>
      <c r="N652" s="329"/>
      <c r="O652" s="329"/>
      <c r="P652" s="329"/>
      <c r="Q652" s="329"/>
      <c r="R652" s="329"/>
      <c r="S652" s="329"/>
      <c r="T652" s="329"/>
      <c r="U652" s="110"/>
      <c r="V652" s="110"/>
      <c r="W652" s="110"/>
      <c r="X652" s="110"/>
      <c r="Y652" s="110"/>
      <c r="Z652" s="110"/>
      <c r="AA652" s="110"/>
    </row>
    <row r="653" spans="1:27" ht="15.75" customHeight="1">
      <c r="A653" s="110"/>
      <c r="B653" s="427"/>
      <c r="C653" s="110"/>
      <c r="D653" s="110"/>
      <c r="E653" s="110"/>
      <c r="F653" s="110"/>
      <c r="G653" s="110"/>
      <c r="H653" s="110"/>
      <c r="I653" s="4"/>
      <c r="J653" s="110"/>
      <c r="K653" s="344"/>
      <c r="L653" s="110"/>
      <c r="M653" s="110"/>
      <c r="N653" s="329"/>
      <c r="O653" s="329"/>
      <c r="P653" s="329"/>
      <c r="Q653" s="329"/>
      <c r="R653" s="329"/>
      <c r="S653" s="329"/>
      <c r="T653" s="329"/>
      <c r="U653" s="110"/>
      <c r="V653" s="110"/>
      <c r="W653" s="110"/>
      <c r="X653" s="110"/>
      <c r="Y653" s="110"/>
      <c r="Z653" s="110"/>
      <c r="AA653" s="110"/>
    </row>
    <row r="654" spans="1:27" ht="15.75" customHeight="1">
      <c r="A654" s="110"/>
      <c r="B654" s="427"/>
      <c r="C654" s="110"/>
      <c r="D654" s="110"/>
      <c r="E654" s="110"/>
      <c r="F654" s="110"/>
      <c r="G654" s="110"/>
      <c r="H654" s="110"/>
      <c r="I654" s="4"/>
      <c r="J654" s="110"/>
      <c r="K654" s="344"/>
      <c r="L654" s="110"/>
      <c r="M654" s="110"/>
      <c r="N654" s="329"/>
      <c r="O654" s="329"/>
      <c r="P654" s="329"/>
      <c r="Q654" s="329"/>
      <c r="R654" s="329"/>
      <c r="S654" s="329"/>
      <c r="T654" s="329"/>
      <c r="U654" s="110"/>
      <c r="V654" s="110"/>
      <c r="W654" s="110"/>
      <c r="X654" s="110"/>
      <c r="Y654" s="110"/>
      <c r="Z654" s="110"/>
      <c r="AA654" s="110"/>
    </row>
    <row r="655" spans="1:27" ht="15.75" customHeight="1">
      <c r="A655" s="110"/>
      <c r="B655" s="427"/>
      <c r="C655" s="110"/>
      <c r="D655" s="110"/>
      <c r="E655" s="110"/>
      <c r="F655" s="110"/>
      <c r="G655" s="110"/>
      <c r="H655" s="110"/>
      <c r="I655" s="4"/>
      <c r="J655" s="110"/>
      <c r="K655" s="344"/>
      <c r="L655" s="110"/>
      <c r="M655" s="110"/>
      <c r="N655" s="329"/>
      <c r="O655" s="329"/>
      <c r="P655" s="329"/>
      <c r="Q655" s="329"/>
      <c r="R655" s="329"/>
      <c r="S655" s="329"/>
      <c r="T655" s="329"/>
      <c r="U655" s="110"/>
      <c r="V655" s="110"/>
      <c r="W655" s="110"/>
      <c r="X655" s="110"/>
      <c r="Y655" s="110"/>
      <c r="Z655" s="110"/>
      <c r="AA655" s="110"/>
    </row>
    <row r="656" spans="1:27" ht="15.75" customHeight="1">
      <c r="A656" s="110"/>
      <c r="B656" s="427"/>
      <c r="C656" s="110"/>
      <c r="D656" s="110"/>
      <c r="E656" s="110"/>
      <c r="F656" s="110"/>
      <c r="G656" s="110"/>
      <c r="H656" s="110"/>
      <c r="I656" s="4"/>
      <c r="J656" s="110"/>
      <c r="K656" s="344"/>
      <c r="L656" s="110"/>
      <c r="M656" s="110"/>
      <c r="N656" s="329"/>
      <c r="O656" s="329"/>
      <c r="P656" s="329"/>
      <c r="Q656" s="329"/>
      <c r="R656" s="329"/>
      <c r="S656" s="329"/>
      <c r="T656" s="329"/>
      <c r="U656" s="110"/>
      <c r="V656" s="110"/>
      <c r="W656" s="110"/>
      <c r="X656" s="110"/>
      <c r="Y656" s="110"/>
      <c r="Z656" s="110"/>
      <c r="AA656" s="110"/>
    </row>
    <row r="657" spans="1:27" ht="15.75" customHeight="1">
      <c r="A657" s="110"/>
      <c r="B657" s="427"/>
      <c r="C657" s="110"/>
      <c r="D657" s="110"/>
      <c r="E657" s="110"/>
      <c r="F657" s="110"/>
      <c r="G657" s="110"/>
      <c r="H657" s="110"/>
      <c r="I657" s="4"/>
      <c r="J657" s="110"/>
      <c r="K657" s="344"/>
      <c r="L657" s="110"/>
      <c r="M657" s="110"/>
      <c r="N657" s="329"/>
      <c r="O657" s="329"/>
      <c r="P657" s="329"/>
      <c r="Q657" s="329"/>
      <c r="R657" s="329"/>
      <c r="S657" s="329"/>
      <c r="T657" s="329"/>
      <c r="U657" s="110"/>
      <c r="V657" s="110"/>
      <c r="W657" s="110"/>
      <c r="X657" s="110"/>
      <c r="Y657" s="110"/>
      <c r="Z657" s="110"/>
      <c r="AA657" s="110"/>
    </row>
    <row r="658" spans="1:27" ht="15.75" customHeight="1">
      <c r="A658" s="110"/>
      <c r="B658" s="427"/>
      <c r="C658" s="110"/>
      <c r="D658" s="110"/>
      <c r="E658" s="110"/>
      <c r="F658" s="110"/>
      <c r="G658" s="110"/>
      <c r="H658" s="110"/>
      <c r="I658" s="4"/>
      <c r="J658" s="110"/>
      <c r="K658" s="344"/>
      <c r="L658" s="110"/>
      <c r="M658" s="110"/>
      <c r="N658" s="329"/>
      <c r="O658" s="329"/>
      <c r="P658" s="329"/>
      <c r="Q658" s="329"/>
      <c r="R658" s="329"/>
      <c r="S658" s="329"/>
      <c r="T658" s="329"/>
      <c r="U658" s="110"/>
      <c r="V658" s="110"/>
      <c r="W658" s="110"/>
      <c r="X658" s="110"/>
      <c r="Y658" s="110"/>
      <c r="Z658" s="110"/>
      <c r="AA658" s="110"/>
    </row>
    <row r="659" spans="1:27" ht="15.75" customHeight="1">
      <c r="A659" s="110"/>
      <c r="B659" s="427"/>
      <c r="C659" s="110"/>
      <c r="D659" s="110"/>
      <c r="E659" s="110"/>
      <c r="F659" s="110"/>
      <c r="G659" s="110"/>
      <c r="H659" s="110"/>
      <c r="I659" s="4"/>
      <c r="J659" s="110"/>
      <c r="K659" s="344"/>
      <c r="L659" s="110"/>
      <c r="M659" s="110"/>
      <c r="N659" s="329"/>
      <c r="O659" s="329"/>
      <c r="P659" s="329"/>
      <c r="Q659" s="329"/>
      <c r="R659" s="329"/>
      <c r="S659" s="329"/>
      <c r="T659" s="329"/>
      <c r="U659" s="110"/>
      <c r="V659" s="110"/>
      <c r="W659" s="110"/>
      <c r="X659" s="110"/>
      <c r="Y659" s="110"/>
      <c r="Z659" s="110"/>
      <c r="AA659" s="110"/>
    </row>
    <row r="660" spans="1:27" ht="15.75" customHeight="1">
      <c r="A660" s="110"/>
      <c r="B660" s="427"/>
      <c r="C660" s="110"/>
      <c r="D660" s="110"/>
      <c r="E660" s="110"/>
      <c r="F660" s="110"/>
      <c r="G660" s="110"/>
      <c r="H660" s="110"/>
      <c r="I660" s="4"/>
      <c r="J660" s="110"/>
      <c r="K660" s="344"/>
      <c r="L660" s="110"/>
      <c r="M660" s="110"/>
      <c r="N660" s="329"/>
      <c r="O660" s="329"/>
      <c r="P660" s="329"/>
      <c r="Q660" s="329"/>
      <c r="R660" s="329"/>
      <c r="S660" s="329"/>
      <c r="T660" s="329"/>
      <c r="U660" s="110"/>
      <c r="V660" s="110"/>
      <c r="W660" s="110"/>
      <c r="X660" s="110"/>
      <c r="Y660" s="110"/>
      <c r="Z660" s="110"/>
      <c r="AA660" s="110"/>
    </row>
    <row r="661" spans="1:27" ht="15.75" customHeight="1">
      <c r="A661" s="110"/>
      <c r="B661" s="427"/>
      <c r="C661" s="110"/>
      <c r="D661" s="110"/>
      <c r="E661" s="110"/>
      <c r="F661" s="110"/>
      <c r="G661" s="110"/>
      <c r="H661" s="110"/>
      <c r="I661" s="4"/>
      <c r="J661" s="110"/>
      <c r="K661" s="344"/>
      <c r="L661" s="110"/>
      <c r="M661" s="110"/>
      <c r="N661" s="329"/>
      <c r="O661" s="329"/>
      <c r="P661" s="329"/>
      <c r="Q661" s="329"/>
      <c r="R661" s="329"/>
      <c r="S661" s="329"/>
      <c r="T661" s="329"/>
      <c r="U661" s="110"/>
      <c r="V661" s="110"/>
      <c r="W661" s="110"/>
      <c r="X661" s="110"/>
      <c r="Y661" s="110"/>
      <c r="Z661" s="110"/>
      <c r="AA661" s="110"/>
    </row>
    <row r="662" spans="1:27" ht="15.75" customHeight="1">
      <c r="A662" s="110"/>
      <c r="B662" s="427"/>
      <c r="C662" s="110"/>
      <c r="D662" s="110"/>
      <c r="E662" s="110"/>
      <c r="F662" s="110"/>
      <c r="G662" s="110"/>
      <c r="H662" s="110"/>
      <c r="I662" s="4"/>
      <c r="J662" s="110"/>
      <c r="K662" s="344"/>
      <c r="L662" s="110"/>
      <c r="M662" s="110"/>
      <c r="N662" s="329"/>
      <c r="O662" s="329"/>
      <c r="P662" s="329"/>
      <c r="Q662" s="329"/>
      <c r="R662" s="329"/>
      <c r="S662" s="329"/>
      <c r="T662" s="329"/>
      <c r="U662" s="110"/>
      <c r="V662" s="110"/>
      <c r="W662" s="110"/>
      <c r="X662" s="110"/>
      <c r="Y662" s="110"/>
      <c r="Z662" s="110"/>
      <c r="AA662" s="110"/>
    </row>
    <row r="663" spans="1:27" ht="15.75" customHeight="1">
      <c r="A663" s="110"/>
      <c r="B663" s="427"/>
      <c r="C663" s="110"/>
      <c r="D663" s="110"/>
      <c r="E663" s="110"/>
      <c r="F663" s="110"/>
      <c r="G663" s="110"/>
      <c r="H663" s="110"/>
      <c r="I663" s="4"/>
      <c r="J663" s="110"/>
      <c r="K663" s="344"/>
      <c r="L663" s="110"/>
      <c r="M663" s="110"/>
      <c r="N663" s="329"/>
      <c r="O663" s="329"/>
      <c r="P663" s="329"/>
      <c r="Q663" s="329"/>
      <c r="R663" s="329"/>
      <c r="S663" s="329"/>
      <c r="T663" s="329"/>
      <c r="U663" s="110"/>
      <c r="V663" s="110"/>
      <c r="W663" s="110"/>
      <c r="X663" s="110"/>
      <c r="Y663" s="110"/>
      <c r="Z663" s="110"/>
      <c r="AA663" s="110"/>
    </row>
    <row r="664" spans="1:27" ht="15.75" customHeight="1">
      <c r="A664" s="110"/>
      <c r="B664" s="427"/>
      <c r="C664" s="110"/>
      <c r="D664" s="110"/>
      <c r="E664" s="110"/>
      <c r="F664" s="110"/>
      <c r="G664" s="110"/>
      <c r="H664" s="110"/>
      <c r="I664" s="4"/>
      <c r="J664" s="110"/>
      <c r="K664" s="344"/>
      <c r="L664" s="110"/>
      <c r="M664" s="110"/>
      <c r="N664" s="329"/>
      <c r="O664" s="329"/>
      <c r="P664" s="329"/>
      <c r="Q664" s="329"/>
      <c r="R664" s="329"/>
      <c r="S664" s="329"/>
      <c r="T664" s="329"/>
      <c r="U664" s="110"/>
      <c r="V664" s="110"/>
      <c r="W664" s="110"/>
      <c r="X664" s="110"/>
      <c r="Y664" s="110"/>
      <c r="Z664" s="110"/>
      <c r="AA664" s="110"/>
    </row>
    <row r="665" spans="1:27" ht="15.75" customHeight="1">
      <c r="A665" s="110"/>
      <c r="B665" s="427"/>
      <c r="C665" s="110"/>
      <c r="D665" s="110"/>
      <c r="E665" s="110"/>
      <c r="F665" s="110"/>
      <c r="G665" s="110"/>
      <c r="H665" s="110"/>
      <c r="I665" s="4"/>
      <c r="J665" s="110"/>
      <c r="K665" s="344"/>
      <c r="L665" s="110"/>
      <c r="M665" s="110"/>
      <c r="N665" s="329"/>
      <c r="O665" s="329"/>
      <c r="P665" s="329"/>
      <c r="Q665" s="329"/>
      <c r="R665" s="329"/>
      <c r="S665" s="329"/>
      <c r="T665" s="329"/>
      <c r="U665" s="110"/>
      <c r="V665" s="110"/>
      <c r="W665" s="110"/>
      <c r="X665" s="110"/>
      <c r="Y665" s="110"/>
      <c r="Z665" s="110"/>
      <c r="AA665" s="110"/>
    </row>
    <row r="666" spans="1:27" ht="15.75" customHeight="1">
      <c r="A666" s="110"/>
      <c r="B666" s="427"/>
      <c r="C666" s="110"/>
      <c r="D666" s="110"/>
      <c r="E666" s="110"/>
      <c r="F666" s="110"/>
      <c r="G666" s="110"/>
      <c r="H666" s="110"/>
      <c r="I666" s="4"/>
      <c r="J666" s="110"/>
      <c r="K666" s="344"/>
      <c r="L666" s="110"/>
      <c r="M666" s="110"/>
      <c r="N666" s="329"/>
      <c r="O666" s="329"/>
      <c r="P666" s="329"/>
      <c r="Q666" s="329"/>
      <c r="R666" s="329"/>
      <c r="S666" s="329"/>
      <c r="T666" s="329"/>
      <c r="U666" s="110"/>
      <c r="V666" s="110"/>
      <c r="W666" s="110"/>
      <c r="X666" s="110"/>
      <c r="Y666" s="110"/>
      <c r="Z666" s="110"/>
      <c r="AA666" s="110"/>
    </row>
    <row r="667" spans="1:27" ht="15.75" customHeight="1">
      <c r="A667" s="110"/>
      <c r="B667" s="427"/>
      <c r="C667" s="110"/>
      <c r="D667" s="110"/>
      <c r="E667" s="110"/>
      <c r="F667" s="110"/>
      <c r="G667" s="110"/>
      <c r="H667" s="110"/>
      <c r="I667" s="4"/>
      <c r="J667" s="110"/>
      <c r="K667" s="344"/>
      <c r="L667" s="110"/>
      <c r="M667" s="110"/>
      <c r="N667" s="329"/>
      <c r="O667" s="329"/>
      <c r="P667" s="329"/>
      <c r="Q667" s="329"/>
      <c r="R667" s="329"/>
      <c r="S667" s="329"/>
      <c r="T667" s="329"/>
      <c r="U667" s="110"/>
      <c r="V667" s="110"/>
      <c r="W667" s="110"/>
      <c r="X667" s="110"/>
      <c r="Y667" s="110"/>
      <c r="Z667" s="110"/>
      <c r="AA667" s="110"/>
    </row>
    <row r="668" spans="1:27" ht="15.75" customHeight="1">
      <c r="A668" s="110"/>
      <c r="B668" s="427"/>
      <c r="C668" s="110"/>
      <c r="D668" s="110"/>
      <c r="E668" s="110"/>
      <c r="F668" s="110"/>
      <c r="G668" s="110"/>
      <c r="H668" s="110"/>
      <c r="I668" s="4"/>
      <c r="J668" s="110"/>
      <c r="K668" s="344"/>
      <c r="L668" s="110"/>
      <c r="M668" s="110"/>
      <c r="N668" s="329"/>
      <c r="O668" s="329"/>
      <c r="P668" s="329"/>
      <c r="Q668" s="329"/>
      <c r="R668" s="329"/>
      <c r="S668" s="329"/>
      <c r="T668" s="329"/>
      <c r="U668" s="110"/>
      <c r="V668" s="110"/>
      <c r="W668" s="110"/>
      <c r="X668" s="110"/>
      <c r="Y668" s="110"/>
      <c r="Z668" s="110"/>
      <c r="AA668" s="110"/>
    </row>
    <row r="669" spans="1:27" ht="15.75" customHeight="1">
      <c r="A669" s="110"/>
      <c r="B669" s="427"/>
      <c r="C669" s="110"/>
      <c r="D669" s="110"/>
      <c r="E669" s="110"/>
      <c r="F669" s="110"/>
      <c r="G669" s="110"/>
      <c r="H669" s="110"/>
      <c r="I669" s="4"/>
      <c r="J669" s="110"/>
      <c r="K669" s="344"/>
      <c r="L669" s="110"/>
      <c r="M669" s="110"/>
      <c r="N669" s="329"/>
      <c r="O669" s="329"/>
      <c r="P669" s="329"/>
      <c r="Q669" s="329"/>
      <c r="R669" s="329"/>
      <c r="S669" s="329"/>
      <c r="T669" s="329"/>
      <c r="U669" s="110"/>
      <c r="V669" s="110"/>
      <c r="W669" s="110"/>
      <c r="X669" s="110"/>
      <c r="Y669" s="110"/>
      <c r="Z669" s="110"/>
      <c r="AA669" s="110"/>
    </row>
    <row r="670" spans="1:27" ht="15.75" customHeight="1">
      <c r="A670" s="110"/>
      <c r="B670" s="427"/>
      <c r="C670" s="110"/>
      <c r="D670" s="110"/>
      <c r="E670" s="110"/>
      <c r="F670" s="110"/>
      <c r="G670" s="110"/>
      <c r="H670" s="110"/>
      <c r="I670" s="4"/>
      <c r="J670" s="110"/>
      <c r="K670" s="344"/>
      <c r="L670" s="110"/>
      <c r="M670" s="110"/>
      <c r="N670" s="329"/>
      <c r="O670" s="329"/>
      <c r="P670" s="329"/>
      <c r="Q670" s="329"/>
      <c r="R670" s="329"/>
      <c r="S670" s="329"/>
      <c r="T670" s="329"/>
      <c r="U670" s="110"/>
      <c r="V670" s="110"/>
      <c r="W670" s="110"/>
      <c r="X670" s="110"/>
      <c r="Y670" s="110"/>
      <c r="Z670" s="110"/>
      <c r="AA670" s="110"/>
    </row>
    <row r="671" spans="1:27" ht="15.75" customHeight="1">
      <c r="A671" s="110"/>
      <c r="B671" s="427"/>
      <c r="C671" s="110"/>
      <c r="D671" s="110"/>
      <c r="E671" s="110"/>
      <c r="F671" s="110"/>
      <c r="G671" s="110"/>
      <c r="H671" s="110"/>
      <c r="I671" s="4"/>
      <c r="J671" s="110"/>
      <c r="K671" s="344"/>
      <c r="L671" s="110"/>
      <c r="M671" s="110"/>
      <c r="N671" s="329"/>
      <c r="O671" s="329"/>
      <c r="P671" s="329"/>
      <c r="Q671" s="329"/>
      <c r="R671" s="329"/>
      <c r="S671" s="329"/>
      <c r="T671" s="329"/>
      <c r="U671" s="110"/>
      <c r="V671" s="110"/>
      <c r="W671" s="110"/>
      <c r="X671" s="110"/>
      <c r="Y671" s="110"/>
      <c r="Z671" s="110"/>
      <c r="AA671" s="110"/>
    </row>
    <row r="672" spans="1:27" ht="15.75" customHeight="1">
      <c r="A672" s="110"/>
      <c r="B672" s="427"/>
      <c r="C672" s="110"/>
      <c r="D672" s="110"/>
      <c r="E672" s="110"/>
      <c r="F672" s="110"/>
      <c r="G672" s="110"/>
      <c r="H672" s="110"/>
      <c r="I672" s="4"/>
      <c r="J672" s="110"/>
      <c r="K672" s="344"/>
      <c r="L672" s="110"/>
      <c r="M672" s="110"/>
      <c r="N672" s="329"/>
      <c r="O672" s="329"/>
      <c r="P672" s="329"/>
      <c r="Q672" s="329"/>
      <c r="R672" s="329"/>
      <c r="S672" s="329"/>
      <c r="T672" s="329"/>
      <c r="U672" s="110"/>
      <c r="V672" s="110"/>
      <c r="W672" s="110"/>
      <c r="X672" s="110"/>
      <c r="Y672" s="110"/>
      <c r="Z672" s="110"/>
      <c r="AA672" s="110"/>
    </row>
    <row r="673" spans="1:27" ht="15.75" customHeight="1">
      <c r="A673" s="110"/>
      <c r="B673" s="427"/>
      <c r="C673" s="110"/>
      <c r="D673" s="110"/>
      <c r="E673" s="110"/>
      <c r="F673" s="110"/>
      <c r="G673" s="110"/>
      <c r="H673" s="110"/>
      <c r="I673" s="4"/>
      <c r="J673" s="110"/>
      <c r="K673" s="344"/>
      <c r="L673" s="110"/>
      <c r="M673" s="110"/>
      <c r="N673" s="329"/>
      <c r="O673" s="329"/>
      <c r="P673" s="329"/>
      <c r="Q673" s="329"/>
      <c r="R673" s="329"/>
      <c r="S673" s="329"/>
      <c r="T673" s="329"/>
      <c r="U673" s="110"/>
      <c r="V673" s="110"/>
      <c r="W673" s="110"/>
      <c r="X673" s="110"/>
      <c r="Y673" s="110"/>
      <c r="Z673" s="110"/>
      <c r="AA673" s="110"/>
    </row>
    <row r="674" spans="1:27" ht="15.75" customHeight="1">
      <c r="A674" s="110"/>
      <c r="B674" s="427"/>
      <c r="C674" s="110"/>
      <c r="D674" s="110"/>
      <c r="E674" s="110"/>
      <c r="F674" s="110"/>
      <c r="G674" s="110"/>
      <c r="H674" s="110"/>
      <c r="I674" s="4"/>
      <c r="J674" s="110"/>
      <c r="K674" s="344"/>
      <c r="L674" s="110"/>
      <c r="M674" s="110"/>
      <c r="N674" s="329"/>
      <c r="O674" s="329"/>
      <c r="P674" s="329"/>
      <c r="Q674" s="329"/>
      <c r="R674" s="329"/>
      <c r="S674" s="329"/>
      <c r="T674" s="329"/>
      <c r="U674" s="110"/>
      <c r="V674" s="110"/>
      <c r="W674" s="110"/>
      <c r="X674" s="110"/>
      <c r="Y674" s="110"/>
      <c r="Z674" s="110"/>
      <c r="AA674" s="110"/>
    </row>
    <row r="675" spans="1:27" ht="15.75" customHeight="1">
      <c r="A675" s="110"/>
      <c r="B675" s="427"/>
      <c r="C675" s="110"/>
      <c r="D675" s="110"/>
      <c r="E675" s="110"/>
      <c r="F675" s="110"/>
      <c r="G675" s="110"/>
      <c r="H675" s="110"/>
      <c r="I675" s="4"/>
      <c r="J675" s="110"/>
      <c r="K675" s="344"/>
      <c r="L675" s="110"/>
      <c r="M675" s="110"/>
      <c r="N675" s="329"/>
      <c r="O675" s="329"/>
      <c r="P675" s="329"/>
      <c r="Q675" s="329"/>
      <c r="R675" s="329"/>
      <c r="S675" s="329"/>
      <c r="T675" s="329"/>
      <c r="U675" s="110"/>
      <c r="V675" s="110"/>
      <c r="W675" s="110"/>
      <c r="X675" s="110"/>
      <c r="Y675" s="110"/>
      <c r="Z675" s="110"/>
      <c r="AA675" s="110"/>
    </row>
    <row r="676" spans="1:27" ht="15.75" customHeight="1">
      <c r="A676" s="110"/>
      <c r="B676" s="427"/>
      <c r="C676" s="110"/>
      <c r="D676" s="110"/>
      <c r="E676" s="110"/>
      <c r="F676" s="110"/>
      <c r="G676" s="110"/>
      <c r="H676" s="110"/>
      <c r="I676" s="4"/>
      <c r="J676" s="110"/>
      <c r="K676" s="344"/>
      <c r="L676" s="110"/>
      <c r="M676" s="110"/>
      <c r="N676" s="329"/>
      <c r="O676" s="329"/>
      <c r="P676" s="329"/>
      <c r="Q676" s="329"/>
      <c r="R676" s="329"/>
      <c r="S676" s="329"/>
      <c r="T676" s="329"/>
      <c r="U676" s="110"/>
      <c r="V676" s="110"/>
      <c r="W676" s="110"/>
      <c r="X676" s="110"/>
      <c r="Y676" s="110"/>
      <c r="Z676" s="110"/>
      <c r="AA676" s="110"/>
    </row>
    <row r="677" spans="1:27" ht="15.75" customHeight="1">
      <c r="A677" s="110"/>
      <c r="B677" s="427"/>
      <c r="C677" s="110"/>
      <c r="D677" s="110"/>
      <c r="E677" s="110"/>
      <c r="F677" s="110"/>
      <c r="G677" s="110"/>
      <c r="H677" s="110"/>
      <c r="I677" s="4"/>
      <c r="J677" s="110"/>
      <c r="K677" s="344"/>
      <c r="L677" s="110"/>
      <c r="M677" s="110"/>
      <c r="N677" s="329"/>
      <c r="O677" s="329"/>
      <c r="P677" s="329"/>
      <c r="Q677" s="329"/>
      <c r="R677" s="329"/>
      <c r="S677" s="329"/>
      <c r="T677" s="329"/>
      <c r="U677" s="110"/>
      <c r="V677" s="110"/>
      <c r="W677" s="110"/>
      <c r="X677" s="110"/>
      <c r="Y677" s="110"/>
      <c r="Z677" s="110"/>
      <c r="AA677" s="110"/>
    </row>
    <row r="678" spans="1:27" ht="15.75" customHeight="1">
      <c r="A678" s="110"/>
      <c r="B678" s="427"/>
      <c r="C678" s="110"/>
      <c r="D678" s="110"/>
      <c r="E678" s="110"/>
      <c r="F678" s="110"/>
      <c r="G678" s="110"/>
      <c r="H678" s="110"/>
      <c r="I678" s="4"/>
      <c r="J678" s="110"/>
      <c r="K678" s="344"/>
      <c r="L678" s="110"/>
      <c r="M678" s="110"/>
      <c r="N678" s="329"/>
      <c r="O678" s="329"/>
      <c r="P678" s="329"/>
      <c r="Q678" s="329"/>
      <c r="R678" s="329"/>
      <c r="S678" s="329"/>
      <c r="T678" s="329"/>
      <c r="U678" s="110"/>
      <c r="V678" s="110"/>
      <c r="W678" s="110"/>
      <c r="X678" s="110"/>
      <c r="Y678" s="110"/>
      <c r="Z678" s="110"/>
      <c r="AA678" s="110"/>
    </row>
    <row r="679" spans="1:27" ht="15.75" customHeight="1">
      <c r="A679" s="110"/>
      <c r="B679" s="427"/>
      <c r="C679" s="110"/>
      <c r="D679" s="110"/>
      <c r="E679" s="110"/>
      <c r="F679" s="110"/>
      <c r="G679" s="110"/>
      <c r="H679" s="110"/>
      <c r="I679" s="4"/>
      <c r="J679" s="110"/>
      <c r="K679" s="344"/>
      <c r="L679" s="110"/>
      <c r="M679" s="110"/>
      <c r="N679" s="329"/>
      <c r="O679" s="329"/>
      <c r="P679" s="329"/>
      <c r="Q679" s="329"/>
      <c r="R679" s="329"/>
      <c r="S679" s="329"/>
      <c r="T679" s="329"/>
      <c r="U679" s="110"/>
      <c r="V679" s="110"/>
      <c r="W679" s="110"/>
      <c r="X679" s="110"/>
      <c r="Y679" s="110"/>
      <c r="Z679" s="110"/>
      <c r="AA679" s="110"/>
    </row>
    <row r="680" spans="1:27" ht="15.75" customHeight="1">
      <c r="A680" s="110"/>
      <c r="B680" s="427"/>
      <c r="C680" s="110"/>
      <c r="D680" s="110"/>
      <c r="E680" s="110"/>
      <c r="F680" s="110"/>
      <c r="G680" s="110"/>
      <c r="H680" s="110"/>
      <c r="I680" s="4"/>
      <c r="J680" s="110"/>
      <c r="K680" s="344"/>
      <c r="L680" s="110"/>
      <c r="M680" s="110"/>
      <c r="N680" s="329"/>
      <c r="O680" s="329"/>
      <c r="P680" s="329"/>
      <c r="Q680" s="329"/>
      <c r="R680" s="329"/>
      <c r="S680" s="329"/>
      <c r="T680" s="329"/>
      <c r="U680" s="110"/>
      <c r="V680" s="110"/>
      <c r="W680" s="110"/>
      <c r="X680" s="110"/>
      <c r="Y680" s="110"/>
      <c r="Z680" s="110"/>
      <c r="AA680" s="110"/>
    </row>
    <row r="681" spans="1:27" ht="15.75" customHeight="1">
      <c r="A681" s="110"/>
      <c r="B681" s="427"/>
      <c r="C681" s="110"/>
      <c r="D681" s="110"/>
      <c r="E681" s="110"/>
      <c r="F681" s="110"/>
      <c r="G681" s="110"/>
      <c r="H681" s="110"/>
      <c r="I681" s="4"/>
      <c r="J681" s="110"/>
      <c r="K681" s="344"/>
      <c r="L681" s="110"/>
      <c r="M681" s="110"/>
      <c r="N681" s="329"/>
      <c r="O681" s="329"/>
      <c r="P681" s="329"/>
      <c r="Q681" s="329"/>
      <c r="R681" s="329"/>
      <c r="S681" s="329"/>
      <c r="T681" s="329"/>
      <c r="U681" s="110"/>
      <c r="V681" s="110"/>
      <c r="W681" s="110"/>
      <c r="X681" s="110"/>
      <c r="Y681" s="110"/>
      <c r="Z681" s="110"/>
      <c r="AA681" s="110"/>
    </row>
    <row r="682" spans="1:27" ht="15.75" customHeight="1">
      <c r="A682" s="110"/>
      <c r="B682" s="427"/>
      <c r="C682" s="110"/>
      <c r="D682" s="110"/>
      <c r="E682" s="110"/>
      <c r="F682" s="110"/>
      <c r="G682" s="110"/>
      <c r="H682" s="110"/>
      <c r="I682" s="4"/>
      <c r="J682" s="110"/>
      <c r="K682" s="344"/>
      <c r="L682" s="110"/>
      <c r="M682" s="110"/>
      <c r="N682" s="329"/>
      <c r="O682" s="329"/>
      <c r="P682" s="329"/>
      <c r="Q682" s="329"/>
      <c r="R682" s="329"/>
      <c r="S682" s="329"/>
      <c r="T682" s="329"/>
      <c r="U682" s="110"/>
      <c r="V682" s="110"/>
      <c r="W682" s="110"/>
      <c r="X682" s="110"/>
      <c r="Y682" s="110"/>
      <c r="Z682" s="110"/>
      <c r="AA682" s="110"/>
    </row>
    <row r="683" spans="1:27" ht="15.75" customHeight="1">
      <c r="A683" s="110"/>
      <c r="B683" s="427"/>
      <c r="C683" s="110"/>
      <c r="D683" s="110"/>
      <c r="E683" s="110"/>
      <c r="F683" s="110"/>
      <c r="G683" s="110"/>
      <c r="H683" s="110"/>
      <c r="I683" s="4"/>
      <c r="J683" s="110"/>
      <c r="K683" s="344"/>
      <c r="L683" s="110"/>
      <c r="M683" s="110"/>
      <c r="N683" s="329"/>
      <c r="O683" s="329"/>
      <c r="P683" s="329"/>
      <c r="Q683" s="329"/>
      <c r="R683" s="329"/>
      <c r="S683" s="329"/>
      <c r="T683" s="329"/>
      <c r="U683" s="110"/>
      <c r="V683" s="110"/>
      <c r="W683" s="110"/>
      <c r="X683" s="110"/>
      <c r="Y683" s="110"/>
      <c r="Z683" s="110"/>
      <c r="AA683" s="110"/>
    </row>
    <row r="684" spans="1:27" ht="15.75" customHeight="1">
      <c r="A684" s="110"/>
      <c r="B684" s="427"/>
      <c r="C684" s="110"/>
      <c r="D684" s="110"/>
      <c r="E684" s="110"/>
      <c r="F684" s="110"/>
      <c r="G684" s="110"/>
      <c r="H684" s="110"/>
      <c r="I684" s="4"/>
      <c r="J684" s="110"/>
      <c r="K684" s="344"/>
      <c r="L684" s="110"/>
      <c r="M684" s="110"/>
      <c r="N684" s="329"/>
      <c r="O684" s="329"/>
      <c r="P684" s="329"/>
      <c r="Q684" s="329"/>
      <c r="R684" s="329"/>
      <c r="S684" s="329"/>
      <c r="T684" s="329"/>
      <c r="U684" s="110"/>
      <c r="V684" s="110"/>
      <c r="W684" s="110"/>
      <c r="X684" s="110"/>
      <c r="Y684" s="110"/>
      <c r="Z684" s="110"/>
      <c r="AA684" s="110"/>
    </row>
    <row r="685" spans="1:27" ht="15.75" customHeight="1">
      <c r="A685" s="110"/>
      <c r="B685" s="427"/>
      <c r="C685" s="110"/>
      <c r="D685" s="110"/>
      <c r="E685" s="110"/>
      <c r="F685" s="110"/>
      <c r="G685" s="110"/>
      <c r="H685" s="110"/>
      <c r="I685" s="4"/>
      <c r="J685" s="110"/>
      <c r="K685" s="344"/>
      <c r="L685" s="110"/>
      <c r="M685" s="110"/>
      <c r="N685" s="329"/>
      <c r="O685" s="329"/>
      <c r="P685" s="329"/>
      <c r="Q685" s="329"/>
      <c r="R685" s="329"/>
      <c r="S685" s="329"/>
      <c r="T685" s="329"/>
      <c r="U685" s="110"/>
      <c r="V685" s="110"/>
      <c r="W685" s="110"/>
      <c r="X685" s="110"/>
      <c r="Y685" s="110"/>
      <c r="Z685" s="110"/>
      <c r="AA685" s="110"/>
    </row>
    <row r="686" spans="1:27" ht="15.75" customHeight="1">
      <c r="A686" s="110"/>
      <c r="B686" s="427"/>
      <c r="C686" s="110"/>
      <c r="D686" s="110"/>
      <c r="E686" s="110"/>
      <c r="F686" s="110"/>
      <c r="G686" s="110"/>
      <c r="H686" s="110"/>
      <c r="I686" s="4"/>
      <c r="J686" s="110"/>
      <c r="K686" s="344"/>
      <c r="L686" s="110"/>
      <c r="M686" s="110"/>
      <c r="N686" s="329"/>
      <c r="O686" s="329"/>
      <c r="P686" s="329"/>
      <c r="Q686" s="329"/>
      <c r="R686" s="329"/>
      <c r="S686" s="329"/>
      <c r="T686" s="329"/>
      <c r="U686" s="110"/>
      <c r="V686" s="110"/>
      <c r="W686" s="110"/>
      <c r="X686" s="110"/>
      <c r="Y686" s="110"/>
      <c r="Z686" s="110"/>
      <c r="AA686" s="110"/>
    </row>
    <row r="687" spans="1:27" ht="15.75" customHeight="1">
      <c r="A687" s="110"/>
      <c r="B687" s="427"/>
      <c r="C687" s="110"/>
      <c r="D687" s="110"/>
      <c r="E687" s="110"/>
      <c r="F687" s="110"/>
      <c r="G687" s="110"/>
      <c r="H687" s="110"/>
      <c r="I687" s="4"/>
      <c r="J687" s="110"/>
      <c r="K687" s="344"/>
      <c r="L687" s="110"/>
      <c r="M687" s="110"/>
      <c r="N687" s="329"/>
      <c r="O687" s="329"/>
      <c r="P687" s="329"/>
      <c r="Q687" s="329"/>
      <c r="R687" s="329"/>
      <c r="S687" s="329"/>
      <c r="T687" s="329"/>
      <c r="U687" s="110"/>
      <c r="V687" s="110"/>
      <c r="W687" s="110"/>
      <c r="X687" s="110"/>
      <c r="Y687" s="110"/>
      <c r="Z687" s="110"/>
      <c r="AA687" s="110"/>
    </row>
    <row r="688" spans="1:27" ht="15.75" customHeight="1">
      <c r="A688" s="110"/>
      <c r="B688" s="427"/>
      <c r="C688" s="110"/>
      <c r="D688" s="110"/>
      <c r="E688" s="110"/>
      <c r="F688" s="110"/>
      <c r="G688" s="110"/>
      <c r="H688" s="110"/>
      <c r="I688" s="4"/>
      <c r="J688" s="110"/>
      <c r="K688" s="344"/>
      <c r="L688" s="110"/>
      <c r="M688" s="110"/>
      <c r="N688" s="329"/>
      <c r="O688" s="329"/>
      <c r="P688" s="329"/>
      <c r="Q688" s="329"/>
      <c r="R688" s="329"/>
      <c r="S688" s="329"/>
      <c r="T688" s="329"/>
      <c r="U688" s="110"/>
      <c r="V688" s="110"/>
      <c r="W688" s="110"/>
      <c r="X688" s="110"/>
      <c r="Y688" s="110"/>
      <c r="Z688" s="110"/>
      <c r="AA688" s="110"/>
    </row>
    <row r="689" spans="1:27" ht="15.75" customHeight="1">
      <c r="A689" s="110"/>
      <c r="B689" s="427"/>
      <c r="C689" s="110"/>
      <c r="D689" s="110"/>
      <c r="E689" s="110"/>
      <c r="F689" s="110"/>
      <c r="G689" s="110"/>
      <c r="H689" s="110"/>
      <c r="I689" s="4"/>
      <c r="J689" s="110"/>
      <c r="K689" s="344"/>
      <c r="L689" s="110"/>
      <c r="M689" s="110"/>
      <c r="N689" s="329"/>
      <c r="O689" s="329"/>
      <c r="P689" s="329"/>
      <c r="Q689" s="329"/>
      <c r="R689" s="329"/>
      <c r="S689" s="329"/>
      <c r="T689" s="329"/>
      <c r="U689" s="110"/>
      <c r="V689" s="110"/>
      <c r="W689" s="110"/>
      <c r="X689" s="110"/>
      <c r="Y689" s="110"/>
      <c r="Z689" s="110"/>
      <c r="AA689" s="110"/>
    </row>
    <row r="690" spans="1:27" ht="15.75" customHeight="1">
      <c r="A690" s="110"/>
      <c r="B690" s="427"/>
      <c r="C690" s="110"/>
      <c r="D690" s="110"/>
      <c r="E690" s="110"/>
      <c r="F690" s="110"/>
      <c r="G690" s="110"/>
      <c r="H690" s="110"/>
      <c r="I690" s="4"/>
      <c r="J690" s="110"/>
      <c r="K690" s="344"/>
      <c r="L690" s="110"/>
      <c r="M690" s="110"/>
      <c r="N690" s="329"/>
      <c r="O690" s="329"/>
      <c r="P690" s="329"/>
      <c r="Q690" s="329"/>
      <c r="R690" s="329"/>
      <c r="S690" s="329"/>
      <c r="T690" s="329"/>
      <c r="U690" s="110"/>
      <c r="V690" s="110"/>
      <c r="W690" s="110"/>
      <c r="X690" s="110"/>
      <c r="Y690" s="110"/>
      <c r="Z690" s="110"/>
      <c r="AA690" s="110"/>
    </row>
    <row r="691" spans="1:27" ht="15.75" customHeight="1">
      <c r="A691" s="110"/>
      <c r="B691" s="427"/>
      <c r="C691" s="110"/>
      <c r="D691" s="110"/>
      <c r="E691" s="110"/>
      <c r="F691" s="110"/>
      <c r="G691" s="110"/>
      <c r="H691" s="110"/>
      <c r="I691" s="4"/>
      <c r="J691" s="110"/>
      <c r="K691" s="344"/>
      <c r="L691" s="110"/>
      <c r="M691" s="110"/>
      <c r="N691" s="329"/>
      <c r="O691" s="329"/>
      <c r="P691" s="329"/>
      <c r="Q691" s="329"/>
      <c r="R691" s="329"/>
      <c r="S691" s="329"/>
      <c r="T691" s="329"/>
      <c r="U691" s="110"/>
      <c r="V691" s="110"/>
      <c r="W691" s="110"/>
      <c r="X691" s="110"/>
      <c r="Y691" s="110"/>
      <c r="Z691" s="110"/>
      <c r="AA691" s="110"/>
    </row>
    <row r="692" spans="1:27" ht="15.75" customHeight="1">
      <c r="A692" s="110"/>
      <c r="B692" s="427"/>
      <c r="C692" s="110"/>
      <c r="D692" s="110"/>
      <c r="E692" s="110"/>
      <c r="F692" s="110"/>
      <c r="G692" s="110"/>
      <c r="H692" s="110"/>
      <c r="I692" s="4"/>
      <c r="J692" s="110"/>
      <c r="K692" s="344"/>
      <c r="L692" s="110"/>
      <c r="M692" s="110"/>
      <c r="N692" s="329"/>
      <c r="O692" s="329"/>
      <c r="P692" s="329"/>
      <c r="Q692" s="329"/>
      <c r="R692" s="329"/>
      <c r="S692" s="329"/>
      <c r="T692" s="329"/>
      <c r="U692" s="110"/>
      <c r="V692" s="110"/>
      <c r="W692" s="110"/>
      <c r="X692" s="110"/>
      <c r="Y692" s="110"/>
      <c r="Z692" s="110"/>
      <c r="AA692" s="110"/>
    </row>
    <row r="693" spans="1:27" ht="15.75" customHeight="1">
      <c r="A693" s="110"/>
      <c r="B693" s="427"/>
      <c r="C693" s="110"/>
      <c r="D693" s="110"/>
      <c r="E693" s="110"/>
      <c r="F693" s="110"/>
      <c r="G693" s="110"/>
      <c r="H693" s="110"/>
      <c r="I693" s="4"/>
      <c r="J693" s="110"/>
      <c r="K693" s="344"/>
      <c r="L693" s="110"/>
      <c r="M693" s="110"/>
      <c r="N693" s="329"/>
      <c r="O693" s="329"/>
      <c r="P693" s="329"/>
      <c r="Q693" s="329"/>
      <c r="R693" s="329"/>
      <c r="S693" s="329"/>
      <c r="T693" s="329"/>
      <c r="U693" s="110"/>
      <c r="V693" s="110"/>
      <c r="W693" s="110"/>
      <c r="X693" s="110"/>
      <c r="Y693" s="110"/>
      <c r="Z693" s="110"/>
      <c r="AA693" s="110"/>
    </row>
    <row r="694" spans="1:27" ht="15.75" customHeight="1">
      <c r="A694" s="110"/>
      <c r="B694" s="427"/>
      <c r="C694" s="110"/>
      <c r="D694" s="110"/>
      <c r="E694" s="110"/>
      <c r="F694" s="110"/>
      <c r="G694" s="110"/>
      <c r="H694" s="110"/>
      <c r="I694" s="4"/>
      <c r="J694" s="110"/>
      <c r="K694" s="344"/>
      <c r="L694" s="110"/>
      <c r="M694" s="110"/>
      <c r="N694" s="329"/>
      <c r="O694" s="329"/>
      <c r="P694" s="329"/>
      <c r="Q694" s="329"/>
      <c r="R694" s="329"/>
      <c r="S694" s="329"/>
      <c r="T694" s="329"/>
      <c r="U694" s="110"/>
      <c r="V694" s="110"/>
      <c r="W694" s="110"/>
      <c r="X694" s="110"/>
      <c r="Y694" s="110"/>
      <c r="Z694" s="110"/>
      <c r="AA694" s="110"/>
    </row>
    <row r="695" spans="1:27" ht="15.75" customHeight="1">
      <c r="A695" s="110"/>
      <c r="B695" s="427"/>
      <c r="C695" s="110"/>
      <c r="D695" s="110"/>
      <c r="E695" s="110"/>
      <c r="F695" s="110"/>
      <c r="G695" s="110"/>
      <c r="H695" s="110"/>
      <c r="I695" s="4"/>
      <c r="J695" s="110"/>
      <c r="K695" s="344"/>
      <c r="L695" s="110"/>
      <c r="M695" s="110"/>
      <c r="N695" s="329"/>
      <c r="O695" s="329"/>
      <c r="P695" s="329"/>
      <c r="Q695" s="329"/>
      <c r="R695" s="329"/>
      <c r="S695" s="329"/>
      <c r="T695" s="329"/>
      <c r="U695" s="110"/>
      <c r="V695" s="110"/>
      <c r="W695" s="110"/>
      <c r="X695" s="110"/>
      <c r="Y695" s="110"/>
      <c r="Z695" s="110"/>
      <c r="AA695" s="110"/>
    </row>
    <row r="696" spans="1:27" ht="15.75" customHeight="1">
      <c r="A696" s="110"/>
      <c r="B696" s="427"/>
      <c r="C696" s="110"/>
      <c r="D696" s="110"/>
      <c r="E696" s="110"/>
      <c r="F696" s="110"/>
      <c r="G696" s="110"/>
      <c r="H696" s="110"/>
      <c r="I696" s="4"/>
      <c r="J696" s="110"/>
      <c r="K696" s="344"/>
      <c r="L696" s="110"/>
      <c r="M696" s="110"/>
      <c r="N696" s="329"/>
      <c r="O696" s="329"/>
      <c r="P696" s="329"/>
      <c r="Q696" s="329"/>
      <c r="R696" s="329"/>
      <c r="S696" s="329"/>
      <c r="T696" s="329"/>
      <c r="U696" s="110"/>
      <c r="V696" s="110"/>
      <c r="W696" s="110"/>
      <c r="X696" s="110"/>
      <c r="Y696" s="110"/>
      <c r="Z696" s="110"/>
      <c r="AA696" s="110"/>
    </row>
    <row r="697" spans="1:27" ht="15.75" customHeight="1">
      <c r="A697" s="110"/>
      <c r="B697" s="427"/>
      <c r="C697" s="110"/>
      <c r="D697" s="110"/>
      <c r="E697" s="110"/>
      <c r="F697" s="110"/>
      <c r="G697" s="110"/>
      <c r="H697" s="110"/>
      <c r="I697" s="4"/>
      <c r="J697" s="110"/>
      <c r="K697" s="344"/>
      <c r="L697" s="110"/>
      <c r="M697" s="110"/>
      <c r="N697" s="329"/>
      <c r="O697" s="329"/>
      <c r="P697" s="329"/>
      <c r="Q697" s="329"/>
      <c r="R697" s="329"/>
      <c r="S697" s="329"/>
      <c r="T697" s="329"/>
      <c r="U697" s="110"/>
      <c r="V697" s="110"/>
      <c r="W697" s="110"/>
      <c r="X697" s="110"/>
      <c r="Y697" s="110"/>
      <c r="Z697" s="110"/>
      <c r="AA697" s="110"/>
    </row>
    <row r="698" spans="1:27" ht="15.75" customHeight="1">
      <c r="A698" s="110"/>
      <c r="B698" s="427"/>
      <c r="C698" s="110"/>
      <c r="D698" s="110"/>
      <c r="E698" s="110"/>
      <c r="F698" s="110"/>
      <c r="G698" s="110"/>
      <c r="H698" s="110"/>
      <c r="I698" s="4"/>
      <c r="J698" s="110"/>
      <c r="K698" s="344"/>
      <c r="L698" s="110"/>
      <c r="M698" s="110"/>
      <c r="N698" s="329"/>
      <c r="O698" s="329"/>
      <c r="P698" s="329"/>
      <c r="Q698" s="329"/>
      <c r="R698" s="329"/>
      <c r="S698" s="329"/>
      <c r="T698" s="329"/>
      <c r="U698" s="110"/>
      <c r="V698" s="110"/>
      <c r="W698" s="110"/>
      <c r="X698" s="110"/>
      <c r="Y698" s="110"/>
      <c r="Z698" s="110"/>
      <c r="AA698" s="110"/>
    </row>
    <row r="699" spans="1:27" ht="15.75" customHeight="1">
      <c r="A699" s="110"/>
      <c r="B699" s="427"/>
      <c r="C699" s="110"/>
      <c r="D699" s="110"/>
      <c r="E699" s="110"/>
      <c r="F699" s="110"/>
      <c r="G699" s="110"/>
      <c r="H699" s="110"/>
      <c r="I699" s="4"/>
      <c r="J699" s="110"/>
      <c r="K699" s="344"/>
      <c r="L699" s="110"/>
      <c r="M699" s="110"/>
      <c r="N699" s="329"/>
      <c r="O699" s="329"/>
      <c r="P699" s="329"/>
      <c r="Q699" s="329"/>
      <c r="R699" s="329"/>
      <c r="S699" s="329"/>
      <c r="T699" s="329"/>
      <c r="U699" s="110"/>
      <c r="V699" s="110"/>
      <c r="W699" s="110"/>
      <c r="X699" s="110"/>
      <c r="Y699" s="110"/>
      <c r="Z699" s="110"/>
      <c r="AA699" s="110"/>
    </row>
    <row r="700" spans="1:27" ht="15.75" customHeight="1">
      <c r="A700" s="110"/>
      <c r="B700" s="427"/>
      <c r="C700" s="110"/>
      <c r="D700" s="110"/>
      <c r="E700" s="110"/>
      <c r="F700" s="110"/>
      <c r="G700" s="110"/>
      <c r="H700" s="110"/>
      <c r="I700" s="4"/>
      <c r="J700" s="110"/>
      <c r="K700" s="344"/>
      <c r="L700" s="110"/>
      <c r="M700" s="110"/>
      <c r="N700" s="329"/>
      <c r="O700" s="329"/>
      <c r="P700" s="329"/>
      <c r="Q700" s="329"/>
      <c r="R700" s="329"/>
      <c r="S700" s="329"/>
      <c r="T700" s="329"/>
      <c r="U700" s="110"/>
      <c r="V700" s="110"/>
      <c r="W700" s="110"/>
      <c r="X700" s="110"/>
      <c r="Y700" s="110"/>
      <c r="Z700" s="110"/>
      <c r="AA700" s="110"/>
    </row>
    <row r="701" spans="1:27" ht="15.75" customHeight="1">
      <c r="A701" s="110"/>
      <c r="B701" s="427"/>
      <c r="C701" s="110"/>
      <c r="D701" s="110"/>
      <c r="E701" s="110"/>
      <c r="F701" s="110"/>
      <c r="G701" s="110"/>
      <c r="H701" s="110"/>
      <c r="I701" s="4"/>
      <c r="J701" s="110"/>
      <c r="K701" s="344"/>
      <c r="L701" s="110"/>
      <c r="M701" s="110"/>
      <c r="N701" s="329"/>
      <c r="O701" s="329"/>
      <c r="P701" s="329"/>
      <c r="Q701" s="329"/>
      <c r="R701" s="329"/>
      <c r="S701" s="329"/>
      <c r="T701" s="329"/>
      <c r="U701" s="110"/>
      <c r="V701" s="110"/>
      <c r="W701" s="110"/>
      <c r="X701" s="110"/>
      <c r="Y701" s="110"/>
      <c r="Z701" s="110"/>
      <c r="AA701" s="110"/>
    </row>
    <row r="702" spans="1:27" ht="15.75" customHeight="1">
      <c r="A702" s="110"/>
      <c r="B702" s="427"/>
      <c r="C702" s="110"/>
      <c r="D702" s="110"/>
      <c r="E702" s="110"/>
      <c r="F702" s="110"/>
      <c r="G702" s="110"/>
      <c r="H702" s="110"/>
      <c r="I702" s="4"/>
      <c r="J702" s="110"/>
      <c r="K702" s="344"/>
      <c r="L702" s="110"/>
      <c r="M702" s="110"/>
      <c r="N702" s="329"/>
      <c r="O702" s="329"/>
      <c r="P702" s="329"/>
      <c r="Q702" s="329"/>
      <c r="R702" s="329"/>
      <c r="S702" s="329"/>
      <c r="T702" s="329"/>
      <c r="U702" s="110"/>
      <c r="V702" s="110"/>
      <c r="W702" s="110"/>
      <c r="X702" s="110"/>
      <c r="Y702" s="110"/>
      <c r="Z702" s="110"/>
      <c r="AA702" s="110"/>
    </row>
    <row r="703" spans="1:27" ht="15.75" customHeight="1">
      <c r="A703" s="110"/>
      <c r="B703" s="427"/>
      <c r="C703" s="110"/>
      <c r="D703" s="110"/>
      <c r="E703" s="110"/>
      <c r="F703" s="110"/>
      <c r="G703" s="110"/>
      <c r="H703" s="110"/>
      <c r="I703" s="4"/>
      <c r="J703" s="110"/>
      <c r="K703" s="344"/>
      <c r="L703" s="110"/>
      <c r="M703" s="110"/>
      <c r="N703" s="329"/>
      <c r="O703" s="329"/>
      <c r="P703" s="329"/>
      <c r="Q703" s="329"/>
      <c r="R703" s="329"/>
      <c r="S703" s="329"/>
      <c r="T703" s="329"/>
      <c r="U703" s="110"/>
      <c r="V703" s="110"/>
      <c r="W703" s="110"/>
      <c r="X703" s="110"/>
      <c r="Y703" s="110"/>
      <c r="Z703" s="110"/>
      <c r="AA703" s="110"/>
    </row>
    <row r="704" spans="1:27" ht="15.75" customHeight="1">
      <c r="A704" s="110"/>
      <c r="B704" s="427"/>
      <c r="C704" s="110"/>
      <c r="D704" s="110"/>
      <c r="E704" s="110"/>
      <c r="F704" s="110"/>
      <c r="G704" s="110"/>
      <c r="H704" s="110"/>
      <c r="I704" s="4"/>
      <c r="J704" s="110"/>
      <c r="K704" s="344"/>
      <c r="L704" s="110"/>
      <c r="M704" s="110"/>
      <c r="N704" s="329"/>
      <c r="O704" s="329"/>
      <c r="P704" s="329"/>
      <c r="Q704" s="329"/>
      <c r="R704" s="329"/>
      <c r="S704" s="329"/>
      <c r="T704" s="329"/>
      <c r="U704" s="110"/>
      <c r="V704" s="110"/>
      <c r="W704" s="110"/>
      <c r="X704" s="110"/>
      <c r="Y704" s="110"/>
      <c r="Z704" s="110"/>
      <c r="AA704" s="110"/>
    </row>
    <row r="705" spans="1:27" ht="15.75" customHeight="1">
      <c r="A705" s="110"/>
      <c r="B705" s="427"/>
      <c r="C705" s="110"/>
      <c r="D705" s="110"/>
      <c r="E705" s="110"/>
      <c r="F705" s="110"/>
      <c r="G705" s="110"/>
      <c r="H705" s="110"/>
      <c r="I705" s="4"/>
      <c r="J705" s="110"/>
      <c r="K705" s="344"/>
      <c r="L705" s="110"/>
      <c r="M705" s="110"/>
      <c r="N705" s="329"/>
      <c r="O705" s="329"/>
      <c r="P705" s="329"/>
      <c r="Q705" s="329"/>
      <c r="R705" s="329"/>
      <c r="S705" s="329"/>
      <c r="T705" s="329"/>
      <c r="U705" s="110"/>
      <c r="V705" s="110"/>
      <c r="W705" s="110"/>
      <c r="X705" s="110"/>
      <c r="Y705" s="110"/>
      <c r="Z705" s="110"/>
      <c r="AA705" s="110"/>
    </row>
    <row r="706" spans="1:27" ht="15.75" customHeight="1">
      <c r="A706" s="110"/>
      <c r="B706" s="427"/>
      <c r="C706" s="110"/>
      <c r="D706" s="110"/>
      <c r="E706" s="110"/>
      <c r="F706" s="110"/>
      <c r="G706" s="110"/>
      <c r="H706" s="110"/>
      <c r="I706" s="4"/>
      <c r="J706" s="110"/>
      <c r="K706" s="344"/>
      <c r="L706" s="110"/>
      <c r="M706" s="110"/>
      <c r="N706" s="329"/>
      <c r="O706" s="329"/>
      <c r="P706" s="329"/>
      <c r="Q706" s="329"/>
      <c r="R706" s="329"/>
      <c r="S706" s="329"/>
      <c r="T706" s="329"/>
      <c r="U706" s="110"/>
      <c r="V706" s="110"/>
      <c r="W706" s="110"/>
      <c r="X706" s="110"/>
      <c r="Y706" s="110"/>
      <c r="Z706" s="110"/>
      <c r="AA706" s="110"/>
    </row>
    <row r="707" spans="1:27" ht="15.75" customHeight="1">
      <c r="A707" s="110"/>
      <c r="B707" s="427"/>
      <c r="C707" s="110"/>
      <c r="D707" s="110"/>
      <c r="E707" s="110"/>
      <c r="F707" s="110"/>
      <c r="G707" s="110"/>
      <c r="H707" s="110"/>
      <c r="I707" s="4"/>
      <c r="J707" s="110"/>
      <c r="K707" s="344"/>
      <c r="L707" s="110"/>
      <c r="M707" s="110"/>
      <c r="N707" s="329"/>
      <c r="O707" s="329"/>
      <c r="P707" s="329"/>
      <c r="Q707" s="329"/>
      <c r="R707" s="329"/>
      <c r="S707" s="329"/>
      <c r="T707" s="329"/>
      <c r="U707" s="110"/>
      <c r="V707" s="110"/>
      <c r="W707" s="110"/>
      <c r="X707" s="110"/>
      <c r="Y707" s="110"/>
      <c r="Z707" s="110"/>
      <c r="AA707" s="110"/>
    </row>
    <row r="708" spans="1:27" ht="15.75" customHeight="1">
      <c r="A708" s="110"/>
      <c r="B708" s="427"/>
      <c r="C708" s="110"/>
      <c r="D708" s="110"/>
      <c r="E708" s="110"/>
      <c r="F708" s="110"/>
      <c r="G708" s="110"/>
      <c r="H708" s="110"/>
      <c r="I708" s="4"/>
      <c r="J708" s="110"/>
      <c r="K708" s="344"/>
      <c r="L708" s="110"/>
      <c r="M708" s="110"/>
      <c r="N708" s="329"/>
      <c r="O708" s="329"/>
      <c r="P708" s="329"/>
      <c r="Q708" s="329"/>
      <c r="R708" s="329"/>
      <c r="S708" s="329"/>
      <c r="T708" s="329"/>
      <c r="U708" s="110"/>
      <c r="V708" s="110"/>
      <c r="W708" s="110"/>
      <c r="X708" s="110"/>
      <c r="Y708" s="110"/>
      <c r="Z708" s="110"/>
      <c r="AA708" s="110"/>
    </row>
    <row r="709" spans="1:27" ht="15.75" customHeight="1">
      <c r="A709" s="110"/>
      <c r="B709" s="427"/>
      <c r="C709" s="110"/>
      <c r="D709" s="110"/>
      <c r="E709" s="110"/>
      <c r="F709" s="110"/>
      <c r="G709" s="110"/>
      <c r="H709" s="110"/>
      <c r="I709" s="4"/>
      <c r="J709" s="110"/>
      <c r="K709" s="344"/>
      <c r="L709" s="110"/>
      <c r="M709" s="110"/>
      <c r="N709" s="329"/>
      <c r="O709" s="329"/>
      <c r="P709" s="329"/>
      <c r="Q709" s="329"/>
      <c r="R709" s="329"/>
      <c r="S709" s="329"/>
      <c r="T709" s="329"/>
      <c r="U709" s="110"/>
      <c r="V709" s="110"/>
      <c r="W709" s="110"/>
      <c r="X709" s="110"/>
      <c r="Y709" s="110"/>
      <c r="Z709" s="110"/>
      <c r="AA709" s="110"/>
    </row>
    <row r="710" spans="1:27" ht="15.75" customHeight="1">
      <c r="A710" s="110"/>
      <c r="B710" s="427"/>
      <c r="C710" s="110"/>
      <c r="D710" s="110"/>
      <c r="E710" s="110"/>
      <c r="F710" s="110"/>
      <c r="G710" s="110"/>
      <c r="H710" s="110"/>
      <c r="I710" s="4"/>
      <c r="J710" s="110"/>
      <c r="K710" s="344"/>
      <c r="L710" s="110"/>
      <c r="M710" s="110"/>
      <c r="N710" s="329"/>
      <c r="O710" s="329"/>
      <c r="P710" s="329"/>
      <c r="Q710" s="329"/>
      <c r="R710" s="329"/>
      <c r="S710" s="329"/>
      <c r="T710" s="329"/>
      <c r="U710" s="110"/>
      <c r="V710" s="110"/>
      <c r="W710" s="110"/>
      <c r="X710" s="110"/>
      <c r="Y710" s="110"/>
      <c r="Z710" s="110"/>
      <c r="AA710" s="110"/>
    </row>
    <row r="711" spans="1:27" ht="15.75" customHeight="1">
      <c r="A711" s="110"/>
      <c r="B711" s="427"/>
      <c r="C711" s="110"/>
      <c r="D711" s="110"/>
      <c r="E711" s="110"/>
      <c r="F711" s="110"/>
      <c r="G711" s="110"/>
      <c r="H711" s="110"/>
      <c r="I711" s="4"/>
      <c r="J711" s="110"/>
      <c r="K711" s="344"/>
      <c r="L711" s="110"/>
      <c r="M711" s="110"/>
      <c r="N711" s="329"/>
      <c r="O711" s="329"/>
      <c r="P711" s="329"/>
      <c r="Q711" s="329"/>
      <c r="R711" s="329"/>
      <c r="S711" s="329"/>
      <c r="T711" s="329"/>
      <c r="U711" s="110"/>
      <c r="V711" s="110"/>
      <c r="W711" s="110"/>
      <c r="X711" s="110"/>
      <c r="Y711" s="110"/>
      <c r="Z711" s="110"/>
      <c r="AA711" s="110"/>
    </row>
    <row r="712" spans="1:27" ht="15.75" customHeight="1">
      <c r="A712" s="110"/>
      <c r="B712" s="427"/>
      <c r="C712" s="110"/>
      <c r="D712" s="110"/>
      <c r="E712" s="110"/>
      <c r="F712" s="110"/>
      <c r="G712" s="110"/>
      <c r="H712" s="110"/>
      <c r="I712" s="4"/>
      <c r="J712" s="110"/>
      <c r="K712" s="344"/>
      <c r="L712" s="110"/>
      <c r="M712" s="110"/>
      <c r="N712" s="329"/>
      <c r="O712" s="329"/>
      <c r="P712" s="329"/>
      <c r="Q712" s="329"/>
      <c r="R712" s="329"/>
      <c r="S712" s="329"/>
      <c r="T712" s="329"/>
      <c r="U712" s="110"/>
      <c r="V712" s="110"/>
      <c r="W712" s="110"/>
      <c r="X712" s="110"/>
      <c r="Y712" s="110"/>
      <c r="Z712" s="110"/>
      <c r="AA712" s="110"/>
    </row>
    <row r="713" spans="1:27" ht="15.75" customHeight="1">
      <c r="A713" s="110"/>
      <c r="B713" s="427"/>
      <c r="C713" s="110"/>
      <c r="D713" s="110"/>
      <c r="E713" s="110"/>
      <c r="F713" s="110"/>
      <c r="G713" s="110"/>
      <c r="H713" s="110"/>
      <c r="I713" s="4"/>
      <c r="J713" s="110"/>
      <c r="K713" s="344"/>
      <c r="L713" s="110"/>
      <c r="M713" s="110"/>
      <c r="N713" s="329"/>
      <c r="O713" s="329"/>
      <c r="P713" s="329"/>
      <c r="Q713" s="329"/>
      <c r="R713" s="329"/>
      <c r="S713" s="329"/>
      <c r="T713" s="329"/>
      <c r="U713" s="110"/>
      <c r="V713" s="110"/>
      <c r="W713" s="110"/>
      <c r="X713" s="110"/>
      <c r="Y713" s="110"/>
      <c r="Z713" s="110"/>
      <c r="AA713" s="110"/>
    </row>
    <row r="714" spans="1:27" ht="15.75" customHeight="1">
      <c r="A714" s="110"/>
      <c r="B714" s="427"/>
      <c r="C714" s="110"/>
      <c r="D714" s="110"/>
      <c r="E714" s="110"/>
      <c r="F714" s="110"/>
      <c r="G714" s="110"/>
      <c r="H714" s="110"/>
      <c r="I714" s="4"/>
      <c r="J714" s="110"/>
      <c r="K714" s="344"/>
      <c r="L714" s="110"/>
      <c r="M714" s="110"/>
      <c r="N714" s="329"/>
      <c r="O714" s="329"/>
      <c r="P714" s="329"/>
      <c r="Q714" s="329"/>
      <c r="R714" s="329"/>
      <c r="S714" s="329"/>
      <c r="T714" s="329"/>
      <c r="U714" s="110"/>
      <c r="V714" s="110"/>
      <c r="W714" s="110"/>
      <c r="X714" s="110"/>
      <c r="Y714" s="110"/>
      <c r="Z714" s="110"/>
      <c r="AA714" s="110"/>
    </row>
    <row r="715" spans="1:27" ht="15.75" customHeight="1">
      <c r="A715" s="110"/>
      <c r="B715" s="427"/>
      <c r="C715" s="110"/>
      <c r="D715" s="110"/>
      <c r="E715" s="110"/>
      <c r="F715" s="110"/>
      <c r="G715" s="110"/>
      <c r="H715" s="110"/>
      <c r="I715" s="4"/>
      <c r="J715" s="110"/>
      <c r="K715" s="344"/>
      <c r="L715" s="110"/>
      <c r="M715" s="110"/>
      <c r="N715" s="329"/>
      <c r="O715" s="329"/>
      <c r="P715" s="329"/>
      <c r="Q715" s="329"/>
      <c r="R715" s="329"/>
      <c r="S715" s="329"/>
      <c r="T715" s="329"/>
      <c r="U715" s="110"/>
      <c r="V715" s="110"/>
      <c r="W715" s="110"/>
      <c r="X715" s="110"/>
      <c r="Y715" s="110"/>
      <c r="Z715" s="110"/>
      <c r="AA715" s="110"/>
    </row>
    <row r="716" spans="1:27" ht="15.75" customHeight="1">
      <c r="A716" s="110"/>
      <c r="B716" s="427"/>
      <c r="C716" s="110"/>
      <c r="D716" s="110"/>
      <c r="E716" s="110"/>
      <c r="F716" s="110"/>
      <c r="G716" s="110"/>
      <c r="H716" s="110"/>
      <c r="I716" s="4"/>
      <c r="J716" s="110"/>
      <c r="K716" s="344"/>
      <c r="L716" s="110"/>
      <c r="M716" s="110"/>
      <c r="N716" s="329"/>
      <c r="O716" s="329"/>
      <c r="P716" s="329"/>
      <c r="Q716" s="329"/>
      <c r="R716" s="329"/>
      <c r="S716" s="329"/>
      <c r="T716" s="329"/>
      <c r="U716" s="110"/>
      <c r="V716" s="110"/>
      <c r="W716" s="110"/>
      <c r="X716" s="110"/>
      <c r="Y716" s="110"/>
      <c r="Z716" s="110"/>
      <c r="AA716" s="110"/>
    </row>
    <row r="717" spans="1:27" ht="15.75" customHeight="1">
      <c r="A717" s="110"/>
      <c r="B717" s="427"/>
      <c r="C717" s="110"/>
      <c r="D717" s="110"/>
      <c r="E717" s="110"/>
      <c r="F717" s="110"/>
      <c r="G717" s="110"/>
      <c r="H717" s="110"/>
      <c r="I717" s="4"/>
      <c r="J717" s="110"/>
      <c r="K717" s="344"/>
      <c r="L717" s="110"/>
      <c r="M717" s="110"/>
      <c r="N717" s="329"/>
      <c r="O717" s="329"/>
      <c r="P717" s="329"/>
      <c r="Q717" s="329"/>
      <c r="R717" s="329"/>
      <c r="S717" s="329"/>
      <c r="T717" s="329"/>
      <c r="U717" s="110"/>
      <c r="V717" s="110"/>
      <c r="W717" s="110"/>
      <c r="X717" s="110"/>
      <c r="Y717" s="110"/>
      <c r="Z717" s="110"/>
      <c r="AA717" s="110"/>
    </row>
    <row r="718" spans="1:27" ht="15.75" customHeight="1">
      <c r="A718" s="110"/>
      <c r="B718" s="427"/>
      <c r="C718" s="110"/>
      <c r="D718" s="110"/>
      <c r="E718" s="110"/>
      <c r="F718" s="110"/>
      <c r="G718" s="110"/>
      <c r="H718" s="110"/>
      <c r="I718" s="4"/>
      <c r="J718" s="110"/>
      <c r="K718" s="344"/>
      <c r="L718" s="110"/>
      <c r="M718" s="110"/>
      <c r="N718" s="329"/>
      <c r="O718" s="329"/>
      <c r="P718" s="329"/>
      <c r="Q718" s="329"/>
      <c r="R718" s="329"/>
      <c r="S718" s="329"/>
      <c r="T718" s="329"/>
      <c r="U718" s="110"/>
      <c r="V718" s="110"/>
      <c r="W718" s="110"/>
      <c r="X718" s="110"/>
      <c r="Y718" s="110"/>
      <c r="Z718" s="110"/>
      <c r="AA718" s="110"/>
    </row>
    <row r="719" spans="1:27" ht="15.75" customHeight="1">
      <c r="A719" s="110"/>
      <c r="B719" s="427"/>
      <c r="C719" s="110"/>
      <c r="D719" s="110"/>
      <c r="E719" s="110"/>
      <c r="F719" s="110"/>
      <c r="G719" s="110"/>
      <c r="H719" s="110"/>
      <c r="I719" s="4"/>
      <c r="J719" s="110"/>
      <c r="K719" s="344"/>
      <c r="L719" s="110"/>
      <c r="M719" s="110"/>
      <c r="N719" s="329"/>
      <c r="O719" s="329"/>
      <c r="P719" s="329"/>
      <c r="Q719" s="329"/>
      <c r="R719" s="329"/>
      <c r="S719" s="329"/>
      <c r="T719" s="329"/>
      <c r="U719" s="110"/>
      <c r="V719" s="110"/>
      <c r="W719" s="110"/>
      <c r="X719" s="110"/>
      <c r="Y719" s="110"/>
      <c r="Z719" s="110"/>
      <c r="AA719" s="110"/>
    </row>
    <row r="720" spans="1:27" ht="15.75" customHeight="1">
      <c r="A720" s="110"/>
      <c r="B720" s="427"/>
      <c r="C720" s="110"/>
      <c r="D720" s="110"/>
      <c r="E720" s="110"/>
      <c r="F720" s="110"/>
      <c r="G720" s="110"/>
      <c r="H720" s="110"/>
      <c r="I720" s="4"/>
      <c r="J720" s="110"/>
      <c r="K720" s="344"/>
      <c r="L720" s="110"/>
      <c r="M720" s="110"/>
      <c r="N720" s="329"/>
      <c r="O720" s="329"/>
      <c r="P720" s="329"/>
      <c r="Q720" s="329"/>
      <c r="R720" s="329"/>
      <c r="S720" s="329"/>
      <c r="T720" s="329"/>
      <c r="U720" s="110"/>
      <c r="V720" s="110"/>
      <c r="W720" s="110"/>
      <c r="X720" s="110"/>
      <c r="Y720" s="110"/>
      <c r="Z720" s="110"/>
      <c r="AA720" s="110"/>
    </row>
    <row r="721" spans="1:27" ht="15.75" customHeight="1">
      <c r="A721" s="110"/>
      <c r="B721" s="427"/>
      <c r="C721" s="110"/>
      <c r="D721" s="110"/>
      <c r="E721" s="110"/>
      <c r="F721" s="110"/>
      <c r="G721" s="110"/>
      <c r="H721" s="110"/>
      <c r="I721" s="4"/>
      <c r="J721" s="110"/>
      <c r="K721" s="344"/>
      <c r="L721" s="110"/>
      <c r="M721" s="110"/>
      <c r="N721" s="329"/>
      <c r="O721" s="329"/>
      <c r="P721" s="329"/>
      <c r="Q721" s="329"/>
      <c r="R721" s="329"/>
      <c r="S721" s="329"/>
      <c r="T721" s="329"/>
      <c r="U721" s="110"/>
      <c r="V721" s="110"/>
      <c r="W721" s="110"/>
      <c r="X721" s="110"/>
      <c r="Y721" s="110"/>
      <c r="Z721" s="110"/>
      <c r="AA721" s="110"/>
    </row>
    <row r="722" spans="1:27" ht="15.75" customHeight="1">
      <c r="A722" s="110"/>
      <c r="B722" s="427"/>
      <c r="C722" s="110"/>
      <c r="D722" s="110"/>
      <c r="E722" s="110"/>
      <c r="F722" s="110"/>
      <c r="G722" s="110"/>
      <c r="H722" s="110"/>
      <c r="I722" s="4"/>
      <c r="J722" s="110"/>
      <c r="K722" s="344"/>
      <c r="L722" s="110"/>
      <c r="M722" s="110"/>
      <c r="N722" s="329"/>
      <c r="O722" s="329"/>
      <c r="P722" s="329"/>
      <c r="Q722" s="329"/>
      <c r="R722" s="329"/>
      <c r="S722" s="329"/>
      <c r="T722" s="329"/>
      <c r="U722" s="110"/>
      <c r="V722" s="110"/>
      <c r="W722" s="110"/>
      <c r="X722" s="110"/>
      <c r="Y722" s="110"/>
      <c r="Z722" s="110"/>
      <c r="AA722" s="110"/>
    </row>
    <row r="723" spans="1:27" ht="15.75" customHeight="1">
      <c r="A723" s="110"/>
      <c r="B723" s="427"/>
      <c r="C723" s="110"/>
      <c r="D723" s="110"/>
      <c r="E723" s="110"/>
      <c r="F723" s="110"/>
      <c r="G723" s="110"/>
      <c r="H723" s="110"/>
      <c r="I723" s="4"/>
      <c r="J723" s="110"/>
      <c r="K723" s="344"/>
      <c r="L723" s="110"/>
      <c r="M723" s="110"/>
      <c r="N723" s="329"/>
      <c r="O723" s="329"/>
      <c r="P723" s="329"/>
      <c r="Q723" s="329"/>
      <c r="R723" s="329"/>
      <c r="S723" s="329"/>
      <c r="T723" s="329"/>
      <c r="U723" s="110"/>
      <c r="V723" s="110"/>
      <c r="W723" s="110"/>
      <c r="X723" s="110"/>
      <c r="Y723" s="110"/>
      <c r="Z723" s="110"/>
      <c r="AA723" s="110"/>
    </row>
    <row r="724" spans="1:27" ht="15.75" customHeight="1">
      <c r="A724" s="110"/>
      <c r="B724" s="427"/>
      <c r="C724" s="110"/>
      <c r="D724" s="110"/>
      <c r="E724" s="110"/>
      <c r="F724" s="110"/>
      <c r="G724" s="110"/>
      <c r="H724" s="110"/>
      <c r="I724" s="4"/>
      <c r="J724" s="110"/>
      <c r="K724" s="344"/>
      <c r="L724" s="110"/>
      <c r="M724" s="110"/>
      <c r="N724" s="329"/>
      <c r="O724" s="329"/>
      <c r="P724" s="329"/>
      <c r="Q724" s="329"/>
      <c r="R724" s="329"/>
      <c r="S724" s="329"/>
      <c r="T724" s="329"/>
      <c r="U724" s="110"/>
      <c r="V724" s="110"/>
      <c r="W724" s="110"/>
      <c r="X724" s="110"/>
      <c r="Y724" s="110"/>
      <c r="Z724" s="110"/>
      <c r="AA724" s="110"/>
    </row>
    <row r="725" spans="1:27" ht="15.75" customHeight="1">
      <c r="A725" s="110"/>
      <c r="B725" s="427"/>
      <c r="C725" s="110"/>
      <c r="D725" s="110"/>
      <c r="E725" s="110"/>
      <c r="F725" s="110"/>
      <c r="G725" s="110"/>
      <c r="H725" s="110"/>
      <c r="I725" s="4"/>
      <c r="J725" s="110"/>
      <c r="K725" s="344"/>
      <c r="L725" s="110"/>
      <c r="M725" s="110"/>
      <c r="N725" s="329"/>
      <c r="O725" s="329"/>
      <c r="P725" s="329"/>
      <c r="Q725" s="329"/>
      <c r="R725" s="329"/>
      <c r="S725" s="329"/>
      <c r="T725" s="329"/>
      <c r="U725" s="110"/>
      <c r="V725" s="110"/>
      <c r="W725" s="110"/>
      <c r="X725" s="110"/>
      <c r="Y725" s="110"/>
      <c r="Z725" s="110"/>
      <c r="AA725" s="110"/>
    </row>
    <row r="726" spans="1:27" ht="15.75" customHeight="1">
      <c r="A726" s="110"/>
      <c r="B726" s="427"/>
      <c r="C726" s="110"/>
      <c r="D726" s="110"/>
      <c r="E726" s="110"/>
      <c r="F726" s="110"/>
      <c r="G726" s="110"/>
      <c r="H726" s="110"/>
      <c r="I726" s="4"/>
      <c r="J726" s="110"/>
      <c r="K726" s="344"/>
      <c r="L726" s="110"/>
      <c r="M726" s="110"/>
      <c r="N726" s="329"/>
      <c r="O726" s="329"/>
      <c r="P726" s="329"/>
      <c r="Q726" s="329"/>
      <c r="R726" s="329"/>
      <c r="S726" s="329"/>
      <c r="T726" s="329"/>
      <c r="U726" s="110"/>
      <c r="V726" s="110"/>
      <c r="W726" s="110"/>
      <c r="X726" s="110"/>
      <c r="Y726" s="110"/>
      <c r="Z726" s="110"/>
      <c r="AA726" s="110"/>
    </row>
    <row r="727" spans="1:27" ht="15.75" customHeight="1">
      <c r="A727" s="110"/>
      <c r="B727" s="427"/>
      <c r="C727" s="110"/>
      <c r="D727" s="110"/>
      <c r="E727" s="110"/>
      <c r="F727" s="110"/>
      <c r="G727" s="110"/>
      <c r="H727" s="110"/>
      <c r="I727" s="4"/>
      <c r="J727" s="110"/>
      <c r="K727" s="344"/>
      <c r="L727" s="110"/>
      <c r="M727" s="110"/>
      <c r="N727" s="329"/>
      <c r="O727" s="329"/>
      <c r="P727" s="329"/>
      <c r="Q727" s="329"/>
      <c r="R727" s="329"/>
      <c r="S727" s="329"/>
      <c r="T727" s="329"/>
      <c r="U727" s="110"/>
      <c r="V727" s="110"/>
      <c r="W727" s="110"/>
      <c r="X727" s="110"/>
      <c r="Y727" s="110"/>
      <c r="Z727" s="110"/>
      <c r="AA727" s="110"/>
    </row>
    <row r="728" spans="1:27" ht="15.75" customHeight="1">
      <c r="A728" s="110"/>
      <c r="B728" s="427"/>
      <c r="C728" s="110"/>
      <c r="D728" s="110"/>
      <c r="E728" s="110"/>
      <c r="F728" s="110"/>
      <c r="G728" s="110"/>
      <c r="H728" s="110"/>
      <c r="I728" s="4"/>
      <c r="J728" s="110"/>
      <c r="K728" s="344"/>
      <c r="L728" s="110"/>
      <c r="M728" s="110"/>
      <c r="N728" s="329"/>
      <c r="O728" s="329"/>
      <c r="P728" s="329"/>
      <c r="Q728" s="329"/>
      <c r="R728" s="329"/>
      <c r="S728" s="329"/>
      <c r="T728" s="329"/>
      <c r="U728" s="110"/>
      <c r="V728" s="110"/>
      <c r="W728" s="110"/>
      <c r="X728" s="110"/>
      <c r="Y728" s="110"/>
      <c r="Z728" s="110"/>
      <c r="AA728" s="110"/>
    </row>
    <row r="729" spans="1:27" ht="15.75" customHeight="1">
      <c r="A729" s="110"/>
      <c r="B729" s="427"/>
      <c r="C729" s="110"/>
      <c r="D729" s="110"/>
      <c r="E729" s="110"/>
      <c r="F729" s="110"/>
      <c r="G729" s="110"/>
      <c r="H729" s="110"/>
      <c r="I729" s="4"/>
      <c r="J729" s="110"/>
      <c r="K729" s="344"/>
      <c r="L729" s="110"/>
      <c r="M729" s="110"/>
      <c r="N729" s="329"/>
      <c r="O729" s="329"/>
      <c r="P729" s="329"/>
      <c r="Q729" s="329"/>
      <c r="R729" s="329"/>
      <c r="S729" s="329"/>
      <c r="T729" s="329"/>
      <c r="U729" s="110"/>
      <c r="V729" s="110"/>
      <c r="W729" s="110"/>
      <c r="X729" s="110"/>
      <c r="Y729" s="110"/>
      <c r="Z729" s="110"/>
      <c r="AA729" s="110"/>
    </row>
    <row r="730" spans="1:27" ht="15.75" customHeight="1">
      <c r="A730" s="110"/>
      <c r="B730" s="427"/>
      <c r="C730" s="110"/>
      <c r="D730" s="110"/>
      <c r="E730" s="110"/>
      <c r="F730" s="110"/>
      <c r="G730" s="110"/>
      <c r="H730" s="110"/>
      <c r="I730" s="4"/>
      <c r="J730" s="110"/>
      <c r="K730" s="344"/>
      <c r="L730" s="110"/>
      <c r="M730" s="110"/>
      <c r="N730" s="329"/>
      <c r="O730" s="329"/>
      <c r="P730" s="329"/>
      <c r="Q730" s="329"/>
      <c r="R730" s="329"/>
      <c r="S730" s="329"/>
      <c r="T730" s="329"/>
      <c r="U730" s="110"/>
      <c r="V730" s="110"/>
      <c r="W730" s="110"/>
      <c r="X730" s="110"/>
      <c r="Y730" s="110"/>
      <c r="Z730" s="110"/>
      <c r="AA730" s="110"/>
    </row>
    <row r="731" spans="1:27" ht="15.75" customHeight="1">
      <c r="A731" s="110"/>
      <c r="B731" s="427"/>
      <c r="C731" s="110"/>
      <c r="D731" s="110"/>
      <c r="E731" s="110"/>
      <c r="F731" s="110"/>
      <c r="G731" s="110"/>
      <c r="H731" s="110"/>
      <c r="I731" s="4"/>
      <c r="J731" s="110"/>
      <c r="K731" s="344"/>
      <c r="L731" s="110"/>
      <c r="M731" s="110"/>
      <c r="N731" s="329"/>
      <c r="O731" s="329"/>
      <c r="P731" s="329"/>
      <c r="Q731" s="329"/>
      <c r="R731" s="329"/>
      <c r="S731" s="329"/>
      <c r="T731" s="329"/>
      <c r="U731" s="110"/>
      <c r="V731" s="110"/>
      <c r="W731" s="110"/>
      <c r="X731" s="110"/>
      <c r="Y731" s="110"/>
      <c r="Z731" s="110"/>
      <c r="AA731" s="110"/>
    </row>
    <row r="732" spans="1:27" ht="15.75" customHeight="1">
      <c r="A732" s="110"/>
      <c r="B732" s="427"/>
      <c r="C732" s="110"/>
      <c r="D732" s="110"/>
      <c r="E732" s="110"/>
      <c r="F732" s="110"/>
      <c r="G732" s="110"/>
      <c r="H732" s="110"/>
      <c r="I732" s="4"/>
      <c r="J732" s="110"/>
      <c r="K732" s="344"/>
      <c r="L732" s="110"/>
      <c r="M732" s="110"/>
      <c r="N732" s="329"/>
      <c r="O732" s="329"/>
      <c r="P732" s="329"/>
      <c r="Q732" s="329"/>
      <c r="R732" s="329"/>
      <c r="S732" s="329"/>
      <c r="T732" s="329"/>
      <c r="U732" s="110"/>
      <c r="V732" s="110"/>
      <c r="W732" s="110"/>
      <c r="X732" s="110"/>
      <c r="Y732" s="110"/>
      <c r="Z732" s="110"/>
      <c r="AA732" s="110"/>
    </row>
    <row r="733" spans="1:27" ht="15.75" customHeight="1">
      <c r="A733" s="110"/>
      <c r="B733" s="427"/>
      <c r="C733" s="110"/>
      <c r="D733" s="110"/>
      <c r="E733" s="110"/>
      <c r="F733" s="110"/>
      <c r="G733" s="110"/>
      <c r="H733" s="110"/>
      <c r="I733" s="4"/>
      <c r="J733" s="110"/>
      <c r="K733" s="344"/>
      <c r="L733" s="110"/>
      <c r="M733" s="110"/>
      <c r="N733" s="329"/>
      <c r="O733" s="329"/>
      <c r="P733" s="329"/>
      <c r="Q733" s="329"/>
      <c r="R733" s="329"/>
      <c r="S733" s="329"/>
      <c r="T733" s="329"/>
      <c r="U733" s="110"/>
      <c r="V733" s="110"/>
      <c r="W733" s="110"/>
      <c r="X733" s="110"/>
      <c r="Y733" s="110"/>
      <c r="Z733" s="110"/>
      <c r="AA733" s="110"/>
    </row>
    <row r="734" spans="1:27" ht="15.75" customHeight="1">
      <c r="A734" s="110"/>
      <c r="B734" s="427"/>
      <c r="C734" s="110"/>
      <c r="D734" s="110"/>
      <c r="E734" s="110"/>
      <c r="F734" s="110"/>
      <c r="G734" s="110"/>
      <c r="H734" s="110"/>
      <c r="I734" s="4"/>
      <c r="J734" s="110"/>
      <c r="K734" s="344"/>
      <c r="L734" s="110"/>
      <c r="M734" s="110"/>
      <c r="N734" s="329"/>
      <c r="O734" s="329"/>
      <c r="P734" s="329"/>
      <c r="Q734" s="329"/>
      <c r="R734" s="329"/>
      <c r="S734" s="329"/>
      <c r="T734" s="329"/>
      <c r="U734" s="110"/>
      <c r="V734" s="110"/>
      <c r="W734" s="110"/>
      <c r="X734" s="110"/>
      <c r="Y734" s="110"/>
      <c r="Z734" s="110"/>
      <c r="AA734" s="110"/>
    </row>
    <row r="735" spans="1:27" ht="15.75" customHeight="1">
      <c r="A735" s="110"/>
      <c r="B735" s="427"/>
      <c r="C735" s="110"/>
      <c r="D735" s="110"/>
      <c r="E735" s="110"/>
      <c r="F735" s="110"/>
      <c r="G735" s="110"/>
      <c r="H735" s="110"/>
      <c r="I735" s="4"/>
      <c r="J735" s="110"/>
      <c r="K735" s="344"/>
      <c r="L735" s="110"/>
      <c r="M735" s="110"/>
      <c r="N735" s="329"/>
      <c r="O735" s="329"/>
      <c r="P735" s="329"/>
      <c r="Q735" s="329"/>
      <c r="R735" s="329"/>
      <c r="S735" s="329"/>
      <c r="T735" s="329"/>
      <c r="U735" s="110"/>
      <c r="V735" s="110"/>
      <c r="W735" s="110"/>
      <c r="X735" s="110"/>
      <c r="Y735" s="110"/>
      <c r="Z735" s="110"/>
      <c r="AA735" s="110"/>
    </row>
    <row r="736" spans="1:27" ht="15.75" customHeight="1">
      <c r="A736" s="110"/>
      <c r="B736" s="427"/>
      <c r="C736" s="110"/>
      <c r="D736" s="110"/>
      <c r="E736" s="110"/>
      <c r="F736" s="110"/>
      <c r="G736" s="110"/>
      <c r="H736" s="110"/>
      <c r="I736" s="4"/>
      <c r="J736" s="110"/>
      <c r="K736" s="344"/>
      <c r="L736" s="110"/>
      <c r="M736" s="110"/>
      <c r="N736" s="329"/>
      <c r="O736" s="329"/>
      <c r="P736" s="329"/>
      <c r="Q736" s="329"/>
      <c r="R736" s="329"/>
      <c r="S736" s="329"/>
      <c r="T736" s="329"/>
      <c r="U736" s="110"/>
      <c r="V736" s="110"/>
      <c r="W736" s="110"/>
      <c r="X736" s="110"/>
      <c r="Y736" s="110"/>
      <c r="Z736" s="110"/>
      <c r="AA736" s="110"/>
    </row>
    <row r="737" spans="1:27" ht="15.75" customHeight="1">
      <c r="A737" s="110"/>
      <c r="B737" s="427"/>
      <c r="C737" s="110"/>
      <c r="D737" s="110"/>
      <c r="E737" s="110"/>
      <c r="F737" s="110"/>
      <c r="G737" s="110"/>
      <c r="H737" s="110"/>
      <c r="I737" s="4"/>
      <c r="J737" s="110"/>
      <c r="K737" s="344"/>
      <c r="L737" s="110"/>
      <c r="M737" s="110"/>
      <c r="N737" s="329"/>
      <c r="O737" s="329"/>
      <c r="P737" s="329"/>
      <c r="Q737" s="329"/>
      <c r="R737" s="329"/>
      <c r="S737" s="329"/>
      <c r="T737" s="329"/>
      <c r="U737" s="110"/>
      <c r="V737" s="110"/>
      <c r="W737" s="110"/>
      <c r="X737" s="110"/>
      <c r="Y737" s="110"/>
      <c r="Z737" s="110"/>
      <c r="AA737" s="110"/>
    </row>
    <row r="738" spans="1:27" ht="15.75" customHeight="1">
      <c r="A738" s="110"/>
      <c r="B738" s="427"/>
      <c r="C738" s="110"/>
      <c r="D738" s="110"/>
      <c r="E738" s="110"/>
      <c r="F738" s="110"/>
      <c r="G738" s="110"/>
      <c r="H738" s="110"/>
      <c r="I738" s="4"/>
      <c r="J738" s="110"/>
      <c r="K738" s="344"/>
      <c r="L738" s="110"/>
      <c r="M738" s="110"/>
      <c r="N738" s="329"/>
      <c r="O738" s="329"/>
      <c r="P738" s="329"/>
      <c r="Q738" s="329"/>
      <c r="R738" s="329"/>
      <c r="S738" s="329"/>
      <c r="T738" s="329"/>
      <c r="U738" s="110"/>
      <c r="V738" s="110"/>
      <c r="W738" s="110"/>
      <c r="X738" s="110"/>
      <c r="Y738" s="110"/>
      <c r="Z738" s="110"/>
      <c r="AA738" s="110"/>
    </row>
    <row r="739" spans="1:27" ht="15.75" customHeight="1">
      <c r="A739" s="110"/>
      <c r="B739" s="427"/>
      <c r="C739" s="110"/>
      <c r="D739" s="110"/>
      <c r="E739" s="110"/>
      <c r="F739" s="110"/>
      <c r="G739" s="110"/>
      <c r="H739" s="110"/>
      <c r="I739" s="4"/>
      <c r="J739" s="110"/>
      <c r="K739" s="344"/>
      <c r="L739" s="110"/>
      <c r="M739" s="110"/>
      <c r="N739" s="329"/>
      <c r="O739" s="329"/>
      <c r="P739" s="329"/>
      <c r="Q739" s="329"/>
      <c r="R739" s="329"/>
      <c r="S739" s="329"/>
      <c r="T739" s="329"/>
      <c r="U739" s="110"/>
      <c r="V739" s="110"/>
      <c r="W739" s="110"/>
      <c r="X739" s="110"/>
      <c r="Y739" s="110"/>
      <c r="Z739" s="110"/>
      <c r="AA739" s="110"/>
    </row>
    <row r="740" spans="1:27" ht="15.75" customHeight="1">
      <c r="A740" s="110"/>
      <c r="B740" s="427"/>
      <c r="C740" s="110"/>
      <c r="D740" s="110"/>
      <c r="E740" s="110"/>
      <c r="F740" s="110"/>
      <c r="G740" s="110"/>
      <c r="H740" s="110"/>
      <c r="I740" s="4"/>
      <c r="J740" s="110"/>
      <c r="K740" s="344"/>
      <c r="L740" s="110"/>
      <c r="M740" s="110"/>
      <c r="N740" s="329"/>
      <c r="O740" s="329"/>
      <c r="P740" s="329"/>
      <c r="Q740" s="329"/>
      <c r="R740" s="329"/>
      <c r="S740" s="329"/>
      <c r="T740" s="329"/>
      <c r="U740" s="110"/>
      <c r="V740" s="110"/>
      <c r="W740" s="110"/>
      <c r="X740" s="110"/>
      <c r="Y740" s="110"/>
      <c r="Z740" s="110"/>
      <c r="AA740" s="110"/>
    </row>
    <row r="741" spans="1:27" ht="15.75" customHeight="1">
      <c r="A741" s="110"/>
      <c r="B741" s="427"/>
      <c r="C741" s="110"/>
      <c r="D741" s="110"/>
      <c r="E741" s="110"/>
      <c r="F741" s="110"/>
      <c r="G741" s="110"/>
      <c r="H741" s="110"/>
      <c r="I741" s="4"/>
      <c r="J741" s="110"/>
      <c r="K741" s="344"/>
      <c r="L741" s="110"/>
      <c r="M741" s="110"/>
      <c r="N741" s="329"/>
      <c r="O741" s="329"/>
      <c r="P741" s="329"/>
      <c r="Q741" s="329"/>
      <c r="R741" s="329"/>
      <c r="S741" s="329"/>
      <c r="T741" s="329"/>
      <c r="U741" s="110"/>
      <c r="V741" s="110"/>
      <c r="W741" s="110"/>
      <c r="X741" s="110"/>
      <c r="Y741" s="110"/>
      <c r="Z741" s="110"/>
      <c r="AA741" s="110"/>
    </row>
    <row r="742" spans="1:27" ht="15.75" customHeight="1">
      <c r="A742" s="110"/>
      <c r="B742" s="427"/>
      <c r="C742" s="110"/>
      <c r="D742" s="110"/>
      <c r="E742" s="110"/>
      <c r="F742" s="110"/>
      <c r="G742" s="110"/>
      <c r="H742" s="110"/>
      <c r="I742" s="4"/>
      <c r="J742" s="110"/>
      <c r="K742" s="344"/>
      <c r="L742" s="110"/>
      <c r="M742" s="110"/>
      <c r="N742" s="329"/>
      <c r="O742" s="329"/>
      <c r="P742" s="329"/>
      <c r="Q742" s="329"/>
      <c r="R742" s="329"/>
      <c r="S742" s="329"/>
      <c r="T742" s="329"/>
      <c r="U742" s="110"/>
      <c r="V742" s="110"/>
      <c r="W742" s="110"/>
      <c r="X742" s="110"/>
      <c r="Y742" s="110"/>
      <c r="Z742" s="110"/>
      <c r="AA742" s="110"/>
    </row>
    <row r="743" spans="1:27" ht="15.75" customHeight="1">
      <c r="A743" s="110"/>
      <c r="B743" s="427"/>
      <c r="C743" s="110"/>
      <c r="D743" s="110"/>
      <c r="E743" s="110"/>
      <c r="F743" s="110"/>
      <c r="G743" s="110"/>
      <c r="H743" s="110"/>
      <c r="I743" s="4"/>
      <c r="J743" s="110"/>
      <c r="K743" s="344"/>
      <c r="L743" s="110"/>
      <c r="M743" s="110"/>
      <c r="N743" s="329"/>
      <c r="O743" s="329"/>
      <c r="P743" s="329"/>
      <c r="Q743" s="329"/>
      <c r="R743" s="329"/>
      <c r="S743" s="329"/>
      <c r="T743" s="329"/>
      <c r="U743" s="110"/>
      <c r="V743" s="110"/>
      <c r="W743" s="110"/>
      <c r="X743" s="110"/>
      <c r="Y743" s="110"/>
      <c r="Z743" s="110"/>
      <c r="AA743" s="110"/>
    </row>
    <row r="744" spans="1:27" ht="15.75" customHeight="1">
      <c r="A744" s="110"/>
      <c r="B744" s="427"/>
      <c r="C744" s="110"/>
      <c r="D744" s="110"/>
      <c r="E744" s="110"/>
      <c r="F744" s="110"/>
      <c r="G744" s="110"/>
      <c r="H744" s="110"/>
      <c r="I744" s="4"/>
      <c r="J744" s="110"/>
      <c r="K744" s="344"/>
      <c r="L744" s="110"/>
      <c r="M744" s="110"/>
      <c r="N744" s="329"/>
      <c r="O744" s="329"/>
      <c r="P744" s="329"/>
      <c r="Q744" s="329"/>
      <c r="R744" s="329"/>
      <c r="S744" s="329"/>
      <c r="T744" s="329"/>
      <c r="U744" s="110"/>
      <c r="V744" s="110"/>
      <c r="W744" s="110"/>
      <c r="X744" s="110"/>
      <c r="Y744" s="110"/>
      <c r="Z744" s="110"/>
      <c r="AA744" s="110"/>
    </row>
    <row r="745" spans="1:27" ht="15.75" customHeight="1">
      <c r="A745" s="110"/>
      <c r="B745" s="427"/>
      <c r="C745" s="110"/>
      <c r="D745" s="110"/>
      <c r="E745" s="110"/>
      <c r="F745" s="110"/>
      <c r="G745" s="110"/>
      <c r="H745" s="110"/>
      <c r="I745" s="4"/>
      <c r="J745" s="110"/>
      <c r="K745" s="344"/>
      <c r="L745" s="110"/>
      <c r="M745" s="110"/>
      <c r="N745" s="329"/>
      <c r="O745" s="329"/>
      <c r="P745" s="329"/>
      <c r="Q745" s="329"/>
      <c r="R745" s="329"/>
      <c r="S745" s="329"/>
      <c r="T745" s="329"/>
      <c r="U745" s="110"/>
      <c r="V745" s="110"/>
      <c r="W745" s="110"/>
      <c r="X745" s="110"/>
      <c r="Y745" s="110"/>
      <c r="Z745" s="110"/>
      <c r="AA745" s="110"/>
    </row>
    <row r="746" spans="1:27" ht="15.75" customHeight="1">
      <c r="A746" s="110"/>
      <c r="B746" s="427"/>
      <c r="C746" s="110"/>
      <c r="D746" s="110"/>
      <c r="E746" s="110"/>
      <c r="F746" s="110"/>
      <c r="G746" s="110"/>
      <c r="H746" s="110"/>
      <c r="I746" s="4"/>
      <c r="J746" s="110"/>
      <c r="K746" s="344"/>
      <c r="L746" s="110"/>
      <c r="M746" s="110"/>
      <c r="N746" s="329"/>
      <c r="O746" s="329"/>
      <c r="P746" s="329"/>
      <c r="Q746" s="329"/>
      <c r="R746" s="329"/>
      <c r="S746" s="329"/>
      <c r="T746" s="329"/>
      <c r="U746" s="110"/>
      <c r="V746" s="110"/>
      <c r="W746" s="110"/>
      <c r="X746" s="110"/>
      <c r="Y746" s="110"/>
      <c r="Z746" s="110"/>
      <c r="AA746" s="110"/>
    </row>
    <row r="747" spans="1:27" ht="15.75" customHeight="1">
      <c r="A747" s="110"/>
      <c r="B747" s="427"/>
      <c r="C747" s="110"/>
      <c r="D747" s="110"/>
      <c r="E747" s="110"/>
      <c r="F747" s="110"/>
      <c r="G747" s="110"/>
      <c r="H747" s="110"/>
      <c r="I747" s="4"/>
      <c r="J747" s="110"/>
      <c r="K747" s="344"/>
      <c r="L747" s="110"/>
      <c r="M747" s="110"/>
      <c r="N747" s="329"/>
      <c r="O747" s="329"/>
      <c r="P747" s="329"/>
      <c r="Q747" s="329"/>
      <c r="R747" s="329"/>
      <c r="S747" s="329"/>
      <c r="T747" s="329"/>
      <c r="U747" s="110"/>
      <c r="V747" s="110"/>
      <c r="W747" s="110"/>
      <c r="X747" s="110"/>
      <c r="Y747" s="110"/>
      <c r="Z747" s="110"/>
      <c r="AA747" s="110"/>
    </row>
    <row r="748" spans="1:27" ht="15.75" customHeight="1">
      <c r="A748" s="110"/>
      <c r="B748" s="427"/>
      <c r="C748" s="110"/>
      <c r="D748" s="110"/>
      <c r="E748" s="110"/>
      <c r="F748" s="110"/>
      <c r="G748" s="110"/>
      <c r="H748" s="110"/>
      <c r="I748" s="4"/>
      <c r="J748" s="110"/>
      <c r="K748" s="344"/>
      <c r="L748" s="110"/>
      <c r="M748" s="110"/>
      <c r="N748" s="329"/>
      <c r="O748" s="329"/>
      <c r="P748" s="329"/>
      <c r="Q748" s="329"/>
      <c r="R748" s="329"/>
      <c r="S748" s="329"/>
      <c r="T748" s="329"/>
      <c r="U748" s="110"/>
      <c r="V748" s="110"/>
      <c r="W748" s="110"/>
      <c r="X748" s="110"/>
      <c r="Y748" s="110"/>
      <c r="Z748" s="110"/>
      <c r="AA748" s="110"/>
    </row>
    <row r="749" spans="1:27" ht="15.75" customHeight="1">
      <c r="A749" s="110"/>
      <c r="B749" s="427"/>
      <c r="C749" s="110"/>
      <c r="D749" s="110"/>
      <c r="E749" s="110"/>
      <c r="F749" s="110"/>
      <c r="G749" s="110"/>
      <c r="H749" s="110"/>
      <c r="I749" s="4"/>
      <c r="J749" s="110"/>
      <c r="K749" s="344"/>
      <c r="L749" s="110"/>
      <c r="M749" s="110"/>
      <c r="N749" s="329"/>
      <c r="O749" s="329"/>
      <c r="P749" s="329"/>
      <c r="Q749" s="329"/>
      <c r="R749" s="329"/>
      <c r="S749" s="329"/>
      <c r="T749" s="329"/>
      <c r="U749" s="110"/>
      <c r="V749" s="110"/>
      <c r="W749" s="110"/>
      <c r="X749" s="110"/>
      <c r="Y749" s="110"/>
      <c r="Z749" s="110"/>
      <c r="AA749" s="110"/>
    </row>
    <row r="750" spans="1:27" ht="15.75" customHeight="1">
      <c r="A750" s="110"/>
      <c r="B750" s="427"/>
      <c r="C750" s="110"/>
      <c r="D750" s="110"/>
      <c r="E750" s="110"/>
      <c r="F750" s="110"/>
      <c r="G750" s="110"/>
      <c r="H750" s="110"/>
      <c r="I750" s="4"/>
      <c r="J750" s="110"/>
      <c r="K750" s="344"/>
      <c r="L750" s="110"/>
      <c r="M750" s="110"/>
      <c r="N750" s="329"/>
      <c r="O750" s="329"/>
      <c r="P750" s="329"/>
      <c r="Q750" s="329"/>
      <c r="R750" s="329"/>
      <c r="S750" s="329"/>
      <c r="T750" s="329"/>
      <c r="U750" s="110"/>
      <c r="V750" s="110"/>
      <c r="W750" s="110"/>
      <c r="X750" s="110"/>
      <c r="Y750" s="110"/>
      <c r="Z750" s="110"/>
      <c r="AA750" s="110"/>
    </row>
    <row r="751" spans="1:27" ht="15.75" customHeight="1">
      <c r="A751" s="110"/>
      <c r="B751" s="427"/>
      <c r="C751" s="110"/>
      <c r="D751" s="110"/>
      <c r="E751" s="110"/>
      <c r="F751" s="110"/>
      <c r="G751" s="110"/>
      <c r="H751" s="110"/>
      <c r="I751" s="4"/>
      <c r="J751" s="110"/>
      <c r="K751" s="344"/>
      <c r="L751" s="110"/>
      <c r="M751" s="110"/>
      <c r="N751" s="329"/>
      <c r="O751" s="329"/>
      <c r="P751" s="329"/>
      <c r="Q751" s="329"/>
      <c r="R751" s="329"/>
      <c r="S751" s="329"/>
      <c r="T751" s="329"/>
      <c r="U751" s="110"/>
      <c r="V751" s="110"/>
      <c r="W751" s="110"/>
      <c r="X751" s="110"/>
      <c r="Y751" s="110"/>
      <c r="Z751" s="110"/>
      <c r="AA751" s="110"/>
    </row>
    <row r="752" spans="1:27" ht="15.75" customHeight="1">
      <c r="A752" s="110"/>
      <c r="B752" s="427"/>
      <c r="C752" s="110"/>
      <c r="D752" s="110"/>
      <c r="E752" s="110"/>
      <c r="F752" s="110"/>
      <c r="G752" s="110"/>
      <c r="H752" s="110"/>
      <c r="I752" s="4"/>
      <c r="J752" s="110"/>
      <c r="K752" s="344"/>
      <c r="L752" s="110"/>
      <c r="M752" s="110"/>
      <c r="N752" s="329"/>
      <c r="O752" s="329"/>
      <c r="P752" s="329"/>
      <c r="Q752" s="329"/>
      <c r="R752" s="329"/>
      <c r="S752" s="329"/>
      <c r="T752" s="329"/>
      <c r="U752" s="110"/>
      <c r="V752" s="110"/>
      <c r="W752" s="110"/>
      <c r="X752" s="110"/>
      <c r="Y752" s="110"/>
      <c r="Z752" s="110"/>
      <c r="AA752" s="110"/>
    </row>
    <row r="753" spans="1:27" ht="15.75" customHeight="1">
      <c r="A753" s="110"/>
      <c r="B753" s="427"/>
      <c r="C753" s="110"/>
      <c r="D753" s="110"/>
      <c r="E753" s="110"/>
      <c r="F753" s="110"/>
      <c r="G753" s="110"/>
      <c r="H753" s="110"/>
      <c r="I753" s="4"/>
      <c r="J753" s="110"/>
      <c r="K753" s="344"/>
      <c r="L753" s="110"/>
      <c r="M753" s="110"/>
      <c r="N753" s="329"/>
      <c r="O753" s="329"/>
      <c r="P753" s="329"/>
      <c r="Q753" s="329"/>
      <c r="R753" s="329"/>
      <c r="S753" s="329"/>
      <c r="T753" s="329"/>
      <c r="U753" s="110"/>
      <c r="V753" s="110"/>
      <c r="W753" s="110"/>
      <c r="X753" s="110"/>
      <c r="Y753" s="110"/>
      <c r="Z753" s="110"/>
      <c r="AA753" s="110"/>
    </row>
    <row r="754" spans="1:27" ht="15.75" customHeight="1">
      <c r="A754" s="110"/>
      <c r="B754" s="427"/>
      <c r="C754" s="110"/>
      <c r="D754" s="110"/>
      <c r="E754" s="110"/>
      <c r="F754" s="110"/>
      <c r="G754" s="110"/>
      <c r="H754" s="110"/>
      <c r="I754" s="4"/>
      <c r="J754" s="110"/>
      <c r="K754" s="344"/>
      <c r="L754" s="110"/>
      <c r="M754" s="110"/>
      <c r="N754" s="329"/>
      <c r="O754" s="329"/>
      <c r="P754" s="329"/>
      <c r="Q754" s="329"/>
      <c r="R754" s="329"/>
      <c r="S754" s="329"/>
      <c r="T754" s="329"/>
      <c r="U754" s="110"/>
      <c r="V754" s="110"/>
      <c r="W754" s="110"/>
      <c r="X754" s="110"/>
      <c r="Y754" s="110"/>
      <c r="Z754" s="110"/>
      <c r="AA754" s="110"/>
    </row>
    <row r="755" spans="1:27" ht="15.75" customHeight="1">
      <c r="A755" s="110"/>
      <c r="B755" s="427"/>
      <c r="C755" s="110"/>
      <c r="D755" s="110"/>
      <c r="E755" s="110"/>
      <c r="F755" s="110"/>
      <c r="G755" s="110"/>
      <c r="H755" s="110"/>
      <c r="I755" s="4"/>
      <c r="J755" s="110"/>
      <c r="K755" s="344"/>
      <c r="L755" s="110"/>
      <c r="M755" s="110"/>
      <c r="N755" s="329"/>
      <c r="O755" s="329"/>
      <c r="P755" s="329"/>
      <c r="Q755" s="329"/>
      <c r="R755" s="329"/>
      <c r="S755" s="329"/>
      <c r="T755" s="329"/>
      <c r="U755" s="110"/>
      <c r="V755" s="110"/>
      <c r="W755" s="110"/>
      <c r="X755" s="110"/>
      <c r="Y755" s="110"/>
      <c r="Z755" s="110"/>
      <c r="AA755" s="110"/>
    </row>
    <row r="756" spans="1:27" ht="15.75" customHeight="1">
      <c r="A756" s="110"/>
      <c r="B756" s="427"/>
      <c r="C756" s="110"/>
      <c r="D756" s="110"/>
      <c r="E756" s="110"/>
      <c r="F756" s="110"/>
      <c r="G756" s="110"/>
      <c r="H756" s="110"/>
      <c r="I756" s="4"/>
      <c r="J756" s="110"/>
      <c r="K756" s="344"/>
      <c r="L756" s="110"/>
      <c r="M756" s="110"/>
      <c r="N756" s="329"/>
      <c r="O756" s="329"/>
      <c r="P756" s="329"/>
      <c r="Q756" s="329"/>
      <c r="R756" s="329"/>
      <c r="S756" s="329"/>
      <c r="T756" s="329"/>
      <c r="U756" s="110"/>
      <c r="V756" s="110"/>
      <c r="W756" s="110"/>
      <c r="X756" s="110"/>
      <c r="Y756" s="110"/>
      <c r="Z756" s="110"/>
      <c r="AA756" s="110"/>
    </row>
    <row r="757" spans="1:27" ht="15.75" customHeight="1">
      <c r="A757" s="110"/>
      <c r="B757" s="427"/>
      <c r="C757" s="110"/>
      <c r="D757" s="110"/>
      <c r="E757" s="110"/>
      <c r="F757" s="110"/>
      <c r="G757" s="110"/>
      <c r="H757" s="110"/>
      <c r="I757" s="4"/>
      <c r="J757" s="110"/>
      <c r="K757" s="344"/>
      <c r="L757" s="110"/>
      <c r="M757" s="110"/>
      <c r="N757" s="329"/>
      <c r="O757" s="329"/>
      <c r="P757" s="329"/>
      <c r="Q757" s="329"/>
      <c r="R757" s="329"/>
      <c r="S757" s="329"/>
      <c r="T757" s="329"/>
      <c r="U757" s="110"/>
      <c r="V757" s="110"/>
      <c r="W757" s="110"/>
      <c r="X757" s="110"/>
      <c r="Y757" s="110"/>
      <c r="Z757" s="110"/>
      <c r="AA757" s="110"/>
    </row>
    <row r="758" spans="1:27" ht="15.75" customHeight="1">
      <c r="A758" s="110"/>
      <c r="B758" s="427"/>
      <c r="C758" s="110"/>
      <c r="D758" s="110"/>
      <c r="E758" s="110"/>
      <c r="F758" s="110"/>
      <c r="G758" s="110"/>
      <c r="H758" s="110"/>
      <c r="I758" s="4"/>
      <c r="J758" s="110"/>
      <c r="K758" s="344"/>
      <c r="L758" s="110"/>
      <c r="M758" s="110"/>
      <c r="N758" s="329"/>
      <c r="O758" s="329"/>
      <c r="P758" s="329"/>
      <c r="Q758" s="329"/>
      <c r="R758" s="329"/>
      <c r="S758" s="329"/>
      <c r="T758" s="329"/>
      <c r="U758" s="110"/>
      <c r="V758" s="110"/>
      <c r="W758" s="110"/>
      <c r="X758" s="110"/>
      <c r="Y758" s="110"/>
      <c r="Z758" s="110"/>
      <c r="AA758" s="110"/>
    </row>
    <row r="759" spans="1:27" ht="15.75" customHeight="1">
      <c r="A759" s="110"/>
      <c r="B759" s="427"/>
      <c r="C759" s="110"/>
      <c r="D759" s="110"/>
      <c r="E759" s="110"/>
      <c r="F759" s="110"/>
      <c r="G759" s="110"/>
      <c r="H759" s="110"/>
      <c r="I759" s="4"/>
      <c r="J759" s="110"/>
      <c r="K759" s="344"/>
      <c r="L759" s="110"/>
      <c r="M759" s="110"/>
      <c r="N759" s="329"/>
      <c r="O759" s="329"/>
      <c r="P759" s="329"/>
      <c r="Q759" s="329"/>
      <c r="R759" s="329"/>
      <c r="S759" s="329"/>
      <c r="T759" s="329"/>
      <c r="U759" s="110"/>
      <c r="V759" s="110"/>
      <c r="W759" s="110"/>
      <c r="X759" s="110"/>
      <c r="Y759" s="110"/>
      <c r="Z759" s="110"/>
      <c r="AA759" s="110"/>
    </row>
    <row r="760" spans="1:27" ht="15.75" customHeight="1">
      <c r="A760" s="110"/>
      <c r="B760" s="427"/>
      <c r="C760" s="110"/>
      <c r="D760" s="110"/>
      <c r="E760" s="110"/>
      <c r="F760" s="110"/>
      <c r="G760" s="110"/>
      <c r="H760" s="110"/>
      <c r="I760" s="4"/>
      <c r="J760" s="110"/>
      <c r="K760" s="344"/>
      <c r="L760" s="110"/>
      <c r="M760" s="110"/>
      <c r="N760" s="329"/>
      <c r="O760" s="329"/>
      <c r="P760" s="329"/>
      <c r="Q760" s="329"/>
      <c r="R760" s="329"/>
      <c r="S760" s="329"/>
      <c r="T760" s="329"/>
      <c r="U760" s="110"/>
      <c r="V760" s="110"/>
      <c r="W760" s="110"/>
      <c r="X760" s="110"/>
      <c r="Y760" s="110"/>
      <c r="Z760" s="110"/>
      <c r="AA760" s="110"/>
    </row>
    <row r="761" spans="1:27" ht="15.75" customHeight="1">
      <c r="A761" s="110"/>
      <c r="B761" s="427"/>
      <c r="C761" s="110"/>
      <c r="D761" s="110"/>
      <c r="E761" s="110"/>
      <c r="F761" s="110"/>
      <c r="G761" s="110"/>
      <c r="H761" s="110"/>
      <c r="I761" s="4"/>
      <c r="J761" s="110"/>
      <c r="K761" s="344"/>
      <c r="L761" s="110"/>
      <c r="M761" s="110"/>
      <c r="N761" s="329"/>
      <c r="O761" s="329"/>
      <c r="P761" s="329"/>
      <c r="Q761" s="329"/>
      <c r="R761" s="329"/>
      <c r="S761" s="329"/>
      <c r="T761" s="329"/>
      <c r="U761" s="110"/>
      <c r="V761" s="110"/>
      <c r="W761" s="110"/>
      <c r="X761" s="110"/>
      <c r="Y761" s="110"/>
      <c r="Z761" s="110"/>
      <c r="AA761" s="110"/>
    </row>
    <row r="762" spans="1:27" ht="15.75" customHeight="1">
      <c r="A762" s="110"/>
      <c r="B762" s="427"/>
      <c r="C762" s="110"/>
      <c r="D762" s="110"/>
      <c r="E762" s="110"/>
      <c r="F762" s="110"/>
      <c r="G762" s="110"/>
      <c r="H762" s="110"/>
      <c r="I762" s="4"/>
      <c r="J762" s="110"/>
      <c r="K762" s="344"/>
      <c r="L762" s="110"/>
      <c r="M762" s="110"/>
      <c r="N762" s="329"/>
      <c r="O762" s="329"/>
      <c r="P762" s="329"/>
      <c r="Q762" s="329"/>
      <c r="R762" s="329"/>
      <c r="S762" s="329"/>
      <c r="T762" s="329"/>
      <c r="U762" s="110"/>
      <c r="V762" s="110"/>
      <c r="W762" s="110"/>
      <c r="X762" s="110"/>
      <c r="Y762" s="110"/>
      <c r="Z762" s="110"/>
      <c r="AA762" s="110"/>
    </row>
    <row r="763" spans="1:27" ht="15.75" customHeight="1">
      <c r="A763" s="110"/>
      <c r="B763" s="427"/>
      <c r="C763" s="110"/>
      <c r="D763" s="110"/>
      <c r="E763" s="110"/>
      <c r="F763" s="110"/>
      <c r="G763" s="110"/>
      <c r="H763" s="110"/>
      <c r="I763" s="4"/>
      <c r="J763" s="110"/>
      <c r="K763" s="344"/>
      <c r="L763" s="110"/>
      <c r="M763" s="110"/>
      <c r="N763" s="329"/>
      <c r="O763" s="329"/>
      <c r="P763" s="329"/>
      <c r="Q763" s="329"/>
      <c r="R763" s="329"/>
      <c r="S763" s="329"/>
      <c r="T763" s="329"/>
      <c r="U763" s="110"/>
      <c r="V763" s="110"/>
      <c r="W763" s="110"/>
      <c r="X763" s="110"/>
      <c r="Y763" s="110"/>
      <c r="Z763" s="110"/>
      <c r="AA763" s="110"/>
    </row>
    <row r="764" spans="1:27" ht="15.75" customHeight="1">
      <c r="A764" s="110"/>
      <c r="B764" s="427"/>
      <c r="C764" s="110"/>
      <c r="D764" s="110"/>
      <c r="E764" s="110"/>
      <c r="F764" s="110"/>
      <c r="G764" s="110"/>
      <c r="H764" s="110"/>
      <c r="I764" s="4"/>
      <c r="J764" s="110"/>
      <c r="K764" s="344"/>
      <c r="L764" s="110"/>
      <c r="M764" s="110"/>
      <c r="N764" s="329"/>
      <c r="O764" s="329"/>
      <c r="P764" s="329"/>
      <c r="Q764" s="329"/>
      <c r="R764" s="329"/>
      <c r="S764" s="329"/>
      <c r="T764" s="329"/>
      <c r="U764" s="110"/>
      <c r="V764" s="110"/>
      <c r="W764" s="110"/>
      <c r="X764" s="110"/>
      <c r="Y764" s="110"/>
      <c r="Z764" s="110"/>
      <c r="AA764" s="110"/>
    </row>
    <row r="765" spans="1:27" ht="15.75" customHeight="1">
      <c r="A765" s="110"/>
      <c r="B765" s="427"/>
      <c r="C765" s="110"/>
      <c r="D765" s="110"/>
      <c r="E765" s="110"/>
      <c r="F765" s="110"/>
      <c r="G765" s="110"/>
      <c r="H765" s="110"/>
      <c r="I765" s="4"/>
      <c r="J765" s="110"/>
      <c r="K765" s="344"/>
      <c r="L765" s="110"/>
      <c r="M765" s="110"/>
      <c r="N765" s="329"/>
      <c r="O765" s="329"/>
      <c r="P765" s="329"/>
      <c r="Q765" s="329"/>
      <c r="R765" s="329"/>
      <c r="S765" s="329"/>
      <c r="T765" s="329"/>
      <c r="U765" s="110"/>
      <c r="V765" s="110"/>
      <c r="W765" s="110"/>
      <c r="X765" s="110"/>
      <c r="Y765" s="110"/>
      <c r="Z765" s="110"/>
      <c r="AA765" s="110"/>
    </row>
    <row r="766" spans="1:27" ht="15.75" customHeight="1">
      <c r="A766" s="110"/>
      <c r="B766" s="427"/>
      <c r="C766" s="110"/>
      <c r="D766" s="110"/>
      <c r="E766" s="110"/>
      <c r="F766" s="110"/>
      <c r="G766" s="110"/>
      <c r="H766" s="110"/>
      <c r="I766" s="4"/>
      <c r="J766" s="110"/>
      <c r="K766" s="344"/>
      <c r="L766" s="110"/>
      <c r="M766" s="110"/>
      <c r="N766" s="329"/>
      <c r="O766" s="329"/>
      <c r="P766" s="329"/>
      <c r="Q766" s="329"/>
      <c r="R766" s="329"/>
      <c r="S766" s="329"/>
      <c r="T766" s="329"/>
      <c r="U766" s="110"/>
      <c r="V766" s="110"/>
      <c r="W766" s="110"/>
      <c r="X766" s="110"/>
      <c r="Y766" s="110"/>
      <c r="Z766" s="110"/>
      <c r="AA766" s="110"/>
    </row>
    <row r="767" spans="1:27" ht="15.75" customHeight="1">
      <c r="A767" s="110"/>
      <c r="B767" s="427"/>
      <c r="C767" s="110"/>
      <c r="D767" s="110"/>
      <c r="E767" s="110"/>
      <c r="F767" s="110"/>
      <c r="G767" s="110"/>
      <c r="H767" s="110"/>
      <c r="I767" s="4"/>
      <c r="J767" s="110"/>
      <c r="K767" s="344"/>
      <c r="L767" s="110"/>
      <c r="M767" s="110"/>
      <c r="N767" s="329"/>
      <c r="O767" s="329"/>
      <c r="P767" s="329"/>
      <c r="Q767" s="329"/>
      <c r="R767" s="329"/>
      <c r="S767" s="329"/>
      <c r="T767" s="329"/>
      <c r="U767" s="110"/>
      <c r="V767" s="110"/>
      <c r="W767" s="110"/>
      <c r="X767" s="110"/>
      <c r="Y767" s="110"/>
      <c r="Z767" s="110"/>
      <c r="AA767" s="110"/>
    </row>
    <row r="768" spans="1:27" ht="15.75" customHeight="1">
      <c r="A768" s="110"/>
      <c r="B768" s="427"/>
      <c r="C768" s="110"/>
      <c r="D768" s="110"/>
      <c r="E768" s="110"/>
      <c r="F768" s="110"/>
      <c r="G768" s="110"/>
      <c r="H768" s="110"/>
      <c r="I768" s="4"/>
      <c r="J768" s="110"/>
      <c r="K768" s="344"/>
      <c r="L768" s="110"/>
      <c r="M768" s="110"/>
      <c r="N768" s="329"/>
      <c r="O768" s="329"/>
      <c r="P768" s="329"/>
      <c r="Q768" s="329"/>
      <c r="R768" s="329"/>
      <c r="S768" s="329"/>
      <c r="T768" s="329"/>
      <c r="U768" s="110"/>
      <c r="V768" s="110"/>
      <c r="W768" s="110"/>
      <c r="X768" s="110"/>
      <c r="Y768" s="110"/>
      <c r="Z768" s="110"/>
      <c r="AA768" s="110"/>
    </row>
    <row r="769" spans="1:27" ht="15.75" customHeight="1">
      <c r="A769" s="110"/>
      <c r="B769" s="427"/>
      <c r="C769" s="110"/>
      <c r="D769" s="110"/>
      <c r="E769" s="110"/>
      <c r="F769" s="110"/>
      <c r="G769" s="110"/>
      <c r="H769" s="110"/>
      <c r="I769" s="4"/>
      <c r="J769" s="110"/>
      <c r="K769" s="344"/>
      <c r="L769" s="110"/>
      <c r="M769" s="110"/>
      <c r="N769" s="329"/>
      <c r="O769" s="329"/>
      <c r="P769" s="329"/>
      <c r="Q769" s="329"/>
      <c r="R769" s="329"/>
      <c r="S769" s="329"/>
      <c r="T769" s="329"/>
      <c r="U769" s="110"/>
      <c r="V769" s="110"/>
      <c r="W769" s="110"/>
      <c r="X769" s="110"/>
      <c r="Y769" s="110"/>
      <c r="Z769" s="110"/>
      <c r="AA769" s="110"/>
    </row>
    <row r="770" spans="1:27" ht="15.75" customHeight="1">
      <c r="A770" s="110"/>
      <c r="B770" s="427"/>
      <c r="C770" s="110"/>
      <c r="D770" s="110"/>
      <c r="E770" s="110"/>
      <c r="F770" s="110"/>
      <c r="G770" s="110"/>
      <c r="H770" s="110"/>
      <c r="I770" s="4"/>
      <c r="J770" s="110"/>
      <c r="K770" s="344"/>
      <c r="L770" s="110"/>
      <c r="M770" s="110"/>
      <c r="N770" s="329"/>
      <c r="O770" s="329"/>
      <c r="P770" s="329"/>
      <c r="Q770" s="329"/>
      <c r="R770" s="329"/>
      <c r="S770" s="329"/>
      <c r="T770" s="329"/>
      <c r="U770" s="110"/>
      <c r="V770" s="110"/>
      <c r="W770" s="110"/>
      <c r="X770" s="110"/>
      <c r="Y770" s="110"/>
      <c r="Z770" s="110"/>
      <c r="AA770" s="110"/>
    </row>
    <row r="771" spans="1:27" ht="15.75" customHeight="1">
      <c r="A771" s="110"/>
      <c r="B771" s="427"/>
      <c r="C771" s="110"/>
      <c r="D771" s="110"/>
      <c r="E771" s="110"/>
      <c r="F771" s="110"/>
      <c r="G771" s="110"/>
      <c r="H771" s="110"/>
      <c r="I771" s="4"/>
      <c r="J771" s="110"/>
      <c r="K771" s="344"/>
      <c r="L771" s="110"/>
      <c r="M771" s="110"/>
      <c r="N771" s="329"/>
      <c r="O771" s="329"/>
      <c r="P771" s="329"/>
      <c r="Q771" s="329"/>
      <c r="R771" s="329"/>
      <c r="S771" s="329"/>
      <c r="T771" s="329"/>
      <c r="U771" s="110"/>
      <c r="V771" s="110"/>
      <c r="W771" s="110"/>
      <c r="X771" s="110"/>
      <c r="Y771" s="110"/>
      <c r="Z771" s="110"/>
      <c r="AA771" s="110"/>
    </row>
    <row r="772" spans="1:27" ht="15.75" customHeight="1">
      <c r="A772" s="110"/>
      <c r="B772" s="427"/>
      <c r="C772" s="110"/>
      <c r="D772" s="110"/>
      <c r="E772" s="110"/>
      <c r="F772" s="110"/>
      <c r="G772" s="110"/>
      <c r="H772" s="110"/>
      <c r="I772" s="4"/>
      <c r="J772" s="110"/>
      <c r="K772" s="344"/>
      <c r="L772" s="110"/>
      <c r="M772" s="110"/>
      <c r="N772" s="329"/>
      <c r="O772" s="329"/>
      <c r="P772" s="329"/>
      <c r="Q772" s="329"/>
      <c r="R772" s="329"/>
      <c r="S772" s="329"/>
      <c r="T772" s="329"/>
      <c r="U772" s="110"/>
      <c r="V772" s="110"/>
      <c r="W772" s="110"/>
      <c r="X772" s="110"/>
      <c r="Y772" s="110"/>
      <c r="Z772" s="110"/>
      <c r="AA772" s="110"/>
    </row>
    <row r="773" spans="1:27" ht="15.75" customHeight="1">
      <c r="A773" s="110"/>
      <c r="B773" s="427"/>
      <c r="C773" s="110"/>
      <c r="D773" s="110"/>
      <c r="E773" s="110"/>
      <c r="F773" s="110"/>
      <c r="G773" s="110"/>
      <c r="H773" s="110"/>
      <c r="I773" s="4"/>
      <c r="J773" s="110"/>
      <c r="K773" s="344"/>
      <c r="L773" s="110"/>
      <c r="M773" s="110"/>
      <c r="N773" s="329"/>
      <c r="O773" s="329"/>
      <c r="P773" s="329"/>
      <c r="Q773" s="329"/>
      <c r="R773" s="329"/>
      <c r="S773" s="329"/>
      <c r="T773" s="329"/>
      <c r="U773" s="110"/>
      <c r="V773" s="110"/>
      <c r="W773" s="110"/>
      <c r="X773" s="110"/>
      <c r="Y773" s="110"/>
      <c r="Z773" s="110"/>
      <c r="AA773" s="110"/>
    </row>
    <row r="774" spans="1:27" ht="15.75" customHeight="1">
      <c r="A774" s="110"/>
      <c r="B774" s="427"/>
      <c r="C774" s="110"/>
      <c r="D774" s="110"/>
      <c r="E774" s="110"/>
      <c r="F774" s="110"/>
      <c r="G774" s="110"/>
      <c r="H774" s="110"/>
      <c r="I774" s="4"/>
      <c r="J774" s="110"/>
      <c r="K774" s="344"/>
      <c r="L774" s="110"/>
      <c r="M774" s="110"/>
      <c r="N774" s="329"/>
      <c r="O774" s="329"/>
      <c r="P774" s="329"/>
      <c r="Q774" s="329"/>
      <c r="R774" s="329"/>
      <c r="S774" s="329"/>
      <c r="T774" s="329"/>
      <c r="U774" s="110"/>
      <c r="V774" s="110"/>
      <c r="W774" s="110"/>
      <c r="X774" s="110"/>
      <c r="Y774" s="110"/>
      <c r="Z774" s="110"/>
      <c r="AA774" s="110"/>
    </row>
    <row r="775" spans="1:27" ht="15.75" customHeight="1">
      <c r="A775" s="110"/>
      <c r="B775" s="427"/>
      <c r="C775" s="110"/>
      <c r="D775" s="110"/>
      <c r="E775" s="110"/>
      <c r="F775" s="110"/>
      <c r="G775" s="110"/>
      <c r="H775" s="110"/>
      <c r="I775" s="4"/>
      <c r="J775" s="110"/>
      <c r="K775" s="344"/>
      <c r="L775" s="110"/>
      <c r="M775" s="110"/>
      <c r="N775" s="329"/>
      <c r="O775" s="329"/>
      <c r="P775" s="329"/>
      <c r="Q775" s="329"/>
      <c r="R775" s="329"/>
      <c r="S775" s="329"/>
      <c r="T775" s="329"/>
      <c r="U775" s="110"/>
      <c r="V775" s="110"/>
      <c r="W775" s="110"/>
      <c r="X775" s="110"/>
      <c r="Y775" s="110"/>
      <c r="Z775" s="110"/>
      <c r="AA775" s="110"/>
    </row>
    <row r="776" spans="1:27" ht="15.75" customHeight="1">
      <c r="A776" s="110"/>
      <c r="B776" s="427"/>
      <c r="C776" s="110"/>
      <c r="D776" s="110"/>
      <c r="E776" s="110"/>
      <c r="F776" s="110"/>
      <c r="G776" s="110"/>
      <c r="H776" s="110"/>
      <c r="I776" s="4"/>
      <c r="J776" s="110"/>
      <c r="K776" s="344"/>
      <c r="L776" s="110"/>
      <c r="M776" s="110"/>
      <c r="N776" s="329"/>
      <c r="O776" s="329"/>
      <c r="P776" s="329"/>
      <c r="Q776" s="329"/>
      <c r="R776" s="329"/>
      <c r="S776" s="329"/>
      <c r="T776" s="329"/>
      <c r="U776" s="110"/>
      <c r="V776" s="110"/>
      <c r="W776" s="110"/>
      <c r="X776" s="110"/>
      <c r="Y776" s="110"/>
      <c r="Z776" s="110"/>
      <c r="AA776" s="110"/>
    </row>
    <row r="777" spans="1:27" ht="15.75" customHeight="1">
      <c r="A777" s="110"/>
      <c r="B777" s="427"/>
      <c r="C777" s="110"/>
      <c r="D777" s="110"/>
      <c r="E777" s="110"/>
      <c r="F777" s="110"/>
      <c r="G777" s="110"/>
      <c r="H777" s="110"/>
      <c r="I777" s="4"/>
      <c r="J777" s="110"/>
      <c r="K777" s="344"/>
      <c r="L777" s="110"/>
      <c r="M777" s="110"/>
      <c r="N777" s="329"/>
      <c r="O777" s="329"/>
      <c r="P777" s="329"/>
      <c r="Q777" s="329"/>
      <c r="R777" s="329"/>
      <c r="S777" s="329"/>
      <c r="T777" s="329"/>
      <c r="U777" s="110"/>
      <c r="V777" s="110"/>
      <c r="W777" s="110"/>
      <c r="X777" s="110"/>
      <c r="Y777" s="110"/>
      <c r="Z777" s="110"/>
      <c r="AA777" s="110"/>
    </row>
    <row r="778" spans="1:27" ht="15.75" customHeight="1">
      <c r="A778" s="110"/>
      <c r="B778" s="427"/>
      <c r="C778" s="110"/>
      <c r="D778" s="110"/>
      <c r="E778" s="110"/>
      <c r="F778" s="110"/>
      <c r="G778" s="110"/>
      <c r="H778" s="110"/>
      <c r="I778" s="4"/>
      <c r="J778" s="110"/>
      <c r="K778" s="344"/>
      <c r="L778" s="110"/>
      <c r="M778" s="110"/>
      <c r="N778" s="329"/>
      <c r="O778" s="329"/>
      <c r="P778" s="329"/>
      <c r="Q778" s="329"/>
      <c r="R778" s="329"/>
      <c r="S778" s="329"/>
      <c r="T778" s="329"/>
      <c r="U778" s="110"/>
      <c r="V778" s="110"/>
      <c r="W778" s="110"/>
      <c r="X778" s="110"/>
      <c r="Y778" s="110"/>
      <c r="Z778" s="110"/>
      <c r="AA778" s="110"/>
    </row>
    <row r="779" spans="1:27" ht="15.75" customHeight="1">
      <c r="A779" s="110"/>
      <c r="B779" s="427"/>
      <c r="C779" s="110"/>
      <c r="D779" s="110"/>
      <c r="E779" s="110"/>
      <c r="F779" s="110"/>
      <c r="G779" s="110"/>
      <c r="H779" s="110"/>
      <c r="I779" s="4"/>
      <c r="J779" s="110"/>
      <c r="K779" s="344"/>
      <c r="L779" s="110"/>
      <c r="M779" s="110"/>
      <c r="N779" s="329"/>
      <c r="O779" s="329"/>
      <c r="P779" s="329"/>
      <c r="Q779" s="329"/>
      <c r="R779" s="329"/>
      <c r="S779" s="329"/>
      <c r="T779" s="329"/>
      <c r="U779" s="110"/>
      <c r="V779" s="110"/>
      <c r="W779" s="110"/>
      <c r="X779" s="110"/>
      <c r="Y779" s="110"/>
      <c r="Z779" s="110"/>
      <c r="AA779" s="110"/>
    </row>
    <row r="780" spans="1:27" ht="15.75" customHeight="1">
      <c r="A780" s="110"/>
      <c r="B780" s="427"/>
      <c r="C780" s="110"/>
      <c r="D780" s="110"/>
      <c r="E780" s="110"/>
      <c r="F780" s="110"/>
      <c r="G780" s="110"/>
      <c r="H780" s="110"/>
      <c r="I780" s="4"/>
      <c r="J780" s="110"/>
      <c r="K780" s="344"/>
      <c r="L780" s="110"/>
      <c r="M780" s="110"/>
      <c r="N780" s="329"/>
      <c r="O780" s="329"/>
      <c r="P780" s="329"/>
      <c r="Q780" s="329"/>
      <c r="R780" s="329"/>
      <c r="S780" s="329"/>
      <c r="T780" s="329"/>
      <c r="U780" s="110"/>
      <c r="V780" s="110"/>
      <c r="W780" s="110"/>
      <c r="X780" s="110"/>
      <c r="Y780" s="110"/>
      <c r="Z780" s="110"/>
      <c r="AA780" s="110"/>
    </row>
    <row r="781" spans="1:27" ht="15.75" customHeight="1">
      <c r="A781" s="110"/>
      <c r="B781" s="427"/>
      <c r="C781" s="110"/>
      <c r="D781" s="110"/>
      <c r="E781" s="110"/>
      <c r="F781" s="110"/>
      <c r="G781" s="110"/>
      <c r="H781" s="110"/>
      <c r="I781" s="4"/>
      <c r="J781" s="110"/>
      <c r="K781" s="344"/>
      <c r="L781" s="110"/>
      <c r="M781" s="110"/>
      <c r="N781" s="329"/>
      <c r="O781" s="329"/>
      <c r="P781" s="329"/>
      <c r="Q781" s="329"/>
      <c r="R781" s="329"/>
      <c r="S781" s="329"/>
      <c r="T781" s="329"/>
      <c r="U781" s="110"/>
      <c r="V781" s="110"/>
      <c r="W781" s="110"/>
      <c r="X781" s="110"/>
      <c r="Y781" s="110"/>
      <c r="Z781" s="110"/>
      <c r="AA781" s="110"/>
    </row>
    <row r="782" spans="1:27" ht="15.75" customHeight="1">
      <c r="A782" s="110"/>
      <c r="B782" s="427"/>
      <c r="C782" s="110"/>
      <c r="D782" s="110"/>
      <c r="E782" s="110"/>
      <c r="F782" s="110"/>
      <c r="G782" s="110"/>
      <c r="H782" s="110"/>
      <c r="I782" s="4"/>
      <c r="J782" s="110"/>
      <c r="K782" s="344"/>
      <c r="L782" s="110"/>
      <c r="M782" s="110"/>
      <c r="N782" s="329"/>
      <c r="O782" s="329"/>
      <c r="P782" s="329"/>
      <c r="Q782" s="329"/>
      <c r="R782" s="329"/>
      <c r="S782" s="329"/>
      <c r="T782" s="329"/>
      <c r="U782" s="110"/>
      <c r="V782" s="110"/>
      <c r="W782" s="110"/>
      <c r="X782" s="110"/>
      <c r="Y782" s="110"/>
      <c r="Z782" s="110"/>
      <c r="AA782" s="110"/>
    </row>
    <row r="783" spans="1:27" ht="15.75" customHeight="1">
      <c r="A783" s="110"/>
      <c r="B783" s="427"/>
      <c r="C783" s="110"/>
      <c r="D783" s="110"/>
      <c r="E783" s="110"/>
      <c r="F783" s="110"/>
      <c r="G783" s="110"/>
      <c r="H783" s="110"/>
      <c r="I783" s="4"/>
      <c r="J783" s="110"/>
      <c r="K783" s="344"/>
      <c r="L783" s="110"/>
      <c r="M783" s="110"/>
      <c r="N783" s="329"/>
      <c r="O783" s="329"/>
      <c r="P783" s="329"/>
      <c r="Q783" s="329"/>
      <c r="R783" s="329"/>
      <c r="S783" s="329"/>
      <c r="T783" s="329"/>
      <c r="U783" s="110"/>
      <c r="V783" s="110"/>
      <c r="W783" s="110"/>
      <c r="X783" s="110"/>
      <c r="Y783" s="110"/>
      <c r="Z783" s="110"/>
      <c r="AA783" s="110"/>
    </row>
    <row r="784" spans="1:27" ht="15.75" customHeight="1">
      <c r="A784" s="110"/>
      <c r="B784" s="427"/>
      <c r="C784" s="110"/>
      <c r="D784" s="110"/>
      <c r="E784" s="110"/>
      <c r="F784" s="110"/>
      <c r="G784" s="110"/>
      <c r="H784" s="110"/>
      <c r="I784" s="4"/>
      <c r="J784" s="110"/>
      <c r="K784" s="344"/>
      <c r="L784" s="110"/>
      <c r="M784" s="110"/>
      <c r="N784" s="329"/>
      <c r="O784" s="329"/>
      <c r="P784" s="329"/>
      <c r="Q784" s="329"/>
      <c r="R784" s="329"/>
      <c r="S784" s="329"/>
      <c r="T784" s="329"/>
      <c r="U784" s="110"/>
      <c r="V784" s="110"/>
      <c r="W784" s="110"/>
      <c r="X784" s="110"/>
      <c r="Y784" s="110"/>
      <c r="Z784" s="110"/>
      <c r="AA784" s="110"/>
    </row>
    <row r="785" spans="1:27" ht="15.75" customHeight="1">
      <c r="A785" s="110"/>
      <c r="B785" s="427"/>
      <c r="C785" s="110"/>
      <c r="D785" s="110"/>
      <c r="E785" s="110"/>
      <c r="F785" s="110"/>
      <c r="G785" s="110"/>
      <c r="H785" s="110"/>
      <c r="I785" s="4"/>
      <c r="J785" s="110"/>
      <c r="K785" s="344"/>
      <c r="L785" s="110"/>
      <c r="M785" s="110"/>
      <c r="N785" s="329"/>
      <c r="O785" s="329"/>
      <c r="P785" s="329"/>
      <c r="Q785" s="329"/>
      <c r="R785" s="329"/>
      <c r="S785" s="329"/>
      <c r="T785" s="329"/>
      <c r="U785" s="110"/>
      <c r="V785" s="110"/>
      <c r="W785" s="110"/>
      <c r="X785" s="110"/>
      <c r="Y785" s="110"/>
      <c r="Z785" s="110"/>
      <c r="AA785" s="110"/>
    </row>
    <row r="786" spans="1:27" ht="15.75" customHeight="1">
      <c r="A786" s="110"/>
      <c r="B786" s="427"/>
      <c r="C786" s="110"/>
      <c r="D786" s="110"/>
      <c r="E786" s="110"/>
      <c r="F786" s="110"/>
      <c r="G786" s="110"/>
      <c r="H786" s="110"/>
      <c r="I786" s="4"/>
      <c r="J786" s="110"/>
      <c r="K786" s="344"/>
      <c r="L786" s="110"/>
      <c r="M786" s="110"/>
      <c r="N786" s="329"/>
      <c r="O786" s="329"/>
      <c r="P786" s="329"/>
      <c r="Q786" s="329"/>
      <c r="R786" s="329"/>
      <c r="S786" s="329"/>
      <c r="T786" s="329"/>
      <c r="U786" s="110"/>
      <c r="V786" s="110"/>
      <c r="W786" s="110"/>
      <c r="X786" s="110"/>
      <c r="Y786" s="110"/>
      <c r="Z786" s="110"/>
      <c r="AA786" s="110"/>
    </row>
    <row r="787" spans="1:27" ht="15.75" customHeight="1">
      <c r="A787" s="110"/>
      <c r="B787" s="427"/>
      <c r="C787" s="110"/>
      <c r="D787" s="110"/>
      <c r="E787" s="110"/>
      <c r="F787" s="110"/>
      <c r="G787" s="110"/>
      <c r="H787" s="110"/>
      <c r="I787" s="4"/>
      <c r="J787" s="110"/>
      <c r="K787" s="344"/>
      <c r="L787" s="110"/>
      <c r="M787" s="110"/>
      <c r="N787" s="329"/>
      <c r="O787" s="329"/>
      <c r="P787" s="329"/>
      <c r="Q787" s="329"/>
      <c r="R787" s="329"/>
      <c r="S787" s="329"/>
      <c r="T787" s="329"/>
      <c r="U787" s="110"/>
      <c r="V787" s="110"/>
      <c r="W787" s="110"/>
      <c r="X787" s="110"/>
      <c r="Y787" s="110"/>
      <c r="Z787" s="110"/>
      <c r="AA787" s="110"/>
    </row>
    <row r="788" spans="1:27" ht="15.75" customHeight="1">
      <c r="A788" s="110"/>
      <c r="B788" s="427"/>
      <c r="C788" s="110"/>
      <c r="D788" s="110"/>
      <c r="E788" s="110"/>
      <c r="F788" s="110"/>
      <c r="G788" s="110"/>
      <c r="H788" s="110"/>
      <c r="I788" s="4"/>
      <c r="J788" s="110"/>
      <c r="K788" s="344"/>
      <c r="L788" s="110"/>
      <c r="M788" s="110"/>
      <c r="N788" s="329"/>
      <c r="O788" s="329"/>
      <c r="P788" s="329"/>
      <c r="Q788" s="329"/>
      <c r="R788" s="329"/>
      <c r="S788" s="329"/>
      <c r="T788" s="329"/>
      <c r="U788" s="110"/>
      <c r="V788" s="110"/>
      <c r="W788" s="110"/>
      <c r="X788" s="110"/>
      <c r="Y788" s="110"/>
      <c r="Z788" s="110"/>
      <c r="AA788" s="110"/>
    </row>
    <row r="789" spans="1:27" ht="15.75" customHeight="1">
      <c r="A789" s="110"/>
      <c r="B789" s="427"/>
      <c r="C789" s="110"/>
      <c r="D789" s="110"/>
      <c r="E789" s="110"/>
      <c r="F789" s="110"/>
      <c r="G789" s="110"/>
      <c r="H789" s="110"/>
      <c r="I789" s="4"/>
      <c r="J789" s="110"/>
      <c r="K789" s="344"/>
      <c r="L789" s="110"/>
      <c r="M789" s="110"/>
      <c r="N789" s="329"/>
      <c r="O789" s="329"/>
      <c r="P789" s="329"/>
      <c r="Q789" s="329"/>
      <c r="R789" s="329"/>
      <c r="S789" s="329"/>
      <c r="T789" s="329"/>
      <c r="U789" s="110"/>
      <c r="V789" s="110"/>
      <c r="W789" s="110"/>
      <c r="X789" s="110"/>
      <c r="Y789" s="110"/>
      <c r="Z789" s="110"/>
      <c r="AA789" s="110"/>
    </row>
    <row r="790" spans="1:27" ht="15.75" customHeight="1">
      <c r="A790" s="110"/>
      <c r="B790" s="427"/>
      <c r="C790" s="110"/>
      <c r="D790" s="110"/>
      <c r="E790" s="110"/>
      <c r="F790" s="110"/>
      <c r="G790" s="110"/>
      <c r="H790" s="110"/>
      <c r="I790" s="4"/>
      <c r="J790" s="110"/>
      <c r="K790" s="344"/>
      <c r="L790" s="110"/>
      <c r="M790" s="110"/>
      <c r="N790" s="329"/>
      <c r="O790" s="329"/>
      <c r="P790" s="329"/>
      <c r="Q790" s="329"/>
      <c r="R790" s="329"/>
      <c r="S790" s="329"/>
      <c r="T790" s="329"/>
      <c r="U790" s="110"/>
      <c r="V790" s="110"/>
      <c r="W790" s="110"/>
      <c r="X790" s="110"/>
      <c r="Y790" s="110"/>
      <c r="Z790" s="110"/>
      <c r="AA790" s="110"/>
    </row>
    <row r="791" spans="1:27" ht="15.75" customHeight="1">
      <c r="A791" s="110"/>
      <c r="B791" s="427"/>
      <c r="C791" s="110"/>
      <c r="D791" s="110"/>
      <c r="E791" s="110"/>
      <c r="F791" s="110"/>
      <c r="G791" s="110"/>
      <c r="H791" s="110"/>
      <c r="I791" s="4"/>
      <c r="J791" s="110"/>
      <c r="K791" s="344"/>
      <c r="L791" s="110"/>
      <c r="M791" s="110"/>
      <c r="N791" s="329"/>
      <c r="O791" s="329"/>
      <c r="P791" s="329"/>
      <c r="Q791" s="329"/>
      <c r="R791" s="329"/>
      <c r="S791" s="329"/>
      <c r="T791" s="329"/>
      <c r="U791" s="110"/>
      <c r="V791" s="110"/>
      <c r="W791" s="110"/>
      <c r="X791" s="110"/>
      <c r="Y791" s="110"/>
      <c r="Z791" s="110"/>
      <c r="AA791" s="110"/>
    </row>
    <row r="792" spans="1:27" ht="15.75" customHeight="1">
      <c r="A792" s="110"/>
      <c r="B792" s="427"/>
      <c r="C792" s="110"/>
      <c r="D792" s="110"/>
      <c r="E792" s="110"/>
      <c r="F792" s="110"/>
      <c r="G792" s="110"/>
      <c r="H792" s="110"/>
      <c r="I792" s="4"/>
      <c r="J792" s="110"/>
      <c r="K792" s="344"/>
      <c r="L792" s="110"/>
      <c r="M792" s="110"/>
      <c r="N792" s="329"/>
      <c r="O792" s="329"/>
      <c r="P792" s="329"/>
      <c r="Q792" s="329"/>
      <c r="R792" s="329"/>
      <c r="S792" s="329"/>
      <c r="T792" s="329"/>
      <c r="U792" s="110"/>
      <c r="V792" s="110"/>
      <c r="W792" s="110"/>
      <c r="X792" s="110"/>
      <c r="Y792" s="110"/>
      <c r="Z792" s="110"/>
      <c r="AA792" s="110"/>
    </row>
    <row r="793" spans="1:27" ht="15.75" customHeight="1">
      <c r="A793" s="110"/>
      <c r="B793" s="427"/>
      <c r="C793" s="110"/>
      <c r="D793" s="110"/>
      <c r="E793" s="110"/>
      <c r="F793" s="110"/>
      <c r="G793" s="110"/>
      <c r="H793" s="110"/>
      <c r="I793" s="4"/>
      <c r="J793" s="110"/>
      <c r="K793" s="344"/>
      <c r="L793" s="110"/>
      <c r="M793" s="110"/>
      <c r="N793" s="329"/>
      <c r="O793" s="329"/>
      <c r="P793" s="329"/>
      <c r="Q793" s="329"/>
      <c r="R793" s="329"/>
      <c r="S793" s="329"/>
      <c r="T793" s="329"/>
      <c r="U793" s="110"/>
      <c r="V793" s="110"/>
      <c r="W793" s="110"/>
      <c r="X793" s="110"/>
      <c r="Y793" s="110"/>
      <c r="Z793" s="110"/>
      <c r="AA793" s="110"/>
    </row>
    <row r="794" spans="1:27" ht="15.75" customHeight="1">
      <c r="A794" s="110"/>
      <c r="B794" s="427"/>
      <c r="C794" s="110"/>
      <c r="D794" s="110"/>
      <c r="E794" s="110"/>
      <c r="F794" s="110"/>
      <c r="G794" s="110"/>
      <c r="H794" s="110"/>
      <c r="I794" s="4"/>
      <c r="J794" s="110"/>
      <c r="K794" s="344"/>
      <c r="L794" s="110"/>
      <c r="M794" s="110"/>
      <c r="N794" s="329"/>
      <c r="O794" s="329"/>
      <c r="P794" s="329"/>
      <c r="Q794" s="329"/>
      <c r="R794" s="329"/>
      <c r="S794" s="329"/>
      <c r="T794" s="329"/>
      <c r="U794" s="110"/>
      <c r="V794" s="110"/>
      <c r="W794" s="110"/>
      <c r="X794" s="110"/>
      <c r="Y794" s="110"/>
      <c r="Z794" s="110"/>
      <c r="AA794" s="110"/>
    </row>
    <row r="795" spans="1:27" ht="15.75" customHeight="1">
      <c r="A795" s="110"/>
      <c r="B795" s="427"/>
      <c r="C795" s="110"/>
      <c r="D795" s="110"/>
      <c r="E795" s="110"/>
      <c r="F795" s="110"/>
      <c r="G795" s="110"/>
      <c r="H795" s="110"/>
      <c r="I795" s="4"/>
      <c r="J795" s="110"/>
      <c r="K795" s="344"/>
      <c r="L795" s="110"/>
      <c r="M795" s="110"/>
      <c r="N795" s="329"/>
      <c r="O795" s="329"/>
      <c r="P795" s="329"/>
      <c r="Q795" s="329"/>
      <c r="R795" s="329"/>
      <c r="S795" s="329"/>
      <c r="T795" s="329"/>
      <c r="U795" s="110"/>
      <c r="V795" s="110"/>
      <c r="W795" s="110"/>
      <c r="X795" s="110"/>
      <c r="Y795" s="110"/>
      <c r="Z795" s="110"/>
      <c r="AA795" s="110"/>
    </row>
    <row r="796" spans="1:27" ht="15.75" customHeight="1">
      <c r="A796" s="110"/>
      <c r="B796" s="427"/>
      <c r="C796" s="110"/>
      <c r="D796" s="110"/>
      <c r="E796" s="110"/>
      <c r="F796" s="110"/>
      <c r="G796" s="110"/>
      <c r="H796" s="110"/>
      <c r="I796" s="4"/>
      <c r="J796" s="110"/>
      <c r="K796" s="344"/>
      <c r="L796" s="110"/>
      <c r="M796" s="110"/>
      <c r="N796" s="329"/>
      <c r="O796" s="329"/>
      <c r="P796" s="329"/>
      <c r="Q796" s="329"/>
      <c r="R796" s="329"/>
      <c r="S796" s="329"/>
      <c r="T796" s="329"/>
      <c r="U796" s="110"/>
      <c r="V796" s="110"/>
      <c r="W796" s="110"/>
      <c r="X796" s="110"/>
      <c r="Y796" s="110"/>
      <c r="Z796" s="110"/>
      <c r="AA796" s="110"/>
    </row>
    <row r="797" spans="1:27" ht="15.75" customHeight="1">
      <c r="A797" s="110"/>
      <c r="B797" s="427"/>
      <c r="C797" s="110"/>
      <c r="D797" s="110"/>
      <c r="E797" s="110"/>
      <c r="F797" s="110"/>
      <c r="G797" s="110"/>
      <c r="H797" s="110"/>
      <c r="I797" s="4"/>
      <c r="J797" s="110"/>
      <c r="K797" s="344"/>
      <c r="L797" s="110"/>
      <c r="M797" s="110"/>
      <c r="N797" s="329"/>
      <c r="O797" s="329"/>
      <c r="P797" s="329"/>
      <c r="Q797" s="329"/>
      <c r="R797" s="329"/>
      <c r="S797" s="329"/>
      <c r="T797" s="329"/>
      <c r="U797" s="110"/>
      <c r="V797" s="110"/>
      <c r="W797" s="110"/>
      <c r="X797" s="110"/>
      <c r="Y797" s="110"/>
      <c r="Z797" s="110"/>
      <c r="AA797" s="110"/>
    </row>
    <row r="798" spans="1:27" ht="15.75" customHeight="1">
      <c r="A798" s="110"/>
      <c r="B798" s="427"/>
      <c r="C798" s="110"/>
      <c r="D798" s="110"/>
      <c r="E798" s="110"/>
      <c r="F798" s="110"/>
      <c r="G798" s="110"/>
      <c r="H798" s="110"/>
      <c r="I798" s="4"/>
      <c r="J798" s="110"/>
      <c r="K798" s="344"/>
      <c r="L798" s="110"/>
      <c r="M798" s="110"/>
      <c r="N798" s="329"/>
      <c r="O798" s="329"/>
      <c r="P798" s="329"/>
      <c r="Q798" s="329"/>
      <c r="R798" s="329"/>
      <c r="S798" s="329"/>
      <c r="T798" s="329"/>
      <c r="U798" s="110"/>
      <c r="V798" s="110"/>
      <c r="W798" s="110"/>
      <c r="X798" s="110"/>
      <c r="Y798" s="110"/>
      <c r="Z798" s="110"/>
      <c r="AA798" s="110"/>
    </row>
    <row r="799" spans="1:27" ht="15.75" customHeight="1">
      <c r="A799" s="110"/>
      <c r="B799" s="427"/>
      <c r="C799" s="110"/>
      <c r="D799" s="110"/>
      <c r="E799" s="110"/>
      <c r="F799" s="110"/>
      <c r="G799" s="110"/>
      <c r="H799" s="110"/>
      <c r="I799" s="4"/>
      <c r="J799" s="110"/>
      <c r="K799" s="344"/>
      <c r="L799" s="110"/>
      <c r="M799" s="110"/>
      <c r="N799" s="329"/>
      <c r="O799" s="329"/>
      <c r="P799" s="329"/>
      <c r="Q799" s="329"/>
      <c r="R799" s="329"/>
      <c r="S799" s="329"/>
      <c r="T799" s="329"/>
      <c r="U799" s="110"/>
      <c r="V799" s="110"/>
      <c r="W799" s="110"/>
      <c r="X799" s="110"/>
      <c r="Y799" s="110"/>
      <c r="Z799" s="110"/>
      <c r="AA799" s="110"/>
    </row>
    <row r="800" spans="1:27" ht="15.75" customHeight="1">
      <c r="A800" s="110"/>
      <c r="B800" s="427"/>
      <c r="C800" s="110"/>
      <c r="D800" s="110"/>
      <c r="E800" s="110"/>
      <c r="F800" s="110"/>
      <c r="G800" s="110"/>
      <c r="H800" s="110"/>
      <c r="I800" s="4"/>
      <c r="J800" s="110"/>
      <c r="K800" s="344"/>
      <c r="L800" s="110"/>
      <c r="M800" s="110"/>
      <c r="N800" s="329"/>
      <c r="O800" s="329"/>
      <c r="P800" s="329"/>
      <c r="Q800" s="329"/>
      <c r="R800" s="329"/>
      <c r="S800" s="329"/>
      <c r="T800" s="329"/>
      <c r="U800" s="110"/>
      <c r="V800" s="110"/>
      <c r="W800" s="110"/>
      <c r="X800" s="110"/>
      <c r="Y800" s="110"/>
      <c r="Z800" s="110"/>
      <c r="AA800" s="110"/>
    </row>
    <row r="801" spans="1:27" ht="15.75" customHeight="1">
      <c r="A801" s="110"/>
      <c r="B801" s="427"/>
      <c r="C801" s="110"/>
      <c r="D801" s="110"/>
      <c r="E801" s="110"/>
      <c r="F801" s="110"/>
      <c r="G801" s="110"/>
      <c r="H801" s="110"/>
      <c r="I801" s="4"/>
      <c r="J801" s="110"/>
      <c r="K801" s="344"/>
      <c r="L801" s="110"/>
      <c r="M801" s="110"/>
      <c r="N801" s="329"/>
      <c r="O801" s="329"/>
      <c r="P801" s="329"/>
      <c r="Q801" s="329"/>
      <c r="R801" s="329"/>
      <c r="S801" s="329"/>
      <c r="T801" s="329"/>
      <c r="U801" s="110"/>
      <c r="V801" s="110"/>
      <c r="W801" s="110"/>
      <c r="X801" s="110"/>
      <c r="Y801" s="110"/>
      <c r="Z801" s="110"/>
      <c r="AA801" s="110"/>
    </row>
    <row r="802" spans="1:27" ht="15.75" customHeight="1">
      <c r="A802" s="110"/>
      <c r="B802" s="427"/>
      <c r="C802" s="110"/>
      <c r="D802" s="110"/>
      <c r="E802" s="110"/>
      <c r="F802" s="110"/>
      <c r="G802" s="110"/>
      <c r="H802" s="110"/>
      <c r="I802" s="4"/>
      <c r="J802" s="110"/>
      <c r="K802" s="344"/>
      <c r="L802" s="110"/>
      <c r="M802" s="110"/>
      <c r="N802" s="329"/>
      <c r="O802" s="329"/>
      <c r="P802" s="329"/>
      <c r="Q802" s="329"/>
      <c r="R802" s="329"/>
      <c r="S802" s="329"/>
      <c r="T802" s="329"/>
      <c r="U802" s="110"/>
      <c r="V802" s="110"/>
      <c r="W802" s="110"/>
      <c r="X802" s="110"/>
      <c r="Y802" s="110"/>
      <c r="Z802" s="110"/>
      <c r="AA802" s="110"/>
    </row>
    <row r="803" spans="1:27" ht="15.75" customHeight="1">
      <c r="A803" s="110"/>
      <c r="B803" s="427"/>
      <c r="C803" s="110"/>
      <c r="D803" s="110"/>
      <c r="E803" s="110"/>
      <c r="F803" s="110"/>
      <c r="G803" s="110"/>
      <c r="H803" s="110"/>
      <c r="I803" s="4"/>
      <c r="J803" s="110"/>
      <c r="K803" s="344"/>
      <c r="L803" s="110"/>
      <c r="M803" s="110"/>
      <c r="N803" s="329"/>
      <c r="O803" s="329"/>
      <c r="P803" s="329"/>
      <c r="Q803" s="329"/>
      <c r="R803" s="329"/>
      <c r="S803" s="329"/>
      <c r="T803" s="329"/>
      <c r="U803" s="110"/>
      <c r="V803" s="110"/>
      <c r="W803" s="110"/>
      <c r="X803" s="110"/>
      <c r="Y803" s="110"/>
      <c r="Z803" s="110"/>
      <c r="AA803" s="110"/>
    </row>
    <row r="804" spans="1:27" ht="15.75" customHeight="1">
      <c r="A804" s="110"/>
      <c r="B804" s="427"/>
      <c r="C804" s="110"/>
      <c r="D804" s="110"/>
      <c r="E804" s="110"/>
      <c r="F804" s="110"/>
      <c r="G804" s="110"/>
      <c r="H804" s="110"/>
      <c r="I804" s="4"/>
      <c r="J804" s="110"/>
      <c r="K804" s="344"/>
      <c r="L804" s="110"/>
      <c r="M804" s="110"/>
      <c r="N804" s="329"/>
      <c r="O804" s="329"/>
      <c r="P804" s="329"/>
      <c r="Q804" s="329"/>
      <c r="R804" s="329"/>
      <c r="S804" s="329"/>
      <c r="T804" s="329"/>
      <c r="U804" s="110"/>
      <c r="V804" s="110"/>
      <c r="W804" s="110"/>
      <c r="X804" s="110"/>
      <c r="Y804" s="110"/>
      <c r="Z804" s="110"/>
      <c r="AA804" s="110"/>
    </row>
    <row r="805" spans="1:27" ht="15.75" customHeight="1">
      <c r="A805" s="110"/>
      <c r="B805" s="427"/>
      <c r="C805" s="110"/>
      <c r="D805" s="110"/>
      <c r="E805" s="110"/>
      <c r="F805" s="110"/>
      <c r="G805" s="110"/>
      <c r="H805" s="110"/>
      <c r="I805" s="4"/>
      <c r="J805" s="110"/>
      <c r="K805" s="344"/>
      <c r="L805" s="110"/>
      <c r="M805" s="110"/>
      <c r="N805" s="329"/>
      <c r="O805" s="329"/>
      <c r="P805" s="329"/>
      <c r="Q805" s="329"/>
      <c r="R805" s="329"/>
      <c r="S805" s="329"/>
      <c r="T805" s="329"/>
      <c r="U805" s="110"/>
      <c r="V805" s="110"/>
      <c r="W805" s="110"/>
      <c r="X805" s="110"/>
      <c r="Y805" s="110"/>
      <c r="Z805" s="110"/>
      <c r="AA805" s="110"/>
    </row>
    <row r="806" spans="1:27" ht="15.75" customHeight="1">
      <c r="A806" s="110"/>
      <c r="B806" s="427"/>
      <c r="C806" s="110"/>
      <c r="D806" s="110"/>
      <c r="E806" s="110"/>
      <c r="F806" s="110"/>
      <c r="G806" s="110"/>
      <c r="H806" s="110"/>
      <c r="I806" s="4"/>
      <c r="J806" s="110"/>
      <c r="K806" s="344"/>
      <c r="L806" s="110"/>
      <c r="M806" s="110"/>
      <c r="N806" s="329"/>
      <c r="O806" s="329"/>
      <c r="P806" s="329"/>
      <c r="Q806" s="329"/>
      <c r="R806" s="329"/>
      <c r="S806" s="329"/>
      <c r="T806" s="329"/>
      <c r="U806" s="110"/>
      <c r="V806" s="110"/>
      <c r="W806" s="110"/>
      <c r="X806" s="110"/>
      <c r="Y806" s="110"/>
      <c r="Z806" s="110"/>
      <c r="AA806" s="110"/>
    </row>
    <row r="807" spans="1:27" ht="15.75" customHeight="1">
      <c r="A807" s="110"/>
      <c r="B807" s="427"/>
      <c r="C807" s="110"/>
      <c r="D807" s="110"/>
      <c r="E807" s="110"/>
      <c r="F807" s="110"/>
      <c r="G807" s="110"/>
      <c r="H807" s="110"/>
      <c r="I807" s="4"/>
      <c r="J807" s="110"/>
      <c r="K807" s="344"/>
      <c r="L807" s="110"/>
      <c r="M807" s="110"/>
      <c r="N807" s="329"/>
      <c r="O807" s="329"/>
      <c r="P807" s="329"/>
      <c r="Q807" s="329"/>
      <c r="R807" s="329"/>
      <c r="S807" s="329"/>
      <c r="T807" s="329"/>
      <c r="U807" s="110"/>
      <c r="V807" s="110"/>
      <c r="W807" s="110"/>
      <c r="X807" s="110"/>
      <c r="Y807" s="110"/>
      <c r="Z807" s="110"/>
      <c r="AA807" s="110"/>
    </row>
    <row r="808" spans="1:27" ht="15.75" customHeight="1">
      <c r="A808" s="110"/>
      <c r="B808" s="427"/>
      <c r="C808" s="110"/>
      <c r="D808" s="110"/>
      <c r="E808" s="110"/>
      <c r="F808" s="110"/>
      <c r="G808" s="110"/>
      <c r="H808" s="110"/>
      <c r="I808" s="4"/>
      <c r="J808" s="110"/>
      <c r="K808" s="344"/>
      <c r="L808" s="110"/>
      <c r="M808" s="110"/>
      <c r="N808" s="329"/>
      <c r="O808" s="329"/>
      <c r="P808" s="329"/>
      <c r="Q808" s="329"/>
      <c r="R808" s="329"/>
      <c r="S808" s="329"/>
      <c r="T808" s="329"/>
      <c r="U808" s="110"/>
      <c r="V808" s="110"/>
      <c r="W808" s="110"/>
      <c r="X808" s="110"/>
      <c r="Y808" s="110"/>
      <c r="Z808" s="110"/>
      <c r="AA808" s="110"/>
    </row>
    <row r="809" spans="1:27" ht="15.75" customHeight="1">
      <c r="A809" s="110"/>
      <c r="B809" s="427"/>
      <c r="C809" s="110"/>
      <c r="D809" s="110"/>
      <c r="E809" s="110"/>
      <c r="F809" s="110"/>
      <c r="G809" s="110"/>
      <c r="H809" s="110"/>
      <c r="I809" s="4"/>
      <c r="J809" s="110"/>
      <c r="K809" s="344"/>
      <c r="L809" s="110"/>
      <c r="M809" s="110"/>
      <c r="N809" s="329"/>
      <c r="O809" s="329"/>
      <c r="P809" s="329"/>
      <c r="Q809" s="329"/>
      <c r="R809" s="329"/>
      <c r="S809" s="329"/>
      <c r="T809" s="329"/>
      <c r="U809" s="110"/>
      <c r="V809" s="110"/>
      <c r="W809" s="110"/>
      <c r="X809" s="110"/>
      <c r="Y809" s="110"/>
      <c r="Z809" s="110"/>
      <c r="AA809" s="110"/>
    </row>
    <row r="810" spans="1:27" ht="15.75" customHeight="1">
      <c r="A810" s="110"/>
      <c r="B810" s="427"/>
      <c r="C810" s="110"/>
      <c r="D810" s="110"/>
      <c r="E810" s="110"/>
      <c r="F810" s="110"/>
      <c r="G810" s="110"/>
      <c r="H810" s="110"/>
      <c r="I810" s="4"/>
      <c r="J810" s="110"/>
      <c r="K810" s="344"/>
      <c r="L810" s="110"/>
      <c r="M810" s="110"/>
      <c r="N810" s="329"/>
      <c r="O810" s="329"/>
      <c r="P810" s="329"/>
      <c r="Q810" s="329"/>
      <c r="R810" s="329"/>
      <c r="S810" s="329"/>
      <c r="T810" s="329"/>
      <c r="U810" s="110"/>
      <c r="V810" s="110"/>
      <c r="W810" s="110"/>
      <c r="X810" s="110"/>
      <c r="Y810" s="110"/>
      <c r="Z810" s="110"/>
      <c r="AA810" s="110"/>
    </row>
    <row r="811" spans="1:27" ht="15.75" customHeight="1">
      <c r="A811" s="110"/>
      <c r="B811" s="427"/>
      <c r="C811" s="110"/>
      <c r="D811" s="110"/>
      <c r="E811" s="110"/>
      <c r="F811" s="110"/>
      <c r="G811" s="110"/>
      <c r="H811" s="110"/>
      <c r="I811" s="4"/>
      <c r="J811" s="110"/>
      <c r="K811" s="344"/>
      <c r="L811" s="110"/>
      <c r="M811" s="110"/>
      <c r="N811" s="329"/>
      <c r="O811" s="329"/>
      <c r="P811" s="329"/>
      <c r="Q811" s="329"/>
      <c r="R811" s="329"/>
      <c r="S811" s="329"/>
      <c r="T811" s="329"/>
      <c r="U811" s="110"/>
      <c r="V811" s="110"/>
      <c r="W811" s="110"/>
      <c r="X811" s="110"/>
      <c r="Y811" s="110"/>
      <c r="Z811" s="110"/>
      <c r="AA811" s="110"/>
    </row>
    <row r="812" spans="1:27" ht="15.75" customHeight="1">
      <c r="A812" s="110"/>
      <c r="B812" s="427"/>
      <c r="C812" s="110"/>
      <c r="D812" s="110"/>
      <c r="E812" s="110"/>
      <c r="F812" s="110"/>
      <c r="G812" s="110"/>
      <c r="H812" s="110"/>
      <c r="I812" s="4"/>
      <c r="J812" s="110"/>
      <c r="K812" s="344"/>
      <c r="L812" s="110"/>
      <c r="M812" s="110"/>
      <c r="N812" s="329"/>
      <c r="O812" s="329"/>
      <c r="P812" s="329"/>
      <c r="Q812" s="329"/>
      <c r="R812" s="329"/>
      <c r="S812" s="329"/>
      <c r="T812" s="329"/>
      <c r="U812" s="110"/>
      <c r="V812" s="110"/>
      <c r="W812" s="110"/>
      <c r="X812" s="110"/>
      <c r="Y812" s="110"/>
      <c r="Z812" s="110"/>
      <c r="AA812" s="110"/>
    </row>
    <row r="813" spans="1:27" ht="15.75" customHeight="1">
      <c r="A813" s="110"/>
      <c r="B813" s="427"/>
      <c r="C813" s="110"/>
      <c r="D813" s="110"/>
      <c r="E813" s="110"/>
      <c r="F813" s="110"/>
      <c r="G813" s="110"/>
      <c r="H813" s="110"/>
      <c r="I813" s="4"/>
      <c r="J813" s="110"/>
      <c r="K813" s="344"/>
      <c r="L813" s="110"/>
      <c r="M813" s="110"/>
      <c r="N813" s="329"/>
      <c r="O813" s="329"/>
      <c r="P813" s="329"/>
      <c r="Q813" s="329"/>
      <c r="R813" s="329"/>
      <c r="S813" s="329"/>
      <c r="T813" s="329"/>
      <c r="U813" s="110"/>
      <c r="V813" s="110"/>
      <c r="W813" s="110"/>
      <c r="X813" s="110"/>
      <c r="Y813" s="110"/>
      <c r="Z813" s="110"/>
      <c r="AA813" s="110"/>
    </row>
    <row r="814" spans="1:27" ht="15.75" customHeight="1">
      <c r="A814" s="110"/>
      <c r="B814" s="427"/>
      <c r="C814" s="110"/>
      <c r="D814" s="110"/>
      <c r="E814" s="110"/>
      <c r="F814" s="110"/>
      <c r="G814" s="110"/>
      <c r="H814" s="110"/>
      <c r="I814" s="4"/>
      <c r="J814" s="110"/>
      <c r="K814" s="344"/>
      <c r="L814" s="110"/>
      <c r="M814" s="110"/>
      <c r="N814" s="329"/>
      <c r="O814" s="329"/>
      <c r="P814" s="329"/>
      <c r="Q814" s="329"/>
      <c r="R814" s="329"/>
      <c r="S814" s="329"/>
      <c r="T814" s="329"/>
      <c r="U814" s="110"/>
      <c r="V814" s="110"/>
      <c r="W814" s="110"/>
      <c r="X814" s="110"/>
      <c r="Y814" s="110"/>
      <c r="Z814" s="110"/>
      <c r="AA814" s="110"/>
    </row>
    <row r="815" spans="1:27" ht="15.75" customHeight="1">
      <c r="A815" s="110"/>
      <c r="B815" s="427"/>
      <c r="C815" s="110"/>
      <c r="D815" s="110"/>
      <c r="E815" s="110"/>
      <c r="F815" s="110"/>
      <c r="G815" s="110"/>
      <c r="H815" s="110"/>
      <c r="I815" s="4"/>
      <c r="J815" s="110"/>
      <c r="K815" s="344"/>
      <c r="L815" s="110"/>
      <c r="M815" s="110"/>
      <c r="N815" s="329"/>
      <c r="O815" s="329"/>
      <c r="P815" s="329"/>
      <c r="Q815" s="329"/>
      <c r="R815" s="329"/>
      <c r="S815" s="329"/>
      <c r="T815" s="329"/>
      <c r="U815" s="110"/>
      <c r="V815" s="110"/>
      <c r="W815" s="110"/>
      <c r="X815" s="110"/>
      <c r="Y815" s="110"/>
      <c r="Z815" s="110"/>
      <c r="AA815" s="110"/>
    </row>
    <row r="816" spans="1:27" ht="15.75" customHeight="1">
      <c r="A816" s="110"/>
      <c r="B816" s="427"/>
      <c r="C816" s="110"/>
      <c r="D816" s="110"/>
      <c r="E816" s="110"/>
      <c r="F816" s="110"/>
      <c r="G816" s="110"/>
      <c r="H816" s="110"/>
      <c r="I816" s="4"/>
      <c r="J816" s="110"/>
      <c r="K816" s="344"/>
      <c r="L816" s="110"/>
      <c r="M816" s="110"/>
      <c r="N816" s="329"/>
      <c r="O816" s="329"/>
      <c r="P816" s="329"/>
      <c r="Q816" s="329"/>
      <c r="R816" s="329"/>
      <c r="S816" s="329"/>
      <c r="T816" s="329"/>
      <c r="U816" s="110"/>
      <c r="V816" s="110"/>
      <c r="W816" s="110"/>
      <c r="X816" s="110"/>
      <c r="Y816" s="110"/>
      <c r="Z816" s="110"/>
      <c r="AA816" s="110"/>
    </row>
    <row r="817" spans="1:27" ht="15.75" customHeight="1">
      <c r="A817" s="110"/>
      <c r="B817" s="427"/>
      <c r="C817" s="110"/>
      <c r="D817" s="110"/>
      <c r="E817" s="110"/>
      <c r="F817" s="110"/>
      <c r="G817" s="110"/>
      <c r="H817" s="110"/>
      <c r="I817" s="4"/>
      <c r="J817" s="110"/>
      <c r="K817" s="344"/>
      <c r="L817" s="110"/>
      <c r="M817" s="110"/>
      <c r="N817" s="329"/>
      <c r="O817" s="329"/>
      <c r="P817" s="329"/>
      <c r="Q817" s="329"/>
      <c r="R817" s="329"/>
      <c r="S817" s="329"/>
      <c r="T817" s="329"/>
      <c r="U817" s="110"/>
      <c r="V817" s="110"/>
      <c r="W817" s="110"/>
      <c r="X817" s="110"/>
      <c r="Y817" s="110"/>
      <c r="Z817" s="110"/>
      <c r="AA817" s="110"/>
    </row>
    <row r="818" spans="1:27" ht="15.75" customHeight="1">
      <c r="A818" s="110"/>
      <c r="B818" s="427"/>
      <c r="C818" s="110"/>
      <c r="D818" s="110"/>
      <c r="E818" s="110"/>
      <c r="F818" s="110"/>
      <c r="G818" s="110"/>
      <c r="H818" s="110"/>
      <c r="I818" s="4"/>
      <c r="J818" s="110"/>
      <c r="K818" s="344"/>
      <c r="L818" s="110"/>
      <c r="M818" s="110"/>
      <c r="N818" s="329"/>
      <c r="O818" s="329"/>
      <c r="P818" s="329"/>
      <c r="Q818" s="329"/>
      <c r="R818" s="329"/>
      <c r="S818" s="329"/>
      <c r="T818" s="329"/>
      <c r="U818" s="110"/>
      <c r="V818" s="110"/>
      <c r="W818" s="110"/>
      <c r="X818" s="110"/>
      <c r="Y818" s="110"/>
      <c r="Z818" s="110"/>
      <c r="AA818" s="110"/>
    </row>
    <row r="819" spans="1:27" ht="15.75" customHeight="1">
      <c r="A819" s="110"/>
      <c r="B819" s="427"/>
      <c r="C819" s="110"/>
      <c r="D819" s="110"/>
      <c r="E819" s="110"/>
      <c r="F819" s="110"/>
      <c r="G819" s="110"/>
      <c r="H819" s="110"/>
      <c r="I819" s="4"/>
      <c r="J819" s="110"/>
      <c r="K819" s="344"/>
      <c r="L819" s="110"/>
      <c r="M819" s="110"/>
      <c r="N819" s="329"/>
      <c r="O819" s="329"/>
      <c r="P819" s="329"/>
      <c r="Q819" s="329"/>
      <c r="R819" s="329"/>
      <c r="S819" s="329"/>
      <c r="T819" s="329"/>
      <c r="U819" s="110"/>
      <c r="V819" s="110"/>
      <c r="W819" s="110"/>
      <c r="X819" s="110"/>
      <c r="Y819" s="110"/>
      <c r="Z819" s="110"/>
      <c r="AA819" s="110"/>
    </row>
    <row r="820" spans="1:27" ht="15.75" customHeight="1">
      <c r="A820" s="110"/>
      <c r="B820" s="427"/>
      <c r="C820" s="110"/>
      <c r="D820" s="110"/>
      <c r="E820" s="110"/>
      <c r="F820" s="110"/>
      <c r="G820" s="110"/>
      <c r="H820" s="110"/>
      <c r="I820" s="4"/>
      <c r="J820" s="110"/>
      <c r="K820" s="344"/>
      <c r="L820" s="110"/>
      <c r="M820" s="110"/>
      <c r="N820" s="329"/>
      <c r="O820" s="329"/>
      <c r="P820" s="329"/>
      <c r="Q820" s="329"/>
      <c r="R820" s="329"/>
      <c r="S820" s="329"/>
      <c r="T820" s="329"/>
      <c r="U820" s="110"/>
      <c r="V820" s="110"/>
      <c r="W820" s="110"/>
      <c r="X820" s="110"/>
      <c r="Y820" s="110"/>
      <c r="Z820" s="110"/>
      <c r="AA820" s="110"/>
    </row>
    <row r="821" spans="1:27" ht="15.75" customHeight="1">
      <c r="A821" s="110"/>
      <c r="B821" s="427"/>
      <c r="C821" s="110"/>
      <c r="D821" s="110"/>
      <c r="E821" s="110"/>
      <c r="F821" s="110"/>
      <c r="G821" s="110"/>
      <c r="H821" s="110"/>
      <c r="I821" s="4"/>
      <c r="J821" s="110"/>
      <c r="K821" s="344"/>
      <c r="L821" s="110"/>
      <c r="M821" s="110"/>
      <c r="N821" s="329"/>
      <c r="O821" s="329"/>
      <c r="P821" s="329"/>
      <c r="Q821" s="329"/>
      <c r="R821" s="329"/>
      <c r="S821" s="329"/>
      <c r="T821" s="329"/>
      <c r="U821" s="110"/>
      <c r="V821" s="110"/>
      <c r="W821" s="110"/>
      <c r="X821" s="110"/>
      <c r="Y821" s="110"/>
      <c r="Z821" s="110"/>
      <c r="AA821" s="110"/>
    </row>
    <row r="822" spans="1:27" ht="15.75" customHeight="1">
      <c r="A822" s="110"/>
      <c r="B822" s="427"/>
      <c r="C822" s="110"/>
      <c r="D822" s="110"/>
      <c r="E822" s="110"/>
      <c r="F822" s="110"/>
      <c r="G822" s="110"/>
      <c r="H822" s="110"/>
      <c r="I822" s="4"/>
      <c r="J822" s="110"/>
      <c r="K822" s="344"/>
      <c r="L822" s="110"/>
      <c r="M822" s="110"/>
      <c r="N822" s="329"/>
      <c r="O822" s="329"/>
      <c r="P822" s="329"/>
      <c r="Q822" s="329"/>
      <c r="R822" s="329"/>
      <c r="S822" s="329"/>
      <c r="T822" s="329"/>
      <c r="U822" s="110"/>
      <c r="V822" s="110"/>
      <c r="W822" s="110"/>
      <c r="X822" s="110"/>
      <c r="Y822" s="110"/>
      <c r="Z822" s="110"/>
      <c r="AA822" s="110"/>
    </row>
    <row r="823" spans="1:27" ht="15.75" customHeight="1">
      <c r="A823" s="110"/>
      <c r="B823" s="427"/>
      <c r="C823" s="110"/>
      <c r="D823" s="110"/>
      <c r="E823" s="110"/>
      <c r="F823" s="110"/>
      <c r="G823" s="110"/>
      <c r="H823" s="110"/>
      <c r="I823" s="4"/>
      <c r="J823" s="110"/>
      <c r="K823" s="344"/>
      <c r="L823" s="110"/>
      <c r="M823" s="110"/>
      <c r="N823" s="329"/>
      <c r="O823" s="329"/>
      <c r="P823" s="329"/>
      <c r="Q823" s="329"/>
      <c r="R823" s="329"/>
      <c r="S823" s="329"/>
      <c r="T823" s="329"/>
      <c r="U823" s="110"/>
      <c r="V823" s="110"/>
      <c r="W823" s="110"/>
      <c r="X823" s="110"/>
      <c r="Y823" s="110"/>
      <c r="Z823" s="110"/>
      <c r="AA823" s="110"/>
    </row>
    <row r="824" spans="1:27" ht="15.75" customHeight="1">
      <c r="A824" s="110"/>
      <c r="B824" s="427"/>
      <c r="C824" s="110"/>
      <c r="D824" s="110"/>
      <c r="E824" s="110"/>
      <c r="F824" s="110"/>
      <c r="G824" s="110"/>
      <c r="H824" s="110"/>
      <c r="I824" s="4"/>
      <c r="J824" s="110"/>
      <c r="K824" s="344"/>
      <c r="L824" s="110"/>
      <c r="M824" s="110"/>
      <c r="N824" s="329"/>
      <c r="O824" s="329"/>
      <c r="P824" s="329"/>
      <c r="Q824" s="329"/>
      <c r="R824" s="329"/>
      <c r="S824" s="329"/>
      <c r="T824" s="329"/>
      <c r="U824" s="110"/>
      <c r="V824" s="110"/>
      <c r="W824" s="110"/>
      <c r="X824" s="110"/>
      <c r="Y824" s="110"/>
      <c r="Z824" s="110"/>
      <c r="AA824" s="110"/>
    </row>
    <row r="825" spans="1:27" ht="15.75" customHeight="1">
      <c r="A825" s="110"/>
      <c r="B825" s="427"/>
      <c r="C825" s="110"/>
      <c r="D825" s="110"/>
      <c r="E825" s="110"/>
      <c r="F825" s="110"/>
      <c r="G825" s="110"/>
      <c r="H825" s="110"/>
      <c r="I825" s="4"/>
      <c r="J825" s="110"/>
      <c r="K825" s="344"/>
      <c r="L825" s="110"/>
      <c r="M825" s="110"/>
      <c r="N825" s="329"/>
      <c r="O825" s="329"/>
      <c r="P825" s="329"/>
      <c r="Q825" s="329"/>
      <c r="R825" s="329"/>
      <c r="S825" s="329"/>
      <c r="T825" s="329"/>
      <c r="U825" s="110"/>
      <c r="V825" s="110"/>
      <c r="W825" s="110"/>
      <c r="X825" s="110"/>
      <c r="Y825" s="110"/>
      <c r="Z825" s="110"/>
      <c r="AA825" s="110"/>
    </row>
    <row r="826" spans="1:27" ht="15.75" customHeight="1">
      <c r="A826" s="110"/>
      <c r="B826" s="427"/>
      <c r="C826" s="110"/>
      <c r="D826" s="110"/>
      <c r="E826" s="110"/>
      <c r="F826" s="110"/>
      <c r="G826" s="110"/>
      <c r="H826" s="110"/>
      <c r="I826" s="4"/>
      <c r="J826" s="110"/>
      <c r="K826" s="344"/>
      <c r="L826" s="110"/>
      <c r="M826" s="110"/>
      <c r="N826" s="329"/>
      <c r="O826" s="329"/>
      <c r="P826" s="329"/>
      <c r="Q826" s="329"/>
      <c r="R826" s="329"/>
      <c r="S826" s="329"/>
      <c r="T826" s="329"/>
      <c r="U826" s="110"/>
      <c r="V826" s="110"/>
      <c r="W826" s="110"/>
      <c r="X826" s="110"/>
      <c r="Y826" s="110"/>
      <c r="Z826" s="110"/>
      <c r="AA826" s="110"/>
    </row>
    <row r="827" spans="1:27" ht="15.75" customHeight="1">
      <c r="A827" s="110"/>
      <c r="B827" s="427"/>
      <c r="C827" s="110"/>
      <c r="D827" s="110"/>
      <c r="E827" s="110"/>
      <c r="F827" s="110"/>
      <c r="G827" s="110"/>
      <c r="H827" s="110"/>
      <c r="I827" s="4"/>
      <c r="J827" s="110"/>
      <c r="K827" s="344"/>
      <c r="L827" s="110"/>
      <c r="M827" s="110"/>
      <c r="N827" s="329"/>
      <c r="O827" s="329"/>
      <c r="P827" s="329"/>
      <c r="Q827" s="329"/>
      <c r="R827" s="329"/>
      <c r="S827" s="329"/>
      <c r="T827" s="329"/>
      <c r="U827" s="110"/>
      <c r="V827" s="110"/>
      <c r="W827" s="110"/>
      <c r="X827" s="110"/>
      <c r="Y827" s="110"/>
      <c r="Z827" s="110"/>
      <c r="AA827" s="110"/>
    </row>
    <row r="828" spans="1:27" ht="15.75" customHeight="1">
      <c r="A828" s="110"/>
      <c r="B828" s="427"/>
      <c r="C828" s="110"/>
      <c r="D828" s="110"/>
      <c r="E828" s="110"/>
      <c r="F828" s="110"/>
      <c r="G828" s="110"/>
      <c r="H828" s="110"/>
      <c r="I828" s="4"/>
      <c r="J828" s="110"/>
      <c r="K828" s="344"/>
      <c r="L828" s="110"/>
      <c r="M828" s="110"/>
      <c r="N828" s="329"/>
      <c r="O828" s="329"/>
      <c r="P828" s="329"/>
      <c r="Q828" s="329"/>
      <c r="R828" s="329"/>
      <c r="S828" s="329"/>
      <c r="T828" s="329"/>
      <c r="U828" s="110"/>
      <c r="V828" s="110"/>
      <c r="W828" s="110"/>
      <c r="X828" s="110"/>
      <c r="Y828" s="110"/>
      <c r="Z828" s="110"/>
      <c r="AA828" s="110"/>
    </row>
    <row r="829" spans="1:27" ht="15.75" customHeight="1">
      <c r="A829" s="110"/>
      <c r="B829" s="427"/>
      <c r="C829" s="110"/>
      <c r="D829" s="110"/>
      <c r="E829" s="110"/>
      <c r="F829" s="110"/>
      <c r="G829" s="110"/>
      <c r="H829" s="110"/>
      <c r="I829" s="4"/>
      <c r="J829" s="110"/>
      <c r="K829" s="344"/>
      <c r="L829" s="110"/>
      <c r="M829" s="110"/>
      <c r="N829" s="329"/>
      <c r="O829" s="329"/>
      <c r="P829" s="329"/>
      <c r="Q829" s="329"/>
      <c r="R829" s="329"/>
      <c r="S829" s="329"/>
      <c r="T829" s="329"/>
      <c r="U829" s="110"/>
      <c r="V829" s="110"/>
      <c r="W829" s="110"/>
      <c r="X829" s="110"/>
      <c r="Y829" s="110"/>
      <c r="Z829" s="110"/>
      <c r="AA829" s="110"/>
    </row>
    <row r="830" spans="1:27" ht="15.75" customHeight="1">
      <c r="A830" s="110"/>
      <c r="B830" s="427"/>
      <c r="C830" s="110"/>
      <c r="D830" s="110"/>
      <c r="E830" s="110"/>
      <c r="F830" s="110"/>
      <c r="G830" s="110"/>
      <c r="H830" s="110"/>
      <c r="I830" s="4"/>
      <c r="J830" s="110"/>
      <c r="K830" s="344"/>
      <c r="L830" s="110"/>
      <c r="M830" s="110"/>
      <c r="N830" s="329"/>
      <c r="O830" s="329"/>
      <c r="P830" s="329"/>
      <c r="Q830" s="329"/>
      <c r="R830" s="329"/>
      <c r="S830" s="329"/>
      <c r="T830" s="329"/>
      <c r="U830" s="110"/>
      <c r="V830" s="110"/>
      <c r="W830" s="110"/>
      <c r="X830" s="110"/>
      <c r="Y830" s="110"/>
      <c r="Z830" s="110"/>
      <c r="AA830" s="110"/>
    </row>
    <row r="831" spans="1:27" ht="15.75" customHeight="1">
      <c r="A831" s="110"/>
      <c r="B831" s="427"/>
      <c r="C831" s="110"/>
      <c r="D831" s="110"/>
      <c r="E831" s="110"/>
      <c r="F831" s="110"/>
      <c r="G831" s="110"/>
      <c r="H831" s="110"/>
      <c r="I831" s="4"/>
      <c r="J831" s="110"/>
      <c r="K831" s="344"/>
      <c r="L831" s="110"/>
      <c r="M831" s="110"/>
      <c r="N831" s="329"/>
      <c r="O831" s="329"/>
      <c r="P831" s="329"/>
      <c r="Q831" s="329"/>
      <c r="R831" s="329"/>
      <c r="S831" s="329"/>
      <c r="T831" s="329"/>
      <c r="U831" s="110"/>
      <c r="V831" s="110"/>
      <c r="W831" s="110"/>
      <c r="X831" s="110"/>
      <c r="Y831" s="110"/>
      <c r="Z831" s="110"/>
      <c r="AA831" s="110"/>
    </row>
    <row r="832" spans="1:27" ht="15.75" customHeight="1">
      <c r="A832" s="110"/>
      <c r="B832" s="427"/>
      <c r="C832" s="110"/>
      <c r="D832" s="110"/>
      <c r="E832" s="110"/>
      <c r="F832" s="110"/>
      <c r="G832" s="110"/>
      <c r="H832" s="110"/>
      <c r="I832" s="4"/>
      <c r="J832" s="110"/>
      <c r="K832" s="344"/>
      <c r="L832" s="110"/>
      <c r="M832" s="110"/>
      <c r="N832" s="329"/>
      <c r="O832" s="329"/>
      <c r="P832" s="329"/>
      <c r="Q832" s="329"/>
      <c r="R832" s="329"/>
      <c r="S832" s="329"/>
      <c r="T832" s="329"/>
      <c r="U832" s="110"/>
      <c r="V832" s="110"/>
      <c r="W832" s="110"/>
      <c r="X832" s="110"/>
      <c r="Y832" s="110"/>
      <c r="Z832" s="110"/>
      <c r="AA832" s="110"/>
    </row>
    <row r="833" spans="1:27" ht="15.75" customHeight="1">
      <c r="A833" s="110"/>
      <c r="B833" s="427"/>
      <c r="C833" s="110"/>
      <c r="D833" s="110"/>
      <c r="E833" s="110"/>
      <c r="F833" s="110"/>
      <c r="G833" s="110"/>
      <c r="H833" s="110"/>
      <c r="I833" s="4"/>
      <c r="J833" s="110"/>
      <c r="K833" s="344"/>
      <c r="L833" s="110"/>
      <c r="M833" s="110"/>
      <c r="N833" s="329"/>
      <c r="O833" s="329"/>
      <c r="P833" s="329"/>
      <c r="Q833" s="329"/>
      <c r="R833" s="329"/>
      <c r="S833" s="329"/>
      <c r="T833" s="329"/>
      <c r="U833" s="110"/>
      <c r="V833" s="110"/>
      <c r="W833" s="110"/>
      <c r="X833" s="110"/>
      <c r="Y833" s="110"/>
      <c r="Z833" s="110"/>
      <c r="AA833" s="110"/>
    </row>
    <row r="834" spans="1:27" ht="15.75" customHeight="1">
      <c r="A834" s="110"/>
      <c r="B834" s="427"/>
      <c r="C834" s="110"/>
      <c r="D834" s="110"/>
      <c r="E834" s="110"/>
      <c r="F834" s="110"/>
      <c r="G834" s="110"/>
      <c r="H834" s="110"/>
      <c r="I834" s="4"/>
      <c r="J834" s="110"/>
      <c r="K834" s="344"/>
      <c r="L834" s="110"/>
      <c r="M834" s="110"/>
      <c r="N834" s="329"/>
      <c r="O834" s="329"/>
      <c r="P834" s="329"/>
      <c r="Q834" s="329"/>
      <c r="R834" s="329"/>
      <c r="S834" s="329"/>
      <c r="T834" s="329"/>
      <c r="U834" s="110"/>
      <c r="V834" s="110"/>
      <c r="W834" s="110"/>
      <c r="X834" s="110"/>
      <c r="Y834" s="110"/>
      <c r="Z834" s="110"/>
      <c r="AA834" s="110"/>
    </row>
    <row r="835" spans="1:27" ht="15.75" customHeight="1">
      <c r="A835" s="110"/>
      <c r="B835" s="427"/>
      <c r="C835" s="110"/>
      <c r="D835" s="110"/>
      <c r="E835" s="110"/>
      <c r="F835" s="110"/>
      <c r="G835" s="110"/>
      <c r="H835" s="110"/>
      <c r="I835" s="4"/>
      <c r="J835" s="110"/>
      <c r="K835" s="344"/>
      <c r="L835" s="110"/>
      <c r="M835" s="110"/>
      <c r="N835" s="329"/>
      <c r="O835" s="329"/>
      <c r="P835" s="329"/>
      <c r="Q835" s="329"/>
      <c r="R835" s="329"/>
      <c r="S835" s="329"/>
      <c r="T835" s="329"/>
      <c r="U835" s="110"/>
      <c r="V835" s="110"/>
      <c r="W835" s="110"/>
      <c r="X835" s="110"/>
      <c r="Y835" s="110"/>
      <c r="Z835" s="110"/>
      <c r="AA835" s="110"/>
    </row>
    <row r="836" spans="1:27" ht="15.75" customHeight="1">
      <c r="A836" s="110"/>
      <c r="B836" s="427"/>
      <c r="C836" s="110"/>
      <c r="D836" s="110"/>
      <c r="E836" s="110"/>
      <c r="F836" s="110"/>
      <c r="G836" s="110"/>
      <c r="H836" s="110"/>
      <c r="I836" s="4"/>
      <c r="J836" s="110"/>
      <c r="K836" s="344"/>
      <c r="L836" s="110"/>
      <c r="M836" s="110"/>
      <c r="N836" s="329"/>
      <c r="O836" s="329"/>
      <c r="P836" s="329"/>
      <c r="Q836" s="329"/>
      <c r="R836" s="329"/>
      <c r="S836" s="329"/>
      <c r="T836" s="329"/>
      <c r="U836" s="110"/>
      <c r="V836" s="110"/>
      <c r="W836" s="110"/>
      <c r="X836" s="110"/>
      <c r="Y836" s="110"/>
      <c r="Z836" s="110"/>
      <c r="AA836" s="110"/>
    </row>
    <row r="837" spans="1:27" ht="15.75" customHeight="1">
      <c r="A837" s="110"/>
      <c r="B837" s="427"/>
      <c r="C837" s="110"/>
      <c r="D837" s="110"/>
      <c r="E837" s="110"/>
      <c r="F837" s="110"/>
      <c r="G837" s="110"/>
      <c r="H837" s="110"/>
      <c r="I837" s="4"/>
      <c r="J837" s="110"/>
      <c r="K837" s="344"/>
      <c r="L837" s="110"/>
      <c r="M837" s="110"/>
      <c r="N837" s="329"/>
      <c r="O837" s="329"/>
      <c r="P837" s="329"/>
      <c r="Q837" s="329"/>
      <c r="R837" s="329"/>
      <c r="S837" s="329"/>
      <c r="T837" s="329"/>
      <c r="U837" s="110"/>
      <c r="V837" s="110"/>
      <c r="W837" s="110"/>
      <c r="X837" s="110"/>
      <c r="Y837" s="110"/>
      <c r="Z837" s="110"/>
      <c r="AA837" s="110"/>
    </row>
    <row r="838" spans="1:27" ht="15.75" customHeight="1">
      <c r="A838" s="110"/>
      <c r="B838" s="427"/>
      <c r="C838" s="110"/>
      <c r="D838" s="110"/>
      <c r="E838" s="110"/>
      <c r="F838" s="110"/>
      <c r="G838" s="110"/>
      <c r="H838" s="110"/>
      <c r="I838" s="4"/>
      <c r="J838" s="110"/>
      <c r="K838" s="344"/>
      <c r="L838" s="110"/>
      <c r="M838" s="110"/>
      <c r="N838" s="329"/>
      <c r="O838" s="329"/>
      <c r="P838" s="329"/>
      <c r="Q838" s="329"/>
      <c r="R838" s="329"/>
      <c r="S838" s="329"/>
      <c r="T838" s="329"/>
      <c r="U838" s="110"/>
      <c r="V838" s="110"/>
      <c r="W838" s="110"/>
      <c r="X838" s="110"/>
      <c r="Y838" s="110"/>
      <c r="Z838" s="110"/>
      <c r="AA838" s="110"/>
    </row>
    <row r="839" spans="1:27" ht="15.75" customHeight="1">
      <c r="A839" s="110"/>
      <c r="B839" s="427"/>
      <c r="C839" s="110"/>
      <c r="D839" s="110"/>
      <c r="E839" s="110"/>
      <c r="F839" s="110"/>
      <c r="G839" s="110"/>
      <c r="H839" s="110"/>
      <c r="I839" s="4"/>
      <c r="J839" s="110"/>
      <c r="K839" s="344"/>
      <c r="L839" s="110"/>
      <c r="M839" s="110"/>
      <c r="N839" s="329"/>
      <c r="O839" s="329"/>
      <c r="P839" s="329"/>
      <c r="Q839" s="329"/>
      <c r="R839" s="329"/>
      <c r="S839" s="329"/>
      <c r="T839" s="329"/>
      <c r="U839" s="110"/>
      <c r="V839" s="110"/>
      <c r="W839" s="110"/>
      <c r="X839" s="110"/>
      <c r="Y839" s="110"/>
      <c r="Z839" s="110"/>
      <c r="AA839" s="110"/>
    </row>
    <row r="840" spans="1:27" ht="15.75" customHeight="1">
      <c r="A840" s="110"/>
      <c r="B840" s="427"/>
      <c r="C840" s="110"/>
      <c r="D840" s="110"/>
      <c r="E840" s="110"/>
      <c r="F840" s="110"/>
      <c r="G840" s="110"/>
      <c r="H840" s="110"/>
      <c r="I840" s="4"/>
      <c r="J840" s="110"/>
      <c r="K840" s="344"/>
      <c r="L840" s="110"/>
      <c r="M840" s="110"/>
      <c r="N840" s="329"/>
      <c r="O840" s="329"/>
      <c r="P840" s="329"/>
      <c r="Q840" s="329"/>
      <c r="R840" s="329"/>
      <c r="S840" s="329"/>
      <c r="T840" s="329"/>
      <c r="U840" s="110"/>
      <c r="V840" s="110"/>
      <c r="W840" s="110"/>
      <c r="X840" s="110"/>
      <c r="Y840" s="110"/>
      <c r="Z840" s="110"/>
      <c r="AA840" s="110"/>
    </row>
    <row r="841" spans="1:27" ht="15.75" customHeight="1">
      <c r="A841" s="110"/>
      <c r="B841" s="427"/>
      <c r="C841" s="110"/>
      <c r="D841" s="110"/>
      <c r="E841" s="110"/>
      <c r="F841" s="110"/>
      <c r="G841" s="110"/>
      <c r="H841" s="110"/>
      <c r="I841" s="4"/>
      <c r="J841" s="110"/>
      <c r="K841" s="344"/>
      <c r="L841" s="110"/>
      <c r="M841" s="110"/>
      <c r="N841" s="329"/>
      <c r="O841" s="329"/>
      <c r="P841" s="329"/>
      <c r="Q841" s="329"/>
      <c r="R841" s="329"/>
      <c r="S841" s="329"/>
      <c r="T841" s="329"/>
      <c r="U841" s="110"/>
      <c r="V841" s="110"/>
      <c r="W841" s="110"/>
      <c r="X841" s="110"/>
      <c r="Y841" s="110"/>
      <c r="Z841" s="110"/>
      <c r="AA841" s="110"/>
    </row>
    <row r="842" spans="1:27" ht="15.75" customHeight="1">
      <c r="A842" s="110"/>
      <c r="B842" s="427"/>
      <c r="C842" s="110"/>
      <c r="D842" s="110"/>
      <c r="E842" s="110"/>
      <c r="F842" s="110"/>
      <c r="G842" s="110"/>
      <c r="H842" s="110"/>
      <c r="I842" s="4"/>
      <c r="J842" s="110"/>
      <c r="K842" s="344"/>
      <c r="L842" s="110"/>
      <c r="M842" s="110"/>
      <c r="N842" s="329"/>
      <c r="O842" s="329"/>
      <c r="P842" s="329"/>
      <c r="Q842" s="329"/>
      <c r="R842" s="329"/>
      <c r="S842" s="329"/>
      <c r="T842" s="329"/>
      <c r="U842" s="110"/>
      <c r="V842" s="110"/>
      <c r="W842" s="110"/>
      <c r="X842" s="110"/>
      <c r="Y842" s="110"/>
      <c r="Z842" s="110"/>
      <c r="AA842" s="110"/>
    </row>
    <row r="843" spans="1:27" ht="15.75" customHeight="1">
      <c r="A843" s="110"/>
      <c r="B843" s="427"/>
      <c r="C843" s="110"/>
      <c r="D843" s="110"/>
      <c r="E843" s="110"/>
      <c r="F843" s="110"/>
      <c r="G843" s="110"/>
      <c r="H843" s="110"/>
      <c r="I843" s="4"/>
      <c r="J843" s="110"/>
      <c r="K843" s="344"/>
      <c r="L843" s="110"/>
      <c r="M843" s="110"/>
      <c r="N843" s="329"/>
      <c r="O843" s="329"/>
      <c r="P843" s="329"/>
      <c r="Q843" s="329"/>
      <c r="R843" s="329"/>
      <c r="S843" s="329"/>
      <c r="T843" s="329"/>
      <c r="U843" s="110"/>
      <c r="V843" s="110"/>
      <c r="W843" s="110"/>
      <c r="X843" s="110"/>
      <c r="Y843" s="110"/>
      <c r="Z843" s="110"/>
      <c r="AA843" s="110"/>
    </row>
    <row r="844" spans="1:27" ht="15.75" customHeight="1">
      <c r="A844" s="110"/>
      <c r="B844" s="427"/>
      <c r="C844" s="110"/>
      <c r="D844" s="110"/>
      <c r="E844" s="110"/>
      <c r="F844" s="110"/>
      <c r="G844" s="110"/>
      <c r="H844" s="110"/>
      <c r="I844" s="4"/>
      <c r="J844" s="110"/>
      <c r="K844" s="344"/>
      <c r="L844" s="110"/>
      <c r="M844" s="110"/>
      <c r="N844" s="329"/>
      <c r="O844" s="329"/>
      <c r="P844" s="329"/>
      <c r="Q844" s="329"/>
      <c r="R844" s="329"/>
      <c r="S844" s="329"/>
      <c r="T844" s="329"/>
      <c r="U844" s="110"/>
      <c r="V844" s="110"/>
      <c r="W844" s="110"/>
      <c r="X844" s="110"/>
      <c r="Y844" s="110"/>
      <c r="Z844" s="110"/>
      <c r="AA844" s="110"/>
    </row>
    <row r="845" spans="1:27" ht="15.75" customHeight="1">
      <c r="A845" s="110"/>
      <c r="B845" s="427"/>
      <c r="C845" s="110"/>
      <c r="D845" s="110"/>
      <c r="E845" s="110"/>
      <c r="F845" s="110"/>
      <c r="G845" s="110"/>
      <c r="H845" s="110"/>
      <c r="I845" s="4"/>
      <c r="J845" s="110"/>
      <c r="K845" s="344"/>
      <c r="L845" s="110"/>
      <c r="M845" s="110"/>
      <c r="N845" s="329"/>
      <c r="O845" s="329"/>
      <c r="P845" s="329"/>
      <c r="Q845" s="329"/>
      <c r="R845" s="329"/>
      <c r="S845" s="329"/>
      <c r="T845" s="329"/>
      <c r="U845" s="110"/>
      <c r="V845" s="110"/>
      <c r="W845" s="110"/>
      <c r="X845" s="110"/>
      <c r="Y845" s="110"/>
      <c r="Z845" s="110"/>
      <c r="AA845" s="110"/>
    </row>
    <row r="846" spans="1:27" ht="15.75" customHeight="1">
      <c r="A846" s="110"/>
      <c r="B846" s="427"/>
      <c r="C846" s="110"/>
      <c r="D846" s="110"/>
      <c r="E846" s="110"/>
      <c r="F846" s="110"/>
      <c r="G846" s="110"/>
      <c r="H846" s="110"/>
      <c r="I846" s="4"/>
      <c r="J846" s="110"/>
      <c r="K846" s="344"/>
      <c r="L846" s="110"/>
      <c r="M846" s="110"/>
      <c r="N846" s="329"/>
      <c r="O846" s="329"/>
      <c r="P846" s="329"/>
      <c r="Q846" s="329"/>
      <c r="R846" s="329"/>
      <c r="S846" s="329"/>
      <c r="T846" s="329"/>
      <c r="U846" s="110"/>
      <c r="V846" s="110"/>
      <c r="W846" s="110"/>
      <c r="X846" s="110"/>
      <c r="Y846" s="110"/>
      <c r="Z846" s="110"/>
      <c r="AA846" s="110"/>
    </row>
    <row r="847" spans="1:27" ht="15.75" customHeight="1">
      <c r="A847" s="110"/>
      <c r="B847" s="427"/>
      <c r="C847" s="110"/>
      <c r="D847" s="110"/>
      <c r="E847" s="110"/>
      <c r="F847" s="110"/>
      <c r="G847" s="110"/>
      <c r="H847" s="110"/>
      <c r="I847" s="4"/>
      <c r="J847" s="110"/>
      <c r="K847" s="344"/>
      <c r="L847" s="110"/>
      <c r="M847" s="110"/>
      <c r="N847" s="329"/>
      <c r="O847" s="329"/>
      <c r="P847" s="329"/>
      <c r="Q847" s="329"/>
      <c r="R847" s="329"/>
      <c r="S847" s="329"/>
      <c r="T847" s="329"/>
      <c r="U847" s="110"/>
      <c r="V847" s="110"/>
      <c r="W847" s="110"/>
      <c r="X847" s="110"/>
      <c r="Y847" s="110"/>
      <c r="Z847" s="110"/>
      <c r="AA847" s="110"/>
    </row>
    <row r="848" spans="1:27" ht="15.75" customHeight="1">
      <c r="A848" s="110"/>
      <c r="B848" s="427"/>
      <c r="C848" s="110"/>
      <c r="D848" s="110"/>
      <c r="E848" s="110"/>
      <c r="F848" s="110"/>
      <c r="G848" s="110"/>
      <c r="H848" s="110"/>
      <c r="I848" s="4"/>
      <c r="J848" s="110"/>
      <c r="K848" s="344"/>
      <c r="L848" s="110"/>
      <c r="M848" s="110"/>
      <c r="N848" s="329"/>
      <c r="O848" s="329"/>
      <c r="P848" s="329"/>
      <c r="Q848" s="329"/>
      <c r="R848" s="329"/>
      <c r="S848" s="329"/>
      <c r="T848" s="329"/>
      <c r="U848" s="110"/>
      <c r="V848" s="110"/>
      <c r="W848" s="110"/>
      <c r="X848" s="110"/>
      <c r="Y848" s="110"/>
      <c r="Z848" s="110"/>
      <c r="AA848" s="110"/>
    </row>
    <row r="849" spans="1:27" ht="15.75" customHeight="1">
      <c r="A849" s="110"/>
      <c r="B849" s="427"/>
      <c r="C849" s="110"/>
      <c r="D849" s="110"/>
      <c r="E849" s="110"/>
      <c r="F849" s="110"/>
      <c r="G849" s="110"/>
      <c r="H849" s="110"/>
      <c r="I849" s="4"/>
      <c r="J849" s="110"/>
      <c r="K849" s="344"/>
      <c r="L849" s="110"/>
      <c r="M849" s="110"/>
      <c r="N849" s="329"/>
      <c r="O849" s="329"/>
      <c r="P849" s="329"/>
      <c r="Q849" s="329"/>
      <c r="R849" s="329"/>
      <c r="S849" s="329"/>
      <c r="T849" s="329"/>
      <c r="U849" s="110"/>
      <c r="V849" s="110"/>
      <c r="W849" s="110"/>
      <c r="X849" s="110"/>
      <c r="Y849" s="110"/>
      <c r="Z849" s="110"/>
      <c r="AA849" s="110"/>
    </row>
    <row r="850" spans="1:27" ht="15.75" customHeight="1">
      <c r="A850" s="110"/>
      <c r="B850" s="427"/>
      <c r="C850" s="110"/>
      <c r="D850" s="110"/>
      <c r="E850" s="110"/>
      <c r="F850" s="110"/>
      <c r="G850" s="110"/>
      <c r="H850" s="110"/>
      <c r="I850" s="4"/>
      <c r="J850" s="110"/>
      <c r="K850" s="344"/>
      <c r="L850" s="110"/>
      <c r="M850" s="110"/>
      <c r="N850" s="329"/>
      <c r="O850" s="329"/>
      <c r="P850" s="329"/>
      <c r="Q850" s="329"/>
      <c r="R850" s="329"/>
      <c r="S850" s="329"/>
      <c r="T850" s="329"/>
      <c r="U850" s="110"/>
      <c r="V850" s="110"/>
      <c r="W850" s="110"/>
      <c r="X850" s="110"/>
      <c r="Y850" s="110"/>
      <c r="Z850" s="110"/>
      <c r="AA850" s="110"/>
    </row>
    <row r="851" spans="1:27" ht="15.75" customHeight="1">
      <c r="A851" s="110"/>
      <c r="B851" s="427"/>
      <c r="C851" s="110"/>
      <c r="D851" s="110"/>
      <c r="E851" s="110"/>
      <c r="F851" s="110"/>
      <c r="G851" s="110"/>
      <c r="H851" s="110"/>
      <c r="I851" s="4"/>
      <c r="J851" s="110"/>
      <c r="K851" s="344"/>
      <c r="L851" s="110"/>
      <c r="M851" s="110"/>
      <c r="N851" s="329"/>
      <c r="O851" s="329"/>
      <c r="P851" s="329"/>
      <c r="Q851" s="329"/>
      <c r="R851" s="329"/>
      <c r="S851" s="329"/>
      <c r="T851" s="329"/>
      <c r="U851" s="110"/>
      <c r="V851" s="110"/>
      <c r="W851" s="110"/>
      <c r="X851" s="110"/>
      <c r="Y851" s="110"/>
      <c r="Z851" s="110"/>
      <c r="AA851" s="110"/>
    </row>
    <row r="852" spans="1:27" ht="15.75" customHeight="1">
      <c r="A852" s="110"/>
      <c r="B852" s="427"/>
      <c r="C852" s="110"/>
      <c r="D852" s="110"/>
      <c r="E852" s="110"/>
      <c r="F852" s="110"/>
      <c r="G852" s="110"/>
      <c r="H852" s="110"/>
      <c r="I852" s="4"/>
      <c r="J852" s="110"/>
      <c r="K852" s="344"/>
      <c r="L852" s="110"/>
      <c r="M852" s="110"/>
      <c r="N852" s="329"/>
      <c r="O852" s="329"/>
      <c r="P852" s="329"/>
      <c r="Q852" s="329"/>
      <c r="R852" s="329"/>
      <c r="S852" s="329"/>
      <c r="T852" s="329"/>
      <c r="U852" s="110"/>
      <c r="V852" s="110"/>
      <c r="W852" s="110"/>
      <c r="X852" s="110"/>
      <c r="Y852" s="110"/>
      <c r="Z852" s="110"/>
      <c r="AA852" s="110"/>
    </row>
    <row r="853" spans="1:27" ht="15.75" customHeight="1">
      <c r="A853" s="110"/>
      <c r="B853" s="427"/>
      <c r="C853" s="110"/>
      <c r="D853" s="110"/>
      <c r="E853" s="110"/>
      <c r="F853" s="110"/>
      <c r="G853" s="110"/>
      <c r="H853" s="110"/>
      <c r="I853" s="4"/>
      <c r="J853" s="110"/>
      <c r="K853" s="344"/>
      <c r="L853" s="110"/>
      <c r="M853" s="110"/>
      <c r="N853" s="329"/>
      <c r="O853" s="329"/>
      <c r="P853" s="329"/>
      <c r="Q853" s="329"/>
      <c r="R853" s="329"/>
      <c r="S853" s="329"/>
      <c r="T853" s="329"/>
      <c r="U853" s="110"/>
      <c r="V853" s="110"/>
      <c r="W853" s="110"/>
      <c r="X853" s="110"/>
      <c r="Y853" s="110"/>
      <c r="Z853" s="110"/>
      <c r="AA853" s="110"/>
    </row>
    <row r="854" spans="1:27" ht="15.75" customHeight="1">
      <c r="A854" s="110"/>
      <c r="B854" s="427"/>
      <c r="C854" s="110"/>
      <c r="D854" s="110"/>
      <c r="E854" s="110"/>
      <c r="F854" s="110"/>
      <c r="G854" s="110"/>
      <c r="H854" s="110"/>
      <c r="I854" s="4"/>
      <c r="J854" s="110"/>
      <c r="K854" s="344"/>
      <c r="L854" s="110"/>
      <c r="M854" s="110"/>
      <c r="N854" s="329"/>
      <c r="O854" s="329"/>
      <c r="P854" s="329"/>
      <c r="Q854" s="329"/>
      <c r="R854" s="329"/>
      <c r="S854" s="329"/>
      <c r="T854" s="329"/>
      <c r="U854" s="110"/>
      <c r="V854" s="110"/>
      <c r="W854" s="110"/>
      <c r="X854" s="110"/>
      <c r="Y854" s="110"/>
      <c r="Z854" s="110"/>
      <c r="AA854" s="110"/>
    </row>
    <row r="855" spans="1:27" ht="15.75" customHeight="1">
      <c r="A855" s="110"/>
      <c r="B855" s="427"/>
      <c r="C855" s="110"/>
      <c r="D855" s="110"/>
      <c r="E855" s="110"/>
      <c r="F855" s="110"/>
      <c r="G855" s="110"/>
      <c r="H855" s="110"/>
      <c r="I855" s="4"/>
      <c r="J855" s="110"/>
      <c r="K855" s="344"/>
      <c r="L855" s="110"/>
      <c r="M855" s="110"/>
      <c r="N855" s="329"/>
      <c r="O855" s="329"/>
      <c r="P855" s="329"/>
      <c r="Q855" s="329"/>
      <c r="R855" s="329"/>
      <c r="S855" s="329"/>
      <c r="T855" s="329"/>
      <c r="U855" s="110"/>
      <c r="V855" s="110"/>
      <c r="W855" s="110"/>
      <c r="X855" s="110"/>
      <c r="Y855" s="110"/>
      <c r="Z855" s="110"/>
      <c r="AA855" s="110"/>
    </row>
    <row r="856" spans="1:27" ht="15.75" customHeight="1">
      <c r="A856" s="110"/>
      <c r="B856" s="427"/>
      <c r="C856" s="110"/>
      <c r="D856" s="110"/>
      <c r="E856" s="110"/>
      <c r="F856" s="110"/>
      <c r="G856" s="110"/>
      <c r="H856" s="110"/>
      <c r="I856" s="4"/>
      <c r="J856" s="110"/>
      <c r="K856" s="344"/>
      <c r="L856" s="110"/>
      <c r="M856" s="110"/>
      <c r="N856" s="329"/>
      <c r="O856" s="329"/>
      <c r="P856" s="329"/>
      <c r="Q856" s="329"/>
      <c r="R856" s="329"/>
      <c r="S856" s="329"/>
      <c r="T856" s="329"/>
      <c r="U856" s="110"/>
      <c r="V856" s="110"/>
      <c r="W856" s="110"/>
      <c r="X856" s="110"/>
      <c r="Y856" s="110"/>
      <c r="Z856" s="110"/>
      <c r="AA856" s="110"/>
    </row>
    <row r="857" spans="1:27" ht="15.75" customHeight="1">
      <c r="A857" s="110"/>
      <c r="B857" s="427"/>
      <c r="C857" s="110"/>
      <c r="D857" s="110"/>
      <c r="E857" s="110"/>
      <c r="F857" s="110"/>
      <c r="G857" s="110"/>
      <c r="H857" s="110"/>
      <c r="I857" s="4"/>
      <c r="J857" s="110"/>
      <c r="K857" s="344"/>
      <c r="L857" s="110"/>
      <c r="M857" s="110"/>
      <c r="N857" s="329"/>
      <c r="O857" s="329"/>
      <c r="P857" s="329"/>
      <c r="Q857" s="329"/>
      <c r="R857" s="329"/>
      <c r="S857" s="329"/>
      <c r="T857" s="329"/>
      <c r="U857" s="110"/>
      <c r="V857" s="110"/>
      <c r="W857" s="110"/>
      <c r="X857" s="110"/>
      <c r="Y857" s="110"/>
      <c r="Z857" s="110"/>
      <c r="AA857" s="110"/>
    </row>
    <row r="858" spans="1:27" ht="15.75" customHeight="1">
      <c r="A858" s="110"/>
      <c r="B858" s="427"/>
      <c r="C858" s="110"/>
      <c r="D858" s="110"/>
      <c r="E858" s="110"/>
      <c r="F858" s="110"/>
      <c r="G858" s="110"/>
      <c r="H858" s="110"/>
      <c r="I858" s="4"/>
      <c r="J858" s="110"/>
      <c r="K858" s="344"/>
      <c r="L858" s="110"/>
      <c r="M858" s="110"/>
      <c r="N858" s="329"/>
      <c r="O858" s="329"/>
      <c r="P858" s="329"/>
      <c r="Q858" s="329"/>
      <c r="R858" s="329"/>
      <c r="S858" s="329"/>
      <c r="T858" s="329"/>
      <c r="U858" s="110"/>
      <c r="V858" s="110"/>
      <c r="W858" s="110"/>
      <c r="X858" s="110"/>
      <c r="Y858" s="110"/>
      <c r="Z858" s="110"/>
      <c r="AA858" s="110"/>
    </row>
    <row r="859" spans="1:27" ht="15.75" customHeight="1">
      <c r="A859" s="110"/>
      <c r="B859" s="427"/>
      <c r="C859" s="110"/>
      <c r="D859" s="110"/>
      <c r="E859" s="110"/>
      <c r="F859" s="110"/>
      <c r="G859" s="110"/>
      <c r="H859" s="110"/>
      <c r="I859" s="4"/>
      <c r="J859" s="110"/>
      <c r="K859" s="344"/>
      <c r="L859" s="110"/>
      <c r="M859" s="110"/>
      <c r="N859" s="329"/>
      <c r="O859" s="329"/>
      <c r="P859" s="329"/>
      <c r="Q859" s="329"/>
      <c r="R859" s="329"/>
      <c r="S859" s="329"/>
      <c r="T859" s="329"/>
      <c r="U859" s="110"/>
      <c r="V859" s="110"/>
      <c r="W859" s="110"/>
      <c r="X859" s="110"/>
      <c r="Y859" s="110"/>
      <c r="Z859" s="110"/>
      <c r="AA859" s="110"/>
    </row>
    <row r="860" spans="1:27" ht="15.75" customHeight="1">
      <c r="A860" s="110"/>
      <c r="B860" s="427"/>
      <c r="C860" s="110"/>
      <c r="D860" s="110"/>
      <c r="E860" s="110"/>
      <c r="F860" s="110"/>
      <c r="G860" s="110"/>
      <c r="H860" s="110"/>
      <c r="I860" s="4"/>
      <c r="J860" s="110"/>
      <c r="K860" s="344"/>
      <c r="L860" s="110"/>
      <c r="M860" s="110"/>
      <c r="N860" s="329"/>
      <c r="O860" s="329"/>
      <c r="P860" s="329"/>
      <c r="Q860" s="329"/>
      <c r="R860" s="329"/>
      <c r="S860" s="329"/>
      <c r="T860" s="329"/>
      <c r="U860" s="110"/>
      <c r="V860" s="110"/>
      <c r="W860" s="110"/>
      <c r="X860" s="110"/>
      <c r="Y860" s="110"/>
      <c r="Z860" s="110"/>
      <c r="AA860" s="110"/>
    </row>
    <row r="861" spans="1:27" ht="15.75" customHeight="1">
      <c r="A861" s="110"/>
      <c r="B861" s="427"/>
      <c r="C861" s="110"/>
      <c r="D861" s="110"/>
      <c r="E861" s="110"/>
      <c r="F861" s="110"/>
      <c r="G861" s="110"/>
      <c r="H861" s="110"/>
      <c r="I861" s="4"/>
      <c r="J861" s="110"/>
      <c r="K861" s="344"/>
      <c r="L861" s="110"/>
      <c r="M861" s="110"/>
      <c r="N861" s="329"/>
      <c r="O861" s="329"/>
      <c r="P861" s="329"/>
      <c r="Q861" s="329"/>
      <c r="R861" s="329"/>
      <c r="S861" s="329"/>
      <c r="T861" s="329"/>
      <c r="U861" s="110"/>
      <c r="V861" s="110"/>
      <c r="W861" s="110"/>
      <c r="X861" s="110"/>
      <c r="Y861" s="110"/>
      <c r="Z861" s="110"/>
      <c r="AA861" s="110"/>
    </row>
    <row r="862" spans="1:27" ht="15.75" customHeight="1">
      <c r="A862" s="110"/>
      <c r="B862" s="427"/>
      <c r="C862" s="110"/>
      <c r="D862" s="110"/>
      <c r="E862" s="110"/>
      <c r="F862" s="110"/>
      <c r="G862" s="110"/>
      <c r="H862" s="110"/>
      <c r="I862" s="4"/>
      <c r="J862" s="110"/>
      <c r="K862" s="344"/>
      <c r="L862" s="110"/>
      <c r="M862" s="110"/>
      <c r="N862" s="329"/>
      <c r="O862" s="329"/>
      <c r="P862" s="329"/>
      <c r="Q862" s="329"/>
      <c r="R862" s="329"/>
      <c r="S862" s="329"/>
      <c r="T862" s="329"/>
      <c r="U862" s="110"/>
      <c r="V862" s="110"/>
      <c r="W862" s="110"/>
      <c r="X862" s="110"/>
      <c r="Y862" s="110"/>
      <c r="Z862" s="110"/>
      <c r="AA862" s="110"/>
    </row>
    <row r="863" spans="1:27" ht="15.75" customHeight="1">
      <c r="A863" s="110"/>
      <c r="B863" s="427"/>
      <c r="C863" s="110"/>
      <c r="D863" s="110"/>
      <c r="E863" s="110"/>
      <c r="F863" s="110"/>
      <c r="G863" s="110"/>
      <c r="H863" s="110"/>
      <c r="I863" s="4"/>
      <c r="J863" s="110"/>
      <c r="K863" s="344"/>
      <c r="L863" s="110"/>
      <c r="M863" s="110"/>
      <c r="N863" s="329"/>
      <c r="O863" s="329"/>
      <c r="P863" s="329"/>
      <c r="Q863" s="329"/>
      <c r="R863" s="329"/>
      <c r="S863" s="329"/>
      <c r="T863" s="329"/>
      <c r="U863" s="110"/>
      <c r="V863" s="110"/>
      <c r="W863" s="110"/>
      <c r="X863" s="110"/>
      <c r="Y863" s="110"/>
      <c r="Z863" s="110"/>
      <c r="AA863" s="110"/>
    </row>
    <row r="864" spans="1:27" ht="15.75" customHeight="1">
      <c r="A864" s="110"/>
      <c r="B864" s="427"/>
      <c r="C864" s="110"/>
      <c r="D864" s="110"/>
      <c r="E864" s="110"/>
      <c r="F864" s="110"/>
      <c r="G864" s="110"/>
      <c r="H864" s="110"/>
      <c r="I864" s="4"/>
      <c r="J864" s="110"/>
      <c r="K864" s="344"/>
      <c r="L864" s="110"/>
      <c r="M864" s="110"/>
      <c r="N864" s="329"/>
      <c r="O864" s="329"/>
      <c r="P864" s="329"/>
      <c r="Q864" s="329"/>
      <c r="R864" s="329"/>
      <c r="S864" s="329"/>
      <c r="T864" s="329"/>
      <c r="U864" s="110"/>
      <c r="V864" s="110"/>
      <c r="W864" s="110"/>
      <c r="X864" s="110"/>
      <c r="Y864" s="110"/>
      <c r="Z864" s="110"/>
      <c r="AA864" s="110"/>
    </row>
    <row r="865" spans="1:27" ht="15.75" customHeight="1">
      <c r="A865" s="110"/>
      <c r="B865" s="427"/>
      <c r="C865" s="110"/>
      <c r="D865" s="110"/>
      <c r="E865" s="110"/>
      <c r="F865" s="110"/>
      <c r="G865" s="110"/>
      <c r="H865" s="110"/>
      <c r="I865" s="4"/>
      <c r="J865" s="110"/>
      <c r="K865" s="344"/>
      <c r="L865" s="110"/>
      <c r="M865" s="110"/>
      <c r="N865" s="329"/>
      <c r="O865" s="329"/>
      <c r="P865" s="329"/>
      <c r="Q865" s="329"/>
      <c r="R865" s="329"/>
      <c r="S865" s="329"/>
      <c r="T865" s="329"/>
      <c r="U865" s="110"/>
      <c r="V865" s="110"/>
      <c r="W865" s="110"/>
      <c r="X865" s="110"/>
      <c r="Y865" s="110"/>
      <c r="Z865" s="110"/>
      <c r="AA865" s="110"/>
    </row>
    <row r="866" spans="1:27" ht="15.75" customHeight="1">
      <c r="A866" s="110"/>
      <c r="B866" s="427"/>
      <c r="C866" s="110"/>
      <c r="D866" s="110"/>
      <c r="E866" s="110"/>
      <c r="F866" s="110"/>
      <c r="G866" s="110"/>
      <c r="H866" s="110"/>
      <c r="I866" s="4"/>
      <c r="J866" s="110"/>
      <c r="K866" s="344"/>
      <c r="L866" s="110"/>
      <c r="M866" s="110"/>
      <c r="N866" s="329"/>
      <c r="O866" s="329"/>
      <c r="P866" s="329"/>
      <c r="Q866" s="329"/>
      <c r="R866" s="329"/>
      <c r="S866" s="329"/>
      <c r="T866" s="329"/>
      <c r="U866" s="110"/>
      <c r="V866" s="110"/>
      <c r="W866" s="110"/>
      <c r="X866" s="110"/>
      <c r="Y866" s="110"/>
      <c r="Z866" s="110"/>
      <c r="AA866" s="110"/>
    </row>
    <row r="867" spans="1:27" ht="15.75" customHeight="1">
      <c r="A867" s="110"/>
      <c r="B867" s="427"/>
      <c r="C867" s="110"/>
      <c r="D867" s="110"/>
      <c r="E867" s="110"/>
      <c r="F867" s="110"/>
      <c r="G867" s="110"/>
      <c r="H867" s="110"/>
      <c r="I867" s="4"/>
      <c r="J867" s="110"/>
      <c r="K867" s="344"/>
      <c r="L867" s="110"/>
      <c r="M867" s="110"/>
      <c r="N867" s="329"/>
      <c r="O867" s="329"/>
      <c r="P867" s="329"/>
      <c r="Q867" s="329"/>
      <c r="R867" s="329"/>
      <c r="S867" s="329"/>
      <c r="T867" s="329"/>
      <c r="U867" s="110"/>
      <c r="V867" s="110"/>
      <c r="W867" s="110"/>
      <c r="X867" s="110"/>
      <c r="Y867" s="110"/>
      <c r="Z867" s="110"/>
      <c r="AA867" s="110"/>
    </row>
    <row r="868" spans="1:27" ht="15.75" customHeight="1">
      <c r="A868" s="110"/>
      <c r="B868" s="427"/>
      <c r="C868" s="110"/>
      <c r="D868" s="110"/>
      <c r="E868" s="110"/>
      <c r="F868" s="110"/>
      <c r="G868" s="110"/>
      <c r="H868" s="110"/>
      <c r="I868" s="4"/>
      <c r="J868" s="110"/>
      <c r="K868" s="344"/>
      <c r="L868" s="110"/>
      <c r="M868" s="110"/>
      <c r="N868" s="329"/>
      <c r="O868" s="329"/>
      <c r="P868" s="329"/>
      <c r="Q868" s="329"/>
      <c r="R868" s="329"/>
      <c r="S868" s="329"/>
      <c r="T868" s="329"/>
      <c r="U868" s="110"/>
      <c r="V868" s="110"/>
      <c r="W868" s="110"/>
      <c r="X868" s="110"/>
      <c r="Y868" s="110"/>
      <c r="Z868" s="110"/>
      <c r="AA868" s="110"/>
    </row>
    <row r="869" spans="1:27" ht="15.75" customHeight="1">
      <c r="A869" s="110"/>
      <c r="B869" s="427"/>
      <c r="C869" s="110"/>
      <c r="D869" s="110"/>
      <c r="E869" s="110"/>
      <c r="F869" s="110"/>
      <c r="G869" s="110"/>
      <c r="H869" s="110"/>
      <c r="I869" s="4"/>
      <c r="J869" s="110"/>
      <c r="K869" s="344"/>
      <c r="L869" s="110"/>
      <c r="M869" s="110"/>
      <c r="N869" s="329"/>
      <c r="O869" s="329"/>
      <c r="P869" s="329"/>
      <c r="Q869" s="329"/>
      <c r="R869" s="329"/>
      <c r="S869" s="329"/>
      <c r="T869" s="329"/>
      <c r="U869" s="110"/>
      <c r="V869" s="110"/>
      <c r="W869" s="110"/>
      <c r="X869" s="110"/>
      <c r="Y869" s="110"/>
      <c r="Z869" s="110"/>
      <c r="AA869" s="110"/>
    </row>
    <row r="870" spans="1:27" ht="15.75" customHeight="1">
      <c r="A870" s="110"/>
      <c r="B870" s="427"/>
      <c r="C870" s="110"/>
      <c r="D870" s="110"/>
      <c r="E870" s="110"/>
      <c r="F870" s="110"/>
      <c r="G870" s="110"/>
      <c r="H870" s="110"/>
      <c r="I870" s="4"/>
      <c r="J870" s="110"/>
      <c r="K870" s="344"/>
      <c r="L870" s="110"/>
      <c r="M870" s="110"/>
      <c r="N870" s="329"/>
      <c r="O870" s="329"/>
      <c r="P870" s="329"/>
      <c r="Q870" s="329"/>
      <c r="R870" s="329"/>
      <c r="S870" s="329"/>
      <c r="T870" s="329"/>
      <c r="U870" s="110"/>
      <c r="V870" s="110"/>
      <c r="W870" s="110"/>
      <c r="X870" s="110"/>
      <c r="Y870" s="110"/>
      <c r="Z870" s="110"/>
      <c r="AA870" s="110"/>
    </row>
    <row r="871" spans="1:27" ht="15.75" customHeight="1">
      <c r="A871" s="110"/>
      <c r="B871" s="427"/>
      <c r="C871" s="110"/>
      <c r="D871" s="110"/>
      <c r="E871" s="110"/>
      <c r="F871" s="110"/>
      <c r="G871" s="110"/>
      <c r="H871" s="110"/>
      <c r="I871" s="4"/>
      <c r="J871" s="110"/>
      <c r="K871" s="344"/>
      <c r="L871" s="110"/>
      <c r="M871" s="110"/>
      <c r="N871" s="329"/>
      <c r="O871" s="329"/>
      <c r="P871" s="329"/>
      <c r="Q871" s="329"/>
      <c r="R871" s="329"/>
      <c r="S871" s="329"/>
      <c r="T871" s="329"/>
      <c r="U871" s="110"/>
      <c r="V871" s="110"/>
      <c r="W871" s="110"/>
      <c r="X871" s="110"/>
      <c r="Y871" s="110"/>
      <c r="Z871" s="110"/>
      <c r="AA871" s="110"/>
    </row>
    <row r="872" spans="1:27" ht="15.75" customHeight="1">
      <c r="A872" s="110"/>
      <c r="B872" s="427"/>
      <c r="C872" s="110"/>
      <c r="D872" s="110"/>
      <c r="E872" s="110"/>
      <c r="F872" s="110"/>
      <c r="G872" s="110"/>
      <c r="H872" s="110"/>
      <c r="I872" s="4"/>
      <c r="J872" s="110"/>
      <c r="K872" s="344"/>
      <c r="L872" s="110"/>
      <c r="M872" s="110"/>
      <c r="N872" s="329"/>
      <c r="O872" s="329"/>
      <c r="P872" s="329"/>
      <c r="Q872" s="329"/>
      <c r="R872" s="329"/>
      <c r="S872" s="329"/>
      <c r="T872" s="329"/>
      <c r="U872" s="110"/>
      <c r="V872" s="110"/>
      <c r="W872" s="110"/>
      <c r="X872" s="110"/>
      <c r="Y872" s="110"/>
      <c r="Z872" s="110"/>
      <c r="AA872" s="110"/>
    </row>
    <row r="873" spans="1:27" ht="15.75" customHeight="1">
      <c r="A873" s="110"/>
      <c r="B873" s="427"/>
      <c r="C873" s="110"/>
      <c r="D873" s="110"/>
      <c r="E873" s="110"/>
      <c r="F873" s="110"/>
      <c r="G873" s="110"/>
      <c r="H873" s="110"/>
      <c r="I873" s="4"/>
      <c r="J873" s="110"/>
      <c r="K873" s="344"/>
      <c r="L873" s="110"/>
      <c r="M873" s="110"/>
      <c r="N873" s="329"/>
      <c r="O873" s="329"/>
      <c r="P873" s="329"/>
      <c r="Q873" s="329"/>
      <c r="R873" s="329"/>
      <c r="S873" s="329"/>
      <c r="T873" s="329"/>
      <c r="U873" s="110"/>
      <c r="V873" s="110"/>
      <c r="W873" s="110"/>
      <c r="X873" s="110"/>
      <c r="Y873" s="110"/>
      <c r="Z873" s="110"/>
      <c r="AA873" s="110"/>
    </row>
    <row r="874" spans="1:27" ht="15.75" customHeight="1">
      <c r="A874" s="110"/>
      <c r="B874" s="427"/>
      <c r="C874" s="110"/>
      <c r="D874" s="110"/>
      <c r="E874" s="110"/>
      <c r="F874" s="110"/>
      <c r="G874" s="110"/>
      <c r="H874" s="110"/>
      <c r="I874" s="4"/>
      <c r="J874" s="110"/>
      <c r="K874" s="344"/>
      <c r="L874" s="110"/>
      <c r="M874" s="110"/>
      <c r="N874" s="329"/>
      <c r="O874" s="329"/>
      <c r="P874" s="329"/>
      <c r="Q874" s="329"/>
      <c r="R874" s="329"/>
      <c r="S874" s="329"/>
      <c r="T874" s="329"/>
      <c r="U874" s="110"/>
      <c r="V874" s="110"/>
      <c r="W874" s="110"/>
      <c r="X874" s="110"/>
      <c r="Y874" s="110"/>
      <c r="Z874" s="110"/>
      <c r="AA874" s="110"/>
    </row>
    <row r="875" spans="1:27" ht="15.75" customHeight="1">
      <c r="A875" s="110"/>
      <c r="B875" s="427"/>
      <c r="C875" s="110"/>
      <c r="D875" s="110"/>
      <c r="E875" s="110"/>
      <c r="F875" s="110"/>
      <c r="G875" s="110"/>
      <c r="H875" s="110"/>
      <c r="I875" s="4"/>
      <c r="J875" s="110"/>
      <c r="K875" s="344"/>
      <c r="L875" s="110"/>
      <c r="M875" s="110"/>
      <c r="N875" s="329"/>
      <c r="O875" s="329"/>
      <c r="P875" s="329"/>
      <c r="Q875" s="329"/>
      <c r="R875" s="329"/>
      <c r="S875" s="329"/>
      <c r="T875" s="329"/>
      <c r="U875" s="110"/>
      <c r="V875" s="110"/>
      <c r="W875" s="110"/>
      <c r="X875" s="110"/>
      <c r="Y875" s="110"/>
      <c r="Z875" s="110"/>
      <c r="AA875" s="110"/>
    </row>
    <row r="876" spans="1:27" ht="15.75" customHeight="1">
      <c r="A876" s="110"/>
      <c r="B876" s="427"/>
      <c r="C876" s="110"/>
      <c r="D876" s="110"/>
      <c r="E876" s="110"/>
      <c r="F876" s="110"/>
      <c r="G876" s="110"/>
      <c r="H876" s="110"/>
      <c r="I876" s="4"/>
      <c r="J876" s="110"/>
      <c r="K876" s="344"/>
      <c r="L876" s="110"/>
      <c r="M876" s="110"/>
      <c r="N876" s="329"/>
      <c r="O876" s="329"/>
      <c r="P876" s="329"/>
      <c r="Q876" s="329"/>
      <c r="R876" s="329"/>
      <c r="S876" s="329"/>
      <c r="T876" s="329"/>
      <c r="U876" s="110"/>
      <c r="V876" s="110"/>
      <c r="W876" s="110"/>
      <c r="X876" s="110"/>
      <c r="Y876" s="110"/>
      <c r="Z876" s="110"/>
      <c r="AA876" s="110"/>
    </row>
    <row r="877" spans="1:27" ht="15.75" customHeight="1">
      <c r="A877" s="110"/>
      <c r="B877" s="427"/>
      <c r="C877" s="110"/>
      <c r="D877" s="110"/>
      <c r="E877" s="110"/>
      <c r="F877" s="110"/>
      <c r="G877" s="110"/>
      <c r="H877" s="110"/>
      <c r="I877" s="4"/>
      <c r="J877" s="110"/>
      <c r="K877" s="344"/>
      <c r="L877" s="110"/>
      <c r="M877" s="110"/>
      <c r="N877" s="329"/>
      <c r="O877" s="329"/>
      <c r="P877" s="329"/>
      <c r="Q877" s="329"/>
      <c r="R877" s="329"/>
      <c r="S877" s="329"/>
      <c r="T877" s="329"/>
      <c r="U877" s="110"/>
      <c r="V877" s="110"/>
      <c r="W877" s="110"/>
      <c r="X877" s="110"/>
      <c r="Y877" s="110"/>
      <c r="Z877" s="110"/>
      <c r="AA877" s="110"/>
    </row>
    <row r="878" spans="1:27" ht="15.75" customHeight="1">
      <c r="A878" s="110"/>
      <c r="B878" s="427"/>
      <c r="C878" s="110"/>
      <c r="D878" s="110"/>
      <c r="E878" s="110"/>
      <c r="F878" s="110"/>
      <c r="G878" s="110"/>
      <c r="H878" s="110"/>
      <c r="I878" s="4"/>
      <c r="J878" s="110"/>
      <c r="K878" s="344"/>
      <c r="L878" s="110"/>
      <c r="M878" s="110"/>
      <c r="N878" s="329"/>
      <c r="O878" s="329"/>
      <c r="P878" s="329"/>
      <c r="Q878" s="329"/>
      <c r="R878" s="329"/>
      <c r="S878" s="329"/>
      <c r="T878" s="329"/>
      <c r="U878" s="110"/>
      <c r="V878" s="110"/>
      <c r="W878" s="110"/>
      <c r="X878" s="110"/>
      <c r="Y878" s="110"/>
      <c r="Z878" s="110"/>
      <c r="AA878" s="110"/>
    </row>
    <row r="879" spans="1:27" ht="15.75" customHeight="1">
      <c r="A879" s="110"/>
      <c r="B879" s="427"/>
      <c r="C879" s="110"/>
      <c r="D879" s="110"/>
      <c r="E879" s="110"/>
      <c r="F879" s="110"/>
      <c r="G879" s="110"/>
      <c r="H879" s="110"/>
      <c r="I879" s="4"/>
      <c r="J879" s="110"/>
      <c r="K879" s="344"/>
      <c r="L879" s="110"/>
      <c r="M879" s="110"/>
      <c r="N879" s="329"/>
      <c r="O879" s="329"/>
      <c r="P879" s="329"/>
      <c r="Q879" s="329"/>
      <c r="R879" s="329"/>
      <c r="S879" s="329"/>
      <c r="T879" s="329"/>
      <c r="U879" s="110"/>
      <c r="V879" s="110"/>
      <c r="W879" s="110"/>
      <c r="X879" s="110"/>
      <c r="Y879" s="110"/>
      <c r="Z879" s="110"/>
      <c r="AA879" s="110"/>
    </row>
    <row r="880" spans="1:27" ht="15.75" customHeight="1">
      <c r="A880" s="110"/>
      <c r="B880" s="427"/>
      <c r="C880" s="110"/>
      <c r="D880" s="110"/>
      <c r="E880" s="110"/>
      <c r="F880" s="110"/>
      <c r="G880" s="110"/>
      <c r="H880" s="110"/>
      <c r="I880" s="4"/>
      <c r="J880" s="110"/>
      <c r="K880" s="344"/>
      <c r="L880" s="110"/>
      <c r="M880" s="110"/>
      <c r="N880" s="329"/>
      <c r="O880" s="329"/>
      <c r="P880" s="329"/>
      <c r="Q880" s="329"/>
      <c r="R880" s="329"/>
      <c r="S880" s="329"/>
      <c r="T880" s="329"/>
      <c r="U880" s="110"/>
      <c r="V880" s="110"/>
      <c r="W880" s="110"/>
      <c r="X880" s="110"/>
      <c r="Y880" s="110"/>
      <c r="Z880" s="110"/>
      <c r="AA880" s="110"/>
    </row>
    <row r="881" spans="1:27" ht="15.75" customHeight="1">
      <c r="A881" s="110"/>
      <c r="B881" s="427"/>
      <c r="C881" s="110"/>
      <c r="D881" s="110"/>
      <c r="E881" s="110"/>
      <c r="F881" s="110"/>
      <c r="G881" s="110"/>
      <c r="H881" s="110"/>
      <c r="I881" s="4"/>
      <c r="J881" s="110"/>
      <c r="K881" s="344"/>
      <c r="L881" s="110"/>
      <c r="M881" s="110"/>
      <c r="N881" s="329"/>
      <c r="O881" s="329"/>
      <c r="P881" s="329"/>
      <c r="Q881" s="329"/>
      <c r="R881" s="329"/>
      <c r="S881" s="329"/>
      <c r="T881" s="329"/>
      <c r="U881" s="110"/>
      <c r="V881" s="110"/>
      <c r="W881" s="110"/>
      <c r="X881" s="110"/>
      <c r="Y881" s="110"/>
      <c r="Z881" s="110"/>
      <c r="AA881" s="110"/>
    </row>
    <row r="882" spans="1:27" ht="15.75" customHeight="1">
      <c r="A882" s="110"/>
      <c r="B882" s="427"/>
      <c r="C882" s="110"/>
      <c r="D882" s="110"/>
      <c r="E882" s="110"/>
      <c r="F882" s="110"/>
      <c r="G882" s="110"/>
      <c r="H882" s="110"/>
      <c r="I882" s="4"/>
      <c r="J882" s="110"/>
      <c r="K882" s="344"/>
      <c r="L882" s="110"/>
      <c r="M882" s="110"/>
      <c r="N882" s="329"/>
      <c r="O882" s="329"/>
      <c r="P882" s="329"/>
      <c r="Q882" s="329"/>
      <c r="R882" s="329"/>
      <c r="S882" s="329"/>
      <c r="T882" s="329"/>
      <c r="U882" s="110"/>
      <c r="V882" s="110"/>
      <c r="W882" s="110"/>
      <c r="X882" s="110"/>
      <c r="Y882" s="110"/>
      <c r="Z882" s="110"/>
      <c r="AA882" s="110"/>
    </row>
    <row r="883" spans="1:27" ht="15.75" customHeight="1">
      <c r="A883" s="110"/>
      <c r="B883" s="427"/>
      <c r="C883" s="110"/>
      <c r="D883" s="110"/>
      <c r="E883" s="110"/>
      <c r="F883" s="110"/>
      <c r="G883" s="110"/>
      <c r="H883" s="110"/>
      <c r="I883" s="4"/>
      <c r="J883" s="110"/>
      <c r="K883" s="344"/>
      <c r="L883" s="110"/>
      <c r="M883" s="110"/>
      <c r="N883" s="329"/>
      <c r="O883" s="329"/>
      <c r="P883" s="329"/>
      <c r="Q883" s="329"/>
      <c r="R883" s="329"/>
      <c r="S883" s="329"/>
      <c r="T883" s="329"/>
      <c r="U883" s="110"/>
      <c r="V883" s="110"/>
      <c r="W883" s="110"/>
      <c r="X883" s="110"/>
      <c r="Y883" s="110"/>
      <c r="Z883" s="110"/>
      <c r="AA883" s="110"/>
    </row>
    <row r="884" spans="1:27" ht="15.75" customHeight="1">
      <c r="A884" s="110"/>
      <c r="B884" s="427"/>
      <c r="C884" s="110"/>
      <c r="D884" s="110"/>
      <c r="E884" s="110"/>
      <c r="F884" s="110"/>
      <c r="G884" s="110"/>
      <c r="H884" s="110"/>
      <c r="I884" s="4"/>
      <c r="J884" s="110"/>
      <c r="K884" s="344"/>
      <c r="L884" s="110"/>
      <c r="M884" s="110"/>
      <c r="N884" s="329"/>
      <c r="O884" s="329"/>
      <c r="P884" s="329"/>
      <c r="Q884" s="329"/>
      <c r="R884" s="329"/>
      <c r="S884" s="329"/>
      <c r="T884" s="329"/>
      <c r="U884" s="110"/>
      <c r="V884" s="110"/>
      <c r="W884" s="110"/>
      <c r="X884" s="110"/>
      <c r="Y884" s="110"/>
      <c r="Z884" s="110"/>
      <c r="AA884" s="110"/>
    </row>
    <row r="885" spans="1:27" ht="15.75" customHeight="1">
      <c r="A885" s="110"/>
      <c r="B885" s="427"/>
      <c r="C885" s="110"/>
      <c r="D885" s="110"/>
      <c r="E885" s="110"/>
      <c r="F885" s="110"/>
      <c r="G885" s="110"/>
      <c r="H885" s="110"/>
      <c r="I885" s="4"/>
      <c r="J885" s="110"/>
      <c r="K885" s="344"/>
      <c r="L885" s="110"/>
      <c r="M885" s="110"/>
      <c r="N885" s="329"/>
      <c r="O885" s="329"/>
      <c r="P885" s="329"/>
      <c r="Q885" s="329"/>
      <c r="R885" s="329"/>
      <c r="S885" s="329"/>
      <c r="T885" s="329"/>
      <c r="U885" s="110"/>
      <c r="V885" s="110"/>
      <c r="W885" s="110"/>
      <c r="X885" s="110"/>
      <c r="Y885" s="110"/>
      <c r="Z885" s="110"/>
      <c r="AA885" s="110"/>
    </row>
    <row r="886" spans="1:27" ht="15.75" customHeight="1">
      <c r="A886" s="110"/>
      <c r="B886" s="427"/>
      <c r="C886" s="110"/>
      <c r="D886" s="110"/>
      <c r="E886" s="110"/>
      <c r="F886" s="110"/>
      <c r="G886" s="110"/>
      <c r="H886" s="110"/>
      <c r="I886" s="4"/>
      <c r="J886" s="110"/>
      <c r="K886" s="344"/>
      <c r="L886" s="110"/>
      <c r="M886" s="110"/>
      <c r="N886" s="329"/>
      <c r="O886" s="329"/>
      <c r="P886" s="329"/>
      <c r="Q886" s="329"/>
      <c r="R886" s="329"/>
      <c r="S886" s="329"/>
      <c r="T886" s="329"/>
      <c r="U886" s="110"/>
      <c r="V886" s="110"/>
      <c r="W886" s="110"/>
      <c r="X886" s="110"/>
      <c r="Y886" s="110"/>
      <c r="Z886" s="110"/>
      <c r="AA886" s="110"/>
    </row>
    <row r="887" spans="1:27" ht="15.75" customHeight="1">
      <c r="A887" s="110"/>
      <c r="B887" s="427"/>
      <c r="C887" s="110"/>
      <c r="D887" s="110"/>
      <c r="E887" s="110"/>
      <c r="F887" s="110"/>
      <c r="G887" s="110"/>
      <c r="H887" s="110"/>
      <c r="I887" s="4"/>
      <c r="J887" s="110"/>
      <c r="K887" s="344"/>
      <c r="L887" s="110"/>
      <c r="M887" s="110"/>
      <c r="N887" s="329"/>
      <c r="O887" s="329"/>
      <c r="P887" s="329"/>
      <c r="Q887" s="329"/>
      <c r="R887" s="329"/>
      <c r="S887" s="329"/>
      <c r="T887" s="329"/>
      <c r="U887" s="110"/>
      <c r="V887" s="110"/>
      <c r="W887" s="110"/>
      <c r="X887" s="110"/>
      <c r="Y887" s="110"/>
      <c r="Z887" s="110"/>
      <c r="AA887" s="110"/>
    </row>
    <row r="888" spans="1:27" ht="15.75" customHeight="1">
      <c r="A888" s="110"/>
      <c r="B888" s="427"/>
      <c r="C888" s="110"/>
      <c r="D888" s="110"/>
      <c r="E888" s="110"/>
      <c r="F888" s="110"/>
      <c r="G888" s="110"/>
      <c r="H888" s="110"/>
      <c r="I888" s="4"/>
      <c r="J888" s="110"/>
      <c r="K888" s="344"/>
      <c r="L888" s="110"/>
      <c r="M888" s="110"/>
      <c r="N888" s="329"/>
      <c r="O888" s="329"/>
      <c r="P888" s="329"/>
      <c r="Q888" s="329"/>
      <c r="R888" s="329"/>
      <c r="S888" s="329"/>
      <c r="T888" s="329"/>
      <c r="U888" s="110"/>
      <c r="V888" s="110"/>
      <c r="W888" s="110"/>
      <c r="X888" s="110"/>
      <c r="Y888" s="110"/>
      <c r="Z888" s="110"/>
      <c r="AA888" s="110"/>
    </row>
    <row r="889" spans="1:27" ht="15.75" customHeight="1">
      <c r="A889" s="110"/>
      <c r="B889" s="427"/>
      <c r="C889" s="110"/>
      <c r="D889" s="110"/>
      <c r="E889" s="110"/>
      <c r="F889" s="110"/>
      <c r="G889" s="110"/>
      <c r="H889" s="110"/>
      <c r="I889" s="4"/>
      <c r="J889" s="110"/>
      <c r="K889" s="344"/>
      <c r="L889" s="110"/>
      <c r="M889" s="110"/>
      <c r="N889" s="329"/>
      <c r="O889" s="329"/>
      <c r="P889" s="329"/>
      <c r="Q889" s="329"/>
      <c r="R889" s="329"/>
      <c r="S889" s="329"/>
      <c r="T889" s="329"/>
      <c r="U889" s="110"/>
      <c r="V889" s="110"/>
      <c r="W889" s="110"/>
      <c r="X889" s="110"/>
      <c r="Y889" s="110"/>
      <c r="Z889" s="110"/>
      <c r="AA889" s="110"/>
    </row>
    <row r="890" spans="1:27" ht="15.75" customHeight="1">
      <c r="A890" s="110"/>
      <c r="B890" s="427"/>
      <c r="C890" s="110"/>
      <c r="D890" s="110"/>
      <c r="E890" s="110"/>
      <c r="F890" s="110"/>
      <c r="G890" s="110"/>
      <c r="H890" s="110"/>
      <c r="I890" s="4"/>
      <c r="J890" s="110"/>
      <c r="K890" s="344"/>
      <c r="L890" s="110"/>
      <c r="M890" s="110"/>
      <c r="N890" s="329"/>
      <c r="O890" s="329"/>
      <c r="P890" s="329"/>
      <c r="Q890" s="329"/>
      <c r="R890" s="329"/>
      <c r="S890" s="329"/>
      <c r="T890" s="329"/>
      <c r="U890" s="110"/>
      <c r="V890" s="110"/>
      <c r="W890" s="110"/>
      <c r="X890" s="110"/>
      <c r="Y890" s="110"/>
      <c r="Z890" s="110"/>
      <c r="AA890" s="110"/>
    </row>
    <row r="891" spans="1:27" ht="15.75" customHeight="1">
      <c r="A891" s="110"/>
      <c r="B891" s="427"/>
      <c r="C891" s="110"/>
      <c r="D891" s="110"/>
      <c r="E891" s="110"/>
      <c r="F891" s="110"/>
      <c r="G891" s="110"/>
      <c r="H891" s="110"/>
      <c r="I891" s="4"/>
      <c r="J891" s="110"/>
      <c r="K891" s="344"/>
      <c r="L891" s="110"/>
      <c r="M891" s="110"/>
      <c r="N891" s="329"/>
      <c r="O891" s="329"/>
      <c r="P891" s="329"/>
      <c r="Q891" s="329"/>
      <c r="R891" s="329"/>
      <c r="S891" s="329"/>
      <c r="T891" s="329"/>
      <c r="U891" s="110"/>
      <c r="V891" s="110"/>
      <c r="W891" s="110"/>
      <c r="X891" s="110"/>
      <c r="Y891" s="110"/>
      <c r="Z891" s="110"/>
      <c r="AA891" s="110"/>
    </row>
    <row r="892" spans="1:27" ht="15.75" customHeight="1">
      <c r="A892" s="110"/>
      <c r="B892" s="427"/>
      <c r="C892" s="110"/>
      <c r="D892" s="110"/>
      <c r="E892" s="110"/>
      <c r="F892" s="110"/>
      <c r="G892" s="110"/>
      <c r="H892" s="110"/>
      <c r="I892" s="4"/>
      <c r="J892" s="110"/>
      <c r="K892" s="344"/>
      <c r="L892" s="110"/>
      <c r="M892" s="110"/>
      <c r="N892" s="329"/>
      <c r="O892" s="329"/>
      <c r="P892" s="329"/>
      <c r="Q892" s="329"/>
      <c r="R892" s="329"/>
      <c r="S892" s="329"/>
      <c r="T892" s="329"/>
      <c r="U892" s="110"/>
      <c r="V892" s="110"/>
      <c r="W892" s="110"/>
      <c r="X892" s="110"/>
      <c r="Y892" s="110"/>
      <c r="Z892" s="110"/>
      <c r="AA892" s="110"/>
    </row>
    <row r="893" spans="1:27" ht="15.75" customHeight="1">
      <c r="A893" s="110"/>
      <c r="B893" s="427"/>
      <c r="C893" s="110"/>
      <c r="D893" s="110"/>
      <c r="E893" s="110"/>
      <c r="F893" s="110"/>
      <c r="G893" s="110"/>
      <c r="H893" s="110"/>
      <c r="I893" s="4"/>
      <c r="J893" s="110"/>
      <c r="K893" s="344"/>
      <c r="L893" s="110"/>
      <c r="M893" s="110"/>
      <c r="N893" s="329"/>
      <c r="O893" s="329"/>
      <c r="P893" s="329"/>
      <c r="Q893" s="329"/>
      <c r="R893" s="329"/>
      <c r="S893" s="329"/>
      <c r="T893" s="329"/>
      <c r="U893" s="110"/>
      <c r="V893" s="110"/>
      <c r="W893" s="110"/>
      <c r="X893" s="110"/>
      <c r="Y893" s="110"/>
      <c r="Z893" s="110"/>
      <c r="AA893" s="110"/>
    </row>
    <row r="894" spans="1:27" ht="15.75" customHeight="1">
      <c r="A894" s="110"/>
      <c r="B894" s="427"/>
      <c r="C894" s="110"/>
      <c r="D894" s="110"/>
      <c r="E894" s="110"/>
      <c r="F894" s="110"/>
      <c r="G894" s="110"/>
      <c r="H894" s="110"/>
      <c r="I894" s="4"/>
      <c r="J894" s="110"/>
      <c r="K894" s="344"/>
      <c r="L894" s="110"/>
      <c r="M894" s="110"/>
      <c r="N894" s="329"/>
      <c r="O894" s="329"/>
      <c r="P894" s="329"/>
      <c r="Q894" s="329"/>
      <c r="R894" s="329"/>
      <c r="S894" s="329"/>
      <c r="T894" s="329"/>
      <c r="U894" s="110"/>
      <c r="V894" s="110"/>
      <c r="W894" s="110"/>
      <c r="X894" s="110"/>
      <c r="Y894" s="110"/>
      <c r="Z894" s="110"/>
      <c r="AA894" s="110"/>
    </row>
    <row r="895" spans="1:27" ht="15.75" customHeight="1">
      <c r="A895" s="110"/>
      <c r="B895" s="427"/>
      <c r="C895" s="110"/>
      <c r="D895" s="110"/>
      <c r="E895" s="110"/>
      <c r="F895" s="110"/>
      <c r="G895" s="110"/>
      <c r="H895" s="110"/>
      <c r="I895" s="4"/>
      <c r="J895" s="110"/>
      <c r="K895" s="344"/>
      <c r="L895" s="110"/>
      <c r="M895" s="110"/>
      <c r="N895" s="329"/>
      <c r="O895" s="329"/>
      <c r="P895" s="329"/>
      <c r="Q895" s="329"/>
      <c r="R895" s="329"/>
      <c r="S895" s="329"/>
      <c r="T895" s="329"/>
      <c r="U895" s="110"/>
      <c r="V895" s="110"/>
      <c r="W895" s="110"/>
      <c r="X895" s="110"/>
      <c r="Y895" s="110"/>
      <c r="Z895" s="110"/>
      <c r="AA895" s="110"/>
    </row>
    <row r="896" spans="1:27" ht="15.75" customHeight="1">
      <c r="A896" s="110"/>
      <c r="B896" s="427"/>
      <c r="C896" s="110"/>
      <c r="D896" s="110"/>
      <c r="E896" s="110"/>
      <c r="F896" s="110"/>
      <c r="G896" s="110"/>
      <c r="H896" s="110"/>
      <c r="I896" s="4"/>
      <c r="J896" s="110"/>
      <c r="K896" s="344"/>
      <c r="L896" s="110"/>
      <c r="M896" s="110"/>
      <c r="N896" s="329"/>
      <c r="O896" s="329"/>
      <c r="P896" s="329"/>
      <c r="Q896" s="329"/>
      <c r="R896" s="329"/>
      <c r="S896" s="329"/>
      <c r="T896" s="329"/>
      <c r="U896" s="110"/>
      <c r="V896" s="110"/>
      <c r="W896" s="110"/>
      <c r="X896" s="110"/>
      <c r="Y896" s="110"/>
      <c r="Z896" s="110"/>
      <c r="AA896" s="110"/>
    </row>
    <row r="897" spans="1:27" ht="15.75" customHeight="1">
      <c r="A897" s="110"/>
      <c r="B897" s="427"/>
      <c r="C897" s="110"/>
      <c r="D897" s="110"/>
      <c r="E897" s="110"/>
      <c r="F897" s="110"/>
      <c r="G897" s="110"/>
      <c r="H897" s="110"/>
      <c r="I897" s="4"/>
      <c r="J897" s="110"/>
      <c r="K897" s="344"/>
      <c r="L897" s="110"/>
      <c r="M897" s="110"/>
      <c r="N897" s="329"/>
      <c r="O897" s="329"/>
      <c r="P897" s="329"/>
      <c r="Q897" s="329"/>
      <c r="R897" s="329"/>
      <c r="S897" s="329"/>
      <c r="T897" s="329"/>
      <c r="U897" s="110"/>
      <c r="V897" s="110"/>
      <c r="W897" s="110"/>
      <c r="X897" s="110"/>
      <c r="Y897" s="110"/>
      <c r="Z897" s="110"/>
      <c r="AA897" s="110"/>
    </row>
    <row r="898" spans="1:27" ht="15.75" customHeight="1">
      <c r="A898" s="110"/>
      <c r="B898" s="427"/>
      <c r="C898" s="110"/>
      <c r="D898" s="110"/>
      <c r="E898" s="110"/>
      <c r="F898" s="110"/>
      <c r="G898" s="110"/>
      <c r="H898" s="110"/>
      <c r="I898" s="4"/>
      <c r="J898" s="110"/>
      <c r="K898" s="344"/>
      <c r="L898" s="110"/>
      <c r="M898" s="110"/>
      <c r="N898" s="329"/>
      <c r="O898" s="329"/>
      <c r="P898" s="329"/>
      <c r="Q898" s="329"/>
      <c r="R898" s="329"/>
      <c r="S898" s="329"/>
      <c r="T898" s="329"/>
      <c r="U898" s="110"/>
      <c r="V898" s="110"/>
      <c r="W898" s="110"/>
      <c r="X898" s="110"/>
      <c r="Y898" s="110"/>
      <c r="Z898" s="110"/>
      <c r="AA898" s="110"/>
    </row>
    <row r="899" spans="1:27" ht="15.75" customHeight="1">
      <c r="A899" s="110"/>
      <c r="B899" s="427"/>
      <c r="C899" s="110"/>
      <c r="D899" s="110"/>
      <c r="E899" s="110"/>
      <c r="F899" s="110"/>
      <c r="G899" s="110"/>
      <c r="H899" s="110"/>
      <c r="I899" s="4"/>
      <c r="J899" s="110"/>
      <c r="K899" s="344"/>
      <c r="L899" s="110"/>
      <c r="M899" s="110"/>
      <c r="N899" s="329"/>
      <c r="O899" s="329"/>
      <c r="P899" s="329"/>
      <c r="Q899" s="329"/>
      <c r="R899" s="329"/>
      <c r="S899" s="329"/>
      <c r="T899" s="329"/>
      <c r="U899" s="110"/>
      <c r="V899" s="110"/>
      <c r="W899" s="110"/>
      <c r="X899" s="110"/>
      <c r="Y899" s="110"/>
      <c r="Z899" s="110"/>
      <c r="AA899" s="110"/>
    </row>
    <row r="900" spans="1:27" ht="15.75" customHeight="1">
      <c r="A900" s="110"/>
      <c r="B900" s="427"/>
      <c r="C900" s="110"/>
      <c r="D900" s="110"/>
      <c r="E900" s="110"/>
      <c r="F900" s="110"/>
      <c r="G900" s="110"/>
      <c r="H900" s="110"/>
      <c r="I900" s="4"/>
      <c r="J900" s="110"/>
      <c r="K900" s="344"/>
      <c r="L900" s="110"/>
      <c r="M900" s="110"/>
      <c r="N900" s="329"/>
      <c r="O900" s="329"/>
      <c r="P900" s="329"/>
      <c r="Q900" s="329"/>
      <c r="R900" s="329"/>
      <c r="S900" s="329"/>
      <c r="T900" s="329"/>
      <c r="U900" s="110"/>
      <c r="V900" s="110"/>
      <c r="W900" s="110"/>
      <c r="X900" s="110"/>
      <c r="Y900" s="110"/>
      <c r="Z900" s="110"/>
      <c r="AA900" s="110"/>
    </row>
    <row r="901" spans="1:27" ht="15.75" customHeight="1">
      <c r="A901" s="110"/>
      <c r="B901" s="427"/>
      <c r="C901" s="110"/>
      <c r="D901" s="110"/>
      <c r="E901" s="110"/>
      <c r="F901" s="110"/>
      <c r="G901" s="110"/>
      <c r="H901" s="110"/>
      <c r="I901" s="4"/>
      <c r="J901" s="110"/>
      <c r="K901" s="344"/>
      <c r="L901" s="110"/>
      <c r="M901" s="110"/>
      <c r="N901" s="329"/>
      <c r="O901" s="329"/>
      <c r="P901" s="329"/>
      <c r="Q901" s="329"/>
      <c r="R901" s="329"/>
      <c r="S901" s="329"/>
      <c r="T901" s="329"/>
      <c r="U901" s="110"/>
      <c r="V901" s="110"/>
      <c r="W901" s="110"/>
      <c r="X901" s="110"/>
      <c r="Y901" s="110"/>
      <c r="Z901" s="110"/>
      <c r="AA901" s="110"/>
    </row>
    <row r="902" spans="1:27" ht="15.75" customHeight="1">
      <c r="A902" s="110"/>
      <c r="B902" s="427"/>
      <c r="C902" s="110"/>
      <c r="D902" s="110"/>
      <c r="E902" s="110"/>
      <c r="F902" s="110"/>
      <c r="G902" s="110"/>
      <c r="H902" s="110"/>
      <c r="I902" s="4"/>
      <c r="J902" s="110"/>
      <c r="K902" s="344"/>
      <c r="L902" s="110"/>
      <c r="M902" s="110"/>
      <c r="N902" s="329"/>
      <c r="O902" s="329"/>
      <c r="P902" s="329"/>
      <c r="Q902" s="329"/>
      <c r="R902" s="329"/>
      <c r="S902" s="329"/>
      <c r="T902" s="329"/>
      <c r="U902" s="110"/>
      <c r="V902" s="110"/>
      <c r="W902" s="110"/>
      <c r="X902" s="110"/>
      <c r="Y902" s="110"/>
      <c r="Z902" s="110"/>
      <c r="AA902" s="110"/>
    </row>
    <row r="903" spans="1:27" ht="15.75" customHeight="1">
      <c r="A903" s="110"/>
      <c r="B903" s="427"/>
      <c r="C903" s="110"/>
      <c r="D903" s="110"/>
      <c r="E903" s="110"/>
      <c r="F903" s="110"/>
      <c r="G903" s="110"/>
      <c r="H903" s="110"/>
      <c r="I903" s="4"/>
      <c r="J903" s="110"/>
      <c r="K903" s="344"/>
      <c r="L903" s="110"/>
      <c r="M903" s="110"/>
      <c r="N903" s="329"/>
      <c r="O903" s="329"/>
      <c r="P903" s="329"/>
      <c r="Q903" s="329"/>
      <c r="R903" s="329"/>
      <c r="S903" s="329"/>
      <c r="T903" s="329"/>
      <c r="U903" s="110"/>
      <c r="V903" s="110"/>
      <c r="W903" s="110"/>
      <c r="X903" s="110"/>
      <c r="Y903" s="110"/>
      <c r="Z903" s="110"/>
      <c r="AA903" s="110"/>
    </row>
    <row r="904" spans="1:27" ht="15.75" customHeight="1">
      <c r="A904" s="110"/>
      <c r="B904" s="427"/>
      <c r="C904" s="110"/>
      <c r="D904" s="110"/>
      <c r="E904" s="110"/>
      <c r="F904" s="110"/>
      <c r="G904" s="110"/>
      <c r="H904" s="110"/>
      <c r="I904" s="4"/>
      <c r="J904" s="110"/>
      <c r="K904" s="344"/>
      <c r="L904" s="110"/>
      <c r="M904" s="110"/>
      <c r="N904" s="329"/>
      <c r="O904" s="329"/>
      <c r="P904" s="329"/>
      <c r="Q904" s="329"/>
      <c r="R904" s="329"/>
      <c r="S904" s="329"/>
      <c r="T904" s="329"/>
      <c r="U904" s="110"/>
      <c r="V904" s="110"/>
      <c r="W904" s="110"/>
      <c r="X904" s="110"/>
      <c r="Y904" s="110"/>
      <c r="Z904" s="110"/>
      <c r="AA904" s="110"/>
    </row>
    <row r="905" spans="1:27" ht="15.75" customHeight="1">
      <c r="A905" s="110"/>
      <c r="B905" s="427"/>
      <c r="C905" s="110"/>
      <c r="D905" s="110"/>
      <c r="E905" s="110"/>
      <c r="F905" s="110"/>
      <c r="G905" s="110"/>
      <c r="H905" s="110"/>
      <c r="I905" s="4"/>
      <c r="J905" s="110"/>
      <c r="K905" s="344"/>
      <c r="L905" s="110"/>
      <c r="M905" s="110"/>
      <c r="N905" s="329"/>
      <c r="O905" s="329"/>
      <c r="P905" s="329"/>
      <c r="Q905" s="329"/>
      <c r="R905" s="329"/>
      <c r="S905" s="329"/>
      <c r="T905" s="329"/>
      <c r="U905" s="110"/>
      <c r="V905" s="110"/>
      <c r="W905" s="110"/>
      <c r="X905" s="110"/>
      <c r="Y905" s="110"/>
      <c r="Z905" s="110"/>
      <c r="AA905" s="110"/>
    </row>
    <row r="906" spans="1:27" ht="15.75" customHeight="1">
      <c r="A906" s="110"/>
      <c r="B906" s="427"/>
      <c r="C906" s="110"/>
      <c r="D906" s="110"/>
      <c r="E906" s="110"/>
      <c r="F906" s="110"/>
      <c r="G906" s="110"/>
      <c r="H906" s="110"/>
      <c r="I906" s="4"/>
      <c r="J906" s="110"/>
      <c r="K906" s="344"/>
      <c r="L906" s="110"/>
      <c r="M906" s="110"/>
      <c r="N906" s="329"/>
      <c r="O906" s="329"/>
      <c r="P906" s="329"/>
      <c r="Q906" s="329"/>
      <c r="R906" s="329"/>
      <c r="S906" s="329"/>
      <c r="T906" s="329"/>
      <c r="U906" s="110"/>
      <c r="V906" s="110"/>
      <c r="W906" s="110"/>
      <c r="X906" s="110"/>
      <c r="Y906" s="110"/>
      <c r="Z906" s="110"/>
      <c r="AA906" s="110"/>
    </row>
    <row r="907" spans="1:27" ht="15.75" customHeight="1">
      <c r="A907" s="110"/>
      <c r="B907" s="427"/>
      <c r="C907" s="110"/>
      <c r="D907" s="110"/>
      <c r="E907" s="110"/>
      <c r="F907" s="110"/>
      <c r="G907" s="110"/>
      <c r="H907" s="110"/>
      <c r="I907" s="4"/>
      <c r="J907" s="110"/>
      <c r="K907" s="344"/>
      <c r="L907" s="110"/>
      <c r="M907" s="110"/>
      <c r="N907" s="329"/>
      <c r="O907" s="329"/>
      <c r="P907" s="329"/>
      <c r="Q907" s="329"/>
      <c r="R907" s="329"/>
      <c r="S907" s="329"/>
      <c r="T907" s="329"/>
      <c r="U907" s="110"/>
      <c r="V907" s="110"/>
      <c r="W907" s="110"/>
      <c r="X907" s="110"/>
      <c r="Y907" s="110"/>
      <c r="Z907" s="110"/>
      <c r="AA907" s="110"/>
    </row>
    <row r="908" spans="1:27" ht="15.75" customHeight="1">
      <c r="A908" s="110"/>
      <c r="B908" s="427"/>
      <c r="C908" s="110"/>
      <c r="D908" s="110"/>
      <c r="E908" s="110"/>
      <c r="F908" s="110"/>
      <c r="G908" s="110"/>
      <c r="H908" s="110"/>
      <c r="I908" s="4"/>
      <c r="J908" s="110"/>
      <c r="K908" s="344"/>
      <c r="L908" s="110"/>
      <c r="M908" s="110"/>
      <c r="N908" s="329"/>
      <c r="O908" s="329"/>
      <c r="P908" s="329"/>
      <c r="Q908" s="329"/>
      <c r="R908" s="329"/>
      <c r="S908" s="329"/>
      <c r="T908" s="329"/>
      <c r="U908" s="110"/>
      <c r="V908" s="110"/>
      <c r="W908" s="110"/>
      <c r="X908" s="110"/>
      <c r="Y908" s="110"/>
      <c r="Z908" s="110"/>
      <c r="AA908" s="110"/>
    </row>
    <row r="909" spans="1:27" ht="15.75" customHeight="1">
      <c r="A909" s="110"/>
      <c r="B909" s="427"/>
      <c r="C909" s="110"/>
      <c r="D909" s="110"/>
      <c r="E909" s="110"/>
      <c r="F909" s="110"/>
      <c r="G909" s="110"/>
      <c r="H909" s="110"/>
      <c r="I909" s="4"/>
      <c r="J909" s="110"/>
      <c r="K909" s="344"/>
      <c r="L909" s="110"/>
      <c r="M909" s="110"/>
      <c r="N909" s="329"/>
      <c r="O909" s="329"/>
      <c r="P909" s="329"/>
      <c r="Q909" s="329"/>
      <c r="R909" s="329"/>
      <c r="S909" s="329"/>
      <c r="T909" s="329"/>
      <c r="U909" s="110"/>
      <c r="V909" s="110"/>
      <c r="W909" s="110"/>
      <c r="X909" s="110"/>
      <c r="Y909" s="110"/>
      <c r="Z909" s="110"/>
      <c r="AA909" s="110"/>
    </row>
    <row r="910" spans="1:27" ht="15.75" customHeight="1">
      <c r="A910" s="110"/>
      <c r="B910" s="427"/>
      <c r="C910" s="110"/>
      <c r="D910" s="110"/>
      <c r="E910" s="110"/>
      <c r="F910" s="110"/>
      <c r="G910" s="110"/>
      <c r="H910" s="110"/>
      <c r="I910" s="4"/>
      <c r="J910" s="110"/>
      <c r="K910" s="344"/>
      <c r="L910" s="110"/>
      <c r="M910" s="110"/>
      <c r="N910" s="329"/>
      <c r="O910" s="329"/>
      <c r="P910" s="329"/>
      <c r="Q910" s="329"/>
      <c r="R910" s="329"/>
      <c r="S910" s="329"/>
      <c r="T910" s="329"/>
      <c r="U910" s="110"/>
      <c r="V910" s="110"/>
      <c r="W910" s="110"/>
      <c r="X910" s="110"/>
      <c r="Y910" s="110"/>
      <c r="Z910" s="110"/>
      <c r="AA910" s="110"/>
    </row>
    <row r="911" spans="1:27" ht="15.75" customHeight="1">
      <c r="A911" s="110"/>
      <c r="B911" s="427"/>
      <c r="C911" s="110"/>
      <c r="D911" s="110"/>
      <c r="E911" s="110"/>
      <c r="F911" s="110"/>
      <c r="G911" s="110"/>
      <c r="H911" s="110"/>
      <c r="I911" s="4"/>
      <c r="J911" s="110"/>
      <c r="K911" s="344"/>
      <c r="L911" s="110"/>
      <c r="M911" s="110"/>
      <c r="N911" s="329"/>
      <c r="O911" s="329"/>
      <c r="P911" s="329"/>
      <c r="Q911" s="329"/>
      <c r="R911" s="329"/>
      <c r="S911" s="329"/>
      <c r="T911" s="329"/>
      <c r="U911" s="110"/>
      <c r="V911" s="110"/>
      <c r="W911" s="110"/>
      <c r="X911" s="110"/>
      <c r="Y911" s="110"/>
      <c r="Z911" s="110"/>
      <c r="AA911" s="110"/>
    </row>
    <row r="912" spans="1:27" ht="15.75" customHeight="1">
      <c r="A912" s="110"/>
      <c r="B912" s="427"/>
      <c r="C912" s="110"/>
      <c r="D912" s="110"/>
      <c r="E912" s="110"/>
      <c r="F912" s="110"/>
      <c r="G912" s="110"/>
      <c r="H912" s="110"/>
      <c r="I912" s="4"/>
      <c r="J912" s="110"/>
      <c r="K912" s="344"/>
      <c r="L912" s="110"/>
      <c r="M912" s="110"/>
      <c r="N912" s="329"/>
      <c r="O912" s="329"/>
      <c r="P912" s="329"/>
      <c r="Q912" s="329"/>
      <c r="R912" s="329"/>
      <c r="S912" s="329"/>
      <c r="T912" s="329"/>
      <c r="U912" s="110"/>
      <c r="V912" s="110"/>
      <c r="W912" s="110"/>
      <c r="X912" s="110"/>
      <c r="Y912" s="110"/>
      <c r="Z912" s="110"/>
      <c r="AA912" s="110"/>
    </row>
    <row r="913" spans="1:27" ht="15.75" customHeight="1">
      <c r="A913" s="110"/>
      <c r="B913" s="427"/>
      <c r="C913" s="110"/>
      <c r="D913" s="110"/>
      <c r="E913" s="110"/>
      <c r="F913" s="110"/>
      <c r="G913" s="110"/>
      <c r="H913" s="110"/>
      <c r="I913" s="4"/>
      <c r="J913" s="110"/>
      <c r="K913" s="344"/>
      <c r="L913" s="110"/>
      <c r="M913" s="110"/>
      <c r="N913" s="329"/>
      <c r="O913" s="329"/>
      <c r="P913" s="329"/>
      <c r="Q913" s="329"/>
      <c r="R913" s="329"/>
      <c r="S913" s="329"/>
      <c r="T913" s="329"/>
      <c r="U913" s="110"/>
      <c r="V913" s="110"/>
      <c r="W913" s="110"/>
      <c r="X913" s="110"/>
      <c r="Y913" s="110"/>
      <c r="Z913" s="110"/>
      <c r="AA913" s="110"/>
    </row>
    <row r="914" spans="1:27" ht="15.75" customHeight="1">
      <c r="A914" s="110"/>
      <c r="B914" s="427"/>
      <c r="C914" s="110"/>
      <c r="D914" s="110"/>
      <c r="E914" s="110"/>
      <c r="F914" s="110"/>
      <c r="G914" s="110"/>
      <c r="H914" s="110"/>
      <c r="I914" s="4"/>
      <c r="J914" s="110"/>
      <c r="K914" s="344"/>
      <c r="L914" s="110"/>
      <c r="M914" s="110"/>
      <c r="N914" s="329"/>
      <c r="O914" s="329"/>
      <c r="P914" s="329"/>
      <c r="Q914" s="329"/>
      <c r="R914" s="329"/>
      <c r="S914" s="329"/>
      <c r="T914" s="329"/>
      <c r="U914" s="110"/>
      <c r="V914" s="110"/>
      <c r="W914" s="110"/>
      <c r="X914" s="110"/>
      <c r="Y914" s="110"/>
      <c r="Z914" s="110"/>
      <c r="AA914" s="110"/>
    </row>
    <row r="915" spans="1:27" ht="15.75" customHeight="1">
      <c r="A915" s="110"/>
      <c r="B915" s="427"/>
      <c r="C915" s="110"/>
      <c r="D915" s="110"/>
      <c r="E915" s="110"/>
      <c r="F915" s="110"/>
      <c r="G915" s="110"/>
      <c r="H915" s="110"/>
      <c r="I915" s="4"/>
      <c r="J915" s="110"/>
      <c r="K915" s="344"/>
      <c r="L915" s="110"/>
      <c r="M915" s="110"/>
      <c r="N915" s="329"/>
      <c r="O915" s="329"/>
      <c r="P915" s="329"/>
      <c r="Q915" s="329"/>
      <c r="R915" s="329"/>
      <c r="S915" s="329"/>
      <c r="T915" s="329"/>
      <c r="U915" s="110"/>
      <c r="V915" s="110"/>
      <c r="W915" s="110"/>
      <c r="X915" s="110"/>
      <c r="Y915" s="110"/>
      <c r="Z915" s="110"/>
      <c r="AA915" s="110"/>
    </row>
    <row r="916" spans="1:27" ht="15.75" customHeight="1">
      <c r="A916" s="110"/>
      <c r="B916" s="427"/>
      <c r="C916" s="110"/>
      <c r="D916" s="110"/>
      <c r="E916" s="110"/>
      <c r="F916" s="110"/>
      <c r="G916" s="110"/>
      <c r="H916" s="110"/>
      <c r="I916" s="4"/>
      <c r="J916" s="110"/>
      <c r="K916" s="344"/>
      <c r="L916" s="110"/>
      <c r="M916" s="110"/>
      <c r="N916" s="329"/>
      <c r="O916" s="329"/>
      <c r="P916" s="329"/>
      <c r="Q916" s="329"/>
      <c r="R916" s="329"/>
      <c r="S916" s="329"/>
      <c r="T916" s="329"/>
      <c r="U916" s="110"/>
      <c r="V916" s="110"/>
      <c r="W916" s="110"/>
      <c r="X916" s="110"/>
      <c r="Y916" s="110"/>
      <c r="Z916" s="110"/>
      <c r="AA916" s="110"/>
    </row>
    <row r="917" spans="1:27" ht="15.75" customHeight="1">
      <c r="A917" s="110"/>
      <c r="B917" s="427"/>
      <c r="C917" s="110"/>
      <c r="D917" s="110"/>
      <c r="E917" s="110"/>
      <c r="F917" s="110"/>
      <c r="G917" s="110"/>
      <c r="H917" s="110"/>
      <c r="I917" s="4"/>
      <c r="J917" s="110"/>
      <c r="K917" s="344"/>
      <c r="L917" s="110"/>
      <c r="M917" s="110"/>
      <c r="N917" s="329"/>
      <c r="O917" s="329"/>
      <c r="P917" s="329"/>
      <c r="Q917" s="329"/>
      <c r="R917" s="329"/>
      <c r="S917" s="329"/>
      <c r="T917" s="329"/>
      <c r="U917" s="110"/>
      <c r="V917" s="110"/>
      <c r="W917" s="110"/>
      <c r="X917" s="110"/>
      <c r="Y917" s="110"/>
      <c r="Z917" s="110"/>
      <c r="AA917" s="110"/>
    </row>
    <row r="918" spans="1:27" ht="15.75" customHeight="1">
      <c r="A918" s="110"/>
      <c r="B918" s="427"/>
      <c r="C918" s="110"/>
      <c r="D918" s="110"/>
      <c r="E918" s="110"/>
      <c r="F918" s="110"/>
      <c r="G918" s="110"/>
      <c r="H918" s="110"/>
      <c r="I918" s="4"/>
      <c r="J918" s="110"/>
      <c r="K918" s="344"/>
      <c r="L918" s="110"/>
      <c r="M918" s="110"/>
      <c r="N918" s="329"/>
      <c r="O918" s="329"/>
      <c r="P918" s="329"/>
      <c r="Q918" s="329"/>
      <c r="R918" s="329"/>
      <c r="S918" s="329"/>
      <c r="T918" s="329"/>
      <c r="U918" s="110"/>
      <c r="V918" s="110"/>
      <c r="W918" s="110"/>
      <c r="X918" s="110"/>
      <c r="Y918" s="110"/>
      <c r="Z918" s="110"/>
      <c r="AA918" s="110"/>
    </row>
    <row r="919" spans="1:27" ht="15.75" customHeight="1">
      <c r="A919" s="110"/>
      <c r="B919" s="427"/>
      <c r="C919" s="110"/>
      <c r="D919" s="110"/>
      <c r="E919" s="110"/>
      <c r="F919" s="110"/>
      <c r="G919" s="110"/>
      <c r="H919" s="110"/>
      <c r="I919" s="4"/>
      <c r="J919" s="110"/>
      <c r="K919" s="344"/>
      <c r="L919" s="110"/>
      <c r="M919" s="110"/>
      <c r="N919" s="329"/>
      <c r="O919" s="329"/>
      <c r="P919" s="329"/>
      <c r="Q919" s="329"/>
      <c r="R919" s="329"/>
      <c r="S919" s="329"/>
      <c r="T919" s="329"/>
      <c r="U919" s="110"/>
      <c r="V919" s="110"/>
      <c r="W919" s="110"/>
      <c r="X919" s="110"/>
      <c r="Y919" s="110"/>
      <c r="Z919" s="110"/>
      <c r="AA919" s="110"/>
    </row>
    <row r="920" spans="1:27" ht="15.75" customHeight="1">
      <c r="A920" s="110"/>
      <c r="B920" s="427"/>
      <c r="C920" s="110"/>
      <c r="D920" s="110"/>
      <c r="E920" s="110"/>
      <c r="F920" s="110"/>
      <c r="G920" s="110"/>
      <c r="H920" s="110"/>
      <c r="I920" s="4"/>
      <c r="J920" s="110"/>
      <c r="K920" s="344"/>
      <c r="L920" s="110"/>
      <c r="M920" s="110"/>
      <c r="N920" s="329"/>
      <c r="O920" s="329"/>
      <c r="P920" s="329"/>
      <c r="Q920" s="329"/>
      <c r="R920" s="329"/>
      <c r="S920" s="329"/>
      <c r="T920" s="329"/>
      <c r="U920" s="110"/>
      <c r="V920" s="110"/>
      <c r="W920" s="110"/>
      <c r="X920" s="110"/>
      <c r="Y920" s="110"/>
      <c r="Z920" s="110"/>
      <c r="AA920" s="110"/>
    </row>
    <row r="921" spans="1:27" ht="15.75" customHeight="1">
      <c r="A921" s="110"/>
      <c r="B921" s="427"/>
      <c r="C921" s="110"/>
      <c r="D921" s="110"/>
      <c r="E921" s="110"/>
      <c r="F921" s="110"/>
      <c r="G921" s="110"/>
      <c r="H921" s="110"/>
      <c r="I921" s="4"/>
      <c r="J921" s="110"/>
      <c r="K921" s="344"/>
      <c r="L921" s="110"/>
      <c r="M921" s="110"/>
      <c r="N921" s="329"/>
      <c r="O921" s="329"/>
      <c r="P921" s="329"/>
      <c r="Q921" s="329"/>
      <c r="R921" s="329"/>
      <c r="S921" s="329"/>
      <c r="T921" s="329"/>
      <c r="U921" s="110"/>
      <c r="V921" s="110"/>
      <c r="W921" s="110"/>
      <c r="X921" s="110"/>
      <c r="Y921" s="110"/>
      <c r="Z921" s="110"/>
      <c r="AA921" s="110"/>
    </row>
    <row r="922" spans="1:27" ht="15.75" customHeight="1">
      <c r="A922" s="110"/>
      <c r="B922" s="427"/>
      <c r="C922" s="110"/>
      <c r="D922" s="110"/>
      <c r="E922" s="110"/>
      <c r="F922" s="110"/>
      <c r="G922" s="110"/>
      <c r="H922" s="110"/>
      <c r="I922" s="4"/>
      <c r="J922" s="110"/>
      <c r="K922" s="344"/>
      <c r="L922" s="110"/>
      <c r="M922" s="110"/>
      <c r="N922" s="329"/>
      <c r="O922" s="329"/>
      <c r="P922" s="329"/>
      <c r="Q922" s="329"/>
      <c r="R922" s="329"/>
      <c r="S922" s="329"/>
      <c r="T922" s="329"/>
      <c r="U922" s="110"/>
      <c r="V922" s="110"/>
      <c r="W922" s="110"/>
      <c r="X922" s="110"/>
      <c r="Y922" s="110"/>
      <c r="Z922" s="110"/>
      <c r="AA922" s="110"/>
    </row>
    <row r="923" spans="1:27" ht="15.75" customHeight="1">
      <c r="A923" s="110"/>
      <c r="B923" s="427"/>
      <c r="C923" s="110"/>
      <c r="D923" s="110"/>
      <c r="E923" s="110"/>
      <c r="F923" s="110"/>
      <c r="G923" s="110"/>
      <c r="H923" s="110"/>
      <c r="I923" s="4"/>
      <c r="J923" s="110"/>
      <c r="K923" s="344"/>
      <c r="L923" s="110"/>
      <c r="M923" s="110"/>
      <c r="N923" s="329"/>
      <c r="O923" s="329"/>
      <c r="P923" s="329"/>
      <c r="Q923" s="329"/>
      <c r="R923" s="329"/>
      <c r="S923" s="329"/>
      <c r="T923" s="329"/>
      <c r="U923" s="110"/>
      <c r="V923" s="110"/>
      <c r="W923" s="110"/>
      <c r="X923" s="110"/>
      <c r="Y923" s="110"/>
      <c r="Z923" s="110"/>
      <c r="AA923" s="110"/>
    </row>
    <row r="924" spans="1:27" ht="15.75" customHeight="1">
      <c r="A924" s="110"/>
      <c r="B924" s="427"/>
      <c r="C924" s="110"/>
      <c r="D924" s="110"/>
      <c r="E924" s="110"/>
      <c r="F924" s="110"/>
      <c r="G924" s="110"/>
      <c r="H924" s="110"/>
      <c r="I924" s="4"/>
      <c r="J924" s="110"/>
      <c r="K924" s="344"/>
      <c r="L924" s="110"/>
      <c r="M924" s="110"/>
      <c r="N924" s="329"/>
      <c r="O924" s="329"/>
      <c r="P924" s="329"/>
      <c r="Q924" s="329"/>
      <c r="R924" s="329"/>
      <c r="S924" s="329"/>
      <c r="T924" s="329"/>
      <c r="U924" s="110"/>
      <c r="V924" s="110"/>
      <c r="W924" s="110"/>
      <c r="X924" s="110"/>
      <c r="Y924" s="110"/>
      <c r="Z924" s="110"/>
      <c r="AA924" s="110"/>
    </row>
    <row r="925" spans="1:27" ht="15.75" customHeight="1">
      <c r="A925" s="110"/>
      <c r="B925" s="427"/>
      <c r="C925" s="110"/>
      <c r="D925" s="110"/>
      <c r="E925" s="110"/>
      <c r="F925" s="110"/>
      <c r="G925" s="110"/>
      <c r="H925" s="110"/>
      <c r="I925" s="4"/>
      <c r="J925" s="110"/>
      <c r="K925" s="344"/>
      <c r="L925" s="110"/>
      <c r="M925" s="110"/>
      <c r="N925" s="329"/>
      <c r="O925" s="329"/>
      <c r="P925" s="329"/>
      <c r="Q925" s="329"/>
      <c r="R925" s="329"/>
      <c r="S925" s="329"/>
      <c r="T925" s="329"/>
      <c r="U925" s="110"/>
      <c r="V925" s="110"/>
      <c r="W925" s="110"/>
      <c r="X925" s="110"/>
      <c r="Y925" s="110"/>
      <c r="Z925" s="110"/>
      <c r="AA925" s="110"/>
    </row>
    <row r="926" spans="1:27" ht="15.75" customHeight="1">
      <c r="A926" s="110"/>
      <c r="B926" s="427"/>
      <c r="C926" s="110"/>
      <c r="D926" s="110"/>
      <c r="E926" s="110"/>
      <c r="F926" s="110"/>
      <c r="G926" s="110"/>
      <c r="H926" s="110"/>
      <c r="I926" s="4"/>
      <c r="J926" s="110"/>
      <c r="K926" s="344"/>
      <c r="L926" s="110"/>
      <c r="M926" s="110"/>
      <c r="N926" s="329"/>
      <c r="O926" s="329"/>
      <c r="P926" s="329"/>
      <c r="Q926" s="329"/>
      <c r="R926" s="329"/>
      <c r="S926" s="329"/>
      <c r="T926" s="329"/>
      <c r="U926" s="110"/>
      <c r="V926" s="110"/>
      <c r="W926" s="110"/>
      <c r="X926" s="110"/>
      <c r="Y926" s="110"/>
      <c r="Z926" s="110"/>
      <c r="AA926" s="110"/>
    </row>
    <row r="927" spans="1:27" ht="15.75" customHeight="1">
      <c r="A927" s="110"/>
      <c r="B927" s="427"/>
      <c r="C927" s="110"/>
      <c r="D927" s="110"/>
      <c r="E927" s="110"/>
      <c r="F927" s="110"/>
      <c r="G927" s="110"/>
      <c r="H927" s="110"/>
      <c r="I927" s="4"/>
      <c r="J927" s="110"/>
      <c r="K927" s="344"/>
      <c r="L927" s="110"/>
      <c r="M927" s="110"/>
      <c r="N927" s="329"/>
      <c r="O927" s="329"/>
      <c r="P927" s="329"/>
      <c r="Q927" s="329"/>
      <c r="R927" s="329"/>
      <c r="S927" s="329"/>
      <c r="T927" s="329"/>
      <c r="U927" s="110"/>
      <c r="V927" s="110"/>
      <c r="W927" s="110"/>
      <c r="X927" s="110"/>
      <c r="Y927" s="110"/>
      <c r="Z927" s="110"/>
      <c r="AA927" s="110"/>
    </row>
    <row r="928" spans="1:27" ht="15.75" customHeight="1">
      <c r="A928" s="110"/>
      <c r="B928" s="427"/>
      <c r="C928" s="110"/>
      <c r="D928" s="110"/>
      <c r="E928" s="110"/>
      <c r="F928" s="110"/>
      <c r="G928" s="110"/>
      <c r="H928" s="110"/>
      <c r="I928" s="4"/>
      <c r="J928" s="110"/>
      <c r="K928" s="344"/>
      <c r="L928" s="110"/>
      <c r="M928" s="110"/>
      <c r="N928" s="329"/>
      <c r="O928" s="329"/>
      <c r="P928" s="329"/>
      <c r="Q928" s="329"/>
      <c r="R928" s="329"/>
      <c r="S928" s="329"/>
      <c r="T928" s="329"/>
      <c r="U928" s="110"/>
      <c r="V928" s="110"/>
      <c r="W928" s="110"/>
      <c r="X928" s="110"/>
      <c r="Y928" s="110"/>
      <c r="Z928" s="110"/>
      <c r="AA928" s="110"/>
    </row>
    <row r="929" spans="1:27" ht="15.75" customHeight="1">
      <c r="A929" s="110"/>
      <c r="B929" s="427"/>
      <c r="C929" s="110"/>
      <c r="D929" s="110"/>
      <c r="E929" s="110"/>
      <c r="F929" s="110"/>
      <c r="G929" s="110"/>
      <c r="H929" s="110"/>
      <c r="I929" s="4"/>
      <c r="J929" s="110"/>
      <c r="K929" s="344"/>
      <c r="L929" s="110"/>
      <c r="M929" s="110"/>
      <c r="N929" s="329"/>
      <c r="O929" s="329"/>
      <c r="P929" s="329"/>
      <c r="Q929" s="329"/>
      <c r="R929" s="329"/>
      <c r="S929" s="329"/>
      <c r="T929" s="329"/>
      <c r="U929" s="110"/>
      <c r="V929" s="110"/>
      <c r="W929" s="110"/>
      <c r="X929" s="110"/>
      <c r="Y929" s="110"/>
      <c r="Z929" s="110"/>
      <c r="AA929" s="110"/>
    </row>
    <row r="930" spans="1:27" ht="15.75" customHeight="1">
      <c r="A930" s="110"/>
      <c r="B930" s="427"/>
      <c r="C930" s="110"/>
      <c r="D930" s="110"/>
      <c r="E930" s="110"/>
      <c r="F930" s="110"/>
      <c r="G930" s="110"/>
      <c r="H930" s="110"/>
      <c r="I930" s="4"/>
      <c r="J930" s="110"/>
      <c r="K930" s="344"/>
      <c r="L930" s="110"/>
      <c r="M930" s="110"/>
      <c r="N930" s="329"/>
      <c r="O930" s="329"/>
      <c r="P930" s="329"/>
      <c r="Q930" s="329"/>
      <c r="R930" s="329"/>
      <c r="S930" s="329"/>
      <c r="T930" s="329"/>
      <c r="U930" s="110"/>
      <c r="V930" s="110"/>
      <c r="W930" s="110"/>
      <c r="X930" s="110"/>
      <c r="Y930" s="110"/>
      <c r="Z930" s="110"/>
      <c r="AA930" s="110"/>
    </row>
    <row r="931" spans="1:27" ht="15.75" customHeight="1">
      <c r="A931" s="110"/>
      <c r="B931" s="427"/>
      <c r="C931" s="110"/>
      <c r="D931" s="110"/>
      <c r="E931" s="110"/>
      <c r="F931" s="110"/>
      <c r="G931" s="110"/>
      <c r="H931" s="110"/>
      <c r="I931" s="4"/>
      <c r="J931" s="110"/>
      <c r="K931" s="344"/>
      <c r="L931" s="110"/>
      <c r="M931" s="110"/>
      <c r="N931" s="329"/>
      <c r="O931" s="329"/>
      <c r="P931" s="329"/>
      <c r="Q931" s="329"/>
      <c r="R931" s="329"/>
      <c r="S931" s="329"/>
      <c r="T931" s="329"/>
      <c r="U931" s="110"/>
      <c r="V931" s="110"/>
      <c r="W931" s="110"/>
      <c r="X931" s="110"/>
      <c r="Y931" s="110"/>
      <c r="Z931" s="110"/>
      <c r="AA931" s="110"/>
    </row>
    <row r="932" spans="1:27" ht="15.75" customHeight="1">
      <c r="A932" s="110"/>
      <c r="B932" s="427"/>
      <c r="C932" s="110"/>
      <c r="D932" s="110"/>
      <c r="E932" s="110"/>
      <c r="F932" s="110"/>
      <c r="G932" s="110"/>
      <c r="H932" s="110"/>
      <c r="I932" s="4"/>
      <c r="J932" s="110"/>
      <c r="K932" s="344"/>
      <c r="L932" s="110"/>
      <c r="M932" s="110"/>
      <c r="N932" s="329"/>
      <c r="O932" s="329"/>
      <c r="P932" s="329"/>
      <c r="Q932" s="329"/>
      <c r="R932" s="329"/>
      <c r="S932" s="329"/>
      <c r="T932" s="329"/>
      <c r="U932" s="110"/>
      <c r="V932" s="110"/>
      <c r="W932" s="110"/>
      <c r="X932" s="110"/>
      <c r="Y932" s="110"/>
      <c r="Z932" s="110"/>
      <c r="AA932" s="110"/>
    </row>
    <row r="933" spans="1:27" ht="15.75" customHeight="1">
      <c r="A933" s="110"/>
      <c r="B933" s="427"/>
      <c r="C933" s="110"/>
      <c r="D933" s="110"/>
      <c r="E933" s="110"/>
      <c r="F933" s="110"/>
      <c r="G933" s="110"/>
      <c r="H933" s="110"/>
      <c r="I933" s="4"/>
      <c r="J933" s="110"/>
      <c r="K933" s="344"/>
      <c r="L933" s="110"/>
      <c r="M933" s="110"/>
      <c r="N933" s="329"/>
      <c r="O933" s="329"/>
      <c r="P933" s="329"/>
      <c r="Q933" s="329"/>
      <c r="R933" s="329"/>
      <c r="S933" s="329"/>
      <c r="T933" s="329"/>
      <c r="U933" s="110"/>
      <c r="V933" s="110"/>
      <c r="W933" s="110"/>
      <c r="X933" s="110"/>
      <c r="Y933" s="110"/>
      <c r="Z933" s="110"/>
      <c r="AA933" s="110"/>
    </row>
    <row r="934" spans="1:27" ht="15.75" customHeight="1">
      <c r="A934" s="110"/>
      <c r="B934" s="427"/>
      <c r="C934" s="110"/>
      <c r="D934" s="110"/>
      <c r="E934" s="110"/>
      <c r="F934" s="110"/>
      <c r="G934" s="110"/>
      <c r="H934" s="110"/>
      <c r="I934" s="4"/>
      <c r="J934" s="110"/>
      <c r="K934" s="344"/>
      <c r="L934" s="110"/>
      <c r="M934" s="110"/>
      <c r="N934" s="329"/>
      <c r="O934" s="329"/>
      <c r="P934" s="329"/>
      <c r="Q934" s="329"/>
      <c r="R934" s="329"/>
      <c r="S934" s="329"/>
      <c r="T934" s="329"/>
      <c r="U934" s="110"/>
      <c r="V934" s="110"/>
      <c r="W934" s="110"/>
      <c r="X934" s="110"/>
      <c r="Y934" s="110"/>
      <c r="Z934" s="110"/>
      <c r="AA934" s="110"/>
    </row>
    <row r="935" spans="1:27" ht="15.75" customHeight="1">
      <c r="A935" s="110"/>
      <c r="B935" s="427"/>
      <c r="C935" s="110"/>
      <c r="D935" s="110"/>
      <c r="E935" s="110"/>
      <c r="F935" s="110"/>
      <c r="G935" s="110"/>
      <c r="H935" s="110"/>
      <c r="I935" s="4"/>
      <c r="J935" s="110"/>
      <c r="K935" s="344"/>
      <c r="L935" s="110"/>
      <c r="M935" s="110"/>
      <c r="N935" s="329"/>
      <c r="O935" s="329"/>
      <c r="P935" s="329"/>
      <c r="Q935" s="329"/>
      <c r="R935" s="329"/>
      <c r="S935" s="329"/>
      <c r="T935" s="329"/>
      <c r="U935" s="110"/>
      <c r="V935" s="110"/>
      <c r="W935" s="110"/>
      <c r="X935" s="110"/>
      <c r="Y935" s="110"/>
      <c r="Z935" s="110"/>
      <c r="AA935" s="110"/>
    </row>
    <row r="936" spans="1:27" ht="15.75" customHeight="1">
      <c r="A936" s="110"/>
      <c r="B936" s="427"/>
      <c r="C936" s="110"/>
      <c r="D936" s="110"/>
      <c r="E936" s="110"/>
      <c r="F936" s="110"/>
      <c r="G936" s="110"/>
      <c r="H936" s="110"/>
      <c r="I936" s="4"/>
      <c r="J936" s="110"/>
      <c r="K936" s="344"/>
      <c r="L936" s="110"/>
      <c r="M936" s="110"/>
      <c r="N936" s="329"/>
      <c r="O936" s="329"/>
      <c r="P936" s="329"/>
      <c r="Q936" s="329"/>
      <c r="R936" s="329"/>
      <c r="S936" s="329"/>
      <c r="T936" s="329"/>
      <c r="U936" s="110"/>
      <c r="V936" s="110"/>
      <c r="W936" s="110"/>
      <c r="X936" s="110"/>
      <c r="Y936" s="110"/>
      <c r="Z936" s="110"/>
      <c r="AA936" s="110"/>
    </row>
    <row r="937" spans="1:27" ht="15.75" customHeight="1">
      <c r="A937" s="110"/>
      <c r="B937" s="427"/>
      <c r="C937" s="110"/>
      <c r="D937" s="110"/>
      <c r="E937" s="110"/>
      <c r="F937" s="110"/>
      <c r="G937" s="110"/>
      <c r="H937" s="110"/>
      <c r="I937" s="4"/>
      <c r="J937" s="110"/>
      <c r="K937" s="344"/>
      <c r="L937" s="110"/>
      <c r="M937" s="110"/>
      <c r="N937" s="329"/>
      <c r="O937" s="329"/>
      <c r="P937" s="329"/>
      <c r="Q937" s="329"/>
      <c r="R937" s="329"/>
      <c r="S937" s="329"/>
      <c r="T937" s="329"/>
      <c r="U937" s="110"/>
      <c r="V937" s="110"/>
      <c r="W937" s="110"/>
      <c r="X937" s="110"/>
      <c r="Y937" s="110"/>
      <c r="Z937" s="110"/>
      <c r="AA937" s="110"/>
    </row>
    <row r="938" spans="1:27" ht="15.75" customHeight="1">
      <c r="A938" s="110"/>
      <c r="B938" s="427"/>
      <c r="C938" s="110"/>
      <c r="D938" s="110"/>
      <c r="E938" s="110"/>
      <c r="F938" s="110"/>
      <c r="G938" s="110"/>
      <c r="H938" s="110"/>
      <c r="I938" s="4"/>
      <c r="J938" s="110"/>
      <c r="K938" s="344"/>
      <c r="L938" s="110"/>
      <c r="M938" s="110"/>
      <c r="N938" s="329"/>
      <c r="O938" s="329"/>
      <c r="P938" s="329"/>
      <c r="Q938" s="329"/>
      <c r="R938" s="329"/>
      <c r="S938" s="329"/>
      <c r="T938" s="329"/>
      <c r="U938" s="110"/>
      <c r="V938" s="110"/>
      <c r="W938" s="110"/>
      <c r="X938" s="110"/>
      <c r="Y938" s="110"/>
      <c r="Z938" s="110"/>
      <c r="AA938" s="110"/>
    </row>
    <row r="939" spans="1:27" ht="15.75" customHeight="1">
      <c r="A939" s="110"/>
      <c r="B939" s="427"/>
      <c r="C939" s="110"/>
      <c r="D939" s="110"/>
      <c r="E939" s="110"/>
      <c r="F939" s="110"/>
      <c r="G939" s="110"/>
      <c r="H939" s="110"/>
      <c r="I939" s="4"/>
      <c r="J939" s="110"/>
      <c r="K939" s="344"/>
      <c r="L939" s="110"/>
      <c r="M939" s="110"/>
      <c r="N939" s="329"/>
      <c r="O939" s="329"/>
      <c r="P939" s="329"/>
      <c r="Q939" s="329"/>
      <c r="R939" s="329"/>
      <c r="S939" s="329"/>
      <c r="T939" s="329"/>
      <c r="U939" s="110"/>
      <c r="V939" s="110"/>
      <c r="W939" s="110"/>
      <c r="X939" s="110"/>
      <c r="Y939" s="110"/>
      <c r="Z939" s="110"/>
      <c r="AA939" s="110"/>
    </row>
    <row r="940" spans="1:27" ht="15.75" customHeight="1">
      <c r="A940" s="110"/>
      <c r="B940" s="427"/>
      <c r="C940" s="110"/>
      <c r="D940" s="110"/>
      <c r="E940" s="110"/>
      <c r="F940" s="110"/>
      <c r="G940" s="110"/>
      <c r="H940" s="110"/>
      <c r="I940" s="4"/>
      <c r="J940" s="110"/>
      <c r="K940" s="344"/>
      <c r="L940" s="110"/>
      <c r="M940" s="110"/>
      <c r="N940" s="329"/>
      <c r="O940" s="329"/>
      <c r="P940" s="329"/>
      <c r="Q940" s="329"/>
      <c r="R940" s="329"/>
      <c r="S940" s="329"/>
      <c r="T940" s="329"/>
      <c r="U940" s="110"/>
      <c r="V940" s="110"/>
      <c r="W940" s="110"/>
      <c r="X940" s="110"/>
      <c r="Y940" s="110"/>
      <c r="Z940" s="110"/>
      <c r="AA940" s="110"/>
    </row>
    <row r="941" spans="1:27" ht="15.75" customHeight="1">
      <c r="A941" s="110"/>
      <c r="B941" s="427"/>
      <c r="C941" s="110"/>
      <c r="D941" s="110"/>
      <c r="E941" s="110"/>
      <c r="F941" s="110"/>
      <c r="G941" s="110"/>
      <c r="H941" s="110"/>
      <c r="I941" s="4"/>
      <c r="J941" s="110"/>
      <c r="K941" s="344"/>
      <c r="L941" s="110"/>
      <c r="M941" s="110"/>
      <c r="N941" s="329"/>
      <c r="O941" s="329"/>
      <c r="P941" s="329"/>
      <c r="Q941" s="329"/>
      <c r="R941" s="329"/>
      <c r="S941" s="329"/>
      <c r="T941" s="329"/>
      <c r="U941" s="110"/>
      <c r="V941" s="110"/>
      <c r="W941" s="110"/>
      <c r="X941" s="110"/>
      <c r="Y941" s="110"/>
      <c r="Z941" s="110"/>
      <c r="AA941" s="110"/>
    </row>
    <row r="942" spans="1:27" ht="15.75" customHeight="1">
      <c r="A942" s="110"/>
      <c r="B942" s="427"/>
      <c r="C942" s="110"/>
      <c r="D942" s="110"/>
      <c r="E942" s="110"/>
      <c r="F942" s="110"/>
      <c r="G942" s="110"/>
      <c r="H942" s="110"/>
      <c r="I942" s="4"/>
      <c r="J942" s="110"/>
      <c r="K942" s="344"/>
      <c r="L942" s="110"/>
      <c r="M942" s="110"/>
      <c r="N942" s="329"/>
      <c r="O942" s="329"/>
      <c r="P942" s="329"/>
      <c r="Q942" s="329"/>
      <c r="R942" s="329"/>
      <c r="S942" s="329"/>
      <c r="T942" s="329"/>
      <c r="U942" s="110"/>
      <c r="V942" s="110"/>
      <c r="W942" s="110"/>
      <c r="X942" s="110"/>
      <c r="Y942" s="110"/>
      <c r="Z942" s="110"/>
      <c r="AA942" s="110"/>
    </row>
    <row r="943" spans="1:27" ht="15.75" customHeight="1">
      <c r="A943" s="110"/>
      <c r="B943" s="427"/>
      <c r="C943" s="110"/>
      <c r="D943" s="110"/>
      <c r="E943" s="110"/>
      <c r="F943" s="110"/>
      <c r="G943" s="110"/>
      <c r="H943" s="110"/>
      <c r="I943" s="4"/>
      <c r="J943" s="110"/>
      <c r="K943" s="344"/>
      <c r="L943" s="110"/>
      <c r="M943" s="110"/>
      <c r="N943" s="329"/>
      <c r="O943" s="329"/>
      <c r="P943" s="329"/>
      <c r="Q943" s="329"/>
      <c r="R943" s="329"/>
      <c r="S943" s="329"/>
      <c r="T943" s="329"/>
      <c r="U943" s="110"/>
      <c r="V943" s="110"/>
      <c r="W943" s="110"/>
      <c r="X943" s="110"/>
      <c r="Y943" s="110"/>
      <c r="Z943" s="110"/>
      <c r="AA943" s="110"/>
    </row>
    <row r="944" spans="1:27" ht="15.75" customHeight="1">
      <c r="A944" s="110"/>
      <c r="B944" s="427"/>
      <c r="C944" s="110"/>
      <c r="D944" s="110"/>
      <c r="E944" s="110"/>
      <c r="F944" s="110"/>
      <c r="G944" s="110"/>
      <c r="H944" s="110"/>
      <c r="I944" s="4"/>
      <c r="J944" s="110"/>
      <c r="K944" s="344"/>
      <c r="L944" s="110"/>
      <c r="M944" s="110"/>
      <c r="N944" s="329"/>
      <c r="O944" s="329"/>
      <c r="P944" s="329"/>
      <c r="Q944" s="329"/>
      <c r="R944" s="329"/>
      <c r="S944" s="329"/>
      <c r="T944" s="329"/>
      <c r="U944" s="110"/>
      <c r="V944" s="110"/>
      <c r="W944" s="110"/>
      <c r="X944" s="110"/>
      <c r="Y944" s="110"/>
      <c r="Z944" s="110"/>
      <c r="AA944" s="110"/>
    </row>
    <row r="945" spans="1:27" ht="15.75" customHeight="1">
      <c r="A945" s="110"/>
      <c r="B945" s="427"/>
      <c r="C945" s="110"/>
      <c r="D945" s="110"/>
      <c r="E945" s="110"/>
      <c r="F945" s="110"/>
      <c r="G945" s="110"/>
      <c r="H945" s="110"/>
      <c r="I945" s="4"/>
      <c r="J945" s="110"/>
      <c r="K945" s="344"/>
      <c r="L945" s="110"/>
      <c r="M945" s="110"/>
      <c r="N945" s="329"/>
      <c r="O945" s="329"/>
      <c r="P945" s="329"/>
      <c r="Q945" s="329"/>
      <c r="R945" s="329"/>
      <c r="S945" s="329"/>
      <c r="T945" s="329"/>
      <c r="U945" s="110"/>
      <c r="V945" s="110"/>
      <c r="W945" s="110"/>
      <c r="X945" s="110"/>
      <c r="Y945" s="110"/>
      <c r="Z945" s="110"/>
      <c r="AA945" s="110"/>
    </row>
    <row r="946" spans="1:27" ht="15.75" customHeight="1">
      <c r="A946" s="110"/>
      <c r="B946" s="427"/>
      <c r="C946" s="110"/>
      <c r="D946" s="110"/>
      <c r="E946" s="110"/>
      <c r="F946" s="110"/>
      <c r="G946" s="110"/>
      <c r="H946" s="110"/>
      <c r="I946" s="4"/>
      <c r="J946" s="110"/>
      <c r="K946" s="344"/>
      <c r="L946" s="110"/>
      <c r="M946" s="110"/>
      <c r="N946" s="329"/>
      <c r="O946" s="329"/>
      <c r="P946" s="329"/>
      <c r="Q946" s="329"/>
      <c r="R946" s="329"/>
      <c r="S946" s="329"/>
      <c r="T946" s="329"/>
      <c r="U946" s="110"/>
      <c r="V946" s="110"/>
      <c r="W946" s="110"/>
      <c r="X946" s="110"/>
      <c r="Y946" s="110"/>
      <c r="Z946" s="110"/>
      <c r="AA946" s="110"/>
    </row>
    <row r="947" spans="1:27" ht="15.75" customHeight="1">
      <c r="A947" s="110"/>
      <c r="B947" s="427"/>
      <c r="C947" s="110"/>
      <c r="D947" s="110"/>
      <c r="E947" s="110"/>
      <c r="F947" s="110"/>
      <c r="G947" s="110"/>
      <c r="H947" s="110"/>
      <c r="I947" s="4"/>
      <c r="J947" s="110"/>
      <c r="K947" s="344"/>
      <c r="L947" s="110"/>
      <c r="M947" s="110"/>
      <c r="N947" s="329"/>
      <c r="O947" s="329"/>
      <c r="P947" s="329"/>
      <c r="Q947" s="329"/>
      <c r="R947" s="329"/>
      <c r="S947" s="329"/>
      <c r="T947" s="329"/>
      <c r="U947" s="110"/>
      <c r="V947" s="110"/>
      <c r="W947" s="110"/>
      <c r="X947" s="110"/>
      <c r="Y947" s="110"/>
      <c r="Z947" s="110"/>
      <c r="AA947" s="110"/>
    </row>
    <row r="948" spans="1:27" ht="15.75" customHeight="1">
      <c r="A948" s="110"/>
      <c r="B948" s="427"/>
      <c r="C948" s="110"/>
      <c r="D948" s="110"/>
      <c r="E948" s="110"/>
      <c r="F948" s="110"/>
      <c r="G948" s="110"/>
      <c r="H948" s="110"/>
      <c r="I948" s="4"/>
      <c r="J948" s="110"/>
      <c r="K948" s="344"/>
      <c r="L948" s="110"/>
      <c r="M948" s="110"/>
      <c r="N948" s="329"/>
      <c r="O948" s="329"/>
      <c r="P948" s="329"/>
      <c r="Q948" s="329"/>
      <c r="R948" s="329"/>
      <c r="S948" s="329"/>
      <c r="T948" s="329"/>
      <c r="U948" s="110"/>
      <c r="V948" s="110"/>
      <c r="W948" s="110"/>
      <c r="X948" s="110"/>
      <c r="Y948" s="110"/>
      <c r="Z948" s="110"/>
      <c r="AA948" s="110"/>
    </row>
    <row r="949" spans="1:27" ht="15.75" customHeight="1">
      <c r="A949" s="110"/>
      <c r="B949" s="427"/>
      <c r="C949" s="110"/>
      <c r="D949" s="110"/>
      <c r="E949" s="110"/>
      <c r="F949" s="110"/>
      <c r="G949" s="110"/>
      <c r="H949" s="110"/>
      <c r="I949" s="4"/>
      <c r="J949" s="110"/>
      <c r="K949" s="344"/>
      <c r="L949" s="110"/>
      <c r="M949" s="110"/>
      <c r="N949" s="329"/>
      <c r="O949" s="329"/>
      <c r="P949" s="329"/>
      <c r="Q949" s="329"/>
      <c r="R949" s="329"/>
      <c r="S949" s="329"/>
      <c r="T949" s="329"/>
      <c r="U949" s="110"/>
      <c r="V949" s="110"/>
      <c r="W949" s="110"/>
      <c r="X949" s="110"/>
      <c r="Y949" s="110"/>
      <c r="Z949" s="110"/>
      <c r="AA949" s="110"/>
    </row>
    <row r="950" spans="1:27" ht="15.75" customHeight="1">
      <c r="A950" s="110"/>
      <c r="B950" s="427"/>
      <c r="C950" s="110"/>
      <c r="D950" s="110"/>
      <c r="E950" s="110"/>
      <c r="F950" s="110"/>
      <c r="G950" s="110"/>
      <c r="H950" s="110"/>
      <c r="I950" s="4"/>
      <c r="J950" s="110"/>
      <c r="K950" s="344"/>
      <c r="L950" s="110"/>
      <c r="M950" s="110"/>
      <c r="N950" s="329"/>
      <c r="O950" s="329"/>
      <c r="P950" s="329"/>
      <c r="Q950" s="329"/>
      <c r="R950" s="329"/>
      <c r="S950" s="329"/>
      <c r="T950" s="329"/>
      <c r="U950" s="110"/>
      <c r="V950" s="110"/>
      <c r="W950" s="110"/>
      <c r="X950" s="110"/>
      <c r="Y950" s="110"/>
      <c r="Z950" s="110"/>
      <c r="AA950" s="110"/>
    </row>
    <row r="951" spans="1:27" ht="15.75" customHeight="1">
      <c r="A951" s="110"/>
      <c r="B951" s="427"/>
      <c r="C951" s="110"/>
      <c r="D951" s="110"/>
      <c r="E951" s="110"/>
      <c r="F951" s="110"/>
      <c r="G951" s="110"/>
      <c r="H951" s="110"/>
      <c r="I951" s="4"/>
      <c r="J951" s="110"/>
      <c r="K951" s="344"/>
      <c r="L951" s="110"/>
      <c r="M951" s="110"/>
      <c r="N951" s="329"/>
      <c r="O951" s="329"/>
      <c r="P951" s="329"/>
      <c r="Q951" s="329"/>
      <c r="R951" s="329"/>
      <c r="S951" s="329"/>
      <c r="T951" s="329"/>
      <c r="U951" s="110"/>
      <c r="V951" s="110"/>
      <c r="W951" s="110"/>
      <c r="X951" s="110"/>
      <c r="Y951" s="110"/>
      <c r="Z951" s="110"/>
      <c r="AA951" s="110"/>
    </row>
    <row r="952" spans="1:27" ht="15.75" customHeight="1">
      <c r="A952" s="110"/>
      <c r="B952" s="427"/>
      <c r="C952" s="110"/>
      <c r="D952" s="110"/>
      <c r="E952" s="110"/>
      <c r="F952" s="110"/>
      <c r="G952" s="110"/>
      <c r="H952" s="110"/>
      <c r="I952" s="4"/>
      <c r="J952" s="110"/>
      <c r="K952" s="344"/>
      <c r="L952" s="110"/>
      <c r="M952" s="110"/>
      <c r="N952" s="329"/>
      <c r="O952" s="329"/>
      <c r="P952" s="329"/>
      <c r="Q952" s="329"/>
      <c r="R952" s="329"/>
      <c r="S952" s="329"/>
      <c r="T952" s="329"/>
      <c r="U952" s="110"/>
      <c r="V952" s="110"/>
      <c r="W952" s="110"/>
      <c r="X952" s="110"/>
      <c r="Y952" s="110"/>
      <c r="Z952" s="110"/>
      <c r="AA952" s="110"/>
    </row>
    <row r="953" spans="1:27" ht="15.75" customHeight="1">
      <c r="A953" s="110"/>
      <c r="B953" s="427"/>
      <c r="C953" s="110"/>
      <c r="D953" s="110"/>
      <c r="E953" s="110"/>
      <c r="F953" s="110"/>
      <c r="G953" s="110"/>
      <c r="H953" s="110"/>
      <c r="I953" s="4"/>
      <c r="J953" s="110"/>
      <c r="K953" s="344"/>
      <c r="L953" s="110"/>
      <c r="M953" s="110"/>
      <c r="N953" s="329"/>
      <c r="O953" s="329"/>
      <c r="P953" s="329"/>
      <c r="Q953" s="329"/>
      <c r="R953" s="329"/>
      <c r="S953" s="329"/>
      <c r="T953" s="329"/>
      <c r="U953" s="110"/>
      <c r="V953" s="110"/>
      <c r="W953" s="110"/>
      <c r="X953" s="110"/>
      <c r="Y953" s="110"/>
      <c r="Z953" s="110"/>
      <c r="AA953" s="110"/>
    </row>
    <row r="954" spans="1:27" ht="15.75" customHeight="1">
      <c r="A954" s="110"/>
      <c r="B954" s="427"/>
      <c r="C954" s="110"/>
      <c r="D954" s="110"/>
      <c r="E954" s="110"/>
      <c r="F954" s="110"/>
      <c r="G954" s="110"/>
      <c r="H954" s="110"/>
      <c r="I954" s="4"/>
      <c r="J954" s="110"/>
      <c r="K954" s="344"/>
      <c r="L954" s="110"/>
      <c r="M954" s="110"/>
      <c r="N954" s="329"/>
      <c r="O954" s="329"/>
      <c r="P954" s="329"/>
      <c r="Q954" s="329"/>
      <c r="R954" s="329"/>
      <c r="S954" s="329"/>
      <c r="T954" s="329"/>
      <c r="U954" s="110"/>
      <c r="V954" s="110"/>
      <c r="W954" s="110"/>
      <c r="X954" s="110"/>
      <c r="Y954" s="110"/>
      <c r="Z954" s="110"/>
      <c r="AA954" s="110"/>
    </row>
    <row r="955" spans="1:27" ht="15.75" customHeight="1">
      <c r="A955" s="110"/>
      <c r="B955" s="427"/>
      <c r="C955" s="110"/>
      <c r="D955" s="110"/>
      <c r="E955" s="110"/>
      <c r="F955" s="110"/>
      <c r="G955" s="110"/>
      <c r="H955" s="110"/>
      <c r="I955" s="4"/>
      <c r="J955" s="110"/>
      <c r="K955" s="344"/>
      <c r="L955" s="110"/>
      <c r="M955" s="110"/>
      <c r="N955" s="329"/>
      <c r="O955" s="329"/>
      <c r="P955" s="329"/>
      <c r="Q955" s="329"/>
      <c r="R955" s="329"/>
      <c r="S955" s="329"/>
      <c r="T955" s="329"/>
      <c r="U955" s="110"/>
      <c r="V955" s="110"/>
      <c r="W955" s="110"/>
      <c r="X955" s="110"/>
      <c r="Y955" s="110"/>
      <c r="Z955" s="110"/>
      <c r="AA955" s="110"/>
    </row>
    <row r="956" spans="1:27" ht="15.75" customHeight="1">
      <c r="A956" s="110"/>
      <c r="B956" s="427"/>
      <c r="C956" s="110"/>
      <c r="D956" s="110"/>
      <c r="E956" s="110"/>
      <c r="F956" s="110"/>
      <c r="G956" s="110"/>
      <c r="H956" s="110"/>
      <c r="I956" s="4"/>
      <c r="J956" s="110"/>
      <c r="K956" s="344"/>
      <c r="L956" s="110"/>
      <c r="M956" s="110"/>
      <c r="N956" s="329"/>
      <c r="O956" s="329"/>
      <c r="P956" s="329"/>
      <c r="Q956" s="329"/>
      <c r="R956" s="329"/>
      <c r="S956" s="329"/>
      <c r="T956" s="329"/>
      <c r="U956" s="110"/>
      <c r="V956" s="110"/>
      <c r="W956" s="110"/>
      <c r="X956" s="110"/>
      <c r="Y956" s="110"/>
      <c r="Z956" s="110"/>
      <c r="AA956" s="110"/>
    </row>
    <row r="957" spans="1:27" ht="15.75" customHeight="1">
      <c r="A957" s="110"/>
      <c r="B957" s="427"/>
      <c r="C957" s="110"/>
      <c r="D957" s="110"/>
      <c r="E957" s="110"/>
      <c r="F957" s="110"/>
      <c r="G957" s="110"/>
      <c r="H957" s="110"/>
      <c r="I957" s="4"/>
      <c r="J957" s="110"/>
      <c r="K957" s="344"/>
      <c r="L957" s="110"/>
      <c r="M957" s="110"/>
      <c r="N957" s="329"/>
      <c r="O957" s="329"/>
      <c r="P957" s="329"/>
      <c r="Q957" s="329"/>
      <c r="R957" s="329"/>
      <c r="S957" s="329"/>
      <c r="T957" s="329"/>
      <c r="U957" s="110"/>
      <c r="V957" s="110"/>
      <c r="W957" s="110"/>
      <c r="X957" s="110"/>
      <c r="Y957" s="110"/>
      <c r="Z957" s="110"/>
      <c r="AA957" s="110"/>
    </row>
    <row r="958" spans="1:27" ht="15.75" customHeight="1">
      <c r="A958" s="110"/>
      <c r="B958" s="427"/>
      <c r="C958" s="110"/>
      <c r="D958" s="110"/>
      <c r="E958" s="110"/>
      <c r="F958" s="110"/>
      <c r="G958" s="110"/>
      <c r="H958" s="110"/>
      <c r="I958" s="4"/>
      <c r="J958" s="110"/>
      <c r="K958" s="344"/>
      <c r="L958" s="110"/>
      <c r="M958" s="110"/>
      <c r="N958" s="329"/>
      <c r="O958" s="329"/>
      <c r="P958" s="329"/>
      <c r="Q958" s="329"/>
      <c r="R958" s="329"/>
      <c r="S958" s="329"/>
      <c r="T958" s="329"/>
      <c r="U958" s="110"/>
      <c r="V958" s="110"/>
      <c r="W958" s="110"/>
      <c r="X958" s="110"/>
      <c r="Y958" s="110"/>
      <c r="Z958" s="110"/>
      <c r="AA958" s="110"/>
    </row>
    <row r="959" spans="1:27" ht="15.75" customHeight="1">
      <c r="A959" s="110"/>
      <c r="B959" s="427"/>
      <c r="C959" s="110"/>
      <c r="D959" s="110"/>
      <c r="E959" s="110"/>
      <c r="F959" s="110"/>
      <c r="G959" s="110"/>
      <c r="H959" s="110"/>
      <c r="I959" s="4"/>
      <c r="J959" s="110"/>
      <c r="K959" s="344"/>
      <c r="L959" s="110"/>
      <c r="M959" s="110"/>
      <c r="N959" s="329"/>
      <c r="O959" s="329"/>
      <c r="P959" s="329"/>
      <c r="Q959" s="329"/>
      <c r="R959" s="329"/>
      <c r="S959" s="329"/>
      <c r="T959" s="329"/>
      <c r="U959" s="110"/>
      <c r="V959" s="110"/>
      <c r="W959" s="110"/>
      <c r="X959" s="110"/>
      <c r="Y959" s="110"/>
      <c r="Z959" s="110"/>
      <c r="AA959" s="110"/>
    </row>
    <row r="960" spans="1:27" ht="15.75" customHeight="1">
      <c r="A960" s="110"/>
      <c r="B960" s="427"/>
      <c r="C960" s="110"/>
      <c r="D960" s="110"/>
      <c r="E960" s="110"/>
      <c r="F960" s="110"/>
      <c r="G960" s="110"/>
      <c r="H960" s="110"/>
      <c r="I960" s="4"/>
      <c r="J960" s="110"/>
      <c r="K960" s="344"/>
      <c r="L960" s="110"/>
      <c r="M960" s="110"/>
      <c r="N960" s="329"/>
      <c r="O960" s="329"/>
      <c r="P960" s="329"/>
      <c r="Q960" s="329"/>
      <c r="R960" s="329"/>
      <c r="S960" s="329"/>
      <c r="T960" s="329"/>
      <c r="U960" s="110"/>
      <c r="V960" s="110"/>
      <c r="W960" s="110"/>
      <c r="X960" s="110"/>
      <c r="Y960" s="110"/>
      <c r="Z960" s="110"/>
      <c r="AA960" s="110"/>
    </row>
    <row r="961" spans="1:27" ht="15.75" customHeight="1">
      <c r="A961" s="110"/>
      <c r="B961" s="427"/>
      <c r="C961" s="110"/>
      <c r="D961" s="110"/>
      <c r="E961" s="110"/>
      <c r="F961" s="110"/>
      <c r="G961" s="110"/>
      <c r="H961" s="110"/>
      <c r="I961" s="4"/>
      <c r="J961" s="110"/>
      <c r="K961" s="344"/>
      <c r="L961" s="110"/>
      <c r="M961" s="110"/>
      <c r="N961" s="329"/>
      <c r="O961" s="329"/>
      <c r="P961" s="329"/>
      <c r="Q961" s="329"/>
      <c r="R961" s="329"/>
      <c r="S961" s="329"/>
      <c r="T961" s="329"/>
      <c r="U961" s="110"/>
      <c r="V961" s="110"/>
      <c r="W961" s="110"/>
      <c r="X961" s="110"/>
      <c r="Y961" s="110"/>
      <c r="Z961" s="110"/>
      <c r="AA961" s="110"/>
    </row>
    <row r="962" spans="1:27" ht="15.75" customHeight="1">
      <c r="A962" s="110"/>
      <c r="B962" s="427"/>
      <c r="C962" s="110"/>
      <c r="D962" s="110"/>
      <c r="E962" s="110"/>
      <c r="F962" s="110"/>
      <c r="G962" s="110"/>
      <c r="H962" s="110"/>
      <c r="I962" s="4"/>
      <c r="J962" s="110"/>
      <c r="K962" s="344"/>
      <c r="L962" s="110"/>
      <c r="M962" s="110"/>
      <c r="N962" s="329"/>
      <c r="O962" s="329"/>
      <c r="P962" s="329"/>
      <c r="Q962" s="329"/>
      <c r="R962" s="329"/>
      <c r="S962" s="329"/>
      <c r="T962" s="329"/>
      <c r="U962" s="110"/>
      <c r="V962" s="110"/>
      <c r="W962" s="110"/>
      <c r="X962" s="110"/>
      <c r="Y962" s="110"/>
      <c r="Z962" s="110"/>
      <c r="AA962" s="110"/>
    </row>
    <row r="963" spans="1:27" ht="15.75" customHeight="1">
      <c r="A963" s="110"/>
      <c r="B963" s="427"/>
      <c r="C963" s="110"/>
      <c r="D963" s="110"/>
      <c r="E963" s="110"/>
      <c r="F963" s="110"/>
      <c r="G963" s="110"/>
      <c r="H963" s="110"/>
      <c r="I963" s="4"/>
      <c r="J963" s="110"/>
      <c r="K963" s="344"/>
      <c r="L963" s="110"/>
      <c r="M963" s="110"/>
      <c r="N963" s="329"/>
      <c r="O963" s="329"/>
      <c r="P963" s="329"/>
      <c r="Q963" s="329"/>
      <c r="R963" s="329"/>
      <c r="S963" s="329"/>
      <c r="T963" s="329"/>
      <c r="U963" s="110"/>
      <c r="V963" s="110"/>
      <c r="W963" s="110"/>
      <c r="X963" s="110"/>
      <c r="Y963" s="110"/>
      <c r="Z963" s="110"/>
      <c r="AA963" s="110"/>
    </row>
    <row r="964" spans="1:27" ht="15.75" customHeight="1">
      <c r="A964" s="110"/>
      <c r="B964" s="427"/>
      <c r="C964" s="110"/>
      <c r="D964" s="110"/>
      <c r="E964" s="110"/>
      <c r="F964" s="110"/>
      <c r="G964" s="110"/>
      <c r="H964" s="110"/>
      <c r="I964" s="4"/>
      <c r="J964" s="110"/>
      <c r="K964" s="344"/>
      <c r="L964" s="110"/>
      <c r="M964" s="110"/>
      <c r="N964" s="329"/>
      <c r="O964" s="329"/>
      <c r="P964" s="329"/>
      <c r="Q964" s="329"/>
      <c r="R964" s="329"/>
      <c r="S964" s="329"/>
      <c r="T964" s="329"/>
      <c r="U964" s="110"/>
      <c r="V964" s="110"/>
      <c r="W964" s="110"/>
      <c r="X964" s="110"/>
      <c r="Y964" s="110"/>
      <c r="Z964" s="110"/>
      <c r="AA964" s="110"/>
    </row>
    <row r="965" spans="1:27" ht="15.75" customHeight="1">
      <c r="A965" s="110"/>
      <c r="B965" s="427"/>
      <c r="C965" s="110"/>
      <c r="D965" s="110"/>
      <c r="E965" s="110"/>
      <c r="F965" s="110"/>
      <c r="G965" s="110"/>
      <c r="H965" s="110"/>
      <c r="I965" s="4"/>
      <c r="J965" s="110"/>
      <c r="K965" s="344"/>
      <c r="L965" s="110"/>
      <c r="M965" s="110"/>
      <c r="N965" s="329"/>
      <c r="O965" s="329"/>
      <c r="P965" s="329"/>
      <c r="Q965" s="329"/>
      <c r="R965" s="329"/>
      <c r="S965" s="329"/>
      <c r="T965" s="329"/>
      <c r="U965" s="110"/>
      <c r="V965" s="110"/>
      <c r="W965" s="110"/>
      <c r="X965" s="110"/>
      <c r="Y965" s="110"/>
      <c r="Z965" s="110"/>
      <c r="AA965" s="110"/>
    </row>
    <row r="966" spans="1:27" ht="15.75" customHeight="1">
      <c r="A966" s="110"/>
      <c r="B966" s="427"/>
      <c r="C966" s="110"/>
      <c r="D966" s="110"/>
      <c r="E966" s="110"/>
      <c r="F966" s="110"/>
      <c r="G966" s="110"/>
      <c r="H966" s="110"/>
      <c r="I966" s="4"/>
      <c r="J966" s="110"/>
      <c r="K966" s="344"/>
      <c r="L966" s="110"/>
      <c r="M966" s="110"/>
      <c r="N966" s="329"/>
      <c r="O966" s="329"/>
      <c r="P966" s="329"/>
      <c r="Q966" s="329"/>
      <c r="R966" s="329"/>
      <c r="S966" s="329"/>
      <c r="T966" s="329"/>
      <c r="U966" s="110"/>
      <c r="V966" s="110"/>
      <c r="W966" s="110"/>
      <c r="X966" s="110"/>
      <c r="Y966" s="110"/>
      <c r="Z966" s="110"/>
      <c r="AA966" s="110"/>
    </row>
    <row r="967" spans="1:27" ht="15.75" customHeight="1">
      <c r="A967" s="110"/>
      <c r="B967" s="427"/>
      <c r="C967" s="110"/>
      <c r="D967" s="110"/>
      <c r="E967" s="110"/>
      <c r="F967" s="110"/>
      <c r="G967" s="110"/>
      <c r="H967" s="110"/>
      <c r="I967" s="4"/>
      <c r="J967" s="110"/>
      <c r="K967" s="344"/>
      <c r="L967" s="110"/>
      <c r="M967" s="110"/>
      <c r="N967" s="329"/>
      <c r="O967" s="329"/>
      <c r="P967" s="329"/>
      <c r="Q967" s="329"/>
      <c r="R967" s="329"/>
      <c r="S967" s="329"/>
      <c r="T967" s="329"/>
      <c r="U967" s="110"/>
      <c r="V967" s="110"/>
      <c r="W967" s="110"/>
      <c r="X967" s="110"/>
      <c r="Y967" s="110"/>
      <c r="Z967" s="110"/>
      <c r="AA967" s="110"/>
    </row>
    <row r="968" spans="1:27" ht="15.75" customHeight="1">
      <c r="A968" s="110"/>
      <c r="B968" s="427"/>
      <c r="C968" s="110"/>
      <c r="D968" s="110"/>
      <c r="E968" s="110"/>
      <c r="F968" s="110"/>
      <c r="G968" s="110"/>
      <c r="H968" s="110"/>
      <c r="I968" s="4"/>
      <c r="J968" s="110"/>
      <c r="K968" s="344"/>
      <c r="L968" s="110"/>
      <c r="M968" s="110"/>
      <c r="N968" s="329"/>
      <c r="O968" s="329"/>
      <c r="P968" s="329"/>
      <c r="Q968" s="329"/>
      <c r="R968" s="329"/>
      <c r="S968" s="329"/>
      <c r="T968" s="329"/>
      <c r="U968" s="110"/>
      <c r="V968" s="110"/>
      <c r="W968" s="110"/>
      <c r="X968" s="110"/>
      <c r="Y968" s="110"/>
      <c r="Z968" s="110"/>
      <c r="AA968" s="110"/>
    </row>
    <row r="969" spans="1:27" ht="15.75" customHeight="1">
      <c r="A969" s="110"/>
      <c r="B969" s="427"/>
      <c r="C969" s="110"/>
      <c r="D969" s="110"/>
      <c r="E969" s="110"/>
      <c r="F969" s="110"/>
      <c r="G969" s="110"/>
      <c r="H969" s="110"/>
      <c r="I969" s="4"/>
      <c r="J969" s="110"/>
      <c r="K969" s="344"/>
      <c r="L969" s="110"/>
      <c r="M969" s="110"/>
      <c r="N969" s="329"/>
      <c r="O969" s="329"/>
      <c r="P969" s="329"/>
      <c r="Q969" s="329"/>
      <c r="R969" s="329"/>
      <c r="S969" s="329"/>
      <c r="T969" s="329"/>
      <c r="U969" s="110"/>
      <c r="V969" s="110"/>
      <c r="W969" s="110"/>
      <c r="X969" s="110"/>
      <c r="Y969" s="110"/>
      <c r="Z969" s="110"/>
      <c r="AA969" s="110"/>
    </row>
    <row r="970" spans="1:27" ht="15.75" customHeight="1">
      <c r="A970" s="110"/>
      <c r="B970" s="427"/>
      <c r="C970" s="110"/>
      <c r="D970" s="110"/>
      <c r="E970" s="110"/>
      <c r="F970" s="110"/>
      <c r="G970" s="110"/>
      <c r="H970" s="110"/>
      <c r="I970" s="4"/>
      <c r="J970" s="110"/>
      <c r="K970" s="344"/>
      <c r="L970" s="110"/>
      <c r="M970" s="110"/>
      <c r="N970" s="329"/>
      <c r="O970" s="329"/>
      <c r="P970" s="329"/>
      <c r="Q970" s="329"/>
      <c r="R970" s="329"/>
      <c r="S970" s="329"/>
      <c r="T970" s="329"/>
      <c r="U970" s="110"/>
      <c r="V970" s="110"/>
      <c r="W970" s="110"/>
      <c r="X970" s="110"/>
      <c r="Y970" s="110"/>
      <c r="Z970" s="110"/>
      <c r="AA970" s="110"/>
    </row>
    <row r="971" spans="1:27" ht="15.75" customHeight="1">
      <c r="A971" s="110"/>
      <c r="B971" s="427"/>
      <c r="C971" s="110"/>
      <c r="D971" s="110"/>
      <c r="E971" s="110"/>
      <c r="F971" s="110"/>
      <c r="G971" s="110"/>
      <c r="H971" s="110"/>
      <c r="I971" s="4"/>
      <c r="J971" s="110"/>
      <c r="K971" s="344"/>
      <c r="L971" s="110"/>
      <c r="M971" s="110"/>
      <c r="N971" s="329"/>
      <c r="O971" s="329"/>
      <c r="P971" s="329"/>
      <c r="Q971" s="329"/>
      <c r="R971" s="329"/>
      <c r="S971" s="329"/>
      <c r="T971" s="329"/>
      <c r="U971" s="110"/>
      <c r="V971" s="110"/>
      <c r="W971" s="110"/>
      <c r="X971" s="110"/>
      <c r="Y971" s="110"/>
      <c r="Z971" s="110"/>
      <c r="AA971" s="110"/>
    </row>
    <row r="972" spans="1:27" ht="15.75" customHeight="1">
      <c r="A972" s="110"/>
      <c r="B972" s="427"/>
      <c r="C972" s="110"/>
      <c r="D972" s="110"/>
      <c r="E972" s="110"/>
      <c r="F972" s="110"/>
      <c r="G972" s="110"/>
      <c r="H972" s="110"/>
      <c r="I972" s="4"/>
      <c r="J972" s="110"/>
      <c r="K972" s="344"/>
      <c r="L972" s="110"/>
      <c r="M972" s="110"/>
      <c r="N972" s="329"/>
      <c r="O972" s="329"/>
      <c r="P972" s="329"/>
      <c r="Q972" s="329"/>
      <c r="R972" s="329"/>
      <c r="S972" s="329"/>
      <c r="T972" s="329"/>
      <c r="U972" s="110"/>
      <c r="V972" s="110"/>
      <c r="W972" s="110"/>
      <c r="X972" s="110"/>
      <c r="Y972" s="110"/>
      <c r="Z972" s="110"/>
      <c r="AA972" s="110"/>
    </row>
    <row r="973" spans="1:27" ht="15.75" customHeight="1">
      <c r="A973" s="110"/>
      <c r="B973" s="427"/>
      <c r="C973" s="110"/>
      <c r="D973" s="110"/>
      <c r="E973" s="110"/>
      <c r="F973" s="110"/>
      <c r="G973" s="110"/>
      <c r="H973" s="110"/>
      <c r="I973" s="4"/>
      <c r="J973" s="110"/>
      <c r="K973" s="344"/>
      <c r="L973" s="110"/>
      <c r="M973" s="110"/>
      <c r="N973" s="329"/>
      <c r="O973" s="329"/>
      <c r="P973" s="329"/>
      <c r="Q973" s="329"/>
      <c r="R973" s="329"/>
      <c r="S973" s="329"/>
      <c r="T973" s="329"/>
      <c r="U973" s="110"/>
      <c r="V973" s="110"/>
      <c r="W973" s="110"/>
      <c r="X973" s="110"/>
      <c r="Y973" s="110"/>
      <c r="Z973" s="110"/>
      <c r="AA973" s="110"/>
    </row>
    <row r="974" spans="1:27" ht="15.75" customHeight="1">
      <c r="A974" s="110"/>
      <c r="B974" s="427"/>
      <c r="C974" s="110"/>
      <c r="D974" s="110"/>
      <c r="E974" s="110"/>
      <c r="F974" s="110"/>
      <c r="G974" s="110"/>
      <c r="H974" s="110"/>
      <c r="I974" s="4"/>
      <c r="J974" s="110"/>
      <c r="K974" s="344"/>
      <c r="L974" s="110"/>
      <c r="M974" s="110"/>
      <c r="N974" s="329"/>
      <c r="O974" s="329"/>
      <c r="P974" s="329"/>
      <c r="Q974" s="329"/>
      <c r="R974" s="329"/>
      <c r="S974" s="329"/>
      <c r="T974" s="329"/>
      <c r="U974" s="110"/>
      <c r="V974" s="110"/>
      <c r="W974" s="110"/>
      <c r="X974" s="110"/>
      <c r="Y974" s="110"/>
      <c r="Z974" s="110"/>
      <c r="AA974" s="110"/>
    </row>
    <row r="975" spans="1:27" ht="15.75" customHeight="1">
      <c r="A975" s="110"/>
      <c r="B975" s="427"/>
      <c r="C975" s="110"/>
      <c r="D975" s="110"/>
      <c r="E975" s="110"/>
      <c r="F975" s="110"/>
      <c r="G975" s="110"/>
      <c r="H975" s="110"/>
      <c r="I975" s="4"/>
      <c r="J975" s="110"/>
      <c r="K975" s="344"/>
      <c r="L975" s="110"/>
      <c r="M975" s="110"/>
      <c r="N975" s="329"/>
      <c r="O975" s="329"/>
      <c r="P975" s="329"/>
      <c r="Q975" s="329"/>
      <c r="R975" s="329"/>
      <c r="S975" s="329"/>
      <c r="T975" s="329"/>
      <c r="U975" s="110"/>
      <c r="V975" s="110"/>
      <c r="W975" s="110"/>
      <c r="X975" s="110"/>
      <c r="Y975" s="110"/>
      <c r="Z975" s="110"/>
      <c r="AA975" s="110"/>
    </row>
    <row r="976" spans="1:27" ht="15.75" customHeight="1">
      <c r="A976" s="110"/>
      <c r="B976" s="427"/>
      <c r="C976" s="110"/>
      <c r="D976" s="110"/>
      <c r="E976" s="110"/>
      <c r="F976" s="110"/>
      <c r="G976" s="110"/>
      <c r="H976" s="110"/>
      <c r="I976" s="4"/>
      <c r="J976" s="110"/>
      <c r="K976" s="344"/>
      <c r="L976" s="110"/>
      <c r="M976" s="110"/>
      <c r="N976" s="329"/>
      <c r="O976" s="329"/>
      <c r="P976" s="329"/>
      <c r="Q976" s="329"/>
      <c r="R976" s="329"/>
      <c r="S976" s="329"/>
      <c r="T976" s="329"/>
      <c r="U976" s="110"/>
      <c r="V976" s="110"/>
      <c r="W976" s="110"/>
      <c r="X976" s="110"/>
      <c r="Y976" s="110"/>
      <c r="Z976" s="110"/>
      <c r="AA976" s="110"/>
    </row>
    <row r="977" spans="1:27" ht="15.75" customHeight="1">
      <c r="A977" s="110"/>
      <c r="B977" s="427"/>
      <c r="C977" s="110"/>
      <c r="D977" s="110"/>
      <c r="E977" s="110"/>
      <c r="F977" s="110"/>
      <c r="G977" s="110"/>
      <c r="H977" s="110"/>
      <c r="I977" s="4"/>
      <c r="J977" s="110"/>
      <c r="K977" s="344"/>
      <c r="L977" s="110"/>
      <c r="M977" s="110"/>
      <c r="N977" s="329"/>
      <c r="O977" s="329"/>
      <c r="P977" s="329"/>
      <c r="Q977" s="329"/>
      <c r="R977" s="329"/>
      <c r="S977" s="329"/>
      <c r="T977" s="329"/>
      <c r="U977" s="110"/>
      <c r="V977" s="110"/>
      <c r="W977" s="110"/>
      <c r="X977" s="110"/>
      <c r="Y977" s="110"/>
      <c r="Z977" s="110"/>
      <c r="AA977" s="110"/>
    </row>
    <row r="978" spans="1:27" ht="15.75" customHeight="1">
      <c r="A978" s="110"/>
      <c r="B978" s="427"/>
      <c r="C978" s="110"/>
      <c r="D978" s="110"/>
      <c r="E978" s="110"/>
      <c r="F978" s="110"/>
      <c r="G978" s="110"/>
      <c r="H978" s="110"/>
      <c r="I978" s="4"/>
      <c r="J978" s="110"/>
      <c r="K978" s="344"/>
      <c r="L978" s="110"/>
      <c r="M978" s="110"/>
      <c r="N978" s="329"/>
      <c r="O978" s="329"/>
      <c r="P978" s="329"/>
      <c r="Q978" s="329"/>
      <c r="R978" s="329"/>
      <c r="S978" s="329"/>
      <c r="T978" s="329"/>
      <c r="U978" s="110"/>
      <c r="V978" s="110"/>
      <c r="W978" s="110"/>
      <c r="X978" s="110"/>
      <c r="Y978" s="110"/>
      <c r="Z978" s="110"/>
      <c r="AA978" s="110"/>
    </row>
    <row r="979" spans="1:27" ht="15.75" customHeight="1">
      <c r="A979" s="110"/>
      <c r="B979" s="427"/>
      <c r="C979" s="110"/>
      <c r="D979" s="110"/>
      <c r="E979" s="110"/>
      <c r="F979" s="110"/>
      <c r="G979" s="110"/>
      <c r="H979" s="110"/>
      <c r="I979" s="4"/>
      <c r="J979" s="110"/>
      <c r="K979" s="344"/>
      <c r="L979" s="110"/>
      <c r="M979" s="110"/>
      <c r="N979" s="329"/>
      <c r="O979" s="329"/>
      <c r="P979" s="329"/>
      <c r="Q979" s="329"/>
      <c r="R979" s="329"/>
      <c r="S979" s="329"/>
      <c r="T979" s="329"/>
      <c r="U979" s="110"/>
      <c r="V979" s="110"/>
      <c r="W979" s="110"/>
      <c r="X979" s="110"/>
      <c r="Y979" s="110"/>
      <c r="Z979" s="110"/>
      <c r="AA979" s="110"/>
    </row>
    <row r="980" spans="1:27" ht="15.75" customHeight="1">
      <c r="A980" s="110"/>
      <c r="B980" s="427"/>
      <c r="C980" s="110"/>
      <c r="D980" s="110"/>
      <c r="E980" s="110"/>
      <c r="F980" s="110"/>
      <c r="G980" s="110"/>
      <c r="H980" s="110"/>
      <c r="I980" s="4"/>
      <c r="J980" s="110"/>
      <c r="K980" s="344"/>
      <c r="L980" s="110"/>
      <c r="M980" s="110"/>
      <c r="N980" s="329"/>
      <c r="O980" s="329"/>
      <c r="P980" s="329"/>
      <c r="Q980" s="329"/>
      <c r="R980" s="329"/>
      <c r="S980" s="329"/>
      <c r="T980" s="329"/>
      <c r="U980" s="110"/>
      <c r="V980" s="110"/>
      <c r="W980" s="110"/>
      <c r="X980" s="110"/>
      <c r="Y980" s="110"/>
      <c r="Z980" s="110"/>
      <c r="AA980" s="110"/>
    </row>
    <row r="981" spans="1:27" ht="15.75" customHeight="1">
      <c r="A981" s="110"/>
      <c r="B981" s="427"/>
      <c r="C981" s="110"/>
      <c r="D981" s="110"/>
      <c r="E981" s="110"/>
      <c r="F981" s="110"/>
      <c r="G981" s="110"/>
      <c r="H981" s="110"/>
      <c r="I981" s="4"/>
      <c r="J981" s="110"/>
      <c r="K981" s="344"/>
      <c r="L981" s="110"/>
      <c r="M981" s="110"/>
      <c r="N981" s="329"/>
      <c r="O981" s="329"/>
      <c r="P981" s="329"/>
      <c r="Q981" s="329"/>
      <c r="R981" s="329"/>
      <c r="S981" s="329"/>
      <c r="T981" s="329"/>
      <c r="U981" s="110"/>
      <c r="V981" s="110"/>
      <c r="W981" s="110"/>
      <c r="X981" s="110"/>
      <c r="Y981" s="110"/>
      <c r="Z981" s="110"/>
      <c r="AA981" s="110"/>
    </row>
    <row r="982" spans="1:27" ht="15.75" customHeight="1">
      <c r="A982" s="110"/>
      <c r="B982" s="427"/>
      <c r="C982" s="110"/>
      <c r="D982" s="110"/>
      <c r="E982" s="110"/>
      <c r="F982" s="110"/>
      <c r="G982" s="110"/>
      <c r="H982" s="110"/>
      <c r="I982" s="4"/>
      <c r="J982" s="110"/>
      <c r="K982" s="344"/>
      <c r="L982" s="110"/>
      <c r="M982" s="110"/>
      <c r="N982" s="329"/>
      <c r="O982" s="329"/>
      <c r="P982" s="329"/>
      <c r="Q982" s="329"/>
      <c r="R982" s="329"/>
      <c r="S982" s="329"/>
      <c r="T982" s="329"/>
      <c r="U982" s="110"/>
      <c r="V982" s="110"/>
      <c r="W982" s="110"/>
      <c r="X982" s="110"/>
      <c r="Y982" s="110"/>
      <c r="Z982" s="110"/>
      <c r="AA982" s="110"/>
    </row>
    <row r="983" spans="1:27" ht="15.75" customHeight="1">
      <c r="A983" s="110"/>
      <c r="B983" s="427"/>
      <c r="C983" s="110"/>
      <c r="D983" s="110"/>
      <c r="E983" s="110"/>
      <c r="F983" s="110"/>
      <c r="G983" s="110"/>
      <c r="H983" s="110"/>
      <c r="I983" s="4"/>
      <c r="J983" s="110"/>
      <c r="K983" s="344"/>
      <c r="L983" s="110"/>
      <c r="M983" s="110"/>
      <c r="N983" s="329"/>
      <c r="O983" s="329"/>
      <c r="P983" s="329"/>
      <c r="Q983" s="329"/>
      <c r="R983" s="329"/>
      <c r="S983" s="329"/>
      <c r="T983" s="329"/>
      <c r="U983" s="110"/>
      <c r="V983" s="110"/>
      <c r="W983" s="110"/>
      <c r="X983" s="110"/>
      <c r="Y983" s="110"/>
      <c r="Z983" s="110"/>
      <c r="AA983" s="110"/>
    </row>
    <row r="984" spans="1:27" ht="15.75" customHeight="1">
      <c r="A984" s="110"/>
      <c r="B984" s="427"/>
      <c r="C984" s="110"/>
      <c r="D984" s="110"/>
      <c r="E984" s="110"/>
      <c r="F984" s="110"/>
      <c r="G984" s="110"/>
      <c r="H984" s="110"/>
      <c r="I984" s="4"/>
      <c r="J984" s="110"/>
      <c r="K984" s="344"/>
      <c r="L984" s="110"/>
      <c r="M984" s="110"/>
      <c r="N984" s="329"/>
      <c r="O984" s="329"/>
      <c r="P984" s="329"/>
      <c r="Q984" s="329"/>
      <c r="R984" s="329"/>
      <c r="S984" s="329"/>
      <c r="T984" s="329"/>
      <c r="U984" s="110"/>
      <c r="V984" s="110"/>
      <c r="W984" s="110"/>
      <c r="X984" s="110"/>
      <c r="Y984" s="110"/>
      <c r="Z984" s="110"/>
      <c r="AA984" s="110"/>
    </row>
    <row r="985" spans="1:27" ht="15.75" customHeight="1">
      <c r="A985" s="110"/>
      <c r="B985" s="427"/>
      <c r="C985" s="110"/>
      <c r="D985" s="110"/>
      <c r="E985" s="110"/>
      <c r="F985" s="110"/>
      <c r="G985" s="110"/>
      <c r="H985" s="110"/>
      <c r="I985" s="4"/>
      <c r="J985" s="110"/>
      <c r="K985" s="344"/>
      <c r="L985" s="110"/>
      <c r="M985" s="110"/>
      <c r="N985" s="329"/>
      <c r="O985" s="329"/>
      <c r="P985" s="329"/>
      <c r="Q985" s="329"/>
      <c r="R985" s="329"/>
      <c r="S985" s="329"/>
      <c r="T985" s="329"/>
      <c r="U985" s="110"/>
      <c r="V985" s="110"/>
      <c r="W985" s="110"/>
      <c r="X985" s="110"/>
      <c r="Y985" s="110"/>
      <c r="Z985" s="110"/>
      <c r="AA985" s="110"/>
    </row>
    <row r="986" spans="1:27" ht="15.75" customHeight="1">
      <c r="A986" s="110"/>
      <c r="B986" s="427"/>
      <c r="C986" s="110"/>
      <c r="D986" s="110"/>
      <c r="E986" s="110"/>
      <c r="F986" s="110"/>
      <c r="G986" s="110"/>
      <c r="H986" s="110"/>
      <c r="I986" s="4"/>
      <c r="J986" s="110"/>
      <c r="K986" s="344"/>
      <c r="L986" s="110"/>
      <c r="M986" s="110"/>
      <c r="N986" s="329"/>
      <c r="O986" s="329"/>
      <c r="P986" s="329"/>
      <c r="Q986" s="329"/>
      <c r="R986" s="329"/>
      <c r="S986" s="329"/>
      <c r="T986" s="329"/>
      <c r="U986" s="110"/>
      <c r="V986" s="110"/>
      <c r="W986" s="110"/>
      <c r="X986" s="110"/>
      <c r="Y986" s="110"/>
      <c r="Z986" s="110"/>
      <c r="AA986" s="110"/>
    </row>
    <row r="987" spans="1:27" ht="15.75" customHeight="1">
      <c r="A987" s="110"/>
      <c r="B987" s="427"/>
      <c r="C987" s="110"/>
      <c r="D987" s="110"/>
      <c r="E987" s="110"/>
      <c r="F987" s="110"/>
      <c r="G987" s="110"/>
      <c r="H987" s="110"/>
      <c r="I987" s="4"/>
      <c r="J987" s="110"/>
      <c r="K987" s="344"/>
      <c r="L987" s="110"/>
      <c r="M987" s="110"/>
      <c r="N987" s="329"/>
      <c r="O987" s="329"/>
      <c r="P987" s="329"/>
      <c r="Q987" s="329"/>
      <c r="R987" s="329"/>
      <c r="S987" s="329"/>
      <c r="T987" s="329"/>
      <c r="U987" s="110"/>
      <c r="V987" s="110"/>
      <c r="W987" s="110"/>
      <c r="X987" s="110"/>
      <c r="Y987" s="110"/>
      <c r="Z987" s="110"/>
      <c r="AA987" s="110"/>
    </row>
    <row r="988" spans="1:27" ht="15.75" customHeight="1">
      <c r="A988" s="110"/>
      <c r="B988" s="427"/>
      <c r="C988" s="110"/>
      <c r="D988" s="110"/>
      <c r="E988" s="110"/>
      <c r="F988" s="110"/>
      <c r="G988" s="110"/>
      <c r="H988" s="110"/>
      <c r="I988" s="4"/>
      <c r="J988" s="110"/>
      <c r="K988" s="344"/>
      <c r="L988" s="110"/>
      <c r="M988" s="110"/>
      <c r="N988" s="329"/>
      <c r="O988" s="329"/>
      <c r="P988" s="329"/>
      <c r="Q988" s="329"/>
      <c r="R988" s="329"/>
      <c r="S988" s="329"/>
      <c r="T988" s="329"/>
      <c r="U988" s="110"/>
      <c r="V988" s="110"/>
      <c r="W988" s="110"/>
      <c r="X988" s="110"/>
      <c r="Y988" s="110"/>
      <c r="Z988" s="110"/>
      <c r="AA988" s="110"/>
    </row>
    <row r="989" spans="1:27" ht="15.75" customHeight="1">
      <c r="A989" s="110"/>
      <c r="B989" s="427"/>
      <c r="C989" s="110"/>
      <c r="D989" s="110"/>
      <c r="E989" s="110"/>
      <c r="F989" s="110"/>
      <c r="G989" s="110"/>
      <c r="H989" s="110"/>
      <c r="I989" s="4"/>
      <c r="J989" s="110"/>
      <c r="K989" s="344"/>
      <c r="L989" s="110"/>
      <c r="M989" s="110"/>
      <c r="N989" s="329"/>
      <c r="O989" s="329"/>
      <c r="P989" s="329"/>
      <c r="Q989" s="329"/>
      <c r="R989" s="329"/>
      <c r="S989" s="329"/>
      <c r="T989" s="329"/>
      <c r="U989" s="110"/>
      <c r="V989" s="110"/>
      <c r="W989" s="110"/>
      <c r="X989" s="110"/>
      <c r="Y989" s="110"/>
      <c r="Z989" s="110"/>
      <c r="AA989" s="110"/>
    </row>
    <row r="990" spans="1:27" ht="15.75" customHeight="1">
      <c r="A990" s="110"/>
      <c r="B990" s="427"/>
      <c r="C990" s="110"/>
      <c r="D990" s="110"/>
      <c r="E990" s="110"/>
      <c r="F990" s="110"/>
      <c r="G990" s="110"/>
      <c r="H990" s="110"/>
      <c r="I990" s="4"/>
      <c r="J990" s="110"/>
      <c r="K990" s="344"/>
      <c r="L990" s="110"/>
      <c r="M990" s="110"/>
      <c r="N990" s="329"/>
      <c r="O990" s="329"/>
      <c r="P990" s="329"/>
      <c r="Q990" s="329"/>
      <c r="R990" s="329"/>
      <c r="S990" s="329"/>
      <c r="T990" s="329"/>
      <c r="U990" s="110"/>
      <c r="V990" s="110"/>
      <c r="W990" s="110"/>
      <c r="X990" s="110"/>
      <c r="Y990" s="110"/>
      <c r="Z990" s="110"/>
      <c r="AA990" s="110"/>
    </row>
    <row r="991" spans="1:27" ht="15.75" customHeight="1">
      <c r="A991" s="110"/>
      <c r="B991" s="427"/>
      <c r="C991" s="110"/>
      <c r="D991" s="110"/>
      <c r="E991" s="110"/>
      <c r="F991" s="110"/>
      <c r="G991" s="110"/>
      <c r="H991" s="110"/>
      <c r="I991" s="4"/>
      <c r="J991" s="110"/>
      <c r="K991" s="344"/>
      <c r="L991" s="110"/>
      <c r="M991" s="110"/>
      <c r="N991" s="329"/>
      <c r="O991" s="329"/>
      <c r="P991" s="329"/>
      <c r="Q991" s="329"/>
      <c r="R991" s="329"/>
      <c r="S991" s="329"/>
      <c r="T991" s="329"/>
      <c r="U991" s="110"/>
      <c r="V991" s="110"/>
      <c r="W991" s="110"/>
      <c r="X991" s="110"/>
      <c r="Y991" s="110"/>
      <c r="Z991" s="110"/>
      <c r="AA991" s="110"/>
    </row>
    <row r="992" spans="1:27" ht="15.75" customHeight="1">
      <c r="A992" s="110"/>
      <c r="B992" s="427"/>
      <c r="C992" s="110"/>
      <c r="D992" s="110"/>
      <c r="E992" s="110"/>
      <c r="F992" s="110"/>
      <c r="G992" s="110"/>
      <c r="H992" s="110"/>
      <c r="I992" s="4"/>
      <c r="J992" s="110"/>
      <c r="K992" s="344"/>
      <c r="L992" s="110"/>
      <c r="M992" s="110"/>
      <c r="N992" s="329"/>
      <c r="O992" s="329"/>
      <c r="P992" s="329"/>
      <c r="Q992" s="329"/>
      <c r="R992" s="329"/>
      <c r="S992" s="329"/>
      <c r="T992" s="329"/>
      <c r="U992" s="110"/>
      <c r="V992" s="110"/>
      <c r="W992" s="110"/>
      <c r="X992" s="110"/>
      <c r="Y992" s="110"/>
      <c r="Z992" s="110"/>
      <c r="AA992" s="110"/>
    </row>
    <row r="993" spans="1:27" ht="15.75" customHeight="1">
      <c r="A993" s="110"/>
      <c r="B993" s="427"/>
      <c r="C993" s="110"/>
      <c r="D993" s="110"/>
      <c r="E993" s="110"/>
      <c r="F993" s="110"/>
      <c r="G993" s="110"/>
      <c r="H993" s="110"/>
      <c r="I993" s="4"/>
      <c r="J993" s="110"/>
      <c r="K993" s="344"/>
      <c r="L993" s="110"/>
      <c r="M993" s="110"/>
      <c r="N993" s="329"/>
      <c r="O993" s="329"/>
      <c r="P993" s="329"/>
      <c r="Q993" s="329"/>
      <c r="R993" s="329"/>
      <c r="S993" s="329"/>
      <c r="T993" s="329"/>
      <c r="U993" s="110"/>
      <c r="V993" s="110"/>
      <c r="W993" s="110"/>
      <c r="X993" s="110"/>
      <c r="Y993" s="110"/>
      <c r="Z993" s="110"/>
      <c r="AA993" s="110"/>
    </row>
    <row r="994" spans="1:27" ht="15.75" customHeight="1">
      <c r="A994" s="110"/>
      <c r="B994" s="427"/>
      <c r="C994" s="110"/>
      <c r="D994" s="110"/>
      <c r="E994" s="110"/>
      <c r="F994" s="110"/>
      <c r="G994" s="110"/>
      <c r="H994" s="110"/>
      <c r="I994" s="4"/>
      <c r="J994" s="110"/>
      <c r="K994" s="344"/>
      <c r="L994" s="110"/>
      <c r="M994" s="110"/>
      <c r="N994" s="329"/>
      <c r="O994" s="329"/>
      <c r="P994" s="329"/>
      <c r="Q994" s="329"/>
      <c r="R994" s="329"/>
      <c r="S994" s="329"/>
      <c r="T994" s="329"/>
      <c r="U994" s="110"/>
      <c r="V994" s="110"/>
      <c r="W994" s="110"/>
      <c r="X994" s="110"/>
      <c r="Y994" s="110"/>
      <c r="Z994" s="110"/>
      <c r="AA994" s="110"/>
    </row>
    <row r="995" spans="1:27" ht="15.75" customHeight="1">
      <c r="A995" s="110"/>
      <c r="B995" s="427"/>
      <c r="C995" s="110"/>
      <c r="D995" s="110"/>
      <c r="E995" s="110"/>
      <c r="F995" s="110"/>
      <c r="G995" s="110"/>
      <c r="H995" s="110"/>
      <c r="I995" s="4"/>
      <c r="J995" s="110"/>
      <c r="K995" s="344"/>
      <c r="L995" s="110"/>
      <c r="M995" s="110"/>
      <c r="N995" s="329"/>
      <c r="O995" s="329"/>
      <c r="P995" s="329"/>
      <c r="Q995" s="329"/>
      <c r="R995" s="329"/>
      <c r="S995" s="329"/>
      <c r="T995" s="329"/>
      <c r="U995" s="110"/>
      <c r="V995" s="110"/>
      <c r="W995" s="110"/>
      <c r="X995" s="110"/>
      <c r="Y995" s="110"/>
      <c r="Z995" s="110"/>
      <c r="AA995" s="110"/>
    </row>
    <row r="996" spans="1:27" ht="15.75" customHeight="1">
      <c r="A996" s="110"/>
      <c r="B996" s="427"/>
      <c r="C996" s="110"/>
      <c r="D996" s="110"/>
      <c r="E996" s="110"/>
      <c r="F996" s="110"/>
      <c r="G996" s="110"/>
      <c r="H996" s="110"/>
      <c r="I996" s="4"/>
      <c r="J996" s="110"/>
      <c r="K996" s="344"/>
      <c r="L996" s="110"/>
      <c r="M996" s="110"/>
      <c r="N996" s="329"/>
      <c r="O996" s="329"/>
      <c r="P996" s="329"/>
      <c r="Q996" s="329"/>
      <c r="R996" s="329"/>
      <c r="S996" s="329"/>
      <c r="T996" s="329"/>
      <c r="U996" s="110"/>
      <c r="V996" s="110"/>
      <c r="W996" s="110"/>
      <c r="X996" s="110"/>
      <c r="Y996" s="110"/>
      <c r="Z996" s="110"/>
      <c r="AA996" s="110"/>
    </row>
    <row r="997" spans="1:27" ht="15.75" customHeight="1">
      <c r="A997" s="110"/>
      <c r="B997" s="427"/>
      <c r="C997" s="110"/>
      <c r="D997" s="110"/>
      <c r="E997" s="110"/>
      <c r="F997" s="110"/>
      <c r="G997" s="110"/>
      <c r="H997" s="110"/>
      <c r="I997" s="4"/>
      <c r="J997" s="110"/>
      <c r="K997" s="344"/>
      <c r="L997" s="110"/>
      <c r="M997" s="110"/>
      <c r="N997" s="329"/>
      <c r="O997" s="329"/>
      <c r="P997" s="329"/>
      <c r="Q997" s="329"/>
      <c r="R997" s="329"/>
      <c r="S997" s="329"/>
      <c r="T997" s="329"/>
      <c r="U997" s="110"/>
      <c r="V997" s="110"/>
      <c r="W997" s="110"/>
      <c r="X997" s="110"/>
      <c r="Y997" s="110"/>
      <c r="Z997" s="110"/>
      <c r="AA997" s="110"/>
    </row>
    <row r="998" spans="1:27" ht="15.75" customHeight="1">
      <c r="A998" s="110"/>
      <c r="B998" s="427"/>
      <c r="C998" s="110"/>
      <c r="D998" s="110"/>
      <c r="E998" s="110"/>
      <c r="F998" s="110"/>
      <c r="G998" s="110"/>
      <c r="H998" s="110"/>
      <c r="I998" s="4"/>
      <c r="J998" s="110"/>
      <c r="K998" s="344"/>
      <c r="L998" s="110"/>
      <c r="M998" s="110"/>
      <c r="N998" s="329"/>
      <c r="O998" s="329"/>
      <c r="P998" s="329"/>
      <c r="Q998" s="329"/>
      <c r="R998" s="329"/>
      <c r="S998" s="329"/>
      <c r="T998" s="329"/>
      <c r="U998" s="110"/>
      <c r="V998" s="110"/>
      <c r="W998" s="110"/>
      <c r="X998" s="110"/>
      <c r="Y998" s="110"/>
      <c r="Z998" s="110"/>
      <c r="AA998" s="110"/>
    </row>
    <row r="999" spans="1:27" ht="15.75" customHeight="1">
      <c r="A999" s="110"/>
      <c r="B999" s="427"/>
      <c r="C999" s="110"/>
      <c r="D999" s="110"/>
      <c r="E999" s="110"/>
      <c r="F999" s="110"/>
      <c r="G999" s="110"/>
      <c r="H999" s="110"/>
      <c r="I999" s="4"/>
      <c r="J999" s="110"/>
      <c r="K999" s="344"/>
      <c r="L999" s="110"/>
      <c r="M999" s="110"/>
      <c r="N999" s="329"/>
      <c r="O999" s="329"/>
      <c r="P999" s="329"/>
      <c r="Q999" s="329"/>
      <c r="R999" s="329"/>
      <c r="S999" s="329"/>
      <c r="T999" s="329"/>
      <c r="U999" s="110"/>
      <c r="V999" s="110"/>
      <c r="W999" s="110"/>
      <c r="X999" s="110"/>
      <c r="Y999" s="110"/>
      <c r="Z999" s="110"/>
      <c r="AA999" s="110"/>
    </row>
    <row r="1000" spans="1:27" ht="15.75" customHeight="1">
      <c r="A1000" s="110"/>
      <c r="B1000" s="427"/>
      <c r="C1000" s="110"/>
      <c r="D1000" s="110"/>
      <c r="E1000" s="110"/>
      <c r="F1000" s="110"/>
      <c r="G1000" s="110"/>
      <c r="H1000" s="110"/>
      <c r="I1000" s="4"/>
      <c r="J1000" s="110"/>
      <c r="K1000" s="344"/>
      <c r="L1000" s="110"/>
      <c r="M1000" s="110"/>
      <c r="N1000" s="329"/>
      <c r="O1000" s="329"/>
      <c r="P1000" s="329"/>
      <c r="Q1000" s="329"/>
      <c r="R1000" s="329"/>
      <c r="S1000" s="329"/>
      <c r="T1000" s="329"/>
      <c r="U1000" s="110"/>
      <c r="V1000" s="110"/>
      <c r="W1000" s="110"/>
      <c r="X1000" s="110"/>
      <c r="Y1000" s="110"/>
      <c r="Z1000" s="110"/>
      <c r="AA1000" s="110"/>
    </row>
    <row r="1001" spans="1:27" ht="15.75" customHeight="1">
      <c r="A1001" s="110"/>
      <c r="B1001" s="427"/>
      <c r="C1001" s="110"/>
      <c r="D1001" s="110"/>
      <c r="E1001" s="110"/>
      <c r="F1001" s="110"/>
      <c r="G1001" s="110"/>
      <c r="H1001" s="110"/>
      <c r="I1001" s="4"/>
      <c r="J1001" s="110"/>
      <c r="K1001" s="344"/>
      <c r="L1001" s="110"/>
      <c r="M1001" s="110"/>
      <c r="N1001" s="329"/>
      <c r="O1001" s="329"/>
      <c r="P1001" s="329"/>
      <c r="Q1001" s="329"/>
      <c r="R1001" s="329"/>
      <c r="S1001" s="329"/>
      <c r="T1001" s="329"/>
      <c r="U1001" s="110"/>
      <c r="V1001" s="110"/>
      <c r="W1001" s="110"/>
      <c r="X1001" s="110"/>
      <c r="Y1001" s="110"/>
      <c r="Z1001" s="110"/>
      <c r="AA1001" s="110"/>
    </row>
    <row r="1002" spans="1:27" ht="15.75" customHeight="1">
      <c r="A1002" s="110"/>
      <c r="B1002" s="427"/>
      <c r="C1002" s="110"/>
      <c r="D1002" s="110"/>
      <c r="E1002" s="110"/>
      <c r="F1002" s="110"/>
      <c r="G1002" s="110"/>
      <c r="H1002" s="110"/>
      <c r="I1002" s="4"/>
      <c r="J1002" s="110"/>
      <c r="K1002" s="344"/>
      <c r="L1002" s="110"/>
      <c r="M1002" s="110"/>
      <c r="N1002" s="329"/>
      <c r="O1002" s="329"/>
      <c r="P1002" s="329"/>
      <c r="Q1002" s="329"/>
      <c r="R1002" s="329"/>
      <c r="S1002" s="329"/>
      <c r="T1002" s="329"/>
      <c r="U1002" s="110"/>
      <c r="V1002" s="110"/>
      <c r="W1002" s="110"/>
      <c r="X1002" s="110"/>
      <c r="Y1002" s="110"/>
      <c r="Z1002" s="110"/>
      <c r="AA1002" s="110"/>
    </row>
    <row r="1003" spans="1:27" ht="15.75" customHeight="1">
      <c r="A1003" s="110"/>
      <c r="B1003" s="427"/>
      <c r="C1003" s="110"/>
      <c r="D1003" s="110"/>
      <c r="E1003" s="110"/>
      <c r="F1003" s="110"/>
      <c r="G1003" s="110"/>
      <c r="H1003" s="110"/>
      <c r="I1003" s="4"/>
      <c r="J1003" s="110"/>
      <c r="K1003" s="344"/>
      <c r="L1003" s="110"/>
      <c r="M1003" s="110"/>
      <c r="N1003" s="329"/>
      <c r="O1003" s="329"/>
      <c r="P1003" s="329"/>
      <c r="Q1003" s="329"/>
      <c r="R1003" s="329"/>
      <c r="S1003" s="329"/>
      <c r="T1003" s="329"/>
      <c r="U1003" s="110"/>
      <c r="V1003" s="110"/>
      <c r="W1003" s="110"/>
      <c r="X1003" s="110"/>
      <c r="Y1003" s="110"/>
      <c r="Z1003" s="110"/>
      <c r="AA1003" s="110"/>
    </row>
    <row r="1004" spans="1:27" ht="15.75" customHeight="1">
      <c r="A1004" s="110"/>
      <c r="B1004" s="427"/>
      <c r="C1004" s="110"/>
      <c r="D1004" s="110"/>
      <c r="E1004" s="110"/>
      <c r="F1004" s="110"/>
      <c r="G1004" s="110"/>
      <c r="H1004" s="110"/>
      <c r="I1004" s="4"/>
      <c r="J1004" s="110"/>
      <c r="K1004" s="344"/>
      <c r="L1004" s="110"/>
      <c r="M1004" s="110"/>
      <c r="N1004" s="329"/>
      <c r="O1004" s="329"/>
      <c r="P1004" s="329"/>
      <c r="Q1004" s="329"/>
      <c r="R1004" s="329"/>
      <c r="S1004" s="329"/>
      <c r="T1004" s="329"/>
      <c r="U1004" s="110"/>
      <c r="V1004" s="110"/>
      <c r="W1004" s="110"/>
      <c r="X1004" s="110"/>
      <c r="Y1004" s="110"/>
      <c r="Z1004" s="110"/>
      <c r="AA1004" s="110"/>
    </row>
    <row r="1005" spans="1:27" ht="15.75" customHeight="1">
      <c r="A1005" s="110"/>
      <c r="B1005" s="427"/>
      <c r="C1005" s="110"/>
      <c r="D1005" s="110"/>
      <c r="E1005" s="110"/>
      <c r="F1005" s="110"/>
      <c r="G1005" s="110"/>
      <c r="H1005" s="110"/>
      <c r="I1005" s="4"/>
      <c r="J1005" s="110"/>
      <c r="K1005" s="344"/>
      <c r="L1005" s="110"/>
      <c r="M1005" s="110"/>
      <c r="N1005" s="329"/>
      <c r="O1005" s="329"/>
      <c r="P1005" s="329"/>
      <c r="Q1005" s="329"/>
      <c r="R1005" s="329"/>
      <c r="S1005" s="329"/>
      <c r="T1005" s="329"/>
      <c r="U1005" s="110"/>
      <c r="V1005" s="110"/>
      <c r="W1005" s="110"/>
      <c r="X1005" s="110"/>
      <c r="Y1005" s="110"/>
      <c r="Z1005" s="110"/>
      <c r="AA1005" s="110"/>
    </row>
    <row r="1006" spans="1:27" ht="15.75" customHeight="1">
      <c r="A1006" s="110"/>
      <c r="B1006" s="427"/>
      <c r="C1006" s="110"/>
      <c r="D1006" s="110"/>
      <c r="E1006" s="110"/>
      <c r="F1006" s="110"/>
      <c r="G1006" s="110"/>
      <c r="H1006" s="110"/>
      <c r="I1006" s="4"/>
      <c r="J1006" s="110"/>
      <c r="K1006" s="344"/>
      <c r="L1006" s="110"/>
      <c r="M1006" s="110"/>
      <c r="N1006" s="329"/>
      <c r="O1006" s="329"/>
      <c r="P1006" s="329"/>
      <c r="Q1006" s="329"/>
      <c r="R1006" s="329"/>
      <c r="S1006" s="329"/>
      <c r="T1006" s="329"/>
      <c r="U1006" s="110"/>
      <c r="V1006" s="110"/>
      <c r="W1006" s="110"/>
      <c r="X1006" s="110"/>
      <c r="Y1006" s="110"/>
      <c r="Z1006" s="110"/>
      <c r="AA1006" s="110"/>
    </row>
  </sheetData>
  <mergeCells count="8">
    <mergeCell ref="H3:H4"/>
    <mergeCell ref="I3:I4"/>
    <mergeCell ref="J3:J4"/>
    <mergeCell ref="B3:C4"/>
    <mergeCell ref="D3:D4"/>
    <mergeCell ref="E3:E4"/>
    <mergeCell ref="F3:F4"/>
    <mergeCell ref="G3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Daily Sales</vt:lpstr>
      <vt:lpstr>GL</vt:lpstr>
      <vt:lpstr>TB</vt:lpstr>
      <vt:lpstr>PL</vt:lpstr>
      <vt:lpstr>BS</vt:lpstr>
      <vt:lpstr>COS</vt:lpstr>
      <vt:lpstr>Month on Month</vt:lpstr>
      <vt:lpstr>BEP Monthly</vt:lpstr>
      <vt:lpstr>Monthly Variance</vt:lpstr>
      <vt:lpstr>SUMPL</vt:lpstr>
      <vt:lpstr>SumBS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amaha</cp:lastModifiedBy>
  <dcterms:modified xsi:type="dcterms:W3CDTF">2026-07-15T04:40:59Z</dcterms:modified>
</cp:coreProperties>
</file>